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theme/themeOverride1.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pivotTables/pivotTable5.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drawings/drawing8.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9.xml" ContentType="application/vnd.openxmlformats-officedocument.drawing+xml"/>
  <Override PartName="/xl/slicers/slicer6.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namedSheetViews/namedSheetView2.xml" ContentType="application/vnd.ms-excel.namedsheetview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namedSheetViews/namedSheetView3.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codeName="ThisWorkbook" hidePivotFieldList="1" defaultThemeVersion="166925"/>
  <mc:AlternateContent xmlns:mc="http://schemas.openxmlformats.org/markup-compatibility/2006">
    <mc:Choice Requires="x15">
      <x15ac:absPath xmlns:x15ac="http://schemas.microsoft.com/office/spreadsheetml/2010/11/ac" url="https://olesch.sharepoint.com/sites/OLSTRALLogistics/REGISTRU UNIC DE LIVRARI/R-L-01 REGISTRU UNIC DE LIVRARI/"/>
    </mc:Choice>
  </mc:AlternateContent>
  <xr:revisionPtr revIDLastSave="13379" documentId="120_S{12319B50-9533-5E49-BF18-E052369AFB77}" xr6:coauthVersionLast="47" xr6:coauthVersionMax="47" xr10:uidLastSave="{3D18C55D-751B-4031-9886-A62AA633B3A2}"/>
  <bookViews>
    <workbookView xWindow="-120" yWindow="-120" windowWidth="29040" windowHeight="15720" tabRatio="861" activeTab="3" xr2:uid="{00000000-000D-0000-FFFF-FFFF00000000}"/>
  </bookViews>
  <sheets>
    <sheet name="Backlog+Comenzi de produs (2)" sheetId="48" r:id="rId1"/>
    <sheet name="Orders" sheetId="47" r:id="rId2"/>
    <sheet name="Livrari (2)" sheetId="49" r:id="rId3"/>
    <sheet name="Livrari" sheetId="45" r:id="rId4"/>
    <sheet name="Sheet2" sheetId="36" state="hidden" r:id="rId5"/>
    <sheet name="OTD" sheetId="10" state="hidden" r:id="rId6"/>
    <sheet name="LOP_SupplyChain" sheetId="27" state="hidden" r:id="rId7"/>
    <sheet name="Registru unic-FURNIZORI" sheetId="13" state="hidden" r:id="rId8"/>
    <sheet name="list" sheetId="17" state="hidden" r:id="rId9"/>
    <sheet name="Database_Routing" sheetId="19" state="hidden" r:id="rId10"/>
    <sheet name="Backlog+Comenzi de produs" sheetId="46" r:id="rId11"/>
    <sheet name="Registru unic-CLIENTI" sheetId="1" r:id="rId12"/>
    <sheet name="All OTD" sheetId="41" r:id="rId13"/>
    <sheet name="PDB" sheetId="18" r:id="rId14"/>
    <sheet name="Pret Alex" sheetId="50" state="hidden" r:id="rId15"/>
    <sheet name="DATABASE_FG" sheetId="16" r:id="rId16"/>
  </sheets>
  <definedNames>
    <definedName name="_xlnm._FilterDatabase" localSheetId="15" hidden="1">DATABASE_FG!$A$4:$M$284</definedName>
    <definedName name="_xlnm._FilterDatabase" localSheetId="13" hidden="1">PDB!$L$1:$L$447</definedName>
    <definedName name="_xlnm._FilterDatabase" localSheetId="7" hidden="1">'Registru unic-FURNIZORI'!$A$7:$M$7</definedName>
    <definedName name="_xlnm._FilterDatabase" localSheetId="4" hidden="1">Sheet2!$A$1:$H$713</definedName>
    <definedName name="_Hlk126580657" localSheetId="11">'Registru unic-CLIENTI'!#REF!</definedName>
    <definedName name="_xlnm.Print_Area" localSheetId="10">'Backlog+Comenzi de produs'!$B$1:$AA$167</definedName>
    <definedName name="_xlnm.Print_Area" localSheetId="3">Livrari!$A$13:$K$54</definedName>
    <definedName name="_xlnm.Print_Area" localSheetId="11">'Registru unic-CLIENTI'!$A$1:$AF$2636</definedName>
    <definedName name="_xlnm.Print_Area" localSheetId="7">'Registru unic-FURNIZORI'!$G$1:$M$201</definedName>
    <definedName name="_xlnm.Print_Titles" localSheetId="10">'Backlog+Comenzi de produs'!$1:$16</definedName>
    <definedName name="_xlnm.Print_Titles" localSheetId="0">'Backlog+Comenzi de produs (2)'!$1:$16</definedName>
    <definedName name="_xlnm.Print_Titles" localSheetId="2">'Livrari (2)'!$5:$20</definedName>
    <definedName name="_xlnm.Print_Titles" localSheetId="1">Orders!$1:$16</definedName>
    <definedName name="Slicer_CUSTOMER">#N/A</definedName>
    <definedName name="Slicer_CUSTOMER1">#N/A</definedName>
    <definedName name="Slicer_CUSTOMER11">#N/A</definedName>
    <definedName name="Slicer_CUSTOMER12">#N/A</definedName>
    <definedName name="Slicer_CUSTOMER2">#N/A</definedName>
    <definedName name="Slicer_CUSTOMER21">#N/A</definedName>
    <definedName name="Slicer_Month">#N/A</definedName>
    <definedName name="Slicer_Month11">#N/A</definedName>
    <definedName name="Slicer_Months__Dată_de_livrare">#N/A</definedName>
    <definedName name="Slicer_Months__Dată_de_livrare1">#N/A</definedName>
    <definedName name="Slicer_Order_Finished_YES_NO">#N/A</definedName>
    <definedName name="Slicer_Part_Number">#N/A</definedName>
    <definedName name="Slicer_Part_Number1">#N/A</definedName>
    <definedName name="Slicer_Part_Number2">#N/A</definedName>
    <definedName name="Slicer_Product_Family">#N/A</definedName>
    <definedName name="Slicer_Product_Family1">#N/A</definedName>
    <definedName name="Slicer_Product_Family2">#N/A</definedName>
    <definedName name="Slicer_Product_Family3">#N/A</definedName>
    <definedName name="Slicer_Product_Family4">#N/A</definedName>
    <definedName name="Slicer_YEAR">#N/A</definedName>
    <definedName name="Slicer_YEAR11">#N/A</definedName>
    <definedName name="Slicer_Years__ETA_As_requested_dd.mm.yyyy1">#N/A</definedName>
  </definedNames>
  <calcPr calcId="191029" iterate="1" iterateCount="1"/>
  <pivotCaches>
    <pivotCache cacheId="329"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0" i="1" l="1"/>
  <c r="O1138" i="1" l="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74" i="1"/>
  <c r="G75" i="1"/>
  <c r="G76" i="1"/>
  <c r="G73" i="1"/>
  <c r="G63" i="1"/>
  <c r="G64" i="1"/>
  <c r="G65" i="1"/>
  <c r="G66" i="1"/>
  <c r="G67" i="1"/>
  <c r="G68" i="1"/>
  <c r="G69" i="1"/>
  <c r="G70" i="1"/>
  <c r="G71" i="1"/>
  <c r="G72" i="1"/>
  <c r="G62"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11" i="1"/>
  <c r="G12" i="1"/>
  <c r="G13" i="1"/>
  <c r="G14" i="1"/>
  <c r="G15" i="1"/>
  <c r="G16" i="1"/>
  <c r="G17" i="1"/>
  <c r="G18" i="1"/>
  <c r="G10" i="1"/>
  <c r="F2635"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10" i="1"/>
  <c r="P2609" i="1"/>
  <c r="P2610" i="1"/>
  <c r="P2611" i="1"/>
  <c r="P2612" i="1"/>
  <c r="P2613" i="1"/>
  <c r="O2609" i="1"/>
  <c r="O2610" i="1"/>
  <c r="O2611" i="1"/>
  <c r="O2612" i="1"/>
  <c r="N1137" i="1"/>
  <c r="O1137" i="1"/>
  <c r="P1137" i="1"/>
  <c r="N1138" i="1"/>
  <c r="P1138" i="1"/>
  <c r="M1137" i="1"/>
  <c r="M1138" i="1"/>
  <c r="L1137" i="1"/>
  <c r="L1138" i="1"/>
  <c r="H1137" i="1" a="1"/>
  <c r="H1137" i="1" s="1"/>
  <c r="AG1137" i="1" s="1"/>
  <c r="H1138" i="1" a="1"/>
  <c r="H1138" i="1" s="1"/>
  <c r="AL1137" i="1"/>
  <c r="AM1137" i="1"/>
  <c r="AB193" i="1"/>
  <c r="AB192" i="1"/>
  <c r="J1137" i="1" l="1"/>
  <c r="I1695" i="1" l="1"/>
  <c r="AK1694" i="1"/>
  <c r="AL1694" i="1"/>
  <c r="AM1694" i="1"/>
  <c r="AD1694" i="1"/>
  <c r="AE1694" i="1"/>
  <c r="H1694" i="1" a="1"/>
  <c r="H1694" i="1" s="1"/>
  <c r="L1694" i="1"/>
  <c r="M1694" i="1"/>
  <c r="N1694" i="1"/>
  <c r="O1694" i="1"/>
  <c r="P1694" i="1"/>
  <c r="S1694" i="1"/>
  <c r="I1281" i="1"/>
  <c r="AK1280" i="1"/>
  <c r="AL1280" i="1"/>
  <c r="AM1280" i="1"/>
  <c r="AD1280" i="1"/>
  <c r="AE1280" i="1"/>
  <c r="H1280" i="1" a="1"/>
  <c r="H1280" i="1" s="1"/>
  <c r="L1280" i="1"/>
  <c r="M1280" i="1"/>
  <c r="N1280" i="1"/>
  <c r="O1280" i="1"/>
  <c r="P1280" i="1"/>
  <c r="S1280" i="1"/>
  <c r="I1841" i="1"/>
  <c r="AK1840" i="1"/>
  <c r="AL1840" i="1"/>
  <c r="AM1840" i="1"/>
  <c r="AD1840" i="1"/>
  <c r="AE1840" i="1"/>
  <c r="H1840" i="1" a="1"/>
  <c r="H1840" i="1" s="1"/>
  <c r="L1840" i="1"/>
  <c r="M1840" i="1"/>
  <c r="N1840" i="1"/>
  <c r="O1840" i="1"/>
  <c r="P1840" i="1"/>
  <c r="S1840" i="1"/>
  <c r="I1517" i="1"/>
  <c r="I1516" i="1"/>
  <c r="I1855" i="1"/>
  <c r="AK1854" i="1"/>
  <c r="AL1854" i="1"/>
  <c r="AM1854" i="1"/>
  <c r="AD1854" i="1"/>
  <c r="AE1854" i="1"/>
  <c r="H1854" i="1" a="1"/>
  <c r="H1854" i="1" s="1"/>
  <c r="L1854" i="1"/>
  <c r="M1854" i="1"/>
  <c r="N1854" i="1"/>
  <c r="O1854" i="1"/>
  <c r="P1854" i="1"/>
  <c r="S1854" i="1"/>
  <c r="AD1446" i="1"/>
  <c r="AD1447" i="1"/>
  <c r="AD1448" i="1"/>
  <c r="AD1449" i="1"/>
  <c r="AK1448" i="1"/>
  <c r="I1450" i="1"/>
  <c r="AK1449" i="1"/>
  <c r="AL1449" i="1"/>
  <c r="AM1449" i="1"/>
  <c r="AE1449" i="1"/>
  <c r="H1449" i="1" a="1"/>
  <c r="H1449" i="1" s="1"/>
  <c r="AG1449" i="1" s="1"/>
  <c r="S1449" i="1"/>
  <c r="I1407" i="1"/>
  <c r="I1406" i="1"/>
  <c r="AG1854" i="1" l="1"/>
  <c r="J1854" i="1"/>
  <c r="AG1840" i="1"/>
  <c r="J1840" i="1"/>
  <c r="J1280" i="1"/>
  <c r="AG1280" i="1"/>
  <c r="AG1694" i="1"/>
  <c r="J1694" i="1"/>
  <c r="AL1384" i="1"/>
  <c r="AM1384" i="1"/>
  <c r="N1384" i="1"/>
  <c r="N1385" i="1"/>
  <c r="P1383" i="1"/>
  <c r="P1384" i="1"/>
  <c r="P1385" i="1"/>
  <c r="L1375" i="1"/>
  <c r="M1383" i="1"/>
  <c r="M1384" i="1"/>
  <c r="M1385" i="1"/>
  <c r="L1384" i="1"/>
  <c r="L1385" i="1"/>
  <c r="H1384" i="1" a="1"/>
  <c r="H1384" i="1" s="1"/>
  <c r="AG1384" i="1" s="1"/>
  <c r="H1385" i="1" a="1"/>
  <c r="H1385" i="1" s="1"/>
  <c r="J1385" i="1" s="1"/>
  <c r="H1383" i="1" a="1"/>
  <c r="H1383" i="1" s="1"/>
  <c r="L1383" i="1"/>
  <c r="N1383" i="1"/>
  <c r="AL1383" i="1"/>
  <c r="AM1383" i="1"/>
  <c r="I1382" i="1"/>
  <c r="J1384" i="1" l="1"/>
  <c r="J1383" i="1"/>
  <c r="AG1383" i="1"/>
  <c r="P1350" i="1"/>
  <c r="P1351" i="1"/>
  <c r="P1352" i="1"/>
  <c r="M1351" i="1"/>
  <c r="N1350" i="1"/>
  <c r="N1351" i="1"/>
  <c r="L1350" i="1"/>
  <c r="L1351" i="1"/>
  <c r="L1352" i="1"/>
  <c r="H1350" i="1" a="1"/>
  <c r="H1350" i="1" s="1"/>
  <c r="J1350" i="1" s="1"/>
  <c r="H1351" i="1" a="1"/>
  <c r="H1351" i="1" s="1"/>
  <c r="AG1351" i="1" s="1"/>
  <c r="H1352" i="1" a="1"/>
  <c r="H1352" i="1" s="1"/>
  <c r="J1352" i="1" s="1"/>
  <c r="AL1351" i="1"/>
  <c r="AM1351" i="1"/>
  <c r="P1344" i="1"/>
  <c r="P1345" i="1"/>
  <c r="P1346" i="1"/>
  <c r="P1347" i="1"/>
  <c r="P1348" i="1"/>
  <c r="P1349" i="1"/>
  <c r="M1344" i="1"/>
  <c r="M1345" i="1"/>
  <c r="M1346" i="1"/>
  <c r="M1347" i="1"/>
  <c r="M1348" i="1"/>
  <c r="M1349" i="1"/>
  <c r="M1350" i="1"/>
  <c r="M1352" i="1"/>
  <c r="N1344" i="1"/>
  <c r="N1345" i="1"/>
  <c r="N1346" i="1"/>
  <c r="N1347" i="1"/>
  <c r="N1348" i="1"/>
  <c r="N1349" i="1"/>
  <c r="N1352" i="1"/>
  <c r="L1344" i="1"/>
  <c r="L1345" i="1"/>
  <c r="L1346" i="1"/>
  <c r="L1347" i="1"/>
  <c r="L1348" i="1"/>
  <c r="L1349" i="1"/>
  <c r="P1296" i="1"/>
  <c r="P1297" i="1"/>
  <c r="M1296" i="1"/>
  <c r="L1296" i="1"/>
  <c r="H1296" i="1" a="1"/>
  <c r="H1296" i="1" s="1"/>
  <c r="AG1296" i="1" s="1"/>
  <c r="H1297" i="1" a="1"/>
  <c r="H1297" i="1" s="1"/>
  <c r="J1297" i="1" s="1"/>
  <c r="AL1296" i="1"/>
  <c r="AM1296" i="1"/>
  <c r="N1290" i="1"/>
  <c r="N1291" i="1"/>
  <c r="P1289" i="1"/>
  <c r="P1290" i="1"/>
  <c r="P1291" i="1"/>
  <c r="P1292" i="1"/>
  <c r="M1289" i="1"/>
  <c r="M1290" i="1"/>
  <c r="M1291" i="1"/>
  <c r="M1292" i="1"/>
  <c r="L1289" i="1"/>
  <c r="L1290" i="1"/>
  <c r="L1291" i="1"/>
  <c r="L1292" i="1"/>
  <c r="H1285" i="1" a="1"/>
  <c r="H1285" i="1" s="1"/>
  <c r="J1285" i="1" s="1"/>
  <c r="H1286" i="1" a="1"/>
  <c r="H1286" i="1" s="1"/>
  <c r="J1286" i="1" s="1"/>
  <c r="H1287" i="1" a="1"/>
  <c r="H1287" i="1" s="1"/>
  <c r="J1287" i="1" s="1"/>
  <c r="H1288" i="1" a="1"/>
  <c r="H1288" i="1" s="1"/>
  <c r="J1288" i="1" s="1"/>
  <c r="H1289" i="1" a="1"/>
  <c r="H1289" i="1" s="1"/>
  <c r="J1289" i="1" s="1"/>
  <c r="H1290" i="1" a="1"/>
  <c r="H1290" i="1" s="1"/>
  <c r="AG1290" i="1" s="1"/>
  <c r="H1291" i="1" a="1"/>
  <c r="H1291" i="1" s="1"/>
  <c r="AG1291" i="1" s="1"/>
  <c r="H1292" i="1" a="1"/>
  <c r="H1292" i="1" s="1"/>
  <c r="J1292" i="1" s="1"/>
  <c r="AL1291" i="1"/>
  <c r="AM1291" i="1"/>
  <c r="AL1290" i="1"/>
  <c r="AM1290" i="1"/>
  <c r="AL1292" i="1"/>
  <c r="AM1292" i="1"/>
  <c r="I2003" i="1"/>
  <c r="AK2002" i="1"/>
  <c r="AL2002" i="1"/>
  <c r="AM2002" i="1"/>
  <c r="AD2002" i="1"/>
  <c r="AE2002" i="1"/>
  <c r="H2002" i="1" a="1"/>
  <c r="H2002" i="1" s="1"/>
  <c r="L2002" i="1"/>
  <c r="M2002" i="1"/>
  <c r="N2002" i="1"/>
  <c r="O2002" i="1"/>
  <c r="P2002" i="1"/>
  <c r="S2002" i="1"/>
  <c r="AD2137" i="1"/>
  <c r="I2138" i="1"/>
  <c r="AK2137" i="1"/>
  <c r="AL2137" i="1"/>
  <c r="AM2137" i="1"/>
  <c r="AE2137" i="1"/>
  <c r="H2137" i="1" a="1"/>
  <c r="H2137" i="1" s="1"/>
  <c r="L2137" i="1"/>
  <c r="M2137" i="1"/>
  <c r="N2137" i="1"/>
  <c r="O2137" i="1"/>
  <c r="P2137" i="1"/>
  <c r="S2137" i="1"/>
  <c r="I392" i="1"/>
  <c r="AK391" i="1"/>
  <c r="AL391" i="1"/>
  <c r="AM391" i="1"/>
  <c r="AD391" i="1"/>
  <c r="AE391" i="1"/>
  <c r="H391" i="1" a="1"/>
  <c r="H391" i="1" s="1"/>
  <c r="L391" i="1"/>
  <c r="M391" i="1"/>
  <c r="N391" i="1"/>
  <c r="O391" i="1"/>
  <c r="P391" i="1"/>
  <c r="S391" i="1"/>
  <c r="AK309" i="1"/>
  <c r="AL309" i="1"/>
  <c r="AM309" i="1"/>
  <c r="AD309" i="1"/>
  <c r="AE309" i="1"/>
  <c r="H309" i="1" a="1"/>
  <c r="H309" i="1" s="1"/>
  <c r="L309" i="1"/>
  <c r="M309" i="1"/>
  <c r="O309" i="1"/>
  <c r="P309" i="1"/>
  <c r="S309" i="1"/>
  <c r="I2296" i="1"/>
  <c r="AK2295" i="1"/>
  <c r="AL2295" i="1"/>
  <c r="AM2295" i="1"/>
  <c r="AD2295" i="1"/>
  <c r="AE2295" i="1"/>
  <c r="H2295" i="1" a="1"/>
  <c r="H2295" i="1" s="1"/>
  <c r="L2295" i="1"/>
  <c r="M2295" i="1"/>
  <c r="N2295" i="1"/>
  <c r="O2295" i="1"/>
  <c r="P2295" i="1"/>
  <c r="S2295" i="1"/>
  <c r="I881" i="1"/>
  <c r="AK880" i="1"/>
  <c r="AL880" i="1"/>
  <c r="AM880" i="1"/>
  <c r="AD880" i="1"/>
  <c r="AE880" i="1"/>
  <c r="H880" i="1" a="1"/>
  <c r="H880" i="1" s="1"/>
  <c r="L880" i="1"/>
  <c r="M880" i="1"/>
  <c r="N880" i="1"/>
  <c r="O880" i="1"/>
  <c r="P880" i="1"/>
  <c r="S880" i="1"/>
  <c r="J1351" i="1" l="1"/>
  <c r="J1296" i="1"/>
  <c r="J1291" i="1"/>
  <c r="J1290" i="1"/>
  <c r="AG2002" i="1"/>
  <c r="J2002" i="1"/>
  <c r="AG2137" i="1"/>
  <c r="J2137" i="1"/>
  <c r="AG391" i="1"/>
  <c r="J391" i="1"/>
  <c r="AG309" i="1"/>
  <c r="J309" i="1"/>
  <c r="AG2295" i="1"/>
  <c r="J2295" i="1"/>
  <c r="AG880" i="1"/>
  <c r="J880" i="1"/>
  <c r="I1647" i="1" l="1"/>
  <c r="AK1646" i="1"/>
  <c r="AL1646" i="1"/>
  <c r="AM1646" i="1"/>
  <c r="AD1646" i="1"/>
  <c r="AE1646" i="1"/>
  <c r="H1646" i="1" a="1"/>
  <c r="H1646" i="1" s="1"/>
  <c r="L1646" i="1"/>
  <c r="M1646" i="1"/>
  <c r="N1646" i="1"/>
  <c r="O1646" i="1"/>
  <c r="P1646" i="1"/>
  <c r="S1646" i="1"/>
  <c r="I1725" i="1"/>
  <c r="AK1724" i="1"/>
  <c r="AL1724" i="1"/>
  <c r="AM1724" i="1"/>
  <c r="AD1724" i="1"/>
  <c r="AE1724" i="1"/>
  <c r="H1724" i="1" a="1"/>
  <c r="H1724" i="1" s="1"/>
  <c r="S1724" i="1"/>
  <c r="L1724" i="1"/>
  <c r="M1724" i="1"/>
  <c r="N1724" i="1"/>
  <c r="O1724" i="1"/>
  <c r="P1724" i="1"/>
  <c r="AG1646" i="1" l="1"/>
  <c r="J1646" i="1"/>
  <c r="AG1724" i="1"/>
  <c r="J1724" i="1"/>
  <c r="I456" i="1"/>
  <c r="AK455" i="1"/>
  <c r="AL455" i="1"/>
  <c r="AM455" i="1"/>
  <c r="AD455" i="1"/>
  <c r="AE455" i="1"/>
  <c r="AK390" i="1"/>
  <c r="AL390" i="1"/>
  <c r="AM390" i="1"/>
  <c r="AD390" i="1"/>
  <c r="AE390" i="1"/>
  <c r="H390" i="1" a="1"/>
  <c r="H390" i="1" s="1"/>
  <c r="AG390" i="1" s="1"/>
  <c r="S390" i="1"/>
  <c r="L390" i="1"/>
  <c r="M390" i="1"/>
  <c r="N390" i="1"/>
  <c r="O390" i="1"/>
  <c r="P390" i="1"/>
  <c r="S455" i="1" l="1"/>
  <c r="J390" i="1"/>
  <c r="AK454" i="1" l="1"/>
  <c r="AL454" i="1"/>
  <c r="AM454" i="1"/>
  <c r="AD454" i="1"/>
  <c r="AE454" i="1"/>
  <c r="S454" i="1"/>
  <c r="AK389" i="1"/>
  <c r="AL389" i="1"/>
  <c r="AM389" i="1"/>
  <c r="AD389" i="1"/>
  <c r="AE389" i="1"/>
  <c r="H389" i="1" a="1"/>
  <c r="H389" i="1" s="1"/>
  <c r="L389" i="1"/>
  <c r="M389" i="1"/>
  <c r="N389" i="1"/>
  <c r="O389" i="1"/>
  <c r="P389" i="1"/>
  <c r="S389" i="1"/>
  <c r="AG389" i="1" l="1"/>
  <c r="J389" i="1"/>
  <c r="AK1853" i="1" l="1"/>
  <c r="AL1853" i="1"/>
  <c r="AM1853" i="1"/>
  <c r="AD1853" i="1"/>
  <c r="AE1853" i="1"/>
  <c r="L1853" i="1"/>
  <c r="M1853" i="1"/>
  <c r="N1853" i="1"/>
  <c r="O1853" i="1"/>
  <c r="P1853" i="1"/>
  <c r="S1853" i="1"/>
  <c r="I1867" i="1"/>
  <c r="I1866" i="1"/>
  <c r="AD1445" i="1"/>
  <c r="AK1447" i="1"/>
  <c r="AL1447" i="1"/>
  <c r="AM1447" i="1"/>
  <c r="AE1447" i="1"/>
  <c r="L1447" i="1"/>
  <c r="M1447" i="1"/>
  <c r="N1447" i="1"/>
  <c r="O1447" i="1"/>
  <c r="P1447" i="1"/>
  <c r="S1447" i="1"/>
  <c r="I1448" i="1"/>
  <c r="AD1442" i="1"/>
  <c r="AD1443" i="1"/>
  <c r="AD1444" i="1"/>
  <c r="I1645" i="1"/>
  <c r="I1644" i="1"/>
  <c r="AK453" i="1"/>
  <c r="AL453" i="1"/>
  <c r="AM453" i="1"/>
  <c r="AD453" i="1"/>
  <c r="AE453" i="1"/>
  <c r="I453" i="1"/>
  <c r="S453" i="1" s="1"/>
  <c r="I2001" i="1"/>
  <c r="I2000" i="1"/>
  <c r="I879" i="1"/>
  <c r="AK452" i="1"/>
  <c r="AL452" i="1"/>
  <c r="AM452" i="1"/>
  <c r="AD452" i="1"/>
  <c r="AE452" i="1"/>
  <c r="AK388" i="1"/>
  <c r="AL388" i="1"/>
  <c r="AM388" i="1"/>
  <c r="AD388" i="1"/>
  <c r="AE388" i="1"/>
  <c r="H388" i="1" a="1"/>
  <c r="H388" i="1" s="1"/>
  <c r="L388" i="1"/>
  <c r="M388" i="1"/>
  <c r="N388" i="1"/>
  <c r="O388" i="1"/>
  <c r="P388" i="1"/>
  <c r="S388" i="1"/>
  <c r="S452" i="1" l="1"/>
  <c r="J388" i="1"/>
  <c r="AG388" i="1"/>
  <c r="I1721" i="1" l="1"/>
  <c r="AM1723" i="1"/>
  <c r="AL1723" i="1"/>
  <c r="AK1723" i="1"/>
  <c r="AE1723" i="1"/>
  <c r="AD1723" i="1"/>
  <c r="P1723" i="1"/>
  <c r="O1723" i="1"/>
  <c r="N1723" i="1"/>
  <c r="M1723" i="1"/>
  <c r="L1723" i="1"/>
  <c r="H1723" i="1" a="1"/>
  <c r="H1723" i="1" s="1"/>
  <c r="J1723" i="1" s="1"/>
  <c r="S1723" i="1"/>
  <c r="AM1883" i="1"/>
  <c r="AL1883" i="1"/>
  <c r="AK1883" i="1"/>
  <c r="AE1883" i="1"/>
  <c r="AD1883" i="1"/>
  <c r="O1883" i="1"/>
  <c r="M1883" i="1"/>
  <c r="L1883" i="1"/>
  <c r="H1883" i="1" a="1"/>
  <c r="H1883" i="1" s="1"/>
  <c r="J1883" i="1" s="1"/>
  <c r="S1883" i="1"/>
  <c r="AK151" i="1"/>
  <c r="AL151" i="1"/>
  <c r="AM151" i="1"/>
  <c r="AK152" i="1"/>
  <c r="AL152" i="1"/>
  <c r="AM152" i="1"/>
  <c r="AD152" i="1"/>
  <c r="AE152" i="1"/>
  <c r="AG1723" i="1" l="1"/>
  <c r="AG1883" i="1"/>
  <c r="O1121" i="1"/>
  <c r="H1136" i="1" a="1"/>
  <c r="H1136" i="1" s="1"/>
  <c r="AG1136" i="1" s="1"/>
  <c r="N1135" i="1"/>
  <c r="O1135" i="1"/>
  <c r="P1135" i="1"/>
  <c r="N1136" i="1"/>
  <c r="O1136" i="1"/>
  <c r="P1136" i="1"/>
  <c r="H1134" i="1" a="1"/>
  <c r="H1134" i="1" s="1"/>
  <c r="AD1135" i="1"/>
  <c r="AE1135" i="1"/>
  <c r="AK1135" i="1"/>
  <c r="AL1135" i="1"/>
  <c r="AM1135" i="1"/>
  <c r="AD1136" i="1"/>
  <c r="AE1136" i="1"/>
  <c r="AK1136" i="1"/>
  <c r="AL1136" i="1"/>
  <c r="AM1136" i="1"/>
  <c r="AD1138" i="1"/>
  <c r="AE1138" i="1"/>
  <c r="AK1138" i="1"/>
  <c r="AL1138" i="1"/>
  <c r="AM1138" i="1"/>
  <c r="AD1139" i="1"/>
  <c r="AE1139" i="1"/>
  <c r="AK1139" i="1"/>
  <c r="AL1139" i="1"/>
  <c r="AM1139" i="1"/>
  <c r="H1139" i="1" a="1"/>
  <c r="H1139" i="1" s="1"/>
  <c r="AG1139" i="1" s="1"/>
  <c r="AG1138" i="1"/>
  <c r="H1135" i="1" a="1"/>
  <c r="H1135" i="1" s="1"/>
  <c r="AG1135" i="1" s="1"/>
  <c r="L1135" i="1"/>
  <c r="M1135" i="1"/>
  <c r="L1136" i="1"/>
  <c r="M1136" i="1"/>
  <c r="I1139" i="1"/>
  <c r="S1139" i="1" s="1"/>
  <c r="L1139" i="1"/>
  <c r="M1139" i="1"/>
  <c r="N1139" i="1"/>
  <c r="O1139" i="1"/>
  <c r="P1139" i="1"/>
  <c r="S1135" i="1"/>
  <c r="S1138" i="1"/>
  <c r="AM878" i="1"/>
  <c r="AL878" i="1"/>
  <c r="AK878" i="1"/>
  <c r="AE878" i="1"/>
  <c r="AD878" i="1"/>
  <c r="P878" i="1"/>
  <c r="O878" i="1"/>
  <c r="N878" i="1"/>
  <c r="M878" i="1"/>
  <c r="L878" i="1"/>
  <c r="H878" i="1" a="1"/>
  <c r="H878" i="1" s="1"/>
  <c r="J878" i="1" s="1"/>
  <c r="S878" i="1"/>
  <c r="AL1999" i="1"/>
  <c r="AK1999" i="1"/>
  <c r="AE1999" i="1"/>
  <c r="AD1999" i="1"/>
  <c r="P1999" i="1"/>
  <c r="O1999" i="1"/>
  <c r="N1999" i="1"/>
  <c r="M1999" i="1"/>
  <c r="L1999" i="1"/>
  <c r="H1999" i="1" a="1"/>
  <c r="H1999" i="1" s="1"/>
  <c r="J1999" i="1" s="1"/>
  <c r="S1999" i="1"/>
  <c r="AM1999" i="1"/>
  <c r="I387" i="1"/>
  <c r="AM386" i="1"/>
  <c r="AL386" i="1"/>
  <c r="AK386" i="1"/>
  <c r="AE386" i="1"/>
  <c r="AD386" i="1"/>
  <c r="P386" i="1"/>
  <c r="O386" i="1"/>
  <c r="N386" i="1"/>
  <c r="M386" i="1"/>
  <c r="L386" i="1"/>
  <c r="H386" i="1" a="1"/>
  <c r="H386" i="1" s="1"/>
  <c r="J386" i="1" s="1"/>
  <c r="S386" i="1"/>
  <c r="AM1722" i="1"/>
  <c r="AL1722" i="1"/>
  <c r="AK1722" i="1"/>
  <c r="AE1722" i="1"/>
  <c r="AD1722" i="1"/>
  <c r="P1722" i="1"/>
  <c r="O1722" i="1"/>
  <c r="N1722" i="1"/>
  <c r="M1722" i="1"/>
  <c r="L1722" i="1"/>
  <c r="H1722" i="1" a="1"/>
  <c r="H1722" i="1" s="1"/>
  <c r="J1722" i="1" s="1"/>
  <c r="S1722" i="1"/>
  <c r="AM2299" i="1"/>
  <c r="AL2299" i="1"/>
  <c r="AM2291" i="1"/>
  <c r="AL2291" i="1"/>
  <c r="AM2289" i="1"/>
  <c r="AL2289" i="1"/>
  <c r="AM1847" i="1"/>
  <c r="AL1847" i="1"/>
  <c r="AM1837" i="1"/>
  <c r="AL1837" i="1"/>
  <c r="AM1793" i="1"/>
  <c r="AL1793" i="1"/>
  <c r="AM1791" i="1"/>
  <c r="AL1791" i="1"/>
  <c r="AM1789" i="1"/>
  <c r="AL1789" i="1"/>
  <c r="AM1787" i="1"/>
  <c r="AL1787" i="1"/>
  <c r="AM1436" i="1"/>
  <c r="AL1436" i="1"/>
  <c r="AM1378" i="1"/>
  <c r="AL1378" i="1"/>
  <c r="AM1186" i="1"/>
  <c r="AL1186" i="1"/>
  <c r="AM613" i="1"/>
  <c r="AL613" i="1"/>
  <c r="AK527" i="1"/>
  <c r="AM531" i="1"/>
  <c r="AL531" i="1"/>
  <c r="AM527" i="1"/>
  <c r="AL527" i="1"/>
  <c r="AM525" i="1"/>
  <c r="AL525" i="1"/>
  <c r="AM398" i="1"/>
  <c r="AL398" i="1"/>
  <c r="AM397" i="1"/>
  <c r="AL397" i="1"/>
  <c r="AM379" i="1"/>
  <c r="AL379" i="1"/>
  <c r="AM302" i="1"/>
  <c r="AL302" i="1"/>
  <c r="AM298" i="1"/>
  <c r="AL298" i="1"/>
  <c r="AD1349" i="1"/>
  <c r="AM1381" i="1"/>
  <c r="AL1381" i="1"/>
  <c r="AK1381" i="1"/>
  <c r="AE1381" i="1"/>
  <c r="AD1381" i="1"/>
  <c r="P1381" i="1"/>
  <c r="O1381" i="1"/>
  <c r="N1381" i="1"/>
  <c r="M1381" i="1"/>
  <c r="L1381" i="1"/>
  <c r="S1381" i="1"/>
  <c r="AM882" i="1"/>
  <c r="AL882" i="1"/>
  <c r="AK882" i="1"/>
  <c r="AE882" i="1"/>
  <c r="AD882" i="1"/>
  <c r="P882" i="1"/>
  <c r="O882" i="1"/>
  <c r="N882" i="1"/>
  <c r="M882" i="1"/>
  <c r="L882" i="1"/>
  <c r="H882" i="1" a="1"/>
  <c r="H882" i="1" s="1"/>
  <c r="J882" i="1" s="1"/>
  <c r="S882" i="1"/>
  <c r="J1136" i="1" l="1"/>
  <c r="J1135" i="1"/>
  <c r="J1138" i="1"/>
  <c r="J1139" i="1"/>
  <c r="S1136" i="1"/>
  <c r="AG878" i="1"/>
  <c r="AG1999" i="1"/>
  <c r="AG386" i="1"/>
  <c r="AG1722" i="1"/>
  <c r="AG882" i="1"/>
  <c r="AM119" i="1" l="1"/>
  <c r="AL119" i="1"/>
  <c r="AK119" i="1"/>
  <c r="AG119" i="1"/>
  <c r="AE119" i="1"/>
  <c r="AD119" i="1"/>
  <c r="P119" i="1"/>
  <c r="O119" i="1"/>
  <c r="N119" i="1"/>
  <c r="M119" i="1"/>
  <c r="L119" i="1"/>
  <c r="J119" i="1"/>
  <c r="AM89" i="1"/>
  <c r="AL89" i="1"/>
  <c r="AK89" i="1"/>
  <c r="AE89" i="1"/>
  <c r="AD89" i="1"/>
  <c r="P89" i="1"/>
  <c r="O89" i="1"/>
  <c r="N89" i="1"/>
  <c r="M89" i="1"/>
  <c r="L89" i="1"/>
  <c r="H89" i="1" a="1"/>
  <c r="H89" i="1" s="1"/>
  <c r="J89" i="1" s="1"/>
  <c r="S119" i="1"/>
  <c r="S89" i="1"/>
  <c r="AL582" i="1"/>
  <c r="AM582" i="1"/>
  <c r="AL583" i="1"/>
  <c r="AM583" i="1"/>
  <c r="AL1157" i="1"/>
  <c r="AM1157" i="1"/>
  <c r="P582" i="1"/>
  <c r="S582" i="1"/>
  <c r="P583" i="1"/>
  <c r="S583" i="1"/>
  <c r="P1157" i="1"/>
  <c r="S1157" i="1"/>
  <c r="O582" i="1"/>
  <c r="O583" i="1"/>
  <c r="O1157" i="1"/>
  <c r="H1647" i="1" a="1"/>
  <c r="H1647" i="1" s="1"/>
  <c r="H1584" i="1" a="1"/>
  <c r="H1584" i="1" s="1"/>
  <c r="H1648" i="1" a="1"/>
  <c r="H1648" i="1" s="1"/>
  <c r="H1585" i="1" a="1"/>
  <c r="H1585" i="1" s="1"/>
  <c r="H1586" i="1" a="1"/>
  <c r="H1586" i="1" s="1"/>
  <c r="H1649" i="1" a="1"/>
  <c r="H1649" i="1" s="1"/>
  <c r="H1587" i="1" a="1"/>
  <c r="H1587" i="1" s="1"/>
  <c r="H1588" i="1" a="1"/>
  <c r="H1588" i="1" s="1"/>
  <c r="H1650" i="1" a="1"/>
  <c r="H1650" i="1" s="1"/>
  <c r="H1589" i="1" a="1"/>
  <c r="H1589" i="1" s="1"/>
  <c r="H1526" i="1" a="1"/>
  <c r="H1526" i="1" s="1"/>
  <c r="H1590" i="1" a="1"/>
  <c r="H1590" i="1" s="1"/>
  <c r="H1651" i="1" a="1"/>
  <c r="H1651" i="1" s="1"/>
  <c r="H1591" i="1" a="1"/>
  <c r="H1591" i="1" s="1"/>
  <c r="H582" i="1" a="1"/>
  <c r="H582" i="1" s="1"/>
  <c r="J582" i="1" s="1"/>
  <c r="H583" i="1" a="1"/>
  <c r="H583" i="1" s="1"/>
  <c r="J583" i="1" s="1"/>
  <c r="H1157" i="1" a="1"/>
  <c r="H1157" i="1" s="1"/>
  <c r="J1157" i="1" s="1"/>
  <c r="H1652" i="1" a="1"/>
  <c r="H1652" i="1" s="1"/>
  <c r="H1592" i="1" a="1"/>
  <c r="H1592" i="1" s="1"/>
  <c r="H1653" i="1" a="1"/>
  <c r="H1653" i="1" s="1"/>
  <c r="H1593" i="1" a="1"/>
  <c r="H1593" i="1" s="1"/>
  <c r="L582" i="1"/>
  <c r="L583" i="1"/>
  <c r="L1157" i="1"/>
  <c r="M582" i="1"/>
  <c r="M583" i="1"/>
  <c r="M1157" i="1"/>
  <c r="N582" i="1"/>
  <c r="N583" i="1"/>
  <c r="N1157" i="1"/>
  <c r="AD582" i="1"/>
  <c r="AD583" i="1"/>
  <c r="AD1157" i="1"/>
  <c r="AE582" i="1"/>
  <c r="AE583" i="1"/>
  <c r="AE1157" i="1"/>
  <c r="AK582" i="1"/>
  <c r="AK583" i="1"/>
  <c r="AK1157" i="1"/>
  <c r="P308" i="1"/>
  <c r="N385" i="1"/>
  <c r="P385" i="1"/>
  <c r="N877" i="1"/>
  <c r="P877" i="1"/>
  <c r="N1997" i="1"/>
  <c r="P1997" i="1"/>
  <c r="P2607" i="1"/>
  <c r="P2608" i="1"/>
  <c r="N2607" i="1"/>
  <c r="N2608" i="1"/>
  <c r="P307" i="1"/>
  <c r="N384" i="1"/>
  <c r="P384" i="1"/>
  <c r="N876" i="1"/>
  <c r="P876" i="1"/>
  <c r="N1995" i="1"/>
  <c r="P1995" i="1"/>
  <c r="N565" i="1"/>
  <c r="N383" i="1"/>
  <c r="P383" i="1"/>
  <c r="N2493" i="1"/>
  <c r="P2493" i="1"/>
  <c r="P306" i="1"/>
  <c r="P1994" i="1"/>
  <c r="N1994" i="1"/>
  <c r="N2610" i="1"/>
  <c r="P585" i="1"/>
  <c r="P584" i="1"/>
  <c r="N584" i="1"/>
  <c r="N585" i="1"/>
  <c r="N1839" i="1"/>
  <c r="P1839" i="1"/>
  <c r="N1476" i="1"/>
  <c r="P1476" i="1"/>
  <c r="P305" i="1"/>
  <c r="N382" i="1"/>
  <c r="P382" i="1"/>
  <c r="N2491" i="1"/>
  <c r="P2491" i="1"/>
  <c r="N528" i="1"/>
  <c r="N109" i="1"/>
  <c r="P109" i="1"/>
  <c r="N1225" i="1"/>
  <c r="P1225" i="1"/>
  <c r="P97" i="1"/>
  <c r="N97" i="1"/>
  <c r="P60" i="1"/>
  <c r="N60" i="1"/>
  <c r="P59" i="1"/>
  <c r="N59" i="1"/>
  <c r="P58" i="1"/>
  <c r="N58" i="1"/>
  <c r="P57" i="1"/>
  <c r="N57" i="1"/>
  <c r="P56" i="1"/>
  <c r="N56" i="1"/>
  <c r="P304" i="1"/>
  <c r="N2294" i="1"/>
  <c r="P2294" i="1"/>
  <c r="N380" i="1"/>
  <c r="P380" i="1"/>
  <c r="N527" i="1"/>
  <c r="N613" i="1"/>
  <c r="P613" i="1"/>
  <c r="N525" i="1"/>
  <c r="P2291" i="1"/>
  <c r="N2291" i="1"/>
  <c r="N379" i="1"/>
  <c r="P379" i="1"/>
  <c r="P302" i="1"/>
  <c r="P398" i="1"/>
  <c r="N398" i="1"/>
  <c r="P2606" i="1"/>
  <c r="N2606" i="1"/>
  <c r="N1837" i="1"/>
  <c r="P1837" i="1"/>
  <c r="N152" i="1"/>
  <c r="P301" i="1"/>
  <c r="N2289" i="1"/>
  <c r="P2289" i="1"/>
  <c r="N378" i="1"/>
  <c r="P378" i="1"/>
  <c r="P1188" i="1"/>
  <c r="N1188" i="1"/>
  <c r="P612" i="1"/>
  <c r="N612" i="1"/>
  <c r="N526" i="1"/>
  <c r="P300" i="1"/>
  <c r="P2489" i="1"/>
  <c r="N2489" i="1"/>
  <c r="P377" i="1"/>
  <c r="N377" i="1"/>
  <c r="P2288" i="1"/>
  <c r="N2288" i="1"/>
  <c r="N1187" i="1"/>
  <c r="P1187" i="1"/>
  <c r="P299" i="1"/>
  <c r="N376" i="1"/>
  <c r="P376" i="1"/>
  <c r="N381" i="1"/>
  <c r="P381" i="1"/>
  <c r="N387" i="1"/>
  <c r="P387" i="1"/>
  <c r="N392" i="1"/>
  <c r="P392" i="1"/>
  <c r="N1719" i="1"/>
  <c r="P1719" i="1"/>
  <c r="N1378" i="1"/>
  <c r="P1378" i="1"/>
  <c r="N397" i="1"/>
  <c r="P397" i="1"/>
  <c r="P298" i="1"/>
  <c r="N1186" i="1"/>
  <c r="P1186" i="1"/>
  <c r="N1743" i="1"/>
  <c r="P1743" i="1"/>
  <c r="N1787" i="1"/>
  <c r="P1787" i="1"/>
  <c r="N1789" i="1"/>
  <c r="P1789" i="1"/>
  <c r="N1791" i="1"/>
  <c r="P1791" i="1"/>
  <c r="N1793" i="1"/>
  <c r="P1793" i="1"/>
  <c r="P296" i="1"/>
  <c r="N1184" i="1"/>
  <c r="P1184" i="1"/>
  <c r="P1281" i="1"/>
  <c r="N1281" i="1"/>
  <c r="P1374" i="1"/>
  <c r="N1374" i="1"/>
  <c r="P1499" i="1"/>
  <c r="N1499" i="1"/>
  <c r="P1279" i="1"/>
  <c r="N1279" i="1"/>
  <c r="P1693" i="1"/>
  <c r="N1693" i="1"/>
  <c r="P1835" i="1"/>
  <c r="N1835" i="1"/>
  <c r="P2366" i="1"/>
  <c r="N2366" i="1"/>
  <c r="P2285" i="1"/>
  <c r="N2285" i="1"/>
  <c r="P2133" i="1"/>
  <c r="N2133" i="1"/>
  <c r="N1176" i="1"/>
  <c r="P1176" i="1"/>
  <c r="N1181" i="1"/>
  <c r="P1181" i="1"/>
  <c r="S1181" i="1"/>
  <c r="P1180" i="1"/>
  <c r="N1180" i="1"/>
  <c r="P1179" i="1"/>
  <c r="N1179" i="1"/>
  <c r="N1177" i="1"/>
  <c r="P1177" i="1"/>
  <c r="N2283" i="1"/>
  <c r="P2283" i="1"/>
  <c r="P292" i="1"/>
  <c r="P293" i="1"/>
  <c r="N2132" i="1"/>
  <c r="P2132" i="1"/>
  <c r="N2129" i="1"/>
  <c r="P2129" i="1"/>
  <c r="N2284" i="1"/>
  <c r="P2284" i="1"/>
  <c r="N1178" i="1"/>
  <c r="P1178" i="1"/>
  <c r="S290" i="1"/>
  <c r="P290" i="1"/>
  <c r="S291" i="1"/>
  <c r="P291" i="1"/>
  <c r="S1189" i="1"/>
  <c r="N1189" i="1"/>
  <c r="P1189" i="1"/>
  <c r="S1175" i="1"/>
  <c r="N1175" i="1"/>
  <c r="P1175" i="1"/>
  <c r="N1692" i="1"/>
  <c r="P1692" i="1"/>
  <c r="S1692" i="1"/>
  <c r="N1834" i="1"/>
  <c r="P1834" i="1"/>
  <c r="S1834" i="1"/>
  <c r="N1277" i="1"/>
  <c r="P1277" i="1"/>
  <c r="S1277" i="1"/>
  <c r="N1342" i="1"/>
  <c r="P1342" i="1"/>
  <c r="S1342" i="1"/>
  <c r="N1377" i="1"/>
  <c r="P1377" i="1"/>
  <c r="S1377" i="1"/>
  <c r="N1399" i="1"/>
  <c r="P1399" i="1"/>
  <c r="S1399" i="1"/>
  <c r="N1469" i="1"/>
  <c r="P1469" i="1"/>
  <c r="S1469" i="1"/>
  <c r="N1485" i="1"/>
  <c r="P1485" i="1"/>
  <c r="S1485" i="1"/>
  <c r="N2282" i="1"/>
  <c r="P2282" i="1"/>
  <c r="N2486" i="1"/>
  <c r="P2486" i="1"/>
  <c r="N1224" i="1"/>
  <c r="S1224" i="1"/>
  <c r="N700" i="1"/>
  <c r="P700" i="1"/>
  <c r="N2487" i="1"/>
  <c r="P2487" i="1"/>
  <c r="S1991" i="1"/>
  <c r="P1991" i="1"/>
  <c r="N1991" i="1"/>
  <c r="N699" i="1"/>
  <c r="P699" i="1"/>
  <c r="P2481" i="1"/>
  <c r="N2481" i="1"/>
  <c r="N1990" i="1"/>
  <c r="P1990" i="1"/>
  <c r="S1990" i="1"/>
  <c r="N2479" i="1"/>
  <c r="P2479" i="1"/>
  <c r="P289" i="1"/>
  <c r="S289" i="1"/>
  <c r="P201" i="1"/>
  <c r="N201" i="1"/>
  <c r="N1742" i="1"/>
  <c r="P1742" i="1"/>
  <c r="N2478" i="1"/>
  <c r="P2478" i="1"/>
  <c r="N2600" i="1"/>
  <c r="P2600" i="1"/>
  <c r="N2477" i="1"/>
  <c r="P2477" i="1"/>
  <c r="N2279" i="1"/>
  <c r="P2279" i="1"/>
  <c r="N2599" i="1"/>
  <c r="P2599" i="1"/>
  <c r="S875" i="1"/>
  <c r="N875" i="1"/>
  <c r="P875" i="1"/>
  <c r="S1989" i="1"/>
  <c r="N1989" i="1"/>
  <c r="P1989" i="1"/>
  <c r="N449" i="1"/>
  <c r="P449" i="1"/>
  <c r="S487" i="1"/>
  <c r="N487" i="1"/>
  <c r="P487" i="1"/>
  <c r="N1988" i="1"/>
  <c r="P1988" i="1"/>
  <c r="S1988" i="1"/>
  <c r="N485" i="1"/>
  <c r="P485" i="1"/>
  <c r="S485" i="1"/>
  <c r="N448" i="1"/>
  <c r="P448" i="1"/>
  <c r="S1274" i="1"/>
  <c r="N1274" i="1"/>
  <c r="P1274" i="1"/>
  <c r="S1986" i="1"/>
  <c r="N1986" i="1"/>
  <c r="P1986" i="1"/>
  <c r="N2278" i="1"/>
  <c r="P2278" i="1"/>
  <c r="P288" i="1"/>
  <c r="S288" i="1"/>
  <c r="P287" i="1"/>
  <c r="S287" i="1"/>
  <c r="N447" i="1"/>
  <c r="P447" i="1"/>
  <c r="N446" i="1"/>
  <c r="P446" i="1"/>
  <c r="S483" i="1"/>
  <c r="N483" i="1"/>
  <c r="P483" i="1"/>
  <c r="S484" i="1"/>
  <c r="N484" i="1"/>
  <c r="P484" i="1"/>
  <c r="N1376" i="1"/>
  <c r="P1376" i="1"/>
  <c r="S1376" i="1"/>
  <c r="S614" i="1"/>
  <c r="N614" i="1"/>
  <c r="P614" i="1"/>
  <c r="S488" i="1"/>
  <c r="N488" i="1"/>
  <c r="P488" i="1"/>
  <c r="S1223" i="1"/>
  <c r="N1223" i="1"/>
  <c r="N482" i="1"/>
  <c r="P482" i="1"/>
  <c r="S482" i="1"/>
  <c r="N2275" i="1"/>
  <c r="P2275" i="1"/>
  <c r="N445" i="1"/>
  <c r="P445" i="1"/>
  <c r="N1706" i="1"/>
  <c r="P1706" i="1"/>
  <c r="S1706" i="1"/>
  <c r="N1704" i="1"/>
  <c r="P1704" i="1"/>
  <c r="S1704" i="1"/>
  <c r="N1341" i="1"/>
  <c r="P1341" i="1"/>
  <c r="S1341" i="1"/>
  <c r="N1514" i="1"/>
  <c r="P1514" i="1"/>
  <c r="S1514" i="1"/>
  <c r="N1489" i="1"/>
  <c r="P1489" i="1"/>
  <c r="S1489" i="1"/>
  <c r="P286" i="1"/>
  <c r="S286" i="1"/>
  <c r="P303" i="1"/>
  <c r="S303" i="1"/>
  <c r="N2274" i="1"/>
  <c r="P2274" i="1"/>
  <c r="N2273" i="1"/>
  <c r="P2273" i="1"/>
  <c r="N444" i="1"/>
  <c r="P444" i="1"/>
  <c r="N2270" i="1"/>
  <c r="P2270" i="1"/>
  <c r="N2475" i="1"/>
  <c r="P2475" i="1"/>
  <c r="N1219" i="1"/>
  <c r="S1219" i="1"/>
  <c r="N563" i="1"/>
  <c r="S2632" i="1"/>
  <c r="P2632" i="1"/>
  <c r="N2632" i="1"/>
  <c r="N1221" i="1"/>
  <c r="S1221" i="1"/>
  <c r="N522" i="1"/>
  <c r="N2474" i="1"/>
  <c r="P2474" i="1"/>
  <c r="N2597" i="1"/>
  <c r="P2597" i="1"/>
  <c r="N521" i="1"/>
  <c r="S873" i="1"/>
  <c r="N873" i="1"/>
  <c r="P873" i="1"/>
  <c r="N562" i="1"/>
  <c r="N561" i="1"/>
  <c r="S871" i="1"/>
  <c r="N871" i="1"/>
  <c r="P871" i="1"/>
  <c r="N2269" i="1"/>
  <c r="P2269" i="1"/>
  <c r="N519" i="1"/>
  <c r="S870" i="1"/>
  <c r="N870" i="1"/>
  <c r="P870" i="1"/>
  <c r="N518" i="1"/>
  <c r="N2473" i="1"/>
  <c r="P2473" i="1"/>
  <c r="N560" i="1"/>
  <c r="N869" i="1"/>
  <c r="P869" i="1"/>
  <c r="S869" i="1"/>
  <c r="N2268" i="1"/>
  <c r="P2268" i="1"/>
  <c r="N2471" i="1"/>
  <c r="P2471" i="1"/>
  <c r="N559" i="1"/>
  <c r="N517" i="1"/>
  <c r="P758" i="1"/>
  <c r="N758" i="1"/>
  <c r="N1272" i="1"/>
  <c r="P1272" i="1"/>
  <c r="S1272" i="1"/>
  <c r="N1688" i="1"/>
  <c r="P1688" i="1"/>
  <c r="S1688" i="1"/>
  <c r="N1833" i="1"/>
  <c r="P1833" i="1"/>
  <c r="S1833" i="1"/>
  <c r="N558" i="1"/>
  <c r="N2267" i="1"/>
  <c r="P2267" i="1"/>
  <c r="N2266" i="1"/>
  <c r="P2266" i="1"/>
  <c r="S865" i="1"/>
  <c r="N865" i="1"/>
  <c r="P865" i="1"/>
  <c r="N2596" i="1"/>
  <c r="P2596" i="1"/>
  <c r="N556" i="1"/>
  <c r="P757" i="1"/>
  <c r="N757" i="1"/>
  <c r="S148" i="1"/>
  <c r="S149" i="1"/>
  <c r="N520" i="1"/>
  <c r="S283" i="1"/>
  <c r="P283" i="1"/>
  <c r="P2594" i="1"/>
  <c r="N2594" i="1"/>
  <c r="P2470" i="1"/>
  <c r="N2470" i="1"/>
  <c r="P2264" i="1"/>
  <c r="N2264" i="1"/>
  <c r="P2126" i="1"/>
  <c r="N2126" i="1"/>
  <c r="P2124" i="1"/>
  <c r="N2124" i="1"/>
  <c r="N555" i="1"/>
  <c r="P1585" i="1"/>
  <c r="N1585" i="1"/>
  <c r="N1643" i="1"/>
  <c r="P1643" i="1"/>
  <c r="N1741" i="1"/>
  <c r="P1741" i="1"/>
  <c r="N1466" i="1"/>
  <c r="P1466" i="1"/>
  <c r="S1466" i="1"/>
  <c r="N1270" i="1"/>
  <c r="P1270" i="1"/>
  <c r="S1270" i="1"/>
  <c r="N1786" i="1"/>
  <c r="P1786" i="1"/>
  <c r="S1786" i="1"/>
  <c r="N1443" i="1"/>
  <c r="P1443" i="1"/>
  <c r="N1831" i="1"/>
  <c r="P1831" i="1"/>
  <c r="S1831" i="1"/>
  <c r="N553" i="1"/>
  <c r="N2593" i="1"/>
  <c r="P2593" i="1"/>
  <c r="P202" i="1"/>
  <c r="P203" i="1"/>
  <c r="P205" i="1"/>
  <c r="P204" i="1"/>
  <c r="P198" i="1"/>
  <c r="N198" i="1"/>
  <c r="N202" i="1"/>
  <c r="N203" i="1"/>
  <c r="N205" i="1"/>
  <c r="N204" i="1"/>
  <c r="N2592" i="1"/>
  <c r="P2592" i="1"/>
  <c r="N2469" i="1"/>
  <c r="P2469" i="1"/>
  <c r="N2121" i="1"/>
  <c r="P2121" i="1"/>
  <c r="N2262" i="1"/>
  <c r="P2262" i="1"/>
  <c r="N2263" i="1"/>
  <c r="P2263" i="1"/>
  <c r="N552" i="1"/>
  <c r="N551" i="1"/>
  <c r="S1222" i="1"/>
  <c r="N1222" i="1"/>
  <c r="N550" i="1"/>
  <c r="N2261" i="1"/>
  <c r="P2261" i="1"/>
  <c r="N2591" i="1"/>
  <c r="P2591" i="1"/>
  <c r="N2120" i="1"/>
  <c r="P2120" i="1"/>
  <c r="N1268" i="1"/>
  <c r="P1268" i="1"/>
  <c r="S1268" i="1"/>
  <c r="N1830" i="1"/>
  <c r="P1830" i="1"/>
  <c r="S1830" i="1"/>
  <c r="N1805" i="1"/>
  <c r="P1805" i="1"/>
  <c r="S1805" i="1"/>
  <c r="N1369" i="1"/>
  <c r="P1369" i="1"/>
  <c r="S1369" i="1"/>
  <c r="S1286" i="1"/>
  <c r="P1286" i="1"/>
  <c r="N1286" i="1"/>
  <c r="S1289" i="1"/>
  <c r="N1289" i="1"/>
  <c r="S1284" i="1"/>
  <c r="P1284" i="1"/>
  <c r="N1284" i="1"/>
  <c r="N549" i="1"/>
  <c r="P760" i="1"/>
  <c r="N760" i="1"/>
  <c r="P759" i="1"/>
  <c r="N759" i="1"/>
  <c r="S728" i="1"/>
  <c r="P728" i="1"/>
  <c r="N728" i="1"/>
  <c r="S727" i="1"/>
  <c r="P727" i="1"/>
  <c r="N727" i="1"/>
  <c r="S726" i="1"/>
  <c r="P726" i="1"/>
  <c r="N726" i="1"/>
  <c r="P705" i="1"/>
  <c r="N705" i="1"/>
  <c r="P704" i="1"/>
  <c r="N704" i="1"/>
  <c r="P703" i="1"/>
  <c r="N703" i="1"/>
  <c r="P702" i="1"/>
  <c r="N702" i="1"/>
  <c r="S284" i="1"/>
  <c r="P284" i="1"/>
  <c r="P2118" i="1"/>
  <c r="N2118" i="1"/>
  <c r="S1984" i="1"/>
  <c r="P1984" i="1"/>
  <c r="N1984" i="1"/>
  <c r="P2590" i="1"/>
  <c r="N2590" i="1"/>
  <c r="N548" i="1"/>
  <c r="P2621" i="1"/>
  <c r="P2619" i="1"/>
  <c r="P2589" i="1"/>
  <c r="N2589" i="1"/>
  <c r="P697" i="1"/>
  <c r="N697" i="1"/>
  <c r="N557" i="1"/>
  <c r="N547" i="1"/>
  <c r="P2117" i="1"/>
  <c r="N2117" i="1"/>
  <c r="S1983" i="1"/>
  <c r="P1983" i="1"/>
  <c r="N1983" i="1"/>
  <c r="N2588" i="1"/>
  <c r="P2588" i="1"/>
  <c r="N2116" i="1"/>
  <c r="P2116" i="1"/>
  <c r="N1267" i="1"/>
  <c r="P1267" i="1"/>
  <c r="S1267" i="1"/>
  <c r="N1266" i="1"/>
  <c r="P1266" i="1"/>
  <c r="S1266" i="1"/>
  <c r="N1686" i="1"/>
  <c r="P1686" i="1"/>
  <c r="S1686" i="1"/>
  <c r="N1339" i="1"/>
  <c r="P1339" i="1"/>
  <c r="S1339" i="1"/>
  <c r="N1511" i="1"/>
  <c r="P1511" i="1"/>
  <c r="S1511" i="1"/>
  <c r="N1703" i="1"/>
  <c r="P1703" i="1"/>
  <c r="S1703" i="1"/>
  <c r="S571" i="1"/>
  <c r="P176" i="1"/>
  <c r="N176" i="1"/>
  <c r="P175" i="1"/>
  <c r="N175" i="1"/>
  <c r="P174" i="1"/>
  <c r="N174" i="1"/>
  <c r="P173" i="1"/>
  <c r="N173" i="1"/>
  <c r="N2587" i="1"/>
  <c r="P2587" i="1"/>
  <c r="P698" i="1"/>
  <c r="N698" i="1"/>
  <c r="S489" i="1"/>
  <c r="P489" i="1"/>
  <c r="N489" i="1"/>
  <c r="S486" i="1"/>
  <c r="P486" i="1"/>
  <c r="N486" i="1"/>
  <c r="P451" i="1"/>
  <c r="N451" i="1"/>
  <c r="P450" i="1"/>
  <c r="N450" i="1"/>
  <c r="N567" i="1"/>
  <c r="N566" i="1"/>
  <c r="N564" i="1"/>
  <c r="N530" i="1"/>
  <c r="N529" i="1"/>
  <c r="N524" i="1"/>
  <c r="N523" i="1"/>
  <c r="N867" i="1"/>
  <c r="P867" i="1"/>
  <c r="S867" i="1"/>
  <c r="N868" i="1"/>
  <c r="P868" i="1"/>
  <c r="S868" i="1"/>
  <c r="N872" i="1"/>
  <c r="P872" i="1"/>
  <c r="S872" i="1"/>
  <c r="N2586" i="1"/>
  <c r="P2586" i="1"/>
  <c r="N1979" i="1"/>
  <c r="P1979" i="1"/>
  <c r="S1979" i="1"/>
  <c r="N701" i="1"/>
  <c r="P701" i="1"/>
  <c r="N1978" i="1"/>
  <c r="P1978" i="1"/>
  <c r="S1978" i="1"/>
  <c r="N2584" i="1"/>
  <c r="P2584" i="1"/>
  <c r="N2583" i="1"/>
  <c r="P2583" i="1"/>
  <c r="N860" i="1"/>
  <c r="P860" i="1"/>
  <c r="S860" i="1"/>
  <c r="N374" i="1"/>
  <c r="P374" i="1"/>
  <c r="S374" i="1"/>
  <c r="P282" i="1"/>
  <c r="S282" i="1"/>
  <c r="P178" i="1"/>
  <c r="N178" i="1"/>
  <c r="P177" i="1"/>
  <c r="N177" i="1"/>
  <c r="P172" i="1"/>
  <c r="N172" i="1"/>
  <c r="P171" i="1"/>
  <c r="N171" i="1"/>
  <c r="P170" i="1"/>
  <c r="N170" i="1"/>
  <c r="P169" i="1"/>
  <c r="N169" i="1"/>
  <c r="P164" i="1"/>
  <c r="N164" i="1"/>
  <c r="P155" i="1"/>
  <c r="N155" i="1"/>
  <c r="N156" i="1"/>
  <c r="P156" i="1"/>
  <c r="N157" i="1"/>
  <c r="N163" i="1"/>
  <c r="P157" i="1"/>
  <c r="P163" i="1"/>
  <c r="N165" i="1"/>
  <c r="N166" i="1"/>
  <c r="P165" i="1"/>
  <c r="P166" i="1"/>
  <c r="N167" i="1"/>
  <c r="N168" i="1"/>
  <c r="P167" i="1"/>
  <c r="P168" i="1"/>
  <c r="N179" i="1"/>
  <c r="P179" i="1"/>
  <c r="N180" i="1"/>
  <c r="P180" i="1"/>
  <c r="N199" i="1"/>
  <c r="P199" i="1"/>
  <c r="N200" i="1"/>
  <c r="P200" i="1"/>
  <c r="P189" i="1"/>
  <c r="N189" i="1"/>
  <c r="N182" i="1"/>
  <c r="P182" i="1"/>
  <c r="N191" i="1"/>
  <c r="N192" i="1"/>
  <c r="P191" i="1"/>
  <c r="P192" i="1"/>
  <c r="N193" i="1"/>
  <c r="N194" i="1"/>
  <c r="P193" i="1"/>
  <c r="P194" i="1"/>
  <c r="N197" i="1"/>
  <c r="P197" i="1"/>
  <c r="N1977" i="1"/>
  <c r="P1977" i="1"/>
  <c r="S1977" i="1"/>
  <c r="N1645" i="1"/>
  <c r="P1645" i="1"/>
  <c r="N859" i="1"/>
  <c r="P859" i="1"/>
  <c r="S859" i="1"/>
  <c r="N2582" i="1"/>
  <c r="P2582" i="1"/>
  <c r="N1976" i="1"/>
  <c r="P1976" i="1"/>
  <c r="S1976" i="1"/>
  <c r="N1218" i="1"/>
  <c r="S1218" i="1"/>
  <c r="N695" i="1"/>
  <c r="P695" i="1"/>
  <c r="N513" i="1"/>
  <c r="N1220" i="1"/>
  <c r="S1220" i="1"/>
  <c r="S96" i="1"/>
  <c r="P96" i="1"/>
  <c r="N96" i="1"/>
  <c r="S95" i="1"/>
  <c r="P95" i="1"/>
  <c r="N95" i="1"/>
  <c r="S108" i="1"/>
  <c r="P108" i="1"/>
  <c r="N108" i="1"/>
  <c r="S88" i="1"/>
  <c r="P88" i="1"/>
  <c r="N88" i="1"/>
  <c r="S87" i="1"/>
  <c r="P87" i="1"/>
  <c r="N87" i="1"/>
  <c r="S86" i="1"/>
  <c r="P86" i="1"/>
  <c r="N86" i="1"/>
  <c r="S45" i="1"/>
  <c r="P45" i="1"/>
  <c r="N45" i="1"/>
  <c r="S44" i="1"/>
  <c r="P44" i="1"/>
  <c r="N44" i="1"/>
  <c r="S43" i="1"/>
  <c r="P43" i="1"/>
  <c r="N43" i="1"/>
  <c r="S42" i="1"/>
  <c r="P42" i="1"/>
  <c r="N42" i="1"/>
  <c r="S46" i="1"/>
  <c r="P46" i="1"/>
  <c r="N46" i="1"/>
  <c r="S41" i="1"/>
  <c r="P41" i="1"/>
  <c r="N41" i="1"/>
  <c r="N2581" i="1"/>
  <c r="P2581" i="1"/>
  <c r="S863" i="1"/>
  <c r="N863" i="1"/>
  <c r="P863" i="1"/>
  <c r="S1382" i="1"/>
  <c r="P1382" i="1"/>
  <c r="N1382" i="1"/>
  <c r="S1468" i="1"/>
  <c r="P1468" i="1"/>
  <c r="N1468" i="1"/>
  <c r="S1844" i="1"/>
  <c r="P1844" i="1"/>
  <c r="N1844" i="1"/>
  <c r="S1843" i="1"/>
  <c r="P1843" i="1"/>
  <c r="N1843" i="1"/>
  <c r="S1842" i="1"/>
  <c r="P1842" i="1"/>
  <c r="N1842" i="1"/>
  <c r="N1841" i="1"/>
  <c r="P1841" i="1"/>
  <c r="S1841" i="1"/>
  <c r="N1856" i="1"/>
  <c r="P1856" i="1"/>
  <c r="S1856" i="1"/>
  <c r="S1790" i="1"/>
  <c r="P1790" i="1"/>
  <c r="N1790" i="1"/>
  <c r="S1522" i="1"/>
  <c r="P1522" i="1"/>
  <c r="N1522" i="1"/>
  <c r="N1518" i="1"/>
  <c r="P1518" i="1"/>
  <c r="S1518" i="1"/>
  <c r="N1740" i="1"/>
  <c r="P1740" i="1"/>
  <c r="S1397" i="1"/>
  <c r="P1397" i="1"/>
  <c r="N1397" i="1"/>
  <c r="S1346" i="1"/>
  <c r="S1297" i="1"/>
  <c r="N1297" i="1"/>
  <c r="N1294" i="1"/>
  <c r="P1294" i="1"/>
  <c r="S1294" i="1"/>
  <c r="N1865" i="1"/>
  <c r="P1865" i="1"/>
  <c r="S1865" i="1"/>
  <c r="S862" i="1"/>
  <c r="N862" i="1"/>
  <c r="P862" i="1"/>
  <c r="S1974" i="1"/>
  <c r="N1974" i="1"/>
  <c r="P1974" i="1"/>
  <c r="N761" i="1"/>
  <c r="P761" i="1"/>
  <c r="N554" i="1"/>
  <c r="S153" i="1"/>
  <c r="S154" i="1"/>
  <c r="S10" i="1"/>
  <c r="S11" i="1"/>
  <c r="S751" i="1"/>
  <c r="S753" i="1"/>
  <c r="S752" i="1"/>
  <c r="S754" i="1"/>
  <c r="S755" i="1"/>
  <c r="S756" i="1"/>
  <c r="N752" i="1"/>
  <c r="N754" i="1"/>
  <c r="P858" i="1"/>
  <c r="S858" i="1"/>
  <c r="P1971" i="1"/>
  <c r="P1970" i="1"/>
  <c r="N542" i="1"/>
  <c r="N543" i="1"/>
  <c r="N544" i="1"/>
  <c r="S369" i="1"/>
  <c r="S394" i="1"/>
  <c r="S393" i="1"/>
  <c r="S375" i="1"/>
  <c r="S373" i="1"/>
  <c r="S372" i="1"/>
  <c r="S371" i="1"/>
  <c r="S370" i="1"/>
  <c r="S368" i="1"/>
  <c r="S367" i="1"/>
  <c r="S366" i="1"/>
  <c r="S365" i="1"/>
  <c r="S363" i="1"/>
  <c r="S362" i="1"/>
  <c r="S361" i="1"/>
  <c r="S360" i="1"/>
  <c r="S364"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P366" i="1"/>
  <c r="P365" i="1"/>
  <c r="P363" i="1"/>
  <c r="P362" i="1"/>
  <c r="P361" i="1"/>
  <c r="P372" i="1"/>
  <c r="P371" i="1"/>
  <c r="P370" i="1"/>
  <c r="P368" i="1"/>
  <c r="P367" i="1"/>
  <c r="N1340" i="1"/>
  <c r="P1340" i="1"/>
  <c r="S1340" i="1"/>
  <c r="N1783" i="1"/>
  <c r="P1783" i="1"/>
  <c r="S1783" i="1"/>
  <c r="N516" i="1"/>
  <c r="N2579" i="1"/>
  <c r="P2579" i="1"/>
  <c r="N864" i="1"/>
  <c r="P864" i="1"/>
  <c r="S864" i="1"/>
  <c r="P756" i="1"/>
  <c r="P755" i="1"/>
  <c r="P754" i="1"/>
  <c r="P752" i="1"/>
  <c r="P753" i="1"/>
  <c r="P751" i="1"/>
  <c r="P603" i="1"/>
  <c r="P605" i="1"/>
  <c r="P604" i="1"/>
  <c r="P602" i="1"/>
  <c r="N756" i="1"/>
  <c r="N755" i="1"/>
  <c r="N858" i="1"/>
  <c r="N1971" i="1"/>
  <c r="N2577" i="1"/>
  <c r="P2577" i="1"/>
  <c r="N857" i="1"/>
  <c r="P857" i="1"/>
  <c r="S857" i="1"/>
  <c r="N1970" i="1"/>
  <c r="P396" i="1"/>
  <c r="N396" i="1"/>
  <c r="N372" i="1"/>
  <c r="N371" i="1"/>
  <c r="N2259" i="1"/>
  <c r="P2259" i="1"/>
  <c r="N545" i="1"/>
  <c r="N725" i="1"/>
  <c r="P725" i="1"/>
  <c r="S725" i="1"/>
  <c r="N1368" i="1"/>
  <c r="P1368" i="1"/>
  <c r="S1368" i="1"/>
  <c r="N1869" i="1"/>
  <c r="P1869" i="1"/>
  <c r="S1869" i="1"/>
  <c r="N1761" i="1"/>
  <c r="P1761" i="1"/>
  <c r="S1761" i="1"/>
  <c r="N1521" i="1"/>
  <c r="P1521" i="1"/>
  <c r="S1521" i="1"/>
  <c r="N1396" i="1"/>
  <c r="P1396" i="1"/>
  <c r="S1396" i="1"/>
  <c r="N1442" i="1"/>
  <c r="P1442" i="1"/>
  <c r="N1405" i="1"/>
  <c r="P1405" i="1"/>
  <c r="N1337" i="1"/>
  <c r="P1337" i="1"/>
  <c r="S1337" i="1"/>
  <c r="N546" i="1"/>
  <c r="S1969" i="1"/>
  <c r="N1969" i="1"/>
  <c r="P1969" i="1"/>
  <c r="S2573" i="1"/>
  <c r="N2573" i="1"/>
  <c r="P2573" i="1"/>
  <c r="N1121" i="1"/>
  <c r="P1121" i="1"/>
  <c r="N958" i="1"/>
  <c r="P958" i="1"/>
  <c r="N722" i="1"/>
  <c r="P722" i="1"/>
  <c r="S722" i="1"/>
  <c r="N2464" i="1"/>
  <c r="P2464" i="1"/>
  <c r="S2464" i="1"/>
  <c r="N10" i="1"/>
  <c r="P10" i="1"/>
  <c r="N2620" i="1"/>
  <c r="P2620" i="1"/>
  <c r="N720" i="1"/>
  <c r="P720" i="1"/>
  <c r="S720" i="1"/>
  <c r="N2618" i="1"/>
  <c r="P2618" i="1"/>
  <c r="N694" i="1"/>
  <c r="P694" i="1"/>
  <c r="N2621" i="1"/>
  <c r="N153" i="1"/>
  <c r="P153" i="1"/>
  <c r="N853" i="1"/>
  <c r="P853" i="1"/>
  <c r="S853" i="1"/>
  <c r="P1441" i="1"/>
  <c r="S1409" i="1"/>
  <c r="P1404" i="1"/>
  <c r="P279" i="1"/>
  <c r="N370" i="1"/>
  <c r="N2570" i="1"/>
  <c r="P2570" i="1"/>
  <c r="N2571" i="1"/>
  <c r="P2571" i="1"/>
  <c r="S2571" i="1"/>
  <c r="N1404" i="1"/>
  <c r="N1441" i="1"/>
  <c r="N571" i="1"/>
  <c r="N2619" i="1"/>
  <c r="N154" i="1"/>
  <c r="P154" i="1"/>
  <c r="N11" i="1"/>
  <c r="P11" i="1"/>
  <c r="N1580" i="1"/>
  <c r="P1580" i="1"/>
  <c r="N1667" i="1"/>
  <c r="P1667" i="1"/>
  <c r="N723" i="1"/>
  <c r="P723" i="1"/>
  <c r="S723" i="1"/>
  <c r="N2465" i="1"/>
  <c r="P2465" i="1"/>
  <c r="S2465" i="1"/>
  <c r="N854" i="1"/>
  <c r="P854" i="1"/>
  <c r="S854" i="1"/>
  <c r="N753" i="1"/>
  <c r="N751" i="1"/>
  <c r="N2258" i="1"/>
  <c r="P2258" i="1"/>
  <c r="N2257" i="1"/>
  <c r="P2257" i="1"/>
  <c r="N2255" i="1"/>
  <c r="P2255" i="1"/>
  <c r="N2364" i="1"/>
  <c r="P2364" i="1"/>
  <c r="N2463" i="1"/>
  <c r="P2463" i="1"/>
  <c r="S2463" i="1"/>
  <c r="N2468" i="1"/>
  <c r="P2468" i="1"/>
  <c r="N512" i="1"/>
  <c r="N511" i="1"/>
  <c r="N1463" i="1"/>
  <c r="P1463" i="1"/>
  <c r="S1463" i="1"/>
  <c r="N1782" i="1"/>
  <c r="P1782" i="1"/>
  <c r="S1782" i="1"/>
  <c r="N1335" i="1"/>
  <c r="P1335" i="1"/>
  <c r="S1335" i="1"/>
  <c r="N1367" i="1"/>
  <c r="P1367" i="1"/>
  <c r="S1367" i="1"/>
  <c r="N1264" i="1"/>
  <c r="P1264" i="1"/>
  <c r="S1264" i="1"/>
  <c r="N1804" i="1"/>
  <c r="P1804" i="1"/>
  <c r="S1804" i="1"/>
  <c r="N438" i="1"/>
  <c r="P438" i="1"/>
  <c r="N1217" i="1"/>
  <c r="S1217" i="1"/>
  <c r="N2252" i="1"/>
  <c r="P2252" i="1"/>
  <c r="S2252" i="1"/>
  <c r="N2113" i="1"/>
  <c r="P2113" i="1"/>
  <c r="N2251" i="1"/>
  <c r="P2251" i="1"/>
  <c r="S2251" i="1"/>
  <c r="N2467" i="1"/>
  <c r="P2467" i="1"/>
  <c r="N1966" i="1"/>
  <c r="P1966" i="1"/>
  <c r="S1966" i="1"/>
  <c r="N437" i="1"/>
  <c r="P437" i="1"/>
  <c r="N481" i="1"/>
  <c r="P481" i="1"/>
  <c r="N439" i="1"/>
  <c r="P439" i="1"/>
  <c r="N479" i="1"/>
  <c r="P479" i="1"/>
  <c r="N2250" i="1"/>
  <c r="P2250" i="1"/>
  <c r="S2250" i="1"/>
  <c r="N2466" i="1"/>
  <c r="P2466" i="1"/>
  <c r="N1965" i="1"/>
  <c r="P1965" i="1"/>
  <c r="S1965" i="1"/>
  <c r="P478" i="1"/>
  <c r="N478" i="1"/>
  <c r="P435" i="1"/>
  <c r="N435" i="1"/>
  <c r="N428" i="1"/>
  <c r="S428" i="1"/>
  <c r="P1944" i="1"/>
  <c r="S151" i="1"/>
  <c r="N151" i="1"/>
  <c r="N1652" i="1"/>
  <c r="P1652" i="1"/>
  <c r="N1653" i="1"/>
  <c r="P1653" i="1"/>
  <c r="N1867" i="1"/>
  <c r="P1867" i="1"/>
  <c r="S1867" i="1"/>
  <c r="N1502" i="1"/>
  <c r="P1502" i="1"/>
  <c r="S1502" i="1"/>
  <c r="N1483" i="1"/>
  <c r="P1483" i="1"/>
  <c r="S1483" i="1"/>
  <c r="N1467" i="1"/>
  <c r="P1467" i="1"/>
  <c r="S1467" i="1"/>
  <c r="N1471" i="1"/>
  <c r="P1471" i="1"/>
  <c r="S1471" i="1"/>
  <c r="N1448" i="1"/>
  <c r="P1448" i="1"/>
  <c r="S1448" i="1"/>
  <c r="N1452" i="1"/>
  <c r="P1452" i="1"/>
  <c r="S1452" i="1"/>
  <c r="N1398" i="1"/>
  <c r="P1398" i="1"/>
  <c r="S1398" i="1"/>
  <c r="N1380" i="1"/>
  <c r="P1380" i="1"/>
  <c r="S1380" i="1"/>
  <c r="S1385" i="1"/>
  <c r="N434" i="1"/>
  <c r="P434" i="1"/>
  <c r="N477" i="1"/>
  <c r="P477" i="1"/>
  <c r="N604" i="1"/>
  <c r="N432" i="1"/>
  <c r="P432" i="1"/>
  <c r="N475" i="1"/>
  <c r="P475" i="1"/>
  <c r="N474" i="1"/>
  <c r="P474" i="1"/>
  <c r="N1964" i="1"/>
  <c r="P1964" i="1"/>
  <c r="S1964" i="1"/>
  <c r="N442" i="1"/>
  <c r="P442" i="1"/>
  <c r="P2363" i="1"/>
  <c r="N2363" i="1"/>
  <c r="N1832" i="1"/>
  <c r="P1832" i="1"/>
  <c r="S1832" i="1"/>
  <c r="N1852" i="1"/>
  <c r="P1852" i="1"/>
  <c r="S1852" i="1"/>
  <c r="N1334" i="1"/>
  <c r="P1334" i="1"/>
  <c r="S1334" i="1"/>
  <c r="N433" i="1"/>
  <c r="P433" i="1"/>
  <c r="N436" i="1"/>
  <c r="P436" i="1"/>
  <c r="N476" i="1"/>
  <c r="P476" i="1"/>
  <c r="N160" i="1"/>
  <c r="P160" i="1"/>
  <c r="N510" i="1"/>
  <c r="N443" i="1"/>
  <c r="P443" i="1"/>
  <c r="S408" i="1"/>
  <c r="S419" i="1"/>
  <c r="S410" i="1"/>
  <c r="S411" i="1"/>
  <c r="S412" i="1"/>
  <c r="S413" i="1"/>
  <c r="S414" i="1"/>
  <c r="S415" i="1"/>
  <c r="S416" i="1"/>
  <c r="S417" i="1"/>
  <c r="S418" i="1"/>
  <c r="S420" i="1"/>
  <c r="S421" i="1"/>
  <c r="S422" i="1"/>
  <c r="S423" i="1"/>
  <c r="S424" i="1"/>
  <c r="S425" i="1"/>
  <c r="S426" i="1"/>
  <c r="S499" i="1"/>
  <c r="S505" i="1"/>
  <c r="S506" i="1"/>
  <c r="S507" i="1"/>
  <c r="S508" i="1"/>
  <c r="S500" i="1"/>
  <c r="S501" i="1"/>
  <c r="N440" i="1"/>
  <c r="P440" i="1"/>
  <c r="N441" i="1"/>
  <c r="P441" i="1"/>
  <c r="P472" i="1"/>
  <c r="P473" i="1"/>
  <c r="N473" i="1"/>
  <c r="N472" i="1"/>
  <c r="P468" i="1"/>
  <c r="P480" i="1"/>
  <c r="P471" i="1"/>
  <c r="P470" i="1"/>
  <c r="P469" i="1"/>
  <c r="P467" i="1"/>
  <c r="P466" i="1"/>
  <c r="P465" i="1"/>
  <c r="P464" i="1"/>
  <c r="P463" i="1"/>
  <c r="P462" i="1"/>
  <c r="P461" i="1"/>
  <c r="P459" i="1"/>
  <c r="P458" i="1"/>
  <c r="N468" i="1"/>
  <c r="N480" i="1"/>
  <c r="N471" i="1"/>
  <c r="N470" i="1"/>
  <c r="N469" i="1"/>
  <c r="N467" i="1"/>
  <c r="N466" i="1"/>
  <c r="N465" i="1"/>
  <c r="N464" i="1"/>
  <c r="N463" i="1"/>
  <c r="N462" i="1"/>
  <c r="N461" i="1"/>
  <c r="N460" i="1"/>
  <c r="N459" i="1"/>
  <c r="N458" i="1"/>
  <c r="N2112" i="1"/>
  <c r="P2112" i="1"/>
  <c r="N1963" i="1"/>
  <c r="P1963" i="1"/>
  <c r="N509" i="1"/>
  <c r="S509" i="1"/>
  <c r="N426" i="1"/>
  <c r="N425" i="1"/>
  <c r="N424" i="1"/>
  <c r="N1215" i="1"/>
  <c r="P1215" i="1"/>
  <c r="N423" i="1"/>
  <c r="N1828" i="1"/>
  <c r="P1828" i="1"/>
  <c r="S1828" i="1"/>
  <c r="N1760" i="1"/>
  <c r="P1760" i="1"/>
  <c r="S1760" i="1"/>
  <c r="S1394" i="1"/>
  <c r="N1394" i="1"/>
  <c r="P1394" i="1"/>
  <c r="N1366" i="1"/>
  <c r="P1366" i="1"/>
  <c r="S1366" i="1"/>
  <c r="N1446" i="1"/>
  <c r="P1446" i="1"/>
  <c r="S1446" i="1"/>
  <c r="N1214" i="1"/>
  <c r="S1214" i="1"/>
  <c r="P1765" i="1"/>
  <c r="N514" i="1"/>
  <c r="N421" i="1"/>
  <c r="N422" i="1"/>
  <c r="P693" i="1"/>
  <c r="P696" i="1"/>
  <c r="N693" i="1"/>
  <c r="N696" i="1"/>
  <c r="P750" i="1"/>
  <c r="N750" i="1"/>
  <c r="P724" i="1"/>
  <c r="N724" i="1"/>
  <c r="P611" i="1"/>
  <c r="N611" i="1"/>
  <c r="N605" i="1"/>
  <c r="P2626" i="1"/>
  <c r="N2626" i="1"/>
  <c r="P373" i="1"/>
  <c r="P375" i="1"/>
  <c r="P393" i="1"/>
  <c r="P394" i="1"/>
  <c r="N368" i="1"/>
  <c r="N373" i="1"/>
  <c r="N375" i="1"/>
  <c r="N393" i="1"/>
  <c r="N394" i="1"/>
  <c r="P2254" i="1"/>
  <c r="P2256" i="1"/>
  <c r="P2260" i="1"/>
  <c r="P2265" i="1"/>
  <c r="P2271" i="1"/>
  <c r="P2272" i="1"/>
  <c r="P2276" i="1"/>
  <c r="P2277" i="1"/>
  <c r="P2280" i="1"/>
  <c r="P2281" i="1"/>
  <c r="P2286" i="1"/>
  <c r="P2287" i="1"/>
  <c r="P2290" i="1"/>
  <c r="P2292" i="1"/>
  <c r="P2293" i="1"/>
  <c r="P2296" i="1"/>
  <c r="P2297" i="1"/>
  <c r="P2298" i="1"/>
  <c r="P2575" i="1"/>
  <c r="P2576" i="1"/>
  <c r="P2578" i="1"/>
  <c r="P2580" i="1"/>
  <c r="P2585" i="1"/>
  <c r="P2595" i="1"/>
  <c r="P2598" i="1"/>
  <c r="P2601" i="1"/>
  <c r="P2602" i="1"/>
  <c r="P2603" i="1"/>
  <c r="P2604" i="1"/>
  <c r="N2601" i="1"/>
  <c r="N2602" i="1"/>
  <c r="N2578" i="1"/>
  <c r="N2580" i="1"/>
  <c r="N2585" i="1"/>
  <c r="N2595" i="1"/>
  <c r="N2598" i="1"/>
  <c r="N2575" i="1"/>
  <c r="N2576" i="1"/>
  <c r="N2603" i="1"/>
  <c r="N2604" i="1"/>
  <c r="P2480" i="1"/>
  <c r="P2482" i="1"/>
  <c r="P2483" i="1"/>
  <c r="P2484" i="1"/>
  <c r="P2485" i="1"/>
  <c r="P2488" i="1"/>
  <c r="P2490" i="1"/>
  <c r="P2492" i="1"/>
  <c r="P2494" i="1"/>
  <c r="P2495" i="1"/>
  <c r="P2496" i="1"/>
  <c r="N2495" i="1"/>
  <c r="N2496" i="1"/>
  <c r="N2480" i="1"/>
  <c r="N2482" i="1"/>
  <c r="N2483" i="1"/>
  <c r="N2484" i="1"/>
  <c r="N2485" i="1"/>
  <c r="N2488" i="1"/>
  <c r="N2490" i="1"/>
  <c r="N2460" i="1"/>
  <c r="P2460" i="1"/>
  <c r="P2472" i="1"/>
  <c r="P2476" i="1"/>
  <c r="N2472" i="1"/>
  <c r="N2476" i="1"/>
  <c r="N2492" i="1"/>
  <c r="N2494" i="1"/>
  <c r="P2362" i="1"/>
  <c r="P2365" i="1"/>
  <c r="P2367" i="1"/>
  <c r="P2368" i="1"/>
  <c r="P2369" i="1"/>
  <c r="N2367" i="1"/>
  <c r="N2368" i="1"/>
  <c r="N2365" i="1"/>
  <c r="N2369" i="1"/>
  <c r="N2362" i="1"/>
  <c r="N2290" i="1"/>
  <c r="N2292" i="1"/>
  <c r="N2293" i="1"/>
  <c r="N2296" i="1"/>
  <c r="N2298" i="1"/>
  <c r="N2271" i="1"/>
  <c r="N2272" i="1"/>
  <c r="N2276" i="1"/>
  <c r="N2277" i="1"/>
  <c r="N2280" i="1"/>
  <c r="N2265" i="1"/>
  <c r="N2281" i="1"/>
  <c r="N2254" i="1"/>
  <c r="N2256" i="1"/>
  <c r="N2260" i="1"/>
  <c r="N2286" i="1"/>
  <c r="N2287" i="1"/>
  <c r="N2297" i="1"/>
  <c r="P2131" i="1"/>
  <c r="P2134" i="1"/>
  <c r="P2135" i="1"/>
  <c r="P2136" i="1"/>
  <c r="P2138" i="1"/>
  <c r="P2139" i="1"/>
  <c r="P2140" i="1"/>
  <c r="N2131" i="1"/>
  <c r="N2134" i="1"/>
  <c r="N2135" i="1"/>
  <c r="N2136" i="1"/>
  <c r="N2140" i="1"/>
  <c r="N2138" i="1"/>
  <c r="N2139" i="1"/>
  <c r="N2574" i="1"/>
  <c r="P2574" i="1"/>
  <c r="S2574" i="1"/>
  <c r="N2462" i="1"/>
  <c r="P2462" i="1"/>
  <c r="S2462" i="1"/>
  <c r="N856" i="1"/>
  <c r="P856" i="1"/>
  <c r="N861" i="1"/>
  <c r="P861" i="1"/>
  <c r="S855" i="1"/>
  <c r="S856" i="1"/>
  <c r="S861" i="1"/>
  <c r="S866" i="1"/>
  <c r="S884" i="1"/>
  <c r="S874" i="1"/>
  <c r="S879" i="1"/>
  <c r="S881" i="1"/>
  <c r="S883" i="1"/>
  <c r="S849" i="1"/>
  <c r="S850" i="1"/>
  <c r="S851" i="1"/>
  <c r="P848" i="1"/>
  <c r="P855" i="1"/>
  <c r="P866" i="1"/>
  <c r="S2353" i="1"/>
  <c r="S890" i="1"/>
  <c r="S887" i="1"/>
  <c r="S891" i="1"/>
  <c r="S888" i="1"/>
  <c r="S889" i="1"/>
  <c r="N2125" i="1"/>
  <c r="N2127" i="1"/>
  <c r="N2128" i="1"/>
  <c r="P2125" i="1"/>
  <c r="P2127" i="1"/>
  <c r="P2128" i="1"/>
  <c r="N2115" i="1"/>
  <c r="N2119" i="1"/>
  <c r="N2122" i="1"/>
  <c r="N2123" i="1"/>
  <c r="P2115" i="1"/>
  <c r="P2119" i="1"/>
  <c r="P2122" i="1"/>
  <c r="P2123" i="1"/>
  <c r="N2111" i="1"/>
  <c r="N2114" i="1"/>
  <c r="P2111" i="1"/>
  <c r="P2114" i="1"/>
  <c r="N2130" i="1"/>
  <c r="P2130" i="1"/>
  <c r="S1975" i="1"/>
  <c r="S1980" i="1"/>
  <c r="S1981" i="1"/>
  <c r="S1982" i="1"/>
  <c r="S1985" i="1"/>
  <c r="S1987" i="1"/>
  <c r="S1992" i="1"/>
  <c r="S1993" i="1"/>
  <c r="S1996" i="1"/>
  <c r="S1998" i="1"/>
  <c r="S2000" i="1"/>
  <c r="S2001" i="1"/>
  <c r="S2003" i="1"/>
  <c r="S1972" i="1"/>
  <c r="S1973" i="1"/>
  <c r="N2003" i="1"/>
  <c r="P2003" i="1"/>
  <c r="N1985" i="1"/>
  <c r="N1987" i="1"/>
  <c r="N1992" i="1"/>
  <c r="N1993" i="1"/>
  <c r="P1985" i="1"/>
  <c r="P1987" i="1"/>
  <c r="P1992" i="1"/>
  <c r="P1993" i="1"/>
  <c r="N1996" i="1"/>
  <c r="P1996" i="1"/>
  <c r="N1998" i="1"/>
  <c r="P1998" i="1"/>
  <c r="N2000" i="1"/>
  <c r="P2000" i="1"/>
  <c r="N1982" i="1"/>
  <c r="P1982" i="1"/>
  <c r="N2001" i="1"/>
  <c r="P2001" i="1"/>
  <c r="N1972" i="1"/>
  <c r="N1973" i="1"/>
  <c r="P1972" i="1"/>
  <c r="P1973" i="1"/>
  <c r="N1975" i="1"/>
  <c r="N1980" i="1"/>
  <c r="P1975" i="1"/>
  <c r="P1980" i="1"/>
  <c r="N1981" i="1"/>
  <c r="P1981" i="1"/>
  <c r="S836" i="1"/>
  <c r="P836" i="1"/>
  <c r="N874" i="1"/>
  <c r="N879" i="1"/>
  <c r="P874" i="1"/>
  <c r="P879" i="1"/>
  <c r="N881" i="1"/>
  <c r="N883" i="1"/>
  <c r="P881" i="1"/>
  <c r="P883" i="1"/>
  <c r="N855" i="1"/>
  <c r="N866" i="1"/>
  <c r="N884" i="1"/>
  <c r="P884" i="1"/>
  <c r="N417" i="1"/>
  <c r="S1263" i="1"/>
  <c r="N1263" i="1"/>
  <c r="P1263" i="1"/>
  <c r="N1759" i="1"/>
  <c r="P1759" i="1"/>
  <c r="S1759" i="1"/>
  <c r="N1718" i="1"/>
  <c r="P1718" i="1"/>
  <c r="S1718" i="1"/>
  <c r="N2459" i="1"/>
  <c r="P2459" i="1"/>
  <c r="S2360" i="1"/>
  <c r="N2360" i="1"/>
  <c r="P2360" i="1"/>
  <c r="N1133" i="1"/>
  <c r="P1133" i="1"/>
  <c r="N416" i="1"/>
  <c r="N1132" i="1"/>
  <c r="P1132" i="1"/>
  <c r="N415" i="1"/>
  <c r="P415" i="1"/>
  <c r="N851" i="1"/>
  <c r="P851" i="1"/>
  <c r="P1440" i="1"/>
  <c r="P1445" i="1"/>
  <c r="P1444" i="1"/>
  <c r="P1439" i="1"/>
  <c r="N1131" i="1"/>
  <c r="P1131" i="1"/>
  <c r="N927" i="1"/>
  <c r="P927" i="1"/>
  <c r="S927" i="1"/>
  <c r="N414" i="1"/>
  <c r="N925" i="1"/>
  <c r="P925" i="1"/>
  <c r="S925" i="1"/>
  <c r="N926" i="1"/>
  <c r="P926" i="1"/>
  <c r="S926" i="1"/>
  <c r="N1596" i="1"/>
  <c r="P1596" i="1"/>
  <c r="N413" i="1"/>
  <c r="N31" i="1"/>
  <c r="P31" i="1"/>
  <c r="S31" i="1"/>
  <c r="N32" i="1"/>
  <c r="P32" i="1"/>
  <c r="S32" i="1"/>
  <c r="N33" i="1"/>
  <c r="P33" i="1"/>
  <c r="S33" i="1"/>
  <c r="N1591" i="1"/>
  <c r="P1591" i="1"/>
  <c r="N1592" i="1"/>
  <c r="P1592" i="1"/>
  <c r="N1593" i="1"/>
  <c r="P1593" i="1"/>
  <c r="N1651" i="1"/>
  <c r="P1651" i="1"/>
  <c r="S504" i="1"/>
  <c r="N504" i="1"/>
  <c r="N849" i="1"/>
  <c r="P849" i="1"/>
  <c r="N2109" i="1"/>
  <c r="P2109" i="1"/>
  <c r="S2109" i="1"/>
  <c r="N412" i="1"/>
  <c r="N1262" i="1"/>
  <c r="P1262" i="1"/>
  <c r="S1262" i="1"/>
  <c r="P1684" i="1"/>
  <c r="S1684" i="1"/>
  <c r="N1684" i="1"/>
  <c r="P1829" i="1"/>
  <c r="S1829" i="1"/>
  <c r="P1836" i="1"/>
  <c r="S1836" i="1"/>
  <c r="P1838" i="1"/>
  <c r="S1838" i="1"/>
  <c r="N1261" i="1"/>
  <c r="P1261" i="1"/>
  <c r="S1261" i="1"/>
  <c r="N1866" i="1"/>
  <c r="P1866" i="1"/>
  <c r="S1866" i="1"/>
  <c r="N1829" i="1"/>
  <c r="N1836" i="1"/>
  <c r="N1838" i="1"/>
  <c r="N1778" i="1"/>
  <c r="P1778" i="1"/>
  <c r="S1778" i="1"/>
  <c r="N1781" i="1"/>
  <c r="P1781" i="1"/>
  <c r="S1781" i="1"/>
  <c r="N1711" i="1"/>
  <c r="P1711" i="1"/>
  <c r="S1711" i="1"/>
  <c r="N1712" i="1"/>
  <c r="P1712" i="1"/>
  <c r="S1712" i="1"/>
  <c r="S1707" i="1"/>
  <c r="N1707" i="1"/>
  <c r="P1707" i="1"/>
  <c r="N1523" i="1"/>
  <c r="P1523" i="1"/>
  <c r="S1523" i="1"/>
  <c r="N1515" i="1"/>
  <c r="P1515" i="1"/>
  <c r="S1515" i="1"/>
  <c r="P1474" i="1"/>
  <c r="S1474" i="1"/>
  <c r="P1477" i="1"/>
  <c r="S1477" i="1"/>
  <c r="N1474" i="1"/>
  <c r="N1477" i="1"/>
  <c r="P1395" i="1"/>
  <c r="S1395" i="1"/>
  <c r="S852" i="1"/>
  <c r="S848" i="1"/>
  <c r="S847" i="1"/>
  <c r="S846" i="1"/>
  <c r="S2572" i="1"/>
  <c r="S2569" i="1"/>
  <c r="S2461" i="1"/>
  <c r="S2458" i="1"/>
  <c r="S2361" i="1"/>
  <c r="S2359" i="1"/>
  <c r="S2253" i="1"/>
  <c r="S2249" i="1"/>
  <c r="S2248" i="1"/>
  <c r="S2110" i="1"/>
  <c r="S2108" i="1"/>
  <c r="S2107" i="1"/>
  <c r="S2106" i="1"/>
  <c r="S1968" i="1"/>
  <c r="S1967" i="1"/>
  <c r="S1962" i="1"/>
  <c r="S2568" i="1"/>
  <c r="S2567" i="1"/>
  <c r="P2461" i="1"/>
  <c r="P2458" i="1"/>
  <c r="P2361" i="1"/>
  <c r="P2359" i="1"/>
  <c r="P2253" i="1"/>
  <c r="P2249" i="1"/>
  <c r="P2248" i="1"/>
  <c r="P2110" i="1"/>
  <c r="P2108" i="1"/>
  <c r="P2107" i="1"/>
  <c r="P2106" i="1"/>
  <c r="P1968" i="1"/>
  <c r="P1967" i="1"/>
  <c r="P1962" i="1"/>
  <c r="N852" i="1"/>
  <c r="N850" i="1"/>
  <c r="N848" i="1"/>
  <c r="N847" i="1"/>
  <c r="N846" i="1"/>
  <c r="N2572" i="1"/>
  <c r="N2569" i="1"/>
  <c r="N2461" i="1"/>
  <c r="N2458" i="1"/>
  <c r="N2361" i="1"/>
  <c r="N2359" i="1"/>
  <c r="N2253" i="1"/>
  <c r="N2249" i="1"/>
  <c r="N2248" i="1"/>
  <c r="N2110" i="1"/>
  <c r="N2108" i="1"/>
  <c r="N2107" i="1"/>
  <c r="N2106" i="1"/>
  <c r="N1968" i="1"/>
  <c r="N1967" i="1"/>
  <c r="N1962" i="1"/>
  <c r="N420" i="1"/>
  <c r="P420" i="1"/>
  <c r="N411" i="1"/>
  <c r="P411" i="1"/>
  <c r="N427" i="1"/>
  <c r="S427" i="1"/>
  <c r="N503" i="1"/>
  <c r="S503" i="1"/>
  <c r="N502" i="1"/>
  <c r="S502" i="1"/>
  <c r="N501" i="1"/>
  <c r="P501" i="1"/>
  <c r="N410" i="1"/>
  <c r="P410" i="1"/>
  <c r="N1010" i="1"/>
  <c r="P1010" i="1"/>
  <c r="N1011" i="1"/>
  <c r="P1011" i="1"/>
  <c r="N924" i="1"/>
  <c r="P924" i="1"/>
  <c r="N977" i="1"/>
  <c r="P977" i="1"/>
  <c r="N1407" i="1"/>
  <c r="P1407" i="1"/>
  <c r="S1407" i="1"/>
  <c r="N500" i="1"/>
  <c r="P500" i="1"/>
  <c r="N268" i="1"/>
  <c r="P268" i="1"/>
  <c r="N1343" i="1"/>
  <c r="P1343" i="1"/>
  <c r="S1343" i="1"/>
  <c r="S1352" i="1"/>
  <c r="P1295" i="1"/>
  <c r="S1295" i="1"/>
  <c r="N1295" i="1"/>
  <c r="P846" i="1"/>
  <c r="P847" i="1"/>
  <c r="P850" i="1"/>
  <c r="P852" i="1"/>
  <c r="P277" i="1"/>
  <c r="N277" i="1"/>
  <c r="P2569" i="1"/>
  <c r="P2572" i="1"/>
  <c r="N367" i="1"/>
  <c r="P369" i="1"/>
  <c r="N976" i="1"/>
  <c r="P976" i="1"/>
  <c r="N923" i="1"/>
  <c r="P923" i="1"/>
  <c r="N1009" i="1"/>
  <c r="P1009" i="1"/>
  <c r="N1756" i="1"/>
  <c r="P1756" i="1"/>
  <c r="S1756" i="1"/>
  <c r="N1757" i="1"/>
  <c r="P1757" i="1"/>
  <c r="S1757" i="1"/>
  <c r="N1331" i="1"/>
  <c r="P1331" i="1"/>
  <c r="S1331" i="1"/>
  <c r="N1439" i="1"/>
  <c r="P844" i="1"/>
  <c r="S844" i="1"/>
  <c r="N844" i="1"/>
  <c r="N1259" i="1"/>
  <c r="P1259" i="1"/>
  <c r="N1827" i="1"/>
  <c r="P1827" i="1"/>
  <c r="S1827" i="1"/>
  <c r="N16" i="1"/>
  <c r="P16" i="1"/>
  <c r="N1008" i="1"/>
  <c r="P1008" i="1"/>
  <c r="N1765" i="1"/>
  <c r="P1353" i="1"/>
  <c r="P1354" i="1"/>
  <c r="P1355" i="1"/>
  <c r="P1356" i="1"/>
  <c r="P1357" i="1"/>
  <c r="P1358" i="1"/>
  <c r="P1359" i="1"/>
  <c r="P1360" i="1"/>
  <c r="P1361" i="1"/>
  <c r="P1362" i="1"/>
  <c r="P1363" i="1"/>
  <c r="P1364" i="1"/>
  <c r="P1365" i="1"/>
  <c r="P1370" i="1"/>
  <c r="P1371" i="1"/>
  <c r="P1372" i="1"/>
  <c r="P1373" i="1"/>
  <c r="P1379" i="1"/>
  <c r="P1400" i="1"/>
  <c r="P1401" i="1"/>
  <c r="P1402" i="1"/>
  <c r="P1403" i="1"/>
  <c r="P1406" i="1"/>
  <c r="P1453" i="1"/>
  <c r="P1454" i="1"/>
  <c r="P1455" i="1"/>
  <c r="P1456" i="1"/>
  <c r="P1457" i="1"/>
  <c r="P1459" i="1"/>
  <c r="P1458" i="1"/>
  <c r="P1460" i="1"/>
  <c r="P1461" i="1"/>
  <c r="P1462" i="1"/>
  <c r="P1464" i="1"/>
  <c r="P1465" i="1"/>
  <c r="P1478" i="1"/>
  <c r="P1479" i="1"/>
  <c r="P1484" i="1"/>
  <c r="P1487" i="1"/>
  <c r="P1488" i="1"/>
  <c r="P1490" i="1"/>
  <c r="P1491" i="1"/>
  <c r="P1492" i="1"/>
  <c r="P1503" i="1"/>
  <c r="P1504" i="1"/>
  <c r="P1505" i="1"/>
  <c r="P1507" i="1"/>
  <c r="P1506" i="1"/>
  <c r="P1508" i="1"/>
  <c r="P1509" i="1"/>
  <c r="P1512" i="1"/>
  <c r="P1513" i="1"/>
  <c r="P1510" i="1"/>
  <c r="P1516" i="1"/>
  <c r="P1517" i="1"/>
  <c r="P1519" i="1"/>
  <c r="P1520" i="1"/>
  <c r="P1524" i="1"/>
  <c r="P1768" i="1"/>
  <c r="P1772" i="1"/>
  <c r="P1776" i="1"/>
  <c r="P1777" i="1"/>
  <c r="P1857" i="1"/>
  <c r="P1486" i="1"/>
  <c r="P1868" i="1"/>
  <c r="P1298" i="1"/>
  <c r="P1299" i="1"/>
  <c r="P1300" i="1"/>
  <c r="P1301" i="1"/>
  <c r="P1302" i="1"/>
  <c r="P1303" i="1"/>
  <c r="P1304" i="1"/>
  <c r="P1305" i="1"/>
  <c r="P1306" i="1"/>
  <c r="P1307" i="1"/>
  <c r="P1309" i="1"/>
  <c r="P1308" i="1"/>
  <c r="P1310" i="1"/>
  <c r="P1311" i="1"/>
  <c r="P1312" i="1"/>
  <c r="P1313" i="1"/>
  <c r="P1316" i="1"/>
  <c r="P1314" i="1"/>
  <c r="P1315" i="1"/>
  <c r="P1317" i="1"/>
  <c r="P1318" i="1"/>
  <c r="P1319" i="1"/>
  <c r="P1320" i="1"/>
  <c r="P1321" i="1"/>
  <c r="P1322" i="1"/>
  <c r="P1323" i="1"/>
  <c r="P1324" i="1"/>
  <c r="P1325" i="1"/>
  <c r="P1326" i="1"/>
  <c r="P1327" i="1"/>
  <c r="P1328" i="1"/>
  <c r="P1329" i="1"/>
  <c r="P1330" i="1"/>
  <c r="P1332" i="1"/>
  <c r="P1333" i="1"/>
  <c r="P1336" i="1"/>
  <c r="P1338" i="1"/>
  <c r="P1386" i="1"/>
  <c r="P1387" i="1"/>
  <c r="P1388" i="1"/>
  <c r="P1389" i="1"/>
  <c r="P1390" i="1"/>
  <c r="P1391" i="1"/>
  <c r="P1392" i="1"/>
  <c r="P1393" i="1"/>
  <c r="P1408" i="1"/>
  <c r="P1409" i="1"/>
  <c r="P1410" i="1"/>
  <c r="P1411" i="1"/>
  <c r="P1412" i="1"/>
  <c r="P1413" i="1"/>
  <c r="P1414" i="1"/>
  <c r="P1415" i="1"/>
  <c r="P1416" i="1"/>
  <c r="P1417" i="1"/>
  <c r="P1418" i="1"/>
  <c r="P1419" i="1"/>
  <c r="P1420" i="1"/>
  <c r="P1421" i="1"/>
  <c r="P1422" i="1"/>
  <c r="P1423" i="1"/>
  <c r="P1424" i="1"/>
  <c r="P1425" i="1"/>
  <c r="P1426" i="1"/>
  <c r="P1427" i="1"/>
  <c r="P1428" i="1"/>
  <c r="P1429" i="1"/>
  <c r="P1435" i="1"/>
  <c r="P1430" i="1"/>
  <c r="P1431" i="1"/>
  <c r="P1432" i="1"/>
  <c r="P1436" i="1"/>
  <c r="P1433" i="1"/>
  <c r="P1434" i="1"/>
  <c r="P1437" i="1"/>
  <c r="P1438" i="1"/>
  <c r="P1472" i="1"/>
  <c r="P1480" i="1"/>
  <c r="P1481" i="1"/>
  <c r="P1754" i="1"/>
  <c r="P1755" i="1"/>
  <c r="P1758" i="1"/>
  <c r="P1763" i="1"/>
  <c r="P1764" i="1"/>
  <c r="P1767" i="1"/>
  <c r="P1775" i="1"/>
  <c r="P1773" i="1"/>
  <c r="P1774" i="1"/>
  <c r="P1784" i="1"/>
  <c r="P1785" i="1"/>
  <c r="P1788" i="1"/>
  <c r="P1794" i="1"/>
  <c r="P1810" i="1"/>
  <c r="P1811" i="1"/>
  <c r="P1812" i="1"/>
  <c r="P1813" i="1"/>
  <c r="P1814" i="1"/>
  <c r="P1815" i="1"/>
  <c r="P1816" i="1"/>
  <c r="P1817" i="1"/>
  <c r="P1818" i="1"/>
  <c r="P1819" i="1"/>
  <c r="P1820" i="1"/>
  <c r="P1821" i="1"/>
  <c r="P1822" i="1"/>
  <c r="P1826" i="1"/>
  <c r="P1823" i="1"/>
  <c r="P1824" i="1"/>
  <c r="P1825" i="1"/>
  <c r="P1847" i="1"/>
  <c r="P1848" i="1"/>
  <c r="P1849" i="1"/>
  <c r="P1850" i="1"/>
  <c r="P1851" i="1"/>
  <c r="P1855" i="1"/>
  <c r="P1858" i="1"/>
  <c r="P1859" i="1"/>
  <c r="P21" i="1"/>
  <c r="P65" i="1"/>
  <c r="P66" i="1"/>
  <c r="P67" i="1"/>
  <c r="P19" i="1"/>
  <c r="P1860" i="1"/>
  <c r="P1861" i="1"/>
  <c r="P1862" i="1"/>
  <c r="P1863" i="1"/>
  <c r="P1864" i="1"/>
  <c r="P1705" i="1"/>
  <c r="P1769" i="1"/>
  <c r="P1770" i="1"/>
  <c r="P63" i="1"/>
  <c r="P71" i="1"/>
  <c r="P70" i="1"/>
  <c r="P112" i="1"/>
  <c r="P99" i="1"/>
  <c r="P102" i="1"/>
  <c r="P120" i="1"/>
  <c r="P92" i="1"/>
  <c r="P131" i="1"/>
  <c r="P93" i="1"/>
  <c r="P68" i="1"/>
  <c r="P77" i="1"/>
  <c r="P81" i="1"/>
  <c r="P82" i="1"/>
  <c r="P83" i="1"/>
  <c r="P84" i="1"/>
  <c r="P85" i="1"/>
  <c r="P20" i="1"/>
  <c r="P47" i="1"/>
  <c r="P48" i="1"/>
  <c r="P49" i="1"/>
  <c r="P50" i="1"/>
  <c r="P51" i="1"/>
  <c r="P52" i="1"/>
  <c r="P53" i="1"/>
  <c r="P54" i="1"/>
  <c r="P55" i="1"/>
  <c r="P312" i="1"/>
  <c r="P313" i="1"/>
  <c r="P674" i="1"/>
  <c r="P673" i="1"/>
  <c r="P675" i="1"/>
  <c r="P632" i="1"/>
  <c r="P633" i="1"/>
  <c r="P2627" i="1"/>
  <c r="P2370" i="1"/>
  <c r="P2371" i="1"/>
  <c r="P2372" i="1"/>
  <c r="P2373" i="1"/>
  <c r="P2374" i="1"/>
  <c r="P2375" i="1"/>
  <c r="P2376" i="1"/>
  <c r="P2377" i="1"/>
  <c r="P2378" i="1"/>
  <c r="P2299" i="1"/>
  <c r="P2300" i="1"/>
  <c r="P2301" i="1"/>
  <c r="P770" i="1"/>
  <c r="P771" i="1"/>
  <c r="P1902" i="1"/>
  <c r="P1903" i="1"/>
  <c r="P1904" i="1"/>
  <c r="P1905" i="1"/>
  <c r="P1906" i="1"/>
  <c r="P2142" i="1"/>
  <c r="P2143" i="1"/>
  <c r="P2144" i="1"/>
  <c r="P2145" i="1"/>
  <c r="P2146" i="1"/>
  <c r="P2152" i="1"/>
  <c r="P2153" i="1"/>
  <c r="P2154" i="1"/>
  <c r="P2155" i="1"/>
  <c r="P2147" i="1"/>
  <c r="P2148" i="1"/>
  <c r="P2149" i="1"/>
  <c r="P2150" i="1"/>
  <c r="P2151" i="1"/>
  <c r="P2156" i="1"/>
  <c r="P2157" i="1"/>
  <c r="P581" i="1"/>
  <c r="P406" i="1"/>
  <c r="P12" i="1"/>
  <c r="P13" i="1"/>
  <c r="P14" i="1"/>
  <c r="P15" i="1"/>
  <c r="P1668" i="1"/>
  <c r="P1669" i="1"/>
  <c r="P1670" i="1"/>
  <c r="P1671" i="1"/>
  <c r="P1672" i="1"/>
  <c r="P1654" i="1"/>
  <c r="P1655" i="1"/>
  <c r="P1656" i="1"/>
  <c r="P1657" i="1"/>
  <c r="P1658" i="1"/>
  <c r="P1659" i="1"/>
  <c r="P1660" i="1"/>
  <c r="P1713" i="1"/>
  <c r="P1726" i="1"/>
  <c r="P1673" i="1"/>
  <c r="P1674" i="1"/>
  <c r="P1661" i="1"/>
  <c r="P1662" i="1"/>
  <c r="P1663" i="1"/>
  <c r="P1664" i="1"/>
  <c r="P615" i="1"/>
  <c r="P886" i="1"/>
  <c r="P885" i="1"/>
  <c r="P2628" i="1"/>
  <c r="P2629" i="1"/>
  <c r="P2630" i="1"/>
  <c r="P2631" i="1"/>
  <c r="P2633" i="1"/>
  <c r="P2634" i="1"/>
  <c r="P2635" i="1"/>
  <c r="P631" i="1"/>
  <c r="P213" i="1"/>
  <c r="P214" i="1"/>
  <c r="P215" i="1"/>
  <c r="P216" i="1"/>
  <c r="P217" i="1"/>
  <c r="P218" i="1"/>
  <c r="P888" i="1"/>
  <c r="P889" i="1"/>
  <c r="P665" i="1"/>
  <c r="P666" i="1"/>
  <c r="P661" i="1"/>
  <c r="P652" i="1"/>
  <c r="P669" i="1"/>
  <c r="P656" i="1"/>
  <c r="P586" i="1"/>
  <c r="P587" i="1"/>
  <c r="P1885" i="1"/>
  <c r="P1886" i="1"/>
  <c r="P1887" i="1"/>
  <c r="P1888" i="1"/>
  <c r="P1889" i="1"/>
  <c r="P1890" i="1"/>
  <c r="P762" i="1"/>
  <c r="P763" i="1"/>
  <c r="P490" i="1"/>
  <c r="P491" i="1"/>
  <c r="P492" i="1"/>
  <c r="P493" i="1"/>
  <c r="P494" i="1"/>
  <c r="P531" i="1"/>
  <c r="P533" i="1"/>
  <c r="P75" i="1"/>
  <c r="P74" i="1"/>
  <c r="P62" i="1"/>
  <c r="P91" i="1"/>
  <c r="P101" i="1"/>
  <c r="P72" i="1"/>
  <c r="P73" i="1"/>
  <c r="P76" i="1"/>
  <c r="P90" i="1"/>
  <c r="P106" i="1"/>
  <c r="P111" i="1"/>
  <c r="P129" i="1"/>
  <c r="P132" i="1"/>
  <c r="P69" i="1"/>
  <c r="P80" i="1"/>
  <c r="P103" i="1"/>
  <c r="P104" i="1"/>
  <c r="P105" i="1"/>
  <c r="P1846" i="1"/>
  <c r="P121" i="1"/>
  <c r="P123" i="1"/>
  <c r="P122" i="1"/>
  <c r="P124" i="1"/>
  <c r="P130" i="1"/>
  <c r="P134" i="1"/>
  <c r="P135" i="1"/>
  <c r="P138" i="1"/>
  <c r="P125" i="1"/>
  <c r="P126" i="1"/>
  <c r="P127" i="1"/>
  <c r="P128" i="1"/>
  <c r="P133" i="1"/>
  <c r="P137" i="1"/>
  <c r="P139" i="1"/>
  <c r="P140" i="1"/>
  <c r="P1845" i="1"/>
  <c r="P141" i="1"/>
  <c r="P142" i="1"/>
  <c r="P64"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2" i="1"/>
  <c r="P1563" i="1"/>
  <c r="P1564" i="1"/>
  <c r="P1561" i="1"/>
  <c r="P1565" i="1"/>
  <c r="P1566" i="1"/>
  <c r="P1567" i="1"/>
  <c r="P1568" i="1"/>
  <c r="P1569" i="1"/>
  <c r="P1570" i="1"/>
  <c r="P1571" i="1"/>
  <c r="P1572" i="1"/>
  <c r="P1575" i="1"/>
  <c r="P1573" i="1"/>
  <c r="P1574" i="1"/>
  <c r="P1577" i="1"/>
  <c r="P1578" i="1"/>
  <c r="P1579" i="1"/>
  <c r="P1576" i="1"/>
  <c r="P1581" i="1"/>
  <c r="P1582" i="1"/>
  <c r="P1583" i="1"/>
  <c r="P1584" i="1"/>
  <c r="P1586" i="1"/>
  <c r="P1587" i="1"/>
  <c r="P1588" i="1"/>
  <c r="P1589" i="1"/>
  <c r="P1590" i="1"/>
  <c r="P2141" i="1"/>
  <c r="P606" i="1"/>
  <c r="P607" i="1"/>
  <c r="P608" i="1"/>
  <c r="P609"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7" i="1"/>
  <c r="P1628" i="1"/>
  <c r="P1629" i="1"/>
  <c r="P1630" i="1"/>
  <c r="P1626" i="1"/>
  <c r="P1631" i="1"/>
  <c r="P1632" i="1"/>
  <c r="P1633" i="1"/>
  <c r="P1634" i="1"/>
  <c r="P1635" i="1"/>
  <c r="P1637" i="1"/>
  <c r="P1639" i="1"/>
  <c r="P1636" i="1"/>
  <c r="P1638" i="1"/>
  <c r="P1640" i="1"/>
  <c r="P1641" i="1"/>
  <c r="P1642" i="1"/>
  <c r="P1647" i="1"/>
  <c r="P1644" i="1"/>
  <c r="P1648" i="1"/>
  <c r="P1649" i="1"/>
  <c r="P1650" i="1"/>
  <c r="P532" i="1"/>
  <c r="P534" i="1"/>
  <c r="P535" i="1"/>
  <c r="P536" i="1"/>
  <c r="P537" i="1"/>
  <c r="P538" i="1"/>
  <c r="P1227" i="1"/>
  <c r="P1229" i="1"/>
  <c r="P36" i="1"/>
  <c r="P38" i="1"/>
  <c r="P34" i="1"/>
  <c r="P35" i="1"/>
  <c r="P37" i="1"/>
  <c r="P405" i="1"/>
  <c r="P404" i="1"/>
  <c r="P403" i="1"/>
  <c r="P212" i="1"/>
  <c r="P17" i="1"/>
  <c r="P18" i="1"/>
  <c r="P400" i="1"/>
  <c r="P401" i="1"/>
  <c r="P181" i="1"/>
  <c r="P136" i="1"/>
  <c r="P1795" i="1"/>
  <c r="P1525" i="1"/>
  <c r="P1526" i="1"/>
  <c r="P1744" i="1"/>
  <c r="P1745" i="1"/>
  <c r="P1746" i="1"/>
  <c r="P1748" i="1"/>
  <c r="P1747" i="1"/>
  <c r="P1749" i="1"/>
  <c r="P1751" i="1"/>
  <c r="P1750" i="1"/>
  <c r="P1752" i="1"/>
  <c r="P1753" i="1"/>
  <c r="P1708" i="1"/>
  <c r="P1709" i="1"/>
  <c r="P1710" i="1"/>
  <c r="P1493" i="1"/>
  <c r="P1494" i="1"/>
  <c r="P1495" i="1"/>
  <c r="P1496" i="1"/>
  <c r="P1497" i="1"/>
  <c r="P1498" i="1"/>
  <c r="P1500" i="1"/>
  <c r="P1501" i="1"/>
  <c r="P676" i="1"/>
  <c r="P677" i="1"/>
  <c r="P1892" i="1"/>
  <c r="P1893" i="1"/>
  <c r="P1727" i="1"/>
  <c r="P1728" i="1"/>
  <c r="P1715" i="1"/>
  <c r="P1716" i="1"/>
  <c r="P1714" i="1"/>
  <c r="P573" i="1"/>
  <c r="P729" i="1"/>
  <c r="P730" i="1"/>
  <c r="P740" i="1"/>
  <c r="P707" i="1"/>
  <c r="P314" i="1"/>
  <c r="P407" i="1"/>
  <c r="P588" i="1"/>
  <c r="P589"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9" i="1"/>
  <c r="P270" i="1"/>
  <c r="P271" i="1"/>
  <c r="P272" i="1"/>
  <c r="P273" i="1"/>
  <c r="P274" i="1"/>
  <c r="P275" i="1"/>
  <c r="P276"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4" i="1"/>
  <c r="P360" i="1"/>
  <c r="P1907" i="1"/>
  <c r="P1908" i="1"/>
  <c r="P1909" i="1"/>
  <c r="P1910" i="1"/>
  <c r="P1911" i="1"/>
  <c r="P1912" i="1"/>
  <c r="P1913" i="1"/>
  <c r="P2158" i="1"/>
  <c r="P2159" i="1"/>
  <c r="P2160" i="1"/>
  <c r="P2161" i="1"/>
  <c r="P2162" i="1"/>
  <c r="P2163" i="1"/>
  <c r="P2164" i="1"/>
  <c r="P2165" i="1"/>
  <c r="P2166" i="1"/>
  <c r="P2167" i="1"/>
  <c r="P2168" i="1"/>
  <c r="P2169" i="1"/>
  <c r="P2170" i="1"/>
  <c r="P2004" i="1"/>
  <c r="P2005" i="1"/>
  <c r="P2006" i="1"/>
  <c r="P2007" i="1"/>
  <c r="P2008" i="1"/>
  <c r="P2009" i="1"/>
  <c r="P2010" i="1"/>
  <c r="P2011" i="1"/>
  <c r="P2012" i="1"/>
  <c r="P2013" i="1"/>
  <c r="P2014" i="1"/>
  <c r="P2015" i="1"/>
  <c r="P2016" i="1"/>
  <c r="P2017" i="1"/>
  <c r="P2018" i="1"/>
  <c r="P2019" i="1"/>
  <c r="P2020" i="1"/>
  <c r="P2021" i="1"/>
  <c r="P2022" i="1"/>
  <c r="P2023" i="1"/>
  <c r="P2024" i="1"/>
  <c r="P2379" i="1"/>
  <c r="P2380" i="1"/>
  <c r="P2381" i="1"/>
  <c r="P2382" i="1"/>
  <c r="P2383" i="1"/>
  <c r="P2384" i="1"/>
  <c r="P2385" i="1"/>
  <c r="P2386" i="1"/>
  <c r="P2387" i="1"/>
  <c r="P2388" i="1"/>
  <c r="P2389" i="1"/>
  <c r="P2390" i="1"/>
  <c r="P2391" i="1"/>
  <c r="P2392" i="1"/>
  <c r="P2393" i="1"/>
  <c r="P2394" i="1"/>
  <c r="P2302" i="1"/>
  <c r="P2303" i="1"/>
  <c r="P2304" i="1"/>
  <c r="P2305" i="1"/>
  <c r="P2306" i="1"/>
  <c r="P2307" i="1"/>
  <c r="P2308" i="1"/>
  <c r="P2309" i="1"/>
  <c r="P2497" i="1"/>
  <c r="P2498" i="1"/>
  <c r="P2499" i="1"/>
  <c r="P2500" i="1"/>
  <c r="P2501" i="1"/>
  <c r="P2502" i="1"/>
  <c r="P2503" i="1"/>
  <c r="P2504" i="1"/>
  <c r="P2622" i="1"/>
  <c r="P2623" i="1"/>
  <c r="P2625" i="1"/>
  <c r="P2624" i="1"/>
  <c r="P2614" i="1"/>
  <c r="P2615" i="1"/>
  <c r="P2616" i="1"/>
  <c r="P2617" i="1"/>
  <c r="P618" i="1"/>
  <c r="P619" i="1"/>
  <c r="P620" i="1"/>
  <c r="P600" i="1"/>
  <c r="P590" i="1"/>
  <c r="P591" i="1"/>
  <c r="P592" i="1"/>
  <c r="P593" i="1"/>
  <c r="P595" i="1"/>
  <c r="P596" i="1"/>
  <c r="P597" i="1"/>
  <c r="P598" i="1"/>
  <c r="P599" i="1"/>
  <c r="P616" i="1"/>
  <c r="P617" i="1"/>
  <c r="P731" i="1"/>
  <c r="P732" i="1"/>
  <c r="P733" i="1"/>
  <c r="P734" i="1"/>
  <c r="P735" i="1"/>
  <c r="P737" i="1"/>
  <c r="P736" i="1"/>
  <c r="P708" i="1"/>
  <c r="P709" i="1"/>
  <c r="P710" i="1"/>
  <c r="P711" i="1"/>
  <c r="P712" i="1"/>
  <c r="P713" i="1"/>
  <c r="P714" i="1"/>
  <c r="P715" i="1"/>
  <c r="P741" i="1"/>
  <c r="P742" i="1"/>
  <c r="P743" i="1"/>
  <c r="P744" i="1"/>
  <c r="P745" i="1"/>
  <c r="P746" i="1"/>
  <c r="P1142" i="1"/>
  <c r="P1143" i="1"/>
  <c r="P1144" i="1"/>
  <c r="P1145" i="1"/>
  <c r="P1146" i="1"/>
  <c r="P1147" i="1"/>
  <c r="P1898" i="1"/>
  <c r="P1899" i="1"/>
  <c r="P457" i="1"/>
  <c r="P950" i="1"/>
  <c r="P951" i="1"/>
  <c r="P1112" i="1"/>
  <c r="P892" i="1"/>
  <c r="P570" i="1"/>
  <c r="P568" i="1"/>
  <c r="P1230" i="1"/>
  <c r="P1231" i="1"/>
  <c r="P1232" i="1"/>
  <c r="P1233" i="1"/>
  <c r="P1234" i="1"/>
  <c r="P1235" i="1"/>
  <c r="P1236" i="1"/>
  <c r="P1237" i="1"/>
  <c r="P1238" i="1"/>
  <c r="P1239" i="1"/>
  <c r="P1240" i="1"/>
  <c r="P1241" i="1"/>
  <c r="P1243" i="1"/>
  <c r="P1244" i="1"/>
  <c r="P1242" i="1"/>
  <c r="P1245" i="1"/>
  <c r="P1246" i="1"/>
  <c r="P1247" i="1"/>
  <c r="P1248" i="1"/>
  <c r="P1249" i="1"/>
  <c r="P1250" i="1"/>
  <c r="P1251" i="1"/>
  <c r="P1252" i="1"/>
  <c r="P1253" i="1"/>
  <c r="P1254" i="1"/>
  <c r="P1255" i="1"/>
  <c r="P1256" i="1"/>
  <c r="P1257" i="1"/>
  <c r="P1258" i="1"/>
  <c r="P1260" i="1"/>
  <c r="P1265" i="1"/>
  <c r="P1269" i="1"/>
  <c r="P1271" i="1"/>
  <c r="P1273" i="1"/>
  <c r="P1275" i="1"/>
  <c r="P1276" i="1"/>
  <c r="P1278" i="1"/>
  <c r="P1282" i="1"/>
  <c r="P1283" i="1"/>
  <c r="P1285" i="1"/>
  <c r="P1287" i="1"/>
  <c r="P1288" i="1"/>
  <c r="P1675" i="1"/>
  <c r="P1680" i="1"/>
  <c r="P1676" i="1"/>
  <c r="P1677" i="1"/>
  <c r="P1678" i="1"/>
  <c r="P1679" i="1"/>
  <c r="P1681" i="1"/>
  <c r="P1682" i="1"/>
  <c r="P1683" i="1"/>
  <c r="P1685" i="1"/>
  <c r="P1687" i="1"/>
  <c r="P1689" i="1"/>
  <c r="P1690" i="1"/>
  <c r="P1691" i="1"/>
  <c r="P1695" i="1"/>
  <c r="P1696" i="1"/>
  <c r="P1697" i="1"/>
  <c r="P1698" i="1"/>
  <c r="P1699" i="1"/>
  <c r="P1700" i="1"/>
  <c r="P1701" i="1"/>
  <c r="P1702" i="1"/>
  <c r="P1872" i="1"/>
  <c r="P1873" i="1"/>
  <c r="P1875" i="1"/>
  <c r="P1876" i="1"/>
  <c r="P1877" i="1"/>
  <c r="P1878" i="1"/>
  <c r="P1879" i="1"/>
  <c r="P1880" i="1"/>
  <c r="P1881" i="1"/>
  <c r="P1874" i="1"/>
  <c r="P772" i="1"/>
  <c r="P773" i="1"/>
  <c r="P774" i="1"/>
  <c r="P775" i="1"/>
  <c r="P776" i="1"/>
  <c r="P777" i="1"/>
  <c r="P1870" i="1"/>
  <c r="P1871" i="1"/>
  <c r="P402" i="1"/>
  <c r="P574" i="1"/>
  <c r="P575" i="1"/>
  <c r="P576" i="1"/>
  <c r="P577" i="1"/>
  <c r="P578" i="1"/>
  <c r="P1894" i="1"/>
  <c r="P1895" i="1"/>
  <c r="P1896" i="1"/>
  <c r="P1151" i="1"/>
  <c r="P2395" i="1"/>
  <c r="P2396" i="1"/>
  <c r="P2397" i="1"/>
  <c r="P2398" i="1"/>
  <c r="P2399" i="1"/>
  <c r="P2448" i="1"/>
  <c r="P2449" i="1"/>
  <c r="P2451" i="1"/>
  <c r="P2450" i="1"/>
  <c r="P2452" i="1"/>
  <c r="P2453" i="1"/>
  <c r="P2454" i="1"/>
  <c r="P2455" i="1"/>
  <c r="P2456" i="1"/>
  <c r="P2457" i="1"/>
  <c r="P2400" i="1"/>
  <c r="P2401" i="1"/>
  <c r="P2404" i="1"/>
  <c r="P2405" i="1"/>
  <c r="P2406" i="1"/>
  <c r="P2407" i="1"/>
  <c r="P2408" i="1"/>
  <c r="P2402" i="1"/>
  <c r="P2403" i="1"/>
  <c r="P2409" i="1"/>
  <c r="P2410" i="1"/>
  <c r="P2411" i="1"/>
  <c r="P2412" i="1"/>
  <c r="P2413" i="1"/>
  <c r="P778" i="1"/>
  <c r="P779" i="1"/>
  <c r="P780" i="1"/>
  <c r="P781" i="1"/>
  <c r="P782" i="1"/>
  <c r="P783" i="1"/>
  <c r="P784" i="1"/>
  <c r="P785" i="1"/>
  <c r="P786" i="1"/>
  <c r="P787" i="1"/>
  <c r="P788" i="1"/>
  <c r="P789" i="1"/>
  <c r="P2171" i="1"/>
  <c r="P2172" i="1"/>
  <c r="P2173" i="1"/>
  <c r="P2174" i="1"/>
  <c r="P2175" i="1"/>
  <c r="P2176" i="1"/>
  <c r="P2177" i="1"/>
  <c r="P2178" i="1"/>
  <c r="P2179" i="1"/>
  <c r="P2180" i="1"/>
  <c r="P2181" i="1"/>
  <c r="P2182" i="1"/>
  <c r="P2025" i="1"/>
  <c r="P2026" i="1"/>
  <c r="P2027" i="1"/>
  <c r="P2028" i="1"/>
  <c r="P2029" i="1"/>
  <c r="P2030" i="1"/>
  <c r="P2031" i="1"/>
  <c r="P2032" i="1"/>
  <c r="P2033" i="1"/>
  <c r="P2034" i="1"/>
  <c r="P2035" i="1"/>
  <c r="P2036" i="1"/>
  <c r="P2037" i="1"/>
  <c r="P2038" i="1"/>
  <c r="P2039" i="1"/>
  <c r="P2040" i="1"/>
  <c r="P2041" i="1"/>
  <c r="P2043" i="1"/>
  <c r="P2042" i="1"/>
  <c r="P2505" i="1"/>
  <c r="P2506" i="1"/>
  <c r="P2507" i="1"/>
  <c r="P2508" i="1"/>
  <c r="P2524" i="1"/>
  <c r="P2530" i="1"/>
  <c r="P2531" i="1"/>
  <c r="P2532" i="1"/>
  <c r="P2533" i="1"/>
  <c r="P2534" i="1"/>
  <c r="P2535" i="1"/>
  <c r="P2509" i="1"/>
  <c r="P2510" i="1"/>
  <c r="P2511" i="1"/>
  <c r="P2512" i="1"/>
  <c r="P2513" i="1"/>
  <c r="P2514" i="1"/>
  <c r="P2515" i="1"/>
  <c r="P2516" i="1"/>
  <c r="P2517" i="1"/>
  <c r="P2518" i="1"/>
  <c r="P2519" i="1"/>
  <c r="P143" i="1"/>
  <c r="P144" i="1"/>
  <c r="P147" i="1"/>
  <c r="P678" i="1"/>
  <c r="P679" i="1"/>
  <c r="P680" i="1"/>
  <c r="P681" i="1"/>
  <c r="P682" i="1"/>
  <c r="P683" i="1"/>
  <c r="P684" i="1"/>
  <c r="P685" i="1"/>
  <c r="P686" i="1"/>
  <c r="P687" i="1"/>
  <c r="P688" i="1"/>
  <c r="P689" i="1"/>
  <c r="P690" i="1"/>
  <c r="P691" i="1"/>
  <c r="P692" i="1"/>
  <c r="P113" i="1"/>
  <c r="P114" i="1"/>
  <c r="P118" i="1"/>
  <c r="P115" i="1"/>
  <c r="P116" i="1"/>
  <c r="P117" i="1"/>
  <c r="P1148" i="1"/>
  <c r="P1149" i="1"/>
  <c r="P1150" i="1"/>
  <c r="P1152" i="1"/>
  <c r="P1153" i="1"/>
  <c r="P1154" i="1"/>
  <c r="P1155" i="1"/>
  <c r="P1156" i="1"/>
  <c r="P159" i="1"/>
  <c r="P161" i="1"/>
  <c r="P162" i="1"/>
  <c r="P158" i="1"/>
  <c r="P1226" i="1"/>
  <c r="P1228" i="1"/>
  <c r="P2310" i="1"/>
  <c r="P2311" i="1"/>
  <c r="P2312" i="1"/>
  <c r="P2313" i="1"/>
  <c r="P2314" i="1"/>
  <c r="P2315" i="1"/>
  <c r="P2316" i="1"/>
  <c r="P2317" i="1"/>
  <c r="P2318" i="1"/>
  <c r="P2319" i="1"/>
  <c r="P2320" i="1"/>
  <c r="P2321" i="1"/>
  <c r="P2322" i="1"/>
  <c r="P2323" i="1"/>
  <c r="P2183" i="1"/>
  <c r="P2184" i="1"/>
  <c r="P2185" i="1"/>
  <c r="P2186" i="1"/>
  <c r="P2187" i="1"/>
  <c r="P2188" i="1"/>
  <c r="P2189" i="1"/>
  <c r="P2190" i="1"/>
  <c r="P2191" i="1"/>
  <c r="P2192" i="1"/>
  <c r="P2193" i="1"/>
  <c r="P2194" i="1"/>
  <c r="P2195" i="1"/>
  <c r="P2196" i="1"/>
  <c r="P2197" i="1"/>
  <c r="P2198" i="1"/>
  <c r="P2199" i="1"/>
  <c r="P2200" i="1"/>
  <c r="P790" i="1"/>
  <c r="P791" i="1"/>
  <c r="P792" i="1"/>
  <c r="P793" i="1"/>
  <c r="P794" i="1"/>
  <c r="P795" i="1"/>
  <c r="P796" i="1"/>
  <c r="P797" i="1"/>
  <c r="P798" i="1"/>
  <c r="P799" i="1"/>
  <c r="P2044" i="1"/>
  <c r="P2045" i="1"/>
  <c r="P2046" i="1"/>
  <c r="P2047" i="1"/>
  <c r="P2048" i="1"/>
  <c r="P2049" i="1"/>
  <c r="P2050" i="1"/>
  <c r="P2051" i="1"/>
  <c r="P2052" i="1"/>
  <c r="P2053" i="1"/>
  <c r="P2054" i="1"/>
  <c r="P2055" i="1"/>
  <c r="P2056" i="1"/>
  <c r="P2057" i="1"/>
  <c r="P2058" i="1"/>
  <c r="P2059" i="1"/>
  <c r="P2060" i="1"/>
  <c r="P2520" i="1"/>
  <c r="P2521" i="1"/>
  <c r="P2522" i="1"/>
  <c r="P2414" i="1"/>
  <c r="P2415" i="1"/>
  <c r="P2416" i="1"/>
  <c r="P2417" i="1"/>
  <c r="P2418" i="1"/>
  <c r="P2419" i="1"/>
  <c r="P2420" i="1"/>
  <c r="P2421" i="1"/>
  <c r="P2422" i="1"/>
  <c r="P2423" i="1"/>
  <c r="P929" i="1"/>
  <c r="P930" i="1"/>
  <c r="P931" i="1"/>
  <c r="P932" i="1"/>
  <c r="P933" i="1"/>
  <c r="P934" i="1"/>
  <c r="P935" i="1"/>
  <c r="P936" i="1"/>
  <c r="P938" i="1"/>
  <c r="P937" i="1"/>
  <c r="P939" i="1"/>
  <c r="P940" i="1"/>
  <c r="P941" i="1"/>
  <c r="P942" i="1"/>
  <c r="P943" i="1"/>
  <c r="P1036" i="1"/>
  <c r="P1037" i="1"/>
  <c r="P1038" i="1"/>
  <c r="P1039" i="1"/>
  <c r="P1040" i="1"/>
  <c r="P1041" i="1"/>
  <c r="P1042" i="1"/>
  <c r="P1043" i="1"/>
  <c r="P1044" i="1"/>
  <c r="P1045" i="1"/>
  <c r="P1047" i="1"/>
  <c r="P1046" i="1"/>
  <c r="P1048" i="1"/>
  <c r="P1050" i="1"/>
  <c r="P1049" i="1"/>
  <c r="P1051" i="1"/>
  <c r="P1053" i="1"/>
  <c r="P1052" i="1"/>
  <c r="P1069" i="1"/>
  <c r="P1070" i="1"/>
  <c r="P1071" i="1"/>
  <c r="P1072" i="1"/>
  <c r="P1073" i="1"/>
  <c r="P1074" i="1"/>
  <c r="P1075" i="1"/>
  <c r="P1076" i="1"/>
  <c r="P1077" i="1"/>
  <c r="P1078" i="1"/>
  <c r="P1086" i="1"/>
  <c r="P1079" i="1"/>
  <c r="P1080" i="1"/>
  <c r="P1081" i="1"/>
  <c r="P1082" i="1"/>
  <c r="P1083" i="1"/>
  <c r="P1084" i="1"/>
  <c r="P1085" i="1"/>
  <c r="P1087" i="1"/>
  <c r="P1088" i="1"/>
  <c r="P893" i="1"/>
  <c r="P894" i="1"/>
  <c r="P896" i="1"/>
  <c r="P895"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8" i="1"/>
  <c r="P944" i="1"/>
  <c r="P949" i="1"/>
  <c r="P945" i="1"/>
  <c r="P946" i="1"/>
  <c r="P947" i="1"/>
  <c r="P948" i="1"/>
  <c r="P952" i="1"/>
  <c r="P953" i="1"/>
  <c r="P954" i="1"/>
  <c r="P955" i="1"/>
  <c r="P956" i="1"/>
  <c r="P957" i="1"/>
  <c r="P960" i="1"/>
  <c r="P961" i="1"/>
  <c r="P962" i="1"/>
  <c r="P963" i="1"/>
  <c r="P965" i="1"/>
  <c r="P959" i="1"/>
  <c r="P964" i="1"/>
  <c r="P966" i="1"/>
  <c r="P967" i="1"/>
  <c r="P968" i="1"/>
  <c r="P969" i="1"/>
  <c r="P970" i="1"/>
  <c r="P971" i="1"/>
  <c r="P972" i="1"/>
  <c r="P973" i="1"/>
  <c r="P974" i="1"/>
  <c r="P975" i="1"/>
  <c r="P978" i="1"/>
  <c r="P1089" i="1"/>
  <c r="P1090" i="1"/>
  <c r="P1091" i="1"/>
  <c r="P1092" i="1"/>
  <c r="P1093" i="1"/>
  <c r="P1094" i="1"/>
  <c r="P1095" i="1"/>
  <c r="P1096" i="1"/>
  <c r="P1111" i="1"/>
  <c r="P1097" i="1"/>
  <c r="P1098" i="1"/>
  <c r="P1099" i="1"/>
  <c r="P1100" i="1"/>
  <c r="P1101" i="1"/>
  <c r="P1102" i="1"/>
  <c r="P1103" i="1"/>
  <c r="P1104" i="1"/>
  <c r="P1105" i="1"/>
  <c r="P1106" i="1"/>
  <c r="P1107" i="1"/>
  <c r="P1108" i="1"/>
  <c r="P1109" i="1"/>
  <c r="P1110" i="1"/>
  <c r="P1113" i="1"/>
  <c r="P1114" i="1"/>
  <c r="P1115" i="1"/>
  <c r="P1116" i="1"/>
  <c r="P1117" i="1"/>
  <c r="P1118" i="1"/>
  <c r="P1119" i="1"/>
  <c r="P1120" i="1"/>
  <c r="P1123" i="1"/>
  <c r="P1122" i="1"/>
  <c r="P1124" i="1"/>
  <c r="P1125" i="1"/>
  <c r="P1126" i="1"/>
  <c r="P1127" i="1"/>
  <c r="P1140" i="1"/>
  <c r="P1128" i="1"/>
  <c r="P1129" i="1"/>
  <c r="P1130" i="1"/>
  <c r="P1141" i="1"/>
  <c r="P1134" i="1"/>
  <c r="P979" i="1"/>
  <c r="P980" i="1"/>
  <c r="P981" i="1"/>
  <c r="P982" i="1"/>
  <c r="P983" i="1"/>
  <c r="P984" i="1"/>
  <c r="P985" i="1"/>
  <c r="P987" i="1"/>
  <c r="P986" i="1"/>
  <c r="P988" i="1"/>
  <c r="P989" i="1"/>
  <c r="P990" i="1"/>
  <c r="P991" i="1"/>
  <c r="P992" i="1"/>
  <c r="P993" i="1"/>
  <c r="P994" i="1"/>
  <c r="P995" i="1"/>
  <c r="P996" i="1"/>
  <c r="P997" i="1"/>
  <c r="P998" i="1"/>
  <c r="P999" i="1"/>
  <c r="P1000" i="1"/>
  <c r="P1001" i="1"/>
  <c r="P1002" i="1"/>
  <c r="P1003" i="1"/>
  <c r="P1004" i="1"/>
  <c r="P1013" i="1"/>
  <c r="P1005" i="1"/>
  <c r="P1006" i="1"/>
  <c r="P1007" i="1"/>
  <c r="P1012" i="1"/>
  <c r="P1014" i="1"/>
  <c r="P1015" i="1"/>
  <c r="P1016" i="1"/>
  <c r="P1023" i="1"/>
  <c r="P1017" i="1"/>
  <c r="P1018" i="1"/>
  <c r="P1019" i="1"/>
  <c r="P1020" i="1"/>
  <c r="P1021" i="1"/>
  <c r="P1022" i="1"/>
  <c r="P1024" i="1"/>
  <c r="P1025" i="1"/>
  <c r="P1026" i="1"/>
  <c r="P1027" i="1"/>
  <c r="P1028" i="1"/>
  <c r="P1029" i="1"/>
  <c r="P1030" i="1"/>
  <c r="P1031" i="1"/>
  <c r="P1032" i="1"/>
  <c r="P1033" i="1"/>
  <c r="P1034" i="1"/>
  <c r="P1035" i="1"/>
  <c r="P1054" i="1"/>
  <c r="P1056" i="1"/>
  <c r="P1057" i="1"/>
  <c r="P1058" i="1"/>
  <c r="P1059" i="1"/>
  <c r="P1060" i="1"/>
  <c r="P1055" i="1"/>
  <c r="P1061" i="1"/>
  <c r="P1062" i="1"/>
  <c r="P1063" i="1"/>
  <c r="P1064" i="1"/>
  <c r="P1065" i="1"/>
  <c r="P1066" i="1"/>
  <c r="P1067" i="1"/>
  <c r="P1068" i="1"/>
  <c r="P1796" i="1"/>
  <c r="P1797" i="1"/>
  <c r="P1798" i="1"/>
  <c r="P1799" i="1"/>
  <c r="P1800" i="1"/>
  <c r="P1801" i="1"/>
  <c r="P1802" i="1"/>
  <c r="P1803" i="1"/>
  <c r="P1806" i="1"/>
  <c r="P1729" i="1"/>
  <c r="P1721" i="1"/>
  <c r="P1725" i="1"/>
  <c r="P2061" i="1"/>
  <c r="P2062" i="1"/>
  <c r="P2063" i="1"/>
  <c r="P2064" i="1"/>
  <c r="P2065" i="1"/>
  <c r="P2066" i="1"/>
  <c r="P2424" i="1"/>
  <c r="P2425" i="1"/>
  <c r="P2324" i="1"/>
  <c r="P2325" i="1"/>
  <c r="P2326" i="1"/>
  <c r="P2327" i="1"/>
  <c r="P2328" i="1"/>
  <c r="P2329" i="1"/>
  <c r="P2330" i="1"/>
  <c r="P2331" i="1"/>
  <c r="P1900" i="1"/>
  <c r="P1901" i="1"/>
  <c r="P670" i="1"/>
  <c r="P671" i="1"/>
  <c r="P1717" i="1"/>
  <c r="P657" i="1"/>
  <c r="P658" i="1"/>
  <c r="P659" i="1"/>
  <c r="P662" i="1"/>
  <c r="P663" i="1"/>
  <c r="P653" i="1"/>
  <c r="P654" i="1"/>
  <c r="P667" i="1"/>
  <c r="P1914" i="1"/>
  <c r="P1915" i="1"/>
  <c r="P1916" i="1"/>
  <c r="P1917" i="1"/>
  <c r="P1918" i="1"/>
  <c r="P890" i="1"/>
  <c r="P887" i="1"/>
  <c r="P891" i="1"/>
  <c r="P579" i="1"/>
  <c r="P580" i="1"/>
  <c r="P1897" i="1"/>
  <c r="P145" i="1"/>
  <c r="P1891" i="1"/>
  <c r="P2201" i="1"/>
  <c r="P2523" i="1"/>
  <c r="P2525" i="1"/>
  <c r="P2526" i="1"/>
  <c r="P1919" i="1"/>
  <c r="P1921" i="1"/>
  <c r="P1922" i="1"/>
  <c r="P1923" i="1"/>
  <c r="P1924" i="1"/>
  <c r="P800" i="1"/>
  <c r="P801" i="1"/>
  <c r="P802" i="1"/>
  <c r="P803" i="1"/>
  <c r="P804" i="1"/>
  <c r="P805" i="1"/>
  <c r="P806" i="1"/>
  <c r="P2067" i="1"/>
  <c r="P2068" i="1"/>
  <c r="P2069" i="1"/>
  <c r="P2071" i="1"/>
  <c r="P2070" i="1"/>
  <c r="P1731" i="1"/>
  <c r="P1730" i="1"/>
  <c r="P1732" i="1"/>
  <c r="P1733" i="1"/>
  <c r="P655" i="1"/>
  <c r="P660" i="1"/>
  <c r="P664" i="1"/>
  <c r="P668" i="1"/>
  <c r="P672" i="1"/>
  <c r="P1920" i="1"/>
  <c r="P821" i="1"/>
  <c r="P2338" i="1"/>
  <c r="P2339" i="1"/>
  <c r="P739" i="1"/>
  <c r="P706" i="1"/>
  <c r="P1665" i="1"/>
  <c r="P1594" i="1"/>
  <c r="P1595" i="1"/>
  <c r="P1771" i="1"/>
  <c r="P1734" i="1"/>
  <c r="P1735" i="1"/>
  <c r="P1736" i="1"/>
  <c r="P1737" i="1"/>
  <c r="P1738" i="1"/>
  <c r="P1739" i="1"/>
  <c r="P183" i="1"/>
  <c r="P184" i="1"/>
  <c r="P211" i="1"/>
  <c r="P210" i="1"/>
  <c r="P186" i="1"/>
  <c r="P185" i="1"/>
  <c r="P188" i="1"/>
  <c r="P187" i="1"/>
  <c r="P196" i="1"/>
  <c r="P195" i="1"/>
  <c r="P207" i="1"/>
  <c r="P206" i="1"/>
  <c r="P209" i="1"/>
  <c r="P208" i="1"/>
  <c r="P190" i="1"/>
  <c r="P1666" i="1"/>
  <c r="P807" i="1"/>
  <c r="P808" i="1"/>
  <c r="P809" i="1"/>
  <c r="P2605" i="1"/>
  <c r="P810" i="1"/>
  <c r="P812" i="1"/>
  <c r="P813" i="1"/>
  <c r="P811" i="1"/>
  <c r="P814" i="1"/>
  <c r="P815" i="1"/>
  <c r="P1925" i="1"/>
  <c r="P1926" i="1"/>
  <c r="P1927" i="1"/>
  <c r="P1928" i="1"/>
  <c r="P1929" i="1"/>
  <c r="P1930" i="1"/>
  <c r="P1932" i="1"/>
  <c r="P2072" i="1"/>
  <c r="P2073" i="1"/>
  <c r="P2074" i="1"/>
  <c r="P2075" i="1"/>
  <c r="P2076" i="1"/>
  <c r="P1931" i="1"/>
  <c r="P1933" i="1"/>
  <c r="P1934" i="1"/>
  <c r="P1936" i="1"/>
  <c r="P1935" i="1"/>
  <c r="P2077" i="1"/>
  <c r="P2202" i="1"/>
  <c r="P2203" i="1"/>
  <c r="P2204" i="1"/>
  <c r="P2205" i="1"/>
  <c r="P2078" i="1"/>
  <c r="P2079" i="1"/>
  <c r="P2080" i="1"/>
  <c r="P2081" i="1"/>
  <c r="P2082" i="1"/>
  <c r="P2083" i="1"/>
  <c r="P2084" i="1"/>
  <c r="P2206" i="1"/>
  <c r="P2207" i="1"/>
  <c r="P2208" i="1"/>
  <c r="P2209" i="1"/>
  <c r="P2210" i="1"/>
  <c r="P2211" i="1"/>
  <c r="P2212" i="1"/>
  <c r="P2213" i="1"/>
  <c r="P2214" i="1"/>
  <c r="P2215" i="1"/>
  <c r="P2216" i="1"/>
  <c r="P2332" i="1"/>
  <c r="P2333" i="1"/>
  <c r="P2334" i="1"/>
  <c r="P2335" i="1"/>
  <c r="P2336" i="1"/>
  <c r="P2337" i="1"/>
  <c r="P2426" i="1"/>
  <c r="P2427" i="1"/>
  <c r="P2428" i="1"/>
  <c r="P2429" i="1"/>
  <c r="P2430" i="1"/>
  <c r="P2431" i="1"/>
  <c r="P2432" i="1"/>
  <c r="P2433" i="1"/>
  <c r="P2434" i="1"/>
  <c r="P2435" i="1"/>
  <c r="P2436" i="1"/>
  <c r="P2437" i="1"/>
  <c r="P2438" i="1"/>
  <c r="P2439" i="1"/>
  <c r="P2440" i="1"/>
  <c r="P2441" i="1"/>
  <c r="P2527" i="1"/>
  <c r="P2528" i="1"/>
  <c r="P2529" i="1"/>
  <c r="P107" i="1"/>
  <c r="P110" i="1"/>
  <c r="P1482" i="1"/>
  <c r="P1473" i="1"/>
  <c r="P636" i="1"/>
  <c r="P634" i="1"/>
  <c r="P635" i="1"/>
  <c r="P637" i="1"/>
  <c r="P638" i="1"/>
  <c r="P640" i="1"/>
  <c r="P639" i="1"/>
  <c r="P641" i="1"/>
  <c r="P642" i="1"/>
  <c r="P643" i="1"/>
  <c r="P644" i="1"/>
  <c r="P645" i="1"/>
  <c r="P646" i="1"/>
  <c r="P647" i="1"/>
  <c r="P648" i="1"/>
  <c r="P649" i="1"/>
  <c r="P650" i="1"/>
  <c r="P651" i="1"/>
  <c r="P94" i="1"/>
  <c r="P98" i="1"/>
  <c r="P601" i="1"/>
  <c r="P622" i="1"/>
  <c r="P623" i="1"/>
  <c r="P624" i="1"/>
  <c r="P625" i="1"/>
  <c r="P628" i="1"/>
  <c r="P630" i="1"/>
  <c r="P621" i="1"/>
  <c r="P22" i="1"/>
  <c r="P23" i="1"/>
  <c r="P24" i="1"/>
  <c r="P25" i="1"/>
  <c r="P26" i="1"/>
  <c r="P27" i="1"/>
  <c r="P28" i="1"/>
  <c r="P29" i="1"/>
  <c r="P30" i="1"/>
  <c r="P61" i="1"/>
  <c r="P40" i="1"/>
  <c r="P39" i="1"/>
  <c r="P764" i="1"/>
  <c r="P765" i="1"/>
  <c r="P1807" i="1"/>
  <c r="P1808" i="1"/>
  <c r="P1809" i="1"/>
  <c r="P816" i="1"/>
  <c r="P817" i="1"/>
  <c r="P818" i="1"/>
  <c r="P819" i="1"/>
  <c r="P820" i="1"/>
  <c r="P395" i="1"/>
  <c r="P399" i="1"/>
  <c r="P146" i="1"/>
  <c r="P2217" i="1"/>
  <c r="P2218" i="1"/>
  <c r="P2219" i="1"/>
  <c r="P2220" i="1"/>
  <c r="P2340" i="1"/>
  <c r="P2341" i="1"/>
  <c r="P2342" i="1"/>
  <c r="P2343" i="1"/>
  <c r="P2536" i="1"/>
  <c r="P2537" i="1"/>
  <c r="P822" i="1"/>
  <c r="P823" i="1"/>
  <c r="P824" i="1"/>
  <c r="P278" i="1"/>
  <c r="P280" i="1"/>
  <c r="P281" i="1"/>
  <c r="P285" i="1"/>
  <c r="P310" i="1"/>
  <c r="P311" i="1"/>
  <c r="P766" i="1"/>
  <c r="P767"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085" i="1"/>
  <c r="P2086" i="1"/>
  <c r="P2087" i="1"/>
  <c r="P2088" i="1"/>
  <c r="P2089" i="1"/>
  <c r="P2090" i="1"/>
  <c r="P2091" i="1"/>
  <c r="P2092" i="1"/>
  <c r="P2093" i="1"/>
  <c r="P2094" i="1"/>
  <c r="P2096" i="1"/>
  <c r="P2097" i="1"/>
  <c r="P2095" i="1"/>
  <c r="P2098" i="1"/>
  <c r="P2099" i="1"/>
  <c r="P2100" i="1"/>
  <c r="P2101" i="1"/>
  <c r="P2102" i="1"/>
  <c r="P2103" i="1"/>
  <c r="P2105" i="1"/>
  <c r="P2104" i="1"/>
  <c r="P2344" i="1"/>
  <c r="P2442" i="1"/>
  <c r="P2443" i="1"/>
  <c r="P2444" i="1"/>
  <c r="P2445" i="1"/>
  <c r="P2446" i="1"/>
  <c r="P2447" i="1"/>
  <c r="P2538" i="1"/>
  <c r="P747" i="1"/>
  <c r="P748" i="1"/>
  <c r="P749" i="1"/>
  <c r="P825" i="1"/>
  <c r="P826" i="1"/>
  <c r="P827" i="1"/>
  <c r="P1937" i="1"/>
  <c r="P1938" i="1"/>
  <c r="P1939" i="1"/>
  <c r="P1940" i="1"/>
  <c r="P1941" i="1"/>
  <c r="P1942" i="1"/>
  <c r="P1943" i="1"/>
  <c r="P1945" i="1"/>
  <c r="P1946" i="1"/>
  <c r="P1947" i="1"/>
  <c r="P1948" i="1"/>
  <c r="P1949" i="1"/>
  <c r="P1950" i="1"/>
  <c r="P1951" i="1"/>
  <c r="P1952" i="1"/>
  <c r="P1953" i="1"/>
  <c r="P1954" i="1"/>
  <c r="P1955" i="1"/>
  <c r="P1956" i="1"/>
  <c r="P1957" i="1"/>
  <c r="P1958" i="1"/>
  <c r="P1959" i="1"/>
  <c r="P1960" i="1"/>
  <c r="P1961" i="1"/>
  <c r="P2539" i="1"/>
  <c r="P2540" i="1"/>
  <c r="P2541" i="1"/>
  <c r="P2542" i="1"/>
  <c r="P2543" i="1"/>
  <c r="P2544" i="1"/>
  <c r="P2545" i="1"/>
  <c r="P2546" i="1"/>
  <c r="P2547" i="1"/>
  <c r="P2548" i="1"/>
  <c r="P2549" i="1"/>
  <c r="P2550" i="1"/>
  <c r="P2551" i="1"/>
  <c r="P2345" i="1"/>
  <c r="P2346" i="1"/>
  <c r="P2347" i="1"/>
  <c r="P2348" i="1"/>
  <c r="P2349" i="1"/>
  <c r="P2350" i="1"/>
  <c r="P2351" i="1"/>
  <c r="P2352" i="1"/>
  <c r="P2353" i="1"/>
  <c r="P2354" i="1"/>
  <c r="P2355" i="1"/>
  <c r="P2356" i="1"/>
  <c r="P2357" i="1"/>
  <c r="P2358" i="1"/>
  <c r="P828" i="1"/>
  <c r="P829" i="1"/>
  <c r="P830" i="1"/>
  <c r="P831" i="1"/>
  <c r="P832" i="1"/>
  <c r="P833" i="1"/>
  <c r="P834" i="1"/>
  <c r="P835" i="1"/>
  <c r="P716" i="1"/>
  <c r="P717" i="1"/>
  <c r="P718" i="1"/>
  <c r="P719" i="1"/>
  <c r="P721" i="1"/>
  <c r="P610" i="1"/>
  <c r="P594" i="1"/>
  <c r="P626" i="1"/>
  <c r="P627" i="1"/>
  <c r="P1190" i="1"/>
  <c r="P1191" i="1"/>
  <c r="N419" i="1"/>
  <c r="P419" i="1"/>
  <c r="N508" i="1"/>
  <c r="P508" i="1"/>
  <c r="N408" i="1"/>
  <c r="P408" i="1"/>
  <c r="N507" i="1"/>
  <c r="P507" i="1"/>
  <c r="N365" i="1"/>
  <c r="N506" i="1"/>
  <c r="P506" i="1"/>
  <c r="N505" i="1"/>
  <c r="P505" i="1"/>
  <c r="N2567" i="1"/>
  <c r="P2567" i="1"/>
  <c r="N361" i="1"/>
  <c r="N362" i="1"/>
  <c r="N275" i="1"/>
  <c r="N975" i="1"/>
  <c r="N1006" i="1"/>
  <c r="N1007" i="1"/>
  <c r="S922" i="1"/>
  <c r="N922" i="1"/>
  <c r="N499" i="1"/>
  <c r="P499" i="1"/>
  <c r="N274" i="1"/>
  <c r="S602" i="1"/>
  <c r="N602" i="1"/>
  <c r="S769" i="1"/>
  <c r="S768" i="1"/>
  <c r="N768" i="1"/>
  <c r="P768" i="1"/>
  <c r="P498" i="1"/>
  <c r="S498" i="1"/>
  <c r="N498" i="1"/>
  <c r="S495" i="1"/>
  <c r="S496" i="1"/>
  <c r="S497" i="1"/>
  <c r="N497" i="1"/>
  <c r="P497" i="1"/>
  <c r="N495" i="1"/>
  <c r="P495" i="1"/>
  <c r="S271" i="1"/>
  <c r="S272" i="1"/>
  <c r="S273" i="1"/>
  <c r="S276" i="1"/>
  <c r="N273" i="1"/>
  <c r="N360" i="1"/>
  <c r="N1128" i="1"/>
  <c r="N1109" i="1"/>
  <c r="S1884" i="1"/>
  <c r="N1579" i="1"/>
  <c r="N1021" i="1"/>
  <c r="N1821" i="1"/>
  <c r="S1821" i="1"/>
  <c r="N974" i="1"/>
  <c r="N1020" i="1"/>
  <c r="S921" i="1"/>
  <c r="N921" i="1"/>
  <c r="S1173" i="1"/>
  <c r="P1173" i="1"/>
  <c r="N1173" i="1"/>
  <c r="S2564" i="1"/>
  <c r="P2564" i="1"/>
  <c r="N2564" i="1"/>
  <c r="N272" i="1"/>
  <c r="S1172" i="1"/>
  <c r="P1172" i="1"/>
  <c r="N1172" i="1"/>
  <c r="N1171" i="1"/>
  <c r="P1171" i="1"/>
  <c r="N271" i="1"/>
  <c r="S2608" i="1"/>
  <c r="S270" i="1"/>
  <c r="N270" i="1"/>
  <c r="S2246" i="1"/>
  <c r="N2246" i="1"/>
  <c r="P1211" i="1"/>
  <c r="N1211" i="1"/>
  <c r="S1170" i="1"/>
  <c r="P1170" i="1"/>
  <c r="N1170" i="1"/>
  <c r="S675" i="1"/>
  <c r="S674" i="1"/>
  <c r="S1332" i="1"/>
  <c r="S84" i="1"/>
  <c r="N84" i="1"/>
  <c r="S920" i="1"/>
  <c r="N920" i="1"/>
  <c r="N1108" i="1"/>
  <c r="P1193" i="1"/>
  <c r="P1192" i="1"/>
  <c r="S1198" i="1"/>
  <c r="P1198" i="1"/>
  <c r="S919" i="1"/>
  <c r="N919" i="1"/>
  <c r="N1005" i="1"/>
  <c r="N1107" i="1"/>
  <c r="N364" i="1"/>
  <c r="N843" i="1"/>
  <c r="N1212" i="1"/>
  <c r="N515" i="1"/>
  <c r="N496" i="1"/>
  <c r="N418" i="1"/>
  <c r="N409" i="1"/>
  <c r="N1882" i="1"/>
  <c r="N572" i="1"/>
  <c r="N569" i="1"/>
  <c r="N150" i="1"/>
  <c r="N79" i="1"/>
  <c r="N78" i="1"/>
  <c r="N1216" i="1"/>
  <c r="N267" i="1"/>
  <c r="N603" i="1"/>
  <c r="N769" i="1"/>
  <c r="N845" i="1"/>
  <c r="N1174" i="1"/>
  <c r="S515" i="1"/>
  <c r="S409" i="1"/>
  <c r="S1882" i="1"/>
  <c r="S572" i="1"/>
  <c r="S569" i="1"/>
  <c r="S150" i="1"/>
  <c r="S79" i="1"/>
  <c r="S78" i="1"/>
  <c r="S1216" i="1"/>
  <c r="S267" i="1"/>
  <c r="S1685" i="1"/>
  <c r="N1685" i="1"/>
  <c r="S1696" i="1"/>
  <c r="N1696" i="1"/>
  <c r="S1695" i="1"/>
  <c r="N1695" i="1"/>
  <c r="S1691" i="1"/>
  <c r="N1691" i="1"/>
  <c r="S1690" i="1"/>
  <c r="N1690" i="1"/>
  <c r="S1699" i="1"/>
  <c r="N1699" i="1"/>
  <c r="S1698" i="1"/>
  <c r="N1698" i="1"/>
  <c r="S1697" i="1"/>
  <c r="N1697" i="1"/>
  <c r="S1689" i="1"/>
  <c r="N1689" i="1"/>
  <c r="S1687" i="1"/>
  <c r="N1687" i="1"/>
  <c r="S1683" i="1"/>
  <c r="N1683" i="1"/>
  <c r="S1682" i="1"/>
  <c r="N1682" i="1"/>
  <c r="S1257" i="1"/>
  <c r="N1257" i="1"/>
  <c r="S269" i="1"/>
  <c r="N269" i="1"/>
  <c r="P1210" i="1"/>
  <c r="S1169" i="1"/>
  <c r="P1169" i="1"/>
  <c r="S2447" i="1"/>
  <c r="N2447" i="1"/>
  <c r="S842" i="1"/>
  <c r="P842" i="1"/>
  <c r="N842" i="1"/>
  <c r="S1167" i="1"/>
  <c r="P1167" i="1"/>
  <c r="P1209" i="1"/>
  <c r="S1516" i="1"/>
  <c r="S1517" i="1"/>
  <c r="N1517" i="1"/>
  <c r="N1516" i="1"/>
  <c r="S1373" i="1"/>
  <c r="S1379" i="1"/>
  <c r="N1379" i="1"/>
  <c r="N1373" i="1"/>
  <c r="N1332" i="1"/>
  <c r="S1825" i="1"/>
  <c r="N1825" i="1"/>
  <c r="S1824" i="1"/>
  <c r="N1824" i="1"/>
  <c r="S1823" i="1"/>
  <c r="N1823" i="1"/>
  <c r="S1826" i="1"/>
  <c r="N1826" i="1"/>
  <c r="S1822" i="1"/>
  <c r="N1822" i="1"/>
  <c r="S29" i="1"/>
  <c r="N29" i="1"/>
  <c r="S28" i="1"/>
  <c r="N28" i="1"/>
  <c r="S27" i="1"/>
  <c r="N27" i="1"/>
  <c r="S26" i="1"/>
  <c r="N26" i="1"/>
  <c r="S25" i="1"/>
  <c r="N25" i="1"/>
  <c r="S24" i="1"/>
  <c r="N24" i="1"/>
  <c r="S23" i="1"/>
  <c r="N23" i="1"/>
  <c r="P1208" i="1"/>
  <c r="S1166" i="1"/>
  <c r="P1166" i="1"/>
  <c r="S841" i="1"/>
  <c r="P841" i="1"/>
  <c r="N841" i="1"/>
  <c r="S2243" i="1"/>
  <c r="N2243" i="1"/>
  <c r="S1430" i="1"/>
  <c r="S1431" i="1"/>
  <c r="S1437" i="1"/>
  <c r="N1437" i="1"/>
  <c r="S1434" i="1"/>
  <c r="N1434" i="1"/>
  <c r="S1433" i="1"/>
  <c r="N1433" i="1"/>
  <c r="S1444" i="1"/>
  <c r="N369" i="1"/>
  <c r="N1106" i="1"/>
  <c r="N1013" i="1"/>
  <c r="S918" i="1"/>
  <c r="N918" i="1"/>
  <c r="N1084" i="1"/>
  <c r="N1047" i="1"/>
  <c r="P1206" i="1"/>
  <c r="P1207" i="1"/>
  <c r="N1207" i="1"/>
  <c r="S1163" i="1"/>
  <c r="S1164" i="1"/>
  <c r="S1165" i="1"/>
  <c r="N1165" i="1"/>
  <c r="P1165" i="1"/>
  <c r="S2247" i="1"/>
  <c r="N2247" i="1"/>
  <c r="N1206" i="1"/>
  <c r="P1164" i="1"/>
  <c r="N1164" i="1"/>
  <c r="N2242" i="1"/>
  <c r="S2242" i="1"/>
  <c r="N2563" i="1"/>
  <c r="P2563" i="1"/>
  <c r="S2563" i="1"/>
  <c r="S2104" i="1"/>
  <c r="N2104" i="1"/>
  <c r="N1961" i="1"/>
  <c r="S1961" i="1"/>
  <c r="P2568" i="1"/>
  <c r="N2568" i="1"/>
  <c r="P1163" i="1"/>
  <c r="N1163" i="1"/>
  <c r="N1205" i="1"/>
  <c r="P1205" i="1"/>
  <c r="S1755" i="1"/>
  <c r="N1755" i="1"/>
  <c r="S1329" i="1"/>
  <c r="N1329" i="1"/>
  <c r="S1363" i="1"/>
  <c r="N1363" i="1"/>
  <c r="S1436" i="1"/>
  <c r="N1436" i="1"/>
  <c r="S1391" i="1"/>
  <c r="N1391" i="1"/>
  <c r="S1512" i="1"/>
  <c r="N1512" i="1"/>
  <c r="S1162" i="1"/>
  <c r="P1162" i="1"/>
  <c r="S467" i="1"/>
  <c r="S1197" i="1"/>
  <c r="P1197" i="1"/>
  <c r="P1204" i="1"/>
  <c r="P1199" i="1"/>
  <c r="P1203" i="1"/>
  <c r="N1203" i="1"/>
  <c r="S1161" i="1"/>
  <c r="P1161" i="1"/>
  <c r="S839" i="1"/>
  <c r="P839" i="1"/>
  <c r="N839" i="1"/>
  <c r="S1160" i="1"/>
  <c r="P1160" i="1"/>
  <c r="S1202" i="1"/>
  <c r="P1202" i="1"/>
  <c r="S1196" i="1"/>
  <c r="P1196" i="1"/>
  <c r="S1201" i="1"/>
  <c r="P1201" i="1"/>
  <c r="S1194" i="1"/>
  <c r="P1194" i="1"/>
  <c r="S1159" i="1"/>
  <c r="P1159" i="1"/>
  <c r="N1062" i="1"/>
  <c r="N1061" i="1"/>
  <c r="N1004" i="1"/>
  <c r="N1105" i="1"/>
  <c r="S917" i="1"/>
  <c r="N917" i="1"/>
  <c r="N1649" i="1"/>
  <c r="S838" i="1"/>
  <c r="P838" i="1"/>
  <c r="N838" i="1"/>
  <c r="S2455" i="1"/>
  <c r="N2455" i="1"/>
  <c r="S466" i="1"/>
  <c r="S1754" i="1"/>
  <c r="N1754" i="1"/>
  <c r="S1362" i="1"/>
  <c r="N1362" i="1"/>
  <c r="S1327" i="1"/>
  <c r="N1327" i="1"/>
  <c r="N1430" i="1"/>
  <c r="S1199" i="1"/>
  <c r="S1195" i="1"/>
  <c r="P1195" i="1"/>
  <c r="P1212" i="1"/>
  <c r="S1200" i="1"/>
  <c r="P1200" i="1"/>
  <c r="S468" i="1"/>
  <c r="S465" i="1"/>
  <c r="N2605" i="1"/>
  <c r="S1325" i="1"/>
  <c r="N1325" i="1"/>
  <c r="S1256" i="1"/>
  <c r="N1256" i="1"/>
  <c r="N1083" i="1"/>
  <c r="N1082" i="1"/>
  <c r="N1104" i="1"/>
  <c r="S916" i="1"/>
  <c r="N916" i="1"/>
  <c r="S837" i="1"/>
  <c r="P837" i="1"/>
  <c r="N837" i="1"/>
  <c r="S464" i="1"/>
  <c r="S463" i="1"/>
  <c r="N1577" i="1"/>
  <c r="S117" i="1"/>
  <c r="N117" i="1"/>
  <c r="S2565" i="1"/>
  <c r="P2565" i="1"/>
  <c r="N2565" i="1"/>
  <c r="S2562" i="1"/>
  <c r="P2562" i="1"/>
  <c r="N2562" i="1"/>
  <c r="S2244" i="1"/>
  <c r="N2244" i="1"/>
  <c r="S2241" i="1"/>
  <c r="N2241" i="1"/>
  <c r="S1959" i="1"/>
  <c r="N1959" i="1"/>
  <c r="S462" i="1"/>
  <c r="N1081" i="1"/>
  <c r="N1103" i="1"/>
  <c r="S1709" i="1"/>
  <c r="N1709" i="1"/>
  <c r="S1324" i="1"/>
  <c r="N1324" i="1"/>
  <c r="S1361" i="1"/>
  <c r="N1361" i="1"/>
  <c r="S1390" i="1"/>
  <c r="N1390" i="1"/>
  <c r="S1119" i="1"/>
  <c r="N1119" i="1"/>
  <c r="N1102" i="1"/>
  <c r="S915" i="1"/>
  <c r="N915" i="1"/>
  <c r="N840" i="1"/>
  <c r="S146" i="1"/>
  <c r="N146" i="1"/>
  <c r="S1956" i="1"/>
  <c r="N1956" i="1"/>
  <c r="S461" i="1"/>
  <c r="N659" i="1"/>
  <c r="N38" i="1"/>
  <c r="N54" i="1"/>
  <c r="S54" i="1"/>
  <c r="N1141" i="1"/>
  <c r="N973" i="1"/>
  <c r="N1019" i="1"/>
  <c r="N914" i="1"/>
  <c r="S914" i="1"/>
  <c r="N928" i="1"/>
  <c r="S928" i="1"/>
  <c r="N1003" i="1"/>
  <c r="N1118" i="1"/>
  <c r="S1118" i="1"/>
  <c r="N1120" i="1"/>
  <c r="S1120" i="1"/>
  <c r="N1101" i="1"/>
  <c r="S1254" i="1"/>
  <c r="N1254" i="1"/>
  <c r="N1444" i="1"/>
  <c r="N1055" i="1"/>
  <c r="N1638" i="1"/>
  <c r="N1573" i="1"/>
  <c r="S2561" i="1"/>
  <c r="P2561" i="1"/>
  <c r="N2561" i="1"/>
  <c r="S2453" i="1"/>
  <c r="N2453" i="1"/>
  <c r="S2101" i="1"/>
  <c r="N2101" i="1"/>
  <c r="N1636" i="1"/>
  <c r="N1060" i="1"/>
  <c r="N1018" i="1"/>
  <c r="S913" i="1"/>
  <c r="N913" i="1"/>
  <c r="S1231" i="1"/>
  <c r="S1234" i="1"/>
  <c r="S2560" i="1"/>
  <c r="P2560" i="1"/>
  <c r="N2560" i="1"/>
  <c r="S2450" i="1"/>
  <c r="N2450" i="1"/>
  <c r="P2566" i="1"/>
  <c r="P629" i="1"/>
  <c r="P769" i="1"/>
  <c r="P845" i="1"/>
  <c r="P843" i="1"/>
  <c r="P840" i="1"/>
  <c r="P1174" i="1"/>
  <c r="P541" i="1"/>
  <c r="P1168" i="1"/>
  <c r="S629" i="1"/>
  <c r="S603" i="1"/>
  <c r="S845" i="1"/>
  <c r="S843" i="1"/>
  <c r="S840" i="1"/>
  <c r="S1174" i="1"/>
  <c r="S541" i="1"/>
  <c r="S2566" i="1"/>
  <c r="S82" i="1"/>
  <c r="N82" i="1"/>
  <c r="N1045" i="1"/>
  <c r="N1130" i="1"/>
  <c r="N1100" i="1"/>
  <c r="N972" i="1"/>
  <c r="N1030" i="1"/>
  <c r="N912" i="1"/>
  <c r="S81" i="1"/>
  <c r="N81" i="1"/>
  <c r="N1639" i="1"/>
  <c r="S1880" i="1"/>
  <c r="N1880" i="1"/>
  <c r="S2557" i="1"/>
  <c r="P2557" i="1"/>
  <c r="N2557" i="1"/>
  <c r="S1954" i="1"/>
  <c r="N1954" i="1"/>
  <c r="S2451" i="1"/>
  <c r="N2451" i="1"/>
  <c r="N1002" i="1"/>
  <c r="S1117" i="1"/>
  <c r="N1117" i="1"/>
  <c r="S911" i="1"/>
  <c r="N911" i="1"/>
  <c r="N1099" i="1"/>
  <c r="S85" i="1"/>
  <c r="S2456" i="1"/>
  <c r="N2456" i="1"/>
  <c r="S2240" i="1"/>
  <c r="N2240" i="1"/>
  <c r="S2103" i="1"/>
  <c r="N2103" i="1"/>
  <c r="S1953" i="1"/>
  <c r="N1953" i="1"/>
  <c r="S2098" i="1"/>
  <c r="N2098" i="1"/>
  <c r="S2236" i="1"/>
  <c r="N2236" i="1"/>
  <c r="S2448" i="1"/>
  <c r="N2448" i="1"/>
  <c r="S2556" i="1"/>
  <c r="P2556" i="1"/>
  <c r="N2556" i="1"/>
  <c r="N2566" i="1"/>
  <c r="S2559" i="1"/>
  <c r="P2559" i="1"/>
  <c r="N2559" i="1"/>
  <c r="S2558" i="1"/>
  <c r="P2558" i="1"/>
  <c r="N2558" i="1"/>
  <c r="S2555" i="1"/>
  <c r="P2555" i="1"/>
  <c r="N2555" i="1"/>
  <c r="S2457" i="1"/>
  <c r="N2457" i="1"/>
  <c r="S2454" i="1"/>
  <c r="N2454" i="1"/>
  <c r="S2452" i="1"/>
  <c r="N2452" i="1"/>
  <c r="S2449" i="1"/>
  <c r="N2449" i="1"/>
  <c r="S2245" i="1"/>
  <c r="N2245" i="1"/>
  <c r="S2239" i="1"/>
  <c r="N2239" i="1"/>
  <c r="S2238" i="1"/>
  <c r="N2238" i="1"/>
  <c r="S2237" i="1"/>
  <c r="N2237" i="1"/>
  <c r="S2235" i="1"/>
  <c r="N2235" i="1"/>
  <c r="S2105" i="1"/>
  <c r="N2105" i="1"/>
  <c r="S2102" i="1"/>
  <c r="N2102" i="1"/>
  <c r="S2100" i="1"/>
  <c r="N2100" i="1"/>
  <c r="S2099" i="1"/>
  <c r="N2099" i="1"/>
  <c r="S1958" i="1"/>
  <c r="N1958" i="1"/>
  <c r="S1957" i="1"/>
  <c r="N1957" i="1"/>
  <c r="S1955" i="1"/>
  <c r="N1955" i="1"/>
  <c r="S1952" i="1"/>
  <c r="N1952" i="1"/>
  <c r="S1951" i="1"/>
  <c r="N1951" i="1"/>
  <c r="N1098" i="1"/>
  <c r="N1110" i="1"/>
  <c r="S1525" i="1"/>
  <c r="N1525" i="1"/>
  <c r="N1634" i="1"/>
  <c r="N1575" i="1"/>
  <c r="S1879" i="1"/>
  <c r="N1879" i="1"/>
  <c r="N1255" i="1"/>
  <c r="S1255" i="1"/>
  <c r="N1044" i="1"/>
  <c r="N1129" i="1"/>
  <c r="N971" i="1"/>
  <c r="N1116" i="1"/>
  <c r="S1116" i="1"/>
  <c r="N1001" i="1"/>
  <c r="N942" i="1"/>
  <c r="N910" i="1"/>
  <c r="S910" i="1"/>
  <c r="N834" i="1"/>
  <c r="S834" i="1"/>
  <c r="N2234" i="1"/>
  <c r="S2234" i="1"/>
  <c r="N2096" i="1"/>
  <c r="S2096" i="1"/>
  <c r="S1360" i="1"/>
  <c r="N1360" i="1"/>
  <c r="S1323" i="1"/>
  <c r="N1323" i="1"/>
  <c r="S1402" i="1"/>
  <c r="N1402" i="1"/>
  <c r="S2554" i="1"/>
  <c r="P2554" i="1"/>
  <c r="N2554" i="1"/>
  <c r="N1571" i="1"/>
  <c r="S1192" i="1"/>
  <c r="S1193" i="1"/>
  <c r="S2357" i="1"/>
  <c r="N2357" i="1"/>
  <c r="S1948" i="1"/>
  <c r="N1570" i="1"/>
  <c r="S2550" i="1"/>
  <c r="N2550" i="1"/>
  <c r="S2553" i="1"/>
  <c r="N2553" i="1"/>
  <c r="P2553" i="1"/>
  <c r="S1950" i="1"/>
  <c r="N1950" i="1"/>
  <c r="S2356" i="1"/>
  <c r="N2356" i="1"/>
  <c r="S1487" i="1"/>
  <c r="N1487" i="1"/>
  <c r="S51" i="1"/>
  <c r="N51" i="1"/>
  <c r="N1568" i="1"/>
  <c r="S2355" i="1"/>
  <c r="N2355" i="1"/>
  <c r="S1949" i="1"/>
  <c r="N1949" i="1"/>
  <c r="S2552" i="1"/>
  <c r="P2552" i="1"/>
  <c r="N2552" i="1"/>
  <c r="N2353" i="1"/>
  <c r="N1948" i="1"/>
  <c r="S1863" i="1"/>
  <c r="N1863" i="1"/>
  <c r="S2549" i="1"/>
  <c r="N2549" i="1"/>
  <c r="S2095" i="1"/>
  <c r="N2095" i="1"/>
  <c r="S627" i="1"/>
  <c r="N627" i="1"/>
  <c r="S719" i="1"/>
  <c r="N719" i="1"/>
  <c r="S116" i="1"/>
  <c r="N116" i="1"/>
  <c r="S1322" i="1"/>
  <c r="N1322" i="1"/>
  <c r="N1000" i="1"/>
  <c r="N970" i="1"/>
  <c r="N1043" i="1"/>
  <c r="S718" i="1"/>
  <c r="N718" i="1"/>
  <c r="N1648" i="1"/>
  <c r="N1650" i="1"/>
  <c r="N85" i="1"/>
  <c r="S110" i="1"/>
  <c r="N110" i="1"/>
  <c r="S98" i="1"/>
  <c r="N98" i="1"/>
  <c r="S2233" i="1"/>
  <c r="N2233" i="1"/>
  <c r="S2548" i="1"/>
  <c r="N2548" i="1"/>
  <c r="S2093" i="1"/>
  <c r="N2093" i="1"/>
  <c r="S2352" i="1"/>
  <c r="N2352" i="1"/>
  <c r="N1784" i="1"/>
  <c r="S1784" i="1"/>
  <c r="N1785" i="1"/>
  <c r="S1785" i="1"/>
  <c r="N1788" i="1"/>
  <c r="S1788" i="1"/>
  <c r="N1794" i="1"/>
  <c r="S1794" i="1"/>
  <c r="S1708" i="1"/>
  <c r="N1708" i="1"/>
  <c r="S1524" i="1"/>
  <c r="N1524" i="1"/>
  <c r="S1501" i="1"/>
  <c r="N1501" i="1"/>
  <c r="S1393" i="1"/>
  <c r="S1338" i="1"/>
  <c r="N1338" i="1"/>
  <c r="S1285" i="1"/>
  <c r="S1287" i="1"/>
  <c r="S1288" i="1"/>
  <c r="S1292" i="1"/>
  <c r="N1288" i="1"/>
  <c r="N1292" i="1"/>
  <c r="S1269" i="1"/>
  <c r="N1269" i="1"/>
  <c r="S1265" i="1"/>
  <c r="N1265" i="1"/>
  <c r="S626" i="1"/>
  <c r="N626" i="1"/>
  <c r="N1738" i="1"/>
  <c r="N1737" i="1"/>
  <c r="S1752" i="1"/>
  <c r="N1752" i="1"/>
  <c r="S1877" i="1"/>
  <c r="N1877" i="1"/>
  <c r="S691" i="1"/>
  <c r="N691" i="1"/>
  <c r="S692" i="1"/>
  <c r="N692" i="1"/>
  <c r="S2232" i="1"/>
  <c r="N2232" i="1"/>
  <c r="S2446" i="1"/>
  <c r="N2446" i="1"/>
  <c r="S2230" i="1"/>
  <c r="N2230" i="1"/>
  <c r="S1251" i="1"/>
  <c r="N1251" i="1"/>
  <c r="S2444" i="1"/>
  <c r="N2444" i="1"/>
  <c r="S2350" i="1"/>
  <c r="N2350" i="1"/>
  <c r="S2229" i="1"/>
  <c r="N2229" i="1"/>
  <c r="S833" i="1"/>
  <c r="N833" i="1"/>
  <c r="S1168" i="1"/>
  <c r="S1190" i="1"/>
  <c r="S1191" i="1"/>
  <c r="S1158" i="1"/>
  <c r="S832" i="1"/>
  <c r="N832" i="1"/>
  <c r="S717" i="1"/>
  <c r="N717" i="1"/>
  <c r="S1509" i="1"/>
  <c r="N1509" i="1"/>
  <c r="S1435" i="1"/>
  <c r="N1435" i="1"/>
  <c r="S1359" i="1"/>
  <c r="N1359" i="1"/>
  <c r="S1498" i="1"/>
  <c r="N1498" i="1"/>
  <c r="S1320" i="1"/>
  <c r="N1320" i="1"/>
  <c r="S2227" i="1"/>
  <c r="N2227" i="1"/>
  <c r="S831" i="1"/>
  <c r="N831" i="1"/>
  <c r="S2349" i="1"/>
  <c r="N2349" i="1"/>
  <c r="S1876" i="1"/>
  <c r="N1876" i="1"/>
  <c r="N1736" i="1"/>
  <c r="S748" i="1"/>
  <c r="N748" i="1"/>
  <c r="N1042" i="1"/>
  <c r="N1080" i="1"/>
  <c r="S104" i="1"/>
  <c r="S2347" i="1"/>
  <c r="N2347" i="1"/>
  <c r="S2546" i="1"/>
  <c r="N2546" i="1"/>
  <c r="S2443" i="1"/>
  <c r="N2443" i="1"/>
  <c r="S1946" i="1"/>
  <c r="N1946" i="1"/>
  <c r="S830" i="1"/>
  <c r="N830" i="1"/>
  <c r="S2547" i="1"/>
  <c r="N2547" i="1"/>
  <c r="S2354" i="1"/>
  <c r="N2354" i="1"/>
  <c r="S2097" i="1"/>
  <c r="N2097" i="1"/>
  <c r="S1432" i="1"/>
  <c r="S1438" i="1"/>
  <c r="S1440" i="1"/>
  <c r="N1633" i="1"/>
  <c r="N1440" i="1"/>
  <c r="S2544" i="1"/>
  <c r="N2544" i="1"/>
  <c r="S829" i="1"/>
  <c r="N829" i="1"/>
  <c r="S828" i="1"/>
  <c r="N828" i="1"/>
  <c r="S2091" i="1"/>
  <c r="N2091" i="1"/>
  <c r="N1079" i="1"/>
  <c r="N941" i="1"/>
  <c r="N1067" i="1"/>
  <c r="N999" i="1"/>
  <c r="N1017" i="1"/>
  <c r="N1059" i="1"/>
  <c r="N1097" i="1"/>
  <c r="N909" i="1"/>
  <c r="S2088" i="1"/>
  <c r="N2088" i="1"/>
  <c r="N1632" i="1"/>
  <c r="N1631" i="1"/>
  <c r="N1635" i="1"/>
  <c r="N1735" i="1"/>
  <c r="S1357" i="1"/>
  <c r="N1357" i="1"/>
  <c r="S1773" i="1"/>
  <c r="N1773" i="1"/>
  <c r="S1461" i="1"/>
  <c r="N1461" i="1"/>
  <c r="S1318" i="1"/>
  <c r="N1318" i="1"/>
  <c r="S716" i="1"/>
  <c r="N716" i="1"/>
  <c r="S638" i="1"/>
  <c r="N638" i="1"/>
  <c r="S2545" i="1"/>
  <c r="N2545" i="1"/>
  <c r="S2543" i="1"/>
  <c r="N2543" i="1"/>
  <c r="S2445" i="1"/>
  <c r="N2445" i="1"/>
  <c r="S2442" i="1"/>
  <c r="N2442" i="1"/>
  <c r="S2351" i="1"/>
  <c r="N2351" i="1"/>
  <c r="S2348" i="1"/>
  <c r="N2348" i="1"/>
  <c r="S2346" i="1"/>
  <c r="N2346" i="1"/>
  <c r="S2231" i="1"/>
  <c r="N2231" i="1"/>
  <c r="S2228" i="1"/>
  <c r="N2228" i="1"/>
  <c r="S2226" i="1"/>
  <c r="N2226" i="1"/>
  <c r="S2094" i="1"/>
  <c r="N2094" i="1"/>
  <c r="S2092" i="1"/>
  <c r="N2092" i="1"/>
  <c r="S2090" i="1"/>
  <c r="N2090" i="1"/>
  <c r="S2089" i="1"/>
  <c r="N2089" i="1"/>
  <c r="S2083" i="1"/>
  <c r="S1947" i="1"/>
  <c r="N1947" i="1"/>
  <c r="S1945" i="1"/>
  <c r="N1945" i="1"/>
  <c r="N1140" i="1"/>
  <c r="N1086" i="1"/>
  <c r="N969" i="1"/>
  <c r="N1111" i="1"/>
  <c r="N1029" i="1"/>
  <c r="N1023" i="1"/>
  <c r="N998" i="1"/>
  <c r="S908" i="1"/>
  <c r="N908" i="1"/>
  <c r="N1566" i="1"/>
  <c r="S2542" i="1"/>
  <c r="N2542" i="1"/>
  <c r="S1249" i="1"/>
  <c r="N1249" i="1"/>
  <c r="S1248" i="1"/>
  <c r="N1248" i="1"/>
  <c r="S907" i="1"/>
  <c r="N907" i="1"/>
  <c r="S1115" i="1"/>
  <c r="N1115" i="1"/>
  <c r="N1096" i="1"/>
  <c r="N1028" i="1"/>
  <c r="N1016" i="1"/>
  <c r="N968" i="1"/>
  <c r="N1127" i="1"/>
  <c r="N1078" i="1"/>
  <c r="N1041" i="1"/>
  <c r="S1941" i="1"/>
  <c r="N1941" i="1"/>
  <c r="S1940" i="1"/>
  <c r="N1940" i="1"/>
  <c r="N1495" i="1"/>
  <c r="S1495" i="1"/>
  <c r="S1356" i="1"/>
  <c r="N1356" i="1"/>
  <c r="S1460" i="1"/>
  <c r="N1460" i="1"/>
  <c r="S1878" i="1"/>
  <c r="N1878" i="1"/>
  <c r="N737" i="1"/>
  <c r="S2541" i="1"/>
  <c r="N2541" i="1"/>
  <c r="S2086" i="1"/>
  <c r="N2086" i="1"/>
  <c r="S1938" i="1"/>
  <c r="N1938" i="1"/>
  <c r="S1406" i="1"/>
  <c r="N1406" i="1"/>
  <c r="S1488" i="1"/>
  <c r="N1488" i="1"/>
  <c r="S2539" i="1"/>
  <c r="N2539" i="1"/>
  <c r="S2540" i="1"/>
  <c r="N2540" i="1"/>
  <c r="S2225" i="1"/>
  <c r="N2225" i="1"/>
  <c r="S2224" i="1"/>
  <c r="N2224" i="1"/>
  <c r="S835" i="1"/>
  <c r="N1590" i="1"/>
  <c r="N1588" i="1"/>
  <c r="N1589" i="1"/>
  <c r="N1565" i="1"/>
  <c r="S1513" i="1"/>
  <c r="S1510" i="1"/>
  <c r="N1513" i="1"/>
  <c r="N1432" i="1"/>
  <c r="N1393" i="1"/>
  <c r="S1365" i="1"/>
  <c r="S1370" i="1"/>
  <c r="S1371" i="1"/>
  <c r="N1365" i="1"/>
  <c r="N1370" i="1"/>
  <c r="N1371" i="1"/>
  <c r="S1282" i="1"/>
  <c r="S1283" i="1"/>
  <c r="N1283" i="1"/>
  <c r="N1282" i="1"/>
  <c r="N1285" i="1"/>
  <c r="S2358" i="1"/>
  <c r="S2551" i="1"/>
  <c r="S2440" i="1"/>
  <c r="N2440" i="1"/>
  <c r="S2223" i="1"/>
  <c r="N2223" i="1"/>
  <c r="S956" i="1"/>
  <c r="N956" i="1"/>
  <c r="S115" i="1"/>
  <c r="N115" i="1"/>
  <c r="S1937" i="1"/>
  <c r="N1937" i="1"/>
  <c r="S2221" i="1"/>
  <c r="N2221" i="1"/>
  <c r="S2439" i="1"/>
  <c r="N2439" i="1"/>
  <c r="S825" i="1"/>
  <c r="N825" i="1"/>
  <c r="N1040" i="1"/>
  <c r="N1077" i="1"/>
  <c r="S1943" i="1"/>
  <c r="S764" i="1"/>
  <c r="S765" i="1"/>
  <c r="S1807" i="1"/>
  <c r="S1808" i="1"/>
  <c r="S1809" i="1"/>
  <c r="S816" i="1"/>
  <c r="S817" i="1"/>
  <c r="S818" i="1"/>
  <c r="S819" i="1"/>
  <c r="S820" i="1"/>
  <c r="S395" i="1"/>
  <c r="S399" i="1"/>
  <c r="S2217" i="1"/>
  <c r="S2218" i="1"/>
  <c r="S2219" i="1"/>
  <c r="S2220" i="1"/>
  <c r="S2340" i="1"/>
  <c r="S2341" i="1"/>
  <c r="S2342" i="1"/>
  <c r="S2343" i="1"/>
  <c r="S2536" i="1"/>
  <c r="S2537" i="1"/>
  <c r="S822" i="1"/>
  <c r="S823" i="1"/>
  <c r="S824" i="1"/>
  <c r="S278" i="1"/>
  <c r="S280" i="1"/>
  <c r="S281" i="1"/>
  <c r="S285" i="1"/>
  <c r="S310" i="1"/>
  <c r="S311" i="1"/>
  <c r="S767" i="1"/>
  <c r="S2222" i="1"/>
  <c r="S2085" i="1"/>
  <c r="S2087" i="1"/>
  <c r="S2344" i="1"/>
  <c r="S2538" i="1"/>
  <c r="S749" i="1"/>
  <c r="S826" i="1"/>
  <c r="S827" i="1"/>
  <c r="S1939" i="1"/>
  <c r="S1960" i="1"/>
  <c r="S721" i="1"/>
  <c r="S610" i="1"/>
  <c r="S594" i="1"/>
  <c r="S39" i="1"/>
  <c r="N1058" i="1"/>
  <c r="N1015" i="1"/>
  <c r="N1095" i="1"/>
  <c r="N949" i="1"/>
  <c r="N997" i="1"/>
  <c r="S906" i="1"/>
  <c r="N906" i="1"/>
  <c r="N1317" i="1"/>
  <c r="S1317" i="1"/>
  <c r="N1355" i="1"/>
  <c r="S1355" i="1"/>
  <c r="S1246" i="1"/>
  <c r="N1246" i="1"/>
  <c r="N1818" i="1"/>
  <c r="S1818" i="1"/>
  <c r="N2342" i="1"/>
  <c r="N2341" i="1"/>
  <c r="N1039" i="1"/>
  <c r="N1076" i="1"/>
  <c r="N1125" i="1"/>
  <c r="N967" i="1"/>
  <c r="N1094" i="1"/>
  <c r="S1401" i="1"/>
  <c r="N1401" i="1"/>
  <c r="S1508" i="1"/>
  <c r="N1508" i="1"/>
  <c r="S744" i="1"/>
  <c r="S1326" i="1"/>
  <c r="S1328" i="1"/>
  <c r="S1330" i="1"/>
  <c r="S1333" i="1"/>
  <c r="N1333" i="1"/>
  <c r="N1328" i="1"/>
  <c r="N1326" i="1"/>
  <c r="N1093" i="1"/>
  <c r="S905" i="1"/>
  <c r="N905" i="1"/>
  <c r="N1057" i="1"/>
  <c r="N996" i="1"/>
  <c r="N995" i="1"/>
  <c r="S1114" i="1"/>
  <c r="N1114" i="1"/>
  <c r="S904" i="1"/>
  <c r="N904" i="1"/>
  <c r="N1056" i="1"/>
  <c r="S1245" i="1"/>
  <c r="N1245" i="1"/>
  <c r="S1314" i="1"/>
  <c r="N1314" i="1"/>
  <c r="S1507" i="1"/>
  <c r="N1507" i="1"/>
  <c r="S1429" i="1"/>
  <c r="N1429" i="1"/>
  <c r="N1438" i="1"/>
  <c r="N1038" i="1"/>
  <c r="N1124" i="1"/>
  <c r="N1126" i="1"/>
  <c r="N966" i="1"/>
  <c r="S1816" i="1"/>
  <c r="N1816" i="1"/>
  <c r="S1458" i="1"/>
  <c r="N1458" i="1"/>
  <c r="N1750" i="1"/>
  <c r="N764" i="1"/>
  <c r="N1075" i="1"/>
  <c r="N1037" i="1"/>
  <c r="N2083" i="1"/>
  <c r="N822" i="1"/>
  <c r="N2219" i="1"/>
  <c r="N1065" i="1"/>
  <c r="N1066" i="1"/>
  <c r="N1034" i="1"/>
  <c r="N1091" i="1"/>
  <c r="N1092" i="1"/>
  <c r="N36" i="1"/>
  <c r="N994" i="1"/>
  <c r="S903" i="1"/>
  <c r="N903" i="1"/>
  <c r="N1036" i="1"/>
  <c r="N964" i="1"/>
  <c r="N959" i="1"/>
  <c r="S1819" i="1"/>
  <c r="N1819" i="1"/>
  <c r="S1817" i="1"/>
  <c r="N1817" i="1"/>
  <c r="S1316" i="1"/>
  <c r="N1316" i="1"/>
  <c r="S690" i="1"/>
  <c r="N690" i="1"/>
  <c r="N1050" i="1"/>
  <c r="N993" i="1"/>
  <c r="S902" i="1"/>
  <c r="N902" i="1"/>
  <c r="N2218" i="1"/>
  <c r="N1048" i="1"/>
  <c r="N963" i="1"/>
  <c r="N1122" i="1"/>
  <c r="N1074" i="1"/>
  <c r="N1014" i="1"/>
  <c r="N1054" i="1"/>
  <c r="N1090" i="1"/>
  <c r="N992" i="1"/>
  <c r="S901" i="1"/>
  <c r="N901" i="1"/>
  <c r="S2215" i="1"/>
  <c r="S18" i="1"/>
  <c r="S17" i="1"/>
  <c r="S405" i="1"/>
  <c r="S1845" i="1"/>
  <c r="S1864" i="1"/>
  <c r="S40" i="1"/>
  <c r="S61" i="1"/>
  <c r="S30" i="1"/>
  <c r="S22" i="1"/>
  <c r="S2441" i="1"/>
  <c r="S2438" i="1"/>
  <c r="S2216" i="1"/>
  <c r="S2084" i="1"/>
  <c r="S2082" i="1"/>
  <c r="S1873" i="1"/>
  <c r="S1881" i="1"/>
  <c r="N1881" i="1"/>
  <c r="N2215" i="1"/>
  <c r="N819" i="1"/>
  <c r="N818" i="1"/>
  <c r="S2533" i="1"/>
  <c r="S2534" i="1"/>
  <c r="N2533" i="1"/>
  <c r="N2534" i="1"/>
  <c r="S2213" i="1"/>
  <c r="N2213" i="1"/>
  <c r="S2212" i="1"/>
  <c r="S2214" i="1"/>
  <c r="S2211" i="1"/>
  <c r="N2211" i="1"/>
  <c r="N1630" i="1"/>
  <c r="N1564" i="1"/>
  <c r="N1089" i="1"/>
  <c r="S955" i="1"/>
  <c r="N955" i="1"/>
  <c r="S1113" i="1"/>
  <c r="N1113" i="1"/>
  <c r="N1064" i="1"/>
  <c r="N1033" i="1"/>
  <c r="N991" i="1"/>
  <c r="S899" i="1"/>
  <c r="S900" i="1"/>
  <c r="N900" i="1"/>
  <c r="N1073" i="1"/>
  <c r="N961" i="1"/>
  <c r="N962" i="1"/>
  <c r="N965" i="1"/>
  <c r="S2437" i="1"/>
  <c r="N1864" i="1"/>
  <c r="N1567" i="1"/>
  <c r="S1506" i="1"/>
  <c r="S1494" i="1"/>
  <c r="S1496" i="1"/>
  <c r="S1497" i="1"/>
  <c r="N1496" i="1"/>
  <c r="N1497" i="1"/>
  <c r="N1494" i="1"/>
  <c r="S1464" i="1"/>
  <c r="N1464" i="1"/>
  <c r="N1431" i="1"/>
  <c r="S1403" i="1"/>
  <c r="N1403" i="1"/>
  <c r="S1389" i="1"/>
  <c r="S1392" i="1"/>
  <c r="N1389" i="1"/>
  <c r="N1392" i="1"/>
  <c r="S1358" i="1"/>
  <c r="S1364" i="1"/>
  <c r="N1364" i="1"/>
  <c r="N1358" i="1"/>
  <c r="N1330" i="1"/>
  <c r="S1241" i="1"/>
  <c r="S1243" i="1"/>
  <c r="S1244" i="1"/>
  <c r="S1242" i="1"/>
  <c r="S1247" i="1"/>
  <c r="S1250" i="1"/>
  <c r="S1252" i="1"/>
  <c r="S1253" i="1"/>
  <c r="S2532" i="1"/>
  <c r="N2532" i="1"/>
  <c r="N2437" i="1"/>
  <c r="N2082" i="1"/>
  <c r="N2438" i="1"/>
  <c r="N1563" i="1"/>
  <c r="N1629" i="1"/>
  <c r="S688" i="1"/>
  <c r="S687" i="1"/>
  <c r="S686" i="1"/>
  <c r="N1243" i="1"/>
  <c r="S1802" i="1"/>
  <c r="N1802" i="1"/>
  <c r="N1627" i="1"/>
  <c r="N1562" i="1"/>
  <c r="N990" i="1"/>
  <c r="N899" i="1"/>
  <c r="S2535" i="1"/>
  <c r="N2535" i="1"/>
  <c r="S2436" i="1"/>
  <c r="N2436" i="1"/>
  <c r="S2081" i="1"/>
  <c r="N2081" i="1"/>
  <c r="S1801" i="1"/>
  <c r="S953" i="1"/>
  <c r="S954" i="1"/>
  <c r="N954" i="1"/>
  <c r="N1027" i="1"/>
  <c r="N1032" i="1"/>
  <c r="N816" i="1"/>
  <c r="S2434" i="1"/>
  <c r="S2435" i="1"/>
  <c r="N2435" i="1"/>
  <c r="S1936" i="1"/>
  <c r="N1936" i="1"/>
  <c r="N887" i="1"/>
  <c r="S1764" i="1"/>
  <c r="N1764" i="1"/>
  <c r="S1758" i="1"/>
  <c r="N1758" i="1"/>
  <c r="S1486" i="1"/>
  <c r="N1486" i="1"/>
  <c r="S136" i="1"/>
  <c r="N136" i="1"/>
  <c r="N674" i="1"/>
  <c r="S1934" i="1"/>
  <c r="S1933" i="1"/>
  <c r="S2080" i="1"/>
  <c r="N2080" i="1"/>
  <c r="S2210" i="1"/>
  <c r="N2210" i="1"/>
  <c r="N1934" i="1"/>
  <c r="N1595" i="1"/>
  <c r="S1457" i="1"/>
  <c r="N1457" i="1"/>
  <c r="S1814" i="1"/>
  <c r="N1814" i="1"/>
  <c r="N1241" i="1"/>
  <c r="N1560" i="1"/>
  <c r="N1751" i="1"/>
  <c r="N363" i="1"/>
  <c r="N1801" i="1"/>
  <c r="S113" i="1"/>
  <c r="S1493" i="1"/>
  <c r="S1748" i="1"/>
  <c r="N1558" i="1"/>
  <c r="N823" i="1"/>
  <c r="N824" i="1"/>
  <c r="N399" i="1"/>
  <c r="N2217" i="1"/>
  <c r="N2220" i="1"/>
  <c r="N2340" i="1"/>
  <c r="N2343" i="1"/>
  <c r="N2536" i="1"/>
  <c r="N2537" i="1"/>
  <c r="S898" i="1"/>
  <c r="N940" i="1"/>
  <c r="N989" i="1"/>
  <c r="N947" i="1"/>
  <c r="N1025" i="1"/>
  <c r="N1026" i="1"/>
  <c r="N898" i="1"/>
  <c r="N953" i="1"/>
  <c r="N359" i="1"/>
  <c r="S1311" i="1"/>
  <c r="N1311" i="1"/>
  <c r="N1493" i="1"/>
  <c r="S118" i="1"/>
  <c r="N118" i="1"/>
  <c r="N1123" i="1"/>
  <c r="N960" i="1"/>
  <c r="S2079" i="1"/>
  <c r="N2079" i="1"/>
  <c r="S2209" i="1"/>
  <c r="N2209" i="1"/>
  <c r="N2434" i="1"/>
  <c r="N765" i="1"/>
  <c r="N1749" i="1"/>
  <c r="N1813" i="1"/>
  <c r="S1813" i="1"/>
  <c r="S2617" i="1"/>
  <c r="N2617" i="1"/>
  <c r="S1239" i="1"/>
  <c r="N1239" i="1"/>
  <c r="S1811" i="1"/>
  <c r="N1811" i="1"/>
  <c r="S1309" i="1"/>
  <c r="S1308" i="1"/>
  <c r="S1798" i="1"/>
  <c r="N1798" i="1"/>
  <c r="S662" i="1"/>
  <c r="N662" i="1"/>
  <c r="S670" i="1"/>
  <c r="N670" i="1"/>
  <c r="S653" i="1"/>
  <c r="N653" i="1"/>
  <c r="S2526" i="1"/>
  <c r="S1919" i="1"/>
  <c r="S1921" i="1"/>
  <c r="S1922" i="1"/>
  <c r="S1923" i="1"/>
  <c r="S1924" i="1"/>
  <c r="S800" i="1"/>
  <c r="S801" i="1"/>
  <c r="S802" i="1"/>
  <c r="S803" i="1"/>
  <c r="S804" i="1"/>
  <c r="S805" i="1"/>
  <c r="S1796" i="1"/>
  <c r="S1797" i="1"/>
  <c r="S1799" i="1"/>
  <c r="S1800" i="1"/>
  <c r="S1803" i="1"/>
  <c r="S1806" i="1"/>
  <c r="S1729" i="1"/>
  <c r="S1721" i="1"/>
  <c r="S1725" i="1"/>
  <c r="S952" i="1"/>
  <c r="S957" i="1"/>
  <c r="S893" i="1"/>
  <c r="S894" i="1"/>
  <c r="S896" i="1"/>
  <c r="S895" i="1"/>
  <c r="S897" i="1"/>
  <c r="N1870" i="1"/>
  <c r="N1625" i="1"/>
  <c r="S1850" i="1"/>
  <c r="N1850" i="1"/>
  <c r="S1775" i="1"/>
  <c r="N1775" i="1"/>
  <c r="N1072" i="1"/>
  <c r="N1071" i="1"/>
  <c r="N897" i="1"/>
  <c r="N943" i="1"/>
  <c r="N939" i="1"/>
  <c r="S658" i="1"/>
  <c r="N658" i="1"/>
  <c r="N1748" i="1"/>
  <c r="S1744" i="1"/>
  <c r="N1744" i="1"/>
  <c r="N1747" i="1"/>
  <c r="S1862" i="1"/>
  <c r="N1862" i="1"/>
  <c r="N948" i="1"/>
  <c r="N1308" i="1"/>
  <c r="N1799" i="1"/>
  <c r="S601" i="1"/>
  <c r="N601" i="1"/>
  <c r="S114" i="1"/>
  <c r="N114" i="1"/>
  <c r="N113" i="1"/>
  <c r="N952" i="1"/>
  <c r="N1012" i="1"/>
  <c r="N988" i="1"/>
  <c r="N1024" i="1"/>
  <c r="S1456" i="1"/>
  <c r="N1456" i="1"/>
  <c r="S2338" i="1"/>
  <c r="N2338" i="1"/>
  <c r="S2078" i="1"/>
  <c r="N2078" i="1"/>
  <c r="S1931" i="1"/>
  <c r="N1931" i="1"/>
  <c r="S814" i="1"/>
  <c r="N814" i="1"/>
  <c r="N673" i="1"/>
  <c r="N675" i="1"/>
  <c r="S763" i="1"/>
  <c r="N763" i="1"/>
  <c r="N1559" i="1"/>
  <c r="S1734" i="1"/>
  <c r="S2531" i="1"/>
  <c r="N2531" i="1"/>
  <c r="S2530" i="1"/>
  <c r="N2530" i="1"/>
  <c r="S2524" i="1"/>
  <c r="N2524" i="1"/>
  <c r="S2433" i="1"/>
  <c r="N2433" i="1"/>
  <c r="N2216" i="1"/>
  <c r="N2214" i="1"/>
  <c r="N2212" i="1"/>
  <c r="S2208" i="1"/>
  <c r="N2208" i="1"/>
  <c r="N2084" i="1"/>
  <c r="S1935" i="1"/>
  <c r="N1935" i="1"/>
  <c r="N1933" i="1"/>
  <c r="S713" i="1"/>
  <c r="N713" i="1"/>
  <c r="S622" i="1"/>
  <c r="N622" i="1"/>
  <c r="S1354" i="1"/>
  <c r="N945" i="1"/>
  <c r="N987" i="1"/>
  <c r="N896" i="1"/>
  <c r="N938" i="1"/>
  <c r="N1053" i="1"/>
  <c r="N944" i="1"/>
  <c r="S2432" i="1"/>
  <c r="N2432" i="1"/>
  <c r="S813" i="1"/>
  <c r="N813" i="1"/>
  <c r="N1236" i="1"/>
  <c r="S1236" i="1"/>
  <c r="N1454" i="1"/>
  <c r="S1454" i="1"/>
  <c r="S1679" i="1"/>
  <c r="N1679" i="1"/>
  <c r="S1677" i="1"/>
  <c r="N1677" i="1"/>
  <c r="S2206" i="1"/>
  <c r="N2206" i="1"/>
  <c r="S2430" i="1"/>
  <c r="N2430" i="1"/>
  <c r="S811" i="1"/>
  <c r="N811" i="1"/>
  <c r="N2074" i="1"/>
  <c r="S2429" i="1"/>
  <c r="N2429" i="1"/>
  <c r="N809" i="1"/>
  <c r="N1928" i="1"/>
  <c r="S2067" i="1"/>
  <c r="S2068" i="1"/>
  <c r="S2069" i="1"/>
  <c r="S806"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2077" i="1"/>
  <c r="N207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N264" i="1"/>
  <c r="N265" i="1"/>
  <c r="N276" i="1"/>
  <c r="N266" i="1"/>
  <c r="S651" i="1"/>
  <c r="S650" i="1"/>
  <c r="S649" i="1"/>
  <c r="S648" i="1"/>
  <c r="S647" i="1"/>
  <c r="S646" i="1"/>
  <c r="S645" i="1"/>
  <c r="S644" i="1"/>
  <c r="S643" i="1"/>
  <c r="N643" i="1"/>
  <c r="N644" i="1"/>
  <c r="N645" i="1"/>
  <c r="N646" i="1"/>
  <c r="N647" i="1"/>
  <c r="N648" i="1"/>
  <c r="N649" i="1"/>
  <c r="N650" i="1"/>
  <c r="N651" i="1"/>
  <c r="S642" i="1"/>
  <c r="N642" i="1"/>
  <c r="S641" i="1"/>
  <c r="N641" i="1"/>
  <c r="S639" i="1"/>
  <c r="N639" i="1"/>
  <c r="S640" i="1"/>
  <c r="N640" i="1"/>
  <c r="S637" i="1"/>
  <c r="N637" i="1"/>
  <c r="S635" i="1"/>
  <c r="N635" i="1"/>
  <c r="S634" i="1"/>
  <c r="N634" i="1"/>
  <c r="S2635" i="1"/>
  <c r="S2634" i="1"/>
  <c r="S2633" i="1"/>
  <c r="S2631" i="1"/>
  <c r="S2630" i="1"/>
  <c r="S2629" i="1"/>
  <c r="N2635" i="1"/>
  <c r="S2628" i="1"/>
  <c r="N2628" i="1"/>
  <c r="N2629" i="1"/>
  <c r="N2630" i="1"/>
  <c r="N2631" i="1"/>
  <c r="N2633" i="1"/>
  <c r="N2634" i="1"/>
  <c r="N1052" i="1"/>
  <c r="N895" i="1"/>
  <c r="N937" i="1"/>
  <c r="N666" i="1"/>
  <c r="S1753" i="1"/>
  <c r="N1753" i="1"/>
  <c r="S1746" i="1"/>
  <c r="N1746" i="1"/>
  <c r="S630" i="1"/>
  <c r="N630" i="1"/>
  <c r="S628" i="1"/>
  <c r="N628" i="1"/>
  <c r="S625" i="1"/>
  <c r="N625" i="1"/>
  <c r="S624" i="1"/>
  <c r="N624" i="1"/>
  <c r="S623" i="1"/>
  <c r="N623" i="1"/>
  <c r="S636" i="1"/>
  <c r="N636" i="1"/>
  <c r="S2625" i="1"/>
  <c r="N2625" i="1"/>
  <c r="S2071" i="1"/>
  <c r="S2523" i="1"/>
  <c r="S2201" i="1"/>
  <c r="S1473" i="1"/>
  <c r="S1482" i="1"/>
  <c r="S1680" i="1"/>
  <c r="S1412" i="1"/>
  <c r="S1413" i="1"/>
  <c r="S1414" i="1"/>
  <c r="S1416" i="1"/>
  <c r="S1418" i="1"/>
  <c r="S1423" i="1"/>
  <c r="S1421" i="1"/>
  <c r="S1420" i="1"/>
  <c r="S1427" i="1"/>
  <c r="S1426" i="1"/>
  <c r="S1425" i="1"/>
  <c r="S1424" i="1"/>
  <c r="N1234" i="1"/>
  <c r="S1860" i="1"/>
  <c r="S1861" i="1"/>
  <c r="N1861" i="1"/>
  <c r="S1855" i="1"/>
  <c r="N1855" i="1"/>
  <c r="S1767" i="1"/>
  <c r="N1767" i="1"/>
  <c r="S1676" i="1"/>
  <c r="N1676" i="1"/>
  <c r="N1587" i="1"/>
  <c r="N1584" i="1"/>
  <c r="N1583" i="1"/>
  <c r="N1582" i="1"/>
  <c r="N1581" i="1"/>
  <c r="N1576" i="1"/>
  <c r="S1520" i="1"/>
  <c r="S1492" i="1"/>
  <c r="S1465" i="1"/>
  <c r="N1465" i="1"/>
  <c r="S1462" i="1"/>
  <c r="N1462" i="1"/>
  <c r="S1459" i="1"/>
  <c r="N1459" i="1"/>
  <c r="S1428" i="1"/>
  <c r="S1336" i="1"/>
  <c r="N1336" i="1"/>
  <c r="S1321" i="1"/>
  <c r="N1321" i="1"/>
  <c r="S1310" i="1"/>
  <c r="N1310" i="1"/>
  <c r="S1312" i="1"/>
  <c r="S1278" i="1"/>
  <c r="N1278" i="1"/>
  <c r="S1276" i="1"/>
  <c r="N1276" i="1"/>
  <c r="S1235" i="1"/>
  <c r="S1233" i="1"/>
  <c r="S1232" i="1"/>
  <c r="N39" i="1"/>
  <c r="N1809" i="1"/>
  <c r="N1808" i="1"/>
  <c r="N1807" i="1"/>
  <c r="N817" i="1"/>
  <c r="N820" i="1"/>
  <c r="N395" i="1"/>
  <c r="N767" i="1"/>
  <c r="N2222" i="1"/>
  <c r="N2085" i="1"/>
  <c r="N2087" i="1"/>
  <c r="N2344" i="1"/>
  <c r="N2538" i="1"/>
  <c r="N749" i="1"/>
  <c r="N826" i="1"/>
  <c r="N827" i="1"/>
  <c r="N1939" i="1"/>
  <c r="N1943" i="1"/>
  <c r="N1960" i="1"/>
  <c r="N2551" i="1"/>
  <c r="N2358" i="1"/>
  <c r="N835" i="1"/>
  <c r="N721" i="1"/>
  <c r="N610" i="1"/>
  <c r="N594" i="1"/>
  <c r="N40" i="1"/>
  <c r="N61" i="1"/>
  <c r="S35" i="1"/>
  <c r="N30" i="1"/>
  <c r="N22" i="1"/>
  <c r="N706" i="1"/>
  <c r="N2526" i="1"/>
  <c r="N2427" i="1"/>
  <c r="N2204" i="1"/>
  <c r="N2334" i="1"/>
  <c r="N1926" i="1"/>
  <c r="N2073" i="1"/>
  <c r="N890" i="1"/>
  <c r="N687" i="1"/>
  <c r="N1070" i="1"/>
  <c r="N986" i="1"/>
  <c r="N936" i="1"/>
  <c r="N894" i="1"/>
  <c r="N1621" i="1"/>
  <c r="N1235" i="1"/>
  <c r="N686" i="1"/>
  <c r="N1556" i="1"/>
  <c r="N1680" i="1"/>
  <c r="N1428" i="1"/>
  <c r="N35" i="1"/>
  <c r="N935" i="1"/>
  <c r="N985" i="1"/>
  <c r="N1555" i="1"/>
  <c r="N1233" i="1"/>
  <c r="N1427" i="1"/>
  <c r="N263" i="1"/>
  <c r="N1624" i="1"/>
  <c r="N1623" i="1"/>
  <c r="N1561" i="1"/>
  <c r="N1553" i="1"/>
  <c r="N1088" i="1"/>
  <c r="N934" i="1"/>
  <c r="N984" i="1"/>
  <c r="N1552" i="1"/>
  <c r="N805" i="1"/>
  <c r="N1551" i="1"/>
  <c r="N933" i="1"/>
  <c r="N983" i="1"/>
  <c r="N1619" i="1"/>
  <c r="N1617" i="1"/>
  <c r="N1426" i="1"/>
  <c r="N1734" i="1"/>
  <c r="N1306" i="1"/>
  <c r="N1674" i="1"/>
  <c r="N1231" i="1"/>
  <c r="N1739" i="1"/>
  <c r="N1806" i="1"/>
  <c r="N1312" i="1"/>
  <c r="N1309" i="1"/>
  <c r="N803" i="1"/>
  <c r="N1554" i="1"/>
  <c r="N1628" i="1"/>
  <c r="N1425" i="1"/>
  <c r="N1250" i="1"/>
  <c r="N932" i="1"/>
  <c r="N982" i="1"/>
  <c r="N1305" i="1"/>
  <c r="N1423" i="1"/>
  <c r="N801" i="1"/>
  <c r="N144" i="1"/>
  <c r="N261" i="1"/>
  <c r="N806" i="1"/>
  <c r="N1664" i="1"/>
  <c r="N1915" i="1"/>
  <c r="N1873" i="1"/>
  <c r="N931" i="1"/>
  <c r="N981" i="1"/>
  <c r="N1304" i="1"/>
  <c r="N1520" i="1"/>
  <c r="N1510" i="1"/>
  <c r="N1424" i="1"/>
  <c r="N1354" i="1"/>
  <c r="N1672" i="1"/>
  <c r="N1663" i="1"/>
  <c r="N930" i="1"/>
  <c r="N980" i="1"/>
  <c r="N1492" i="1"/>
  <c r="N744" i="1"/>
  <c r="N2201" i="1"/>
  <c r="N800" i="1"/>
  <c r="N802" i="1"/>
  <c r="N804" i="1"/>
  <c r="N2523" i="1"/>
  <c r="N2067" i="1"/>
  <c r="N2068" i="1"/>
  <c r="N2069" i="1"/>
  <c r="N2071" i="1"/>
  <c r="N1921" i="1"/>
  <c r="N1922" i="1"/>
  <c r="N1923" i="1"/>
  <c r="N1924" i="1"/>
  <c r="N357" i="1"/>
  <c r="N580" i="1"/>
  <c r="N258" i="1"/>
  <c r="N355" i="1"/>
  <c r="N684" i="1"/>
  <c r="N2328" i="1"/>
  <c r="N2066" i="1"/>
  <c r="N1614" i="1"/>
  <c r="N1303" i="1"/>
  <c r="N951" i="1"/>
  <c r="N1613" i="1"/>
  <c r="N1353" i="1"/>
  <c r="N1372" i="1"/>
  <c r="N1400" i="1"/>
  <c r="N1453" i="1"/>
  <c r="N1647" i="1"/>
  <c r="N1644" i="1"/>
  <c r="N1642" i="1"/>
  <c r="N1618" i="1"/>
  <c r="N1620" i="1"/>
  <c r="N1615" i="1"/>
  <c r="N1611" i="1"/>
  <c r="N1302" i="1"/>
  <c r="N257" i="1"/>
  <c r="N2327" i="1"/>
  <c r="N354" i="1"/>
  <c r="N2064" i="1"/>
  <c r="N2063" i="1"/>
  <c r="N2326" i="1"/>
  <c r="N2318" i="1"/>
  <c r="N256" i="1"/>
  <c r="N352" i="1"/>
  <c r="N1610" i="1"/>
  <c r="N2043" i="1"/>
  <c r="N351" i="1"/>
  <c r="N2061" i="1"/>
  <c r="N1301" i="1"/>
  <c r="N2059" i="1"/>
  <c r="N255" i="1"/>
  <c r="N350" i="1"/>
  <c r="N1549" i="1"/>
  <c r="N2057" i="1"/>
  <c r="N349" i="1"/>
  <c r="N1421" i="1"/>
  <c r="N2054" i="1"/>
  <c r="N347" i="1"/>
  <c r="N2053" i="1"/>
  <c r="N346" i="1"/>
  <c r="N1662" i="1"/>
  <c r="N2413" i="1"/>
  <c r="N254" i="1"/>
  <c r="N2325" i="1"/>
  <c r="N1300" i="1"/>
  <c r="N1420" i="1"/>
  <c r="N345" i="1"/>
  <c r="N48" i="1"/>
  <c r="N49" i="1"/>
  <c r="N344" i="1"/>
  <c r="N252" i="1"/>
  <c r="N2322" i="1"/>
  <c r="N1601" i="1"/>
  <c r="S608" i="1"/>
  <c r="S609" i="1"/>
  <c r="N608" i="1"/>
  <c r="N609" i="1"/>
  <c r="N343" i="1"/>
  <c r="N251" i="1"/>
  <c r="S2200" i="1"/>
  <c r="N2200" i="1"/>
  <c r="N1548" i="1"/>
  <c r="S1777" i="1"/>
  <c r="N1777" i="1"/>
  <c r="N1860" i="1"/>
  <c r="N250" i="1"/>
  <c r="N1901" i="1"/>
  <c r="N2320" i="1"/>
  <c r="N2198" i="1"/>
  <c r="N342" i="1"/>
  <c r="N682" i="1"/>
  <c r="N249" i="1"/>
  <c r="N104" i="1"/>
  <c r="N93" i="1"/>
  <c r="N340" i="1"/>
  <c r="N2197" i="1"/>
  <c r="N2317" i="1"/>
  <c r="N348" i="1"/>
  <c r="N339" i="1"/>
  <c r="N248" i="1"/>
  <c r="N338" i="1"/>
  <c r="N247" i="1"/>
  <c r="N2195" i="1"/>
  <c r="N2315" i="1"/>
  <c r="N2314" i="1"/>
  <c r="N1546" i="1"/>
  <c r="N2193" i="1"/>
  <c r="N337" i="1"/>
  <c r="N246" i="1"/>
  <c r="N2422" i="1"/>
  <c r="N2190" i="1"/>
  <c r="N2312" i="1"/>
  <c r="N245" i="1"/>
  <c r="N336" i="1"/>
  <c r="N218" i="1"/>
  <c r="N681" i="1"/>
  <c r="N335" i="1"/>
  <c r="N244" i="1"/>
  <c r="N799" i="1"/>
  <c r="N243" i="1"/>
  <c r="N1545" i="1"/>
  <c r="N241" i="1"/>
  <c r="N2519" i="1"/>
  <c r="N798" i="1"/>
  <c r="N2311" i="1"/>
  <c r="N240" i="1"/>
  <c r="S1445" i="1"/>
  <c r="S1422" i="1"/>
  <c r="N1445" i="1"/>
  <c r="N1244" i="1"/>
  <c r="S1238" i="1"/>
  <c r="N1238" i="1"/>
  <c r="N1418" i="1"/>
  <c r="N796" i="1"/>
  <c r="N1299" i="1"/>
  <c r="N2419" i="1"/>
  <c r="N1543" i="1"/>
  <c r="N795" i="1"/>
  <c r="N1416" i="1"/>
  <c r="N2051" i="1"/>
  <c r="N793" i="1"/>
  <c r="N792" i="1"/>
  <c r="N2049" i="1"/>
  <c r="N2047" i="1"/>
  <c r="N1803" i="1"/>
  <c r="N1800" i="1"/>
  <c r="N2417" i="1"/>
  <c r="N2518" i="1"/>
  <c r="N1156" i="1"/>
  <c r="N1609" i="1"/>
  <c r="N2415" i="1"/>
  <c r="N2188" i="1"/>
  <c r="N1155" i="1"/>
  <c r="N1655" i="1"/>
  <c r="N1660" i="1"/>
  <c r="N1154" i="1"/>
  <c r="N333" i="1"/>
  <c r="N2186" i="1"/>
  <c r="N239" i="1"/>
  <c r="N1721" i="1"/>
  <c r="N332" i="1"/>
  <c r="N238" i="1"/>
  <c r="N2042" i="1"/>
  <c r="N2041" i="1"/>
  <c r="N2411" i="1"/>
  <c r="N1153" i="1"/>
  <c r="N732" i="1"/>
  <c r="S732" i="1"/>
  <c r="S743" i="1"/>
  <c r="S745" i="1"/>
  <c r="S746" i="1"/>
  <c r="N2410" i="1"/>
  <c r="N2181" i="1"/>
  <c r="N2038" i="1"/>
  <c r="N237" i="1"/>
  <c r="N331" i="1"/>
  <c r="N1659" i="1"/>
  <c r="N1658" i="1"/>
  <c r="N2403" i="1"/>
  <c r="S1419" i="1"/>
  <c r="N1419" i="1"/>
  <c r="S1387" i="1"/>
  <c r="N1388" i="1"/>
  <c r="S1388" i="1"/>
  <c r="N1150" i="1"/>
  <c r="N235" i="1"/>
  <c r="N2024" i="1"/>
  <c r="N2026" i="1"/>
  <c r="N1536" i="1"/>
  <c r="N2396" i="1"/>
  <c r="N2394" i="1"/>
  <c r="N401" i="1"/>
  <c r="N1293" i="1"/>
  <c r="N1455" i="1"/>
  <c r="N1478" i="1"/>
  <c r="N1479" i="1"/>
  <c r="N1484" i="1"/>
  <c r="N1490" i="1"/>
  <c r="N1491" i="1"/>
  <c r="N1503" i="1"/>
  <c r="N1504" i="1"/>
  <c r="N1505" i="1"/>
  <c r="N1506" i="1"/>
  <c r="N1519" i="1"/>
  <c r="N1772" i="1"/>
  <c r="N1776" i="1"/>
  <c r="N1857" i="1"/>
  <c r="N1868" i="1"/>
  <c r="N1298" i="1"/>
  <c r="N1307" i="1"/>
  <c r="N1313" i="1"/>
  <c r="N1315" i="1"/>
  <c r="N1319" i="1"/>
  <c r="N1386" i="1"/>
  <c r="N1387" i="1"/>
  <c r="N1395" i="1"/>
  <c r="N1408" i="1"/>
  <c r="N1409" i="1"/>
  <c r="N1411" i="1"/>
  <c r="N1415" i="1"/>
  <c r="N1422" i="1"/>
  <c r="N1480" i="1"/>
  <c r="N1481" i="1"/>
  <c r="N1763" i="1"/>
  <c r="N1774" i="1"/>
  <c r="N1810" i="1"/>
  <c r="N1812" i="1"/>
  <c r="N1815" i="1"/>
  <c r="N1820" i="1"/>
  <c r="N1847" i="1"/>
  <c r="N1848" i="1"/>
  <c r="N1849" i="1"/>
  <c r="N1851" i="1"/>
  <c r="N1858" i="1"/>
  <c r="N1859" i="1"/>
  <c r="N21" i="1"/>
  <c r="N65" i="1"/>
  <c r="N66" i="1"/>
  <c r="N67" i="1"/>
  <c r="N19" i="1"/>
  <c r="N1705" i="1"/>
  <c r="N1769" i="1"/>
  <c r="N1770" i="1"/>
  <c r="N63" i="1"/>
  <c r="N71" i="1"/>
  <c r="N70" i="1"/>
  <c r="N112" i="1"/>
  <c r="N99" i="1"/>
  <c r="N102" i="1"/>
  <c r="N120" i="1"/>
  <c r="N92" i="1"/>
  <c r="N131" i="1"/>
  <c r="N68" i="1"/>
  <c r="N77" i="1"/>
  <c r="N83" i="1"/>
  <c r="N20" i="1"/>
  <c r="N47" i="1"/>
  <c r="N50" i="1"/>
  <c r="N52" i="1"/>
  <c r="N53" i="1"/>
  <c r="N55" i="1"/>
  <c r="N312" i="1"/>
  <c r="N313" i="1"/>
  <c r="N632" i="1"/>
  <c r="N633" i="1"/>
  <c r="N2627" i="1"/>
  <c r="N2370" i="1"/>
  <c r="N2371" i="1"/>
  <c r="N2372" i="1"/>
  <c r="N2373" i="1"/>
  <c r="N2374" i="1"/>
  <c r="N2375" i="1"/>
  <c r="N2376" i="1"/>
  <c r="N2377" i="1"/>
  <c r="N2378" i="1"/>
  <c r="N2299" i="1"/>
  <c r="N2300" i="1"/>
  <c r="N2301" i="1"/>
  <c r="N770" i="1"/>
  <c r="N771" i="1"/>
  <c r="N1902" i="1"/>
  <c r="N1903" i="1"/>
  <c r="N1904" i="1"/>
  <c r="N1905" i="1"/>
  <c r="N1906" i="1"/>
  <c r="N2142" i="1"/>
  <c r="N2143" i="1"/>
  <c r="N2144" i="1"/>
  <c r="N2145" i="1"/>
  <c r="N2146" i="1"/>
  <c r="N2152" i="1"/>
  <c r="N2153" i="1"/>
  <c r="N2154" i="1"/>
  <c r="N2155" i="1"/>
  <c r="N2147" i="1"/>
  <c r="N2148" i="1"/>
  <c r="N2149" i="1"/>
  <c r="N2150" i="1"/>
  <c r="N2151" i="1"/>
  <c r="N2156" i="1"/>
  <c r="N2157" i="1"/>
  <c r="N581" i="1"/>
  <c r="N406" i="1"/>
  <c r="N12" i="1"/>
  <c r="N13" i="1"/>
  <c r="N14" i="1"/>
  <c r="N15" i="1"/>
  <c r="N1668" i="1"/>
  <c r="N1669" i="1"/>
  <c r="N1670" i="1"/>
  <c r="N1671" i="1"/>
  <c r="N1654" i="1"/>
  <c r="N1656" i="1"/>
  <c r="N1657" i="1"/>
  <c r="N1713" i="1"/>
  <c r="N1726" i="1"/>
  <c r="N1673" i="1"/>
  <c r="N1661" i="1"/>
  <c r="N615" i="1"/>
  <c r="N886" i="1"/>
  <c r="N885" i="1"/>
  <c r="N631" i="1"/>
  <c r="N213" i="1"/>
  <c r="N214" i="1"/>
  <c r="N215" i="1"/>
  <c r="N216" i="1"/>
  <c r="N217" i="1"/>
  <c r="N888" i="1"/>
  <c r="N889" i="1"/>
  <c r="N665" i="1"/>
  <c r="N661" i="1"/>
  <c r="N652" i="1"/>
  <c r="N669" i="1"/>
  <c r="N656" i="1"/>
  <c r="N586" i="1"/>
  <c r="N587" i="1"/>
  <c r="N1885" i="1"/>
  <c r="N1886" i="1"/>
  <c r="N1887" i="1"/>
  <c r="N1888" i="1"/>
  <c r="N1889" i="1"/>
  <c r="N1890" i="1"/>
  <c r="N762" i="1"/>
  <c r="N490" i="1"/>
  <c r="N491" i="1"/>
  <c r="N492" i="1"/>
  <c r="N493" i="1"/>
  <c r="N494" i="1"/>
  <c r="N2609" i="1"/>
  <c r="N531" i="1"/>
  <c r="N533" i="1"/>
  <c r="N75" i="1"/>
  <c r="N74" i="1"/>
  <c r="N62" i="1"/>
  <c r="N91" i="1"/>
  <c r="N101" i="1"/>
  <c r="N72" i="1"/>
  <c r="N73" i="1"/>
  <c r="N76" i="1"/>
  <c r="N90" i="1"/>
  <c r="N106" i="1"/>
  <c r="N111" i="1"/>
  <c r="N129" i="1"/>
  <c r="N132" i="1"/>
  <c r="N69" i="1"/>
  <c r="N80" i="1"/>
  <c r="N103" i="1"/>
  <c r="N105" i="1"/>
  <c r="N1846" i="1"/>
  <c r="N121" i="1"/>
  <c r="N123" i="1"/>
  <c r="N122" i="1"/>
  <c r="N124" i="1"/>
  <c r="N130" i="1"/>
  <c r="N134" i="1"/>
  <c r="N135" i="1"/>
  <c r="N138" i="1"/>
  <c r="N125" i="1"/>
  <c r="N126" i="1"/>
  <c r="N127" i="1"/>
  <c r="N128" i="1"/>
  <c r="N133" i="1"/>
  <c r="N137" i="1"/>
  <c r="N139" i="1"/>
  <c r="N140" i="1"/>
  <c r="N1845" i="1"/>
  <c r="N141" i="1"/>
  <c r="N142" i="1"/>
  <c r="N64" i="1"/>
  <c r="N1527" i="1"/>
  <c r="N1528" i="1"/>
  <c r="N1529" i="1"/>
  <c r="N1530" i="1"/>
  <c r="N1531" i="1"/>
  <c r="N1532" i="1"/>
  <c r="N1533" i="1"/>
  <c r="N1534" i="1"/>
  <c r="N1535" i="1"/>
  <c r="N1537" i="1"/>
  <c r="N1541" i="1"/>
  <c r="N1544" i="1"/>
  <c r="N1547" i="1"/>
  <c r="N1550" i="1"/>
  <c r="N1557" i="1"/>
  <c r="N1569" i="1"/>
  <c r="N1572" i="1"/>
  <c r="N1574" i="1"/>
  <c r="N1578" i="1"/>
  <c r="N1586" i="1"/>
  <c r="N2141" i="1"/>
  <c r="N606" i="1"/>
  <c r="N607" i="1"/>
  <c r="N1597" i="1"/>
  <c r="N1598" i="1"/>
  <c r="N1599" i="1"/>
  <c r="N1600" i="1"/>
  <c r="N1602" i="1"/>
  <c r="N1603" i="1"/>
  <c r="N1604" i="1"/>
  <c r="N1605" i="1"/>
  <c r="N1606" i="1"/>
  <c r="N1607" i="1"/>
  <c r="N1612" i="1"/>
  <c r="N1616" i="1"/>
  <c r="N1622" i="1"/>
  <c r="N1626" i="1"/>
  <c r="N1637" i="1"/>
  <c r="N1640" i="1"/>
  <c r="N1641" i="1"/>
  <c r="N2611" i="1"/>
  <c r="N532" i="1"/>
  <c r="N534" i="1"/>
  <c r="N535" i="1"/>
  <c r="N536" i="1"/>
  <c r="N537" i="1"/>
  <c r="N538" i="1"/>
  <c r="N1227" i="1"/>
  <c r="N1229" i="1"/>
  <c r="N37" i="1"/>
  <c r="N405" i="1"/>
  <c r="N404" i="1"/>
  <c r="N403" i="1"/>
  <c r="N212" i="1"/>
  <c r="N17" i="1"/>
  <c r="N18" i="1"/>
  <c r="N400" i="1"/>
  <c r="N181" i="1"/>
  <c r="N1795" i="1"/>
  <c r="N1526" i="1"/>
  <c r="N1745" i="1"/>
  <c r="N1710" i="1"/>
  <c r="N1500" i="1"/>
  <c r="N676" i="1"/>
  <c r="N677" i="1"/>
  <c r="N1892" i="1"/>
  <c r="N1893" i="1"/>
  <c r="N1727" i="1"/>
  <c r="N1728" i="1"/>
  <c r="N1715" i="1"/>
  <c r="N1716" i="1"/>
  <c r="N1714" i="1"/>
  <c r="N573" i="1"/>
  <c r="N729" i="1"/>
  <c r="N730" i="1"/>
  <c r="N740" i="1"/>
  <c r="N707" i="1"/>
  <c r="N314" i="1"/>
  <c r="N2613" i="1"/>
  <c r="N407" i="1"/>
  <c r="N588" i="1"/>
  <c r="N589" i="1"/>
  <c r="N219" i="1"/>
  <c r="N220" i="1"/>
  <c r="N227" i="1"/>
  <c r="N234" i="1"/>
  <c r="N236" i="1"/>
  <c r="N253" i="1"/>
  <c r="N260" i="1"/>
  <c r="N262" i="1"/>
  <c r="N315" i="1"/>
  <c r="N316" i="1"/>
  <c r="N317" i="1"/>
  <c r="N318" i="1"/>
  <c r="N319" i="1"/>
  <c r="N320" i="1"/>
  <c r="N329" i="1"/>
  <c r="N334" i="1"/>
  <c r="N353" i="1"/>
  <c r="N358" i="1"/>
  <c r="N366" i="1"/>
  <c r="N1907" i="1"/>
  <c r="N1908" i="1"/>
  <c r="N1909" i="1"/>
  <c r="N1910" i="1"/>
  <c r="N1911" i="1"/>
  <c r="N1912" i="1"/>
  <c r="N1913" i="1"/>
  <c r="N2158" i="1"/>
  <c r="N2159" i="1"/>
  <c r="N2160" i="1"/>
  <c r="N2161" i="1"/>
  <c r="N2162" i="1"/>
  <c r="N2163" i="1"/>
  <c r="N2164" i="1"/>
  <c r="N2165" i="1"/>
  <c r="N2166" i="1"/>
  <c r="N2167" i="1"/>
  <c r="N2168" i="1"/>
  <c r="N2169" i="1"/>
  <c r="N2170" i="1"/>
  <c r="N2004" i="1"/>
  <c r="N2005" i="1"/>
  <c r="N2006" i="1"/>
  <c r="N2007" i="1"/>
  <c r="N2008" i="1"/>
  <c r="N2009" i="1"/>
  <c r="N2010" i="1"/>
  <c r="N2011" i="1"/>
  <c r="N2012" i="1"/>
  <c r="N2013" i="1"/>
  <c r="N2014" i="1"/>
  <c r="N2015" i="1"/>
  <c r="N2016" i="1"/>
  <c r="N2017" i="1"/>
  <c r="N2018" i="1"/>
  <c r="N2019" i="1"/>
  <c r="N2020" i="1"/>
  <c r="N2021" i="1"/>
  <c r="N2022" i="1"/>
  <c r="N2023" i="1"/>
  <c r="N2379" i="1"/>
  <c r="N2380" i="1"/>
  <c r="N2381" i="1"/>
  <c r="N2382" i="1"/>
  <c r="N2383" i="1"/>
  <c r="N2384" i="1"/>
  <c r="N2385" i="1"/>
  <c r="N2386" i="1"/>
  <c r="N2387" i="1"/>
  <c r="N2388" i="1"/>
  <c r="N2389" i="1"/>
  <c r="N2390" i="1"/>
  <c r="N2391" i="1"/>
  <c r="N2392" i="1"/>
  <c r="N2393" i="1"/>
  <c r="N2302" i="1"/>
  <c r="N2303" i="1"/>
  <c r="N2304" i="1"/>
  <c r="N2305" i="1"/>
  <c r="N2306" i="1"/>
  <c r="N2307" i="1"/>
  <c r="N2308" i="1"/>
  <c r="N2309" i="1"/>
  <c r="N2497" i="1"/>
  <c r="N2498" i="1"/>
  <c r="N2499" i="1"/>
  <c r="N2500" i="1"/>
  <c r="N2501" i="1"/>
  <c r="N2502" i="1"/>
  <c r="N2503" i="1"/>
  <c r="N2504" i="1"/>
  <c r="N2622" i="1"/>
  <c r="N2623" i="1"/>
  <c r="N2624" i="1"/>
  <c r="N2614" i="1"/>
  <c r="N2615" i="1"/>
  <c r="N2616" i="1"/>
  <c r="N618" i="1"/>
  <c r="N619" i="1"/>
  <c r="N620" i="1"/>
  <c r="N600" i="1"/>
  <c r="N590" i="1"/>
  <c r="N591" i="1"/>
  <c r="N592" i="1"/>
  <c r="N593" i="1"/>
  <c r="N595" i="1"/>
  <c r="N596" i="1"/>
  <c r="N597" i="1"/>
  <c r="N598" i="1"/>
  <c r="N599" i="1"/>
  <c r="N616" i="1"/>
  <c r="N617" i="1"/>
  <c r="N733" i="1"/>
  <c r="N734" i="1"/>
  <c r="N735" i="1"/>
  <c r="N736" i="1"/>
  <c r="N708" i="1"/>
  <c r="N709" i="1"/>
  <c r="N710" i="1"/>
  <c r="N711" i="1"/>
  <c r="N712" i="1"/>
  <c r="N714" i="1"/>
  <c r="N715" i="1"/>
  <c r="N741" i="1"/>
  <c r="N742" i="1"/>
  <c r="N1142" i="1"/>
  <c r="N1143" i="1"/>
  <c r="N1144" i="1"/>
  <c r="N1145" i="1"/>
  <c r="N1146" i="1"/>
  <c r="N1147" i="1"/>
  <c r="N1898" i="1"/>
  <c r="N1899" i="1"/>
  <c r="N457" i="1"/>
  <c r="N950" i="1"/>
  <c r="N1112" i="1"/>
  <c r="N892" i="1"/>
  <c r="N570" i="1"/>
  <c r="N568" i="1"/>
  <c r="N1230" i="1"/>
  <c r="N1232" i="1"/>
  <c r="N1237" i="1"/>
  <c r="N1240" i="1"/>
  <c r="N1242" i="1"/>
  <c r="N1247" i="1"/>
  <c r="N1252" i="1"/>
  <c r="N1253" i="1"/>
  <c r="N1258" i="1"/>
  <c r="N1260" i="1"/>
  <c r="N1271" i="1"/>
  <c r="N1273" i="1"/>
  <c r="N1275" i="1"/>
  <c r="N1287" i="1"/>
  <c r="N1675" i="1"/>
  <c r="N1678" i="1"/>
  <c r="N1681" i="1"/>
  <c r="N1700" i="1"/>
  <c r="N1701" i="1"/>
  <c r="N1702" i="1"/>
  <c r="N1872" i="1"/>
  <c r="N1874" i="1"/>
  <c r="N772" i="1"/>
  <c r="N773" i="1"/>
  <c r="N774" i="1"/>
  <c r="N775" i="1"/>
  <c r="N776" i="1"/>
  <c r="N777" i="1"/>
  <c r="N1871" i="1"/>
  <c r="N2612" i="1"/>
  <c r="N402" i="1"/>
  <c r="N574" i="1"/>
  <c r="N1894" i="1"/>
  <c r="N1151" i="1"/>
  <c r="N2395" i="1"/>
  <c r="N2397" i="1"/>
  <c r="N2400" i="1"/>
  <c r="N2404" i="1"/>
  <c r="N2407" i="1"/>
  <c r="N2402" i="1"/>
  <c r="N2409" i="1"/>
  <c r="N2412" i="1"/>
  <c r="N778" i="1"/>
  <c r="N779" i="1"/>
  <c r="N780" i="1"/>
  <c r="N781" i="1"/>
  <c r="N782" i="1"/>
  <c r="N783" i="1"/>
  <c r="N785" i="1"/>
  <c r="N788" i="1"/>
  <c r="N789" i="1"/>
  <c r="N2171" i="1"/>
  <c r="N2172" i="1"/>
  <c r="N2173" i="1"/>
  <c r="N2174" i="1"/>
  <c r="N2176" i="1"/>
  <c r="N2179" i="1"/>
  <c r="N2180" i="1"/>
  <c r="N2182" i="1"/>
  <c r="N2025" i="1"/>
  <c r="N2027" i="1"/>
  <c r="N2030" i="1"/>
  <c r="N2033" i="1"/>
  <c r="N2036" i="1"/>
  <c r="N2037" i="1"/>
  <c r="N2039" i="1"/>
  <c r="N2040" i="1"/>
  <c r="N2505" i="1"/>
  <c r="N2506" i="1"/>
  <c r="N2509" i="1"/>
  <c r="N2510" i="1"/>
  <c r="N2512" i="1"/>
  <c r="N2513" i="1"/>
  <c r="N2515" i="1"/>
  <c r="N2517" i="1"/>
  <c r="N143" i="1"/>
  <c r="N147" i="1"/>
  <c r="N678" i="1"/>
  <c r="N680" i="1"/>
  <c r="N683" i="1"/>
  <c r="N685" i="1"/>
  <c r="N688" i="1"/>
  <c r="N689" i="1"/>
  <c r="N1152" i="1"/>
  <c r="N159" i="1"/>
  <c r="N161" i="1"/>
  <c r="N162" i="1"/>
  <c r="N158" i="1"/>
  <c r="N1226" i="1"/>
  <c r="N1228" i="1"/>
  <c r="N2316" i="1"/>
  <c r="N2319" i="1"/>
  <c r="N2321" i="1"/>
  <c r="N2323" i="1"/>
  <c r="N2183" i="1"/>
  <c r="N2184" i="1"/>
  <c r="N2185" i="1"/>
  <c r="N2187" i="1"/>
  <c r="N2189" i="1"/>
  <c r="N2191" i="1"/>
  <c r="N2196" i="1"/>
  <c r="N2199" i="1"/>
  <c r="N790" i="1"/>
  <c r="N791" i="1"/>
  <c r="N794" i="1"/>
  <c r="N797" i="1"/>
  <c r="N2044" i="1"/>
  <c r="N2045" i="1"/>
  <c r="N2046" i="1"/>
  <c r="N2048" i="1"/>
  <c r="N2050" i="1"/>
  <c r="N2052" i="1"/>
  <c r="N2055" i="1"/>
  <c r="N2056" i="1"/>
  <c r="N2058" i="1"/>
  <c r="N2060" i="1"/>
  <c r="N2520" i="1"/>
  <c r="N2521" i="1"/>
  <c r="N2522" i="1"/>
  <c r="N2416" i="1"/>
  <c r="N2418" i="1"/>
  <c r="N2420" i="1"/>
  <c r="N2421" i="1"/>
  <c r="N2423" i="1"/>
  <c r="N929" i="1"/>
  <c r="N1046" i="1"/>
  <c r="N1049" i="1"/>
  <c r="N1051" i="1"/>
  <c r="N1069" i="1"/>
  <c r="N1085" i="1"/>
  <c r="N1087" i="1"/>
  <c r="N893" i="1"/>
  <c r="N946" i="1"/>
  <c r="N957" i="1"/>
  <c r="N978" i="1"/>
  <c r="N1134" i="1"/>
  <c r="N979" i="1"/>
  <c r="N1022" i="1"/>
  <c r="N1031" i="1"/>
  <c r="N1035" i="1"/>
  <c r="N1063" i="1"/>
  <c r="N1068" i="1"/>
  <c r="N1796" i="1"/>
  <c r="N1797" i="1"/>
  <c r="N1729" i="1"/>
  <c r="N1725" i="1"/>
  <c r="N2062" i="1"/>
  <c r="N2065" i="1"/>
  <c r="N2424" i="1"/>
  <c r="N2425" i="1"/>
  <c r="N2324" i="1"/>
  <c r="N2329" i="1"/>
  <c r="N2330" i="1"/>
  <c r="N2331" i="1"/>
  <c r="N1900" i="1"/>
  <c r="N671" i="1"/>
  <c r="N1717" i="1"/>
  <c r="N657" i="1"/>
  <c r="N663" i="1"/>
  <c r="N654" i="1"/>
  <c r="N667" i="1"/>
  <c r="N1914" i="1"/>
  <c r="N1916" i="1"/>
  <c r="N1917" i="1"/>
  <c r="N1918" i="1"/>
  <c r="N891" i="1"/>
  <c r="N579" i="1"/>
  <c r="N1897" i="1"/>
  <c r="N145" i="1"/>
  <c r="N1891" i="1"/>
  <c r="N2525" i="1"/>
  <c r="N1919" i="1"/>
  <c r="N2070" i="1"/>
  <c r="N1731" i="1"/>
  <c r="N1730" i="1"/>
  <c r="N1732" i="1"/>
  <c r="N1733" i="1"/>
  <c r="N655" i="1"/>
  <c r="N660" i="1"/>
  <c r="N664" i="1"/>
  <c r="N668" i="1"/>
  <c r="N672" i="1"/>
  <c r="N1920" i="1"/>
  <c r="N821" i="1"/>
  <c r="N2339" i="1"/>
  <c r="N739" i="1"/>
  <c r="N1665" i="1"/>
  <c r="N1594" i="1"/>
  <c r="N1771" i="1"/>
  <c r="N183" i="1"/>
  <c r="N184" i="1"/>
  <c r="N211" i="1"/>
  <c r="N210" i="1"/>
  <c r="N186" i="1"/>
  <c r="N185" i="1"/>
  <c r="N188" i="1"/>
  <c r="N187" i="1"/>
  <c r="N196" i="1"/>
  <c r="N195" i="1"/>
  <c r="N207" i="1"/>
  <c r="N206" i="1"/>
  <c r="N209" i="1"/>
  <c r="N208" i="1"/>
  <c r="N190" i="1"/>
  <c r="N1666" i="1"/>
  <c r="N807" i="1"/>
  <c r="N808" i="1"/>
  <c r="N810" i="1"/>
  <c r="N812" i="1"/>
  <c r="N815" i="1"/>
  <c r="N1925" i="1"/>
  <c r="N1927" i="1"/>
  <c r="N1929" i="1"/>
  <c r="N1930" i="1"/>
  <c r="N1932" i="1"/>
  <c r="N2072" i="1"/>
  <c r="N2075" i="1"/>
  <c r="N2076" i="1"/>
  <c r="N2202" i="1"/>
  <c r="N2203" i="1"/>
  <c r="N2205" i="1"/>
  <c r="N2207" i="1"/>
  <c r="N2332" i="1"/>
  <c r="N2333" i="1"/>
  <c r="N2335" i="1"/>
  <c r="N2336" i="1"/>
  <c r="N2337" i="1"/>
  <c r="N2426" i="1"/>
  <c r="N2428" i="1"/>
  <c r="N2431" i="1"/>
  <c r="N2441" i="1"/>
  <c r="N2527" i="1"/>
  <c r="N2528" i="1"/>
  <c r="N2529" i="1"/>
  <c r="N107" i="1"/>
  <c r="N1482" i="1"/>
  <c r="N1473" i="1"/>
  <c r="N94" i="1"/>
  <c r="N621" i="1"/>
  <c r="S1353" i="1"/>
  <c r="S1400" i="1"/>
  <c r="S1453" i="1"/>
  <c r="S1455" i="1"/>
  <c r="S1478" i="1"/>
  <c r="S1479" i="1"/>
  <c r="S1484" i="1"/>
  <c r="S1490" i="1"/>
  <c r="S1491" i="1"/>
  <c r="S1503" i="1"/>
  <c r="S1504" i="1"/>
  <c r="S1505" i="1"/>
  <c r="S1519" i="1"/>
  <c r="S1768" i="1"/>
  <c r="S1772" i="1"/>
  <c r="S1776" i="1"/>
  <c r="S1857" i="1"/>
  <c r="S1868" i="1"/>
  <c r="S1298" i="1"/>
  <c r="S1307" i="1"/>
  <c r="S1313" i="1"/>
  <c r="S1315" i="1"/>
  <c r="S1319" i="1"/>
  <c r="S1386" i="1"/>
  <c r="S1408" i="1"/>
  <c r="S1411" i="1"/>
  <c r="S1415" i="1"/>
  <c r="S1480" i="1"/>
  <c r="S1481" i="1"/>
  <c r="S1763" i="1"/>
  <c r="S1774" i="1"/>
  <c r="S1810" i="1"/>
  <c r="S1812" i="1"/>
  <c r="S1815" i="1"/>
  <c r="S1820" i="1"/>
  <c r="S1847" i="1"/>
  <c r="S1848" i="1"/>
  <c r="S1849" i="1"/>
  <c r="S1851" i="1"/>
  <c r="S1858" i="1"/>
  <c r="S1859" i="1"/>
  <c r="S21" i="1"/>
  <c r="S65" i="1"/>
  <c r="S66" i="1"/>
  <c r="S67" i="1"/>
  <c r="S19" i="1"/>
  <c r="S1705" i="1"/>
  <c r="S1769" i="1"/>
  <c r="S1770" i="1"/>
  <c r="S63" i="1"/>
  <c r="S71" i="1"/>
  <c r="S70" i="1"/>
  <c r="S112" i="1"/>
  <c r="S99" i="1"/>
  <c r="S102" i="1"/>
  <c r="S120" i="1"/>
  <c r="S92" i="1"/>
  <c r="S131" i="1"/>
  <c r="S68" i="1"/>
  <c r="S77" i="1"/>
  <c r="S83" i="1"/>
  <c r="S20" i="1"/>
  <c r="S47" i="1"/>
  <c r="S50" i="1"/>
  <c r="S52" i="1"/>
  <c r="S53" i="1"/>
  <c r="S55" i="1"/>
  <c r="S312" i="1"/>
  <c r="S632" i="1"/>
  <c r="S633" i="1"/>
  <c r="S2627" i="1"/>
  <c r="S2370" i="1"/>
  <c r="S2371" i="1"/>
  <c r="S2372" i="1"/>
  <c r="S2373" i="1"/>
  <c r="S2374" i="1"/>
  <c r="S2375" i="1"/>
  <c r="S2376" i="1"/>
  <c r="S2377" i="1"/>
  <c r="S2378" i="1"/>
  <c r="S2299" i="1"/>
  <c r="S2300" i="1"/>
  <c r="S2301" i="1"/>
  <c r="S770" i="1"/>
  <c r="S771" i="1"/>
  <c r="S1902" i="1"/>
  <c r="S1903" i="1"/>
  <c r="S1904" i="1"/>
  <c r="S1905" i="1"/>
  <c r="S1906" i="1"/>
  <c r="S2142" i="1"/>
  <c r="S2143" i="1"/>
  <c r="S2144" i="1"/>
  <c r="S2145" i="1"/>
  <c r="S2146" i="1"/>
  <c r="S2152" i="1"/>
  <c r="S2153" i="1"/>
  <c r="S2154" i="1"/>
  <c r="S2155" i="1"/>
  <c r="S2147" i="1"/>
  <c r="S2148" i="1"/>
  <c r="S2149" i="1"/>
  <c r="S2150" i="1"/>
  <c r="S2151" i="1"/>
  <c r="S2156" i="1"/>
  <c r="S2157" i="1"/>
  <c r="S406" i="1"/>
  <c r="S12" i="1"/>
  <c r="S13" i="1"/>
  <c r="S14" i="1"/>
  <c r="S15" i="1"/>
  <c r="S1713" i="1"/>
  <c r="S1726" i="1"/>
  <c r="S615" i="1"/>
  <c r="S886" i="1"/>
  <c r="S885" i="1"/>
  <c r="S631" i="1"/>
  <c r="S665" i="1"/>
  <c r="S661" i="1"/>
  <c r="S652" i="1"/>
  <c r="S669" i="1"/>
  <c r="S656" i="1"/>
  <c r="S586" i="1"/>
  <c r="S587" i="1"/>
  <c r="S1885" i="1"/>
  <c r="S1886" i="1"/>
  <c r="S1887" i="1"/>
  <c r="S1888" i="1"/>
  <c r="S1889" i="1"/>
  <c r="S1890" i="1"/>
  <c r="S762" i="1"/>
  <c r="S490" i="1"/>
  <c r="S491" i="1"/>
  <c r="S492" i="1"/>
  <c r="S493" i="1"/>
  <c r="S494" i="1"/>
  <c r="S2609" i="1"/>
  <c r="S531" i="1"/>
  <c r="S533" i="1"/>
  <c r="S75" i="1"/>
  <c r="S74" i="1"/>
  <c r="S62" i="1"/>
  <c r="S91" i="1"/>
  <c r="S101" i="1"/>
  <c r="S72" i="1"/>
  <c r="S73" i="1"/>
  <c r="S76" i="1"/>
  <c r="S90" i="1"/>
  <c r="S106" i="1"/>
  <c r="S111" i="1"/>
  <c r="S129" i="1"/>
  <c r="S132" i="1"/>
  <c r="S69" i="1"/>
  <c r="S80" i="1"/>
  <c r="S103" i="1"/>
  <c r="S105" i="1"/>
  <c r="S1846" i="1"/>
  <c r="S121" i="1"/>
  <c r="S123" i="1"/>
  <c r="S122" i="1"/>
  <c r="S124" i="1"/>
  <c r="S130" i="1"/>
  <c r="S134" i="1"/>
  <c r="S135" i="1"/>
  <c r="S138" i="1"/>
  <c r="S125" i="1"/>
  <c r="S126" i="1"/>
  <c r="S127" i="1"/>
  <c r="S128" i="1"/>
  <c r="S133" i="1"/>
  <c r="S137" i="1"/>
  <c r="S139" i="1"/>
  <c r="S140" i="1"/>
  <c r="S141" i="1"/>
  <c r="S142" i="1"/>
  <c r="S64" i="1"/>
  <c r="S2141" i="1"/>
  <c r="S606" i="1"/>
  <c r="S607" i="1"/>
  <c r="S2611" i="1"/>
  <c r="S532" i="1"/>
  <c r="S534" i="1"/>
  <c r="S535" i="1"/>
  <c r="S536" i="1"/>
  <c r="S537" i="1"/>
  <c r="S538" i="1"/>
  <c r="S1227" i="1"/>
  <c r="S1229" i="1"/>
  <c r="S37" i="1"/>
  <c r="S404" i="1"/>
  <c r="S403" i="1"/>
  <c r="S212" i="1"/>
  <c r="S400" i="1"/>
  <c r="S181" i="1"/>
  <c r="S1795" i="1"/>
  <c r="S1526" i="1"/>
  <c r="S1745" i="1"/>
  <c r="S1710" i="1"/>
  <c r="S1500" i="1"/>
  <c r="S676" i="1"/>
  <c r="S677" i="1"/>
  <c r="S1892" i="1"/>
  <c r="S1893" i="1"/>
  <c r="S1727" i="1"/>
  <c r="S1728" i="1"/>
  <c r="S1715" i="1"/>
  <c r="S1716" i="1"/>
  <c r="S1714" i="1"/>
  <c r="S573" i="1"/>
  <c r="S729" i="1"/>
  <c r="S730" i="1"/>
  <c r="S740" i="1"/>
  <c r="S707" i="1"/>
  <c r="S2613" i="1"/>
  <c r="S407" i="1"/>
  <c r="S588" i="1"/>
  <c r="S589" i="1"/>
  <c r="S1907" i="1"/>
  <c r="S1908" i="1"/>
  <c r="S1909" i="1"/>
  <c r="S1910" i="1"/>
  <c r="S1911" i="1"/>
  <c r="S1912" i="1"/>
  <c r="S1913" i="1"/>
  <c r="S2158" i="1"/>
  <c r="S2159" i="1"/>
  <c r="S2160" i="1"/>
  <c r="S2161" i="1"/>
  <c r="S2162" i="1"/>
  <c r="S2163" i="1"/>
  <c r="S2164" i="1"/>
  <c r="S2165" i="1"/>
  <c r="S2166" i="1"/>
  <c r="S2167" i="1"/>
  <c r="S2168" i="1"/>
  <c r="S2169" i="1"/>
  <c r="S2170" i="1"/>
  <c r="S2004" i="1"/>
  <c r="S2005" i="1"/>
  <c r="S2006" i="1"/>
  <c r="S2007" i="1"/>
  <c r="S2008" i="1"/>
  <c r="S2010" i="1"/>
  <c r="S2011" i="1"/>
  <c r="S2012" i="1"/>
  <c r="S2013" i="1"/>
  <c r="S2014" i="1"/>
  <c r="S2015" i="1"/>
  <c r="S2016" i="1"/>
  <c r="S2017" i="1"/>
  <c r="S2018" i="1"/>
  <c r="S2019" i="1"/>
  <c r="S2020" i="1"/>
  <c r="S2021" i="1"/>
  <c r="S2022" i="1"/>
  <c r="S2023" i="1"/>
  <c r="S2379" i="1"/>
  <c r="S2380" i="1"/>
  <c r="S2381" i="1"/>
  <c r="S2382" i="1"/>
  <c r="S2383" i="1"/>
  <c r="S2384" i="1"/>
  <c r="S2385" i="1"/>
  <c r="S2386" i="1"/>
  <c r="S2387" i="1"/>
  <c r="S2388" i="1"/>
  <c r="S2389" i="1"/>
  <c r="S2390" i="1"/>
  <c r="S2391" i="1"/>
  <c r="S2392" i="1"/>
  <c r="S2393" i="1"/>
  <c r="S2302" i="1"/>
  <c r="S2303" i="1"/>
  <c r="S2304" i="1"/>
  <c r="S2305" i="1"/>
  <c r="S2306" i="1"/>
  <c r="S2307" i="1"/>
  <c r="S2308" i="1"/>
  <c r="S2309" i="1"/>
  <c r="S2497" i="1"/>
  <c r="S2498" i="1"/>
  <c r="S2499" i="1"/>
  <c r="S2500" i="1"/>
  <c r="S2501" i="1"/>
  <c r="S2502" i="1"/>
  <c r="S2503" i="1"/>
  <c r="S2504" i="1"/>
  <c r="S2622" i="1"/>
  <c r="S2623" i="1"/>
  <c r="S2624" i="1"/>
  <c r="S2614" i="1"/>
  <c r="S2615" i="1"/>
  <c r="S2616" i="1"/>
  <c r="S618" i="1"/>
  <c r="S619" i="1"/>
  <c r="S620" i="1"/>
  <c r="S600" i="1"/>
  <c r="S590" i="1"/>
  <c r="S591" i="1"/>
  <c r="S592" i="1"/>
  <c r="S593" i="1"/>
  <c r="S595" i="1"/>
  <c r="S596" i="1"/>
  <c r="S597" i="1"/>
  <c r="S598" i="1"/>
  <c r="S599" i="1"/>
  <c r="S616" i="1"/>
  <c r="S617" i="1"/>
  <c r="S733" i="1"/>
  <c r="S734" i="1"/>
  <c r="S735" i="1"/>
  <c r="S736" i="1"/>
  <c r="S708" i="1"/>
  <c r="S709" i="1"/>
  <c r="S710" i="1"/>
  <c r="S711" i="1"/>
  <c r="S712" i="1"/>
  <c r="S714" i="1"/>
  <c r="S715" i="1"/>
  <c r="S741" i="1"/>
  <c r="S742" i="1"/>
  <c r="S1142" i="1"/>
  <c r="S1143" i="1"/>
  <c r="S1144" i="1"/>
  <c r="S1145" i="1"/>
  <c r="S1146" i="1"/>
  <c r="S1147" i="1"/>
  <c r="S1898" i="1"/>
  <c r="S1899" i="1"/>
  <c r="S457" i="1"/>
  <c r="S458" i="1"/>
  <c r="S459" i="1"/>
  <c r="S950" i="1"/>
  <c r="S1112" i="1"/>
  <c r="S892" i="1"/>
  <c r="S570" i="1"/>
  <c r="S568" i="1"/>
  <c r="S1230" i="1"/>
  <c r="S1237" i="1"/>
  <c r="S1240" i="1"/>
  <c r="S1258" i="1"/>
  <c r="S1260" i="1"/>
  <c r="S1271" i="1"/>
  <c r="S1273" i="1"/>
  <c r="S1275" i="1"/>
  <c r="S1675" i="1"/>
  <c r="S1678" i="1"/>
  <c r="S1681" i="1"/>
  <c r="S1700" i="1"/>
  <c r="S1701" i="1"/>
  <c r="S1702" i="1"/>
  <c r="S1872" i="1"/>
  <c r="S1874" i="1"/>
  <c r="S772" i="1"/>
  <c r="S773" i="1"/>
  <c r="S2612" i="1"/>
  <c r="S402" i="1"/>
  <c r="S574" i="1"/>
  <c r="S1894" i="1"/>
  <c r="S1151" i="1"/>
  <c r="S2395" i="1"/>
  <c r="S2397" i="1"/>
  <c r="S2400" i="1"/>
  <c r="S2404" i="1"/>
  <c r="S2407" i="1"/>
  <c r="S2402" i="1"/>
  <c r="S2409" i="1"/>
  <c r="S2412" i="1"/>
  <c r="S2171" i="1"/>
  <c r="S2172" i="1"/>
  <c r="S2173" i="1"/>
  <c r="S2174" i="1"/>
  <c r="S2176" i="1"/>
  <c r="S2179" i="1"/>
  <c r="S2180" i="1"/>
  <c r="S2182" i="1"/>
  <c r="S2025" i="1"/>
  <c r="S2027" i="1"/>
  <c r="S2030" i="1"/>
  <c r="S2033" i="1"/>
  <c r="S2036" i="1"/>
  <c r="S2037" i="1"/>
  <c r="S2039" i="1"/>
  <c r="S2040" i="1"/>
  <c r="S2505" i="1"/>
  <c r="S2506" i="1"/>
  <c r="S2509" i="1"/>
  <c r="S2510" i="1"/>
  <c r="S2512" i="1"/>
  <c r="S2513" i="1"/>
  <c r="S2515" i="1"/>
  <c r="S2517" i="1"/>
  <c r="S143" i="1"/>
  <c r="S147" i="1"/>
  <c r="S678" i="1"/>
  <c r="S680" i="1"/>
  <c r="S683" i="1"/>
  <c r="S685" i="1"/>
  <c r="S689" i="1"/>
  <c r="S1152" i="1"/>
  <c r="S159" i="1"/>
  <c r="S161" i="1"/>
  <c r="S162" i="1"/>
  <c r="S158" i="1"/>
  <c r="S1226" i="1"/>
  <c r="S1228" i="1"/>
  <c r="S2196" i="1"/>
  <c r="S2199" i="1"/>
  <c r="S2044" i="1"/>
  <c r="S2045" i="1"/>
  <c r="S2046" i="1"/>
  <c r="S2048" i="1"/>
  <c r="S2050" i="1"/>
  <c r="S2052" i="1"/>
  <c r="S2055" i="1"/>
  <c r="S2056" i="1"/>
  <c r="S2058" i="1"/>
  <c r="S2060" i="1"/>
  <c r="S2520" i="1"/>
  <c r="S2521" i="1"/>
  <c r="S2522" i="1"/>
  <c r="S2416" i="1"/>
  <c r="S2418" i="1"/>
  <c r="S2420" i="1"/>
  <c r="S2421" i="1"/>
  <c r="S2423" i="1"/>
  <c r="S2062" i="1"/>
  <c r="S2065" i="1"/>
  <c r="S2424" i="1"/>
  <c r="S2425" i="1"/>
  <c r="S2324" i="1"/>
  <c r="S2329" i="1"/>
  <c r="S2330" i="1"/>
  <c r="S2331" i="1"/>
  <c r="S1900" i="1"/>
  <c r="S671" i="1"/>
  <c r="S1717" i="1"/>
  <c r="S657" i="1"/>
  <c r="S663" i="1"/>
  <c r="S654" i="1"/>
  <c r="S667" i="1"/>
  <c r="S1914" i="1"/>
  <c r="S1916" i="1"/>
  <c r="S1917" i="1"/>
  <c r="S1918" i="1"/>
  <c r="S579" i="1"/>
  <c r="S1897" i="1"/>
  <c r="S145" i="1"/>
  <c r="S1891" i="1"/>
  <c r="S2525" i="1"/>
  <c r="S2070" i="1"/>
  <c r="S1731" i="1"/>
  <c r="S1730" i="1"/>
  <c r="S1732" i="1"/>
  <c r="S1733" i="1"/>
  <c r="S655" i="1"/>
  <c r="S660" i="1"/>
  <c r="S664" i="1"/>
  <c r="S668" i="1"/>
  <c r="S672" i="1"/>
  <c r="S1920" i="1"/>
  <c r="S821" i="1"/>
  <c r="S2339" i="1"/>
  <c r="S1771" i="1"/>
  <c r="S807" i="1"/>
  <c r="S808" i="1"/>
  <c r="S810" i="1"/>
  <c r="S812" i="1"/>
  <c r="S815" i="1"/>
  <c r="S1925" i="1"/>
  <c r="S1927" i="1"/>
  <c r="S1929" i="1"/>
  <c r="S1930" i="1"/>
  <c r="S1932" i="1"/>
  <c r="S2072" i="1"/>
  <c r="S2075" i="1"/>
  <c r="S2076" i="1"/>
  <c r="S2202" i="1"/>
  <c r="S2203" i="1"/>
  <c r="S2205" i="1"/>
  <c r="S2207" i="1"/>
  <c r="S2332" i="1"/>
  <c r="S2333" i="1"/>
  <c r="S2335" i="1"/>
  <c r="S2336" i="1"/>
  <c r="S2337" i="1"/>
  <c r="S2426" i="1"/>
  <c r="S2428" i="1"/>
  <c r="S2431" i="1"/>
  <c r="S2527" i="1"/>
  <c r="S2528" i="1"/>
  <c r="S2529" i="1"/>
  <c r="S107" i="1"/>
  <c r="S94" i="1"/>
  <c r="S621" i="1"/>
  <c r="S1293" i="1"/>
  <c r="P1293" i="1"/>
  <c r="N2398" i="1"/>
  <c r="N1768" i="1"/>
  <c r="S2009" i="1"/>
  <c r="N2399" i="1"/>
  <c r="N321" i="1"/>
  <c r="N1410" i="1"/>
  <c r="N1412" i="1"/>
  <c r="N2401" i="1"/>
  <c r="N2028" i="1"/>
  <c r="N322" i="1"/>
  <c r="N1538" i="1"/>
  <c r="N743" i="1"/>
  <c r="N746" i="1"/>
  <c r="N745" i="1"/>
  <c r="N1608" i="1"/>
  <c r="N2029" i="1"/>
  <c r="N575" i="1"/>
  <c r="N221" i="1"/>
  <c r="N323" i="1"/>
  <c r="N1413" i="1"/>
  <c r="N1539" i="1"/>
  <c r="N784" i="1"/>
  <c r="N2031" i="1"/>
  <c r="N222" i="1"/>
  <c r="N576" i="1"/>
  <c r="N1417" i="1"/>
  <c r="S1417" i="1"/>
  <c r="N1472" i="1"/>
  <c r="S1472" i="1"/>
  <c r="N786" i="1"/>
  <c r="N577" i="1"/>
  <c r="N1895" i="1"/>
  <c r="N2032" i="1"/>
  <c r="N224" i="1"/>
  <c r="N223" i="1"/>
  <c r="N34" i="1"/>
  <c r="S34" i="1"/>
  <c r="N787" i="1"/>
  <c r="N2507" i="1"/>
  <c r="N2405" i="1"/>
  <c r="N2034" i="1"/>
  <c r="N1540" i="1"/>
  <c r="N225" i="1"/>
  <c r="N578" i="1"/>
  <c r="N1896" i="1"/>
  <c r="N2508" i="1"/>
  <c r="S1372" i="1"/>
  <c r="N226" i="1"/>
  <c r="N228" i="1"/>
  <c r="N2511" i="1"/>
  <c r="N2035" i="1"/>
  <c r="N324" i="1"/>
  <c r="N679" i="1"/>
  <c r="N229" i="1"/>
  <c r="N325" i="1"/>
  <c r="N2514" i="1"/>
  <c r="N1542" i="1"/>
  <c r="N2516" i="1"/>
  <c r="N2175" i="1"/>
  <c r="N326" i="1"/>
  <c r="N230" i="1"/>
  <c r="N1148" i="1"/>
  <c r="S2323" i="1"/>
  <c r="S2321" i="1"/>
  <c r="N2313" i="1"/>
  <c r="N2310" i="1"/>
  <c r="N2177" i="1"/>
  <c r="N2406" i="1"/>
  <c r="N231" i="1"/>
  <c r="N327" i="1"/>
  <c r="S2319" i="1"/>
  <c r="S2316" i="1"/>
  <c r="S2313" i="1"/>
  <c r="S2310" i="1"/>
  <c r="N1149" i="1"/>
  <c r="N2408" i="1"/>
  <c r="N2178" i="1"/>
  <c r="N328" i="1"/>
  <c r="N232" i="1"/>
  <c r="N1414" i="1"/>
  <c r="S731" i="1"/>
  <c r="N731" i="1"/>
  <c r="S2191" i="1"/>
  <c r="S2189" i="1"/>
  <c r="S2187" i="1"/>
  <c r="S2185" i="1"/>
  <c r="S2184" i="1"/>
  <c r="S2183" i="1"/>
  <c r="N2194" i="1"/>
  <c r="N2192" i="1"/>
  <c r="S2194" i="1"/>
  <c r="S2192" i="1"/>
  <c r="N233" i="1"/>
  <c r="N330" i="1"/>
  <c r="N2414" i="1"/>
  <c r="S2414" i="1"/>
  <c r="N242" i="1"/>
  <c r="N259" i="1"/>
  <c r="N341" i="1"/>
  <c r="N356" i="1"/>
  <c r="AG89" i="1" l="1"/>
  <c r="AG1157" i="1"/>
  <c r="AG583" i="1"/>
  <c r="AG582" i="1"/>
  <c r="AK308" i="1" l="1"/>
  <c r="AL308" i="1"/>
  <c r="AM308" i="1"/>
  <c r="AD308" i="1"/>
  <c r="AE308" i="1"/>
  <c r="H308" i="1" a="1"/>
  <c r="H308" i="1" s="1"/>
  <c r="L308" i="1"/>
  <c r="M308" i="1"/>
  <c r="O308" i="1"/>
  <c r="S308" i="1"/>
  <c r="AK385" i="1"/>
  <c r="AL385" i="1"/>
  <c r="AM385" i="1"/>
  <c r="AD385" i="1"/>
  <c r="AE385" i="1"/>
  <c r="H385" i="1" a="1"/>
  <c r="H385" i="1" s="1"/>
  <c r="J385" i="1" s="1"/>
  <c r="L385" i="1"/>
  <c r="M385" i="1"/>
  <c r="O385" i="1"/>
  <c r="S385" i="1"/>
  <c r="AK877" i="1"/>
  <c r="AL877" i="1"/>
  <c r="AM877" i="1"/>
  <c r="AD877" i="1"/>
  <c r="AE877" i="1"/>
  <c r="H877" i="1" a="1"/>
  <c r="H877" i="1" s="1"/>
  <c r="L877" i="1"/>
  <c r="M877" i="1"/>
  <c r="O877" i="1"/>
  <c r="S877" i="1"/>
  <c r="I1998" i="1"/>
  <c r="AK1997" i="1"/>
  <c r="AL1997" i="1"/>
  <c r="AM1997" i="1"/>
  <c r="AD1997" i="1"/>
  <c r="AE1997" i="1"/>
  <c r="H1997" i="1" a="1"/>
  <c r="H1997" i="1" s="1"/>
  <c r="L1997" i="1"/>
  <c r="M1997" i="1"/>
  <c r="O1997" i="1"/>
  <c r="S1997" i="1"/>
  <c r="AG308" i="1" l="1"/>
  <c r="J308" i="1"/>
  <c r="AG385" i="1"/>
  <c r="AG877" i="1"/>
  <c r="J877" i="1"/>
  <c r="AG1997" i="1"/>
  <c r="J1997" i="1"/>
  <c r="O2607" i="1"/>
  <c r="O2608" i="1"/>
  <c r="M2607" i="1"/>
  <c r="M2608" i="1"/>
  <c r="L2608" i="1"/>
  <c r="L2607" i="1"/>
  <c r="L2606" i="1"/>
  <c r="H2607" i="1" a="1"/>
  <c r="H2607" i="1" s="1"/>
  <c r="AG2607" i="1" s="1"/>
  <c r="AE2607" i="1"/>
  <c r="AE2606" i="1"/>
  <c r="AD2607" i="1"/>
  <c r="AD2606" i="1"/>
  <c r="AM2607" i="1"/>
  <c r="AL2607" i="1"/>
  <c r="AM2606" i="1"/>
  <c r="AL2606" i="1"/>
  <c r="AK2608" i="1"/>
  <c r="AK2607" i="1"/>
  <c r="AK2606" i="1"/>
  <c r="J2607" i="1" l="1"/>
  <c r="AD585" i="1" l="1"/>
  <c r="AD584" i="1"/>
  <c r="AK307" i="1"/>
  <c r="AL307" i="1"/>
  <c r="AM307" i="1"/>
  <c r="AD307" i="1"/>
  <c r="AE307" i="1"/>
  <c r="H307" i="1" a="1"/>
  <c r="H307" i="1" s="1"/>
  <c r="S307" i="1"/>
  <c r="L307" i="1"/>
  <c r="M307" i="1"/>
  <c r="O307" i="1"/>
  <c r="AK384" i="1"/>
  <c r="AL384" i="1"/>
  <c r="AM384" i="1"/>
  <c r="AD384" i="1"/>
  <c r="AE384" i="1"/>
  <c r="H384" i="1" a="1"/>
  <c r="H384" i="1" s="1"/>
  <c r="S384" i="1"/>
  <c r="L384" i="1"/>
  <c r="M384" i="1"/>
  <c r="O384" i="1"/>
  <c r="AK876" i="1"/>
  <c r="AL876" i="1"/>
  <c r="AM876" i="1"/>
  <c r="AD876" i="1"/>
  <c r="AE876" i="1"/>
  <c r="H876" i="1" a="1"/>
  <c r="H876" i="1" s="1"/>
  <c r="L876" i="1"/>
  <c r="M876" i="1"/>
  <c r="O876" i="1"/>
  <c r="S876" i="1"/>
  <c r="I1996" i="1"/>
  <c r="AK1995" i="1"/>
  <c r="AL1995" i="1"/>
  <c r="AM1995" i="1"/>
  <c r="AD1995" i="1"/>
  <c r="AE1995" i="1"/>
  <c r="H1995" i="1" a="1"/>
  <c r="H1995" i="1" s="1"/>
  <c r="L1995" i="1"/>
  <c r="M1995" i="1"/>
  <c r="O1995" i="1"/>
  <c r="S1995" i="1"/>
  <c r="AG384" i="1" l="1"/>
  <c r="J384" i="1"/>
  <c r="AG307" i="1"/>
  <c r="J307" i="1"/>
  <c r="AG876" i="1"/>
  <c r="J876" i="1"/>
  <c r="AG1995" i="1"/>
  <c r="J1995" i="1"/>
  <c r="I566" i="1"/>
  <c r="AK565" i="1"/>
  <c r="AL565" i="1"/>
  <c r="AM565" i="1"/>
  <c r="AD565" i="1"/>
  <c r="AE565" i="1"/>
  <c r="H565" i="1" a="1"/>
  <c r="H565" i="1" s="1"/>
  <c r="L565" i="1"/>
  <c r="M565" i="1"/>
  <c r="O565" i="1"/>
  <c r="S565" i="1"/>
  <c r="AK383" i="1"/>
  <c r="AL383" i="1"/>
  <c r="AM383" i="1"/>
  <c r="AD383" i="1"/>
  <c r="AE383" i="1"/>
  <c r="H383" i="1" a="1"/>
  <c r="H383" i="1" s="1"/>
  <c r="L383" i="1"/>
  <c r="M383" i="1"/>
  <c r="O383" i="1"/>
  <c r="S383" i="1"/>
  <c r="I2494" i="1"/>
  <c r="AK2493" i="1"/>
  <c r="AL2493" i="1"/>
  <c r="AM2493" i="1"/>
  <c r="AD2493" i="1"/>
  <c r="AE2493" i="1"/>
  <c r="H2493" i="1" a="1"/>
  <c r="H2493" i="1" s="1"/>
  <c r="L2493" i="1"/>
  <c r="M2493" i="1"/>
  <c r="O2493" i="1"/>
  <c r="S2493" i="1"/>
  <c r="AK306" i="1"/>
  <c r="AL306" i="1"/>
  <c r="AM306" i="1"/>
  <c r="AD306" i="1"/>
  <c r="AE306" i="1"/>
  <c r="H306" i="1" a="1"/>
  <c r="H306" i="1" s="1"/>
  <c r="L306" i="1"/>
  <c r="M306" i="1"/>
  <c r="O306" i="1"/>
  <c r="S306" i="1"/>
  <c r="AM1994" i="1"/>
  <c r="AL1994" i="1"/>
  <c r="AK1994" i="1"/>
  <c r="AE1994" i="1"/>
  <c r="AD1994" i="1"/>
  <c r="O1994" i="1"/>
  <c r="M1994" i="1"/>
  <c r="L1994" i="1"/>
  <c r="H1994" i="1" a="1"/>
  <c r="H1994" i="1" s="1"/>
  <c r="J1994" i="1" s="1"/>
  <c r="S1994" i="1"/>
  <c r="AM585" i="1"/>
  <c r="AL585" i="1"/>
  <c r="AM584" i="1"/>
  <c r="AL584" i="1"/>
  <c r="O585" i="1"/>
  <c r="O584" i="1"/>
  <c r="H584" i="1" a="1"/>
  <c r="H584" i="1" s="1"/>
  <c r="J584" i="1" s="1"/>
  <c r="H585" i="1" a="1"/>
  <c r="H585" i="1" s="1"/>
  <c r="J585" i="1" s="1"/>
  <c r="L584" i="1"/>
  <c r="M584" i="1"/>
  <c r="S584" i="1"/>
  <c r="AE584" i="1"/>
  <c r="AK584" i="1"/>
  <c r="L585" i="1"/>
  <c r="M585" i="1"/>
  <c r="S585" i="1"/>
  <c r="AE585" i="1"/>
  <c r="AK585" i="1"/>
  <c r="AD2610" i="1"/>
  <c r="AG2610" i="1"/>
  <c r="AE2610" i="1"/>
  <c r="J2610" i="1"/>
  <c r="AL1720" i="1"/>
  <c r="AL1719" i="1"/>
  <c r="AD1720" i="1"/>
  <c r="AE1720" i="1"/>
  <c r="AK1720" i="1"/>
  <c r="AM1720" i="1"/>
  <c r="H1720" i="1" a="1"/>
  <c r="H1720" i="1" s="1"/>
  <c r="AG1720" i="1" s="1"/>
  <c r="AK1839" i="1"/>
  <c r="AL1839" i="1"/>
  <c r="AM1839" i="1"/>
  <c r="AD1839" i="1"/>
  <c r="AE1839" i="1"/>
  <c r="L1839" i="1"/>
  <c r="M1839" i="1"/>
  <c r="O1839" i="1"/>
  <c r="S1839" i="1"/>
  <c r="I1477" i="1"/>
  <c r="AK1476" i="1"/>
  <c r="AL1476" i="1"/>
  <c r="AM1476" i="1"/>
  <c r="AD1476" i="1"/>
  <c r="AE1476" i="1"/>
  <c r="L1476" i="1"/>
  <c r="M1476" i="1"/>
  <c r="O1476" i="1"/>
  <c r="S1476" i="1"/>
  <c r="AD1348" i="1"/>
  <c r="AD1347" i="1"/>
  <c r="AD1346" i="1"/>
  <c r="I1349" i="1"/>
  <c r="AK1348" i="1"/>
  <c r="AL1348" i="1"/>
  <c r="AM1348" i="1"/>
  <c r="AE1348" i="1"/>
  <c r="S1348" i="1"/>
  <c r="AH488" i="1"/>
  <c r="AK305" i="1"/>
  <c r="AL305" i="1"/>
  <c r="AM305" i="1"/>
  <c r="AD305" i="1"/>
  <c r="AE305" i="1"/>
  <c r="H305" i="1" a="1"/>
  <c r="H305" i="1" s="1"/>
  <c r="L305" i="1"/>
  <c r="M305" i="1"/>
  <c r="O305" i="1"/>
  <c r="S305" i="1"/>
  <c r="AK382" i="1"/>
  <c r="AL382" i="1"/>
  <c r="AM382" i="1"/>
  <c r="AD382" i="1"/>
  <c r="AE382" i="1"/>
  <c r="H382" i="1" a="1"/>
  <c r="H382" i="1" s="1"/>
  <c r="L382" i="1"/>
  <c r="M382" i="1"/>
  <c r="O382" i="1"/>
  <c r="S382" i="1"/>
  <c r="I2492" i="1"/>
  <c r="AK2491" i="1"/>
  <c r="AL2491" i="1"/>
  <c r="AM2491" i="1"/>
  <c r="AD2491" i="1"/>
  <c r="AE2491" i="1"/>
  <c r="H2491" i="1" a="1"/>
  <c r="H2491" i="1" s="1"/>
  <c r="L2491" i="1"/>
  <c r="M2491" i="1"/>
  <c r="O2491" i="1"/>
  <c r="S2491" i="1"/>
  <c r="I529" i="1"/>
  <c r="AK528" i="1"/>
  <c r="AL528" i="1"/>
  <c r="AM528" i="1"/>
  <c r="AD528" i="1"/>
  <c r="AE528" i="1"/>
  <c r="H528" i="1" a="1"/>
  <c r="H528" i="1" s="1"/>
  <c r="S528" i="1"/>
  <c r="L528" i="1"/>
  <c r="M528" i="1"/>
  <c r="O528" i="1"/>
  <c r="AG2493" i="1" l="1"/>
  <c r="J2493" i="1"/>
  <c r="AG306" i="1"/>
  <c r="J306" i="1"/>
  <c r="J383" i="1"/>
  <c r="AG383" i="1"/>
  <c r="AG565" i="1"/>
  <c r="J565" i="1"/>
  <c r="AG1994" i="1"/>
  <c r="AG584" i="1"/>
  <c r="AG585" i="1"/>
  <c r="J305" i="1"/>
  <c r="AG305" i="1"/>
  <c r="AG382" i="1"/>
  <c r="J382" i="1"/>
  <c r="AG2491" i="1"/>
  <c r="J2491" i="1"/>
  <c r="AG528" i="1"/>
  <c r="J528" i="1"/>
  <c r="F443" i="18" l="1"/>
  <c r="H454" i="1" l="1" a="1"/>
  <c r="H454" i="1" s="1"/>
  <c r="AG454" i="1" s="1"/>
  <c r="H455" i="1" a="1"/>
  <c r="H455" i="1" s="1"/>
  <c r="H452" i="1" a="1"/>
  <c r="H452" i="1" s="1"/>
  <c r="H453" i="1" a="1"/>
  <c r="H453" i="1" s="1"/>
  <c r="AK109" i="1"/>
  <c r="AL109" i="1"/>
  <c r="AM109" i="1"/>
  <c r="AD109" i="1"/>
  <c r="AE109" i="1"/>
  <c r="H109" i="1" a="1"/>
  <c r="H109" i="1" s="1"/>
  <c r="L109" i="1"/>
  <c r="M109" i="1"/>
  <c r="O109" i="1"/>
  <c r="S109" i="1"/>
  <c r="AK1225" i="1"/>
  <c r="AL1225" i="1"/>
  <c r="AM1225" i="1"/>
  <c r="AD1225" i="1"/>
  <c r="AE1225" i="1"/>
  <c r="H1225" i="1" a="1"/>
  <c r="H1225" i="1" s="1"/>
  <c r="J1225" i="1" s="1"/>
  <c r="L1225" i="1"/>
  <c r="M1225" i="1"/>
  <c r="O1225" i="1"/>
  <c r="S1225" i="1"/>
  <c r="AM97" i="1"/>
  <c r="AL97" i="1"/>
  <c r="AK97" i="1"/>
  <c r="AE97" i="1"/>
  <c r="AD97" i="1"/>
  <c r="O97" i="1"/>
  <c r="M97" i="1"/>
  <c r="L97" i="1"/>
  <c r="H97" i="1" a="1"/>
  <c r="H97" i="1" s="1"/>
  <c r="S97" i="1"/>
  <c r="AM60" i="1"/>
  <c r="AL60" i="1"/>
  <c r="AK60" i="1"/>
  <c r="AE60" i="1"/>
  <c r="AD60" i="1"/>
  <c r="O60" i="1"/>
  <c r="M60" i="1"/>
  <c r="L60" i="1"/>
  <c r="H60" i="1" a="1"/>
  <c r="H60" i="1" s="1"/>
  <c r="S60" i="1"/>
  <c r="AM59" i="1"/>
  <c r="AL59" i="1"/>
  <c r="AK59" i="1"/>
  <c r="AE59" i="1"/>
  <c r="AD59" i="1"/>
  <c r="AM58" i="1"/>
  <c r="AL58" i="1"/>
  <c r="AK58" i="1"/>
  <c r="AE58" i="1"/>
  <c r="AD58" i="1"/>
  <c r="AM57" i="1"/>
  <c r="AL57" i="1"/>
  <c r="AK57" i="1"/>
  <c r="AE57" i="1"/>
  <c r="AD57" i="1"/>
  <c r="AM56" i="1"/>
  <c r="AL56" i="1"/>
  <c r="AK56" i="1"/>
  <c r="AE56" i="1"/>
  <c r="AD56" i="1"/>
  <c r="O59" i="1"/>
  <c r="M59" i="1"/>
  <c r="L59" i="1"/>
  <c r="H59" i="1" a="1"/>
  <c r="H59" i="1" s="1"/>
  <c r="J59" i="1" s="1"/>
  <c r="O58" i="1"/>
  <c r="M58" i="1"/>
  <c r="L58" i="1"/>
  <c r="H58" i="1" a="1"/>
  <c r="H58" i="1" s="1"/>
  <c r="J58" i="1" s="1"/>
  <c r="O57" i="1"/>
  <c r="M57" i="1"/>
  <c r="L57" i="1"/>
  <c r="H57" i="1" a="1"/>
  <c r="H57" i="1" s="1"/>
  <c r="J57" i="1" s="1"/>
  <c r="O56" i="1"/>
  <c r="M56" i="1"/>
  <c r="L56" i="1"/>
  <c r="H56" i="1" a="1"/>
  <c r="H56" i="1" s="1"/>
  <c r="J56" i="1" s="1"/>
  <c r="S56" i="1"/>
  <c r="S57" i="1"/>
  <c r="S59" i="1"/>
  <c r="S58" i="1"/>
  <c r="AK304" i="1"/>
  <c r="AL304" i="1"/>
  <c r="AM304" i="1"/>
  <c r="AD304" i="1"/>
  <c r="AE304" i="1"/>
  <c r="H304" i="1" a="1"/>
  <c r="H304" i="1" s="1"/>
  <c r="L304" i="1"/>
  <c r="M304" i="1"/>
  <c r="O304" i="1"/>
  <c r="S304" i="1"/>
  <c r="I2490" i="1"/>
  <c r="AK2294" i="1"/>
  <c r="AL2294" i="1"/>
  <c r="AM2294" i="1"/>
  <c r="AD2294" i="1"/>
  <c r="AE2294" i="1"/>
  <c r="H2294" i="1" a="1"/>
  <c r="H2294" i="1" s="1"/>
  <c r="AG2294" i="1" s="1"/>
  <c r="L2294" i="1"/>
  <c r="M2294" i="1"/>
  <c r="O2294" i="1"/>
  <c r="S2294" i="1"/>
  <c r="I381" i="1"/>
  <c r="AK380" i="1"/>
  <c r="AL380" i="1"/>
  <c r="AM380" i="1"/>
  <c r="AD380" i="1"/>
  <c r="AE380" i="1"/>
  <c r="H380" i="1" a="1"/>
  <c r="H380" i="1" s="1"/>
  <c r="AG380" i="1" s="1"/>
  <c r="S380" i="1"/>
  <c r="L380" i="1"/>
  <c r="M380" i="1"/>
  <c r="O380" i="1"/>
  <c r="H126" i="1" a="1"/>
  <c r="H126" i="1" s="1"/>
  <c r="H127" i="1" a="1"/>
  <c r="H127" i="1" s="1"/>
  <c r="H128" i="1" a="1"/>
  <c r="H128" i="1" s="1"/>
  <c r="H133" i="1" a="1"/>
  <c r="H133" i="1" s="1"/>
  <c r="H137" i="1" a="1"/>
  <c r="H137" i="1" s="1"/>
  <c r="H139" i="1" a="1"/>
  <c r="H139" i="1" s="1"/>
  <c r="H140" i="1" a="1"/>
  <c r="H140" i="1" s="1"/>
  <c r="H1845" i="1" a="1"/>
  <c r="H1845" i="1" s="1"/>
  <c r="H136" i="1" a="1"/>
  <c r="H136" i="1" s="1"/>
  <c r="H62" i="1" a="1"/>
  <c r="H62" i="1" s="1"/>
  <c r="H1846" i="1" a="1"/>
  <c r="H1846" i="1" s="1"/>
  <c r="H121" i="1" a="1"/>
  <c r="H121" i="1" s="1"/>
  <c r="H123" i="1" a="1"/>
  <c r="H123" i="1" s="1"/>
  <c r="H122" i="1" a="1"/>
  <c r="H122" i="1" s="1"/>
  <c r="H124" i="1" a="1"/>
  <c r="H124" i="1" s="1"/>
  <c r="H130" i="1" a="1"/>
  <c r="H130" i="1" s="1"/>
  <c r="H134" i="1" a="1"/>
  <c r="H134" i="1" s="1"/>
  <c r="H135" i="1" a="1"/>
  <c r="H135" i="1" s="1"/>
  <c r="H138" i="1" a="1"/>
  <c r="H138" i="1" s="1"/>
  <c r="H141" i="1" a="1"/>
  <c r="H141" i="1" s="1"/>
  <c r="H142" i="1" a="1"/>
  <c r="H142" i="1" s="1"/>
  <c r="H404" i="1" a="1"/>
  <c r="H404" i="1" s="1"/>
  <c r="H403" i="1" a="1"/>
  <c r="H403" i="1" s="1"/>
  <c r="H212" i="1" a="1"/>
  <c r="H212" i="1" s="1"/>
  <c r="H19" i="1" a="1"/>
  <c r="H19" i="1" s="1"/>
  <c r="H17" i="1" a="1"/>
  <c r="H17" i="1" s="1"/>
  <c r="H18" i="1" a="1"/>
  <c r="H18" i="1" s="1"/>
  <c r="H1527" i="1" a="1"/>
  <c r="H1527" i="1" s="1"/>
  <c r="H1528" i="1" a="1"/>
  <c r="H1528" i="1" s="1"/>
  <c r="H1529" i="1" a="1"/>
  <c r="H1529" i="1" s="1"/>
  <c r="H1298" i="1" a="1"/>
  <c r="H1298" i="1" s="1"/>
  <c r="H1299" i="1" a="1"/>
  <c r="H1299" i="1" s="1"/>
  <c r="H1300" i="1" a="1"/>
  <c r="H1300" i="1" s="1"/>
  <c r="H1301" i="1" a="1"/>
  <c r="H1301" i="1" s="1"/>
  <c r="H1302" i="1" a="1"/>
  <c r="H1302" i="1" s="1"/>
  <c r="H1303" i="1" a="1"/>
  <c r="H1303" i="1" s="1"/>
  <c r="H1304" i="1" a="1"/>
  <c r="H1304" i="1" s="1"/>
  <c r="H1305" i="1" a="1"/>
  <c r="H1305" i="1" s="1"/>
  <c r="H1306" i="1" a="1"/>
  <c r="H1306" i="1" s="1"/>
  <c r="H1597" i="1" a="1"/>
  <c r="H1597" i="1" s="1"/>
  <c r="H1530" i="1" a="1"/>
  <c r="H1530" i="1" s="1"/>
  <c r="H1531" i="1" a="1"/>
  <c r="H1531" i="1" s="1"/>
  <c r="H1532" i="1" a="1"/>
  <c r="H1532" i="1" s="1"/>
  <c r="H64" i="1" a="1"/>
  <c r="H64" i="1" s="1"/>
  <c r="H1353" i="1" a="1"/>
  <c r="H1353" i="1" s="1"/>
  <c r="H1668" i="1" a="1"/>
  <c r="H1668" i="1" s="1"/>
  <c r="H1669" i="1" a="1"/>
  <c r="H1669" i="1" s="1"/>
  <c r="H1670" i="1" a="1"/>
  <c r="H1670" i="1" s="1"/>
  <c r="H1671" i="1" a="1"/>
  <c r="H1671" i="1" s="1"/>
  <c r="H1672" i="1" a="1"/>
  <c r="H1672" i="1" s="1"/>
  <c r="H1768" i="1" a="1"/>
  <c r="H1768" i="1" s="1"/>
  <c r="H1598" i="1" a="1"/>
  <c r="H1598" i="1" s="1"/>
  <c r="H1599" i="1" a="1"/>
  <c r="H1599" i="1" s="1"/>
  <c r="H1600" i="1" a="1"/>
  <c r="H1600" i="1" s="1"/>
  <c r="H1601" i="1" a="1"/>
  <c r="H1601" i="1" s="1"/>
  <c r="H615" i="1" a="1"/>
  <c r="H615" i="1" s="1"/>
  <c r="H65" i="1" a="1"/>
  <c r="H65" i="1" s="1"/>
  <c r="H1533" i="1" a="1"/>
  <c r="H1533" i="1" s="1"/>
  <c r="H1534" i="1" a="1"/>
  <c r="H1534" i="1" s="1"/>
  <c r="H1535" i="1" a="1"/>
  <c r="H1535" i="1" s="1"/>
  <c r="H1536" i="1" a="1"/>
  <c r="H1536" i="1" s="1"/>
  <c r="H66" i="1" a="1"/>
  <c r="H66" i="1" s="1"/>
  <c r="H67" i="1" a="1"/>
  <c r="H67" i="1" s="1"/>
  <c r="H573" i="1" a="1"/>
  <c r="H573" i="1" s="1"/>
  <c r="H729" i="1" a="1"/>
  <c r="H729" i="1" s="1"/>
  <c r="H2627" i="1" a="1"/>
  <c r="H2627" i="1" s="1"/>
  <c r="H740" i="1" a="1"/>
  <c r="H740" i="1" s="1"/>
  <c r="H47" i="1" a="1"/>
  <c r="H47" i="1" s="1"/>
  <c r="H730" i="1" a="1"/>
  <c r="H730" i="1" s="1"/>
  <c r="H707" i="1" a="1"/>
  <c r="H707" i="1" s="1"/>
  <c r="H48" i="1" a="1"/>
  <c r="H48" i="1" s="1"/>
  <c r="H49" i="1" a="1"/>
  <c r="H49" i="1" s="1"/>
  <c r="H581" i="1" a="1"/>
  <c r="H581" i="1" s="1"/>
  <c r="H406" i="1" a="1"/>
  <c r="H406" i="1" s="1"/>
  <c r="H2141" i="1" a="1"/>
  <c r="H2141" i="1" s="1"/>
  <c r="H2370" i="1" a="1"/>
  <c r="H2370" i="1" s="1"/>
  <c r="H312" i="1" a="1"/>
  <c r="H312" i="1" s="1"/>
  <c r="H2142" i="1" a="1"/>
  <c r="H2142" i="1" s="1"/>
  <c r="H213" i="1" a="1"/>
  <c r="H213" i="1" s="1"/>
  <c r="H1902" i="1" a="1"/>
  <c r="H1902" i="1" s="1"/>
  <c r="H1713" i="1" a="1"/>
  <c r="H1713" i="1" s="1"/>
  <c r="H1726" i="1" a="1"/>
  <c r="H1726" i="1" s="1"/>
  <c r="H313" i="1" a="1"/>
  <c r="H313" i="1" s="1"/>
  <c r="H2371" i="1" a="1"/>
  <c r="H2371" i="1" s="1"/>
  <c r="H2143" i="1" a="1"/>
  <c r="H2143" i="1" s="1"/>
  <c r="H586" i="1" a="1"/>
  <c r="H586" i="1" s="1"/>
  <c r="H587" i="1" a="1"/>
  <c r="H587" i="1" s="1"/>
  <c r="H1602" i="1" a="1"/>
  <c r="H1602" i="1" s="1"/>
  <c r="H1603" i="1" a="1"/>
  <c r="H1603" i="1" s="1"/>
  <c r="H1604" i="1" a="1"/>
  <c r="H1604" i="1" s="1"/>
  <c r="H1605" i="1" a="1"/>
  <c r="H1605" i="1" s="1"/>
  <c r="H1714" i="1" a="1"/>
  <c r="H1714" i="1" s="1"/>
  <c r="H400" i="1" a="1"/>
  <c r="H400" i="1" s="1"/>
  <c r="H401" i="1" a="1"/>
  <c r="H401" i="1" s="1"/>
  <c r="H2372" i="1" a="1"/>
  <c r="H2372" i="1" s="1"/>
  <c r="H2144" i="1" a="1"/>
  <c r="H2144" i="1" s="1"/>
  <c r="H2373" i="1" a="1"/>
  <c r="H2373" i="1" s="1"/>
  <c r="H770" i="1" a="1"/>
  <c r="H770" i="1" s="1"/>
  <c r="H1903" i="1" a="1"/>
  <c r="H1903" i="1" s="1"/>
  <c r="H2145" i="1" a="1"/>
  <c r="H2145" i="1" s="1"/>
  <c r="H2146" i="1" a="1"/>
  <c r="H2146" i="1" s="1"/>
  <c r="H771" i="1" a="1"/>
  <c r="H771" i="1" s="1"/>
  <c r="H631" i="1" a="1"/>
  <c r="H631" i="1" s="1"/>
  <c r="H12" i="1" a="1"/>
  <c r="H12" i="1" s="1"/>
  <c r="H2374" i="1" a="1"/>
  <c r="H2374" i="1" s="1"/>
  <c r="H2147" i="1" a="1"/>
  <c r="H2147" i="1" s="1"/>
  <c r="H2148" i="1" a="1"/>
  <c r="H2148" i="1" s="1"/>
  <c r="H2149" i="1" a="1"/>
  <c r="H2149" i="1" s="1"/>
  <c r="H1892" i="1" a="1"/>
  <c r="H1892" i="1" s="1"/>
  <c r="H1893" i="1" a="1"/>
  <c r="H1893" i="1" s="1"/>
  <c r="H762" i="1" a="1"/>
  <c r="H762" i="1" s="1"/>
  <c r="H1727" i="1" a="1"/>
  <c r="H1727" i="1" s="1"/>
  <c r="H1715" i="1" a="1"/>
  <c r="H1715" i="1" s="1"/>
  <c r="H763" i="1" a="1"/>
  <c r="H763" i="1" s="1"/>
  <c r="H1716" i="1" a="1"/>
  <c r="H1716" i="1" s="1"/>
  <c r="H1537" i="1" a="1"/>
  <c r="H1537" i="1" s="1"/>
  <c r="H1538" i="1" a="1"/>
  <c r="H1538" i="1" s="1"/>
  <c r="H1539" i="1" a="1"/>
  <c r="H1539" i="1" s="1"/>
  <c r="H1540" i="1" a="1"/>
  <c r="H1540" i="1" s="1"/>
  <c r="H2609" i="1" a="1"/>
  <c r="H2609" i="1" s="1"/>
  <c r="H2611" i="1" a="1"/>
  <c r="H2611" i="1" s="1"/>
  <c r="H1857" i="1" a="1"/>
  <c r="H1857" i="1" s="1"/>
  <c r="H531" i="1" a="1"/>
  <c r="H531" i="1" s="1"/>
  <c r="H532" i="1" a="1"/>
  <c r="H532" i="1" s="1"/>
  <c r="H533" i="1" a="1"/>
  <c r="H533" i="1" s="1"/>
  <c r="H534" i="1" a="1"/>
  <c r="H534" i="1" s="1"/>
  <c r="H535" i="1" a="1"/>
  <c r="H535" i="1" s="1"/>
  <c r="H536" i="1" a="1"/>
  <c r="H536" i="1" s="1"/>
  <c r="H537" i="1" a="1"/>
  <c r="H537" i="1" s="1"/>
  <c r="H538" i="1" a="1"/>
  <c r="H538" i="1" s="1"/>
  <c r="H606" i="1" a="1"/>
  <c r="H606" i="1" s="1"/>
  <c r="H607" i="1" a="1"/>
  <c r="H607" i="1" s="1"/>
  <c r="H1478" i="1" a="1"/>
  <c r="H1478" i="1" s="1"/>
  <c r="H2299" i="1" a="1"/>
  <c r="H2299" i="1" s="1"/>
  <c r="H2150" i="1" a="1"/>
  <c r="H2150" i="1" s="1"/>
  <c r="H2375" i="1" a="1"/>
  <c r="H2375" i="1" s="1"/>
  <c r="H1904" i="1" a="1"/>
  <c r="H1904" i="1" s="1"/>
  <c r="H2151" i="1" a="1"/>
  <c r="H2151" i="1" s="1"/>
  <c r="H2152" i="1" a="1"/>
  <c r="H2152" i="1" s="1"/>
  <c r="H2376" i="1" a="1"/>
  <c r="H2376" i="1" s="1"/>
  <c r="H2153" i="1" a="1"/>
  <c r="H2153" i="1" s="1"/>
  <c r="H2154" i="1" a="1"/>
  <c r="H2154" i="1" s="1"/>
  <c r="H2155" i="1" a="1"/>
  <c r="H2155" i="1" s="1"/>
  <c r="H490" i="1" a="1"/>
  <c r="H490" i="1" s="1"/>
  <c r="H491" i="1" a="1"/>
  <c r="H491" i="1" s="1"/>
  <c r="H492" i="1" a="1"/>
  <c r="H492" i="1" s="1"/>
  <c r="H493" i="1" a="1"/>
  <c r="H493" i="1" s="1"/>
  <c r="H407" i="1" a="1"/>
  <c r="H407" i="1" s="1"/>
  <c r="H494" i="1" a="1"/>
  <c r="H494" i="1" s="1"/>
  <c r="H20" i="1" a="1"/>
  <c r="H20" i="1" s="1"/>
  <c r="H676" i="1" a="1"/>
  <c r="H676" i="1" s="1"/>
  <c r="H1885" i="1" a="1"/>
  <c r="H1885" i="1" s="1"/>
  <c r="H677" i="1" a="1"/>
  <c r="H677" i="1" s="1"/>
  <c r="H314" i="1" a="1"/>
  <c r="H314" i="1" s="1"/>
  <c r="H1886" i="1" a="1"/>
  <c r="H1886" i="1" s="1"/>
  <c r="H1887" i="1" a="1"/>
  <c r="H1887" i="1" s="1"/>
  <c r="H1888" i="1" a="1"/>
  <c r="H1888" i="1" s="1"/>
  <c r="H1889" i="1" a="1"/>
  <c r="H1889" i="1" s="1"/>
  <c r="H1890" i="1" a="1"/>
  <c r="H1890" i="1" s="1"/>
  <c r="H2300" i="1" a="1"/>
  <c r="H2300" i="1" s="1"/>
  <c r="H2301" i="1" a="1"/>
  <c r="H2301" i="1" s="1"/>
  <c r="H1847" i="1" a="1"/>
  <c r="H1847" i="1" s="1"/>
  <c r="H2156" i="1" a="1"/>
  <c r="H2156" i="1" s="1"/>
  <c r="H2377" i="1" a="1"/>
  <c r="H2377" i="1" s="1"/>
  <c r="H1905" i="1" a="1"/>
  <c r="H1905" i="1" s="1"/>
  <c r="H2157" i="1" a="1"/>
  <c r="H2157" i="1" s="1"/>
  <c r="H1906" i="1" a="1"/>
  <c r="H1906" i="1" s="1"/>
  <c r="H13" i="1" a="1"/>
  <c r="H13" i="1" s="1"/>
  <c r="H2613" i="1" a="1"/>
  <c r="H2613" i="1" s="1"/>
  <c r="H2378" i="1" a="1"/>
  <c r="H2378" i="1" s="1"/>
  <c r="H1293" i="1" a="1"/>
  <c r="H1293" i="1" s="1"/>
  <c r="H1479" i="1" a="1"/>
  <c r="H1479" i="1" s="1"/>
  <c r="H1541" i="1" a="1"/>
  <c r="H1541" i="1" s="1"/>
  <c r="H1542" i="1" a="1"/>
  <c r="H1542" i="1" s="1"/>
  <c r="H1543" i="1" a="1"/>
  <c r="H1543" i="1" s="1"/>
  <c r="H1654" i="1" a="1"/>
  <c r="H1654" i="1" s="1"/>
  <c r="H1655" i="1" a="1"/>
  <c r="H1655" i="1" s="1"/>
  <c r="H214" i="1" a="1"/>
  <c r="H214" i="1" s="1"/>
  <c r="H1656" i="1" a="1"/>
  <c r="H1656" i="1" s="1"/>
  <c r="H315" i="1" a="1"/>
  <c r="H315" i="1" s="1"/>
  <c r="H1657" i="1" a="1"/>
  <c r="H1657" i="1" s="1"/>
  <c r="H595" i="1" a="1"/>
  <c r="H595" i="1" s="1"/>
  <c r="H1658" i="1" a="1"/>
  <c r="H1658" i="1" s="1"/>
  <c r="H1659" i="1" a="1"/>
  <c r="H1659" i="1" s="1"/>
  <c r="H1660" i="1" a="1"/>
  <c r="H1660" i="1" s="1"/>
  <c r="H661" i="1" a="1"/>
  <c r="H661" i="1" s="1"/>
  <c r="H652" i="1" a="1"/>
  <c r="H652" i="1" s="1"/>
  <c r="H669" i="1" a="1"/>
  <c r="H669" i="1" s="1"/>
  <c r="H656" i="1" a="1"/>
  <c r="H656" i="1" s="1"/>
  <c r="H665" i="1" a="1"/>
  <c r="H665" i="1" s="1"/>
  <c r="H666" i="1" a="1"/>
  <c r="H666" i="1" s="1"/>
  <c r="H215" i="1" a="1"/>
  <c r="H215" i="1" s="1"/>
  <c r="H1907" i="1" a="1"/>
  <c r="H1907" i="1" s="1"/>
  <c r="H2158" i="1" a="1"/>
  <c r="H2158" i="1" s="1"/>
  <c r="H2379" i="1" a="1"/>
  <c r="H2379" i="1" s="1"/>
  <c r="H2380" i="1" a="1"/>
  <c r="H2380" i="1" s="1"/>
  <c r="H2302" i="1" a="1"/>
  <c r="H2302" i="1" s="1"/>
  <c r="H216" i="1" a="1"/>
  <c r="H216" i="1" s="1"/>
  <c r="H316" i="1" a="1"/>
  <c r="H316" i="1" s="1"/>
  <c r="H317" i="1" a="1"/>
  <c r="H317" i="1" s="1"/>
  <c r="H2381" i="1" a="1"/>
  <c r="H2381" i="1" s="1"/>
  <c r="H318" i="1" a="1"/>
  <c r="H318" i="1" s="1"/>
  <c r="H217" i="1" a="1"/>
  <c r="H217" i="1" s="1"/>
  <c r="H319" i="1" a="1"/>
  <c r="H319" i="1" s="1"/>
  <c r="H2004" i="1" a="1"/>
  <c r="H2004" i="1" s="1"/>
  <c r="H588" i="1" a="1"/>
  <c r="H588" i="1" s="1"/>
  <c r="H2005" i="1" a="1"/>
  <c r="H2005" i="1" s="1"/>
  <c r="H589" i="1" a="1"/>
  <c r="H589" i="1" s="1"/>
  <c r="H2497" i="1" a="1"/>
  <c r="H2497" i="1" s="1"/>
  <c r="H892" i="1" a="1"/>
  <c r="H892" i="1" s="1"/>
  <c r="H218" i="1" a="1"/>
  <c r="H218" i="1" s="1"/>
  <c r="H950" i="1" a="1"/>
  <c r="H950" i="1" s="1"/>
  <c r="H1112" i="1" a="1"/>
  <c r="H1112" i="1" s="1"/>
  <c r="H1762" i="1" a="1"/>
  <c r="H1762" i="1" s="1"/>
  <c r="H1142" i="1" a="1"/>
  <c r="H1142" i="1" s="1"/>
  <c r="H1143" i="1" a="1"/>
  <c r="H1143" i="1" s="1"/>
  <c r="H1144" i="1" a="1"/>
  <c r="H1144" i="1" s="1"/>
  <c r="H1145" i="1" a="1"/>
  <c r="H1145" i="1" s="1"/>
  <c r="H951" i="1" a="1"/>
  <c r="H951" i="1" s="1"/>
  <c r="H1728" i="1" a="1"/>
  <c r="H1728" i="1" s="1"/>
  <c r="H1908" i="1" a="1"/>
  <c r="H1908" i="1" s="1"/>
  <c r="H2159" i="1" a="1"/>
  <c r="H2159" i="1" s="1"/>
  <c r="H2382" i="1" a="1"/>
  <c r="H2382" i="1" s="1"/>
  <c r="H2303" i="1" a="1"/>
  <c r="H2303" i="1" s="1"/>
  <c r="H2383" i="1" a="1"/>
  <c r="H2383" i="1" s="1"/>
  <c r="H1909" i="1" a="1"/>
  <c r="H1909" i="1" s="1"/>
  <c r="H2006" i="1" a="1"/>
  <c r="H2006" i="1" s="1"/>
  <c r="H2007" i="1" a="1"/>
  <c r="H2007" i="1" s="1"/>
  <c r="H2498" i="1" a="1"/>
  <c r="H2498" i="1" s="1"/>
  <c r="H2008" i="1" a="1"/>
  <c r="H2008" i="1" s="1"/>
  <c r="H1606" i="1" a="1"/>
  <c r="H1606" i="1" s="1"/>
  <c r="H1607" i="1" a="1"/>
  <c r="H1607" i="1" s="1"/>
  <c r="H2612" i="1" a="1"/>
  <c r="H2612" i="1" s="1"/>
  <c r="H2304" i="1" a="1"/>
  <c r="H2304" i="1" s="1"/>
  <c r="H2160" i="1" a="1"/>
  <c r="H2160" i="1" s="1"/>
  <c r="H2384" i="1" a="1"/>
  <c r="H2384" i="1" s="1"/>
  <c r="H1910" i="1" a="1"/>
  <c r="H1910" i="1" s="1"/>
  <c r="H2385" i="1" a="1"/>
  <c r="H2385" i="1" s="1"/>
  <c r="H1911" i="1" a="1"/>
  <c r="H1911" i="1" s="1"/>
  <c r="H2009" i="1" a="1"/>
  <c r="H2009" i="1" s="1"/>
  <c r="H2499" i="1" a="1"/>
  <c r="H2499" i="1" s="1"/>
  <c r="H2010" i="1" a="1"/>
  <c r="H2010" i="1" s="1"/>
  <c r="H2011" i="1" a="1"/>
  <c r="H2011" i="1" s="1"/>
  <c r="H14" i="1" a="1"/>
  <c r="H14" i="1" s="1"/>
  <c r="H2305" i="1" a="1"/>
  <c r="H2305" i="1" s="1"/>
  <c r="H2161" i="1" a="1"/>
  <c r="H2161" i="1" s="1"/>
  <c r="H2162" i="1" a="1"/>
  <c r="H2162" i="1" s="1"/>
  <c r="H1912" i="1" a="1"/>
  <c r="H1912" i="1" s="1"/>
  <c r="H2500" i="1" a="1"/>
  <c r="H2500" i="1" s="1"/>
  <c r="H2012" i="1" a="1"/>
  <c r="H2012" i="1" s="1"/>
  <c r="H2386" i="1" a="1"/>
  <c r="H2386" i="1" s="1"/>
  <c r="H2013" i="1" a="1"/>
  <c r="H2013" i="1" s="1"/>
  <c r="H2163" i="1" a="1"/>
  <c r="H2163" i="1" s="1"/>
  <c r="H2014" i="1" a="1"/>
  <c r="H2014" i="1" s="1"/>
  <c r="H2387" i="1" a="1"/>
  <c r="H2387" i="1" s="1"/>
  <c r="H2388" i="1" a="1"/>
  <c r="H2388" i="1" s="1"/>
  <c r="H1480" i="1" a="1"/>
  <c r="H1480" i="1" s="1"/>
  <c r="H1481" i="1" a="1"/>
  <c r="H1481" i="1" s="1"/>
  <c r="H2306" i="1" a="1"/>
  <c r="H2306" i="1" s="1"/>
  <c r="H219" i="1" a="1"/>
  <c r="H219" i="1" s="1"/>
  <c r="H2501" i="1" a="1"/>
  <c r="H2501" i="1" s="1"/>
  <c r="H772" i="1" a="1"/>
  <c r="H772" i="1" s="1"/>
  <c r="H2164" i="1" a="1"/>
  <c r="H2164" i="1" s="1"/>
  <c r="H2015" i="1" a="1"/>
  <c r="H2015" i="1" s="1"/>
  <c r="H2016" i="1" a="1"/>
  <c r="H2016" i="1" s="1"/>
  <c r="H2389" i="1" a="1"/>
  <c r="H2389" i="1" s="1"/>
  <c r="H15" i="1" a="1"/>
  <c r="H15" i="1" s="1"/>
  <c r="H1503" i="1" a="1"/>
  <c r="H1503" i="1" s="1"/>
  <c r="H1408" i="1" a="1"/>
  <c r="H1408" i="1" s="1"/>
  <c r="H2307" i="1" a="1"/>
  <c r="H2307" i="1" s="1"/>
  <c r="H2502" i="1" a="1"/>
  <c r="H2502" i="1" s="1"/>
  <c r="H773" i="1" a="1"/>
  <c r="H773" i="1" s="1"/>
  <c r="H774" i="1" a="1"/>
  <c r="H774" i="1" s="1"/>
  <c r="H2165" i="1" a="1"/>
  <c r="H2165" i="1" s="1"/>
  <c r="H2390" i="1" a="1"/>
  <c r="H2390" i="1" s="1"/>
  <c r="H2166" i="1" a="1"/>
  <c r="H2166" i="1" s="1"/>
  <c r="H2017" i="1" a="1"/>
  <c r="H2017" i="1" s="1"/>
  <c r="H2018" i="1" a="1"/>
  <c r="H2018" i="1" s="1"/>
  <c r="H1146" i="1" a="1"/>
  <c r="H1146" i="1" s="1"/>
  <c r="H1147" i="1" a="1"/>
  <c r="H1147" i="1" s="1"/>
  <c r="H457" i="1" a="1"/>
  <c r="H457" i="1" s="1"/>
  <c r="H458" i="1" a="1"/>
  <c r="H458" i="1" s="1"/>
  <c r="H459" i="1" a="1"/>
  <c r="H459" i="1" s="1"/>
  <c r="H1148" i="1" a="1"/>
  <c r="H1148" i="1" s="1"/>
  <c r="H1149" i="1" a="1"/>
  <c r="H1149" i="1" s="1"/>
  <c r="H1150" i="1" a="1"/>
  <c r="H1150" i="1" s="1"/>
  <c r="H1848" i="1" a="1"/>
  <c r="H1848" i="1" s="1"/>
  <c r="H1858" i="1" a="1"/>
  <c r="H1858" i="1" s="1"/>
  <c r="H1898" i="1" a="1"/>
  <c r="H1898" i="1" s="1"/>
  <c r="H1899" i="1" a="1"/>
  <c r="H1899" i="1" s="1"/>
  <c r="H1504" i="1" a="1"/>
  <c r="H1504" i="1" s="1"/>
  <c r="H2308" i="1" a="1"/>
  <c r="H2308" i="1" s="1"/>
  <c r="H2503" i="1" a="1"/>
  <c r="H2503" i="1" s="1"/>
  <c r="H2504" i="1" a="1"/>
  <c r="H2504" i="1" s="1"/>
  <c r="H775" i="1" a="1"/>
  <c r="H775" i="1" s="1"/>
  <c r="H2391" i="1" a="1"/>
  <c r="H2391" i="1" s="1"/>
  <c r="H2167" i="1" a="1"/>
  <c r="H2167" i="1" s="1"/>
  <c r="H2392" i="1" a="1"/>
  <c r="H2392" i="1" s="1"/>
  <c r="H2168" i="1" a="1"/>
  <c r="H2168" i="1" s="1"/>
  <c r="H2019" i="1" a="1"/>
  <c r="H2019" i="1" s="1"/>
  <c r="H776" i="1" a="1"/>
  <c r="H776" i="1" s="1"/>
  <c r="H2020" i="1" a="1"/>
  <c r="H2020" i="1" s="1"/>
  <c r="H777" i="1" a="1"/>
  <c r="H777" i="1" s="1"/>
  <c r="H2021" i="1" a="1"/>
  <c r="H2021" i="1" s="1"/>
  <c r="H1913" i="1" a="1"/>
  <c r="H1913" i="1" s="1"/>
  <c r="H2393" i="1" a="1"/>
  <c r="H2393" i="1" s="1"/>
  <c r="H2022" i="1" a="1"/>
  <c r="H2022" i="1" s="1"/>
  <c r="H2169" i="1" a="1"/>
  <c r="H2169" i="1" s="1"/>
  <c r="H2170" i="1" a="1"/>
  <c r="H2170" i="1" s="1"/>
  <c r="H2023" i="1" a="1"/>
  <c r="H2023" i="1" s="1"/>
  <c r="H2309" i="1" a="1"/>
  <c r="H2309" i="1" s="1"/>
  <c r="H2394" i="1" a="1"/>
  <c r="H2394" i="1" s="1"/>
  <c r="H2024" i="1" a="1"/>
  <c r="H2024" i="1" s="1"/>
  <c r="H632" i="1" a="1"/>
  <c r="H632" i="1" s="1"/>
  <c r="H1544" i="1" a="1"/>
  <c r="H1544" i="1" s="1"/>
  <c r="H1545" i="1" a="1"/>
  <c r="H1545" i="1" s="1"/>
  <c r="H1546" i="1" a="1"/>
  <c r="H1546" i="1" s="1"/>
  <c r="H570" i="1" a="1"/>
  <c r="H570" i="1" s="1"/>
  <c r="H568" i="1" a="1"/>
  <c r="H568" i="1" s="1"/>
  <c r="H220" i="1" a="1"/>
  <c r="H220" i="1" s="1"/>
  <c r="H320" i="1" a="1"/>
  <c r="H320" i="1" s="1"/>
  <c r="H778" i="1" a="1"/>
  <c r="H778" i="1" s="1"/>
  <c r="H2171" i="1" a="1"/>
  <c r="H2171" i="1" s="1"/>
  <c r="H616" i="1" a="1"/>
  <c r="H616" i="1" s="1"/>
  <c r="H2025" i="1" a="1"/>
  <c r="H2025" i="1" s="1"/>
  <c r="H2395" i="1" a="1"/>
  <c r="H2395" i="1" s="1"/>
  <c r="H2396" i="1" a="1"/>
  <c r="H2396" i="1" s="1"/>
  <c r="H2026" i="1" a="1"/>
  <c r="H2026" i="1" s="1"/>
  <c r="H321" i="1" a="1"/>
  <c r="H321" i="1" s="1"/>
  <c r="H322" i="1" a="1"/>
  <c r="H322" i="1" s="1"/>
  <c r="H221" i="1" a="1"/>
  <c r="H221" i="1" s="1"/>
  <c r="H323" i="1" a="1"/>
  <c r="H323" i="1" s="1"/>
  <c r="H222" i="1" a="1"/>
  <c r="H222" i="1" s="1"/>
  <c r="H223" i="1" a="1"/>
  <c r="H223" i="1" s="1"/>
  <c r="H224" i="1" a="1"/>
  <c r="H224" i="1" s="1"/>
  <c r="H2505" i="1" a="1"/>
  <c r="H2505" i="1" s="1"/>
  <c r="H225" i="1" a="1"/>
  <c r="H225" i="1" s="1"/>
  <c r="H226" i="1" a="1"/>
  <c r="H226" i="1" s="1"/>
  <c r="H324" i="1" a="1"/>
  <c r="H324" i="1" s="1"/>
  <c r="H325" i="1" a="1"/>
  <c r="H325" i="1" s="1"/>
  <c r="H326" i="1" a="1"/>
  <c r="H326" i="1" s="1"/>
  <c r="H327" i="1" a="1"/>
  <c r="H327" i="1" s="1"/>
  <c r="H328" i="1" a="1"/>
  <c r="H328" i="1" s="1"/>
  <c r="H779" i="1" a="1"/>
  <c r="H779" i="1" s="1"/>
  <c r="H2172" i="1" a="1"/>
  <c r="H2172" i="1" s="1"/>
  <c r="H2397" i="1" a="1"/>
  <c r="H2397" i="1" s="1"/>
  <c r="H2398" i="1" a="1"/>
  <c r="H2398" i="1" s="1"/>
  <c r="H2399" i="1" a="1"/>
  <c r="H2399" i="1" s="1"/>
  <c r="H2027" i="1" a="1"/>
  <c r="H2027" i="1" s="1"/>
  <c r="H2028" i="1" a="1"/>
  <c r="H2028" i="1" s="1"/>
  <c r="H2029" i="1" a="1"/>
  <c r="H2029" i="1" s="1"/>
  <c r="H2506" i="1" a="1"/>
  <c r="H2506" i="1" s="1"/>
  <c r="H2507" i="1" a="1"/>
  <c r="H2507" i="1" s="1"/>
  <c r="H2508" i="1" a="1"/>
  <c r="H2508" i="1" s="1"/>
  <c r="H600" i="1" a="1"/>
  <c r="H600" i="1" s="1"/>
  <c r="H1769" i="1" a="1"/>
  <c r="H1769" i="1" s="1"/>
  <c r="H2622" i="1" a="1"/>
  <c r="H2622" i="1" s="1"/>
  <c r="H2623" i="1" a="1"/>
  <c r="H2623" i="1" s="1"/>
  <c r="H2614" i="1" a="1"/>
  <c r="H2614" i="1" s="1"/>
  <c r="H2615" i="1" a="1"/>
  <c r="H2615" i="1" s="1"/>
  <c r="H780" i="1" a="1"/>
  <c r="H780" i="1" s="1"/>
  <c r="H781" i="1" a="1"/>
  <c r="H781" i="1" s="1"/>
  <c r="H2173" i="1" a="1"/>
  <c r="H2173" i="1" s="1"/>
  <c r="H2400" i="1" a="1"/>
  <c r="H2400" i="1" s="1"/>
  <c r="H2401" i="1" a="1"/>
  <c r="H2401" i="1" s="1"/>
  <c r="H2030" i="1" a="1"/>
  <c r="H2030" i="1" s="1"/>
  <c r="H2031" i="1" a="1"/>
  <c r="H2031" i="1" s="1"/>
  <c r="H2032" i="1" a="1"/>
  <c r="H2032" i="1" s="1"/>
  <c r="H227" i="1" a="1"/>
  <c r="H227" i="1" s="1"/>
  <c r="H2509" i="1" a="1"/>
  <c r="H2509" i="1" s="1"/>
  <c r="H228" i="1" a="1"/>
  <c r="H228" i="1" s="1"/>
  <c r="H229" i="1" a="1"/>
  <c r="H229" i="1" s="1"/>
  <c r="H230" i="1" a="1"/>
  <c r="H230" i="1" s="1"/>
  <c r="H231" i="1" a="1"/>
  <c r="H231" i="1" s="1"/>
  <c r="H232" i="1" a="1"/>
  <c r="H232" i="1" s="1"/>
  <c r="H329" i="1" a="1"/>
  <c r="H329" i="1" s="1"/>
  <c r="H2402" i="1" a="1"/>
  <c r="H2402" i="1" s="1"/>
  <c r="H233" i="1" a="1"/>
  <c r="H233" i="1" s="1"/>
  <c r="H330" i="1" a="1"/>
  <c r="H330" i="1" s="1"/>
  <c r="H2403" i="1" a="1"/>
  <c r="H2403" i="1" s="1"/>
  <c r="H331" i="1" a="1"/>
  <c r="H331" i="1" s="1"/>
  <c r="H332" i="1" a="1"/>
  <c r="H332" i="1" s="1"/>
  <c r="H333" i="1" a="1"/>
  <c r="H333" i="1" s="1"/>
  <c r="H574" i="1" a="1"/>
  <c r="H574" i="1" s="1"/>
  <c r="H575" i="1" a="1"/>
  <c r="H575" i="1" s="1"/>
  <c r="H576" i="1" a="1"/>
  <c r="H576" i="1" s="1"/>
  <c r="H577" i="1" a="1"/>
  <c r="H577" i="1" s="1"/>
  <c r="H578" i="1" a="1"/>
  <c r="H578" i="1" s="1"/>
  <c r="H1409" i="1" a="1"/>
  <c r="H1409" i="1" s="1"/>
  <c r="H2174" i="1" a="1"/>
  <c r="H2174" i="1" s="1"/>
  <c r="H1410" i="1" a="1"/>
  <c r="H1410" i="1" s="1"/>
  <c r="H782" i="1" a="1"/>
  <c r="H782" i="1" s="1"/>
  <c r="H2404" i="1" a="1"/>
  <c r="H2404" i="1" s="1"/>
  <c r="H2033" i="1" a="1"/>
  <c r="H2033" i="1" s="1"/>
  <c r="H2405" i="1" a="1"/>
  <c r="H2405" i="1" s="1"/>
  <c r="H2034" i="1" a="1"/>
  <c r="H2034" i="1" s="1"/>
  <c r="H2510" i="1" a="1"/>
  <c r="H2510" i="1" s="1"/>
  <c r="H2035" i="1" a="1"/>
  <c r="H2035" i="1" s="1"/>
  <c r="H2511" i="1" a="1"/>
  <c r="H2511" i="1" s="1"/>
  <c r="H2175" i="1" a="1"/>
  <c r="H2175" i="1" s="1"/>
  <c r="H2406" i="1" a="1"/>
  <c r="H2406" i="1" s="1"/>
  <c r="H1608" i="1" a="1"/>
  <c r="H1608" i="1" s="1"/>
  <c r="H1894" i="1" a="1"/>
  <c r="H1894" i="1" s="1"/>
  <c r="H1895" i="1" a="1"/>
  <c r="H1895" i="1" s="1"/>
  <c r="H1896" i="1" a="1"/>
  <c r="H1896" i="1" s="1"/>
  <c r="H1609" i="1" a="1"/>
  <c r="H1609" i="1" s="1"/>
  <c r="H1610" i="1" a="1"/>
  <c r="H1610" i="1" s="1"/>
  <c r="H1611" i="1" a="1"/>
  <c r="H1611" i="1" s="1"/>
  <c r="H783" i="1" a="1"/>
  <c r="H783" i="1" s="1"/>
  <c r="H784" i="1" a="1"/>
  <c r="H784" i="1" s="1"/>
  <c r="H2036" i="1" a="1"/>
  <c r="H2036" i="1" s="1"/>
  <c r="H2512" i="1" a="1"/>
  <c r="H2512" i="1" s="1"/>
  <c r="H2176" i="1" a="1"/>
  <c r="H2176" i="1" s="1"/>
  <c r="H2407" i="1" a="1"/>
  <c r="H2407" i="1" s="1"/>
  <c r="H2177" i="1" a="1"/>
  <c r="H2177" i="1" s="1"/>
  <c r="H2408" i="1" a="1"/>
  <c r="H2408" i="1" s="1"/>
  <c r="H2178" i="1" a="1"/>
  <c r="H2178" i="1" s="1"/>
  <c r="H234" i="1" a="1"/>
  <c r="H234" i="1" s="1"/>
  <c r="H235" i="1" a="1"/>
  <c r="H235" i="1" s="1"/>
  <c r="H678" i="1" a="1"/>
  <c r="H678" i="1" s="1"/>
  <c r="H679" i="1" a="1"/>
  <c r="H679" i="1" s="1"/>
  <c r="H1386" i="1" a="1"/>
  <c r="H1386" i="1" s="1"/>
  <c r="H785" i="1" a="1"/>
  <c r="H785" i="1" s="1"/>
  <c r="H786" i="1" a="1"/>
  <c r="H786" i="1" s="1"/>
  <c r="H787" i="1" a="1"/>
  <c r="H787" i="1" s="1"/>
  <c r="H2037" i="1" a="1"/>
  <c r="H2037" i="1" s="1"/>
  <c r="H2513" i="1" a="1"/>
  <c r="H2513" i="1" s="1"/>
  <c r="H2514" i="1" a="1"/>
  <c r="H2514" i="1" s="1"/>
  <c r="H2179" i="1" a="1"/>
  <c r="H2179" i="1" s="1"/>
  <c r="H2038" i="1" a="1"/>
  <c r="H2038" i="1" s="1"/>
  <c r="H741" i="1" a="1"/>
  <c r="H741" i="1" s="1"/>
  <c r="H1411" i="1" a="1"/>
  <c r="H1411" i="1" s="1"/>
  <c r="H1412" i="1" a="1"/>
  <c r="H1412" i="1" s="1"/>
  <c r="H1151" i="1" a="1"/>
  <c r="H1151" i="1" s="1"/>
  <c r="H1413" i="1" a="1"/>
  <c r="H1413" i="1" s="1"/>
  <c r="H1472" i="1" a="1"/>
  <c r="H1472" i="1" s="1"/>
  <c r="H1387" i="1" a="1"/>
  <c r="H1387" i="1" s="1"/>
  <c r="H1414" i="1" a="1"/>
  <c r="H1414" i="1" s="1"/>
  <c r="H1152" i="1" a="1"/>
  <c r="H1152" i="1" s="1"/>
  <c r="H1153" i="1" a="1"/>
  <c r="H1153" i="1" s="1"/>
  <c r="H1154" i="1" a="1"/>
  <c r="H1154" i="1" s="1"/>
  <c r="H1155" i="1" a="1"/>
  <c r="H1155" i="1" s="1"/>
  <c r="H1156" i="1" a="1"/>
  <c r="H1156" i="1" s="1"/>
  <c r="H788" i="1" a="1"/>
  <c r="H788" i="1" s="1"/>
  <c r="H2515" i="1" a="1"/>
  <c r="H2515" i="1" s="1"/>
  <c r="H2516" i="1" a="1"/>
  <c r="H2516" i="1" s="1"/>
  <c r="H2180" i="1" a="1"/>
  <c r="H2180" i="1" s="1"/>
  <c r="H2409" i="1" a="1"/>
  <c r="H2409" i="1" s="1"/>
  <c r="H2410" i="1" a="1"/>
  <c r="H2410" i="1" s="1"/>
  <c r="H2181" i="1" a="1"/>
  <c r="H2181" i="1" s="1"/>
  <c r="H2182" i="1" a="1"/>
  <c r="H2182" i="1" s="1"/>
  <c r="H2039" i="1" a="1"/>
  <c r="H2039" i="1" s="1"/>
  <c r="H2411" i="1" a="1"/>
  <c r="H2411" i="1" s="1"/>
  <c r="H789" i="1" a="1"/>
  <c r="H789" i="1" s="1"/>
  <c r="H2517" i="1" a="1"/>
  <c r="H2517" i="1" s="1"/>
  <c r="H2040" i="1" a="1"/>
  <c r="H2040" i="1" s="1"/>
  <c r="H2518" i="1" a="1"/>
  <c r="H2518" i="1" s="1"/>
  <c r="H2412" i="1" a="1"/>
  <c r="H2412" i="1" s="1"/>
  <c r="H2041" i="1" a="1"/>
  <c r="H2041" i="1" s="1"/>
  <c r="H2042" i="1" a="1"/>
  <c r="H2042" i="1" s="1"/>
  <c r="H2413" i="1" a="1"/>
  <c r="H2413" i="1" s="1"/>
  <c r="H2519" i="1" a="1"/>
  <c r="H2519" i="1" s="1"/>
  <c r="H596" i="1" a="1"/>
  <c r="H596" i="1" s="1"/>
  <c r="H2043" i="1" a="1"/>
  <c r="H2043" i="1" s="1"/>
  <c r="H405" i="1" a="1"/>
  <c r="H405" i="1" s="1"/>
  <c r="H181" i="1" a="1"/>
  <c r="H181" i="1" s="1"/>
  <c r="H958" i="1" a="1"/>
  <c r="H958" i="1" s="1"/>
  <c r="H1121" i="1" a="1"/>
  <c r="H1121" i="1" s="1"/>
  <c r="H1870" i="1" a="1"/>
  <c r="H1870" i="1" s="1"/>
  <c r="H590" i="1" a="1"/>
  <c r="H590" i="1" s="1"/>
  <c r="H1871" i="1" a="1"/>
  <c r="H1871" i="1" s="1"/>
  <c r="H2183" i="1" a="1"/>
  <c r="H2183" i="1" s="1"/>
  <c r="H2414" i="1" a="1"/>
  <c r="H2414" i="1" s="1"/>
  <c r="H2044" i="1" a="1"/>
  <c r="H2044" i="1" s="1"/>
  <c r="H790" i="1" a="1"/>
  <c r="H790" i="1" s="1"/>
  <c r="H2415" i="1" a="1"/>
  <c r="H2415" i="1" s="1"/>
  <c r="H2310" i="1" a="1"/>
  <c r="H2310" i="1" s="1"/>
  <c r="H2311" i="1" a="1"/>
  <c r="H2311" i="1" s="1"/>
  <c r="H2520" i="1" a="1"/>
  <c r="H2520" i="1" s="1"/>
  <c r="H2312" i="1" a="1"/>
  <c r="H2312" i="1" s="1"/>
  <c r="H618" i="1" a="1"/>
  <c r="H618" i="1" s="1"/>
  <c r="H708" i="1" a="1"/>
  <c r="H708" i="1" s="1"/>
  <c r="H731" i="1" a="1"/>
  <c r="H731" i="1" s="1"/>
  <c r="H236" i="1" a="1"/>
  <c r="H236" i="1" s="1"/>
  <c r="H237" i="1" a="1"/>
  <c r="H237" i="1" s="1"/>
  <c r="H238" i="1" a="1"/>
  <c r="H238" i="1" s="1"/>
  <c r="H2184" i="1" a="1"/>
  <c r="H2184" i="1" s="1"/>
  <c r="H239" i="1" a="1"/>
  <c r="H239" i="1" s="1"/>
  <c r="H334" i="1" a="1"/>
  <c r="H334" i="1" s="1"/>
  <c r="H1849" i="1" a="1"/>
  <c r="H1849" i="1" s="1"/>
  <c r="H1859" i="1" a="1"/>
  <c r="H1859" i="1" s="1"/>
  <c r="H2416" i="1" a="1"/>
  <c r="H2416" i="1" s="1"/>
  <c r="H2045" i="1" a="1"/>
  <c r="H2045" i="1" s="1"/>
  <c r="H2417" i="1" a="1"/>
  <c r="H2417" i="1" s="1"/>
  <c r="H791" i="1" a="1"/>
  <c r="H791" i="1" s="1"/>
  <c r="H792" i="1" a="1"/>
  <c r="H792" i="1" s="1"/>
  <c r="H793" i="1" a="1"/>
  <c r="H793" i="1" s="1"/>
  <c r="H240" i="1" a="1"/>
  <c r="H240" i="1" s="1"/>
  <c r="H241" i="1" a="1"/>
  <c r="H241" i="1" s="1"/>
  <c r="H335" i="1" a="1"/>
  <c r="H335" i="1" s="1"/>
  <c r="H336" i="1" a="1"/>
  <c r="H336" i="1" s="1"/>
  <c r="H2313" i="1" a="1"/>
  <c r="H2313" i="1" s="1"/>
  <c r="H337" i="1" a="1"/>
  <c r="H337" i="1" s="1"/>
  <c r="H2314" i="1" a="1"/>
  <c r="H2314" i="1" s="1"/>
  <c r="H338" i="1" a="1"/>
  <c r="H338" i="1" s="1"/>
  <c r="H2315" i="1" a="1"/>
  <c r="H2315" i="1" s="1"/>
  <c r="H339" i="1" a="1"/>
  <c r="H339" i="1" s="1"/>
  <c r="H340" i="1" a="1"/>
  <c r="H340" i="1" s="1"/>
  <c r="H1860" i="1" a="1"/>
  <c r="H1860" i="1" s="1"/>
  <c r="H1415" i="1" a="1"/>
  <c r="H1415" i="1" s="1"/>
  <c r="H1416" i="1" a="1"/>
  <c r="H1416" i="1" s="1"/>
  <c r="H1547" i="1" a="1"/>
  <c r="H1547" i="1" s="1"/>
  <c r="H1548" i="1" a="1"/>
  <c r="H1548" i="1" s="1"/>
  <c r="H1549" i="1" a="1"/>
  <c r="H1549" i="1" s="1"/>
  <c r="H1729" i="1" a="1"/>
  <c r="H1729" i="1" s="1"/>
  <c r="H2185" i="1" a="1"/>
  <c r="H2185" i="1" s="1"/>
  <c r="H2186" i="1" a="1"/>
  <c r="H2186" i="1" s="1"/>
  <c r="H2046" i="1" a="1"/>
  <c r="H2046" i="1" s="1"/>
  <c r="H2418" i="1" a="1"/>
  <c r="H2418" i="1" s="1"/>
  <c r="H2047" i="1" a="1"/>
  <c r="H2047" i="1" s="1"/>
  <c r="H1505" i="1" a="1"/>
  <c r="H1505" i="1" s="1"/>
  <c r="H794" i="1" a="1"/>
  <c r="H794" i="1" s="1"/>
  <c r="H795" i="1" a="1"/>
  <c r="H795" i="1" s="1"/>
  <c r="H2419" i="1" a="1"/>
  <c r="H2419" i="1" s="1"/>
  <c r="H796" i="1" a="1"/>
  <c r="H796" i="1" s="1"/>
  <c r="H2521" i="1" a="1"/>
  <c r="H2521" i="1" s="1"/>
  <c r="H2316" i="1" a="1"/>
  <c r="H2316" i="1" s="1"/>
  <c r="H341" i="1" a="1"/>
  <c r="H341" i="1" s="1"/>
  <c r="H2317" i="1" a="1"/>
  <c r="H2317" i="1" s="1"/>
  <c r="H342" i="1" a="1"/>
  <c r="H342" i="1" s="1"/>
  <c r="H343" i="1" a="1"/>
  <c r="H343" i="1" s="1"/>
  <c r="H344" i="1" a="1"/>
  <c r="H344" i="1" s="1"/>
  <c r="H345" i="1" a="1"/>
  <c r="H345" i="1" s="1"/>
  <c r="H346" i="1" a="1"/>
  <c r="H346" i="1" s="1"/>
  <c r="H347" i="1" a="1"/>
  <c r="H347" i="1" s="1"/>
  <c r="H2318" i="1" a="1"/>
  <c r="H2318" i="1" s="1"/>
  <c r="H2187" i="1" a="1"/>
  <c r="H2187" i="1" s="1"/>
  <c r="H2188" i="1" a="1"/>
  <c r="H2188" i="1" s="1"/>
  <c r="H2048" i="1" a="1"/>
  <c r="H2048" i="1" s="1"/>
  <c r="H2049" i="1" a="1"/>
  <c r="H2049" i="1" s="1"/>
  <c r="H1772" i="1" a="1"/>
  <c r="H1772" i="1" s="1"/>
  <c r="H885" i="1" a="1"/>
  <c r="H885" i="1" s="1"/>
  <c r="H2420" i="1" a="1"/>
  <c r="H2420" i="1" s="1"/>
  <c r="H797" i="1" a="1"/>
  <c r="H797" i="1" s="1"/>
  <c r="H886" i="1" a="1"/>
  <c r="H886" i="1" s="1"/>
  <c r="H798" i="1" a="1"/>
  <c r="H798" i="1" s="1"/>
  <c r="H242" i="1" a="1"/>
  <c r="H242" i="1" s="1"/>
  <c r="H243" i="1" a="1"/>
  <c r="H243" i="1" s="1"/>
  <c r="H799" i="1" a="1"/>
  <c r="H799" i="1" s="1"/>
  <c r="H244" i="1" a="1"/>
  <c r="H244" i="1" s="1"/>
  <c r="H245" i="1" a="1"/>
  <c r="H245" i="1" s="1"/>
  <c r="H246" i="1" a="1"/>
  <c r="H246" i="1" s="1"/>
  <c r="H2319" i="1" a="1"/>
  <c r="H2319" i="1" s="1"/>
  <c r="H2320" i="1" a="1"/>
  <c r="H2320" i="1" s="1"/>
  <c r="H633" i="1" a="1"/>
  <c r="H633" i="1" s="1"/>
  <c r="H1612" i="1" a="1"/>
  <c r="H1612" i="1" s="1"/>
  <c r="H1613" i="1" a="1"/>
  <c r="H1613" i="1" s="1"/>
  <c r="H1614" i="1" a="1"/>
  <c r="H1614" i="1" s="1"/>
  <c r="H2189" i="1" a="1"/>
  <c r="H2189" i="1" s="1"/>
  <c r="H2050" i="1" a="1"/>
  <c r="H2050" i="1" s="1"/>
  <c r="H2421" i="1" a="1"/>
  <c r="H2421" i="1" s="1"/>
  <c r="H2522" i="1" a="1"/>
  <c r="H2522" i="1" s="1"/>
  <c r="H2422" i="1" a="1"/>
  <c r="H2422" i="1" s="1"/>
  <c r="H2190" i="1" a="1"/>
  <c r="H2190" i="1" s="1"/>
  <c r="H2321" i="1" a="1"/>
  <c r="H2321" i="1" s="1"/>
  <c r="H2322" i="1" a="1"/>
  <c r="H2322" i="1" s="1"/>
  <c r="H2051" i="1" a="1"/>
  <c r="H2051" i="1" s="1"/>
  <c r="H2052" i="1" a="1"/>
  <c r="H2052" i="1" s="1"/>
  <c r="H2423" i="1" a="1"/>
  <c r="H2423" i="1" s="1"/>
  <c r="H2191" i="1" a="1"/>
  <c r="H2191" i="1" s="1"/>
  <c r="H2053" i="1" a="1"/>
  <c r="H2053" i="1" s="1"/>
  <c r="H2054" i="1" a="1"/>
  <c r="H2054" i="1" s="1"/>
  <c r="H2323" i="1" a="1"/>
  <c r="H2323" i="1" s="1"/>
  <c r="H617" i="1" a="1"/>
  <c r="H617" i="1" s="1"/>
  <c r="H1417" i="1" a="1"/>
  <c r="H1417" i="1" s="1"/>
  <c r="H2628" i="1" a="1"/>
  <c r="H2628" i="1" s="1"/>
  <c r="H1418" i="1" a="1"/>
  <c r="H1418" i="1" s="1"/>
  <c r="H2192" i="1" a="1"/>
  <c r="H2192" i="1" s="1"/>
  <c r="H2193" i="1" a="1"/>
  <c r="H2193" i="1" s="1"/>
  <c r="H2055" i="1" a="1"/>
  <c r="H2055" i="1" s="1"/>
  <c r="H1661" i="1" a="1"/>
  <c r="H1661" i="1" s="1"/>
  <c r="H1662" i="1" a="1"/>
  <c r="H1662" i="1" s="1"/>
  <c r="H1673" i="1" a="1"/>
  <c r="H1673" i="1" s="1"/>
  <c r="H1663" i="1" a="1"/>
  <c r="H1663" i="1" s="1"/>
  <c r="H1674" i="1" a="1"/>
  <c r="H1674" i="1" s="1"/>
  <c r="H1776" i="1" a="1"/>
  <c r="H1776" i="1" s="1"/>
  <c r="H2194" i="1" a="1"/>
  <c r="H2194" i="1" s="1"/>
  <c r="H2195" i="1" a="1"/>
  <c r="H2195" i="1" s="1"/>
  <c r="H1777" i="1" a="1"/>
  <c r="H1777" i="1" s="1"/>
  <c r="H2056" i="1" a="1"/>
  <c r="H2056" i="1" s="1"/>
  <c r="H2057" i="1" a="1"/>
  <c r="H2057" i="1" s="1"/>
  <c r="H1664" i="1" a="1"/>
  <c r="H1664" i="1" s="1"/>
  <c r="H1900" i="1" a="1"/>
  <c r="H1900" i="1" s="1"/>
  <c r="H1901" i="1" a="1"/>
  <c r="H1901" i="1" s="1"/>
  <c r="H1226" i="1" a="1"/>
  <c r="H1226" i="1" s="1"/>
  <c r="H1228" i="1" a="1"/>
  <c r="H1228" i="1" s="1"/>
  <c r="H247" i="1" a="1"/>
  <c r="H247" i="1" s="1"/>
  <c r="H248" i="1" a="1"/>
  <c r="H248" i="1" s="1"/>
  <c r="H249" i="1" a="1"/>
  <c r="H249" i="1" s="1"/>
  <c r="H250" i="1" a="1"/>
  <c r="H250" i="1" s="1"/>
  <c r="H251" i="1" a="1"/>
  <c r="H251" i="1" s="1"/>
  <c r="H252" i="1" a="1"/>
  <c r="H252" i="1" s="1"/>
  <c r="H348" i="1" a="1"/>
  <c r="H348" i="1" s="1"/>
  <c r="H1717" i="1" a="1"/>
  <c r="H1717" i="1" s="1"/>
  <c r="H349" i="1" a="1"/>
  <c r="H349" i="1" s="1"/>
  <c r="H350" i="1" a="1"/>
  <c r="H350" i="1" s="1"/>
  <c r="H351" i="1" a="1"/>
  <c r="H351" i="1" s="1"/>
  <c r="H352" i="1" a="1"/>
  <c r="H352" i="1" s="1"/>
  <c r="H2196" i="1" a="1"/>
  <c r="H2196" i="1" s="1"/>
  <c r="H2197" i="1" a="1"/>
  <c r="H2197" i="1" s="1"/>
  <c r="H2198" i="1" a="1"/>
  <c r="H2198" i="1" s="1"/>
  <c r="H2058" i="1" a="1"/>
  <c r="H2058" i="1" s="1"/>
  <c r="H2059" i="1" a="1"/>
  <c r="H2059" i="1" s="1"/>
  <c r="H680" i="1" a="1"/>
  <c r="H680" i="1" s="1"/>
  <c r="H681" i="1" a="1"/>
  <c r="H681" i="1" s="1"/>
  <c r="H682" i="1" a="1"/>
  <c r="H682" i="1" s="1"/>
  <c r="H2199" i="1" a="1"/>
  <c r="H2199" i="1" s="1"/>
  <c r="H2200" i="1" a="1"/>
  <c r="H2200" i="1" s="1"/>
  <c r="H732" i="1" a="1"/>
  <c r="H732" i="1" s="1"/>
  <c r="H2060" i="1" a="1"/>
  <c r="H2060" i="1" s="1"/>
  <c r="H2061" i="1" a="1"/>
  <c r="H2061" i="1" s="1"/>
  <c r="H709" i="1" a="1"/>
  <c r="H709" i="1" s="1"/>
  <c r="H742" i="1" a="1"/>
  <c r="H742" i="1" s="1"/>
  <c r="H402" i="1" a="1"/>
  <c r="H402" i="1" s="1"/>
  <c r="H597" i="1" a="1"/>
  <c r="H597" i="1" s="1"/>
  <c r="H1519" i="1" a="1"/>
  <c r="H1519" i="1" s="1"/>
  <c r="H253" i="1" a="1"/>
  <c r="H253" i="1" s="1"/>
  <c r="H2324" i="1" a="1"/>
  <c r="H2324" i="1" s="1"/>
  <c r="H254" i="1" a="1"/>
  <c r="H254" i="1" s="1"/>
  <c r="H2325" i="1" a="1"/>
  <c r="H2325" i="1" s="1"/>
  <c r="H255" i="1" a="1"/>
  <c r="H255" i="1" s="1"/>
  <c r="H2424" i="1" a="1"/>
  <c r="H2424" i="1" s="1"/>
  <c r="H1914" i="1" a="1"/>
  <c r="H1914" i="1" s="1"/>
  <c r="H2062" i="1" a="1"/>
  <c r="H2062" i="1" s="1"/>
  <c r="H256" i="1" a="1"/>
  <c r="H256" i="1" s="1"/>
  <c r="H353" i="1" a="1"/>
  <c r="H353" i="1" s="1"/>
  <c r="H2326" i="1" a="1"/>
  <c r="H2326" i="1" s="1"/>
  <c r="H257" i="1" a="1"/>
  <c r="H257" i="1" s="1"/>
  <c r="H354" i="1" a="1"/>
  <c r="H354" i="1" s="1"/>
  <c r="H2327" i="1" a="1"/>
  <c r="H2327" i="1" s="1"/>
  <c r="H258" i="1" a="1"/>
  <c r="H258" i="1" s="1"/>
  <c r="H355" i="1" a="1"/>
  <c r="H355" i="1" s="1"/>
  <c r="H2328" i="1" a="1"/>
  <c r="H2328" i="1" s="1"/>
  <c r="H1915" i="1" a="1"/>
  <c r="H1915" i="1" s="1"/>
  <c r="H2063" i="1" a="1"/>
  <c r="H2063" i="1" s="1"/>
  <c r="H1594" i="1" a="1"/>
  <c r="H1594" i="1" s="1"/>
  <c r="H1595" i="1" a="1"/>
  <c r="H1595" i="1" s="1"/>
  <c r="H1491" i="1" a="1"/>
  <c r="H1491" i="1" s="1"/>
  <c r="H2064" i="1" a="1"/>
  <c r="H2064" i="1" s="1"/>
  <c r="H1730" i="1" a="1"/>
  <c r="H1730" i="1" s="1"/>
  <c r="H1615" i="1" a="1"/>
  <c r="H1615" i="1" s="1"/>
  <c r="H1731" i="1" a="1"/>
  <c r="H1731" i="1" s="1"/>
  <c r="H1872" i="1" a="1"/>
  <c r="H1872" i="1" s="1"/>
  <c r="H1873" i="1" a="1"/>
  <c r="H1873" i="1" s="1"/>
  <c r="H1874" i="1" a="1"/>
  <c r="H1874" i="1" s="1"/>
  <c r="H1875" i="1" a="1"/>
  <c r="H1875" i="1" s="1"/>
  <c r="H683" i="1" a="1"/>
  <c r="H683" i="1" s="1"/>
  <c r="H684" i="1" a="1"/>
  <c r="H684" i="1" s="1"/>
  <c r="H1419" i="1" a="1"/>
  <c r="H1419" i="1" s="1"/>
  <c r="H1420" i="1" a="1"/>
  <c r="H1420" i="1" s="1"/>
  <c r="H1421" i="1" a="1"/>
  <c r="H1421" i="1" s="1"/>
  <c r="H2425" i="1" a="1"/>
  <c r="H2425" i="1" s="1"/>
  <c r="H2065" i="1" a="1"/>
  <c r="H2065" i="1" s="1"/>
  <c r="H259" i="1" a="1"/>
  <c r="H259" i="1" s="1"/>
  <c r="H356" i="1" a="1"/>
  <c r="H356" i="1" s="1"/>
  <c r="H2066" i="1" a="1"/>
  <c r="H2066" i="1" s="1"/>
  <c r="H2329" i="1" a="1"/>
  <c r="H2329" i="1" s="1"/>
  <c r="H357" i="1" a="1"/>
  <c r="H357" i="1" s="1"/>
  <c r="H1916" i="1" a="1"/>
  <c r="H1916" i="1" s="1"/>
  <c r="H1744" i="1" a="1"/>
  <c r="H1744" i="1" s="1"/>
  <c r="H1745" i="1" a="1"/>
  <c r="H1745" i="1" s="1"/>
  <c r="H1746" i="1" a="1"/>
  <c r="H1746" i="1" s="1"/>
  <c r="H1747" i="1" a="1"/>
  <c r="H1747" i="1" s="1"/>
  <c r="H1748" i="1" a="1"/>
  <c r="H1748" i="1" s="1"/>
  <c r="H1749" i="1" a="1"/>
  <c r="H1749" i="1" s="1"/>
  <c r="H1750" i="1" a="1"/>
  <c r="H1750" i="1" s="1"/>
  <c r="H1751" i="1" a="1"/>
  <c r="H1751" i="1" s="1"/>
  <c r="H1307" i="1" a="1"/>
  <c r="H1307" i="1" s="1"/>
  <c r="H1616" i="1" a="1"/>
  <c r="H1616" i="1" s="1"/>
  <c r="H929" i="1" a="1"/>
  <c r="H929" i="1" s="1"/>
  <c r="H979" i="1" a="1"/>
  <c r="H979" i="1" s="1"/>
  <c r="H930" i="1" a="1"/>
  <c r="H930" i="1" s="1"/>
  <c r="H980" i="1" a="1"/>
  <c r="H980" i="1" s="1"/>
  <c r="H931" i="1" a="1"/>
  <c r="H931" i="1" s="1"/>
  <c r="H981" i="1" a="1"/>
  <c r="H981" i="1" s="1"/>
  <c r="H932" i="1" a="1"/>
  <c r="H932" i="1" s="1"/>
  <c r="H982" i="1" a="1"/>
  <c r="H982" i="1" s="1"/>
  <c r="H1617" i="1" a="1"/>
  <c r="H1617" i="1" s="1"/>
  <c r="H608" i="1" a="1"/>
  <c r="H608" i="1" s="1"/>
  <c r="H933" i="1" a="1"/>
  <c r="H933" i="1" s="1"/>
  <c r="H983" i="1" a="1"/>
  <c r="H983" i="1" s="1"/>
  <c r="H934" i="1" a="1"/>
  <c r="H934" i="1" s="1"/>
  <c r="H893" i="1" a="1"/>
  <c r="H893" i="1" s="1"/>
  <c r="H984" i="1" a="1"/>
  <c r="H984" i="1" s="1"/>
  <c r="H935" i="1" a="1"/>
  <c r="H935" i="1" s="1"/>
  <c r="H985" i="1" a="1"/>
  <c r="H985" i="1" s="1"/>
  <c r="H936" i="1" a="1"/>
  <c r="H936" i="1" s="1"/>
  <c r="H894" i="1" a="1"/>
  <c r="H894" i="1" s="1"/>
  <c r="H986" i="1" a="1"/>
  <c r="H986" i="1" s="1"/>
  <c r="H937" i="1" a="1"/>
  <c r="H937" i="1" s="1"/>
  <c r="H895" i="1" a="1"/>
  <c r="H895" i="1" s="1"/>
  <c r="H944" i="1" a="1"/>
  <c r="H944" i="1" s="1"/>
  <c r="H938" i="1" a="1"/>
  <c r="H938" i="1" s="1"/>
  <c r="H896" i="1" a="1"/>
  <c r="H896" i="1" s="1"/>
  <c r="H945" i="1" a="1"/>
  <c r="H945" i="1" s="1"/>
  <c r="H987" i="1" a="1"/>
  <c r="H987" i="1" s="1"/>
  <c r="H939" i="1" a="1"/>
  <c r="H939" i="1" s="1"/>
  <c r="H897" i="1" a="1"/>
  <c r="H897" i="1" s="1"/>
  <c r="H946" i="1" a="1"/>
  <c r="H946" i="1" s="1"/>
  <c r="H952" i="1" a="1"/>
  <c r="H952" i="1" s="1"/>
  <c r="H988" i="1" a="1"/>
  <c r="H988" i="1" s="1"/>
  <c r="H940" i="1" a="1"/>
  <c r="H940" i="1" s="1"/>
  <c r="H898" i="1" a="1"/>
  <c r="H898" i="1" s="1"/>
  <c r="H947" i="1" a="1"/>
  <c r="H947" i="1" s="1"/>
  <c r="H953" i="1" a="1"/>
  <c r="H953" i="1" s="1"/>
  <c r="H989" i="1" a="1"/>
  <c r="H989" i="1" s="1"/>
  <c r="H899" i="1" a="1"/>
  <c r="H899" i="1" s="1"/>
  <c r="H954" i="1" a="1"/>
  <c r="H954" i="1" s="1"/>
  <c r="H990" i="1" a="1"/>
  <c r="H990" i="1" s="1"/>
  <c r="H900" i="1" a="1"/>
  <c r="H900" i="1" s="1"/>
  <c r="H955" i="1" a="1"/>
  <c r="H955" i="1" s="1"/>
  <c r="H1089" i="1" a="1"/>
  <c r="H1089" i="1" s="1"/>
  <c r="H1113" i="1" a="1"/>
  <c r="H1113" i="1" s="1"/>
  <c r="H991" i="1" a="1"/>
  <c r="H991" i="1" s="1"/>
  <c r="H901" i="1" a="1"/>
  <c r="H901" i="1" s="1"/>
  <c r="H1090" i="1" a="1"/>
  <c r="H1090" i="1" s="1"/>
  <c r="H992" i="1" a="1"/>
  <c r="H992" i="1" s="1"/>
  <c r="H902" i="1" a="1"/>
  <c r="H902" i="1" s="1"/>
  <c r="H1091" i="1" a="1"/>
  <c r="H1091" i="1" s="1"/>
  <c r="H993" i="1" a="1"/>
  <c r="H993" i="1" s="1"/>
  <c r="H903" i="1" a="1"/>
  <c r="H903" i="1" s="1"/>
  <c r="H1092" i="1" a="1"/>
  <c r="H1092" i="1" s="1"/>
  <c r="H994" i="1" a="1"/>
  <c r="H994" i="1" s="1"/>
  <c r="H904" i="1" a="1"/>
  <c r="H904" i="1" s="1"/>
  <c r="H905" i="1" a="1"/>
  <c r="H905" i="1" s="1"/>
  <c r="H948" i="1" a="1"/>
  <c r="H948" i="1" s="1"/>
  <c r="H1093" i="1" a="1"/>
  <c r="H1093" i="1" s="1"/>
  <c r="H1094" i="1" a="1"/>
  <c r="H1094" i="1" s="1"/>
  <c r="H1114" i="1" a="1"/>
  <c r="H1114" i="1" s="1"/>
  <c r="H995" i="1" a="1"/>
  <c r="H995" i="1" s="1"/>
  <c r="H996" i="1" a="1"/>
  <c r="H996" i="1" s="1"/>
  <c r="H906" i="1" a="1"/>
  <c r="H906" i="1" s="1"/>
  <c r="H949" i="1" a="1"/>
  <c r="H949" i="1" s="1"/>
  <c r="H1095" i="1" a="1"/>
  <c r="H1095" i="1" s="1"/>
  <c r="H997" i="1" a="1"/>
  <c r="H997" i="1" s="1"/>
  <c r="H956" i="1" a="1"/>
  <c r="H956" i="1" s="1"/>
  <c r="H907" i="1" a="1"/>
  <c r="H907" i="1" s="1"/>
  <c r="H1096" i="1" a="1"/>
  <c r="H1096" i="1" s="1"/>
  <c r="H1115" i="1" a="1"/>
  <c r="H1115" i="1" s="1"/>
  <c r="H908" i="1" a="1"/>
  <c r="H908" i="1" s="1"/>
  <c r="H998" i="1" a="1"/>
  <c r="H998" i="1" s="1"/>
  <c r="H941" i="1" a="1"/>
  <c r="H941" i="1" s="1"/>
  <c r="H909" i="1" a="1"/>
  <c r="H909" i="1" s="1"/>
  <c r="H1097" i="1" a="1"/>
  <c r="H1097" i="1" s="1"/>
  <c r="H999" i="1" a="1"/>
  <c r="H999" i="1" s="1"/>
  <c r="H1000" i="1" a="1"/>
  <c r="H1000" i="1" s="1"/>
  <c r="H942" i="1" a="1"/>
  <c r="H942" i="1" s="1"/>
  <c r="H910" i="1" a="1"/>
  <c r="H910" i="1" s="1"/>
  <c r="H1098" i="1" a="1"/>
  <c r="H1098" i="1" s="1"/>
  <c r="H1116" i="1" a="1"/>
  <c r="H1116" i="1" s="1"/>
  <c r="H1001" i="1" a="1"/>
  <c r="H1001" i="1" s="1"/>
  <c r="H911" i="1" a="1"/>
  <c r="H911" i="1" s="1"/>
  <c r="H1099" i="1" a="1"/>
  <c r="H1099" i="1" s="1"/>
  <c r="H1117" i="1" a="1"/>
  <c r="H1117" i="1" s="1"/>
  <c r="H1002" i="1" a="1"/>
  <c r="H1002" i="1" s="1"/>
  <c r="H912" i="1" a="1"/>
  <c r="H912" i="1" s="1"/>
  <c r="H1100" i="1" a="1"/>
  <c r="H1100" i="1" s="1"/>
  <c r="H913" i="1" a="1"/>
  <c r="H913" i="1" s="1"/>
  <c r="H957" i="1" a="1"/>
  <c r="H957" i="1" s="1"/>
  <c r="H914" i="1" a="1"/>
  <c r="H914" i="1" s="1"/>
  <c r="H1101" i="1" a="1"/>
  <c r="H1101" i="1" s="1"/>
  <c r="H1118" i="1" a="1"/>
  <c r="H1118" i="1" s="1"/>
  <c r="H1003" i="1" a="1"/>
  <c r="H1003" i="1" s="1"/>
  <c r="H943" i="1" a="1"/>
  <c r="H943" i="1" s="1"/>
  <c r="H915" i="1" a="1"/>
  <c r="H915" i="1" s="1"/>
  <c r="H1102" i="1" a="1"/>
  <c r="H1102" i="1" s="1"/>
  <c r="H1103" i="1" a="1"/>
  <c r="H1103" i="1" s="1"/>
  <c r="H1119" i="1" a="1"/>
  <c r="H1119" i="1" s="1"/>
  <c r="H916" i="1" a="1"/>
  <c r="H916" i="1" s="1"/>
  <c r="H1104" i="1" a="1"/>
  <c r="H1104" i="1" s="1"/>
  <c r="H1120" i="1" a="1"/>
  <c r="H1120" i="1" s="1"/>
  <c r="H917" i="1" a="1"/>
  <c r="H917" i="1" s="1"/>
  <c r="H1105" i="1" a="1"/>
  <c r="H1105" i="1" s="1"/>
  <c r="H1004" i="1" a="1"/>
  <c r="H1004" i="1" s="1"/>
  <c r="H918" i="1" a="1"/>
  <c r="H918" i="1" s="1"/>
  <c r="H1106" i="1" a="1"/>
  <c r="H1106" i="1" s="1"/>
  <c r="H919" i="1" a="1"/>
  <c r="H919" i="1" s="1"/>
  <c r="H920" i="1" a="1"/>
  <c r="H920" i="1" s="1"/>
  <c r="H1107" i="1" a="1"/>
  <c r="H1107" i="1" s="1"/>
  <c r="H1108" i="1" a="1"/>
  <c r="H1108" i="1" s="1"/>
  <c r="H1005" i="1" a="1"/>
  <c r="H1005" i="1" s="1"/>
  <c r="H921" i="1" a="1"/>
  <c r="H921" i="1" s="1"/>
  <c r="H1109" i="1" a="1"/>
  <c r="H1109" i="1" s="1"/>
  <c r="H1006" i="1" a="1"/>
  <c r="H1006" i="1" s="1"/>
  <c r="H922" i="1" a="1"/>
  <c r="H922" i="1" s="1"/>
  <c r="H1110" i="1" a="1"/>
  <c r="H1110" i="1" s="1"/>
  <c r="H1007" i="1" a="1"/>
  <c r="H1007" i="1" s="1"/>
  <c r="H1008" i="1" a="1"/>
  <c r="H1008" i="1" s="1"/>
  <c r="H923" i="1" a="1"/>
  <c r="H923" i="1" s="1"/>
  <c r="H1009" i="1" a="1"/>
  <c r="H1009" i="1" s="1"/>
  <c r="H924" i="1" a="1"/>
  <c r="H924" i="1" s="1"/>
  <c r="H1010" i="1" a="1"/>
  <c r="H1010" i="1" s="1"/>
  <c r="H1011" i="1" a="1"/>
  <c r="H1011" i="1" s="1"/>
  <c r="H925" i="1" a="1"/>
  <c r="H925" i="1" s="1"/>
  <c r="H926" i="1" a="1"/>
  <c r="H926" i="1" s="1"/>
  <c r="H927" i="1" a="1"/>
  <c r="H927" i="1" s="1"/>
  <c r="H1012" i="1" a="1"/>
  <c r="H1012" i="1" s="1"/>
  <c r="H928" i="1" a="1"/>
  <c r="H928" i="1" s="1"/>
  <c r="H1111" i="1" a="1"/>
  <c r="H1111" i="1" s="1"/>
  <c r="H1013" i="1" a="1"/>
  <c r="H1013" i="1" s="1"/>
  <c r="H579" i="1" a="1"/>
  <c r="H579" i="1" s="1"/>
  <c r="H580" i="1" a="1"/>
  <c r="H580" i="1" s="1"/>
  <c r="H2330" i="1" a="1"/>
  <c r="H2330" i="1" s="1"/>
  <c r="H2616" i="1" a="1"/>
  <c r="H2616" i="1" s="1"/>
  <c r="H1917" i="1" a="1"/>
  <c r="H1917" i="1" s="1"/>
  <c r="H733" i="1" a="1"/>
  <c r="H733" i="1" s="1"/>
  <c r="H710" i="1" a="1"/>
  <c r="H710" i="1" s="1"/>
  <c r="H619" i="1" a="1"/>
  <c r="H619" i="1" s="1"/>
  <c r="H1492" i="1" a="1"/>
  <c r="H1492" i="1" s="1"/>
  <c r="H1550" i="1" a="1"/>
  <c r="H1550" i="1" s="1"/>
  <c r="H1732" i="1" a="1"/>
  <c r="H1732" i="1" s="1"/>
  <c r="H743" i="1" a="1"/>
  <c r="H743" i="1" s="1"/>
  <c r="H1733" i="1" a="1"/>
  <c r="H1733" i="1" s="1"/>
  <c r="H744" i="1" a="1"/>
  <c r="H744" i="1" s="1"/>
  <c r="H1618" i="1" a="1"/>
  <c r="H1618" i="1" s="1"/>
  <c r="H1619" i="1" a="1"/>
  <c r="H1619" i="1" s="1"/>
  <c r="H1551" i="1" a="1"/>
  <c r="H1551" i="1" s="1"/>
  <c r="H1552" i="1" a="1"/>
  <c r="H1552" i="1" s="1"/>
  <c r="H1553" i="1" a="1"/>
  <c r="H1553" i="1" s="1"/>
  <c r="H2331" i="1" a="1"/>
  <c r="H2331" i="1" s="1"/>
  <c r="H1918" i="1" a="1"/>
  <c r="H1918" i="1" s="1"/>
  <c r="H143" i="1" a="1"/>
  <c r="H143" i="1" s="1"/>
  <c r="H144" i="1" a="1"/>
  <c r="H144" i="1" s="1"/>
  <c r="H1620" i="1" a="1"/>
  <c r="H1620" i="1" s="1"/>
  <c r="H1087" i="1" a="1"/>
  <c r="H1087" i="1" s="1"/>
  <c r="H1088" i="1" a="1"/>
  <c r="H1088" i="1" s="1"/>
  <c r="H1069" i="1" a="1"/>
  <c r="H1069" i="1" s="1"/>
  <c r="H1621" i="1" a="1"/>
  <c r="H1621" i="1" s="1"/>
  <c r="H1051" i="1" a="1"/>
  <c r="H1051" i="1" s="1"/>
  <c r="H1070" i="1" a="1"/>
  <c r="H1070" i="1" s="1"/>
  <c r="H147" i="1" a="1"/>
  <c r="H147" i="1" s="1"/>
  <c r="H1052" i="1" a="1"/>
  <c r="H1052" i="1" s="1"/>
  <c r="H34" i="1" a="1"/>
  <c r="H34" i="1" s="1"/>
  <c r="H1053" i="1" a="1"/>
  <c r="H1053" i="1" s="1"/>
  <c r="H1071" i="1" a="1"/>
  <c r="H1071" i="1" s="1"/>
  <c r="H1024" i="1" a="1"/>
  <c r="H1024" i="1" s="1"/>
  <c r="H959" i="1" a="1"/>
  <c r="H959" i="1" s="1"/>
  <c r="H1072" i="1" a="1"/>
  <c r="H1072" i="1" s="1"/>
  <c r="H1025" i="1" a="1"/>
  <c r="H1025" i="1" s="1"/>
  <c r="H1026" i="1" a="1"/>
  <c r="H1026" i="1" s="1"/>
  <c r="H960" i="1" a="1"/>
  <c r="H960" i="1" s="1"/>
  <c r="H961" i="1" a="1"/>
  <c r="H961" i="1" s="1"/>
  <c r="H1027" i="1" a="1"/>
  <c r="H1027" i="1" s="1"/>
  <c r="H1032" i="1" a="1"/>
  <c r="H1032" i="1" s="1"/>
  <c r="H1073" i="1" a="1"/>
  <c r="H1073" i="1" s="1"/>
  <c r="H962" i="1" a="1"/>
  <c r="H962" i="1" s="1"/>
  <c r="H1033" i="1" a="1"/>
  <c r="H1033" i="1" s="1"/>
  <c r="H1064" i="1" a="1"/>
  <c r="H1064" i="1" s="1"/>
  <c r="H1074" i="1" a="1"/>
  <c r="H1074" i="1" s="1"/>
  <c r="H963" i="1" a="1"/>
  <c r="H963" i="1" s="1"/>
  <c r="H1122" i="1" a="1"/>
  <c r="H1122" i="1" s="1"/>
  <c r="H1014" i="1" a="1"/>
  <c r="H1014" i="1" s="1"/>
  <c r="H1054" i="1" a="1"/>
  <c r="H1054" i="1" s="1"/>
  <c r="H1065" i="1" a="1"/>
  <c r="H1065" i="1" s="1"/>
  <c r="H1048" i="1" a="1"/>
  <c r="H1048" i="1" s="1"/>
  <c r="H1036" i="1" a="1"/>
  <c r="H1036" i="1" s="1"/>
  <c r="H1049" i="1" a="1"/>
  <c r="H1049" i="1" s="1"/>
  <c r="H964" i="1" a="1"/>
  <c r="H964" i="1" s="1"/>
  <c r="H1037" i="1" a="1"/>
  <c r="H1037" i="1" s="1"/>
  <c r="H1075" i="1" a="1"/>
  <c r="H1075" i="1" s="1"/>
  <c r="H1034" i="1" a="1"/>
  <c r="H1034" i="1" s="1"/>
  <c r="H1055" i="1" a="1"/>
  <c r="H1055" i="1" s="1"/>
  <c r="H1066" i="1" a="1"/>
  <c r="H1066" i="1" s="1"/>
  <c r="H1038" i="1" a="1"/>
  <c r="H1038" i="1" s="1"/>
  <c r="H965" i="1" a="1"/>
  <c r="H965" i="1" s="1"/>
  <c r="H966" i="1" a="1"/>
  <c r="H966" i="1" s="1"/>
  <c r="H1123" i="1" a="1"/>
  <c r="H1123" i="1" s="1"/>
  <c r="H1124" i="1" a="1"/>
  <c r="H1124" i="1" s="1"/>
  <c r="H1035" i="1" a="1"/>
  <c r="H1035" i="1" s="1"/>
  <c r="H1056" i="1" a="1"/>
  <c r="H1056" i="1" s="1"/>
  <c r="H1057" i="1" a="1"/>
  <c r="H1057" i="1" s="1"/>
  <c r="H1039" i="1" a="1"/>
  <c r="H1039" i="1" s="1"/>
  <c r="H1076" i="1" a="1"/>
  <c r="H1076" i="1" s="1"/>
  <c r="H967" i="1" a="1"/>
  <c r="H967" i="1" s="1"/>
  <c r="H1125" i="1" a="1"/>
  <c r="H1125" i="1" s="1"/>
  <c r="H1015" i="1" a="1"/>
  <c r="H1015" i="1" s="1"/>
  <c r="H1058" i="1" a="1"/>
  <c r="H1058" i="1" s="1"/>
  <c r="H1040" i="1" a="1"/>
  <c r="H1040" i="1" s="1"/>
  <c r="H1077" i="1" a="1"/>
  <c r="H1077" i="1" s="1"/>
  <c r="H1041" i="1" a="1"/>
  <c r="H1041" i="1" s="1"/>
  <c r="H1078" i="1" a="1"/>
  <c r="H1078" i="1" s="1"/>
  <c r="H968" i="1" a="1"/>
  <c r="H968" i="1" s="1"/>
  <c r="H1126" i="1" a="1"/>
  <c r="H1126" i="1" s="1"/>
  <c r="H1127" i="1" a="1"/>
  <c r="H1127" i="1" s="1"/>
  <c r="H1016" i="1" a="1"/>
  <c r="H1016" i="1" s="1"/>
  <c r="H1028" i="1" a="1"/>
  <c r="H1028" i="1" s="1"/>
  <c r="H969" i="1" a="1"/>
  <c r="H969" i="1" s="1"/>
  <c r="H1029" i="1" a="1"/>
  <c r="H1029" i="1" s="1"/>
  <c r="H1079" i="1" a="1"/>
  <c r="H1079" i="1" s="1"/>
  <c r="H1128" i="1" a="1"/>
  <c r="H1128" i="1" s="1"/>
  <c r="H1017" i="1" a="1"/>
  <c r="H1017" i="1" s="1"/>
  <c r="H1059" i="1" a="1"/>
  <c r="H1059" i="1" s="1"/>
  <c r="H1067" i="1" a="1"/>
  <c r="H1067" i="1" s="1"/>
  <c r="H1042" i="1" a="1"/>
  <c r="H1042" i="1" s="1"/>
  <c r="H1080" i="1" a="1"/>
  <c r="H1080" i="1" s="1"/>
  <c r="H1043" i="1" a="1"/>
  <c r="H1043" i="1" s="1"/>
  <c r="H970" i="1" a="1"/>
  <c r="H970" i="1" s="1"/>
  <c r="H1044" i="1" a="1"/>
  <c r="H1044" i="1" s="1"/>
  <c r="H971" i="1" a="1"/>
  <c r="H971" i="1" s="1"/>
  <c r="H1129" i="1" a="1"/>
  <c r="H1129" i="1" s="1"/>
  <c r="H1068" i="1" a="1"/>
  <c r="H1068" i="1" s="1"/>
  <c r="H1045" i="1" a="1"/>
  <c r="H1045" i="1" s="1"/>
  <c r="H972" i="1" a="1"/>
  <c r="H972" i="1" s="1"/>
  <c r="H1130" i="1" a="1"/>
  <c r="H1130" i="1" s="1"/>
  <c r="H1030" i="1" a="1"/>
  <c r="H1030" i="1" s="1"/>
  <c r="H1031" i="1" a="1"/>
  <c r="H1031" i="1" s="1"/>
  <c r="H1018" i="1" a="1"/>
  <c r="H1018" i="1" s="1"/>
  <c r="H1060" i="1" a="1"/>
  <c r="H1060" i="1" s="1"/>
  <c r="H973" i="1" a="1"/>
  <c r="H973" i="1" s="1"/>
  <c r="H1019" i="1" a="1"/>
  <c r="H1019" i="1" s="1"/>
  <c r="H1081" i="1" a="1"/>
  <c r="H1081" i="1" s="1"/>
  <c r="H1082" i="1" a="1"/>
  <c r="H1082" i="1" s="1"/>
  <c r="H1083" i="1" a="1"/>
  <c r="H1083" i="1" s="1"/>
  <c r="H1061" i="1" a="1"/>
  <c r="H1061" i="1" s="1"/>
  <c r="H1062" i="1" a="1"/>
  <c r="H1062" i="1" s="1"/>
  <c r="H1084" i="1" a="1"/>
  <c r="H1084" i="1" s="1"/>
  <c r="H1046" i="1" a="1"/>
  <c r="H1046" i="1" s="1"/>
  <c r="H974" i="1" a="1"/>
  <c r="H974" i="1" s="1"/>
  <c r="H1020" i="1" a="1"/>
  <c r="H1020" i="1" s="1"/>
  <c r="H1021" i="1" a="1"/>
  <c r="H1021" i="1" s="1"/>
  <c r="H1063" i="1" a="1"/>
  <c r="H1063" i="1" s="1"/>
  <c r="H975" i="1" a="1"/>
  <c r="H975" i="1" s="1"/>
  <c r="H1022" i="1" a="1"/>
  <c r="H1022" i="1" s="1"/>
  <c r="H976" i="1" a="1"/>
  <c r="H976" i="1" s="1"/>
  <c r="H977" i="1" a="1"/>
  <c r="H977" i="1" s="1"/>
  <c r="H1131" i="1" a="1"/>
  <c r="H1131" i="1" s="1"/>
  <c r="H1132" i="1" a="1"/>
  <c r="H1132" i="1" s="1"/>
  <c r="H1133" i="1" a="1"/>
  <c r="H1133" i="1" s="1"/>
  <c r="H1050" i="1" a="1"/>
  <c r="H1050" i="1" s="1"/>
  <c r="H1085" i="1" a="1"/>
  <c r="H1085" i="1" s="1"/>
  <c r="H978" i="1" a="1"/>
  <c r="H978" i="1" s="1"/>
  <c r="H1086" i="1" a="1"/>
  <c r="H1086" i="1" s="1"/>
  <c r="H1140" i="1" a="1"/>
  <c r="H1140" i="1" s="1"/>
  <c r="H1023" i="1" a="1"/>
  <c r="H1023" i="1" s="1"/>
  <c r="H1141" i="1" a="1"/>
  <c r="H1141" i="1" s="1"/>
  <c r="H1047" i="1" a="1"/>
  <c r="H1047" i="1" s="1"/>
  <c r="H160" i="1" a="1"/>
  <c r="H160" i="1" s="1"/>
  <c r="H159" i="1" a="1"/>
  <c r="H159" i="1" s="1"/>
  <c r="H161" i="1" a="1"/>
  <c r="H161" i="1" s="1"/>
  <c r="H162" i="1" a="1"/>
  <c r="H162" i="1" s="1"/>
  <c r="H158" i="1" a="1"/>
  <c r="H158" i="1" s="1"/>
  <c r="H1897" i="1" a="1"/>
  <c r="H1897" i="1" s="1"/>
  <c r="H1891" i="1" a="1"/>
  <c r="H1891" i="1" s="1"/>
  <c r="H1919" i="1" a="1"/>
  <c r="H1919" i="1" s="1"/>
  <c r="H800" i="1" a="1"/>
  <c r="H800" i="1" s="1"/>
  <c r="H2067" i="1" a="1"/>
  <c r="H2067" i="1" s="1"/>
  <c r="H801" i="1" a="1"/>
  <c r="H801" i="1" s="1"/>
  <c r="H598" i="1" a="1"/>
  <c r="H598" i="1" s="1"/>
  <c r="H591" i="1" a="1"/>
  <c r="H591" i="1" s="1"/>
  <c r="H1230" i="1" a="1"/>
  <c r="H1230" i="1" s="1"/>
  <c r="H1231" i="1" a="1"/>
  <c r="H1231" i="1" s="1"/>
  <c r="H73" i="1" a="1"/>
  <c r="H73" i="1" s="1"/>
  <c r="H106" i="1" a="1"/>
  <c r="H106" i="1" s="1"/>
  <c r="H105" i="1" a="1"/>
  <c r="H105" i="1" s="1"/>
  <c r="H103" i="1" a="1"/>
  <c r="H103" i="1" s="1"/>
  <c r="H77" i="1" a="1"/>
  <c r="H77" i="1" s="1"/>
  <c r="H80" i="1" a="1"/>
  <c r="H80" i="1" s="1"/>
  <c r="H92" i="1" a="1"/>
  <c r="H92" i="1" s="1"/>
  <c r="H68" i="1" a="1"/>
  <c r="H68" i="1" s="1"/>
  <c r="H74" i="1" a="1"/>
  <c r="H74" i="1" s="1"/>
  <c r="H102" i="1" a="1"/>
  <c r="H102" i="1" s="1"/>
  <c r="H120" i="1" a="1"/>
  <c r="H120" i="1" s="1"/>
  <c r="H131" i="1" a="1"/>
  <c r="H131" i="1" s="1"/>
  <c r="H69" i="1" a="1"/>
  <c r="H69" i="1" s="1"/>
  <c r="H1665" i="1" a="1"/>
  <c r="H1665" i="1" s="1"/>
  <c r="H99" i="1" a="1"/>
  <c r="H99" i="1" s="1"/>
  <c r="H72" i="1" a="1"/>
  <c r="H72" i="1" s="1"/>
  <c r="H111" i="1" a="1"/>
  <c r="H111" i="1" s="1"/>
  <c r="H132" i="1" a="1"/>
  <c r="H132" i="1" s="1"/>
  <c r="H112" i="1" a="1"/>
  <c r="H112" i="1" s="1"/>
  <c r="H91" i="1" a="1"/>
  <c r="H91" i="1" s="1"/>
  <c r="H76" i="1" a="1"/>
  <c r="H76" i="1" s="1"/>
  <c r="H1920" i="1" a="1"/>
  <c r="H1920" i="1" s="1"/>
  <c r="H1622" i="1" a="1"/>
  <c r="H1622" i="1" s="1"/>
  <c r="H63" i="1" a="1"/>
  <c r="H63" i="1" s="1"/>
  <c r="H113" i="1" a="1"/>
  <c r="H113" i="1" s="1"/>
  <c r="H100" i="1" a="1"/>
  <c r="H100" i="1" s="1"/>
  <c r="H101" i="1" a="1"/>
  <c r="H101" i="1" s="1"/>
  <c r="H129" i="1" a="1"/>
  <c r="H129" i="1" s="1"/>
  <c r="H71" i="1" a="1"/>
  <c r="H71" i="1" s="1"/>
  <c r="H70" i="1" a="1"/>
  <c r="H70" i="1" s="1"/>
  <c r="H75" i="1" a="1"/>
  <c r="H75" i="1" s="1"/>
  <c r="H93" i="1" a="1"/>
  <c r="H93" i="1" s="1"/>
  <c r="H104" i="1" a="1"/>
  <c r="H104" i="1" s="1"/>
  <c r="H802" i="1" a="1"/>
  <c r="H802" i="1" s="1"/>
  <c r="H1921" i="1" a="1"/>
  <c r="H1921" i="1" s="1"/>
  <c r="H803" i="1" a="1"/>
  <c r="H803" i="1" s="1"/>
  <c r="H2068" i="1" a="1"/>
  <c r="H2068" i="1" s="1"/>
  <c r="H1232" i="1" a="1"/>
  <c r="H1232" i="1" s="1"/>
  <c r="H1675" i="1" a="1"/>
  <c r="H1675" i="1" s="1"/>
  <c r="H1233" i="1" a="1"/>
  <c r="H1233" i="1" s="1"/>
  <c r="H1234" i="1" a="1"/>
  <c r="H1234" i="1" s="1"/>
  <c r="H1235" i="1" a="1"/>
  <c r="H1235" i="1" s="1"/>
  <c r="H1236" i="1" a="1"/>
  <c r="H1236" i="1" s="1"/>
  <c r="H1422" i="1" a="1"/>
  <c r="H1422" i="1" s="1"/>
  <c r="H1388" i="1" a="1"/>
  <c r="H1388" i="1" s="1"/>
  <c r="H1423" i="1" a="1"/>
  <c r="H1423" i="1" s="1"/>
  <c r="H1424" i="1" a="1"/>
  <c r="H1424" i="1" s="1"/>
  <c r="H1763" i="1" a="1"/>
  <c r="H1763" i="1" s="1"/>
  <c r="H1764" i="1" a="1"/>
  <c r="H1764" i="1" s="1"/>
  <c r="H1623" i="1" a="1"/>
  <c r="H1623" i="1" s="1"/>
  <c r="H260" i="1" a="1"/>
  <c r="H260" i="1" s="1"/>
  <c r="H261" i="1" a="1"/>
  <c r="H261" i="1" s="1"/>
  <c r="H358" i="1" a="1"/>
  <c r="H358" i="1" s="1"/>
  <c r="H804" i="1" a="1"/>
  <c r="H804" i="1" s="1"/>
  <c r="H1734" i="1" a="1"/>
  <c r="H1734" i="1" s="1"/>
  <c r="H1922" i="1" a="1"/>
  <c r="H1922" i="1" s="1"/>
  <c r="H805" i="1" a="1"/>
  <c r="H805" i="1" s="1"/>
  <c r="H2069" i="1" a="1"/>
  <c r="H2069" i="1" s="1"/>
  <c r="H1308" i="1" a="1"/>
  <c r="H1308" i="1" s="1"/>
  <c r="H739" i="1" a="1"/>
  <c r="H739" i="1" s="1"/>
  <c r="H706" i="1" a="1"/>
  <c r="H706" i="1" s="1"/>
  <c r="H1309" i="1" a="1"/>
  <c r="H1309" i="1" s="1"/>
  <c r="H1796" i="1" a="1"/>
  <c r="H1796" i="1" s="1"/>
  <c r="H1923" i="1" a="1"/>
  <c r="H1923" i="1" s="1"/>
  <c r="H806" i="1" a="1"/>
  <c r="H806" i="1" s="1"/>
  <c r="H1666" i="1" a="1"/>
  <c r="H1666" i="1" s="1"/>
  <c r="H1667" i="1" a="1"/>
  <c r="H1667" i="1" s="1"/>
  <c r="H1770" i="1" a="1"/>
  <c r="H1770" i="1" s="1"/>
  <c r="H745" i="1" a="1"/>
  <c r="H745" i="1" s="1"/>
  <c r="H734" i="1" a="1"/>
  <c r="H734" i="1" s="1"/>
  <c r="H1771" i="1" a="1"/>
  <c r="H1771" i="1" s="1"/>
  <c r="H1554" i="1" a="1"/>
  <c r="H1554" i="1" s="1"/>
  <c r="H145" i="1" a="1"/>
  <c r="H145" i="1" s="1"/>
  <c r="H1473" i="1" a="1"/>
  <c r="H1473" i="1" s="1"/>
  <c r="H1482" i="1" a="1"/>
  <c r="H1482" i="1" s="1"/>
  <c r="H1555" i="1" a="1"/>
  <c r="H1555" i="1" s="1"/>
  <c r="H1556" i="1" a="1"/>
  <c r="H1556" i="1" s="1"/>
  <c r="H1624" i="1" a="1"/>
  <c r="H1624" i="1" s="1"/>
  <c r="H1625" i="1" a="1"/>
  <c r="H1625" i="1" s="1"/>
  <c r="H2201" i="1" a="1"/>
  <c r="H2201" i="1" s="1"/>
  <c r="H1924" i="1" a="1"/>
  <c r="H1924" i="1" s="1"/>
  <c r="H2070" i="1" a="1"/>
  <c r="H2070" i="1" s="1"/>
  <c r="H685" i="1" a="1"/>
  <c r="H685" i="1" s="1"/>
  <c r="H262" i="1" a="1"/>
  <c r="H262" i="1" s="1"/>
  <c r="H2426" i="1" a="1"/>
  <c r="H2426" i="1" s="1"/>
  <c r="H2523" i="1" a="1"/>
  <c r="H2523" i="1" s="1"/>
  <c r="H2071" i="1" a="1"/>
  <c r="H2071" i="1" s="1"/>
  <c r="H807" i="1" a="1"/>
  <c r="H807" i="1" s="1"/>
  <c r="H1925" i="1" a="1"/>
  <c r="H1925" i="1" s="1"/>
  <c r="H2202" i="1" a="1"/>
  <c r="H2202" i="1" s="1"/>
  <c r="H2332" i="1" a="1"/>
  <c r="H2332" i="1" s="1"/>
  <c r="H686" i="1" a="1"/>
  <c r="H686" i="1" s="1"/>
  <c r="H687" i="1" a="1"/>
  <c r="H687" i="1" s="1"/>
  <c r="H2427" i="1" a="1"/>
  <c r="H2427" i="1" s="1"/>
  <c r="H1926" i="1" a="1"/>
  <c r="H1926" i="1" s="1"/>
  <c r="H2524" i="1" a="1"/>
  <c r="H2524" i="1" s="1"/>
  <c r="H1354" i="1" a="1"/>
  <c r="H1354" i="1" s="1"/>
  <c r="H1773" i="1" a="1"/>
  <c r="H1773" i="1" s="1"/>
  <c r="H1774" i="1" a="1"/>
  <c r="H1774" i="1" s="1"/>
  <c r="H670" i="1" a="1"/>
  <c r="H670" i="1" s="1"/>
  <c r="H657" i="1" a="1"/>
  <c r="H657" i="1" s="1"/>
  <c r="H662" i="1" a="1"/>
  <c r="H662" i="1" s="1"/>
  <c r="H653" i="1" a="1"/>
  <c r="H653" i="1" s="1"/>
  <c r="H667" i="1" a="1"/>
  <c r="H667" i="1" s="1"/>
  <c r="H658" i="1" a="1"/>
  <c r="H658" i="1" s="1"/>
  <c r="H671" i="1" a="1"/>
  <c r="H671" i="1" s="1"/>
  <c r="H654" i="1" a="1"/>
  <c r="H654" i="1" s="1"/>
  <c r="H663" i="1" a="1"/>
  <c r="H663" i="1" s="1"/>
  <c r="H659" i="1" a="1"/>
  <c r="H659" i="1" s="1"/>
  <c r="H1425" i="1" a="1"/>
  <c r="H1425" i="1" s="1"/>
  <c r="H1426" i="1" a="1"/>
  <c r="H1426" i="1" s="1"/>
  <c r="H1427" i="1" a="1"/>
  <c r="H1427" i="1" s="1"/>
  <c r="H1484" i="1" a="1"/>
  <c r="H1484" i="1" s="1"/>
  <c r="H263" i="1" a="1"/>
  <c r="H263" i="1" s="1"/>
  <c r="H2525" i="1" a="1"/>
  <c r="H2525" i="1" s="1"/>
  <c r="H808" i="1" a="1"/>
  <c r="H808" i="1" s="1"/>
  <c r="H2072" i="1" a="1"/>
  <c r="H2072" i="1" s="1"/>
  <c r="H2203" i="1" a="1"/>
  <c r="H2203" i="1" s="1"/>
  <c r="H2333" i="1" a="1"/>
  <c r="H2333" i="1" s="1"/>
  <c r="H2428" i="1" a="1"/>
  <c r="H2428" i="1" s="1"/>
  <c r="H2526" i="1" a="1"/>
  <c r="H2526" i="1" s="1"/>
  <c r="H1927" i="1" a="1"/>
  <c r="H1927" i="1" s="1"/>
  <c r="H2073" i="1" a="1"/>
  <c r="H2073" i="1" s="1"/>
  <c r="H2204" i="1" a="1"/>
  <c r="H2204" i="1" s="1"/>
  <c r="H2334" i="1" a="1"/>
  <c r="H2334" i="1" s="1"/>
  <c r="H1928" i="1" a="1"/>
  <c r="H1928" i="1" s="1"/>
  <c r="H2429" i="1" a="1"/>
  <c r="H2429" i="1" s="1"/>
  <c r="H809" i="1" a="1"/>
  <c r="H809" i="1" s="1"/>
  <c r="H2074" i="1" a="1"/>
  <c r="H2074" i="1" s="1"/>
  <c r="H1775" i="1" a="1"/>
  <c r="H1775" i="1" s="1"/>
  <c r="H711" i="1" a="1"/>
  <c r="H711" i="1" s="1"/>
  <c r="H1676" i="1" a="1"/>
  <c r="H1676" i="1" s="1"/>
  <c r="H1677" i="1" a="1"/>
  <c r="H1677" i="1" s="1"/>
  <c r="H2624" i="1" a="1"/>
  <c r="H2624" i="1" s="1"/>
  <c r="H1678" i="1" a="1"/>
  <c r="H1678" i="1" s="1"/>
  <c r="H1679" i="1" a="1"/>
  <c r="H1679" i="1" s="1"/>
  <c r="H2625" i="1" a="1"/>
  <c r="H2625" i="1" s="1"/>
  <c r="H2205" i="1" a="1"/>
  <c r="H2205" i="1" s="1"/>
  <c r="H2335" i="1" a="1"/>
  <c r="H2335" i="1" s="1"/>
  <c r="H2527" i="1" a="1"/>
  <c r="H2527" i="1" s="1"/>
  <c r="H1929" i="1" a="1"/>
  <c r="H1929" i="1" s="1"/>
  <c r="H2430" i="1" a="1"/>
  <c r="H2430" i="1" s="1"/>
  <c r="H810" i="1" a="1"/>
  <c r="H810" i="1" s="1"/>
  <c r="H2075" i="1" a="1"/>
  <c r="H2075" i="1" s="1"/>
  <c r="H2431" i="1" a="1"/>
  <c r="H2431" i="1" s="1"/>
  <c r="H811" i="1" a="1"/>
  <c r="H811" i="1" s="1"/>
  <c r="H1237" i="1" a="1"/>
  <c r="H1237" i="1" s="1"/>
  <c r="H1493" i="1" a="1"/>
  <c r="H1493" i="1" s="1"/>
  <c r="H1494" i="1" a="1"/>
  <c r="H1494" i="1" s="1"/>
  <c r="H688" i="1" a="1"/>
  <c r="H688" i="1" s="1"/>
  <c r="H1453" i="1" a="1"/>
  <c r="H1453" i="1" s="1"/>
  <c r="H1454" i="1" a="1"/>
  <c r="H1454" i="1" s="1"/>
  <c r="H1455" i="1" a="1"/>
  <c r="H1455" i="1" s="1"/>
  <c r="H1310" i="1" a="1"/>
  <c r="H1310" i="1" s="1"/>
  <c r="H1456" i="1" a="1"/>
  <c r="H1456" i="1" s="1"/>
  <c r="H1457" i="1" a="1"/>
  <c r="H1457" i="1" s="1"/>
  <c r="H634" i="1" a="1"/>
  <c r="H634" i="1" s="1"/>
  <c r="H50" i="1" a="1"/>
  <c r="H50" i="1" s="1"/>
  <c r="H1294" i="1" a="1"/>
  <c r="H1294" i="1" s="1"/>
  <c r="H2617" i="1" a="1"/>
  <c r="H2617" i="1" s="1"/>
  <c r="H620" i="1" a="1"/>
  <c r="H620" i="1" s="1"/>
  <c r="H621" i="1" a="1"/>
  <c r="H621" i="1" s="1"/>
  <c r="H622" i="1" a="1"/>
  <c r="H622" i="1" s="1"/>
  <c r="H1735" i="1" a="1"/>
  <c r="H1735" i="1" s="1"/>
  <c r="H1736" i="1" a="1"/>
  <c r="H1736" i="1" s="1"/>
  <c r="H1737" i="1" a="1"/>
  <c r="H1737" i="1" s="1"/>
  <c r="H1738" i="1" a="1"/>
  <c r="H1738" i="1" s="1"/>
  <c r="H1718" i="1" a="1"/>
  <c r="H1718" i="1" s="1"/>
  <c r="H1739" i="1" a="1"/>
  <c r="H1739" i="1" s="1"/>
  <c r="H1740" i="1" a="1"/>
  <c r="H1740" i="1" s="1"/>
  <c r="H1719" i="1" a="1"/>
  <c r="H1719" i="1" s="1"/>
  <c r="H1721" i="1" a="1"/>
  <c r="H1721" i="1" s="1"/>
  <c r="H1725" i="1" a="1"/>
  <c r="H1725" i="1" s="1"/>
  <c r="H2206" i="1" a="1"/>
  <c r="H2206" i="1" s="1"/>
  <c r="H2336" i="1" a="1"/>
  <c r="H2336" i="1" s="1"/>
  <c r="H2528" i="1" a="1"/>
  <c r="H2528" i="1" s="1"/>
  <c r="H1930" i="1" a="1"/>
  <c r="H1930" i="1" s="1"/>
  <c r="H2076" i="1" a="1"/>
  <c r="H2076" i="1" s="1"/>
  <c r="H2432" i="1" a="1"/>
  <c r="H2432" i="1" s="1"/>
  <c r="H812" i="1" a="1"/>
  <c r="H812" i="1" s="1"/>
  <c r="H813" i="1" a="1"/>
  <c r="H813" i="1" s="1"/>
  <c r="H1931" i="1" a="1"/>
  <c r="H1931" i="1" s="1"/>
  <c r="H2207" i="1" a="1"/>
  <c r="H2207" i="1" s="1"/>
  <c r="H712" i="1" a="1"/>
  <c r="H712" i="1" s="1"/>
  <c r="H1238" i="1" a="1"/>
  <c r="H1238" i="1" s="1"/>
  <c r="H1239" i="1" a="1"/>
  <c r="H1239" i="1" s="1"/>
  <c r="H713" i="1" a="1"/>
  <c r="H713" i="1" s="1"/>
  <c r="H746" i="1" a="1"/>
  <c r="H746" i="1" s="1"/>
  <c r="H1810" i="1" a="1"/>
  <c r="H1810" i="1" s="1"/>
  <c r="H1811" i="1" a="1"/>
  <c r="H1811" i="1" s="1"/>
  <c r="H1557" i="1" a="1"/>
  <c r="H1557" i="1" s="1"/>
  <c r="H1558" i="1" a="1"/>
  <c r="H1558" i="1" s="1"/>
  <c r="H1559" i="1" a="1"/>
  <c r="H1559" i="1" s="1"/>
  <c r="H1560" i="1" a="1"/>
  <c r="H1560" i="1" s="1"/>
  <c r="H1561" i="1" a="1"/>
  <c r="H1561" i="1" s="1"/>
  <c r="H1850" i="1" a="1"/>
  <c r="H1850" i="1" s="1"/>
  <c r="H1311" i="1" a="1"/>
  <c r="H1311" i="1" s="1"/>
  <c r="H1312" i="1" a="1"/>
  <c r="H1312" i="1" s="1"/>
  <c r="H2337" i="1" a="1"/>
  <c r="H2337" i="1" s="1"/>
  <c r="H2529" i="1" a="1"/>
  <c r="H2529" i="1" s="1"/>
  <c r="H35" i="1" a="1"/>
  <c r="H35" i="1" s="1"/>
  <c r="H2077" i="1" a="1"/>
  <c r="H2077" i="1" s="1"/>
  <c r="H814" i="1" a="1"/>
  <c r="H814" i="1" s="1"/>
  <c r="H1932" i="1" a="1"/>
  <c r="H1932" i="1" s="1"/>
  <c r="H2078" i="1" a="1"/>
  <c r="H2078" i="1" s="1"/>
  <c r="H815" i="1" a="1"/>
  <c r="H815" i="1" s="1"/>
  <c r="H635" i="1" a="1"/>
  <c r="H635" i="1" s="1"/>
  <c r="H1680" i="1" a="1"/>
  <c r="H1680" i="1" s="1"/>
  <c r="H601" i="1" a="1"/>
  <c r="H601" i="1" s="1"/>
  <c r="H1797" i="1" a="1"/>
  <c r="H1797" i="1" s="1"/>
  <c r="H1798" i="1" a="1"/>
  <c r="H1798" i="1" s="1"/>
  <c r="H1812" i="1" a="1"/>
  <c r="H1812" i="1" s="1"/>
  <c r="H1240" i="1" a="1"/>
  <c r="H1240" i="1" s="1"/>
  <c r="H1241" i="1" a="1"/>
  <c r="H1241" i="1" s="1"/>
  <c r="H1799" i="1" a="1"/>
  <c r="H1799" i="1" s="1"/>
  <c r="H1752" i="1" a="1"/>
  <c r="H1752" i="1" s="1"/>
  <c r="H1753" i="1" a="1"/>
  <c r="H1753" i="1" s="1"/>
  <c r="H735" i="1" a="1"/>
  <c r="H735" i="1" s="1"/>
  <c r="H623" i="1" a="1"/>
  <c r="H623" i="1" s="1"/>
  <c r="H1313" i="1" a="1"/>
  <c r="H1313" i="1" s="1"/>
  <c r="H2338" i="1" a="1"/>
  <c r="H2338" i="1" s="1"/>
  <c r="H2433" i="1" a="1"/>
  <c r="H2433" i="1" s="1"/>
  <c r="H2079" i="1" a="1"/>
  <c r="H2079" i="1" s="1"/>
  <c r="H264" i="1" a="1"/>
  <c r="H264" i="1" s="1"/>
  <c r="H265" i="1" a="1"/>
  <c r="H265" i="1" s="1"/>
  <c r="H1933" i="1" a="1"/>
  <c r="H1933" i="1" s="1"/>
  <c r="H2080" i="1" a="1"/>
  <c r="H2080" i="1" s="1"/>
  <c r="H2434" i="1" a="1"/>
  <c r="H2434" i="1" s="1"/>
  <c r="H2339" i="1" a="1"/>
  <c r="H2339" i="1" s="1"/>
  <c r="H2530" i="1" a="1"/>
  <c r="H2530" i="1" s="1"/>
  <c r="H2435" i="1" a="1"/>
  <c r="H2435" i="1" s="1"/>
  <c r="H2081" i="1" a="1"/>
  <c r="H2081" i="1" s="1"/>
  <c r="H1242" i="1" a="1"/>
  <c r="H1242" i="1" s="1"/>
  <c r="H395" i="1" a="1"/>
  <c r="H395" i="1" s="1"/>
  <c r="H397" i="1" a="1"/>
  <c r="H397" i="1" s="1"/>
  <c r="H398" i="1" a="1"/>
  <c r="H398" i="1" s="1"/>
  <c r="H399" i="1" a="1"/>
  <c r="H399" i="1" s="1"/>
  <c r="H2208" i="1" a="1"/>
  <c r="H2208" i="1" s="1"/>
  <c r="H359" i="1" a="1"/>
  <c r="H359" i="1" s="1"/>
  <c r="H1813" i="1" a="1"/>
  <c r="H1813" i="1" s="1"/>
  <c r="H1814" i="1" a="1"/>
  <c r="H1814" i="1" s="1"/>
  <c r="H2209" i="1" a="1"/>
  <c r="H2209" i="1" s="1"/>
  <c r="H1243" i="1" a="1"/>
  <c r="H1243" i="1" s="1"/>
  <c r="H1244" i="1" a="1"/>
  <c r="H1244" i="1" s="1"/>
  <c r="H609" i="1" a="1"/>
  <c r="H609" i="1" s="1"/>
  <c r="H1815" i="1" a="1"/>
  <c r="H1815" i="1" s="1"/>
  <c r="H1816" i="1" a="1"/>
  <c r="H1816" i="1" s="1"/>
  <c r="H1817" i="1" a="1"/>
  <c r="H1817" i="1" s="1"/>
  <c r="H1626" i="1" a="1"/>
  <c r="H1626" i="1" s="1"/>
  <c r="H675" i="1" a="1"/>
  <c r="H675" i="1" s="1"/>
  <c r="H1627" i="1" a="1"/>
  <c r="H1627" i="1" s="1"/>
  <c r="H1628" i="1" a="1"/>
  <c r="H1628" i="1" s="1"/>
  <c r="H1629" i="1" a="1"/>
  <c r="H1629" i="1" s="1"/>
  <c r="H1934" i="1" a="1"/>
  <c r="H1934" i="1" s="1"/>
  <c r="H1935" i="1" a="1"/>
  <c r="H1935" i="1" s="1"/>
  <c r="H816" i="1" a="1"/>
  <c r="H816" i="1" s="1"/>
  <c r="H1936" i="1" a="1"/>
  <c r="H1936" i="1" s="1"/>
  <c r="H2531" i="1" a="1"/>
  <c r="H2531" i="1" s="1"/>
  <c r="H2436" i="1" a="1"/>
  <c r="H2436" i="1" s="1"/>
  <c r="H2532" i="1" a="1"/>
  <c r="H2532" i="1" s="1"/>
  <c r="H817" i="1" a="1"/>
  <c r="H817" i="1" s="1"/>
  <c r="H2437" i="1" a="1"/>
  <c r="H2437" i="1" s="1"/>
  <c r="H1562" i="1" a="1"/>
  <c r="H1562" i="1" s="1"/>
  <c r="H1563" i="1" a="1"/>
  <c r="H1563" i="1" s="1"/>
  <c r="H1564" i="1" a="1"/>
  <c r="H1564" i="1" s="1"/>
  <c r="H1565" i="1" a="1"/>
  <c r="H1565" i="1" s="1"/>
  <c r="H2210" i="1" a="1"/>
  <c r="H2210" i="1" s="1"/>
  <c r="H2211" i="1" a="1"/>
  <c r="H2211" i="1" s="1"/>
  <c r="H2212" i="1" a="1"/>
  <c r="H2212" i="1" s="1"/>
  <c r="H2213" i="1" a="1"/>
  <c r="H2213" i="1" s="1"/>
  <c r="H1314" i="1" a="1"/>
  <c r="H1314" i="1" s="1"/>
  <c r="H1315" i="1" a="1"/>
  <c r="H1315" i="1" s="1"/>
  <c r="H887" i="1" a="1"/>
  <c r="H887" i="1" s="1"/>
  <c r="H764" i="1" a="1"/>
  <c r="H764" i="1" s="1"/>
  <c r="H765" i="1" a="1"/>
  <c r="H765" i="1" s="1"/>
  <c r="H1458" i="1" a="1"/>
  <c r="H1458" i="1" s="1"/>
  <c r="H891" i="1" a="1"/>
  <c r="H891" i="1" s="1"/>
  <c r="H1800" i="1" a="1"/>
  <c r="H1800" i="1" s="1"/>
  <c r="H1801" i="1" a="1"/>
  <c r="H1801" i="1" s="1"/>
  <c r="H1316" i="1" a="1"/>
  <c r="H1316" i="1" s="1"/>
  <c r="H888" i="1" a="1"/>
  <c r="H888" i="1" s="1"/>
  <c r="H889" i="1" a="1"/>
  <c r="H889" i="1" s="1"/>
  <c r="H890" i="1" a="1"/>
  <c r="H890" i="1" s="1"/>
  <c r="H2533" i="1" a="1"/>
  <c r="H2533" i="1" s="1"/>
  <c r="H2534" i="1" a="1"/>
  <c r="H2534" i="1" s="1"/>
  <c r="H818" i="1" a="1"/>
  <c r="H818" i="1" s="1"/>
  <c r="H819" i="1" a="1"/>
  <c r="H819" i="1" s="1"/>
  <c r="H820" i="1" a="1"/>
  <c r="H820" i="1" s="1"/>
  <c r="H2535" i="1" a="1"/>
  <c r="H2535" i="1" s="1"/>
  <c r="H1245" i="1" a="1"/>
  <c r="H1245" i="1" s="1"/>
  <c r="H1246" i="1" a="1"/>
  <c r="H1246" i="1" s="1"/>
  <c r="H1247" i="1" a="1"/>
  <c r="H1247" i="1" s="1"/>
  <c r="H714" i="1" a="1"/>
  <c r="H714" i="1" s="1"/>
  <c r="H636" i="1" a="1"/>
  <c r="H636" i="1" s="1"/>
  <c r="H689" i="1" a="1"/>
  <c r="H689" i="1" s="1"/>
  <c r="H690" i="1" a="1"/>
  <c r="H690" i="1" s="1"/>
  <c r="H592" i="1" a="1"/>
  <c r="H592" i="1" s="1"/>
  <c r="H599" i="1" a="1"/>
  <c r="H599" i="1" s="1"/>
  <c r="H2214" i="1" a="1"/>
  <c r="H2214" i="1" s="1"/>
  <c r="H2215" i="1" a="1"/>
  <c r="H2215" i="1" s="1"/>
  <c r="H1248" i="1" a="1"/>
  <c r="H1248" i="1" s="1"/>
  <c r="H1249" i="1" a="1"/>
  <c r="H1249" i="1" s="1"/>
  <c r="H1250" i="1" a="1"/>
  <c r="H1250" i="1" s="1"/>
  <c r="H1861" i="1" a="1"/>
  <c r="H1861" i="1" s="1"/>
  <c r="H1459" i="1" a="1"/>
  <c r="H1459" i="1" s="1"/>
  <c r="H1566" i="1" a="1"/>
  <c r="H1566" i="1" s="1"/>
  <c r="H1567" i="1" a="1"/>
  <c r="H1567" i="1" s="1"/>
  <c r="H821" i="1" a="1"/>
  <c r="H821" i="1" s="1"/>
  <c r="H2216" i="1" a="1"/>
  <c r="H2216" i="1" s="1"/>
  <c r="H1630" i="1" a="1"/>
  <c r="H1630" i="1" s="1"/>
  <c r="H1251" i="1" a="1"/>
  <c r="H1251" i="1" s="1"/>
  <c r="H1428" i="1" a="1"/>
  <c r="H1428" i="1" s="1"/>
  <c r="H2605" i="1" a="1"/>
  <c r="H2605" i="1" s="1"/>
  <c r="H2438" i="1" a="1"/>
  <c r="H2438" i="1" s="1"/>
  <c r="H2217" i="1" a="1"/>
  <c r="H2217" i="1" s="1"/>
  <c r="H2536" i="1" a="1"/>
  <c r="H2536" i="1" s="1"/>
  <c r="H2082" i="1" a="1"/>
  <c r="H2082" i="1" s="1"/>
  <c r="H2218" i="1" a="1"/>
  <c r="H2218" i="1" s="1"/>
  <c r="H2083" i="1" a="1"/>
  <c r="H2083" i="1" s="1"/>
  <c r="H2340" i="1" a="1"/>
  <c r="H2340" i="1" s="1"/>
  <c r="H1227" i="1" a="1"/>
  <c r="H1227" i="1" s="1"/>
  <c r="H1229" i="1" a="1"/>
  <c r="H1229" i="1" s="1"/>
  <c r="H1355" i="1" a="1"/>
  <c r="H1355" i="1" s="1"/>
  <c r="H1818" i="1" a="1"/>
  <c r="H1818" i="1" s="1"/>
  <c r="H637" i="1" a="1"/>
  <c r="H637" i="1" s="1"/>
  <c r="H266" i="1" a="1"/>
  <c r="H266" i="1" s="1"/>
  <c r="H822" i="1" a="1"/>
  <c r="H822" i="1" s="1"/>
  <c r="H1429" i="1" a="1"/>
  <c r="H1429" i="1" s="1"/>
  <c r="H823" i="1" a="1"/>
  <c r="H823" i="1" s="1"/>
  <c r="H51" i="1" a="1"/>
  <c r="H51" i="1" s="1"/>
  <c r="H52" i="1" a="1"/>
  <c r="H52" i="1" s="1"/>
  <c r="H2537" i="1" a="1"/>
  <c r="H2537" i="1" s="1"/>
  <c r="H2219" i="1" a="1"/>
  <c r="H2219" i="1" s="1"/>
  <c r="H2220" i="1" a="1"/>
  <c r="H2220" i="1" s="1"/>
  <c r="H824" i="1" a="1"/>
  <c r="H824" i="1" s="1"/>
  <c r="H2341" i="1" a="1"/>
  <c r="H2341" i="1" s="1"/>
  <c r="H2342" i="1" a="1"/>
  <c r="H2342" i="1" s="1"/>
  <c r="H2439" i="1" a="1"/>
  <c r="H2439" i="1" s="1"/>
  <c r="H2440" i="1" a="1"/>
  <c r="H2440" i="1" s="1"/>
  <c r="H2441" i="1" a="1"/>
  <c r="H2441" i="1" s="1"/>
  <c r="H2343" i="1" a="1"/>
  <c r="H2343" i="1" s="1"/>
  <c r="H2084" i="1" a="1"/>
  <c r="H2084" i="1" s="1"/>
  <c r="H1506" i="1" a="1"/>
  <c r="H1506" i="1" s="1"/>
  <c r="H1507" i="1" a="1"/>
  <c r="H1507" i="1" s="1"/>
  <c r="H1400" i="1" a="1"/>
  <c r="H1400" i="1" s="1"/>
  <c r="H1851" i="1" a="1"/>
  <c r="H1851" i="1" s="1"/>
  <c r="H1862" i="1" a="1"/>
  <c r="H1862" i="1" s="1"/>
  <c r="H715" i="1" a="1"/>
  <c r="H715" i="1" s="1"/>
  <c r="H736" i="1" a="1"/>
  <c r="H736" i="1" s="1"/>
  <c r="H691" i="1" a="1"/>
  <c r="H691" i="1" s="1"/>
  <c r="H638" i="1" a="1"/>
  <c r="H638" i="1" s="1"/>
  <c r="H593" i="1" a="1"/>
  <c r="H593" i="1" s="1"/>
  <c r="H747" i="1" a="1"/>
  <c r="H747" i="1" s="1"/>
  <c r="H748" i="1" a="1"/>
  <c r="H748" i="1" s="1"/>
  <c r="H624" i="1" a="1"/>
  <c r="H624" i="1" s="1"/>
  <c r="H114" i="1" a="1"/>
  <c r="H114" i="1" s="1"/>
  <c r="H2221" i="1" a="1"/>
  <c r="H2221" i="1" s="1"/>
  <c r="H825" i="1" a="1"/>
  <c r="H825" i="1" s="1"/>
  <c r="H1937" i="1" a="1"/>
  <c r="H1937" i="1" s="1"/>
  <c r="H2222" i="1" a="1"/>
  <c r="H2222" i="1" s="1"/>
  <c r="H2538" i="1" a="1"/>
  <c r="H2538" i="1" s="1"/>
  <c r="H826" i="1" a="1"/>
  <c r="H826" i="1" s="1"/>
  <c r="H2442" i="1" a="1"/>
  <c r="H2442" i="1" s="1"/>
  <c r="H2344" i="1" a="1"/>
  <c r="H2344" i="1" s="1"/>
  <c r="H2085" i="1" a="1"/>
  <c r="H2085" i="1" s="1"/>
  <c r="H1938" i="1" a="1"/>
  <c r="H1938" i="1" s="1"/>
  <c r="H1939" i="1" a="1"/>
  <c r="H1939" i="1" s="1"/>
  <c r="H1681" i="1" a="1"/>
  <c r="H1681" i="1" s="1"/>
  <c r="H2223" i="1" a="1"/>
  <c r="H2223" i="1" s="1"/>
  <c r="H2224" i="1" a="1"/>
  <c r="H2224" i="1" s="1"/>
  <c r="H827" i="1" a="1"/>
  <c r="H827" i="1" s="1"/>
  <c r="H2086" i="1" a="1"/>
  <c r="H2086" i="1" s="1"/>
  <c r="H1940" i="1" a="1"/>
  <c r="H1940" i="1" s="1"/>
  <c r="H1941" i="1" a="1"/>
  <c r="H1941" i="1" s="1"/>
  <c r="H1942" i="1" a="1"/>
  <c r="H1942" i="1" s="1"/>
  <c r="H1943" i="1" a="1"/>
  <c r="H1943" i="1" s="1"/>
  <c r="H2087" i="1" a="1"/>
  <c r="H2087" i="1" s="1"/>
  <c r="H1944" i="1" a="1"/>
  <c r="H1944" i="1" s="1"/>
  <c r="H766" i="1" a="1"/>
  <c r="H766" i="1" s="1"/>
  <c r="H767" i="1" a="1"/>
  <c r="H767" i="1" s="1"/>
  <c r="H1631" i="1" a="1"/>
  <c r="H1631" i="1" s="1"/>
  <c r="H1632" i="1" a="1"/>
  <c r="H1632" i="1" s="1"/>
  <c r="H1633" i="1" a="1"/>
  <c r="H1633" i="1" s="1"/>
  <c r="H146" i="1" a="1"/>
  <c r="H146" i="1" s="1"/>
  <c r="H1568" i="1" a="1"/>
  <c r="H1568" i="1" s="1"/>
  <c r="H1569" i="1" a="1"/>
  <c r="H1569" i="1" s="1"/>
  <c r="H1634" i="1" a="1"/>
  <c r="H1634" i="1" s="1"/>
  <c r="H1635" i="1" a="1"/>
  <c r="H1635" i="1" s="1"/>
  <c r="H1636" i="1" a="1"/>
  <c r="H1636" i="1" s="1"/>
  <c r="H2225" i="1" a="1"/>
  <c r="H2225" i="1" s="1"/>
  <c r="H2226" i="1" a="1"/>
  <c r="H2226" i="1" s="1"/>
  <c r="H2539" i="1" a="1"/>
  <c r="H2539" i="1" s="1"/>
  <c r="H2540" i="1" a="1"/>
  <c r="H2540" i="1" s="1"/>
  <c r="H2541" i="1" a="1"/>
  <c r="H2541" i="1" s="1"/>
  <c r="H2345" i="1" a="1"/>
  <c r="H2345" i="1" s="1"/>
  <c r="H1945" i="1" a="1"/>
  <c r="H1945" i="1" s="1"/>
  <c r="H2542" i="1" a="1"/>
  <c r="H2542" i="1" s="1"/>
  <c r="H2543" i="1" a="1"/>
  <c r="H2543" i="1" s="1"/>
  <c r="H2088" i="1" a="1"/>
  <c r="H2088" i="1" s="1"/>
  <c r="H2089" i="1" a="1"/>
  <c r="H2089" i="1" s="1"/>
  <c r="H828" i="1" a="1"/>
  <c r="H828" i="1" s="1"/>
  <c r="H829" i="1" a="1"/>
  <c r="H829" i="1" s="1"/>
  <c r="H2346" i="1" a="1"/>
  <c r="H2346" i="1" s="1"/>
  <c r="H830" i="1" a="1"/>
  <c r="H830" i="1" s="1"/>
  <c r="H831" i="1" a="1"/>
  <c r="H831" i="1" s="1"/>
  <c r="H832" i="1" a="1"/>
  <c r="H832" i="1" s="1"/>
  <c r="H625" i="1" a="1"/>
  <c r="H625" i="1" s="1"/>
  <c r="H2090" i="1" a="1"/>
  <c r="H2090" i="1" s="1"/>
  <c r="H2544" i="1" a="1"/>
  <c r="H2544" i="1" s="1"/>
  <c r="H2443" i="1" a="1"/>
  <c r="H2443" i="1" s="1"/>
  <c r="H1946" i="1" a="1"/>
  <c r="H1946" i="1" s="1"/>
  <c r="H2545" i="1" a="1"/>
  <c r="H2545" i="1" s="1"/>
  <c r="H2347" i="1" a="1"/>
  <c r="H2347" i="1" s="1"/>
  <c r="H2227" i="1" a="1"/>
  <c r="H2227" i="1" s="1"/>
  <c r="H2348" i="1" a="1"/>
  <c r="H2348" i="1" s="1"/>
  <c r="H2444" i="1" a="1"/>
  <c r="H2444" i="1" s="1"/>
  <c r="H2228" i="1" a="1"/>
  <c r="H2228" i="1" s="1"/>
  <c r="H2445" i="1" a="1"/>
  <c r="H2445" i="1" s="1"/>
  <c r="H1947" i="1" a="1"/>
  <c r="H1947" i="1" s="1"/>
  <c r="H716" i="1" a="1"/>
  <c r="H716" i="1" s="1"/>
  <c r="H717" i="1" a="1"/>
  <c r="H717" i="1" s="1"/>
  <c r="H749" i="1" a="1"/>
  <c r="H749" i="1" s="1"/>
  <c r="H1570" i="1" a="1"/>
  <c r="H1570" i="1" s="1"/>
  <c r="H1571" i="1" a="1"/>
  <c r="H1571" i="1" s="1"/>
  <c r="H1572" i="1" a="1"/>
  <c r="H1572" i="1" s="1"/>
  <c r="H1637" i="1" a="1"/>
  <c r="H1637" i="1" s="1"/>
  <c r="H1638" i="1" a="1"/>
  <c r="H1638" i="1" s="1"/>
  <c r="H115" i="1" a="1"/>
  <c r="H115" i="1" s="1"/>
  <c r="H116" i="1" a="1"/>
  <c r="H116" i="1" s="1"/>
  <c r="H117" i="1" a="1"/>
  <c r="H117" i="1" s="1"/>
  <c r="H2091" i="1" a="1"/>
  <c r="H2091" i="1" s="1"/>
  <c r="H2546" i="1" a="1"/>
  <c r="H2546" i="1" s="1"/>
  <c r="H2349" i="1" a="1"/>
  <c r="H2349" i="1" s="1"/>
  <c r="H2229" i="1" a="1"/>
  <c r="H2229" i="1" s="1"/>
  <c r="H2350" i="1" a="1"/>
  <c r="H2350" i="1" s="1"/>
  <c r="H2446" i="1" a="1"/>
  <c r="H2446" i="1" s="1"/>
  <c r="H2230" i="1" a="1"/>
  <c r="H2230" i="1" s="1"/>
  <c r="H2447" i="1" a="1"/>
  <c r="H2447" i="1" s="1"/>
  <c r="H2231" i="1" a="1"/>
  <c r="H2231" i="1" s="1"/>
  <c r="H2092" i="1" a="1"/>
  <c r="H2092" i="1" s="1"/>
  <c r="H2547" i="1" a="1"/>
  <c r="H2547" i="1" s="1"/>
  <c r="H2548" i="1" a="1"/>
  <c r="H2548" i="1" s="1"/>
  <c r="H2351" i="1" a="1"/>
  <c r="H2351" i="1" s="1"/>
  <c r="H2549" i="1" a="1"/>
  <c r="H2549" i="1" s="1"/>
  <c r="H1948" i="1" a="1"/>
  <c r="H1948" i="1" s="1"/>
  <c r="H2550" i="1" a="1"/>
  <c r="H2550" i="1" s="1"/>
  <c r="H1190" i="1" a="1"/>
  <c r="H1190" i="1" s="1"/>
  <c r="H1949" i="1" a="1"/>
  <c r="H1949" i="1" s="1"/>
  <c r="H2551" i="1" a="1"/>
  <c r="H2551" i="1" s="1"/>
  <c r="H1950" i="1" a="1"/>
  <c r="H1950" i="1" s="1"/>
  <c r="H1951" i="1" a="1"/>
  <c r="H1951" i="1" s="1"/>
  <c r="H1191" i="1" a="1"/>
  <c r="H1191" i="1" s="1"/>
  <c r="H81" i="1" a="1"/>
  <c r="H81" i="1" s="1"/>
  <c r="H1795" i="1" a="1"/>
  <c r="H1795" i="1" s="1"/>
  <c r="H82" i="1" a="1"/>
  <c r="H82" i="1" s="1"/>
  <c r="H83" i="1" a="1"/>
  <c r="H83" i="1" s="1"/>
  <c r="H737" i="1" a="1"/>
  <c r="H737" i="1" s="1"/>
  <c r="H2552" i="1" a="1"/>
  <c r="H2552" i="1" s="1"/>
  <c r="H2553" i="1" a="1"/>
  <c r="H2553" i="1" s="1"/>
  <c r="H2554" i="1" a="1"/>
  <c r="H2554" i="1" s="1"/>
  <c r="H2555" i="1" a="1"/>
  <c r="H2555" i="1" s="1"/>
  <c r="H1158" i="1" a="1"/>
  <c r="H1158" i="1" s="1"/>
  <c r="H1159" i="1" a="1"/>
  <c r="H1159" i="1" s="1"/>
  <c r="H1160" i="1" a="1"/>
  <c r="H1160" i="1" s="1"/>
  <c r="H1161" i="1" a="1"/>
  <c r="H1161" i="1" s="1"/>
  <c r="H1162" i="1" a="1"/>
  <c r="H1162" i="1" s="1"/>
  <c r="H1163" i="1" a="1"/>
  <c r="H1163" i="1" s="1"/>
  <c r="H1164" i="1" a="1"/>
  <c r="H1164" i="1" s="1"/>
  <c r="H1165" i="1" a="1"/>
  <c r="H1165" i="1" s="1"/>
  <c r="H1166" i="1" a="1"/>
  <c r="H1166" i="1" s="1"/>
  <c r="H1167" i="1" a="1"/>
  <c r="H1167" i="1" s="1"/>
  <c r="H1168" i="1" a="1"/>
  <c r="H1168" i="1" s="1"/>
  <c r="H1876" i="1" a="1"/>
  <c r="H1876" i="1" s="1"/>
  <c r="H2232" i="1" a="1"/>
  <c r="H2232" i="1" s="1"/>
  <c r="H1877" i="1" a="1"/>
  <c r="H1877" i="1" s="1"/>
  <c r="H626" i="1" a="1"/>
  <c r="H626" i="1" s="1"/>
  <c r="H2233" i="1" a="1"/>
  <c r="H2233" i="1" s="1"/>
  <c r="H2093" i="1" a="1"/>
  <c r="H2093" i="1" s="1"/>
  <c r="H2352" i="1" a="1"/>
  <c r="H2352" i="1" s="1"/>
  <c r="H2094" i="1" a="1"/>
  <c r="H2094" i="1" s="1"/>
  <c r="H627" i="1" a="1"/>
  <c r="H627" i="1" s="1"/>
  <c r="H2353" i="1" a="1"/>
  <c r="H2353" i="1" s="1"/>
  <c r="H2354" i="1" a="1"/>
  <c r="H2354" i="1" s="1"/>
  <c r="H2234" i="1" a="1"/>
  <c r="H2234" i="1" s="1"/>
  <c r="H1878" i="1" a="1"/>
  <c r="H1878" i="1" s="1"/>
  <c r="H2235" i="1" a="1"/>
  <c r="H2235" i="1" s="1"/>
  <c r="H692" i="1" a="1"/>
  <c r="H692" i="1" s="1"/>
  <c r="H1252" i="1" a="1"/>
  <c r="H1252" i="1" s="1"/>
  <c r="H1192" i="1" a="1"/>
  <c r="H1192" i="1" s="1"/>
  <c r="H1193" i="1" a="1"/>
  <c r="H1193" i="1" s="1"/>
  <c r="H594" i="1" a="1"/>
  <c r="H594" i="1" s="1"/>
  <c r="H460" i="1" a="1"/>
  <c r="H460" i="1" s="1"/>
  <c r="H429" i="1" a="1"/>
  <c r="H429" i="1" s="1"/>
  <c r="H461" i="1" a="1"/>
  <c r="H461" i="1" s="1"/>
  <c r="H462" i="1" a="1"/>
  <c r="H462" i="1" s="1"/>
  <c r="H463" i="1" a="1"/>
  <c r="H463" i="1" s="1"/>
  <c r="H464" i="1" a="1"/>
  <c r="H464" i="1" s="1"/>
  <c r="H465" i="1" a="1"/>
  <c r="H465" i="1" s="1"/>
  <c r="H466" i="1" a="1"/>
  <c r="H466" i="1" s="1"/>
  <c r="H467" i="1" a="1"/>
  <c r="H467" i="1" s="1"/>
  <c r="H1169" i="1" a="1"/>
  <c r="H1169" i="1" s="1"/>
  <c r="H1170" i="1" a="1"/>
  <c r="H1170" i="1" s="1"/>
  <c r="H1171" i="1" a="1"/>
  <c r="H1171" i="1" s="1"/>
  <c r="H1172" i="1" a="1"/>
  <c r="H1172" i="1" s="1"/>
  <c r="H1173" i="1" a="1"/>
  <c r="H1173" i="1" s="1"/>
  <c r="H1174" i="1" a="1"/>
  <c r="H1174" i="1" s="1"/>
  <c r="H468" i="1" a="1"/>
  <c r="H468" i="1" s="1"/>
  <c r="H833" i="1" a="1"/>
  <c r="H833" i="1" s="1"/>
  <c r="H2355" i="1" a="1"/>
  <c r="H2355" i="1" s="1"/>
  <c r="H2356" i="1" a="1"/>
  <c r="H2356" i="1" s="1"/>
  <c r="H2357" i="1" a="1"/>
  <c r="H2357" i="1" s="1"/>
  <c r="H2358" i="1" a="1"/>
  <c r="H2358" i="1" s="1"/>
  <c r="H539" i="1" a="1"/>
  <c r="H539" i="1" s="1"/>
  <c r="H834" i="1" a="1"/>
  <c r="H834" i="1" s="1"/>
  <c r="H540" i="1" a="1"/>
  <c r="H540" i="1" s="1"/>
  <c r="H835" i="1" a="1"/>
  <c r="H835" i="1" s="1"/>
  <c r="H2095" i="1" a="1"/>
  <c r="H2095" i="1" s="1"/>
  <c r="H2096" i="1" a="1"/>
  <c r="H2096" i="1" s="1"/>
  <c r="H2097" i="1" a="1"/>
  <c r="H2097" i="1" s="1"/>
  <c r="H718" i="1" a="1"/>
  <c r="H718" i="1" s="1"/>
  <c r="H719" i="1" a="1"/>
  <c r="H719" i="1" s="1"/>
  <c r="H1253" i="1" a="1"/>
  <c r="H1253" i="1" s="1"/>
  <c r="H541" i="1" a="1"/>
  <c r="H541" i="1" s="1"/>
  <c r="H720" i="1" a="1"/>
  <c r="H720" i="1" s="1"/>
  <c r="H721" i="1" a="1"/>
  <c r="H721" i="1" s="1"/>
  <c r="H628" i="1" a="1"/>
  <c r="H628" i="1" s="1"/>
  <c r="H430" i="1" a="1"/>
  <c r="H430" i="1" s="1"/>
  <c r="H431" i="1" a="1"/>
  <c r="H431" i="1" s="1"/>
  <c r="H2448" i="1" a="1"/>
  <c r="H2448" i="1" s="1"/>
  <c r="H2236" i="1" a="1"/>
  <c r="H2236" i="1" s="1"/>
  <c r="H2098" i="1" a="1"/>
  <c r="H2098" i="1" s="1"/>
  <c r="H1952" i="1" a="1"/>
  <c r="H1952" i="1" s="1"/>
  <c r="H836" i="1" a="1"/>
  <c r="H836" i="1" s="1"/>
  <c r="H2556" i="1" a="1"/>
  <c r="H2556" i="1" s="1"/>
  <c r="H2449" i="1" a="1"/>
  <c r="H2449" i="1" s="1"/>
  <c r="H2450" i="1" a="1"/>
  <c r="H2450" i="1" s="1"/>
  <c r="H2557" i="1" a="1"/>
  <c r="H2557" i="1" s="1"/>
  <c r="H2237" i="1" a="1"/>
  <c r="H2237" i="1" s="1"/>
  <c r="H2558" i="1" a="1"/>
  <c r="H2558" i="1" s="1"/>
  <c r="H2099" i="1" a="1"/>
  <c r="H2099" i="1" s="1"/>
  <c r="H837" i="1" a="1"/>
  <c r="H837" i="1" s="1"/>
  <c r="H838" i="1" a="1"/>
  <c r="H838" i="1" s="1"/>
  <c r="H839" i="1" a="1"/>
  <c r="H839" i="1" s="1"/>
  <c r="H840" i="1" a="1"/>
  <c r="H840" i="1" s="1"/>
  <c r="H1254" i="1" a="1"/>
  <c r="H1254" i="1" s="1"/>
  <c r="H1255" i="1" a="1"/>
  <c r="H1255" i="1" s="1"/>
  <c r="H1879" i="1" a="1"/>
  <c r="H1879" i="1" s="1"/>
  <c r="H1880" i="1" a="1"/>
  <c r="H1880" i="1" s="1"/>
  <c r="H1881" i="1" a="1"/>
  <c r="H1881" i="1" s="1"/>
  <c r="H1682" i="1" a="1"/>
  <c r="H1682" i="1" s="1"/>
  <c r="H1683" i="1" a="1"/>
  <c r="H1683" i="1" s="1"/>
  <c r="H53" i="1" a="1"/>
  <c r="H53" i="1" s="1"/>
  <c r="H639" i="1" a="1"/>
  <c r="H639" i="1" s="1"/>
  <c r="H1953" i="1" a="1"/>
  <c r="H1953" i="1" s="1"/>
  <c r="H2451" i="1" a="1"/>
  <c r="H2451" i="1" s="1"/>
  <c r="H1954" i="1" a="1"/>
  <c r="H1954" i="1" s="1"/>
  <c r="H2452" i="1" a="1"/>
  <c r="H2452" i="1" s="1"/>
  <c r="H1955" i="1" a="1"/>
  <c r="H1955" i="1" s="1"/>
  <c r="H2559" i="1" a="1"/>
  <c r="H2559" i="1" s="1"/>
  <c r="H2238" i="1" a="1"/>
  <c r="H2238" i="1" s="1"/>
  <c r="H2100" i="1" a="1"/>
  <c r="H2100" i="1" s="1"/>
  <c r="H841" i="1" a="1"/>
  <c r="H841" i="1" s="1"/>
  <c r="H842" i="1" a="1"/>
  <c r="H842" i="1" s="1"/>
  <c r="H843" i="1" a="1"/>
  <c r="H843" i="1" s="1"/>
  <c r="H629" i="1" a="1"/>
  <c r="H629" i="1" s="1"/>
  <c r="H768" i="1" a="1"/>
  <c r="H768" i="1" s="1"/>
  <c r="H769" i="1" a="1"/>
  <c r="H769" i="1" s="1"/>
  <c r="H1256" i="1" a="1"/>
  <c r="H1256" i="1" s="1"/>
  <c r="H1639" i="1" a="1"/>
  <c r="H1639" i="1" s="1"/>
  <c r="H1573" i="1" a="1"/>
  <c r="H1573" i="1" s="1"/>
  <c r="H1574" i="1" a="1"/>
  <c r="H1574" i="1" s="1"/>
  <c r="H602" i="1" a="1"/>
  <c r="H602" i="1" s="1"/>
  <c r="H603" i="1" a="1"/>
  <c r="H603" i="1" s="1"/>
  <c r="H2606" i="1" a="1"/>
  <c r="H2606" i="1" s="1"/>
  <c r="H2608" i="1" a="1"/>
  <c r="H2608" i="1" s="1"/>
  <c r="J2608" i="1" s="1"/>
  <c r="H2560" i="1" a="1"/>
  <c r="H2560" i="1" s="1"/>
  <c r="H2101" i="1" a="1"/>
  <c r="H2101" i="1" s="1"/>
  <c r="H2453" i="1" a="1"/>
  <c r="H2453" i="1" s="1"/>
  <c r="H2561" i="1" a="1"/>
  <c r="H2561" i="1" s="1"/>
  <c r="H2102" i="1" a="1"/>
  <c r="H2102" i="1" s="1"/>
  <c r="H2239" i="1" a="1"/>
  <c r="H2239" i="1" s="1"/>
  <c r="H1956" i="1" a="1"/>
  <c r="H1956" i="1" s="1"/>
  <c r="H2562" i="1" a="1"/>
  <c r="H2562" i="1" s="1"/>
  <c r="H1957" i="1" a="1"/>
  <c r="H1957" i="1" s="1"/>
  <c r="H2454" i="1" a="1"/>
  <c r="H2454" i="1" s="1"/>
  <c r="H844" i="1" a="1"/>
  <c r="H844" i="1" s="1"/>
  <c r="H845" i="1" a="1"/>
  <c r="H845" i="1" s="1"/>
  <c r="H183" i="1" a="1"/>
  <c r="H183" i="1" s="1"/>
  <c r="H1200" i="1" a="1"/>
  <c r="H1200" i="1" s="1"/>
  <c r="H1201" i="1" a="1"/>
  <c r="H1201" i="1" s="1"/>
  <c r="H1194" i="1" a="1"/>
  <c r="H1194" i="1" s="1"/>
  <c r="H1202" i="1" a="1"/>
  <c r="H1202" i="1" s="1"/>
  <c r="H1195" i="1" a="1"/>
  <c r="H1195" i="1" s="1"/>
  <c r="H1196" i="1" a="1"/>
  <c r="H1196" i="1" s="1"/>
  <c r="H1203" i="1" a="1"/>
  <c r="H1203" i="1" s="1"/>
  <c r="H1204" i="1" a="1"/>
  <c r="H1204" i="1" s="1"/>
  <c r="H1197" i="1" a="1"/>
  <c r="H1197" i="1" s="1"/>
  <c r="H1205" i="1" a="1"/>
  <c r="H1205" i="1" s="1"/>
  <c r="H1198" i="1" a="1"/>
  <c r="H1198" i="1" s="1"/>
  <c r="H1206" i="1" a="1"/>
  <c r="H1206" i="1" s="1"/>
  <c r="H1207" i="1" a="1"/>
  <c r="H1207" i="1" s="1"/>
  <c r="H1208" i="1" a="1"/>
  <c r="H1208" i="1" s="1"/>
  <c r="H1209" i="1" a="1"/>
  <c r="H1209" i="1" s="1"/>
  <c r="H1210" i="1" a="1"/>
  <c r="H1210" i="1" s="1"/>
  <c r="H1211" i="1" a="1"/>
  <c r="H1211" i="1" s="1"/>
  <c r="H1199" i="1" a="1"/>
  <c r="H1199" i="1" s="1"/>
  <c r="H1212" i="1" a="1"/>
  <c r="H1212" i="1" s="1"/>
  <c r="H1575" i="1" a="1"/>
  <c r="H1575" i="1" s="1"/>
  <c r="H21" i="1" a="1"/>
  <c r="H21" i="1" s="1"/>
  <c r="H2240" i="1" a="1"/>
  <c r="H2240" i="1" s="1"/>
  <c r="H2103" i="1" a="1"/>
  <c r="H2103" i="1" s="1"/>
  <c r="H2455" i="1" a="1"/>
  <c r="H2455" i="1" s="1"/>
  <c r="H1958" i="1" a="1"/>
  <c r="H1958" i="1" s="1"/>
  <c r="H2456" i="1" a="1"/>
  <c r="H2456" i="1" s="1"/>
  <c r="H1213" i="1" a="1"/>
  <c r="H1213" i="1" s="1"/>
  <c r="H1214" i="1" a="1"/>
  <c r="H1214" i="1" s="1"/>
  <c r="H1215" i="1" a="1"/>
  <c r="H1215" i="1" s="1"/>
  <c r="H1216" i="1" a="1"/>
  <c r="H1216" i="1" s="1"/>
  <c r="H184" i="1" a="1"/>
  <c r="H184" i="1" s="1"/>
  <c r="H210" i="1" a="1"/>
  <c r="H210" i="1" s="1"/>
  <c r="H185" i="1" a="1"/>
  <c r="H185" i="1" s="1"/>
  <c r="H187" i="1" a="1"/>
  <c r="H187" i="1" s="1"/>
  <c r="H195" i="1" a="1"/>
  <c r="H195" i="1" s="1"/>
  <c r="H206" i="1" a="1"/>
  <c r="H206" i="1" s="1"/>
  <c r="H208" i="1" a="1"/>
  <c r="H208" i="1" s="1"/>
  <c r="H189" i="1" a="1"/>
  <c r="H189" i="1" s="1"/>
  <c r="H2241" i="1" a="1"/>
  <c r="H2241" i="1" s="1"/>
  <c r="H2104" i="1" a="1"/>
  <c r="H2104" i="1" s="1"/>
  <c r="H2457" i="1" a="1"/>
  <c r="H2457" i="1" s="1"/>
  <c r="H1959" i="1" a="1"/>
  <c r="H1959" i="1" s="1"/>
  <c r="H267" i="1" a="1"/>
  <c r="H267" i="1" s="1"/>
  <c r="H2105" i="1" a="1"/>
  <c r="H2105" i="1" s="1"/>
  <c r="H268" i="1" a="1"/>
  <c r="H268" i="1" s="1"/>
  <c r="H630" i="1" a="1"/>
  <c r="H630" i="1" s="1"/>
  <c r="H269" i="1" a="1"/>
  <c r="H269" i="1" s="1"/>
  <c r="H270" i="1" a="1"/>
  <c r="H270" i="1" s="1"/>
  <c r="H271" i="1" a="1"/>
  <c r="H271" i="1" s="1"/>
  <c r="H272" i="1" a="1"/>
  <c r="H272" i="1" s="1"/>
  <c r="H273" i="1" a="1"/>
  <c r="H273" i="1" s="1"/>
  <c r="H360" i="1" a="1"/>
  <c r="H360" i="1" s="1"/>
  <c r="H274" i="1" a="1"/>
  <c r="H274" i="1" s="1"/>
  <c r="H361" i="1" a="1"/>
  <c r="H361" i="1" s="1"/>
  <c r="H275" i="1" a="1"/>
  <c r="H275" i="1" s="1"/>
  <c r="H362" i="1" a="1"/>
  <c r="H362" i="1" s="1"/>
  <c r="H276" i="1" a="1"/>
  <c r="H276" i="1" s="1"/>
  <c r="H363" i="1" a="1"/>
  <c r="H363" i="1" s="1"/>
  <c r="H2242" i="1" a="1"/>
  <c r="H2242" i="1" s="1"/>
  <c r="H1960" i="1" a="1"/>
  <c r="H1960" i="1" s="1"/>
  <c r="H2563" i="1" a="1"/>
  <c r="H2563" i="1" s="1"/>
  <c r="H2243" i="1" a="1"/>
  <c r="H2243" i="1" s="1"/>
  <c r="H2244" i="1" a="1"/>
  <c r="H2244" i="1" s="1"/>
  <c r="H2564" i="1" a="1"/>
  <c r="H2564" i="1" s="1"/>
  <c r="H2565" i="1" a="1"/>
  <c r="H2565" i="1" s="1"/>
  <c r="H364" i="1" a="1"/>
  <c r="H364" i="1" s="1"/>
  <c r="H365" i="1" a="1"/>
  <c r="H365" i="1" s="1"/>
  <c r="H366" i="1" a="1"/>
  <c r="H366" i="1" s="1"/>
  <c r="H610" i="1" a="1"/>
  <c r="H610" i="1" s="1"/>
  <c r="H1882" i="1" a="1"/>
  <c r="H1882" i="1" s="1"/>
  <c r="H1961" i="1" a="1"/>
  <c r="H1961" i="1" s="1"/>
  <c r="H2245" i="1" a="1"/>
  <c r="H2245" i="1" s="1"/>
  <c r="H2566" i="1" a="1"/>
  <c r="H2566" i="1" s="1"/>
  <c r="H2567" i="1" a="1"/>
  <c r="H2567" i="1" s="1"/>
  <c r="H1576" i="1" a="1"/>
  <c r="H1576" i="1" s="1"/>
  <c r="H1257" i="1" a="1"/>
  <c r="H1257" i="1" s="1"/>
  <c r="H1258" i="1" a="1"/>
  <c r="H1258" i="1" s="1"/>
  <c r="H408" i="1" a="1"/>
  <c r="H408" i="1" s="1"/>
  <c r="H409" i="1" a="1"/>
  <c r="H409" i="1" s="1"/>
  <c r="H1259" i="1" a="1"/>
  <c r="H1259" i="1" s="1"/>
  <c r="H1260" i="1" a="1"/>
  <c r="H1260" i="1" s="1"/>
  <c r="H410" i="1" a="1"/>
  <c r="H410" i="1" s="1"/>
  <c r="H411" i="1" a="1"/>
  <c r="H411" i="1" s="1"/>
  <c r="H1261" i="1" a="1"/>
  <c r="H1261" i="1" s="1"/>
  <c r="H1262" i="1" a="1"/>
  <c r="H1262" i="1" s="1"/>
  <c r="H412" i="1" a="1"/>
  <c r="H412" i="1" s="1"/>
  <c r="H413" i="1" a="1"/>
  <c r="H413" i="1" s="1"/>
  <c r="H414" i="1" a="1"/>
  <c r="H414" i="1" s="1"/>
  <c r="H415" i="1" a="1"/>
  <c r="H415" i="1" s="1"/>
  <c r="H416" i="1" a="1"/>
  <c r="H416" i="1" s="1"/>
  <c r="H1263" i="1" a="1"/>
  <c r="H1263" i="1" s="1"/>
  <c r="H417" i="1" a="1"/>
  <c r="H417" i="1" s="1"/>
  <c r="H2629" i="1" a="1"/>
  <c r="H2629" i="1" s="1"/>
  <c r="H418" i="1" a="1"/>
  <c r="H418" i="1" s="1"/>
  <c r="H1264" i="1" a="1"/>
  <c r="H1264" i="1" s="1"/>
  <c r="H1265" i="1" a="1"/>
  <c r="H1265" i="1" s="1"/>
  <c r="H1266" i="1" a="1"/>
  <c r="H1266" i="1" s="1"/>
  <c r="H1267" i="1" a="1"/>
  <c r="H1267" i="1" s="1"/>
  <c r="H419" i="1" a="1"/>
  <c r="H419" i="1" s="1"/>
  <c r="H2246" i="1" a="1"/>
  <c r="H2246" i="1" s="1"/>
  <c r="H2247" i="1" a="1"/>
  <c r="H2247" i="1" s="1"/>
  <c r="H495" i="1" a="1"/>
  <c r="H495" i="1" s="1"/>
  <c r="H496" i="1" a="1"/>
  <c r="H496" i="1" s="1"/>
  <c r="H497" i="1" a="1"/>
  <c r="H497" i="1" s="1"/>
  <c r="H498" i="1" a="1"/>
  <c r="H498" i="1" s="1"/>
  <c r="H499" i="1" a="1"/>
  <c r="H499" i="1" s="1"/>
  <c r="H2568" i="1" a="1"/>
  <c r="H2568" i="1" s="1"/>
  <c r="H1884" i="1" a="1"/>
  <c r="H1884" i="1" s="1"/>
  <c r="H500" i="1" a="1"/>
  <c r="H500" i="1" s="1"/>
  <c r="H501" i="1" a="1"/>
  <c r="H501" i="1" s="1"/>
  <c r="H502" i="1" a="1"/>
  <c r="H502" i="1" s="1"/>
  <c r="H503" i="1" a="1"/>
  <c r="H503" i="1" s="1"/>
  <c r="H504" i="1" a="1"/>
  <c r="H504" i="1" s="1"/>
  <c r="H505" i="1" a="1"/>
  <c r="H505" i="1" s="1"/>
  <c r="H506" i="1" a="1"/>
  <c r="H506" i="1" s="1"/>
  <c r="H507" i="1" a="1"/>
  <c r="H507" i="1" s="1"/>
  <c r="H508" i="1" a="1"/>
  <c r="H508" i="1" s="1"/>
  <c r="H1684" i="1" a="1"/>
  <c r="H1684" i="1" s="1"/>
  <c r="H1685" i="1" a="1"/>
  <c r="H1685" i="1" s="1"/>
  <c r="H16" i="1" a="1"/>
  <c r="H16" i="1" s="1"/>
  <c r="H640" i="1" a="1"/>
  <c r="H640" i="1" s="1"/>
  <c r="H1577" i="1" a="1"/>
  <c r="H1577" i="1" s="1"/>
  <c r="H1578" i="1" a="1"/>
  <c r="H1578" i="1" s="1"/>
  <c r="H1640" i="1" a="1"/>
  <c r="H1640" i="1" s="1"/>
  <c r="H1268" i="1" a="1"/>
  <c r="H1268" i="1" s="1"/>
  <c r="H1269" i="1" a="1"/>
  <c r="H1269" i="1" s="1"/>
  <c r="H78" i="1" a="1"/>
  <c r="H78" i="1" s="1"/>
  <c r="H846" i="1" a="1"/>
  <c r="H846" i="1" s="1"/>
  <c r="H1962" i="1" a="1"/>
  <c r="H1962" i="1" s="1"/>
  <c r="H2106" i="1" a="1"/>
  <c r="H2106" i="1" s="1"/>
  <c r="H2248" i="1" a="1"/>
  <c r="H2248" i="1" s="1"/>
  <c r="H2359" i="1" a="1"/>
  <c r="H2359" i="1" s="1"/>
  <c r="H2458" i="1" a="1"/>
  <c r="H2458" i="1" s="1"/>
  <c r="H2569" i="1" a="1"/>
  <c r="H2569" i="1" s="1"/>
  <c r="H367" i="1" a="1"/>
  <c r="H367" i="1" s="1"/>
  <c r="H847" i="1" a="1"/>
  <c r="H847" i="1" s="1"/>
  <c r="H1596" i="1" a="1"/>
  <c r="H1596" i="1" s="1"/>
  <c r="H368" i="1" a="1"/>
  <c r="H368" i="1" s="1"/>
  <c r="H2570" i="1" a="1"/>
  <c r="H2570" i="1" s="1"/>
  <c r="H2571" i="1" a="1"/>
  <c r="H2571" i="1" s="1"/>
  <c r="H641" i="1" a="1"/>
  <c r="H641" i="1" s="1"/>
  <c r="H420" i="1" a="1"/>
  <c r="H420" i="1" s="1"/>
  <c r="H421" i="1" a="1"/>
  <c r="H421" i="1" s="1"/>
  <c r="H422" i="1" a="1"/>
  <c r="H422" i="1" s="1"/>
  <c r="H423" i="1" a="1"/>
  <c r="H423" i="1" s="1"/>
  <c r="H424" i="1" a="1"/>
  <c r="H424" i="1" s="1"/>
  <c r="H425" i="1" a="1"/>
  <c r="H425" i="1" s="1"/>
  <c r="H426" i="1" a="1"/>
  <c r="H426" i="1" s="1"/>
  <c r="H427" i="1" a="1"/>
  <c r="H427" i="1" s="1"/>
  <c r="H428" i="1" a="1"/>
  <c r="H428" i="1" s="1"/>
  <c r="H277" i="1" a="1"/>
  <c r="H277" i="1" s="1"/>
  <c r="H2249" i="1" a="1"/>
  <c r="H2249" i="1" s="1"/>
  <c r="H2107" i="1" a="1"/>
  <c r="H2107" i="1" s="1"/>
  <c r="H848" i="1" a="1"/>
  <c r="H848" i="1" s="1"/>
  <c r="H2360" i="1" a="1"/>
  <c r="H2360" i="1" s="1"/>
  <c r="H2459" i="1" a="1"/>
  <c r="H2459" i="1" s="1"/>
  <c r="H2361" i="1" a="1"/>
  <c r="H2361" i="1" s="1"/>
  <c r="H2460" i="1" a="1"/>
  <c r="H2460" i="1" s="1"/>
  <c r="H369" i="1" a="1"/>
  <c r="H369" i="1" s="1"/>
  <c r="H22" i="1" a="1"/>
  <c r="H22" i="1" s="1"/>
  <c r="H1963" i="1" a="1"/>
  <c r="H1963" i="1" s="1"/>
  <c r="H1964" i="1" a="1"/>
  <c r="H1964" i="1" s="1"/>
  <c r="H1965" i="1" a="1"/>
  <c r="H1965" i="1" s="1"/>
  <c r="H2250" i="1" a="1"/>
  <c r="H2250" i="1" s="1"/>
  <c r="H1966" i="1" a="1"/>
  <c r="H1966" i="1" s="1"/>
  <c r="H2251" i="1" a="1"/>
  <c r="H2251" i="1" s="1"/>
  <c r="H2252" i="1" a="1"/>
  <c r="H2252" i="1" s="1"/>
  <c r="H1967" i="1" a="1"/>
  <c r="H1967" i="1" s="1"/>
  <c r="H79" i="1" a="1"/>
  <c r="H79" i="1" s="1"/>
  <c r="H278" i="1" a="1"/>
  <c r="H278" i="1" s="1"/>
  <c r="H2108" i="1" a="1"/>
  <c r="H2108" i="1" s="1"/>
  <c r="H849" i="1" a="1"/>
  <c r="H849" i="1" s="1"/>
  <c r="H850" i="1" a="1"/>
  <c r="H850" i="1" s="1"/>
  <c r="H2253" i="1" a="1"/>
  <c r="H2253" i="1" s="1"/>
  <c r="H2572" i="1" a="1"/>
  <c r="H2572" i="1" s="1"/>
  <c r="H1968" i="1" a="1"/>
  <c r="H1968" i="1" s="1"/>
  <c r="H1969" i="1" a="1"/>
  <c r="H1969" i="1" s="1"/>
  <c r="H2573" i="1" a="1"/>
  <c r="H2573" i="1" s="1"/>
  <c r="H1270" i="1" a="1"/>
  <c r="H1270" i="1" s="1"/>
  <c r="H1271" i="1" a="1"/>
  <c r="H1271" i="1" s="1"/>
  <c r="H2109" i="1" a="1"/>
  <c r="H2109" i="1" s="1"/>
  <c r="H851" i="1" a="1"/>
  <c r="H851" i="1" s="1"/>
  <c r="H852" i="1" a="1"/>
  <c r="H852" i="1" s="1"/>
  <c r="H2110" i="1" a="1"/>
  <c r="H2110" i="1" s="1"/>
  <c r="H1272" i="1" a="1"/>
  <c r="H1272" i="1" s="1"/>
  <c r="H1273" i="1" a="1"/>
  <c r="H1273" i="1" s="1"/>
  <c r="H1579" i="1" a="1"/>
  <c r="H1579" i="1" s="1"/>
  <c r="H118" i="1" a="1"/>
  <c r="H118" i="1" s="1"/>
  <c r="H2254" i="1" a="1"/>
  <c r="H2254" i="1" s="1"/>
  <c r="H2255" i="1" a="1"/>
  <c r="H2255" i="1" s="1"/>
  <c r="H279" i="1" a="1"/>
  <c r="H279" i="1" s="1"/>
  <c r="H1686" i="1" a="1"/>
  <c r="H1686" i="1" s="1"/>
  <c r="H1687" i="1" a="1"/>
  <c r="H1687" i="1" s="1"/>
  <c r="H280" i="1" a="1"/>
  <c r="H280" i="1" s="1"/>
  <c r="H642" i="1" a="1"/>
  <c r="H642" i="1" s="1"/>
  <c r="H2111" i="1" a="1"/>
  <c r="H2111" i="1" s="1"/>
  <c r="H2461" i="1" a="1"/>
  <c r="H2461" i="1" s="1"/>
  <c r="H853" i="1" a="1"/>
  <c r="H853" i="1" s="1"/>
  <c r="H571" i="1" a="1"/>
  <c r="H571" i="1" s="1"/>
  <c r="H2574" i="1" a="1"/>
  <c r="H2574" i="1" s="1"/>
  <c r="H854" i="1" a="1"/>
  <c r="H854" i="1" s="1"/>
  <c r="H855" i="1" a="1"/>
  <c r="H855" i="1" s="1"/>
  <c r="H569" i="1" a="1"/>
  <c r="H569" i="1" s="1"/>
  <c r="H572" i="1" a="1"/>
  <c r="H572" i="1" s="1"/>
  <c r="H2112" i="1" a="1"/>
  <c r="H2112" i="1" s="1"/>
  <c r="H2113" i="1" a="1"/>
  <c r="H2113" i="1" s="1"/>
  <c r="H2462" i="1" a="1"/>
  <c r="H2462" i="1" s="1"/>
  <c r="H2463" i="1" a="1"/>
  <c r="H2463" i="1" s="1"/>
  <c r="H2464" i="1" a="1"/>
  <c r="H2464" i="1" s="1"/>
  <c r="H2465" i="1" a="1"/>
  <c r="H2465" i="1" s="1"/>
  <c r="H856" i="1" a="1"/>
  <c r="H856" i="1" s="1"/>
  <c r="H857" i="1" a="1"/>
  <c r="H857" i="1" s="1"/>
  <c r="H858" i="1" a="1"/>
  <c r="H858" i="1" s="1"/>
  <c r="H2114" i="1" a="1"/>
  <c r="H2114" i="1" s="1"/>
  <c r="H693" i="1" a="1"/>
  <c r="H693" i="1" s="1"/>
  <c r="H694" i="1" a="1"/>
  <c r="H694" i="1" s="1"/>
  <c r="H695" i="1" a="1"/>
  <c r="H695" i="1" s="1"/>
  <c r="H469" i="1" a="1"/>
  <c r="H469" i="1" s="1"/>
  <c r="H470" i="1" a="1"/>
  <c r="H470" i="1" s="1"/>
  <c r="H471" i="1" a="1"/>
  <c r="H471" i="1" s="1"/>
  <c r="H472" i="1" a="1"/>
  <c r="H472" i="1" s="1"/>
  <c r="H473" i="1" a="1"/>
  <c r="H473" i="1" s="1"/>
  <c r="H474" i="1" a="1"/>
  <c r="H474" i="1" s="1"/>
  <c r="H475" i="1" a="1"/>
  <c r="H475" i="1" s="1"/>
  <c r="H604" i="1" a="1"/>
  <c r="H604" i="1" s="1"/>
  <c r="H476" i="1" a="1"/>
  <c r="H476" i="1" s="1"/>
  <c r="H477" i="1" a="1"/>
  <c r="H477" i="1" s="1"/>
  <c r="H478" i="1" a="1"/>
  <c r="H478" i="1" s="1"/>
  <c r="H605" i="1" a="1"/>
  <c r="H605" i="1" s="1"/>
  <c r="H479" i="1" a="1"/>
  <c r="H479" i="1" s="1"/>
  <c r="H480" i="1" a="1"/>
  <c r="H480" i="1" s="1"/>
  <c r="H1970" i="1" a="1"/>
  <c r="H1970" i="1" s="1"/>
  <c r="H1971" i="1" a="1"/>
  <c r="H1971" i="1" s="1"/>
  <c r="H1972" i="1" a="1"/>
  <c r="H1972" i="1" s="1"/>
  <c r="H1688" i="1" a="1"/>
  <c r="H1688" i="1" s="1"/>
  <c r="H1689" i="1" a="1"/>
  <c r="H1689" i="1" s="1"/>
  <c r="H481" i="1" a="1"/>
  <c r="H481" i="1" s="1"/>
  <c r="H859" i="1" a="1"/>
  <c r="H859" i="1" s="1"/>
  <c r="H860" i="1" a="1"/>
  <c r="H860" i="1" s="1"/>
  <c r="H1274" i="1" a="1"/>
  <c r="H1274" i="1" s="1"/>
  <c r="H1275" i="1" a="1"/>
  <c r="H1275" i="1" s="1"/>
  <c r="H2466" i="1" a="1"/>
  <c r="H2466" i="1" s="1"/>
  <c r="H2467" i="1" a="1"/>
  <c r="H2467" i="1" s="1"/>
  <c r="H2256" i="1" a="1"/>
  <c r="H2256" i="1" s="1"/>
  <c r="H2257" i="1" a="1"/>
  <c r="H2257" i="1" s="1"/>
  <c r="H2258" i="1" a="1"/>
  <c r="H2258" i="1" s="1"/>
  <c r="H2468" i="1" a="1"/>
  <c r="H2468" i="1" s="1"/>
  <c r="H2259" i="1" a="1"/>
  <c r="H2259" i="1" s="1"/>
  <c r="H861" i="1" a="1"/>
  <c r="H861" i="1" s="1"/>
  <c r="H862" i="1" a="1"/>
  <c r="H862" i="1" s="1"/>
  <c r="H863" i="1" a="1"/>
  <c r="H863" i="1" s="1"/>
  <c r="H2469" i="1" a="1"/>
  <c r="H2469" i="1" s="1"/>
  <c r="H432" i="1" a="1"/>
  <c r="H432" i="1" s="1"/>
  <c r="H433" i="1" a="1"/>
  <c r="H433" i="1" s="1"/>
  <c r="H434" i="1" a="1"/>
  <c r="H434" i="1" s="1"/>
  <c r="H435" i="1" a="1"/>
  <c r="H435" i="1" s="1"/>
  <c r="H436" i="1" a="1"/>
  <c r="H436" i="1" s="1"/>
  <c r="H437" i="1" a="1"/>
  <c r="H437" i="1" s="1"/>
  <c r="H438" i="1" a="1"/>
  <c r="H438" i="1" s="1"/>
  <c r="H611" i="1" a="1"/>
  <c r="H611" i="1" s="1"/>
  <c r="H439" i="1" a="1"/>
  <c r="H439" i="1" s="1"/>
  <c r="H1973" i="1" a="1"/>
  <c r="H1973" i="1" s="1"/>
  <c r="H1974" i="1" a="1"/>
  <c r="H1974" i="1" s="1"/>
  <c r="H864" i="1" a="1"/>
  <c r="H864" i="1" s="1"/>
  <c r="H1276" i="1" a="1"/>
  <c r="H1276" i="1" s="1"/>
  <c r="H2362" i="1" a="1"/>
  <c r="H2362" i="1" s="1"/>
  <c r="H2363" i="1" a="1"/>
  <c r="H2363" i="1" s="1"/>
  <c r="H2364" i="1" a="1"/>
  <c r="H2364" i="1" s="1"/>
  <c r="H696" i="1" a="1"/>
  <c r="H696" i="1" s="1"/>
  <c r="H2260" i="1" a="1"/>
  <c r="H2260" i="1" s="1"/>
  <c r="H2261" i="1" a="1"/>
  <c r="H2261" i="1" s="1"/>
  <c r="H2262" i="1" a="1"/>
  <c r="H2262" i="1" s="1"/>
  <c r="H2263" i="1" a="1"/>
  <c r="H2263" i="1" s="1"/>
  <c r="H751" i="1" a="1"/>
  <c r="H751" i="1" s="1"/>
  <c r="H752" i="1" a="1"/>
  <c r="H752" i="1" s="1"/>
  <c r="H753" i="1" a="1"/>
  <c r="H753" i="1" s="1"/>
  <c r="H1975" i="1" a="1"/>
  <c r="H1975" i="1" s="1"/>
  <c r="H1976" i="1" a="1"/>
  <c r="H1976" i="1" s="1"/>
  <c r="H1977" i="1" a="1"/>
  <c r="H1977" i="1" s="1"/>
  <c r="H1978" i="1" a="1"/>
  <c r="H1978" i="1" s="1"/>
  <c r="H1979" i="1" a="1"/>
  <c r="H1979" i="1" s="1"/>
  <c r="H1690" i="1" a="1"/>
  <c r="H1690" i="1" s="1"/>
  <c r="H509" i="1" a="1"/>
  <c r="H509" i="1" s="1"/>
  <c r="H440" i="1" a="1"/>
  <c r="H440" i="1" s="1"/>
  <c r="H441" i="1" a="1"/>
  <c r="H441" i="1" s="1"/>
  <c r="H442" i="1" a="1"/>
  <c r="H442" i="1" s="1"/>
  <c r="H738" i="1" a="1"/>
  <c r="H738" i="1" s="1"/>
  <c r="H443" i="1" a="1"/>
  <c r="H443" i="1" s="1"/>
  <c r="H2626" i="1" a="1"/>
  <c r="H2626" i="1" s="1"/>
  <c r="H510" i="1" a="1"/>
  <c r="H510" i="1" s="1"/>
  <c r="H511" i="1" a="1"/>
  <c r="H511" i="1" s="1"/>
  <c r="H2618" i="1" a="1"/>
  <c r="H2618" i="1" s="1"/>
  <c r="H2619" i="1" a="1"/>
  <c r="H2619" i="1" s="1"/>
  <c r="H722" i="1" a="1"/>
  <c r="H722" i="1" s="1"/>
  <c r="H512" i="1" a="1"/>
  <c r="H512" i="1" s="1"/>
  <c r="H2620" i="1" a="1"/>
  <c r="H2620" i="1" s="1"/>
  <c r="H153" i="1" a="1"/>
  <c r="H153" i="1" s="1"/>
  <c r="H154" i="1" a="1"/>
  <c r="H154" i="1" s="1"/>
  <c r="H10" i="1" a="1"/>
  <c r="H10" i="1" s="1"/>
  <c r="H11" i="1" a="1"/>
  <c r="H11" i="1" s="1"/>
  <c r="H1641" i="1" a="1"/>
  <c r="H1641" i="1" s="1"/>
  <c r="H2621" i="1" a="1"/>
  <c r="H2621" i="1" s="1"/>
  <c r="H723" i="1" a="1"/>
  <c r="H723" i="1" s="1"/>
  <c r="H542" i="1" a="1"/>
  <c r="H542" i="1" s="1"/>
  <c r="H370" i="1" a="1"/>
  <c r="H370" i="1" s="1"/>
  <c r="H543" i="1" a="1"/>
  <c r="H543" i="1" s="1"/>
  <c r="H544" i="1" a="1"/>
  <c r="H544" i="1" s="1"/>
  <c r="H545" i="1" a="1"/>
  <c r="H545" i="1" s="1"/>
  <c r="H546" i="1" a="1"/>
  <c r="H546" i="1" s="1"/>
  <c r="H371" i="1" a="1"/>
  <c r="H371" i="1" s="1"/>
  <c r="H750" i="1" a="1"/>
  <c r="H750" i="1" s="1"/>
  <c r="H513" i="1" a="1"/>
  <c r="H513" i="1" s="1"/>
  <c r="H514" i="1" a="1"/>
  <c r="H514" i="1" s="1"/>
  <c r="H724" i="1" a="1"/>
  <c r="H724" i="1" s="1"/>
  <c r="H372" i="1" a="1"/>
  <c r="H372" i="1" s="1"/>
  <c r="H373" i="1" a="1"/>
  <c r="H373" i="1" s="1"/>
  <c r="H515" i="1" a="1"/>
  <c r="H515" i="1" s="1"/>
  <c r="H2264" i="1" a="1"/>
  <c r="H2264" i="1" s="1"/>
  <c r="H2265" i="1" a="1"/>
  <c r="H2265" i="1" s="1"/>
  <c r="H396" i="1" a="1"/>
  <c r="H396" i="1" s="1"/>
  <c r="H281" i="1" a="1"/>
  <c r="H281" i="1" s="1"/>
  <c r="H1580" i="1" a="1"/>
  <c r="H1580" i="1" s="1"/>
  <c r="H1217" i="1" a="1"/>
  <c r="H1217" i="1" s="1"/>
  <c r="H754" i="1" a="1"/>
  <c r="H754" i="1" s="1"/>
  <c r="H1218" i="1" a="1"/>
  <c r="H1218" i="1" s="1"/>
  <c r="H2115" i="1" a="1"/>
  <c r="H2115" i="1" s="1"/>
  <c r="H2116" i="1" a="1"/>
  <c r="H2116" i="1" s="1"/>
  <c r="H643" i="1" a="1"/>
  <c r="H643" i="1" s="1"/>
  <c r="H2575" i="1" a="1"/>
  <c r="H2575" i="1" s="1"/>
  <c r="H516" i="1" a="1"/>
  <c r="H516" i="1" s="1"/>
  <c r="H1525" i="1" a="1"/>
  <c r="H1525" i="1" s="1"/>
  <c r="H148" i="1" a="1"/>
  <c r="H148" i="1" s="1"/>
  <c r="H725" i="1" a="1"/>
  <c r="H725" i="1" s="1"/>
  <c r="H755" i="1" a="1"/>
  <c r="H755" i="1" s="1"/>
  <c r="H2576" i="1" a="1"/>
  <c r="H2576" i="1" s="1"/>
  <c r="H2577" i="1" a="1"/>
  <c r="H2577" i="1" s="1"/>
  <c r="H1581" i="1" a="1"/>
  <c r="H1581" i="1" s="1"/>
  <c r="H644" i="1" a="1"/>
  <c r="H644" i="1" s="1"/>
  <c r="H1980" i="1" a="1"/>
  <c r="H1980" i="1" s="1"/>
  <c r="H1219" i="1" a="1"/>
  <c r="H1219" i="1" s="1"/>
  <c r="H1220" i="1" a="1"/>
  <c r="H1220" i="1" s="1"/>
  <c r="H756" i="1" a="1"/>
  <c r="H756" i="1" s="1"/>
  <c r="H374" i="1" a="1"/>
  <c r="H374" i="1" s="1"/>
  <c r="H282" i="1" a="1"/>
  <c r="H282" i="1" s="1"/>
  <c r="H2117" i="1" a="1"/>
  <c r="H2117" i="1" s="1"/>
  <c r="H2118" i="1" a="1"/>
  <c r="H2118" i="1" s="1"/>
  <c r="H2119" i="1" a="1"/>
  <c r="H2119" i="1" s="1"/>
  <c r="H2120" i="1" a="1"/>
  <c r="H2120" i="1" s="1"/>
  <c r="H283" i="1" a="1"/>
  <c r="H283" i="1" s="1"/>
  <c r="H2578" i="1" a="1"/>
  <c r="H2578" i="1" s="1"/>
  <c r="H2579" i="1" a="1"/>
  <c r="H2579" i="1" s="1"/>
  <c r="H2470" i="1" a="1"/>
  <c r="H2470" i="1" s="1"/>
  <c r="H2471" i="1" a="1"/>
  <c r="H2471" i="1" s="1"/>
  <c r="H2472" i="1" a="1"/>
  <c r="H2472" i="1" s="1"/>
  <c r="H2630" i="1" a="1"/>
  <c r="H2630" i="1" s="1"/>
  <c r="H1981" i="1" a="1"/>
  <c r="H1981" i="1" s="1"/>
  <c r="H1277" i="1" a="1"/>
  <c r="H1277" i="1" s="1"/>
  <c r="H1982" i="1" a="1"/>
  <c r="H1982" i="1" s="1"/>
  <c r="H1642" i="1" a="1"/>
  <c r="H1642" i="1" s="1"/>
  <c r="H2580" i="1" a="1"/>
  <c r="H2580" i="1" s="1"/>
  <c r="H2581" i="1" a="1"/>
  <c r="H2581" i="1" s="1"/>
  <c r="H2582" i="1" a="1"/>
  <c r="H2582" i="1" s="1"/>
  <c r="H2583" i="1" a="1"/>
  <c r="H2583" i="1" s="1"/>
  <c r="H2584" i="1" a="1"/>
  <c r="H2584" i="1" s="1"/>
  <c r="H2585" i="1" a="1"/>
  <c r="H2585" i="1" s="1"/>
  <c r="H2586" i="1" a="1"/>
  <c r="H2586" i="1" s="1"/>
  <c r="H2587" i="1" a="1"/>
  <c r="H2587" i="1" s="1"/>
  <c r="H2588" i="1" a="1"/>
  <c r="H2588" i="1" s="1"/>
  <c r="H697" i="1" a="1"/>
  <c r="H697" i="1" s="1"/>
  <c r="H698" i="1" a="1"/>
  <c r="H698" i="1" s="1"/>
  <c r="H284" i="1" a="1"/>
  <c r="H284" i="1" s="1"/>
  <c r="H375" i="1" a="1"/>
  <c r="H375" i="1" s="1"/>
  <c r="H547" i="1" a="1"/>
  <c r="H547" i="1" s="1"/>
  <c r="H1983" i="1" a="1"/>
  <c r="H1983" i="1" s="1"/>
  <c r="H548" i="1" a="1"/>
  <c r="H548" i="1" s="1"/>
  <c r="H1984" i="1" a="1"/>
  <c r="H1984" i="1" s="1"/>
  <c r="H549" i="1" a="1"/>
  <c r="H549" i="1" s="1"/>
  <c r="H550" i="1" a="1"/>
  <c r="H550" i="1" s="1"/>
  <c r="H551" i="1" a="1"/>
  <c r="H551" i="1" s="1"/>
  <c r="H552" i="1" a="1"/>
  <c r="H552" i="1" s="1"/>
  <c r="H553" i="1" a="1"/>
  <c r="H553" i="1" s="1"/>
  <c r="H554" i="1" a="1"/>
  <c r="H554" i="1" s="1"/>
  <c r="H555" i="1" a="1"/>
  <c r="H555" i="1" s="1"/>
  <c r="H556" i="1" a="1"/>
  <c r="H556" i="1" s="1"/>
  <c r="H557" i="1" a="1"/>
  <c r="H557" i="1" s="1"/>
  <c r="H2473" i="1" a="1"/>
  <c r="H2473" i="1" s="1"/>
  <c r="H2474" i="1" a="1"/>
  <c r="H2474" i="1" s="1"/>
  <c r="H2475" i="1" a="1"/>
  <c r="H2475" i="1" s="1"/>
  <c r="H2476" i="1" a="1"/>
  <c r="H2476" i="1" s="1"/>
  <c r="H1691" i="1" a="1"/>
  <c r="H1691" i="1" s="1"/>
  <c r="H1741" i="1" a="1"/>
  <c r="H1741" i="1" s="1"/>
  <c r="H285" i="1" a="1"/>
  <c r="H285" i="1" s="1"/>
  <c r="H865" i="1" a="1"/>
  <c r="H865" i="1" s="1"/>
  <c r="H866" i="1" a="1"/>
  <c r="H866" i="1" s="1"/>
  <c r="H2121" i="1" a="1"/>
  <c r="H2121" i="1" s="1"/>
  <c r="H2122" i="1" a="1"/>
  <c r="H2122" i="1" s="1"/>
  <c r="H2477" i="1" a="1"/>
  <c r="H2477" i="1" s="1"/>
  <c r="H2478" i="1" a="1"/>
  <c r="H2478" i="1" s="1"/>
  <c r="H2266" i="1" a="1"/>
  <c r="H2266" i="1" s="1"/>
  <c r="H2267" i="1" a="1"/>
  <c r="H2267" i="1" s="1"/>
  <c r="H2268" i="1" a="1"/>
  <c r="H2268" i="1" s="1"/>
  <c r="H2269" i="1" a="1"/>
  <c r="H2269" i="1" s="1"/>
  <c r="H1221" i="1" a="1"/>
  <c r="H1221" i="1" s="1"/>
  <c r="H1222" i="1" a="1"/>
  <c r="H1222" i="1" s="1"/>
  <c r="H2270" i="1" a="1"/>
  <c r="H2270" i="1" s="1"/>
  <c r="H2271" i="1" a="1"/>
  <c r="H2271" i="1" s="1"/>
  <c r="H867" i="1" a="1"/>
  <c r="H867" i="1" s="1"/>
  <c r="H757" i="1" a="1"/>
  <c r="H757" i="1" s="1"/>
  <c r="H2589" i="1" a="1"/>
  <c r="H2589" i="1" s="1"/>
  <c r="H2590" i="1" a="1"/>
  <c r="H2590" i="1" s="1"/>
  <c r="H2591" i="1" a="1"/>
  <c r="H2591" i="1" s="1"/>
  <c r="H2592" i="1" a="1"/>
  <c r="H2592" i="1" s="1"/>
  <c r="H2593" i="1" a="1"/>
  <c r="H2593" i="1" s="1"/>
  <c r="H2594" i="1" a="1"/>
  <c r="H2594" i="1" s="1"/>
  <c r="H2595" i="1" a="1"/>
  <c r="H2595" i="1" s="1"/>
  <c r="H2596" i="1" a="1"/>
  <c r="H2596" i="1" s="1"/>
  <c r="H517" i="1" a="1"/>
  <c r="H517" i="1" s="1"/>
  <c r="H518" i="1" a="1"/>
  <c r="H518" i="1" s="1"/>
  <c r="H519" i="1" a="1"/>
  <c r="H519" i="1" s="1"/>
  <c r="H520" i="1" a="1"/>
  <c r="H520" i="1" s="1"/>
  <c r="H521" i="1" a="1"/>
  <c r="H521" i="1" s="1"/>
  <c r="H522" i="1" a="1"/>
  <c r="H522" i="1" s="1"/>
  <c r="H523" i="1" a="1"/>
  <c r="H523" i="1" s="1"/>
  <c r="H444" i="1" a="1"/>
  <c r="H444" i="1" s="1"/>
  <c r="H445" i="1" a="1"/>
  <c r="H445" i="1" s="1"/>
  <c r="H446" i="1" a="1"/>
  <c r="H446" i="1" s="1"/>
  <c r="H447" i="1" a="1"/>
  <c r="H447" i="1" s="1"/>
  <c r="H448" i="1" a="1"/>
  <c r="H448" i="1" s="1"/>
  <c r="H449" i="1" a="1"/>
  <c r="H449" i="1" s="1"/>
  <c r="H2272" i="1" a="1"/>
  <c r="H2272" i="1" s="1"/>
  <c r="H1985" i="1" a="1"/>
  <c r="H1985" i="1" s="1"/>
  <c r="H186" i="1" a="1"/>
  <c r="H186" i="1" s="1"/>
  <c r="H207" i="1" a="1"/>
  <c r="H207" i="1" s="1"/>
  <c r="H211" i="1" a="1"/>
  <c r="H211" i="1" s="1"/>
  <c r="H188" i="1" a="1"/>
  <c r="H188" i="1" s="1"/>
  <c r="H196" i="1" a="1"/>
  <c r="H196" i="1" s="1"/>
  <c r="H190" i="1" a="1"/>
  <c r="H190" i="1" s="1"/>
  <c r="H209" i="1" a="1"/>
  <c r="H209" i="1" s="1"/>
  <c r="H868" i="1" a="1"/>
  <c r="H868" i="1" s="1"/>
  <c r="H1582" i="1" a="1"/>
  <c r="H1582" i="1" s="1"/>
  <c r="H1986" i="1" a="1"/>
  <c r="H1986" i="1" s="1"/>
  <c r="H1987" i="1" a="1"/>
  <c r="H1987" i="1" s="1"/>
  <c r="H1643" i="1" a="1"/>
  <c r="H1643" i="1" s="1"/>
  <c r="H482" i="1" a="1"/>
  <c r="H482" i="1" s="1"/>
  <c r="H483" i="1" a="1"/>
  <c r="H483" i="1" s="1"/>
  <c r="H484" i="1" a="1"/>
  <c r="H484" i="1" s="1"/>
  <c r="H485" i="1" a="1"/>
  <c r="H485" i="1" s="1"/>
  <c r="H486" i="1" a="1"/>
  <c r="H486" i="1" s="1"/>
  <c r="H1644" i="1" a="1"/>
  <c r="H1644" i="1" s="1"/>
  <c r="H2123" i="1" a="1"/>
  <c r="H2123" i="1" s="1"/>
  <c r="H2124" i="1" a="1"/>
  <c r="H2124" i="1" s="1"/>
  <c r="H2631" i="1" a="1"/>
  <c r="H2631" i="1" s="1"/>
  <c r="H2273" i="1" a="1"/>
  <c r="H2273" i="1" s="1"/>
  <c r="H758" i="1" a="1"/>
  <c r="H758" i="1" s="1"/>
  <c r="H2274" i="1" a="1"/>
  <c r="H2274" i="1" s="1"/>
  <c r="H2275" i="1" a="1"/>
  <c r="H2275" i="1" s="1"/>
  <c r="H2276" i="1" a="1"/>
  <c r="H2276" i="1" s="1"/>
  <c r="H869" i="1" a="1"/>
  <c r="H869" i="1" s="1"/>
  <c r="H870" i="1" a="1"/>
  <c r="H870" i="1" s="1"/>
  <c r="H871" i="1" a="1"/>
  <c r="H871" i="1" s="1"/>
  <c r="H872" i="1" a="1"/>
  <c r="H872" i="1" s="1"/>
  <c r="H1988" i="1" a="1"/>
  <c r="H1988" i="1" s="1"/>
  <c r="H1989" i="1" a="1"/>
  <c r="H1989" i="1" s="1"/>
  <c r="H54" i="1" a="1"/>
  <c r="H54" i="1" s="1"/>
  <c r="H487" i="1" a="1"/>
  <c r="H487" i="1" s="1"/>
  <c r="H149" i="1" a="1"/>
  <c r="H149" i="1" s="1"/>
  <c r="H488" i="1" a="1"/>
  <c r="H488" i="1" s="1"/>
  <c r="H2632" i="1" a="1"/>
  <c r="H2632" i="1" s="1"/>
  <c r="H699" i="1" a="1"/>
  <c r="H699" i="1" s="1"/>
  <c r="H700" i="1" a="1"/>
  <c r="H700" i="1" s="1"/>
  <c r="H701" i="1" a="1"/>
  <c r="H701" i="1" s="1"/>
  <c r="H558" i="1" a="1"/>
  <c r="H558" i="1" s="1"/>
  <c r="H559" i="1" a="1"/>
  <c r="H559" i="1" s="1"/>
  <c r="H560" i="1" a="1"/>
  <c r="H560" i="1" s="1"/>
  <c r="H561" i="1" a="1"/>
  <c r="H561" i="1" s="1"/>
  <c r="H562" i="1" a="1"/>
  <c r="H562" i="1" s="1"/>
  <c r="H563" i="1" a="1"/>
  <c r="H563" i="1" s="1"/>
  <c r="H564" i="1" a="1"/>
  <c r="H564" i="1" s="1"/>
  <c r="H2125" i="1" a="1"/>
  <c r="H2125" i="1" s="1"/>
  <c r="H2277" i="1" a="1"/>
  <c r="H2277" i="1" s="1"/>
  <c r="H2479" i="1" a="1"/>
  <c r="H2479" i="1" s="1"/>
  <c r="H2480" i="1" a="1"/>
  <c r="H2480" i="1" s="1"/>
  <c r="H155" i="1" a="1"/>
  <c r="H155" i="1" s="1"/>
  <c r="H156" i="1" a="1"/>
  <c r="H156" i="1" s="1"/>
  <c r="H163" i="1" a="1"/>
  <c r="H163" i="1" s="1"/>
  <c r="H165" i="1" a="1"/>
  <c r="H165" i="1" s="1"/>
  <c r="H169" i="1" a="1"/>
  <c r="H169" i="1" s="1"/>
  <c r="H36" i="1" a="1"/>
  <c r="H36" i="1" s="1"/>
  <c r="H1742" i="1" a="1"/>
  <c r="H1742" i="1" s="1"/>
  <c r="H645" i="1" a="1"/>
  <c r="H645" i="1" s="1"/>
  <c r="H2597" i="1" a="1"/>
  <c r="H2597" i="1" s="1"/>
  <c r="H2598" i="1" a="1"/>
  <c r="H2598" i="1" s="1"/>
  <c r="H2481" i="1" a="1"/>
  <c r="H2481" i="1" s="1"/>
  <c r="H2482" i="1" a="1"/>
  <c r="H2482" i="1" s="1"/>
  <c r="H1175" i="1" a="1"/>
  <c r="H1175" i="1" s="1"/>
  <c r="H1645" i="1" a="1"/>
  <c r="H1645" i="1" s="1"/>
  <c r="H702" i="1" a="1"/>
  <c r="H702" i="1" s="1"/>
  <c r="H182" i="1" a="1"/>
  <c r="H182" i="1" s="1"/>
  <c r="H191" i="1" a="1"/>
  <c r="H191" i="1" s="1"/>
  <c r="H192" i="1" a="1"/>
  <c r="H192" i="1" s="1"/>
  <c r="H193" i="1" a="1"/>
  <c r="H193" i="1" s="1"/>
  <c r="H194" i="1" a="1"/>
  <c r="H194" i="1" s="1"/>
  <c r="H197" i="1" a="1"/>
  <c r="H197" i="1" s="1"/>
  <c r="H199" i="1" a="1"/>
  <c r="H199" i="1" s="1"/>
  <c r="H200" i="1" a="1"/>
  <c r="H200" i="1" s="1"/>
  <c r="H198" i="1" a="1"/>
  <c r="H198" i="1" s="1"/>
  <c r="H202" i="1" a="1"/>
  <c r="H202" i="1" s="1"/>
  <c r="H203" i="1" a="1"/>
  <c r="H203" i="1" s="1"/>
  <c r="H201" i="1" a="1"/>
  <c r="H201" i="1" s="1"/>
  <c r="H205" i="1" a="1"/>
  <c r="H205" i="1" s="1"/>
  <c r="H204" i="1" a="1"/>
  <c r="H204" i="1" s="1"/>
  <c r="H2278" i="1" a="1"/>
  <c r="H2278" i="1" s="1"/>
  <c r="H2279" i="1" a="1"/>
  <c r="H2279" i="1" s="1"/>
  <c r="H2280" i="1" a="1"/>
  <c r="H2280" i="1" s="1"/>
  <c r="H2126" i="1" a="1"/>
  <c r="H2126" i="1" s="1"/>
  <c r="H2127" i="1" a="1"/>
  <c r="H2127" i="1" s="1"/>
  <c r="H2599" i="1" a="1"/>
  <c r="H2599" i="1" s="1"/>
  <c r="H2600" i="1" a="1"/>
  <c r="H2600" i="1" s="1"/>
  <c r="H1223" i="1" a="1"/>
  <c r="H1223" i="1" s="1"/>
  <c r="H2483" i="1" a="1"/>
  <c r="H2483" i="1" s="1"/>
  <c r="H171" i="1" a="1"/>
  <c r="H171" i="1" s="1"/>
  <c r="H173" i="1" a="1"/>
  <c r="H173" i="1" s="1"/>
  <c r="H175" i="1" a="1"/>
  <c r="H175" i="1" s="1"/>
  <c r="H177" i="1" a="1"/>
  <c r="H177" i="1" s="1"/>
  <c r="H178" i="1" a="1"/>
  <c r="H178" i="1" s="1"/>
  <c r="H179" i="1" a="1"/>
  <c r="H179" i="1" s="1"/>
  <c r="H180" i="1" a="1"/>
  <c r="H180" i="1" s="1"/>
  <c r="H1990" i="1" a="1"/>
  <c r="H1990" i="1" s="1"/>
  <c r="H1991" i="1" a="1"/>
  <c r="H1991" i="1" s="1"/>
  <c r="H1992" i="1" a="1"/>
  <c r="H1992" i="1" s="1"/>
  <c r="H1993" i="1" a="1"/>
  <c r="H1993" i="1" s="1"/>
  <c r="H2633" i="1" a="1"/>
  <c r="H2633" i="1" s="1"/>
  <c r="H2281" i="1" a="1"/>
  <c r="H2281" i="1" s="1"/>
  <c r="H2282" i="1" a="1"/>
  <c r="H2282" i="1" s="1"/>
  <c r="H2128" i="1" a="1"/>
  <c r="H2128" i="1" s="1"/>
  <c r="H2283" i="1" a="1"/>
  <c r="H2283" i="1" s="1"/>
  <c r="H2284" i="1" a="1"/>
  <c r="H2284" i="1" s="1"/>
  <c r="H2285" i="1" a="1"/>
  <c r="H2285" i="1" s="1"/>
  <c r="H2484" i="1" a="1"/>
  <c r="H2484" i="1" s="1"/>
  <c r="H2365" i="1" a="1"/>
  <c r="H2365" i="1" s="1"/>
  <c r="H2366" i="1" a="1"/>
  <c r="H2366" i="1" s="1"/>
  <c r="H1583" i="1" a="1"/>
  <c r="H1583" i="1" s="1"/>
  <c r="H167" i="1" a="1"/>
  <c r="H167" i="1" s="1"/>
  <c r="H1692" i="1" a="1"/>
  <c r="H1692" i="1" s="1"/>
  <c r="H2129" i="1" a="1"/>
  <c r="H2129" i="1" s="1"/>
  <c r="H2130" i="1" a="1"/>
  <c r="H2130" i="1" s="1"/>
  <c r="H1693" i="1" a="1"/>
  <c r="H1693" i="1" s="1"/>
  <c r="H1176" i="1" a="1"/>
  <c r="H1176" i="1" s="1"/>
  <c r="H1695" i="1" a="1"/>
  <c r="H1695" i="1" s="1"/>
  <c r="H873" i="1" a="1"/>
  <c r="H873" i="1" s="1"/>
  <c r="H286" i="1" a="1"/>
  <c r="H286" i="1" s="1"/>
  <c r="H287" i="1" a="1"/>
  <c r="H287" i="1" s="1"/>
  <c r="H288" i="1" a="1"/>
  <c r="H288" i="1" s="1"/>
  <c r="H289" i="1" a="1"/>
  <c r="H289" i="1" s="1"/>
  <c r="H2485" i="1" a="1"/>
  <c r="H2485" i="1" s="1"/>
  <c r="H2486" i="1" a="1"/>
  <c r="H2486" i="1" s="1"/>
  <c r="H290" i="1" a="1"/>
  <c r="H290" i="1" s="1"/>
  <c r="H291" i="1" a="1"/>
  <c r="H291" i="1" s="1"/>
  <c r="H1177" i="1" a="1"/>
  <c r="H1177" i="1" s="1"/>
  <c r="H292" i="1" a="1"/>
  <c r="H292" i="1" s="1"/>
  <c r="H1178" i="1" a="1"/>
  <c r="H1178" i="1" s="1"/>
  <c r="H293" i="1" a="1"/>
  <c r="H293" i="1" s="1"/>
  <c r="H1179" i="1" a="1"/>
  <c r="H1179" i="1" s="1"/>
  <c r="H1180" i="1" a="1"/>
  <c r="H1180" i="1" s="1"/>
  <c r="H1181" i="1" a="1"/>
  <c r="H1181" i="1" s="1"/>
  <c r="H1182" i="1" a="1"/>
  <c r="H1182" i="1" s="1"/>
  <c r="H1183" i="1" a="1"/>
  <c r="H1183" i="1" s="1"/>
  <c r="H1184" i="1" a="1"/>
  <c r="H1184" i="1" s="1"/>
  <c r="H1185" i="1" a="1"/>
  <c r="H1185" i="1" s="1"/>
  <c r="H1186" i="1" a="1"/>
  <c r="H1186" i="1" s="1"/>
  <c r="H1187" i="1" a="1"/>
  <c r="H1187" i="1" s="1"/>
  <c r="H1188" i="1" a="1"/>
  <c r="H1188" i="1" s="1"/>
  <c r="H1189" i="1" a="1"/>
  <c r="H1189"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524" i="1" a="1"/>
  <c r="H524" i="1" s="1"/>
  <c r="H874" i="1" a="1"/>
  <c r="H874" i="1" s="1"/>
  <c r="H2487" i="1" a="1"/>
  <c r="H2487" i="1" s="1"/>
  <c r="H703" i="1" a="1"/>
  <c r="H703" i="1" s="1"/>
  <c r="H1743" i="1" a="1"/>
  <c r="H1743" i="1" s="1"/>
  <c r="H875" i="1" a="1"/>
  <c r="H875" i="1" s="1"/>
  <c r="H2131" i="1" a="1"/>
  <c r="H2131" i="1" s="1"/>
  <c r="H646" i="1" a="1"/>
  <c r="H646" i="1" s="1"/>
  <c r="H2286" i="1" a="1"/>
  <c r="H2286" i="1" s="1"/>
  <c r="H2488" i="1" a="1"/>
  <c r="H2488" i="1" s="1"/>
  <c r="H2489" i="1" a="1"/>
  <c r="H2489" i="1" s="1"/>
  <c r="H2132" i="1" a="1"/>
  <c r="H2132" i="1" s="1"/>
  <c r="H2133" i="1" a="1"/>
  <c r="H2133" i="1" s="1"/>
  <c r="H376" i="1" a="1"/>
  <c r="H376" i="1" s="1"/>
  <c r="H377" i="1" a="1"/>
  <c r="H377" i="1" s="1"/>
  <c r="H378" i="1" a="1"/>
  <c r="H378" i="1" s="1"/>
  <c r="H379" i="1" a="1"/>
  <c r="H379" i="1" s="1"/>
  <c r="H381" i="1" a="1"/>
  <c r="H381" i="1" s="1"/>
  <c r="H1278" i="1" a="1"/>
  <c r="H1278" i="1" s="1"/>
  <c r="H612" i="1" a="1"/>
  <c r="H612" i="1" s="1"/>
  <c r="H613" i="1" a="1"/>
  <c r="H613" i="1" s="1"/>
  <c r="H614" i="1" a="1"/>
  <c r="H614" i="1" s="1"/>
  <c r="H2287" i="1" a="1"/>
  <c r="H2287" i="1" s="1"/>
  <c r="H2288" i="1" a="1"/>
  <c r="H2288" i="1" s="1"/>
  <c r="H1279" i="1" a="1"/>
  <c r="H1279" i="1" s="1"/>
  <c r="H2601" i="1" a="1"/>
  <c r="H2601" i="1" s="1"/>
  <c r="H525" i="1" a="1"/>
  <c r="H525" i="1" s="1"/>
  <c r="H526" i="1" a="1"/>
  <c r="H526" i="1" s="1"/>
  <c r="H387" i="1" a="1"/>
  <c r="H387" i="1" s="1"/>
  <c r="H1224" i="1" a="1"/>
  <c r="H1224" i="1" s="1"/>
  <c r="H527" i="1" a="1"/>
  <c r="H527" i="1" s="1"/>
  <c r="H529" i="1" a="1"/>
  <c r="H529" i="1" s="1"/>
  <c r="H456" i="1" a="1"/>
  <c r="H456" i="1" s="1"/>
  <c r="H2634" i="1" a="1"/>
  <c r="H2634" i="1" s="1"/>
  <c r="H2602" i="1" a="1"/>
  <c r="H2602" i="1" s="1"/>
  <c r="H1996" i="1" a="1"/>
  <c r="H1996" i="1" s="1"/>
  <c r="H2289" i="1" a="1"/>
  <c r="H2289" i="1" s="1"/>
  <c r="H2290" i="1" a="1"/>
  <c r="H2290" i="1" s="1"/>
  <c r="H2134" i="1" a="1"/>
  <c r="H2134" i="1" s="1"/>
  <c r="H55" i="1" a="1"/>
  <c r="H55" i="1" s="1"/>
  <c r="H2490" i="1" a="1"/>
  <c r="H2490" i="1" s="1"/>
  <c r="H1998" i="1" a="1"/>
  <c r="H1998" i="1" s="1"/>
  <c r="H2291" i="1" a="1"/>
  <c r="H2291" i="1" s="1"/>
  <c r="H2292" i="1" a="1"/>
  <c r="H2292" i="1" s="1"/>
  <c r="H2492" i="1" a="1"/>
  <c r="H2492" i="1" s="1"/>
  <c r="H2135" i="1" a="1"/>
  <c r="H2135" i="1" s="1"/>
  <c r="H392" i="1" a="1"/>
  <c r="H392" i="1" s="1"/>
  <c r="H2494" i="1" a="1"/>
  <c r="H2494" i="1" s="1"/>
  <c r="H879" i="1" a="1"/>
  <c r="H879" i="1" s="1"/>
  <c r="H726" i="1" a="1"/>
  <c r="H726" i="1" s="1"/>
  <c r="H759" i="1" a="1"/>
  <c r="H759" i="1" s="1"/>
  <c r="H566" i="1" a="1"/>
  <c r="H566" i="1" s="1"/>
  <c r="H2000" i="1" a="1"/>
  <c r="H2000" i="1" s="1"/>
  <c r="H647" i="1" a="1"/>
  <c r="H647" i="1" s="1"/>
  <c r="H2603" i="1" a="1"/>
  <c r="H2603" i="1" s="1"/>
  <c r="H37" i="1" a="1"/>
  <c r="H37" i="1" s="1"/>
  <c r="H2293" i="1" a="1"/>
  <c r="H2293" i="1" s="1"/>
  <c r="H2367" i="1" a="1"/>
  <c r="H2367" i="1" s="1"/>
  <c r="H2495" i="1" a="1"/>
  <c r="H2495" i="1" s="1"/>
  <c r="H2136" i="1" a="1"/>
  <c r="H2136" i="1" s="1"/>
  <c r="H2296" i="1" a="1"/>
  <c r="H2296" i="1" s="1"/>
  <c r="H2368" i="1" a="1"/>
  <c r="H2368" i="1" s="1"/>
  <c r="H2138" i="1" a="1"/>
  <c r="H2138" i="1" s="1"/>
  <c r="H2297" i="1" a="1"/>
  <c r="H2297" i="1" s="1"/>
  <c r="H2139" i="1" a="1"/>
  <c r="H2139" i="1" s="1"/>
  <c r="H1281" i="1" a="1"/>
  <c r="H1281" i="1" s="1"/>
  <c r="H2635" i="1" a="1"/>
  <c r="H2635" i="1" s="1"/>
  <c r="H450" i="1" a="1"/>
  <c r="H450" i="1" s="1"/>
  <c r="H1282" i="1" a="1"/>
  <c r="H1282" i="1" s="1"/>
  <c r="H648" i="1" a="1"/>
  <c r="H648" i="1" s="1"/>
  <c r="H489" i="1" a="1"/>
  <c r="H489" i="1" s="1"/>
  <c r="H310" i="1" a="1"/>
  <c r="H310" i="1" s="1"/>
  <c r="H530" i="1" a="1"/>
  <c r="H530" i="1" s="1"/>
  <c r="H2001" i="1" a="1"/>
  <c r="H2001" i="1" s="1"/>
  <c r="H393" i="1" a="1"/>
  <c r="H393" i="1" s="1"/>
  <c r="H881" i="1" a="1"/>
  <c r="H881" i="1" s="1"/>
  <c r="H704" i="1" a="1"/>
  <c r="H704" i="1" s="1"/>
  <c r="H727" i="1" a="1"/>
  <c r="H727" i="1" s="1"/>
  <c r="H760" i="1" a="1"/>
  <c r="H760" i="1" s="1"/>
  <c r="H164" i="1" a="1"/>
  <c r="H164" i="1" s="1"/>
  <c r="H649" i="1" a="1"/>
  <c r="H649" i="1" s="1"/>
  <c r="H157" i="1" a="1"/>
  <c r="H157" i="1" s="1"/>
  <c r="H166" i="1" a="1"/>
  <c r="H166" i="1" s="1"/>
  <c r="H170" i="1" a="1"/>
  <c r="H170" i="1" s="1"/>
  <c r="H84" i="1" a="1"/>
  <c r="H84" i="1" s="1"/>
  <c r="H85" i="1" a="1"/>
  <c r="H85" i="1" s="1"/>
  <c r="H38" i="1" a="1"/>
  <c r="H38" i="1" s="1"/>
  <c r="H61" i="1" a="1"/>
  <c r="H61" i="1" s="1"/>
  <c r="H107" i="1" a="1"/>
  <c r="H107" i="1" s="1"/>
  <c r="H1283" i="1" a="1"/>
  <c r="H1283" i="1" s="1"/>
  <c r="H94" i="1" a="1"/>
  <c r="H94" i="1" s="1"/>
  <c r="H2140" i="1" a="1"/>
  <c r="H2140" i="1" s="1"/>
  <c r="H23" i="1" a="1"/>
  <c r="H23" i="1" s="1"/>
  <c r="H451" i="1" a="1"/>
  <c r="H451" i="1" s="1"/>
  <c r="H567" i="1" a="1"/>
  <c r="H567" i="1" s="1"/>
  <c r="H705" i="1" a="1"/>
  <c r="H705" i="1" s="1"/>
  <c r="H728" i="1" a="1"/>
  <c r="H728" i="1" s="1"/>
  <c r="H761" i="1" a="1"/>
  <c r="H761" i="1" s="1"/>
  <c r="H311" i="1" a="1"/>
  <c r="H311" i="1" s="1"/>
  <c r="H2003" i="1" a="1"/>
  <c r="H2003" i="1" s="1"/>
  <c r="H2298" i="1" a="1"/>
  <c r="H2298" i="1" s="1"/>
  <c r="H2369" i="1" a="1"/>
  <c r="H2369" i="1" s="1"/>
  <c r="H2496" i="1" a="1"/>
  <c r="H2496" i="1" s="1"/>
  <c r="H2604" i="1" a="1"/>
  <c r="H2604" i="1" s="1"/>
  <c r="H394" i="1" a="1"/>
  <c r="H394" i="1" s="1"/>
  <c r="H883" i="1" a="1"/>
  <c r="H883" i="1" s="1"/>
  <c r="H172" i="1" a="1"/>
  <c r="H172" i="1" s="1"/>
  <c r="H174" i="1" a="1"/>
  <c r="H174" i="1" s="1"/>
  <c r="H176" i="1" a="1"/>
  <c r="H176" i="1" s="1"/>
  <c r="H884" i="1" a="1"/>
  <c r="H884" i="1" s="1"/>
  <c r="H1469" i="1" a="1"/>
  <c r="H1469" i="1" s="1"/>
  <c r="H1470" i="1" a="1"/>
  <c r="H1470" i="1" s="1"/>
  <c r="H168" i="1" a="1"/>
  <c r="H168" i="1" s="1"/>
  <c r="H650" i="1" a="1"/>
  <c r="H650" i="1" s="1"/>
  <c r="H1517" i="1" a="1"/>
  <c r="H1517" i="1" s="1"/>
  <c r="H1696" i="1" a="1"/>
  <c r="H1696" i="1" s="1"/>
  <c r="H1792" i="1" a="1"/>
  <c r="H1792" i="1" s="1"/>
  <c r="J1792" i="1" s="1"/>
  <c r="H1284" i="1" a="1"/>
  <c r="H1284" i="1" s="1"/>
  <c r="H1808" i="1" a="1"/>
  <c r="H1808" i="1" s="1"/>
  <c r="H1842" i="1" a="1"/>
  <c r="H1842" i="1" s="1"/>
  <c r="H1407" i="1" a="1"/>
  <c r="H1407" i="1" s="1"/>
  <c r="H86" i="1" a="1"/>
  <c r="H86" i="1" s="1"/>
  <c r="H24" i="1" a="1"/>
  <c r="H24" i="1" s="1"/>
  <c r="H39" i="1" a="1"/>
  <c r="H39" i="1" s="1"/>
  <c r="H1399" i="1" a="1"/>
  <c r="H1399" i="1" s="1"/>
  <c r="H1781" i="1" a="1"/>
  <c r="H1781" i="1" s="1"/>
  <c r="H25" i="1" a="1"/>
  <c r="H25" i="1" s="1"/>
  <c r="H1697" i="1" a="1"/>
  <c r="H1697" i="1" s="1"/>
  <c r="H95" i="1" a="1"/>
  <c r="H95" i="1" s="1"/>
  <c r="H1518" i="1" a="1"/>
  <c r="H1518" i="1" s="1"/>
  <c r="H1856" i="1" a="1"/>
  <c r="H1856" i="1" s="1"/>
  <c r="H651" i="1" a="1"/>
  <c r="H651" i="1" s="1"/>
  <c r="H40" i="1" a="1"/>
  <c r="H40" i="1" s="1"/>
  <c r="H1843" i="1" a="1"/>
  <c r="H1843" i="1" s="1"/>
  <c r="H1793" i="1" a="1"/>
  <c r="H1793" i="1" s="1"/>
  <c r="H1794" i="1" a="1"/>
  <c r="H1794" i="1" s="1"/>
  <c r="H1452" i="1" a="1"/>
  <c r="H1452" i="1" s="1"/>
  <c r="H1471" i="1" a="1"/>
  <c r="H1471" i="1" s="1"/>
  <c r="H1809" i="1" a="1"/>
  <c r="H1809" i="1" s="1"/>
  <c r="H41" i="1" a="1"/>
  <c r="H41" i="1" s="1"/>
  <c r="H1767" i="1" a="1"/>
  <c r="H1767" i="1" s="1"/>
  <c r="H655" i="1" a="1"/>
  <c r="H655" i="1" s="1"/>
  <c r="H660" i="1" a="1"/>
  <c r="H660" i="1" s="1"/>
  <c r="H664" i="1" a="1"/>
  <c r="H664" i="1" s="1"/>
  <c r="H668" i="1" a="1"/>
  <c r="H668" i="1" s="1"/>
  <c r="H672" i="1" a="1"/>
  <c r="H672" i="1" s="1"/>
  <c r="H26" i="1" a="1"/>
  <c r="H26" i="1" s="1"/>
  <c r="H87" i="1" a="1"/>
  <c r="H87" i="1" s="1"/>
  <c r="H108" i="1" a="1"/>
  <c r="H108" i="1" s="1"/>
  <c r="H1698" i="1" a="1"/>
  <c r="H1698" i="1" s="1"/>
  <c r="H42" i="1" a="1"/>
  <c r="H42" i="1" s="1"/>
  <c r="H27" i="1" a="1"/>
  <c r="H27" i="1" s="1"/>
  <c r="H96" i="1" a="1"/>
  <c r="H96" i="1" s="1"/>
  <c r="H28" i="1" a="1"/>
  <c r="H28" i="1" s="1"/>
  <c r="H43" i="1" a="1"/>
  <c r="H43" i="1" s="1"/>
  <c r="H1699" i="1" a="1"/>
  <c r="H1699" i="1" s="1"/>
  <c r="H29" i="1" a="1"/>
  <c r="H29" i="1" s="1"/>
  <c r="H1844" i="1" a="1"/>
  <c r="H1844" i="1" s="1"/>
  <c r="H98" i="1" a="1"/>
  <c r="H98" i="1" s="1"/>
  <c r="H88" i="1" a="1"/>
  <c r="H88" i="1" s="1"/>
  <c r="H30" i="1" a="1"/>
  <c r="H30" i="1" s="1"/>
  <c r="H110" i="1" a="1"/>
  <c r="H110" i="1" s="1"/>
  <c r="H1700" i="1" a="1"/>
  <c r="H1700" i="1" s="1"/>
  <c r="H44" i="1" a="1"/>
  <c r="H44" i="1" s="1"/>
  <c r="H31" i="1" a="1"/>
  <c r="H31" i="1" s="1"/>
  <c r="H45" i="1" a="1"/>
  <c r="H45" i="1" s="1"/>
  <c r="H1701" i="1" a="1"/>
  <c r="H1701" i="1" s="1"/>
  <c r="H32" i="1" a="1"/>
  <c r="H32" i="1" s="1"/>
  <c r="H46" i="1" a="1"/>
  <c r="H46" i="1" s="1"/>
  <c r="H33" i="1" a="1"/>
  <c r="H33" i="1" s="1"/>
  <c r="H1702" i="1" a="1"/>
  <c r="H1702" i="1" s="1"/>
  <c r="AG1292" i="1"/>
  <c r="H125" i="1" a="1"/>
  <c r="H125" i="1" s="1"/>
  <c r="L527" i="1"/>
  <c r="M527" i="1"/>
  <c r="O527" i="1"/>
  <c r="S527" i="1"/>
  <c r="AD527" i="1"/>
  <c r="AE527" i="1"/>
  <c r="I614" i="1"/>
  <c r="L613" i="1"/>
  <c r="M613" i="1"/>
  <c r="O613" i="1"/>
  <c r="S613" i="1"/>
  <c r="AD613" i="1"/>
  <c r="AE613" i="1"/>
  <c r="AK613" i="1"/>
  <c r="I526" i="1"/>
  <c r="L525" i="1"/>
  <c r="M525" i="1"/>
  <c r="O525" i="1"/>
  <c r="S525" i="1"/>
  <c r="AD525" i="1"/>
  <c r="AE525" i="1"/>
  <c r="AK525" i="1"/>
  <c r="I2292" i="1"/>
  <c r="O2291" i="1"/>
  <c r="M2291" i="1"/>
  <c r="L2291" i="1"/>
  <c r="S2291" i="1"/>
  <c r="AD2291" i="1"/>
  <c r="AE2291" i="1"/>
  <c r="AK2291" i="1"/>
  <c r="L379" i="1"/>
  <c r="M379" i="1"/>
  <c r="O379" i="1"/>
  <c r="S379" i="1"/>
  <c r="AD379" i="1"/>
  <c r="AE379" i="1"/>
  <c r="AK379" i="1"/>
  <c r="I303" i="1"/>
  <c r="L302" i="1"/>
  <c r="M302" i="1"/>
  <c r="O302" i="1"/>
  <c r="S302" i="1"/>
  <c r="AD302" i="1"/>
  <c r="AE302" i="1"/>
  <c r="AK302" i="1"/>
  <c r="J454" i="1" l="1"/>
  <c r="AG455" i="1"/>
  <c r="J455" i="1"/>
  <c r="AG453" i="1"/>
  <c r="J453" i="1"/>
  <c r="AG452" i="1"/>
  <c r="J452" i="1"/>
  <c r="J2606" i="1"/>
  <c r="AG2606" i="1"/>
  <c r="AG109" i="1"/>
  <c r="J109" i="1"/>
  <c r="AG1225" i="1"/>
  <c r="J97" i="1"/>
  <c r="AG97" i="1"/>
  <c r="J60" i="1"/>
  <c r="AG60" i="1"/>
  <c r="AG57" i="1"/>
  <c r="AG59" i="1"/>
  <c r="AG58" i="1"/>
  <c r="AG56" i="1"/>
  <c r="J380" i="1"/>
  <c r="AG304" i="1"/>
  <c r="J304" i="1"/>
  <c r="J2294" i="1"/>
  <c r="AK398" i="1"/>
  <c r="AE398" i="1"/>
  <c r="AD398" i="1"/>
  <c r="O398" i="1"/>
  <c r="M398" i="1"/>
  <c r="L398" i="1"/>
  <c r="S398" i="1"/>
  <c r="O2606" i="1"/>
  <c r="M2606" i="1"/>
  <c r="S2606" i="1"/>
  <c r="I1838" i="1"/>
  <c r="AL1340" i="1"/>
  <c r="AM1340" i="1"/>
  <c r="AL1341" i="1"/>
  <c r="AM1341" i="1"/>
  <c r="AL1342" i="1"/>
  <c r="AM1342" i="1"/>
  <c r="AL1343" i="1"/>
  <c r="AM1343" i="1"/>
  <c r="AL1344" i="1"/>
  <c r="AM1344" i="1"/>
  <c r="AL1345" i="1"/>
  <c r="AM1345" i="1"/>
  <c r="AD1344" i="1"/>
  <c r="AD1343" i="1"/>
  <c r="I1346" i="1"/>
  <c r="O1345" i="1"/>
  <c r="AK1345" i="1"/>
  <c r="AE1345" i="1"/>
  <c r="AD1345" i="1"/>
  <c r="S1345" i="1"/>
  <c r="L1837" i="1"/>
  <c r="M1837" i="1"/>
  <c r="O1837" i="1"/>
  <c r="AK1837" i="1"/>
  <c r="AE1837" i="1"/>
  <c r="AD1837" i="1"/>
  <c r="S1837" i="1"/>
  <c r="AF129" i="1"/>
  <c r="J168" i="1"/>
  <c r="J456" i="1"/>
  <c r="J1199" i="1"/>
  <c r="O152" i="1"/>
  <c r="M152" i="1"/>
  <c r="L152" i="1"/>
  <c r="S152" i="1"/>
  <c r="AM301" i="1"/>
  <c r="AL301" i="1"/>
  <c r="AK301" i="1"/>
  <c r="AE301" i="1"/>
  <c r="AD301" i="1"/>
  <c r="O301" i="1"/>
  <c r="M301" i="1"/>
  <c r="L301" i="1"/>
  <c r="S301" i="1"/>
  <c r="I2290" i="1"/>
  <c r="L2289" i="1"/>
  <c r="M2289" i="1"/>
  <c r="O2289" i="1"/>
  <c r="S2289" i="1"/>
  <c r="AD2289" i="1"/>
  <c r="AE2289" i="1"/>
  <c r="AK2289" i="1"/>
  <c r="AL377" i="1"/>
  <c r="AL378" i="1"/>
  <c r="AL381" i="1"/>
  <c r="S378" i="1"/>
  <c r="L378" i="1"/>
  <c r="M378" i="1"/>
  <c r="O378" i="1"/>
  <c r="AD378" i="1"/>
  <c r="AE378" i="1"/>
  <c r="AK378" i="1"/>
  <c r="AM378" i="1"/>
  <c r="AG100" i="1"/>
  <c r="AK100" i="1"/>
  <c r="AL100" i="1"/>
  <c r="AM100" i="1"/>
  <c r="AD100" i="1"/>
  <c r="AE100" i="1"/>
  <c r="AG70" i="1"/>
  <c r="AD70" i="1"/>
  <c r="AE70" i="1"/>
  <c r="I1189" i="1"/>
  <c r="AM1188" i="1"/>
  <c r="AL1188" i="1"/>
  <c r="AK1188" i="1"/>
  <c r="AE1188" i="1"/>
  <c r="AD1188" i="1"/>
  <c r="O1188" i="1"/>
  <c r="M1188" i="1"/>
  <c r="L1188" i="1"/>
  <c r="S1188" i="1"/>
  <c r="AM612" i="1"/>
  <c r="AL612" i="1"/>
  <c r="AK612" i="1"/>
  <c r="AE612" i="1"/>
  <c r="AD612" i="1"/>
  <c r="O612" i="1"/>
  <c r="M612" i="1"/>
  <c r="L612" i="1"/>
  <c r="S612" i="1"/>
  <c r="AM526" i="1"/>
  <c r="AL526" i="1"/>
  <c r="AK526" i="1"/>
  <c r="AE526" i="1"/>
  <c r="AD526" i="1"/>
  <c r="O526" i="1"/>
  <c r="M526" i="1"/>
  <c r="L526" i="1"/>
  <c r="S526" i="1"/>
  <c r="AM300" i="1" l="1"/>
  <c r="AL300" i="1"/>
  <c r="AK300" i="1"/>
  <c r="AE300" i="1"/>
  <c r="AD300" i="1"/>
  <c r="O300" i="1"/>
  <c r="M300" i="1"/>
  <c r="L300" i="1"/>
  <c r="S300" i="1"/>
  <c r="AM2489" i="1"/>
  <c r="AL2489" i="1"/>
  <c r="AK2489" i="1"/>
  <c r="AE2489" i="1"/>
  <c r="AD2489" i="1"/>
  <c r="O2489" i="1"/>
  <c r="M2489" i="1"/>
  <c r="L2489" i="1"/>
  <c r="S2489" i="1"/>
  <c r="AE2133" i="1"/>
  <c r="AK2133" i="1"/>
  <c r="AL2133" i="1"/>
  <c r="AM2133" i="1"/>
  <c r="AE2134" i="1"/>
  <c r="AK2134" i="1"/>
  <c r="AL2134" i="1"/>
  <c r="AM2134" i="1"/>
  <c r="AE2135" i="1"/>
  <c r="AK2135" i="1"/>
  <c r="AL2135" i="1"/>
  <c r="AM2135" i="1"/>
  <c r="AD2135" i="1"/>
  <c r="AD2134" i="1"/>
  <c r="AD2133" i="1"/>
  <c r="S381" i="1"/>
  <c r="AM377" i="1"/>
  <c r="AK377" i="1"/>
  <c r="AE377" i="1"/>
  <c r="AD377" i="1"/>
  <c r="O377" i="1"/>
  <c r="M377" i="1"/>
  <c r="L377" i="1"/>
  <c r="S377" i="1"/>
  <c r="AM2288" i="1"/>
  <c r="AL2288" i="1"/>
  <c r="AK2288" i="1"/>
  <c r="AE2288" i="1"/>
  <c r="AD2288" i="1"/>
  <c r="O2288" i="1"/>
  <c r="M2288" i="1"/>
  <c r="L2288" i="1"/>
  <c r="S2288" i="1"/>
  <c r="AK1187" i="1"/>
  <c r="AL1187" i="1"/>
  <c r="AM1187" i="1"/>
  <c r="AD1187" i="1"/>
  <c r="AE1187" i="1"/>
  <c r="S1187" i="1"/>
  <c r="L1187" i="1"/>
  <c r="M1187" i="1"/>
  <c r="O1187" i="1"/>
  <c r="AK299" i="1"/>
  <c r="AL299" i="1"/>
  <c r="AM299" i="1"/>
  <c r="AD299" i="1"/>
  <c r="AE299" i="1"/>
  <c r="S299" i="1"/>
  <c r="L299" i="1"/>
  <c r="M299" i="1"/>
  <c r="O299" i="1"/>
  <c r="AM393" i="1"/>
  <c r="AM376" i="1"/>
  <c r="AM381" i="1"/>
  <c r="AM387" i="1"/>
  <c r="AM392" i="1"/>
  <c r="AM375" i="1"/>
  <c r="AM372" i="1"/>
  <c r="AM373" i="1"/>
  <c r="AL376" i="1"/>
  <c r="AL387" i="1"/>
  <c r="AL392" i="1"/>
  <c r="L376" i="1"/>
  <c r="M376" i="1"/>
  <c r="O376" i="1"/>
  <c r="AK376" i="1"/>
  <c r="AE376" i="1"/>
  <c r="AD376" i="1"/>
  <c r="S376" i="1"/>
  <c r="AD381" i="1"/>
  <c r="AE381" i="1"/>
  <c r="L381" i="1"/>
  <c r="M381" i="1"/>
  <c r="O381" i="1"/>
  <c r="AK381" i="1"/>
  <c r="L387" i="1"/>
  <c r="M387" i="1"/>
  <c r="O387" i="1"/>
  <c r="AK387" i="1"/>
  <c r="AE387" i="1"/>
  <c r="AD387" i="1"/>
  <c r="S387" i="1"/>
  <c r="L392" i="1"/>
  <c r="M392" i="1"/>
  <c r="O392" i="1"/>
  <c r="AK392" i="1"/>
  <c r="AE392" i="1"/>
  <c r="AD392" i="1"/>
  <c r="S392" i="1"/>
  <c r="AD456" i="1" l="1"/>
  <c r="AE456" i="1"/>
  <c r="AG456" i="1"/>
  <c r="AK456" i="1"/>
  <c r="AL456" i="1"/>
  <c r="AM456" i="1"/>
  <c r="D332" i="18" l="1"/>
  <c r="E332" i="18"/>
  <c r="F332" i="18"/>
  <c r="C332" i="18"/>
  <c r="H150" i="1" l="1" a="1"/>
  <c r="H150" i="1" s="1"/>
  <c r="H152" i="1" a="1"/>
  <c r="H152" i="1" s="1"/>
  <c r="H151" i="1" a="1"/>
  <c r="H151" i="1" s="1"/>
  <c r="L1719" i="1"/>
  <c r="M1719" i="1"/>
  <c r="O1719" i="1"/>
  <c r="AM1719" i="1"/>
  <c r="AK1719" i="1"/>
  <c r="AE1719" i="1"/>
  <c r="AD1719" i="1"/>
  <c r="S1719" i="1"/>
  <c r="J152" i="1" l="1"/>
  <c r="AG152" i="1"/>
  <c r="AD1502" i="1"/>
  <c r="AE1502" i="1"/>
  <c r="AD1501" i="1"/>
  <c r="AE1501" i="1"/>
  <c r="I1502" i="1"/>
  <c r="I1486" i="1" l="1"/>
  <c r="I1379" i="1"/>
  <c r="L1378" i="1"/>
  <c r="M1378" i="1"/>
  <c r="O1378" i="1"/>
  <c r="AK1378" i="1"/>
  <c r="AE1378" i="1"/>
  <c r="AD1378" i="1"/>
  <c r="S1378" i="1"/>
  <c r="L397" i="1"/>
  <c r="M397" i="1"/>
  <c r="O397" i="1"/>
  <c r="AK397" i="1"/>
  <c r="AE397" i="1"/>
  <c r="AD397" i="1"/>
  <c r="S397" i="1"/>
  <c r="AG297" i="1"/>
  <c r="S298" i="1"/>
  <c r="L298" i="1"/>
  <c r="M298" i="1"/>
  <c r="O298" i="1"/>
  <c r="AK298" i="1"/>
  <c r="AE298" i="1"/>
  <c r="AD298" i="1"/>
  <c r="AG1185" i="1"/>
  <c r="L1186" i="1"/>
  <c r="M1186" i="1"/>
  <c r="O1186" i="1"/>
  <c r="AK1186" i="1"/>
  <c r="AE1186" i="1"/>
  <c r="AD1186" i="1"/>
  <c r="S1186" i="1"/>
  <c r="AM1743" i="1" l="1"/>
  <c r="AL1743" i="1"/>
  <c r="AM1742" i="1"/>
  <c r="AL1742" i="1"/>
  <c r="L1743" i="1"/>
  <c r="M1743" i="1"/>
  <c r="O1743" i="1"/>
  <c r="AK1743" i="1"/>
  <c r="AE1743" i="1"/>
  <c r="AD1743" i="1"/>
  <c r="S1743" i="1"/>
  <c r="L1787" i="1"/>
  <c r="M1787" i="1"/>
  <c r="O1787" i="1"/>
  <c r="L1789" i="1"/>
  <c r="M1789" i="1"/>
  <c r="O1789" i="1"/>
  <c r="L1791" i="1"/>
  <c r="M1791" i="1"/>
  <c r="O1791" i="1"/>
  <c r="AK1787" i="1"/>
  <c r="AK1789" i="1"/>
  <c r="AE1787" i="1"/>
  <c r="AE1789" i="1"/>
  <c r="AD1787" i="1"/>
  <c r="AD1789" i="1"/>
  <c r="S1787" i="1"/>
  <c r="S1789" i="1"/>
  <c r="AK1791" i="1"/>
  <c r="AE1791" i="1"/>
  <c r="AD1791" i="1"/>
  <c r="S1791" i="1"/>
  <c r="L1793" i="1"/>
  <c r="M1793" i="1"/>
  <c r="O1793" i="1"/>
  <c r="AK1793" i="1"/>
  <c r="AE1793" i="1"/>
  <c r="AD1793" i="1"/>
  <c r="S1793" i="1"/>
  <c r="L124" i="18"/>
  <c r="C3" i="50"/>
  <c r="C4" i="50"/>
  <c r="C5" i="50"/>
  <c r="C6" i="50"/>
  <c r="C7" i="50"/>
  <c r="C8" i="50"/>
  <c r="C9" i="50"/>
  <c r="C10" i="50"/>
  <c r="C11" i="50"/>
  <c r="C12" i="50"/>
  <c r="C13" i="50"/>
  <c r="C14" i="50"/>
  <c r="C45" i="50"/>
  <c r="C50" i="50"/>
  <c r="C51" i="50"/>
  <c r="C52" i="50"/>
  <c r="C64" i="50"/>
  <c r="C65" i="50"/>
  <c r="C66" i="50"/>
  <c r="C67" i="50"/>
  <c r="C68" i="50"/>
  <c r="C69" i="50"/>
  <c r="C70" i="50"/>
  <c r="C71" i="50"/>
  <c r="C72" i="50"/>
  <c r="C73" i="50"/>
  <c r="C74" i="50"/>
  <c r="C75" i="50"/>
  <c r="C76" i="50"/>
  <c r="C77" i="50"/>
  <c r="C78" i="50"/>
  <c r="C79" i="50"/>
  <c r="C80" i="50"/>
  <c r="C81" i="50"/>
  <c r="C82" i="50"/>
  <c r="C83" i="50"/>
  <c r="C84" i="50"/>
  <c r="C85" i="50"/>
  <c r="C86" i="50"/>
  <c r="C87" i="50"/>
  <c r="C88" i="50"/>
  <c r="C89" i="50"/>
  <c r="C90" i="50"/>
  <c r="C91" i="50"/>
  <c r="C92" i="50"/>
  <c r="C93" i="50"/>
  <c r="C94" i="50"/>
  <c r="C95" i="50"/>
  <c r="C96" i="50"/>
  <c r="C97" i="50"/>
  <c r="C98" i="50"/>
  <c r="C99" i="50"/>
  <c r="C100" i="50"/>
  <c r="C101" i="50"/>
  <c r="C102" i="50"/>
  <c r="C103" i="50"/>
  <c r="C104" i="50"/>
  <c r="C105" i="50"/>
  <c r="C106" i="50"/>
  <c r="C107" i="50"/>
  <c r="C108" i="50"/>
  <c r="C109" i="50"/>
  <c r="C110" i="50"/>
  <c r="C111" i="50"/>
  <c r="C112" i="50"/>
  <c r="C113" i="50"/>
  <c r="C114" i="50"/>
  <c r="C115" i="50"/>
  <c r="C116" i="50"/>
  <c r="C117" i="50"/>
  <c r="C118" i="50"/>
  <c r="C119" i="50"/>
  <c r="C120" i="50"/>
  <c r="C121" i="50"/>
  <c r="C122" i="50"/>
  <c r="C123" i="50"/>
  <c r="C124" i="50"/>
  <c r="C125" i="50"/>
  <c r="C126" i="50"/>
  <c r="C127" i="50"/>
  <c r="C128" i="50"/>
  <c r="C2" i="50"/>
  <c r="AL296" i="1"/>
  <c r="AM296" i="1"/>
  <c r="AL297" i="1"/>
  <c r="AM297" i="1"/>
  <c r="AD297" i="1"/>
  <c r="AD303" i="1"/>
  <c r="AE297" i="1"/>
  <c r="AL1184" i="1"/>
  <c r="AM1184" i="1"/>
  <c r="AL1185" i="1"/>
  <c r="AM1185" i="1"/>
  <c r="AD1185" i="1"/>
  <c r="AE1185" i="1"/>
  <c r="O581" i="1" l="1"/>
  <c r="F424" i="18" l="1"/>
  <c r="E424" i="18"/>
  <c r="D424" i="18"/>
  <c r="C424" i="18"/>
  <c r="F229" i="18"/>
  <c r="F228" i="18"/>
  <c r="F227" i="18"/>
  <c r="F226" i="18"/>
  <c r="F225" i="18"/>
  <c r="F224" i="18"/>
  <c r="H1867" i="1" s="1" a="1"/>
  <c r="H1867" i="1" s="1"/>
  <c r="F223" i="18"/>
  <c r="F222" i="18"/>
  <c r="F221" i="18"/>
  <c r="H1853" i="1" s="1" a="1"/>
  <c r="H1853" i="1" s="1"/>
  <c r="F220" i="18"/>
  <c r="F219" i="18"/>
  <c r="F215" i="18"/>
  <c r="F213" i="18"/>
  <c r="H1839" i="1" s="1" a="1"/>
  <c r="H1839" i="1" s="1"/>
  <c r="F212" i="18"/>
  <c r="F211" i="18"/>
  <c r="F208" i="18"/>
  <c r="F207" i="18"/>
  <c r="F206" i="18"/>
  <c r="F205" i="18"/>
  <c r="F204" i="18"/>
  <c r="F203" i="18"/>
  <c r="F201" i="18"/>
  <c r="F200" i="18"/>
  <c r="F199" i="18"/>
  <c r="F195" i="18"/>
  <c r="F194" i="18"/>
  <c r="F191" i="18"/>
  <c r="F185" i="18"/>
  <c r="F182" i="18"/>
  <c r="F179" i="18"/>
  <c r="F177" i="18"/>
  <c r="H1483" i="1" s="1" a="1"/>
  <c r="H1483" i="1" s="1"/>
  <c r="F175" i="18"/>
  <c r="F173" i="18"/>
  <c r="F170" i="18"/>
  <c r="H1348" i="1" s="1" a="1"/>
  <c r="H1348" i="1" s="1"/>
  <c r="L296" i="1"/>
  <c r="M296" i="1"/>
  <c r="O296" i="1"/>
  <c r="AK296" i="1"/>
  <c r="AE296" i="1"/>
  <c r="AD296" i="1"/>
  <c r="S296" i="1"/>
  <c r="L1184" i="1"/>
  <c r="M1184" i="1"/>
  <c r="O1184" i="1"/>
  <c r="AK1184" i="1"/>
  <c r="AE1184" i="1"/>
  <c r="AD1184" i="1"/>
  <c r="S1184" i="1"/>
  <c r="I1992" i="1"/>
  <c r="AL2285" i="1"/>
  <c r="AM2285" i="1"/>
  <c r="AM2286" i="1"/>
  <c r="AL2286" i="1"/>
  <c r="AK2286" i="1"/>
  <c r="AE2286" i="1"/>
  <c r="AD2286" i="1"/>
  <c r="AM2287" i="1"/>
  <c r="AL2287" i="1"/>
  <c r="AK2287" i="1"/>
  <c r="AE2287" i="1"/>
  <c r="AD2287" i="1"/>
  <c r="AM303" i="1"/>
  <c r="AL303" i="1"/>
  <c r="AK303" i="1"/>
  <c r="AE303" i="1"/>
  <c r="AM295" i="1"/>
  <c r="AL295" i="1"/>
  <c r="AK295" i="1"/>
  <c r="AG295" i="1"/>
  <c r="AE295" i="1"/>
  <c r="AD295" i="1"/>
  <c r="AD1183" i="1"/>
  <c r="AE1183" i="1"/>
  <c r="AG1183" i="1"/>
  <c r="AK1183" i="1"/>
  <c r="AL1183" i="1"/>
  <c r="AM1183" i="1"/>
  <c r="O396" i="1"/>
  <c r="AL1179" i="1"/>
  <c r="AM1179" i="1"/>
  <c r="AL1180" i="1"/>
  <c r="AM1180" i="1"/>
  <c r="AL1181" i="1"/>
  <c r="AM1181" i="1"/>
  <c r="AL1176" i="1"/>
  <c r="AM1176" i="1"/>
  <c r="AD1182" i="1"/>
  <c r="AE1182" i="1"/>
  <c r="AG1182" i="1"/>
  <c r="AK1182" i="1"/>
  <c r="AL1182" i="1"/>
  <c r="AM1182" i="1"/>
  <c r="AD294" i="1"/>
  <c r="AE294" i="1"/>
  <c r="AG294" i="1"/>
  <c r="AK294" i="1"/>
  <c r="AL294" i="1"/>
  <c r="AM294" i="1"/>
  <c r="AG1348" i="1" l="1"/>
  <c r="J1348" i="1"/>
  <c r="AG1853" i="1"/>
  <c r="J1853" i="1"/>
  <c r="AG1839" i="1"/>
  <c r="J1839" i="1"/>
  <c r="H673" i="1" a="1"/>
  <c r="H673" i="1" s="1"/>
  <c r="H674" i="1" a="1"/>
  <c r="H674" i="1" s="1"/>
  <c r="H1464" i="1" a="1"/>
  <c r="H1464" i="1" s="1"/>
  <c r="H1462" i="1" a="1"/>
  <c r="H1462" i="1" s="1"/>
  <c r="H1467" i="1" a="1"/>
  <c r="H1467" i="1" s="1"/>
  <c r="H1460" i="1" a="1"/>
  <c r="H1460" i="1" s="1"/>
  <c r="H1468" i="1" a="1"/>
  <c r="H1468" i="1" s="1"/>
  <c r="H1463" i="1" a="1"/>
  <c r="H1463" i="1" s="1"/>
  <c r="H1461" i="1" a="1"/>
  <c r="H1461" i="1" s="1"/>
  <c r="H1466" i="1" a="1"/>
  <c r="H1466" i="1" s="1"/>
  <c r="H1465" i="1" a="1"/>
  <c r="H1465" i="1" s="1"/>
  <c r="H1864" i="1" a="1"/>
  <c r="H1864" i="1" s="1"/>
  <c r="H1863" i="1" a="1"/>
  <c r="H1863" i="1" s="1"/>
  <c r="H1866" i="1" a="1"/>
  <c r="H1866" i="1" s="1"/>
  <c r="H1865" i="1" a="1"/>
  <c r="H1865" i="1" s="1"/>
  <c r="H1487" i="1" a="1"/>
  <c r="H1487" i="1" s="1"/>
  <c r="H1488" i="1" a="1"/>
  <c r="H1488" i="1" s="1"/>
  <c r="H1489" i="1" a="1"/>
  <c r="H1489" i="1" s="1"/>
  <c r="H1490" i="1" a="1"/>
  <c r="H1490" i="1" s="1"/>
  <c r="H1779" i="1" a="1"/>
  <c r="H1779" i="1" s="1"/>
  <c r="AG1779" i="1" s="1"/>
  <c r="H1778" i="1" a="1"/>
  <c r="H1778" i="1" s="1"/>
  <c r="H1780" i="1" a="1"/>
  <c r="H1780" i="1" s="1"/>
  <c r="AG1780" i="1" s="1"/>
  <c r="H1509" i="1" a="1"/>
  <c r="H1509" i="1" s="1"/>
  <c r="H1508" i="1" a="1"/>
  <c r="H1508" i="1" s="1"/>
  <c r="H1514" i="1" a="1"/>
  <c r="H1514" i="1" s="1"/>
  <c r="H1516" i="1" a="1"/>
  <c r="H1516" i="1" s="1"/>
  <c r="H1515" i="1" a="1"/>
  <c r="H1515" i="1" s="1"/>
  <c r="H1510" i="1" a="1"/>
  <c r="H1510" i="1" s="1"/>
  <c r="H1511" i="1" a="1"/>
  <c r="H1511" i="1" s="1"/>
  <c r="H1512" i="1" a="1"/>
  <c r="H1512" i="1" s="1"/>
  <c r="H1513" i="1" a="1"/>
  <c r="H1513" i="1" s="1"/>
  <c r="H1523" i="1" a="1"/>
  <c r="H1523" i="1" s="1"/>
  <c r="H1524" i="1" a="1"/>
  <c r="H1524" i="1" s="1"/>
  <c r="H1782" i="1" a="1"/>
  <c r="H1782" i="1" s="1"/>
  <c r="H1785" i="1" a="1"/>
  <c r="H1785" i="1" s="1"/>
  <c r="H1789" i="1" a="1"/>
  <c r="H1789" i="1" s="1"/>
  <c r="H1786" i="1" a="1"/>
  <c r="H1786" i="1" s="1"/>
  <c r="H1783" i="1" a="1"/>
  <c r="H1783" i="1" s="1"/>
  <c r="H1790" i="1" a="1"/>
  <c r="H1790" i="1" s="1"/>
  <c r="H1791" i="1" a="1"/>
  <c r="H1791" i="1" s="1"/>
  <c r="H1787" i="1" a="1"/>
  <c r="H1787" i="1" s="1"/>
  <c r="H1788" i="1" a="1"/>
  <c r="H1788" i="1" s="1"/>
  <c r="H1784" i="1" a="1"/>
  <c r="H1784" i="1" s="1"/>
  <c r="H1703" i="1" a="1"/>
  <c r="H1703" i="1" s="1"/>
  <c r="H1707" i="1" a="1"/>
  <c r="H1707" i="1" s="1"/>
  <c r="H1704" i="1" a="1"/>
  <c r="H1704" i="1" s="1"/>
  <c r="H1705" i="1" a="1"/>
  <c r="H1705" i="1" s="1"/>
  <c r="H1706" i="1" a="1"/>
  <c r="H1706" i="1" s="1"/>
  <c r="H1802" i="1" a="1"/>
  <c r="H1802" i="1" s="1"/>
  <c r="H1803" i="1" a="1"/>
  <c r="H1803" i="1" s="1"/>
  <c r="H1805" i="1" a="1"/>
  <c r="H1805" i="1" s="1"/>
  <c r="H1806" i="1" a="1"/>
  <c r="H1806" i="1" s="1"/>
  <c r="H1807" i="1" a="1"/>
  <c r="H1807" i="1" s="1"/>
  <c r="H1804" i="1" a="1"/>
  <c r="H1804" i="1" s="1"/>
  <c r="H1869" i="1" a="1"/>
  <c r="H1869" i="1" s="1"/>
  <c r="H1868" i="1" a="1"/>
  <c r="H1868" i="1" s="1"/>
  <c r="H1708" i="1" a="1"/>
  <c r="H1708" i="1" s="1"/>
  <c r="H1710" i="1" a="1"/>
  <c r="H1710" i="1" s="1"/>
  <c r="H1709" i="1" a="1"/>
  <c r="H1709" i="1" s="1"/>
  <c r="H1711" i="1" a="1"/>
  <c r="H1711" i="1" s="1"/>
  <c r="H1712" i="1" a="1"/>
  <c r="H1712" i="1" s="1"/>
  <c r="H1820" i="1" a="1"/>
  <c r="H1820" i="1" s="1"/>
  <c r="H1821" i="1" a="1"/>
  <c r="H1821" i="1" s="1"/>
  <c r="H1822" i="1" a="1"/>
  <c r="H1822" i="1" s="1"/>
  <c r="H1832" i="1" a="1"/>
  <c r="H1832" i="1" s="1"/>
  <c r="H1819" i="1" a="1"/>
  <c r="H1819" i="1" s="1"/>
  <c r="H1825" i="1" a="1"/>
  <c r="H1825" i="1" s="1"/>
  <c r="H1835" i="1" a="1"/>
  <c r="H1835" i="1" s="1"/>
  <c r="H1823" i="1" a="1"/>
  <c r="H1823" i="1" s="1"/>
  <c r="H1828" i="1" a="1"/>
  <c r="H1828" i="1" s="1"/>
  <c r="H1841" i="1" a="1"/>
  <c r="H1841" i="1" s="1"/>
  <c r="H1829" i="1" a="1"/>
  <c r="H1829" i="1" s="1"/>
  <c r="H1833" i="1" a="1"/>
  <c r="H1833" i="1" s="1"/>
  <c r="H1824" i="1" a="1"/>
  <c r="H1824" i="1" s="1"/>
  <c r="H1834" i="1" a="1"/>
  <c r="H1834" i="1" s="1"/>
  <c r="H1827" i="1" a="1"/>
  <c r="H1827" i="1" s="1"/>
  <c r="H1831" i="1" a="1"/>
  <c r="H1831" i="1" s="1"/>
  <c r="H1826" i="1" a="1"/>
  <c r="H1826" i="1" s="1"/>
  <c r="H1836" i="1" a="1"/>
  <c r="H1836" i="1" s="1"/>
  <c r="H1837" i="1" a="1"/>
  <c r="H1837" i="1" s="1"/>
  <c r="H1830" i="1" a="1"/>
  <c r="H1830" i="1" s="1"/>
  <c r="H1838" i="1" a="1"/>
  <c r="H1838" i="1" s="1"/>
  <c r="H1757" i="1" a="1"/>
  <c r="H1757" i="1" s="1"/>
  <c r="H1760" i="1" a="1"/>
  <c r="H1760" i="1" s="1"/>
  <c r="H1761" i="1" a="1"/>
  <c r="H1761" i="1" s="1"/>
  <c r="H1754" i="1" a="1"/>
  <c r="H1754" i="1" s="1"/>
  <c r="H1755" i="1" a="1"/>
  <c r="H1755" i="1" s="1"/>
  <c r="H1758" i="1" a="1"/>
  <c r="H1758" i="1" s="1"/>
  <c r="H1756" i="1" a="1"/>
  <c r="H1756" i="1" s="1"/>
  <c r="H1759" i="1" a="1"/>
  <c r="H1759" i="1" s="1"/>
  <c r="H1765" i="1" a="1"/>
  <c r="H1765" i="1" s="1"/>
  <c r="H1766" i="1" a="1"/>
  <c r="H1766" i="1" s="1"/>
  <c r="AG1766" i="1" s="1"/>
  <c r="H1328" i="1" a="1"/>
  <c r="H1328" i="1" s="1"/>
  <c r="H1335" i="1" a="1"/>
  <c r="H1335" i="1" s="1"/>
  <c r="H1324" i="1" a="1"/>
  <c r="H1324" i="1" s="1"/>
  <c r="H1329" i="1" a="1"/>
  <c r="H1329" i="1" s="1"/>
  <c r="H1330" i="1" a="1"/>
  <c r="H1330" i="1" s="1"/>
  <c r="H1337" i="1" a="1"/>
  <c r="H1337" i="1" s="1"/>
  <c r="H1320" i="1" a="1"/>
  <c r="H1320" i="1" s="1"/>
  <c r="H1341" i="1" a="1"/>
  <c r="H1341" i="1" s="1"/>
  <c r="H1323" i="1" a="1"/>
  <c r="H1323" i="1" s="1"/>
  <c r="H1332" i="1" a="1"/>
  <c r="H1332" i="1" s="1"/>
  <c r="H1333" i="1" a="1"/>
  <c r="H1333" i="1" s="1"/>
  <c r="H1317" i="1" a="1"/>
  <c r="H1317" i="1" s="1"/>
  <c r="H1325" i="1" a="1"/>
  <c r="H1325" i="1" s="1"/>
  <c r="H1345" i="1" a="1"/>
  <c r="H1345" i="1" s="1"/>
  <c r="J1345" i="1" s="1"/>
  <c r="H1326" i="1" a="1"/>
  <c r="H1326" i="1" s="1"/>
  <c r="H1327" i="1" a="1"/>
  <c r="H1327" i="1" s="1"/>
  <c r="H1340" i="1" a="1"/>
  <c r="H1340" i="1" s="1"/>
  <c r="H1343" i="1" a="1"/>
  <c r="H1343" i="1" s="1"/>
  <c r="H1346" i="1" a="1"/>
  <c r="H1346" i="1" s="1"/>
  <c r="J1346" i="1" s="1"/>
  <c r="H1319" i="1" a="1"/>
  <c r="H1319" i="1" s="1"/>
  <c r="H1321" i="1" a="1"/>
  <c r="H1321" i="1" s="1"/>
  <c r="H1336" i="1" a="1"/>
  <c r="H1336" i="1" s="1"/>
  <c r="H1318" i="1" a="1"/>
  <c r="H1318" i="1" s="1"/>
  <c r="H1334" i="1" a="1"/>
  <c r="H1334" i="1" s="1"/>
  <c r="H1338" i="1" a="1"/>
  <c r="H1338" i="1" s="1"/>
  <c r="H1342" i="1" a="1"/>
  <c r="H1342" i="1" s="1"/>
  <c r="H1331" i="1" a="1"/>
  <c r="H1331" i="1" s="1"/>
  <c r="H1339" i="1" a="1"/>
  <c r="H1339" i="1" s="1"/>
  <c r="H1347" i="1" a="1"/>
  <c r="H1347" i="1" s="1"/>
  <c r="J1347" i="1" s="1"/>
  <c r="H1349" i="1" a="1"/>
  <c r="H1349" i="1" s="1"/>
  <c r="J1349" i="1" s="1"/>
  <c r="H1322" i="1" a="1"/>
  <c r="H1322" i="1" s="1"/>
  <c r="H1344" i="1" a="1"/>
  <c r="H1344" i="1" s="1"/>
  <c r="J1344" i="1" s="1"/>
  <c r="H1401" i="1" a="1"/>
  <c r="H1401" i="1" s="1"/>
  <c r="H1405" i="1" a="1"/>
  <c r="H1405" i="1" s="1"/>
  <c r="H1406" i="1" a="1"/>
  <c r="H1406" i="1" s="1"/>
  <c r="H1402" i="1" a="1"/>
  <c r="H1402" i="1" s="1"/>
  <c r="H1403" i="1" a="1"/>
  <c r="H1403" i="1" s="1"/>
  <c r="H1404" i="1" a="1"/>
  <c r="H1404" i="1" s="1"/>
  <c r="H1852" i="1" a="1"/>
  <c r="H1852" i="1" s="1"/>
  <c r="H1855" i="1" a="1"/>
  <c r="H1855" i="1" s="1"/>
  <c r="C35" i="50"/>
  <c r="C48" i="50"/>
  <c r="C63" i="50"/>
  <c r="C37" i="50"/>
  <c r="C53" i="50"/>
  <c r="C16" i="50"/>
  <c r="C38" i="50"/>
  <c r="C54" i="50"/>
  <c r="C19" i="50"/>
  <c r="C39" i="50"/>
  <c r="C55" i="50"/>
  <c r="C21" i="50"/>
  <c r="C40" i="50"/>
  <c r="C56" i="50"/>
  <c r="C23" i="50"/>
  <c r="C41" i="50"/>
  <c r="C57" i="50"/>
  <c r="C25" i="50"/>
  <c r="C42" i="50"/>
  <c r="C58" i="50"/>
  <c r="C28" i="50"/>
  <c r="C43" i="50"/>
  <c r="C59" i="50"/>
  <c r="C31" i="50"/>
  <c r="C44" i="50"/>
  <c r="C60" i="50"/>
  <c r="C33" i="50"/>
  <c r="C46" i="50"/>
  <c r="C61" i="50"/>
  <c r="C36" i="50"/>
  <c r="C49" i="50"/>
  <c r="C34" i="50"/>
  <c r="C47" i="50"/>
  <c r="C62" i="50"/>
  <c r="F183" i="18"/>
  <c r="F171" i="18"/>
  <c r="H1381" i="1" s="1" a="1"/>
  <c r="H1381" i="1" s="1"/>
  <c r="F169" i="18"/>
  <c r="H1295" i="1" s="1" a="1"/>
  <c r="H1295" i="1" s="1"/>
  <c r="F181" i="18"/>
  <c r="F180" i="18"/>
  <c r="F186" i="18"/>
  <c r="F174" i="18"/>
  <c r="H1447" i="1" s="1" a="1"/>
  <c r="H1447" i="1" s="1"/>
  <c r="AG1447" i="1" s="1"/>
  <c r="F178" i="18"/>
  <c r="F176" i="18"/>
  <c r="H1476" i="1" s="1" a="1"/>
  <c r="H1476" i="1" s="1"/>
  <c r="F184" i="18"/>
  <c r="F172" i="18"/>
  <c r="AM1792" i="1"/>
  <c r="AL1792" i="1"/>
  <c r="AK1792" i="1"/>
  <c r="AG1792" i="1"/>
  <c r="AE1792" i="1"/>
  <c r="AD1792" i="1"/>
  <c r="AM1779" i="1"/>
  <c r="AL1779" i="1"/>
  <c r="AK1779" i="1"/>
  <c r="AE1779" i="1"/>
  <c r="AD1779" i="1"/>
  <c r="AM1780" i="1"/>
  <c r="AL1780" i="1"/>
  <c r="AK1780" i="1"/>
  <c r="AE1780" i="1"/>
  <c r="AD1780" i="1"/>
  <c r="AM1766" i="1"/>
  <c r="AL1766" i="1"/>
  <c r="AK1766" i="1"/>
  <c r="AE1766" i="1"/>
  <c r="AD1766" i="1"/>
  <c r="AM1762" i="1"/>
  <c r="AL1762" i="1"/>
  <c r="AK1762" i="1"/>
  <c r="AG1762" i="1"/>
  <c r="AE1762" i="1"/>
  <c r="AD1762" i="1"/>
  <c r="AM1477" i="1"/>
  <c r="AL1477" i="1"/>
  <c r="AK1477" i="1"/>
  <c r="AM1475" i="1"/>
  <c r="AL1475" i="1"/>
  <c r="AK1475" i="1"/>
  <c r="AM1474" i="1"/>
  <c r="AL1474" i="1"/>
  <c r="AK1474" i="1"/>
  <c r="AE1477" i="1"/>
  <c r="AD1477" i="1"/>
  <c r="AE1475" i="1"/>
  <c r="AD1475" i="1"/>
  <c r="AE1474" i="1"/>
  <c r="AD1474" i="1"/>
  <c r="AM1471" i="1"/>
  <c r="AL1471" i="1"/>
  <c r="AK1471" i="1"/>
  <c r="AM1470" i="1"/>
  <c r="AL1470" i="1"/>
  <c r="AK1470" i="1"/>
  <c r="AG1470" i="1"/>
  <c r="AE1471" i="1"/>
  <c r="AE1470" i="1"/>
  <c r="AE1469" i="1"/>
  <c r="AE1468" i="1"/>
  <c r="AM1452" i="1"/>
  <c r="AL1452" i="1"/>
  <c r="AK1452" i="1"/>
  <c r="AM1451" i="1"/>
  <c r="AL1451" i="1"/>
  <c r="AK1451" i="1"/>
  <c r="AM1450" i="1"/>
  <c r="AL1450" i="1"/>
  <c r="AK1450" i="1"/>
  <c r="AM1448" i="1"/>
  <c r="AL1448" i="1"/>
  <c r="AM1444" i="1"/>
  <c r="AL1444" i="1"/>
  <c r="AK1444" i="1"/>
  <c r="AE1452" i="1"/>
  <c r="AE1451" i="1"/>
  <c r="AE1450" i="1"/>
  <c r="AE1448" i="1"/>
  <c r="AE1444" i="1"/>
  <c r="AK1375" i="1"/>
  <c r="AL1375" i="1"/>
  <c r="AM1375" i="1"/>
  <c r="AE1375" i="1"/>
  <c r="AD1375" i="1"/>
  <c r="AM1350" i="1"/>
  <c r="AL1350" i="1"/>
  <c r="AK1352" i="1"/>
  <c r="AK1350" i="1"/>
  <c r="AK1349" i="1"/>
  <c r="AK1347" i="1"/>
  <c r="AK1346" i="1"/>
  <c r="AG1350" i="1"/>
  <c r="AE1352" i="1"/>
  <c r="AE1350" i="1"/>
  <c r="AE1349" i="1"/>
  <c r="AE1347" i="1"/>
  <c r="AE1346" i="1"/>
  <c r="AE1344" i="1"/>
  <c r="AE1343" i="1"/>
  <c r="AK1344" i="1"/>
  <c r="AM1352" i="1"/>
  <c r="AL1352" i="1"/>
  <c r="AM1349" i="1"/>
  <c r="AL1349" i="1"/>
  <c r="AM1347" i="1"/>
  <c r="AL1347" i="1"/>
  <c r="AM1346" i="1"/>
  <c r="AL1346" i="1"/>
  <c r="AB1522" i="1"/>
  <c r="AM1281" i="1"/>
  <c r="AL1281" i="1"/>
  <c r="AK1281" i="1"/>
  <c r="AE1281" i="1"/>
  <c r="AD1281" i="1"/>
  <c r="O1281" i="1"/>
  <c r="M1281" i="1"/>
  <c r="L1281" i="1"/>
  <c r="S1281" i="1"/>
  <c r="AM1374" i="1"/>
  <c r="AL1374" i="1"/>
  <c r="AK1374" i="1"/>
  <c r="AE1374" i="1"/>
  <c r="AD1374" i="1"/>
  <c r="O1374" i="1"/>
  <c r="M1374" i="1"/>
  <c r="L1374" i="1"/>
  <c r="S1374" i="1"/>
  <c r="I1500" i="1"/>
  <c r="AM1499" i="1"/>
  <c r="AL1499" i="1"/>
  <c r="AK1499" i="1"/>
  <c r="AE1499" i="1"/>
  <c r="AD1499" i="1"/>
  <c r="O1499" i="1"/>
  <c r="M1499" i="1"/>
  <c r="L1499" i="1"/>
  <c r="S1499" i="1"/>
  <c r="I1279" i="1"/>
  <c r="S1279" i="1" s="1"/>
  <c r="AM1279" i="1"/>
  <c r="AL1279" i="1"/>
  <c r="AK1279" i="1"/>
  <c r="AE1279" i="1"/>
  <c r="AD1279" i="1"/>
  <c r="O1279" i="1"/>
  <c r="M1279" i="1"/>
  <c r="L1279" i="1"/>
  <c r="AM1693" i="1"/>
  <c r="AL1693" i="1"/>
  <c r="AK1693" i="1"/>
  <c r="AE1693" i="1"/>
  <c r="AD1693" i="1"/>
  <c r="O1693" i="1"/>
  <c r="M1693" i="1"/>
  <c r="L1693" i="1"/>
  <c r="S1693" i="1"/>
  <c r="AM1835" i="1"/>
  <c r="AL1835" i="1"/>
  <c r="AK1835" i="1"/>
  <c r="AE1835" i="1"/>
  <c r="AD1835" i="1"/>
  <c r="O1835" i="1"/>
  <c r="M1835" i="1"/>
  <c r="L1835" i="1"/>
  <c r="I1835" i="1"/>
  <c r="S1835" i="1" s="1"/>
  <c r="AM2366" i="1"/>
  <c r="AL2366" i="1"/>
  <c r="AK2366" i="1"/>
  <c r="AE2366" i="1"/>
  <c r="AD2366" i="1"/>
  <c r="O2366" i="1"/>
  <c r="M2366" i="1"/>
  <c r="L2366" i="1"/>
  <c r="S2366" i="1"/>
  <c r="O2285" i="1"/>
  <c r="M2285" i="1"/>
  <c r="L2285" i="1"/>
  <c r="S2285" i="1"/>
  <c r="AD2285" i="1"/>
  <c r="AE2285" i="1"/>
  <c r="AK2285" i="1"/>
  <c r="J1447" i="1" l="1"/>
  <c r="J1381" i="1"/>
  <c r="AG1381" i="1"/>
  <c r="AG1476" i="1"/>
  <c r="J1476" i="1"/>
  <c r="H1390" i="1" a="1"/>
  <c r="H1390" i="1" s="1"/>
  <c r="H1395" i="1" a="1"/>
  <c r="H1395" i="1" s="1"/>
  <c r="H1396" i="1" a="1"/>
  <c r="H1396" i="1" s="1"/>
  <c r="H1389" i="1" a="1"/>
  <c r="H1389" i="1" s="1"/>
  <c r="H1394" i="1" a="1"/>
  <c r="H1394" i="1" s="1"/>
  <c r="H1393" i="1" a="1"/>
  <c r="H1393" i="1" s="1"/>
  <c r="H1391" i="1" a="1"/>
  <c r="H1391" i="1" s="1"/>
  <c r="H1397" i="1" a="1"/>
  <c r="H1397" i="1" s="1"/>
  <c r="H1392" i="1" a="1"/>
  <c r="H1392" i="1" s="1"/>
  <c r="H1398" i="1" a="1"/>
  <c r="H1398" i="1" s="1"/>
  <c r="H1496" i="1" a="1"/>
  <c r="H1496" i="1" s="1"/>
  <c r="H1498" i="1" a="1"/>
  <c r="H1498" i="1" s="1"/>
  <c r="H1495" i="1" a="1"/>
  <c r="H1495" i="1" s="1"/>
  <c r="H1502" i="1" a="1"/>
  <c r="H1502" i="1" s="1"/>
  <c r="H1501" i="1" a="1"/>
  <c r="H1501" i="1" s="1"/>
  <c r="H1497" i="1" a="1"/>
  <c r="H1497" i="1" s="1"/>
  <c r="H1499" i="1" a="1"/>
  <c r="H1499" i="1" s="1"/>
  <c r="AG1499" i="1" s="1"/>
  <c r="H1500" i="1" a="1"/>
  <c r="H1500" i="1" s="1"/>
  <c r="H1361" i="1" a="1"/>
  <c r="H1361" i="1" s="1"/>
  <c r="H1359" i="1" a="1"/>
  <c r="H1359" i="1" s="1"/>
  <c r="H1370" i="1" a="1"/>
  <c r="H1370" i="1" s="1"/>
  <c r="H1356" i="1" a="1"/>
  <c r="H1356" i="1" s="1"/>
  <c r="H1364" i="1" a="1"/>
  <c r="H1364" i="1" s="1"/>
  <c r="H1358" i="1" a="1"/>
  <c r="H1358" i="1" s="1"/>
  <c r="H1367" i="1" a="1"/>
  <c r="H1367" i="1" s="1"/>
  <c r="H1373" i="1" a="1"/>
  <c r="H1373" i="1" s="1"/>
  <c r="H1360" i="1" a="1"/>
  <c r="H1360" i="1" s="1"/>
  <c r="H1374" i="1" a="1"/>
  <c r="H1374" i="1" s="1"/>
  <c r="J1374" i="1" s="1"/>
  <c r="H1376" i="1" a="1"/>
  <c r="H1376" i="1" s="1"/>
  <c r="H1362" i="1" a="1"/>
  <c r="H1362" i="1" s="1"/>
  <c r="H1368" i="1" a="1"/>
  <c r="H1368" i="1" s="1"/>
  <c r="H1377" i="1" a="1"/>
  <c r="H1377" i="1" s="1"/>
  <c r="H1363" i="1" a="1"/>
  <c r="H1363" i="1" s="1"/>
  <c r="H1375" i="1" a="1"/>
  <c r="H1375" i="1" s="1"/>
  <c r="AG1375" i="1" s="1"/>
  <c r="H1382" i="1" a="1"/>
  <c r="H1382" i="1" s="1"/>
  <c r="H1366" i="1" a="1"/>
  <c r="H1366" i="1" s="1"/>
  <c r="H1380" i="1" a="1"/>
  <c r="H1380" i="1" s="1"/>
  <c r="H1371" i="1" a="1"/>
  <c r="H1371" i="1" s="1"/>
  <c r="H1372" i="1" a="1"/>
  <c r="H1372" i="1" s="1"/>
  <c r="H1369" i="1" a="1"/>
  <c r="H1369" i="1" s="1"/>
  <c r="H1365" i="1" a="1"/>
  <c r="H1365" i="1" s="1"/>
  <c r="H1378" i="1" a="1"/>
  <c r="H1378" i="1" s="1"/>
  <c r="H1357" i="1" a="1"/>
  <c r="H1357" i="1" s="1"/>
  <c r="H1379" i="1" a="1"/>
  <c r="H1379" i="1" s="1"/>
  <c r="H1520" i="1" a="1"/>
  <c r="H1520" i="1" s="1"/>
  <c r="H1521" i="1" a="1"/>
  <c r="H1521" i="1" s="1"/>
  <c r="H1522" i="1" a="1"/>
  <c r="H1522" i="1" s="1"/>
  <c r="H1475" i="1" a="1"/>
  <c r="H1475" i="1" s="1"/>
  <c r="H1477" i="1" a="1"/>
  <c r="H1477" i="1" s="1"/>
  <c r="H1474" i="1" a="1"/>
  <c r="H1474" i="1" s="1"/>
  <c r="H1435" i="1" a="1"/>
  <c r="H1435" i="1" s="1"/>
  <c r="H1439" i="1" a="1"/>
  <c r="H1439" i="1" s="1"/>
  <c r="H1430" i="1" a="1"/>
  <c r="H1430" i="1" s="1"/>
  <c r="H1431" i="1" a="1"/>
  <c r="H1431" i="1" s="1"/>
  <c r="H1433" i="1" a="1"/>
  <c r="H1433" i="1" s="1"/>
  <c r="H1438" i="1" a="1"/>
  <c r="H1438" i="1" s="1"/>
  <c r="H1434" i="1" a="1"/>
  <c r="H1434" i="1" s="1"/>
  <c r="H1441" i="1" a="1"/>
  <c r="H1441" i="1" s="1"/>
  <c r="H1448" i="1" a="1"/>
  <c r="H1448" i="1" s="1"/>
  <c r="AG1448" i="1" s="1"/>
  <c r="H1432" i="1" a="1"/>
  <c r="H1432" i="1" s="1"/>
  <c r="H1442" i="1" a="1"/>
  <c r="H1442" i="1" s="1"/>
  <c r="H1436" i="1" a="1"/>
  <c r="H1436" i="1" s="1"/>
  <c r="H1443" i="1" a="1"/>
  <c r="H1443" i="1" s="1"/>
  <c r="H1444" i="1" a="1"/>
  <c r="H1444" i="1" s="1"/>
  <c r="H1437" i="1" a="1"/>
  <c r="H1437" i="1" s="1"/>
  <c r="H1450" i="1" a="1"/>
  <c r="H1450" i="1" s="1"/>
  <c r="AG1450" i="1" s="1"/>
  <c r="H1451" i="1" a="1"/>
  <c r="H1451" i="1" s="1"/>
  <c r="AG1451" i="1" s="1"/>
  <c r="H1440" i="1" a="1"/>
  <c r="H1440" i="1" s="1"/>
  <c r="H1445" i="1" a="1"/>
  <c r="H1445" i="1" s="1"/>
  <c r="AG1445" i="1" s="1"/>
  <c r="H1446" i="1" a="1"/>
  <c r="H1446" i="1" s="1"/>
  <c r="AG1446" i="1" s="1"/>
  <c r="H1485" i="1" a="1"/>
  <c r="H1485" i="1" s="1"/>
  <c r="H1486" i="1" a="1"/>
  <c r="H1486" i="1" s="1"/>
  <c r="J527" i="1"/>
  <c r="AG1349" i="1"/>
  <c r="AG1347" i="1"/>
  <c r="AG1344" i="1"/>
  <c r="J397" i="1"/>
  <c r="AG1719" i="1"/>
  <c r="C18" i="50"/>
  <c r="C30" i="50"/>
  <c r="C22" i="50"/>
  <c r="C24" i="50"/>
  <c r="C20" i="50"/>
  <c r="C32" i="50"/>
  <c r="C26" i="50"/>
  <c r="C27" i="50"/>
  <c r="C17" i="50"/>
  <c r="C29" i="50"/>
  <c r="C15" i="50"/>
  <c r="AG1743" i="1"/>
  <c r="J375" i="1"/>
  <c r="AG2134" i="1"/>
  <c r="J1281" i="1"/>
  <c r="AG1693" i="1"/>
  <c r="J393" i="1"/>
  <c r="AG2135" i="1"/>
  <c r="AG2133" i="1"/>
  <c r="AG1835" i="1"/>
  <c r="J2366" i="1"/>
  <c r="AG1184" i="1"/>
  <c r="AG1281" i="1"/>
  <c r="J1279" i="1"/>
  <c r="AG1279" i="1"/>
  <c r="J1693" i="1"/>
  <c r="J1835" i="1"/>
  <c r="J2285" i="1"/>
  <c r="AG2285" i="1"/>
  <c r="AG1475" i="1" l="1"/>
  <c r="J1475" i="1"/>
  <c r="J1499" i="1"/>
  <c r="AG527" i="1"/>
  <c r="J398" i="1"/>
  <c r="AG398" i="1"/>
  <c r="J379" i="1"/>
  <c r="AG379" i="1"/>
  <c r="J2291" i="1"/>
  <c r="AG2291" i="1"/>
  <c r="J302" i="1"/>
  <c r="AG302" i="1"/>
  <c r="J613" i="1"/>
  <c r="AG613" i="1"/>
  <c r="J525" i="1"/>
  <c r="AG525" i="1"/>
  <c r="AG1345" i="1"/>
  <c r="AG1374" i="1"/>
  <c r="AG397" i="1"/>
  <c r="J1837" i="1"/>
  <c r="AG1837" i="1"/>
  <c r="J1719" i="1"/>
  <c r="AG1793" i="1"/>
  <c r="J1793" i="1"/>
  <c r="J301" i="1"/>
  <c r="AG301" i="1"/>
  <c r="AG378" i="1"/>
  <c r="J378" i="1"/>
  <c r="J2289" i="1"/>
  <c r="AG2289" i="1"/>
  <c r="J2288" i="1"/>
  <c r="AG2288" i="1"/>
  <c r="J377" i="1"/>
  <c r="AG377" i="1"/>
  <c r="AG300" i="1"/>
  <c r="J300" i="1"/>
  <c r="J2489" i="1"/>
  <c r="AG2489" i="1"/>
  <c r="J612" i="1"/>
  <c r="AG612" i="1"/>
  <c r="J1188" i="1"/>
  <c r="AG1188" i="1"/>
  <c r="J526" i="1"/>
  <c r="AG526" i="1"/>
  <c r="AG392" i="1"/>
  <c r="J392" i="1"/>
  <c r="AG299" i="1"/>
  <c r="J299" i="1"/>
  <c r="AG1187" i="1"/>
  <c r="J1187" i="1"/>
  <c r="AG376" i="1"/>
  <c r="J376" i="1"/>
  <c r="AG381" i="1"/>
  <c r="J381" i="1"/>
  <c r="J387" i="1"/>
  <c r="AG387" i="1"/>
  <c r="AG1186" i="1"/>
  <c r="J1186" i="1"/>
  <c r="J298" i="1"/>
  <c r="AG298" i="1"/>
  <c r="AG1378" i="1"/>
  <c r="J1378" i="1"/>
  <c r="AG2366" i="1"/>
  <c r="AG1787" i="1"/>
  <c r="J1787" i="1"/>
  <c r="AG1789" i="1"/>
  <c r="J1789" i="1"/>
  <c r="AG1791" i="1"/>
  <c r="J1791" i="1"/>
  <c r="J1743" i="1"/>
  <c r="J1184" i="1"/>
  <c r="J296" i="1"/>
  <c r="AG296" i="1"/>
  <c r="O2133" i="1"/>
  <c r="L2133" i="1"/>
  <c r="M2133" i="1"/>
  <c r="L1176" i="1"/>
  <c r="M1176" i="1"/>
  <c r="O1176" i="1"/>
  <c r="J1176" i="1"/>
  <c r="S1176" i="1"/>
  <c r="AD1176" i="1"/>
  <c r="AE1176" i="1"/>
  <c r="AK1176" i="1"/>
  <c r="AG1181" i="1"/>
  <c r="I1181" i="1"/>
  <c r="L1181" i="1"/>
  <c r="M1181" i="1"/>
  <c r="O1181" i="1"/>
  <c r="AD1181" i="1"/>
  <c r="AE1181" i="1"/>
  <c r="AK1181" i="1"/>
  <c r="O1180" i="1"/>
  <c r="M1180" i="1"/>
  <c r="L1180" i="1"/>
  <c r="AG1180" i="1"/>
  <c r="O1179" i="1"/>
  <c r="M1179" i="1"/>
  <c r="L1179" i="1"/>
  <c r="AG1179" i="1"/>
  <c r="S1179" i="1"/>
  <c r="S1180" i="1"/>
  <c r="AD1179" i="1"/>
  <c r="AD1180" i="1"/>
  <c r="AE1179" i="1"/>
  <c r="AE1180" i="1"/>
  <c r="AK1179" i="1"/>
  <c r="AK1180" i="1"/>
  <c r="AK125" i="1"/>
  <c r="AL125" i="1"/>
  <c r="AM125" i="1"/>
  <c r="AK126" i="1"/>
  <c r="AL126" i="1"/>
  <c r="AM126" i="1"/>
  <c r="AK127" i="1"/>
  <c r="AL127" i="1"/>
  <c r="AM127" i="1"/>
  <c r="AK128" i="1"/>
  <c r="AL128" i="1"/>
  <c r="AM128" i="1"/>
  <c r="AK133" i="1"/>
  <c r="AL133" i="1"/>
  <c r="AM133" i="1"/>
  <c r="AK137" i="1"/>
  <c r="AL137" i="1"/>
  <c r="AM137" i="1"/>
  <c r="AK139" i="1"/>
  <c r="AL139" i="1"/>
  <c r="AM139" i="1"/>
  <c r="AK140" i="1"/>
  <c r="AL140" i="1"/>
  <c r="AM140" i="1"/>
  <c r="AK1845" i="1"/>
  <c r="AL1845" i="1"/>
  <c r="AM1845" i="1"/>
  <c r="AK136" i="1"/>
  <c r="AL136" i="1"/>
  <c r="AM136" i="1"/>
  <c r="AK62" i="1"/>
  <c r="AL62" i="1"/>
  <c r="AM62" i="1"/>
  <c r="AK1846" i="1"/>
  <c r="AL1846" i="1"/>
  <c r="AM1846" i="1"/>
  <c r="AK121" i="1"/>
  <c r="AL121" i="1"/>
  <c r="AM121" i="1"/>
  <c r="AK123" i="1"/>
  <c r="AL123" i="1"/>
  <c r="AM123" i="1"/>
  <c r="AK122" i="1"/>
  <c r="AL122" i="1"/>
  <c r="AM122" i="1"/>
  <c r="AK124" i="1"/>
  <c r="AL124" i="1"/>
  <c r="AM124" i="1"/>
  <c r="AK130" i="1"/>
  <c r="AL130" i="1"/>
  <c r="AM130" i="1"/>
  <c r="AK134" i="1"/>
  <c r="AL134" i="1"/>
  <c r="AM134" i="1"/>
  <c r="AK135" i="1"/>
  <c r="AL135" i="1"/>
  <c r="AM135" i="1"/>
  <c r="AK138" i="1"/>
  <c r="AL138" i="1"/>
  <c r="AM138" i="1"/>
  <c r="AK141" i="1"/>
  <c r="AL141" i="1"/>
  <c r="AM141" i="1"/>
  <c r="AK142" i="1"/>
  <c r="AL142" i="1"/>
  <c r="AM142" i="1"/>
  <c r="AK404" i="1"/>
  <c r="AL404" i="1"/>
  <c r="AM404" i="1"/>
  <c r="AK403" i="1"/>
  <c r="AL403" i="1"/>
  <c r="AM403" i="1"/>
  <c r="AK212" i="1"/>
  <c r="AL212" i="1"/>
  <c r="AM212" i="1"/>
  <c r="AK19" i="1"/>
  <c r="AL19" i="1"/>
  <c r="AM19" i="1"/>
  <c r="AK17" i="1"/>
  <c r="AL17" i="1"/>
  <c r="AM17" i="1"/>
  <c r="AK18" i="1"/>
  <c r="AL18" i="1"/>
  <c r="AM18" i="1"/>
  <c r="AK1527" i="1"/>
  <c r="AL1527" i="1"/>
  <c r="AM1527" i="1"/>
  <c r="AK1528" i="1"/>
  <c r="AL1528" i="1"/>
  <c r="AM1528" i="1"/>
  <c r="AK1529" i="1"/>
  <c r="AL1529" i="1"/>
  <c r="AM1529" i="1"/>
  <c r="AK1298" i="1"/>
  <c r="AL1298" i="1"/>
  <c r="AM1298" i="1"/>
  <c r="AK1299" i="1"/>
  <c r="AL1299" i="1"/>
  <c r="AM1299" i="1"/>
  <c r="AK1300" i="1"/>
  <c r="AL1300" i="1"/>
  <c r="AM1300" i="1"/>
  <c r="AK1301" i="1"/>
  <c r="AL1301" i="1"/>
  <c r="AM1301" i="1"/>
  <c r="AK1302" i="1"/>
  <c r="AL1302" i="1"/>
  <c r="AM1302" i="1"/>
  <c r="AK1303" i="1"/>
  <c r="AL1303" i="1"/>
  <c r="AM1303" i="1"/>
  <c r="AK1304" i="1"/>
  <c r="AL1304" i="1"/>
  <c r="AM1304" i="1"/>
  <c r="AK1305" i="1"/>
  <c r="AL1305" i="1"/>
  <c r="AM1305" i="1"/>
  <c r="AK1306" i="1"/>
  <c r="AL1306" i="1"/>
  <c r="AM1306" i="1"/>
  <c r="AK1597" i="1"/>
  <c r="AL1597" i="1"/>
  <c r="AM1597" i="1"/>
  <c r="AK1530" i="1"/>
  <c r="AL1530" i="1"/>
  <c r="AM1530" i="1"/>
  <c r="AK1531" i="1"/>
  <c r="AL1531" i="1"/>
  <c r="AM1531" i="1"/>
  <c r="AK1532" i="1"/>
  <c r="AL1532" i="1"/>
  <c r="AM1532" i="1"/>
  <c r="AK64" i="1"/>
  <c r="AL64" i="1"/>
  <c r="AM64" i="1"/>
  <c r="AK1353" i="1"/>
  <c r="AL1353" i="1"/>
  <c r="AM1353" i="1"/>
  <c r="AK1668" i="1"/>
  <c r="AL1668" i="1"/>
  <c r="AM1668" i="1"/>
  <c r="AK1669" i="1"/>
  <c r="AL1669" i="1"/>
  <c r="AM1669" i="1"/>
  <c r="AK1670" i="1"/>
  <c r="AL1670" i="1"/>
  <c r="AM1670" i="1"/>
  <c r="AK1671" i="1"/>
  <c r="AL1671" i="1"/>
  <c r="AM1671" i="1"/>
  <c r="AK1672" i="1"/>
  <c r="AL1672" i="1"/>
  <c r="AM1672" i="1"/>
  <c r="AK1768" i="1"/>
  <c r="AL1768" i="1"/>
  <c r="AM1768" i="1"/>
  <c r="AK1598" i="1"/>
  <c r="AL1598" i="1"/>
  <c r="AM1598" i="1"/>
  <c r="AK1599" i="1"/>
  <c r="AL1599" i="1"/>
  <c r="AM1599" i="1"/>
  <c r="AK1600" i="1"/>
  <c r="AL1600" i="1"/>
  <c r="AM1600" i="1"/>
  <c r="AK1601" i="1"/>
  <c r="AL1601" i="1"/>
  <c r="AM1601" i="1"/>
  <c r="AK615" i="1"/>
  <c r="AL615" i="1"/>
  <c r="AM615" i="1"/>
  <c r="AK65" i="1"/>
  <c r="AL65" i="1"/>
  <c r="AM65" i="1"/>
  <c r="AK1533" i="1"/>
  <c r="AL1533" i="1"/>
  <c r="AM1533" i="1"/>
  <c r="AK1534" i="1"/>
  <c r="AL1534" i="1"/>
  <c r="AM1534" i="1"/>
  <c r="AK1535" i="1"/>
  <c r="AL1535" i="1"/>
  <c r="AM1535" i="1"/>
  <c r="AK1536" i="1"/>
  <c r="AL1536" i="1"/>
  <c r="AM1536" i="1"/>
  <c r="AK66" i="1"/>
  <c r="AL66" i="1"/>
  <c r="AM66" i="1"/>
  <c r="AK67" i="1"/>
  <c r="AL67" i="1"/>
  <c r="AM67" i="1"/>
  <c r="AK573" i="1"/>
  <c r="AL573" i="1"/>
  <c r="AM573" i="1"/>
  <c r="AK729" i="1"/>
  <c r="AL729" i="1"/>
  <c r="AM729" i="1"/>
  <c r="AK47" i="1"/>
  <c r="AL47" i="1"/>
  <c r="AM47" i="1"/>
  <c r="AK2627" i="1"/>
  <c r="AL2627" i="1"/>
  <c r="AM2627" i="1"/>
  <c r="AK740" i="1"/>
  <c r="AL740" i="1"/>
  <c r="AM740" i="1"/>
  <c r="AK48" i="1"/>
  <c r="AL48" i="1"/>
  <c r="AM48" i="1"/>
  <c r="AK730" i="1"/>
  <c r="AL730" i="1"/>
  <c r="AM730" i="1"/>
  <c r="AK707" i="1"/>
  <c r="AL707" i="1"/>
  <c r="AM707" i="1"/>
  <c r="AK49" i="1"/>
  <c r="AL49" i="1"/>
  <c r="AM49" i="1"/>
  <c r="AK581" i="1"/>
  <c r="AL581" i="1"/>
  <c r="AM581" i="1"/>
  <c r="AK406" i="1"/>
  <c r="AL406" i="1"/>
  <c r="AM406" i="1"/>
  <c r="AK2141" i="1"/>
  <c r="AL2141" i="1"/>
  <c r="AM2141" i="1"/>
  <c r="AK312" i="1"/>
  <c r="AL312" i="1"/>
  <c r="AM312" i="1"/>
  <c r="AK2370" i="1"/>
  <c r="AL2370" i="1"/>
  <c r="AM2370" i="1"/>
  <c r="AK1902" i="1"/>
  <c r="AL1902" i="1"/>
  <c r="AM1902" i="1"/>
  <c r="AK2142" i="1"/>
  <c r="AL2142" i="1"/>
  <c r="AM2142" i="1"/>
  <c r="AK213" i="1"/>
  <c r="AL213" i="1"/>
  <c r="AM213" i="1"/>
  <c r="AK313" i="1"/>
  <c r="AL313" i="1"/>
  <c r="AM313" i="1"/>
  <c r="AK1713" i="1"/>
  <c r="AL1713" i="1"/>
  <c r="AM1713" i="1"/>
  <c r="AK1726" i="1"/>
  <c r="AL1726" i="1"/>
  <c r="AM1726" i="1"/>
  <c r="AK2371" i="1"/>
  <c r="AL2371" i="1"/>
  <c r="AM2371" i="1"/>
  <c r="AK2143" i="1"/>
  <c r="AL2143" i="1"/>
  <c r="AM2143" i="1"/>
  <c r="AK586" i="1"/>
  <c r="AL586" i="1"/>
  <c r="AM586" i="1"/>
  <c r="AK587" i="1"/>
  <c r="AL587" i="1"/>
  <c r="AM587" i="1"/>
  <c r="AK1602" i="1"/>
  <c r="AL1602" i="1"/>
  <c r="AM1602" i="1"/>
  <c r="AK1603" i="1"/>
  <c r="AL1603" i="1"/>
  <c r="AM1603" i="1"/>
  <c r="AK1604" i="1"/>
  <c r="AL1604" i="1"/>
  <c r="AM1604" i="1"/>
  <c r="AK1605" i="1"/>
  <c r="AL1605" i="1"/>
  <c r="AM1605" i="1"/>
  <c r="AK1714" i="1"/>
  <c r="AL1714" i="1"/>
  <c r="AM1714" i="1"/>
  <c r="AK400" i="1"/>
  <c r="AL400" i="1"/>
  <c r="AM400" i="1"/>
  <c r="AK401" i="1"/>
  <c r="AL401" i="1"/>
  <c r="AM401" i="1"/>
  <c r="AK2372" i="1"/>
  <c r="AL2372" i="1"/>
  <c r="AM2372" i="1"/>
  <c r="AK2373" i="1"/>
  <c r="AL2373" i="1"/>
  <c r="AM2373" i="1"/>
  <c r="AK770" i="1"/>
  <c r="AL770" i="1"/>
  <c r="AM770" i="1"/>
  <c r="AK771" i="1"/>
  <c r="AL771" i="1"/>
  <c r="AM771" i="1"/>
  <c r="AK1903" i="1"/>
  <c r="AL1903" i="1"/>
  <c r="AM1903" i="1"/>
  <c r="AK2144" i="1"/>
  <c r="AL2144" i="1"/>
  <c r="AM2144" i="1"/>
  <c r="AK2145" i="1"/>
  <c r="AL2145" i="1"/>
  <c r="AM2145" i="1"/>
  <c r="AK2146" i="1"/>
  <c r="AL2146" i="1"/>
  <c r="AM2146" i="1"/>
  <c r="AK12" i="1"/>
  <c r="AL12" i="1"/>
  <c r="AM12" i="1"/>
  <c r="AK631" i="1"/>
  <c r="AL631" i="1"/>
  <c r="AM631" i="1"/>
  <c r="AK2374" i="1"/>
  <c r="AL2374" i="1"/>
  <c r="AM2374" i="1"/>
  <c r="AK2147" i="1"/>
  <c r="AL2147" i="1"/>
  <c r="AM2147" i="1"/>
  <c r="AK2148" i="1"/>
  <c r="AL2148" i="1"/>
  <c r="AM2148" i="1"/>
  <c r="AK2149" i="1"/>
  <c r="AL2149" i="1"/>
  <c r="AM2149" i="1"/>
  <c r="AK762" i="1"/>
  <c r="AL762" i="1"/>
  <c r="AM762" i="1"/>
  <c r="AK763" i="1"/>
  <c r="AL763" i="1"/>
  <c r="AM763" i="1"/>
  <c r="AK1537" i="1"/>
  <c r="AL1537" i="1"/>
  <c r="AM1537" i="1"/>
  <c r="AK1538" i="1"/>
  <c r="AL1538" i="1"/>
  <c r="AM1538" i="1"/>
  <c r="AK1539" i="1"/>
  <c r="AL1539" i="1"/>
  <c r="AM1539" i="1"/>
  <c r="AK1540" i="1"/>
  <c r="AL1540" i="1"/>
  <c r="AM1540" i="1"/>
  <c r="AK1892" i="1"/>
  <c r="AL1892" i="1"/>
  <c r="AM1892" i="1"/>
  <c r="AK1893" i="1"/>
  <c r="AL1893" i="1"/>
  <c r="AM1893" i="1"/>
  <c r="AK1727" i="1"/>
  <c r="AL1727" i="1"/>
  <c r="AM1727" i="1"/>
  <c r="AK1715" i="1"/>
  <c r="AL1715" i="1"/>
  <c r="AM1715" i="1"/>
  <c r="AK1716" i="1"/>
  <c r="AL1716" i="1"/>
  <c r="AM1716" i="1"/>
  <c r="AK1857" i="1"/>
  <c r="AL1857" i="1"/>
  <c r="AM1857" i="1"/>
  <c r="AK2609" i="1"/>
  <c r="AL2609" i="1"/>
  <c r="AM2609" i="1"/>
  <c r="AK531" i="1"/>
  <c r="AK533" i="1"/>
  <c r="AL533" i="1"/>
  <c r="AM533" i="1"/>
  <c r="AK606" i="1"/>
  <c r="AL606" i="1"/>
  <c r="AM606" i="1"/>
  <c r="AK607" i="1"/>
  <c r="AL607" i="1"/>
  <c r="AM607" i="1"/>
  <c r="AK2611" i="1"/>
  <c r="AL2611" i="1"/>
  <c r="AM2611" i="1"/>
  <c r="AK532" i="1"/>
  <c r="AL532" i="1"/>
  <c r="AM532" i="1"/>
  <c r="AK534" i="1"/>
  <c r="AL534" i="1"/>
  <c r="AM534" i="1"/>
  <c r="AK535" i="1"/>
  <c r="AL535" i="1"/>
  <c r="AM535" i="1"/>
  <c r="AK536" i="1"/>
  <c r="AL536" i="1"/>
  <c r="AM536" i="1"/>
  <c r="AK537" i="1"/>
  <c r="AL537" i="1"/>
  <c r="AM537" i="1"/>
  <c r="AK538" i="1"/>
  <c r="AL538" i="1"/>
  <c r="AM538" i="1"/>
  <c r="AK1478" i="1"/>
  <c r="AL1478" i="1"/>
  <c r="AM1478" i="1"/>
  <c r="AK2375" i="1"/>
  <c r="AL2375" i="1"/>
  <c r="AM2375" i="1"/>
  <c r="AK2299" i="1"/>
  <c r="AK1904" i="1"/>
  <c r="AL1904" i="1"/>
  <c r="AM1904" i="1"/>
  <c r="AK2150" i="1"/>
  <c r="AL2150" i="1"/>
  <c r="AM2150" i="1"/>
  <c r="AK2151" i="1"/>
  <c r="AL2151" i="1"/>
  <c r="AM2151" i="1"/>
  <c r="AK2376" i="1"/>
  <c r="AL2376" i="1"/>
  <c r="AM2376" i="1"/>
  <c r="AK2152" i="1"/>
  <c r="AL2152" i="1"/>
  <c r="AM2152" i="1"/>
  <c r="AK2153" i="1"/>
  <c r="AL2153" i="1"/>
  <c r="AM2153" i="1"/>
  <c r="AK2154" i="1"/>
  <c r="AL2154" i="1"/>
  <c r="AM2154" i="1"/>
  <c r="AK2155" i="1"/>
  <c r="AL2155" i="1"/>
  <c r="AM2155" i="1"/>
  <c r="AK490" i="1"/>
  <c r="AL490" i="1"/>
  <c r="AM490" i="1"/>
  <c r="AK491" i="1"/>
  <c r="AL491" i="1"/>
  <c r="AM491" i="1"/>
  <c r="AK492" i="1"/>
  <c r="AL492" i="1"/>
  <c r="AM492" i="1"/>
  <c r="AK493" i="1"/>
  <c r="AL493" i="1"/>
  <c r="AM493" i="1"/>
  <c r="AK494" i="1"/>
  <c r="AL494" i="1"/>
  <c r="AM494" i="1"/>
  <c r="AK407" i="1"/>
  <c r="AL407" i="1"/>
  <c r="AM407" i="1"/>
  <c r="AK20" i="1"/>
  <c r="AL20" i="1"/>
  <c r="AM20" i="1"/>
  <c r="AK1885" i="1"/>
  <c r="AL1885" i="1"/>
  <c r="AM1885" i="1"/>
  <c r="AK1886" i="1"/>
  <c r="AL1886" i="1"/>
  <c r="AM1886" i="1"/>
  <c r="AK1887" i="1"/>
  <c r="AL1887" i="1"/>
  <c r="AM1887" i="1"/>
  <c r="AK1888" i="1"/>
  <c r="AL1888" i="1"/>
  <c r="AM1888" i="1"/>
  <c r="AK1889" i="1"/>
  <c r="AL1889" i="1"/>
  <c r="AM1889" i="1"/>
  <c r="AK1890" i="1"/>
  <c r="AL1890" i="1"/>
  <c r="AM1890" i="1"/>
  <c r="AK676" i="1"/>
  <c r="AL676" i="1"/>
  <c r="AM676" i="1"/>
  <c r="AK677" i="1"/>
  <c r="AL677" i="1"/>
  <c r="AM677" i="1"/>
  <c r="AK314" i="1"/>
  <c r="AL314" i="1"/>
  <c r="AM314" i="1"/>
  <c r="AK1847" i="1"/>
  <c r="AK2377" i="1"/>
  <c r="AL2377" i="1"/>
  <c r="AM2377" i="1"/>
  <c r="AK2300" i="1"/>
  <c r="AL2300" i="1"/>
  <c r="AM2300" i="1"/>
  <c r="AK2301" i="1"/>
  <c r="AL2301" i="1"/>
  <c r="AM2301" i="1"/>
  <c r="AK1905" i="1"/>
  <c r="AL1905" i="1"/>
  <c r="AM1905" i="1"/>
  <c r="AK1906" i="1"/>
  <c r="AL1906" i="1"/>
  <c r="AM1906" i="1"/>
  <c r="AK2156" i="1"/>
  <c r="AL2156" i="1"/>
  <c r="AM2156" i="1"/>
  <c r="AK2157" i="1"/>
  <c r="AL2157" i="1"/>
  <c r="AM2157" i="1"/>
  <c r="AK13" i="1"/>
  <c r="AL13" i="1"/>
  <c r="AM13" i="1"/>
  <c r="AK2613" i="1"/>
  <c r="AL2613" i="1"/>
  <c r="AM2613" i="1"/>
  <c r="AK1293" i="1"/>
  <c r="AL1293" i="1"/>
  <c r="AM1293" i="1"/>
  <c r="AK2378" i="1"/>
  <c r="AL2378" i="1"/>
  <c r="AM2378" i="1"/>
  <c r="AK1479" i="1"/>
  <c r="AL1479" i="1"/>
  <c r="AM1479" i="1"/>
  <c r="AK1541" i="1"/>
  <c r="AL1541" i="1"/>
  <c r="AM1541" i="1"/>
  <c r="AK1542" i="1"/>
  <c r="AL1542" i="1"/>
  <c r="AM1542" i="1"/>
  <c r="AK1543" i="1"/>
  <c r="AL1543" i="1"/>
  <c r="AM1543" i="1"/>
  <c r="AK1654" i="1"/>
  <c r="AL1654" i="1"/>
  <c r="AM1654" i="1"/>
  <c r="AK1655" i="1"/>
  <c r="AL1655" i="1"/>
  <c r="AM1655" i="1"/>
  <c r="AK1656" i="1"/>
  <c r="AL1656" i="1"/>
  <c r="AM1656" i="1"/>
  <c r="AK1657" i="1"/>
  <c r="AL1657" i="1"/>
  <c r="AM1657" i="1"/>
  <c r="AK1658" i="1"/>
  <c r="AL1658" i="1"/>
  <c r="AM1658" i="1"/>
  <c r="AK1659" i="1"/>
  <c r="AL1659" i="1"/>
  <c r="AM1659" i="1"/>
  <c r="AK1660" i="1"/>
  <c r="AL1660" i="1"/>
  <c r="AM1660" i="1"/>
  <c r="AK214" i="1"/>
  <c r="AL214" i="1"/>
  <c r="AM214" i="1"/>
  <c r="AK315" i="1"/>
  <c r="AL315" i="1"/>
  <c r="AM315" i="1"/>
  <c r="AK595" i="1"/>
  <c r="AL595" i="1"/>
  <c r="AM595" i="1"/>
  <c r="AK665" i="1"/>
  <c r="AL665" i="1"/>
  <c r="AM665" i="1"/>
  <c r="AK666" i="1"/>
  <c r="AL666" i="1"/>
  <c r="AM666" i="1"/>
  <c r="AK661" i="1"/>
  <c r="AL661" i="1"/>
  <c r="AM661" i="1"/>
  <c r="AK652" i="1"/>
  <c r="AL652" i="1"/>
  <c r="AM652" i="1"/>
  <c r="AK669" i="1"/>
  <c r="AL669" i="1"/>
  <c r="AM669" i="1"/>
  <c r="AK656" i="1"/>
  <c r="AL656" i="1"/>
  <c r="AM656" i="1"/>
  <c r="AK1767" i="1"/>
  <c r="AL1767" i="1"/>
  <c r="AM1767" i="1"/>
  <c r="AK215" i="1"/>
  <c r="AL215" i="1"/>
  <c r="AM215" i="1"/>
  <c r="AK216" i="1"/>
  <c r="AL216" i="1"/>
  <c r="AM216" i="1"/>
  <c r="AK217" i="1"/>
  <c r="AL217" i="1"/>
  <c r="AM217" i="1"/>
  <c r="AK218" i="1"/>
  <c r="AL218" i="1"/>
  <c r="AM218" i="1"/>
  <c r="AK588" i="1"/>
  <c r="AL588" i="1"/>
  <c r="AM588" i="1"/>
  <c r="AK589" i="1"/>
  <c r="AL589" i="1"/>
  <c r="AM589" i="1"/>
  <c r="AK316" i="1"/>
  <c r="AL316" i="1"/>
  <c r="AM316" i="1"/>
  <c r="AK317" i="1"/>
  <c r="AL317" i="1"/>
  <c r="AM317" i="1"/>
  <c r="AK318" i="1"/>
  <c r="AL318" i="1"/>
  <c r="AM318" i="1"/>
  <c r="AK319" i="1"/>
  <c r="AL319" i="1"/>
  <c r="AM319" i="1"/>
  <c r="AK1907" i="1"/>
  <c r="AL1907" i="1"/>
  <c r="AM1907" i="1"/>
  <c r="AK2158" i="1"/>
  <c r="AL2158" i="1"/>
  <c r="AM2158" i="1"/>
  <c r="AK2004" i="1"/>
  <c r="AL2004" i="1"/>
  <c r="AM2004" i="1"/>
  <c r="AK2005" i="1"/>
  <c r="AL2005" i="1"/>
  <c r="AM2005" i="1"/>
  <c r="AK2379" i="1"/>
  <c r="AL2379" i="1"/>
  <c r="AM2379" i="1"/>
  <c r="AK2380" i="1"/>
  <c r="AL2380" i="1"/>
  <c r="AM2380" i="1"/>
  <c r="AK2381" i="1"/>
  <c r="AL2381" i="1"/>
  <c r="AM2381" i="1"/>
  <c r="AK2302" i="1"/>
  <c r="AL2302" i="1"/>
  <c r="AM2302" i="1"/>
  <c r="AK2497" i="1"/>
  <c r="AL2497" i="1"/>
  <c r="AM2497" i="1"/>
  <c r="AK950" i="1"/>
  <c r="AL950" i="1"/>
  <c r="AM950" i="1"/>
  <c r="AK1112" i="1"/>
  <c r="AL1112" i="1"/>
  <c r="AM1112" i="1"/>
  <c r="AK892" i="1"/>
  <c r="AL892" i="1"/>
  <c r="AM892" i="1"/>
  <c r="AK1142" i="1"/>
  <c r="AL1142" i="1"/>
  <c r="AM1142" i="1"/>
  <c r="AK1143" i="1"/>
  <c r="AL1143" i="1"/>
  <c r="AM1143" i="1"/>
  <c r="AK1144" i="1"/>
  <c r="AL1144" i="1"/>
  <c r="AM1144" i="1"/>
  <c r="AK1145" i="1"/>
  <c r="AL1145" i="1"/>
  <c r="AM1145" i="1"/>
  <c r="AK951" i="1"/>
  <c r="AL951" i="1"/>
  <c r="AM951" i="1"/>
  <c r="AK1728" i="1"/>
  <c r="AL1728" i="1"/>
  <c r="AM1728" i="1"/>
  <c r="AK1908" i="1"/>
  <c r="AL1908" i="1"/>
  <c r="AM1908" i="1"/>
  <c r="AK1909" i="1"/>
  <c r="AL1909" i="1"/>
  <c r="AM1909" i="1"/>
  <c r="AK2159" i="1"/>
  <c r="AL2159" i="1"/>
  <c r="AM2159" i="1"/>
  <c r="AK2006" i="1"/>
  <c r="AL2006" i="1"/>
  <c r="AM2006" i="1"/>
  <c r="AK2007" i="1"/>
  <c r="AL2007" i="1"/>
  <c r="AM2007" i="1"/>
  <c r="AK2008" i="1"/>
  <c r="AL2008" i="1"/>
  <c r="AM2008" i="1"/>
  <c r="AK2382" i="1"/>
  <c r="AL2382" i="1"/>
  <c r="AM2382" i="1"/>
  <c r="AK2383" i="1"/>
  <c r="AL2383" i="1"/>
  <c r="AM2383" i="1"/>
  <c r="AK2303" i="1"/>
  <c r="AL2303" i="1"/>
  <c r="AM2303" i="1"/>
  <c r="AK2498" i="1"/>
  <c r="AL2498" i="1"/>
  <c r="AM2498" i="1"/>
  <c r="AK1606" i="1"/>
  <c r="AL1606" i="1"/>
  <c r="AM1606" i="1"/>
  <c r="AK1607" i="1"/>
  <c r="AL1607" i="1"/>
  <c r="AM1607" i="1"/>
  <c r="AK2612" i="1"/>
  <c r="AL2612" i="1"/>
  <c r="AM2612" i="1"/>
  <c r="AK1910" i="1"/>
  <c r="AL1910" i="1"/>
  <c r="AM1910" i="1"/>
  <c r="AK1911" i="1"/>
  <c r="AL1911" i="1"/>
  <c r="AM1911" i="1"/>
  <c r="AK2160" i="1"/>
  <c r="AL2160" i="1"/>
  <c r="AM2160" i="1"/>
  <c r="AK2009" i="1"/>
  <c r="AL2009" i="1"/>
  <c r="AM2009" i="1"/>
  <c r="AK2010" i="1"/>
  <c r="AL2010" i="1"/>
  <c r="AM2010" i="1"/>
  <c r="AK2011" i="1"/>
  <c r="AL2011" i="1"/>
  <c r="AM2011" i="1"/>
  <c r="AK2384" i="1"/>
  <c r="AL2384" i="1"/>
  <c r="AM2384" i="1"/>
  <c r="AK2385" i="1"/>
  <c r="AL2385" i="1"/>
  <c r="AM2385" i="1"/>
  <c r="AK2304" i="1"/>
  <c r="AL2304" i="1"/>
  <c r="AM2304" i="1"/>
  <c r="AK2499" i="1"/>
  <c r="AL2499" i="1"/>
  <c r="AM2499" i="1"/>
  <c r="AK14" i="1"/>
  <c r="AL14" i="1"/>
  <c r="AM14" i="1"/>
  <c r="AK1912" i="1"/>
  <c r="AL1912" i="1"/>
  <c r="AM1912" i="1"/>
  <c r="AK2161" i="1"/>
  <c r="AL2161" i="1"/>
  <c r="AM2161" i="1"/>
  <c r="AK2162" i="1"/>
  <c r="AL2162" i="1"/>
  <c r="AM2162" i="1"/>
  <c r="AK2163" i="1"/>
  <c r="AL2163" i="1"/>
  <c r="AM2163" i="1"/>
  <c r="AK2012" i="1"/>
  <c r="AL2012" i="1"/>
  <c r="AM2012" i="1"/>
  <c r="AK2013" i="1"/>
  <c r="AL2013" i="1"/>
  <c r="AM2013" i="1"/>
  <c r="AK2014" i="1"/>
  <c r="AL2014" i="1"/>
  <c r="AM2014" i="1"/>
  <c r="AK2386" i="1"/>
  <c r="AL2386" i="1"/>
  <c r="AM2386" i="1"/>
  <c r="AK2387" i="1"/>
  <c r="AL2387" i="1"/>
  <c r="AM2387" i="1"/>
  <c r="AK2388" i="1"/>
  <c r="AL2388" i="1"/>
  <c r="AM2388" i="1"/>
  <c r="AK2305" i="1"/>
  <c r="AL2305" i="1"/>
  <c r="AM2305" i="1"/>
  <c r="AK2500" i="1"/>
  <c r="AL2500" i="1"/>
  <c r="AM2500" i="1"/>
  <c r="AK1480" i="1"/>
  <c r="AL1480" i="1"/>
  <c r="AM1480" i="1"/>
  <c r="AK1481" i="1"/>
  <c r="AL1481" i="1"/>
  <c r="AM1481" i="1"/>
  <c r="AK219" i="1"/>
  <c r="AL219" i="1"/>
  <c r="AM219" i="1"/>
  <c r="AK2164" i="1"/>
  <c r="AL2164" i="1"/>
  <c r="AM2164" i="1"/>
  <c r="AK2015" i="1"/>
  <c r="AL2015" i="1"/>
  <c r="AM2015" i="1"/>
  <c r="AK2016" i="1"/>
  <c r="AL2016" i="1"/>
  <c r="AM2016" i="1"/>
  <c r="AK2389" i="1"/>
  <c r="AL2389" i="1"/>
  <c r="AM2389" i="1"/>
  <c r="AK2306" i="1"/>
  <c r="AL2306" i="1"/>
  <c r="AM2306" i="1"/>
  <c r="AK2501" i="1"/>
  <c r="AL2501" i="1"/>
  <c r="AM2501" i="1"/>
  <c r="AK772" i="1"/>
  <c r="AL772" i="1"/>
  <c r="AM772" i="1"/>
  <c r="AK1503" i="1"/>
  <c r="AL1503" i="1"/>
  <c r="AM1503" i="1"/>
  <c r="AK1408" i="1"/>
  <c r="AL1408" i="1"/>
  <c r="AM1408" i="1"/>
  <c r="AK15" i="1"/>
  <c r="AL15" i="1"/>
  <c r="AM15" i="1"/>
  <c r="AK2165" i="1"/>
  <c r="AL2165" i="1"/>
  <c r="AM2165" i="1"/>
  <c r="AK2166" i="1"/>
  <c r="AL2166" i="1"/>
  <c r="AM2166" i="1"/>
  <c r="AK2017" i="1"/>
  <c r="AL2017" i="1"/>
  <c r="AM2017" i="1"/>
  <c r="AK2018" i="1"/>
  <c r="AL2018" i="1"/>
  <c r="AM2018" i="1"/>
  <c r="AK2390" i="1"/>
  <c r="AL2390" i="1"/>
  <c r="AM2390" i="1"/>
  <c r="AK2307" i="1"/>
  <c r="AL2307" i="1"/>
  <c r="AM2307" i="1"/>
  <c r="AK2502" i="1"/>
  <c r="AL2502" i="1"/>
  <c r="AM2502" i="1"/>
  <c r="AK773" i="1"/>
  <c r="AL773" i="1"/>
  <c r="AM773" i="1"/>
  <c r="AK774" i="1"/>
  <c r="AL774" i="1"/>
  <c r="AM774" i="1"/>
  <c r="AK1146" i="1"/>
  <c r="AL1146" i="1"/>
  <c r="AM1146" i="1"/>
  <c r="AK1147" i="1"/>
  <c r="AL1147" i="1"/>
  <c r="AM1147" i="1"/>
  <c r="AK457" i="1"/>
  <c r="AL457" i="1"/>
  <c r="AM457" i="1"/>
  <c r="AK458" i="1"/>
  <c r="AL458" i="1"/>
  <c r="AM458" i="1"/>
  <c r="AK459" i="1"/>
  <c r="AL459" i="1"/>
  <c r="AM459" i="1"/>
  <c r="AK1148" i="1"/>
  <c r="AL1148" i="1"/>
  <c r="AM1148" i="1"/>
  <c r="AK1149" i="1"/>
  <c r="AL1149" i="1"/>
  <c r="AM1149" i="1"/>
  <c r="AK1150" i="1"/>
  <c r="AL1150" i="1"/>
  <c r="AM1150" i="1"/>
  <c r="AK1504" i="1"/>
  <c r="AL1504" i="1"/>
  <c r="AM1504" i="1"/>
  <c r="AK1848" i="1"/>
  <c r="AL1848" i="1"/>
  <c r="AM1848" i="1"/>
  <c r="AK1858" i="1"/>
  <c r="AL1858" i="1"/>
  <c r="AM1858" i="1"/>
  <c r="AK1898" i="1"/>
  <c r="AL1898" i="1"/>
  <c r="AM1898" i="1"/>
  <c r="AK1899" i="1"/>
  <c r="AL1899" i="1"/>
  <c r="AM1899" i="1"/>
  <c r="AK2167" i="1"/>
  <c r="AL2167" i="1"/>
  <c r="AM2167" i="1"/>
  <c r="AK2168" i="1"/>
  <c r="AL2168" i="1"/>
  <c r="AM2168" i="1"/>
  <c r="AK2019" i="1"/>
  <c r="AL2019" i="1"/>
  <c r="AM2019" i="1"/>
  <c r="AK2020" i="1"/>
  <c r="AL2020" i="1"/>
  <c r="AM2020" i="1"/>
  <c r="AK2021" i="1"/>
  <c r="AL2021" i="1"/>
  <c r="AM2021" i="1"/>
  <c r="AK2391" i="1"/>
  <c r="AL2391" i="1"/>
  <c r="AM2391" i="1"/>
  <c r="AK2392" i="1"/>
  <c r="AL2392" i="1"/>
  <c r="AM2392" i="1"/>
  <c r="AK2308" i="1"/>
  <c r="AL2308" i="1"/>
  <c r="AM2308" i="1"/>
  <c r="AK2503" i="1"/>
  <c r="AL2503" i="1"/>
  <c r="AM2503" i="1"/>
  <c r="AK2504" i="1"/>
  <c r="AL2504" i="1"/>
  <c r="AM2504" i="1"/>
  <c r="AK775" i="1"/>
  <c r="AL775" i="1"/>
  <c r="AM775" i="1"/>
  <c r="AK776" i="1"/>
  <c r="AL776" i="1"/>
  <c r="AM776" i="1"/>
  <c r="AK777" i="1"/>
  <c r="AL777" i="1"/>
  <c r="AM777" i="1"/>
  <c r="AK1913" i="1"/>
  <c r="AL1913" i="1"/>
  <c r="AM1913" i="1"/>
  <c r="AK2169" i="1"/>
  <c r="AL2169" i="1"/>
  <c r="AM2169" i="1"/>
  <c r="AK2170" i="1"/>
  <c r="AL2170" i="1"/>
  <c r="AM2170" i="1"/>
  <c r="AK2022" i="1"/>
  <c r="AL2022" i="1"/>
  <c r="AM2022" i="1"/>
  <c r="AK2023" i="1"/>
  <c r="AL2023" i="1"/>
  <c r="AM2023" i="1"/>
  <c r="AK2393" i="1"/>
  <c r="AL2393" i="1"/>
  <c r="AM2393" i="1"/>
  <c r="AK2394" i="1"/>
  <c r="AL2394" i="1"/>
  <c r="AM2394" i="1"/>
  <c r="AK2309" i="1"/>
  <c r="AL2309" i="1"/>
  <c r="AM2309" i="1"/>
  <c r="AK2024" i="1"/>
  <c r="AL2024" i="1"/>
  <c r="AM2024" i="1"/>
  <c r="AK632" i="1"/>
  <c r="AL632" i="1"/>
  <c r="AM632" i="1"/>
  <c r="AK1544" i="1"/>
  <c r="AL1544" i="1"/>
  <c r="AM1544" i="1"/>
  <c r="AK1545" i="1"/>
  <c r="AL1545" i="1"/>
  <c r="AM1545" i="1"/>
  <c r="AK1546" i="1"/>
  <c r="AL1546" i="1"/>
  <c r="AM1546" i="1"/>
  <c r="AK570" i="1"/>
  <c r="AL570" i="1"/>
  <c r="AM570" i="1"/>
  <c r="AK568" i="1"/>
  <c r="AL568" i="1"/>
  <c r="AM568" i="1"/>
  <c r="AK220" i="1"/>
  <c r="AL220" i="1"/>
  <c r="AM220" i="1"/>
  <c r="AK221" i="1"/>
  <c r="AL221" i="1"/>
  <c r="AM221" i="1"/>
  <c r="AK222" i="1"/>
  <c r="AL222" i="1"/>
  <c r="AM222" i="1"/>
  <c r="AK223" i="1"/>
  <c r="AL223" i="1"/>
  <c r="AM223" i="1"/>
  <c r="AK224" i="1"/>
  <c r="AL224" i="1"/>
  <c r="AM224" i="1"/>
  <c r="AK225" i="1"/>
  <c r="AL225" i="1"/>
  <c r="AM225" i="1"/>
  <c r="AK226" i="1"/>
  <c r="AL226" i="1"/>
  <c r="AM226" i="1"/>
  <c r="AK320" i="1"/>
  <c r="AL320" i="1"/>
  <c r="AM320" i="1"/>
  <c r="AK321" i="1"/>
  <c r="AL321" i="1"/>
  <c r="AM321" i="1"/>
  <c r="AK322" i="1"/>
  <c r="AL322" i="1"/>
  <c r="AM322" i="1"/>
  <c r="AK323" i="1"/>
  <c r="AL323" i="1"/>
  <c r="AM323" i="1"/>
  <c r="AK324" i="1"/>
  <c r="AL324" i="1"/>
  <c r="AM324" i="1"/>
  <c r="AK325" i="1"/>
  <c r="AL325" i="1"/>
  <c r="AM325" i="1"/>
  <c r="AK326" i="1"/>
  <c r="AL326" i="1"/>
  <c r="AM326" i="1"/>
  <c r="AK327" i="1"/>
  <c r="AL327" i="1"/>
  <c r="AM327" i="1"/>
  <c r="AK328" i="1"/>
  <c r="AL328" i="1"/>
  <c r="AM328" i="1"/>
  <c r="AK2025" i="1"/>
  <c r="AL2025" i="1"/>
  <c r="AM2025" i="1"/>
  <c r="AK616" i="1"/>
  <c r="AL616" i="1"/>
  <c r="AM616" i="1"/>
  <c r="AK2395" i="1"/>
  <c r="AL2395" i="1"/>
  <c r="AM2395" i="1"/>
  <c r="AK2396" i="1"/>
  <c r="AL2396" i="1"/>
  <c r="AM2396" i="1"/>
  <c r="AK778" i="1"/>
  <c r="AL778" i="1"/>
  <c r="AM778" i="1"/>
  <c r="AK2171" i="1"/>
  <c r="AL2171" i="1"/>
  <c r="AM2171" i="1"/>
  <c r="AK2026" i="1"/>
  <c r="AL2026" i="1"/>
  <c r="AM2026" i="1"/>
  <c r="AK2505" i="1"/>
  <c r="AL2505" i="1"/>
  <c r="AM2505" i="1"/>
  <c r="AK600" i="1"/>
  <c r="AL600" i="1"/>
  <c r="AM600" i="1"/>
  <c r="AK2397" i="1"/>
  <c r="AL2397" i="1"/>
  <c r="AM2397" i="1"/>
  <c r="AK2398" i="1"/>
  <c r="AL2398" i="1"/>
  <c r="AM2398" i="1"/>
  <c r="AK2399" i="1"/>
  <c r="AL2399" i="1"/>
  <c r="AM2399" i="1"/>
  <c r="AK779" i="1"/>
  <c r="AL779" i="1"/>
  <c r="AM779" i="1"/>
  <c r="AK2172" i="1"/>
  <c r="AL2172" i="1"/>
  <c r="AM2172" i="1"/>
  <c r="AK2027" i="1"/>
  <c r="AL2027" i="1"/>
  <c r="AM2027" i="1"/>
  <c r="AK2028" i="1"/>
  <c r="AL2028" i="1"/>
  <c r="AM2028" i="1"/>
  <c r="AK2029" i="1"/>
  <c r="AL2029" i="1"/>
  <c r="AM2029" i="1"/>
  <c r="AK2506" i="1"/>
  <c r="AL2506" i="1"/>
  <c r="AM2506" i="1"/>
  <c r="AK2507" i="1"/>
  <c r="AL2507" i="1"/>
  <c r="AM2507" i="1"/>
  <c r="AK2508" i="1"/>
  <c r="AL2508" i="1"/>
  <c r="AM2508" i="1"/>
  <c r="AK1769" i="1"/>
  <c r="AL1769" i="1"/>
  <c r="AM1769" i="1"/>
  <c r="AK2622" i="1"/>
  <c r="AL2622" i="1"/>
  <c r="AM2622" i="1"/>
  <c r="AK2623" i="1"/>
  <c r="AL2623" i="1"/>
  <c r="AM2623" i="1"/>
  <c r="AK2614" i="1"/>
  <c r="AL2614" i="1"/>
  <c r="AM2614" i="1"/>
  <c r="AK2615" i="1"/>
  <c r="AL2615" i="1"/>
  <c r="AM2615" i="1"/>
  <c r="AK227" i="1"/>
  <c r="AL227" i="1"/>
  <c r="AM227" i="1"/>
  <c r="AK228" i="1"/>
  <c r="AL228" i="1"/>
  <c r="AM228" i="1"/>
  <c r="AK229" i="1"/>
  <c r="AL229" i="1"/>
  <c r="AM229" i="1"/>
  <c r="AK230" i="1"/>
  <c r="AL230" i="1"/>
  <c r="AM230" i="1"/>
  <c r="AK231" i="1"/>
  <c r="AL231" i="1"/>
  <c r="AM231" i="1"/>
  <c r="AK232" i="1"/>
  <c r="AL232" i="1"/>
  <c r="AM232" i="1"/>
  <c r="AK233" i="1"/>
  <c r="AL233" i="1"/>
  <c r="AM233" i="1"/>
  <c r="AK329" i="1"/>
  <c r="AL329" i="1"/>
  <c r="AM329" i="1"/>
  <c r="AK330" i="1"/>
  <c r="AL330" i="1"/>
  <c r="AM330" i="1"/>
  <c r="AK331" i="1"/>
  <c r="AL331" i="1"/>
  <c r="AM331" i="1"/>
  <c r="AK332" i="1"/>
  <c r="AL332" i="1"/>
  <c r="AM332" i="1"/>
  <c r="AK333" i="1"/>
  <c r="AL333" i="1"/>
  <c r="AM333" i="1"/>
  <c r="AK2400" i="1"/>
  <c r="AL2400" i="1"/>
  <c r="AM2400" i="1"/>
  <c r="AK2401" i="1"/>
  <c r="AL2401" i="1"/>
  <c r="AM2401" i="1"/>
  <c r="AK2402" i="1"/>
  <c r="AL2402" i="1"/>
  <c r="AM2402" i="1"/>
  <c r="AK2403" i="1"/>
  <c r="AL2403" i="1"/>
  <c r="AM2403" i="1"/>
  <c r="AK780" i="1"/>
  <c r="AL780" i="1"/>
  <c r="AM780" i="1"/>
  <c r="AK781" i="1"/>
  <c r="AL781" i="1"/>
  <c r="AM781" i="1"/>
  <c r="AK2173" i="1"/>
  <c r="AL2173" i="1"/>
  <c r="AM2173" i="1"/>
  <c r="AK2030" i="1"/>
  <c r="AL2030" i="1"/>
  <c r="AM2030" i="1"/>
  <c r="AK2031" i="1"/>
  <c r="AL2031" i="1"/>
  <c r="AM2031" i="1"/>
  <c r="AK2032" i="1"/>
  <c r="AL2032" i="1"/>
  <c r="AM2032" i="1"/>
  <c r="AK2509" i="1"/>
  <c r="AL2509" i="1"/>
  <c r="AM2509" i="1"/>
  <c r="AK574" i="1"/>
  <c r="AL574" i="1"/>
  <c r="AM574" i="1"/>
  <c r="AK575" i="1"/>
  <c r="AL575" i="1"/>
  <c r="AM575" i="1"/>
  <c r="AK576" i="1"/>
  <c r="AL576" i="1"/>
  <c r="AM576" i="1"/>
  <c r="AK577" i="1"/>
  <c r="AL577" i="1"/>
  <c r="AM577" i="1"/>
  <c r="AK578" i="1"/>
  <c r="AL578" i="1"/>
  <c r="AM578" i="1"/>
  <c r="AK1409" i="1"/>
  <c r="AL1409" i="1"/>
  <c r="AM1409" i="1"/>
  <c r="AK1410" i="1"/>
  <c r="AL1410" i="1"/>
  <c r="AM1410" i="1"/>
  <c r="AK2404" i="1"/>
  <c r="AL2404" i="1"/>
  <c r="AM2404" i="1"/>
  <c r="AK2405" i="1"/>
  <c r="AL2405" i="1"/>
  <c r="AM2405" i="1"/>
  <c r="AK2406" i="1"/>
  <c r="AL2406" i="1"/>
  <c r="AM2406" i="1"/>
  <c r="AK782" i="1"/>
  <c r="AL782" i="1"/>
  <c r="AM782" i="1"/>
  <c r="AK2174" i="1"/>
  <c r="AL2174" i="1"/>
  <c r="AM2174" i="1"/>
  <c r="AK2175" i="1"/>
  <c r="AL2175" i="1"/>
  <c r="AM2175" i="1"/>
  <c r="AK2033" i="1"/>
  <c r="AL2033" i="1"/>
  <c r="AM2033" i="1"/>
  <c r="AK2034" i="1"/>
  <c r="AL2034" i="1"/>
  <c r="AM2034" i="1"/>
  <c r="AK2035" i="1"/>
  <c r="AL2035" i="1"/>
  <c r="AM2035" i="1"/>
  <c r="AK2510" i="1"/>
  <c r="AL2510" i="1"/>
  <c r="AM2510" i="1"/>
  <c r="AK2511" i="1"/>
  <c r="AL2511" i="1"/>
  <c r="AM2511" i="1"/>
  <c r="AK1608" i="1"/>
  <c r="AL1608" i="1"/>
  <c r="AM1608" i="1"/>
  <c r="AK1609" i="1"/>
  <c r="AL1609" i="1"/>
  <c r="AM1609" i="1"/>
  <c r="AK1610" i="1"/>
  <c r="AL1610" i="1"/>
  <c r="AM1610" i="1"/>
  <c r="AK1611" i="1"/>
  <c r="AL1611" i="1"/>
  <c r="AM1611" i="1"/>
  <c r="AK1894" i="1"/>
  <c r="AL1894" i="1"/>
  <c r="AM1894" i="1"/>
  <c r="AK1895" i="1"/>
  <c r="AL1895" i="1"/>
  <c r="AM1895" i="1"/>
  <c r="AK1896" i="1"/>
  <c r="AL1896" i="1"/>
  <c r="AM1896" i="1"/>
  <c r="AK234" i="1"/>
  <c r="AL234" i="1"/>
  <c r="AM234" i="1"/>
  <c r="AK235" i="1"/>
  <c r="AL235" i="1"/>
  <c r="AM235" i="1"/>
  <c r="AK2407" i="1"/>
  <c r="AL2407" i="1"/>
  <c r="AM2407" i="1"/>
  <c r="AK2408" i="1"/>
  <c r="AL2408" i="1"/>
  <c r="AM2408" i="1"/>
  <c r="AK783" i="1"/>
  <c r="AL783" i="1"/>
  <c r="AM783" i="1"/>
  <c r="AK784" i="1"/>
  <c r="AL784" i="1"/>
  <c r="AM784" i="1"/>
  <c r="AK2176" i="1"/>
  <c r="AL2176" i="1"/>
  <c r="AM2176" i="1"/>
  <c r="AK2177" i="1"/>
  <c r="AL2177" i="1"/>
  <c r="AM2177" i="1"/>
  <c r="AK2178" i="1"/>
  <c r="AL2178" i="1"/>
  <c r="AM2178" i="1"/>
  <c r="AK2036" i="1"/>
  <c r="AL2036" i="1"/>
  <c r="AM2036" i="1"/>
  <c r="AK2512" i="1"/>
  <c r="AL2512" i="1"/>
  <c r="AM2512" i="1"/>
  <c r="AK1386" i="1"/>
  <c r="AL1386" i="1"/>
  <c r="AM1386" i="1"/>
  <c r="AK678" i="1"/>
  <c r="AL678" i="1"/>
  <c r="AM678" i="1"/>
  <c r="AK679" i="1"/>
  <c r="AL679" i="1"/>
  <c r="AM679" i="1"/>
  <c r="AK741" i="1"/>
  <c r="AL741" i="1"/>
  <c r="AM741" i="1"/>
  <c r="AK785" i="1"/>
  <c r="AL785" i="1"/>
  <c r="AM785" i="1"/>
  <c r="AK786" i="1"/>
  <c r="AL786" i="1"/>
  <c r="AM786" i="1"/>
  <c r="AK787" i="1"/>
  <c r="AL787" i="1"/>
  <c r="AM787" i="1"/>
  <c r="AK2179" i="1"/>
  <c r="AL2179" i="1"/>
  <c r="AM2179" i="1"/>
  <c r="AK2037" i="1"/>
  <c r="AL2037" i="1"/>
  <c r="AM2037" i="1"/>
  <c r="AK2038" i="1"/>
  <c r="AL2038" i="1"/>
  <c r="AM2038" i="1"/>
  <c r="AK2513" i="1"/>
  <c r="AL2513" i="1"/>
  <c r="AM2513" i="1"/>
  <c r="AK2514" i="1"/>
  <c r="AL2514" i="1"/>
  <c r="AM2514" i="1"/>
  <c r="AK1387" i="1"/>
  <c r="AL1387" i="1"/>
  <c r="AM1387" i="1"/>
  <c r="AK1411" i="1"/>
  <c r="AL1411" i="1"/>
  <c r="AM1411" i="1"/>
  <c r="AK1412" i="1"/>
  <c r="AL1412" i="1"/>
  <c r="AM1412" i="1"/>
  <c r="AK1413" i="1"/>
  <c r="AL1413" i="1"/>
  <c r="AM1413" i="1"/>
  <c r="AK1414" i="1"/>
  <c r="AL1414" i="1"/>
  <c r="AM1414" i="1"/>
  <c r="AK1472" i="1"/>
  <c r="AL1472" i="1"/>
  <c r="AM1472" i="1"/>
  <c r="AK1151" i="1"/>
  <c r="AL1151" i="1"/>
  <c r="AM1151" i="1"/>
  <c r="AK1152" i="1"/>
  <c r="AL1152" i="1"/>
  <c r="AM1152" i="1"/>
  <c r="AK1153" i="1"/>
  <c r="AL1153" i="1"/>
  <c r="AM1153" i="1"/>
  <c r="AK1154" i="1"/>
  <c r="AL1154" i="1"/>
  <c r="AM1154" i="1"/>
  <c r="AK1155" i="1"/>
  <c r="AL1155" i="1"/>
  <c r="AM1155" i="1"/>
  <c r="AK1156" i="1"/>
  <c r="AL1156" i="1"/>
  <c r="AM1156" i="1"/>
  <c r="AK2409" i="1"/>
  <c r="AL2409" i="1"/>
  <c r="AM2409" i="1"/>
  <c r="AK2410" i="1"/>
  <c r="AL2410" i="1"/>
  <c r="AM2410" i="1"/>
  <c r="AK2411" i="1"/>
  <c r="AL2411" i="1"/>
  <c r="AM2411" i="1"/>
  <c r="AK788" i="1"/>
  <c r="AL788" i="1"/>
  <c r="AM788" i="1"/>
  <c r="AK2180" i="1"/>
  <c r="AL2180" i="1"/>
  <c r="AM2180" i="1"/>
  <c r="AK2181" i="1"/>
  <c r="AL2181" i="1"/>
  <c r="AM2181" i="1"/>
  <c r="AK2182" i="1"/>
  <c r="AL2182" i="1"/>
  <c r="AM2182" i="1"/>
  <c r="AK2039" i="1"/>
  <c r="AL2039" i="1"/>
  <c r="AM2039" i="1"/>
  <c r="AK2515" i="1"/>
  <c r="AL2515" i="1"/>
  <c r="AM2515" i="1"/>
  <c r="AK2516" i="1"/>
  <c r="AL2516" i="1"/>
  <c r="AM2516" i="1"/>
  <c r="AK596" i="1"/>
  <c r="AL596" i="1"/>
  <c r="AM596" i="1"/>
  <c r="AK2412" i="1"/>
  <c r="AL2412" i="1"/>
  <c r="AM2412" i="1"/>
  <c r="AK2413" i="1"/>
  <c r="AL2413" i="1"/>
  <c r="AM2413" i="1"/>
  <c r="AK789" i="1"/>
  <c r="AL789" i="1"/>
  <c r="AM789" i="1"/>
  <c r="AK2040" i="1"/>
  <c r="AL2040" i="1"/>
  <c r="AM2040" i="1"/>
  <c r="AK2041" i="1"/>
  <c r="AL2041" i="1"/>
  <c r="AM2041" i="1"/>
  <c r="AK2042" i="1"/>
  <c r="AL2042" i="1"/>
  <c r="AM2042" i="1"/>
  <c r="AK2517" i="1"/>
  <c r="AL2517" i="1"/>
  <c r="AM2517" i="1"/>
  <c r="AK2518" i="1"/>
  <c r="AL2518" i="1"/>
  <c r="AM2518" i="1"/>
  <c r="AK2519" i="1"/>
  <c r="AL2519" i="1"/>
  <c r="AM2519" i="1"/>
  <c r="AK2043" i="1"/>
  <c r="AL2043" i="1"/>
  <c r="AM2043" i="1"/>
  <c r="AK1870" i="1"/>
  <c r="AL1870" i="1"/>
  <c r="AM1870" i="1"/>
  <c r="AK1871" i="1"/>
  <c r="AL1871" i="1"/>
  <c r="AM1871" i="1"/>
  <c r="AK590" i="1"/>
  <c r="AL590" i="1"/>
  <c r="AM590" i="1"/>
  <c r="AK2414" i="1"/>
  <c r="AL2414" i="1"/>
  <c r="AM2414" i="1"/>
  <c r="AK2415" i="1"/>
  <c r="AL2415" i="1"/>
  <c r="AM2415" i="1"/>
  <c r="AK2044" i="1"/>
  <c r="AL2044" i="1"/>
  <c r="AM2044" i="1"/>
  <c r="AK2310" i="1"/>
  <c r="AL2310" i="1"/>
  <c r="AM2310" i="1"/>
  <c r="AK2311" i="1"/>
  <c r="AL2311" i="1"/>
  <c r="AM2311" i="1"/>
  <c r="AK2312" i="1"/>
  <c r="AL2312" i="1"/>
  <c r="AM2312" i="1"/>
  <c r="AK2183" i="1"/>
  <c r="AL2183" i="1"/>
  <c r="AM2183" i="1"/>
  <c r="AK790" i="1"/>
  <c r="AL790" i="1"/>
  <c r="AM790" i="1"/>
  <c r="AK2520" i="1"/>
  <c r="AL2520" i="1"/>
  <c r="AM2520" i="1"/>
  <c r="AK618" i="1"/>
  <c r="AL618" i="1"/>
  <c r="AM618" i="1"/>
  <c r="AK731" i="1"/>
  <c r="AL731" i="1"/>
  <c r="AM731" i="1"/>
  <c r="AK708" i="1"/>
  <c r="AL708" i="1"/>
  <c r="AM708" i="1"/>
  <c r="AK1849" i="1"/>
  <c r="AL1849" i="1"/>
  <c r="AM1849" i="1"/>
  <c r="AK1859" i="1"/>
  <c r="AL1859" i="1"/>
  <c r="AM1859" i="1"/>
  <c r="AK1860" i="1"/>
  <c r="AL1860" i="1"/>
  <c r="AM1860" i="1"/>
  <c r="AK236" i="1"/>
  <c r="AL236" i="1"/>
  <c r="AM236" i="1"/>
  <c r="AK237" i="1"/>
  <c r="AL237" i="1"/>
  <c r="AM237" i="1"/>
  <c r="AK238" i="1"/>
  <c r="AL238" i="1"/>
  <c r="AM238" i="1"/>
  <c r="AK239" i="1"/>
  <c r="AL239" i="1"/>
  <c r="AM239" i="1"/>
  <c r="AK240" i="1"/>
  <c r="AL240" i="1"/>
  <c r="AM240" i="1"/>
  <c r="AK241" i="1"/>
  <c r="AL241" i="1"/>
  <c r="AM241" i="1"/>
  <c r="AK334" i="1"/>
  <c r="AL334" i="1"/>
  <c r="AM334" i="1"/>
  <c r="AK335" i="1"/>
  <c r="AL335" i="1"/>
  <c r="AM335" i="1"/>
  <c r="AK336" i="1"/>
  <c r="AL336" i="1"/>
  <c r="AM336" i="1"/>
  <c r="AK337" i="1"/>
  <c r="AL337" i="1"/>
  <c r="AM337" i="1"/>
  <c r="AK338" i="1"/>
  <c r="AL338" i="1"/>
  <c r="AM338" i="1"/>
  <c r="AK339" i="1"/>
  <c r="AL339" i="1"/>
  <c r="AM339" i="1"/>
  <c r="AK340" i="1"/>
  <c r="AL340" i="1"/>
  <c r="AM340" i="1"/>
  <c r="AK2416" i="1"/>
  <c r="AL2416" i="1"/>
  <c r="AM2416" i="1"/>
  <c r="AK2417" i="1"/>
  <c r="AL2417" i="1"/>
  <c r="AM2417" i="1"/>
  <c r="AK2313" i="1"/>
  <c r="AL2313" i="1"/>
  <c r="AM2313" i="1"/>
  <c r="AK2314" i="1"/>
  <c r="AL2314" i="1"/>
  <c r="AM2314" i="1"/>
  <c r="AK2315" i="1"/>
  <c r="AL2315" i="1"/>
  <c r="AM2315" i="1"/>
  <c r="AK2184" i="1"/>
  <c r="AL2184" i="1"/>
  <c r="AM2184" i="1"/>
  <c r="AK791" i="1"/>
  <c r="AL791" i="1"/>
  <c r="AM791" i="1"/>
  <c r="AK792" i="1"/>
  <c r="AL792" i="1"/>
  <c r="AM792" i="1"/>
  <c r="AK793" i="1"/>
  <c r="AL793" i="1"/>
  <c r="AM793" i="1"/>
  <c r="AK2045" i="1"/>
  <c r="AL2045" i="1"/>
  <c r="AM2045" i="1"/>
  <c r="AK1415" i="1"/>
  <c r="AL1415" i="1"/>
  <c r="AM1415" i="1"/>
  <c r="AK1416" i="1"/>
  <c r="AL1416" i="1"/>
  <c r="AM1416" i="1"/>
  <c r="AK1547" i="1"/>
  <c r="AL1547" i="1"/>
  <c r="AM1547" i="1"/>
  <c r="AK1548" i="1"/>
  <c r="AL1548" i="1"/>
  <c r="AM1548" i="1"/>
  <c r="AK1549" i="1"/>
  <c r="AL1549" i="1"/>
  <c r="AM1549" i="1"/>
  <c r="AK1729" i="1"/>
  <c r="AL1729" i="1"/>
  <c r="AM1729" i="1"/>
  <c r="AK1505" i="1"/>
  <c r="AL1505" i="1"/>
  <c r="AM1505" i="1"/>
  <c r="AK341" i="1"/>
  <c r="AL341" i="1"/>
  <c r="AM341" i="1"/>
  <c r="AK342" i="1"/>
  <c r="AL342" i="1"/>
  <c r="AM342" i="1"/>
  <c r="AK343" i="1"/>
  <c r="AL343" i="1"/>
  <c r="AM343" i="1"/>
  <c r="AK344" i="1"/>
  <c r="AL344" i="1"/>
  <c r="AM344" i="1"/>
  <c r="AK345" i="1"/>
  <c r="AL345" i="1"/>
  <c r="AM345" i="1"/>
  <c r="AK346" i="1"/>
  <c r="AL346" i="1"/>
  <c r="AM346" i="1"/>
  <c r="AK347" i="1"/>
  <c r="AL347" i="1"/>
  <c r="AM347" i="1"/>
  <c r="AK2418" i="1"/>
  <c r="AL2418" i="1"/>
  <c r="AM2418" i="1"/>
  <c r="AK2419" i="1"/>
  <c r="AL2419" i="1"/>
  <c r="AM2419" i="1"/>
  <c r="AK2316" i="1"/>
  <c r="AL2316" i="1"/>
  <c r="AM2316" i="1"/>
  <c r="AK2317" i="1"/>
  <c r="AL2317" i="1"/>
  <c r="AM2317" i="1"/>
  <c r="AK2318" i="1"/>
  <c r="AL2318" i="1"/>
  <c r="AM2318" i="1"/>
  <c r="AK2185" i="1"/>
  <c r="AL2185" i="1"/>
  <c r="AM2185" i="1"/>
  <c r="AK2186" i="1"/>
  <c r="AL2186" i="1"/>
  <c r="AM2186" i="1"/>
  <c r="AK794" i="1"/>
  <c r="AL794" i="1"/>
  <c r="AM794" i="1"/>
  <c r="AK795" i="1"/>
  <c r="AL795" i="1"/>
  <c r="AM795" i="1"/>
  <c r="AK796" i="1"/>
  <c r="AL796" i="1"/>
  <c r="AM796" i="1"/>
  <c r="AK2046" i="1"/>
  <c r="AL2046" i="1"/>
  <c r="AM2046" i="1"/>
  <c r="AK2047" i="1"/>
  <c r="AL2047" i="1"/>
  <c r="AM2047" i="1"/>
  <c r="AK2521" i="1"/>
  <c r="AL2521" i="1"/>
  <c r="AM2521" i="1"/>
  <c r="AK1772" i="1"/>
  <c r="AL1772" i="1"/>
  <c r="AM1772" i="1"/>
  <c r="AK886" i="1"/>
  <c r="AL886" i="1"/>
  <c r="AM886" i="1"/>
  <c r="AK885" i="1"/>
  <c r="AL885" i="1"/>
  <c r="AM885" i="1"/>
  <c r="AK242" i="1"/>
  <c r="AL242" i="1"/>
  <c r="AM242" i="1"/>
  <c r="AK243" i="1"/>
  <c r="AL243" i="1"/>
  <c r="AM243" i="1"/>
  <c r="AK244" i="1"/>
  <c r="AL244" i="1"/>
  <c r="AM244" i="1"/>
  <c r="AK245" i="1"/>
  <c r="AL245" i="1"/>
  <c r="AM245" i="1"/>
  <c r="AK246" i="1"/>
  <c r="AL246" i="1"/>
  <c r="AM246" i="1"/>
  <c r="AK2420" i="1"/>
  <c r="AL2420" i="1"/>
  <c r="AM2420" i="1"/>
  <c r="AK2319" i="1"/>
  <c r="AL2319" i="1"/>
  <c r="AM2319" i="1"/>
  <c r="AK2320" i="1"/>
  <c r="AL2320" i="1"/>
  <c r="AM2320" i="1"/>
  <c r="AK2187" i="1"/>
  <c r="AL2187" i="1"/>
  <c r="AM2187" i="1"/>
  <c r="AK2188" i="1"/>
  <c r="AL2188" i="1"/>
  <c r="AM2188" i="1"/>
  <c r="AK797" i="1"/>
  <c r="AL797" i="1"/>
  <c r="AM797" i="1"/>
  <c r="AK798" i="1"/>
  <c r="AL798" i="1"/>
  <c r="AM798" i="1"/>
  <c r="AK799" i="1"/>
  <c r="AL799" i="1"/>
  <c r="AM799" i="1"/>
  <c r="AK2048" i="1"/>
  <c r="AL2048" i="1"/>
  <c r="AM2048" i="1"/>
  <c r="AK2049" i="1"/>
  <c r="AL2049" i="1"/>
  <c r="AM2049" i="1"/>
  <c r="AK633" i="1"/>
  <c r="AL633" i="1"/>
  <c r="AM633" i="1"/>
  <c r="AK1612" i="1"/>
  <c r="AL1612" i="1"/>
  <c r="AM1612" i="1"/>
  <c r="AK1613" i="1"/>
  <c r="AL1613" i="1"/>
  <c r="AM1613" i="1"/>
  <c r="AK1614" i="1"/>
  <c r="AL1614" i="1"/>
  <c r="AM1614" i="1"/>
  <c r="AK2421" i="1"/>
  <c r="AL2421" i="1"/>
  <c r="AM2421" i="1"/>
  <c r="AK2422" i="1"/>
  <c r="AL2422" i="1"/>
  <c r="AM2422" i="1"/>
  <c r="AK2321" i="1"/>
  <c r="AL2321" i="1"/>
  <c r="AM2321" i="1"/>
  <c r="AK2322" i="1"/>
  <c r="AL2322" i="1"/>
  <c r="AM2322" i="1"/>
  <c r="AK2189" i="1"/>
  <c r="AL2189" i="1"/>
  <c r="AM2189" i="1"/>
  <c r="AK2190" i="1"/>
  <c r="AL2190" i="1"/>
  <c r="AM2190" i="1"/>
  <c r="AK2050" i="1"/>
  <c r="AL2050" i="1"/>
  <c r="AM2050" i="1"/>
  <c r="AK2522" i="1"/>
  <c r="AL2522" i="1"/>
  <c r="AM2522" i="1"/>
  <c r="AK2051" i="1"/>
  <c r="AL2051" i="1"/>
  <c r="AM2051" i="1"/>
  <c r="AK2423" i="1"/>
  <c r="AL2423" i="1"/>
  <c r="AM2423" i="1"/>
  <c r="AK2191" i="1"/>
  <c r="AL2191" i="1"/>
  <c r="AM2191" i="1"/>
  <c r="AK2052" i="1"/>
  <c r="AL2052" i="1"/>
  <c r="AM2052" i="1"/>
  <c r="AK2053" i="1"/>
  <c r="AL2053" i="1"/>
  <c r="AM2053" i="1"/>
  <c r="AK2054" i="1"/>
  <c r="AL2054" i="1"/>
  <c r="AM2054" i="1"/>
  <c r="AK2323" i="1"/>
  <c r="AL2323" i="1"/>
  <c r="AM2323" i="1"/>
  <c r="AK617" i="1"/>
  <c r="AL617" i="1"/>
  <c r="AM617" i="1"/>
  <c r="AK1417" i="1"/>
  <c r="AL1417" i="1"/>
  <c r="AM1417" i="1"/>
  <c r="AK2628" i="1"/>
  <c r="AL2628" i="1"/>
  <c r="AM2628" i="1"/>
  <c r="AK1418" i="1"/>
  <c r="AL1418" i="1"/>
  <c r="AM1418" i="1"/>
  <c r="AK2192" i="1"/>
  <c r="AL2192" i="1"/>
  <c r="AM2192" i="1"/>
  <c r="AK2193" i="1"/>
  <c r="AL2193" i="1"/>
  <c r="AM2193" i="1"/>
  <c r="AK2055" i="1"/>
  <c r="AL2055" i="1"/>
  <c r="AM2055" i="1"/>
  <c r="AK1673" i="1"/>
  <c r="AL1673" i="1"/>
  <c r="AM1673" i="1"/>
  <c r="AK1674" i="1"/>
  <c r="AL1674" i="1"/>
  <c r="AM1674" i="1"/>
  <c r="AK1661" i="1"/>
  <c r="AL1661" i="1"/>
  <c r="AM1661" i="1"/>
  <c r="AK1662" i="1"/>
  <c r="AL1662" i="1"/>
  <c r="AM1662" i="1"/>
  <c r="AK1663" i="1"/>
  <c r="AL1663" i="1"/>
  <c r="AM1663" i="1"/>
  <c r="AK1776" i="1"/>
  <c r="AL1776" i="1"/>
  <c r="AM1776" i="1"/>
  <c r="AK1777" i="1"/>
  <c r="AL1777" i="1"/>
  <c r="AM1777" i="1"/>
  <c r="AK1664" i="1"/>
  <c r="AL1664" i="1"/>
  <c r="AM1664" i="1"/>
  <c r="AK2194" i="1"/>
  <c r="AL2194" i="1"/>
  <c r="AM2194" i="1"/>
  <c r="AK2195" i="1"/>
  <c r="AL2195" i="1"/>
  <c r="AM2195" i="1"/>
  <c r="AK2056" i="1"/>
  <c r="AL2056" i="1"/>
  <c r="AM2056" i="1"/>
  <c r="AK2057" i="1"/>
  <c r="AL2057" i="1"/>
  <c r="AM2057" i="1"/>
  <c r="AK1226" i="1"/>
  <c r="AL1226" i="1"/>
  <c r="AM1226" i="1"/>
  <c r="AK1228" i="1"/>
  <c r="AL1228" i="1"/>
  <c r="AM1228" i="1"/>
  <c r="AK1900" i="1"/>
  <c r="AL1900" i="1"/>
  <c r="AM1900" i="1"/>
  <c r="AK1901" i="1"/>
  <c r="AL1901" i="1"/>
  <c r="AM1901" i="1"/>
  <c r="AK247" i="1"/>
  <c r="AL247" i="1"/>
  <c r="AM247" i="1"/>
  <c r="AK248" i="1"/>
  <c r="AL248" i="1"/>
  <c r="AM248" i="1"/>
  <c r="AK249" i="1"/>
  <c r="AL249" i="1"/>
  <c r="AM249" i="1"/>
  <c r="AK250" i="1"/>
  <c r="AL250" i="1"/>
  <c r="AM250" i="1"/>
  <c r="AK251" i="1"/>
  <c r="AL251" i="1"/>
  <c r="AM251" i="1"/>
  <c r="AK252" i="1"/>
  <c r="AL252" i="1"/>
  <c r="AM252" i="1"/>
  <c r="AK348" i="1"/>
  <c r="AL348" i="1"/>
  <c r="AM348" i="1"/>
  <c r="AK349" i="1"/>
  <c r="AL349" i="1"/>
  <c r="AM349" i="1"/>
  <c r="AK350" i="1"/>
  <c r="AL350" i="1"/>
  <c r="AM350" i="1"/>
  <c r="AK351" i="1"/>
  <c r="AL351" i="1"/>
  <c r="AM351" i="1"/>
  <c r="AK352" i="1"/>
  <c r="AL352" i="1"/>
  <c r="AM352" i="1"/>
  <c r="AK1717" i="1"/>
  <c r="AL1717" i="1"/>
  <c r="AM1717" i="1"/>
  <c r="AK2196" i="1"/>
  <c r="AL2196" i="1"/>
  <c r="AM2196" i="1"/>
  <c r="AK2197" i="1"/>
  <c r="AL2197" i="1"/>
  <c r="AM2197" i="1"/>
  <c r="AK2198" i="1"/>
  <c r="AL2198" i="1"/>
  <c r="AM2198" i="1"/>
  <c r="AK2058" i="1"/>
  <c r="AL2058" i="1"/>
  <c r="AM2058" i="1"/>
  <c r="AK2059" i="1"/>
  <c r="AL2059" i="1"/>
  <c r="AM2059" i="1"/>
  <c r="AK732" i="1"/>
  <c r="AL732" i="1"/>
  <c r="AM732" i="1"/>
  <c r="AK709" i="1"/>
  <c r="AL709" i="1"/>
  <c r="AM709" i="1"/>
  <c r="AK742" i="1"/>
  <c r="AL742" i="1"/>
  <c r="AM742" i="1"/>
  <c r="AK680" i="1"/>
  <c r="AL680" i="1"/>
  <c r="AM680" i="1"/>
  <c r="AK681" i="1"/>
  <c r="AL681" i="1"/>
  <c r="AM681" i="1"/>
  <c r="AK682" i="1"/>
  <c r="AL682" i="1"/>
  <c r="AM682" i="1"/>
  <c r="AK2199" i="1"/>
  <c r="AL2199" i="1"/>
  <c r="AM2199" i="1"/>
  <c r="AK2200" i="1"/>
  <c r="AL2200" i="1"/>
  <c r="AM2200" i="1"/>
  <c r="AK2060" i="1"/>
  <c r="AL2060" i="1"/>
  <c r="AM2060" i="1"/>
  <c r="AK2061" i="1"/>
  <c r="AL2061" i="1"/>
  <c r="AM2061" i="1"/>
  <c r="AK402" i="1"/>
  <c r="AL402" i="1"/>
  <c r="AM402" i="1"/>
  <c r="AK1519" i="1"/>
  <c r="AL1519" i="1"/>
  <c r="AM1519" i="1"/>
  <c r="AK597" i="1"/>
  <c r="AL597" i="1"/>
  <c r="AM597" i="1"/>
  <c r="AK253" i="1"/>
  <c r="AL253" i="1"/>
  <c r="AM253" i="1"/>
  <c r="AK254" i="1"/>
  <c r="AL254" i="1"/>
  <c r="AM254" i="1"/>
  <c r="AK255" i="1"/>
  <c r="AL255" i="1"/>
  <c r="AM255" i="1"/>
  <c r="AK256" i="1"/>
  <c r="AL256" i="1"/>
  <c r="AM256" i="1"/>
  <c r="AK257" i="1"/>
  <c r="AL257" i="1"/>
  <c r="AM257" i="1"/>
  <c r="AK258" i="1"/>
  <c r="AL258" i="1"/>
  <c r="AM258" i="1"/>
  <c r="AK353" i="1"/>
  <c r="AL353" i="1"/>
  <c r="AM353" i="1"/>
  <c r="AK354" i="1"/>
  <c r="AL354" i="1"/>
  <c r="AM354" i="1"/>
  <c r="AK355" i="1"/>
  <c r="AL355" i="1"/>
  <c r="AM355" i="1"/>
  <c r="AK2424" i="1"/>
  <c r="AL2424" i="1"/>
  <c r="AM2424" i="1"/>
  <c r="AK2062" i="1"/>
  <c r="AL2062" i="1"/>
  <c r="AM2062" i="1"/>
  <c r="AK2324" i="1"/>
  <c r="AL2324" i="1"/>
  <c r="AM2324" i="1"/>
  <c r="AK2325" i="1"/>
  <c r="AL2325" i="1"/>
  <c r="AM2325" i="1"/>
  <c r="AK2326" i="1"/>
  <c r="AL2326" i="1"/>
  <c r="AM2326" i="1"/>
  <c r="AK2327" i="1"/>
  <c r="AL2327" i="1"/>
  <c r="AM2327" i="1"/>
  <c r="AK2328" i="1"/>
  <c r="AL2328" i="1"/>
  <c r="AM2328" i="1"/>
  <c r="AK1914" i="1"/>
  <c r="AL1914" i="1"/>
  <c r="AM1914" i="1"/>
  <c r="AK1915" i="1"/>
  <c r="AL1915" i="1"/>
  <c r="AM1915" i="1"/>
  <c r="AK1594" i="1"/>
  <c r="AL1594" i="1"/>
  <c r="AM1594" i="1"/>
  <c r="AK1595" i="1"/>
  <c r="AL1595" i="1"/>
  <c r="AM1595" i="1"/>
  <c r="AK2063" i="1"/>
  <c r="AL2063" i="1"/>
  <c r="AM2063" i="1"/>
  <c r="AK1491" i="1"/>
  <c r="AL1491" i="1"/>
  <c r="AM1491" i="1"/>
  <c r="AK2064" i="1"/>
  <c r="AL2064" i="1"/>
  <c r="AM2064" i="1"/>
  <c r="AK1615" i="1"/>
  <c r="AL1615" i="1"/>
  <c r="AM1615" i="1"/>
  <c r="AK1731" i="1"/>
  <c r="AL1731" i="1"/>
  <c r="AM1731" i="1"/>
  <c r="AK1730" i="1"/>
  <c r="AL1730" i="1"/>
  <c r="AM1730" i="1"/>
  <c r="AK1872" i="1"/>
  <c r="AL1872" i="1"/>
  <c r="AM1872" i="1"/>
  <c r="AK1873" i="1"/>
  <c r="AL1873" i="1"/>
  <c r="AM1873" i="1"/>
  <c r="AK1875" i="1"/>
  <c r="AL1875" i="1"/>
  <c r="AM1875" i="1"/>
  <c r="AK1874" i="1"/>
  <c r="AL1874" i="1"/>
  <c r="AM1874" i="1"/>
  <c r="AK683" i="1"/>
  <c r="AL683" i="1"/>
  <c r="AM683" i="1"/>
  <c r="AK684" i="1"/>
  <c r="AL684" i="1"/>
  <c r="AM684" i="1"/>
  <c r="AK1419" i="1"/>
  <c r="AL1419" i="1"/>
  <c r="AM1419" i="1"/>
  <c r="AK1420" i="1"/>
  <c r="AL1420" i="1"/>
  <c r="AM1420" i="1"/>
  <c r="AK1421" i="1"/>
  <c r="AL1421" i="1"/>
  <c r="AM1421" i="1"/>
  <c r="AK259" i="1"/>
  <c r="AL259" i="1"/>
  <c r="AM259" i="1"/>
  <c r="AK356" i="1"/>
  <c r="AL356" i="1"/>
  <c r="AM356" i="1"/>
  <c r="AK357" i="1"/>
  <c r="AL357" i="1"/>
  <c r="AM357" i="1"/>
  <c r="AK2425" i="1"/>
  <c r="AL2425" i="1"/>
  <c r="AM2425" i="1"/>
  <c r="AK2065" i="1"/>
  <c r="AL2065" i="1"/>
  <c r="AM2065" i="1"/>
  <c r="AK2066" i="1"/>
  <c r="AL2066" i="1"/>
  <c r="AM2066" i="1"/>
  <c r="AK2329" i="1"/>
  <c r="AL2329" i="1"/>
  <c r="AM2329" i="1"/>
  <c r="AK1916" i="1"/>
  <c r="AL1916" i="1"/>
  <c r="AM1916" i="1"/>
  <c r="AK1744" i="1"/>
  <c r="AL1744" i="1"/>
  <c r="AM1744" i="1"/>
  <c r="AK1745" i="1"/>
  <c r="AL1745" i="1"/>
  <c r="AM1745" i="1"/>
  <c r="AK1746" i="1"/>
  <c r="AL1746" i="1"/>
  <c r="AM1746" i="1"/>
  <c r="AK1748" i="1"/>
  <c r="AL1748" i="1"/>
  <c r="AM1748" i="1"/>
  <c r="AK1747" i="1"/>
  <c r="AL1747" i="1"/>
  <c r="AM1747" i="1"/>
  <c r="AK1749" i="1"/>
  <c r="AL1749" i="1"/>
  <c r="AM1749" i="1"/>
  <c r="AK1751" i="1"/>
  <c r="AL1751" i="1"/>
  <c r="AM1751" i="1"/>
  <c r="AK1750" i="1"/>
  <c r="AL1750" i="1"/>
  <c r="AM1750" i="1"/>
  <c r="AK1307" i="1"/>
  <c r="AL1307" i="1"/>
  <c r="AM1307" i="1"/>
  <c r="AK1616" i="1"/>
  <c r="AL1616" i="1"/>
  <c r="AM1616" i="1"/>
  <c r="AK1617" i="1"/>
  <c r="AL1617" i="1"/>
  <c r="AM1617" i="1"/>
  <c r="AK608" i="1"/>
  <c r="AL608" i="1"/>
  <c r="AM608" i="1"/>
  <c r="AK929" i="1"/>
  <c r="AL929" i="1"/>
  <c r="AM929" i="1"/>
  <c r="AK930" i="1"/>
  <c r="AL930" i="1"/>
  <c r="AM930" i="1"/>
  <c r="AK931" i="1"/>
  <c r="AL931" i="1"/>
  <c r="AM931" i="1"/>
  <c r="AK932" i="1"/>
  <c r="AL932" i="1"/>
  <c r="AM932" i="1"/>
  <c r="AK933" i="1"/>
  <c r="AL933" i="1"/>
  <c r="AM933" i="1"/>
  <c r="AK934" i="1"/>
  <c r="AL934" i="1"/>
  <c r="AM934" i="1"/>
  <c r="AK935" i="1"/>
  <c r="AL935" i="1"/>
  <c r="AM935" i="1"/>
  <c r="AK936" i="1"/>
  <c r="AL936" i="1"/>
  <c r="AM936" i="1"/>
  <c r="AK938" i="1"/>
  <c r="AL938" i="1"/>
  <c r="AM938" i="1"/>
  <c r="AK937" i="1"/>
  <c r="AL937" i="1"/>
  <c r="AM937" i="1"/>
  <c r="AK939" i="1"/>
  <c r="AL939" i="1"/>
  <c r="AM939" i="1"/>
  <c r="AK940" i="1"/>
  <c r="AL940" i="1"/>
  <c r="AM940" i="1"/>
  <c r="AK941" i="1"/>
  <c r="AL941" i="1"/>
  <c r="AM941" i="1"/>
  <c r="AK942" i="1"/>
  <c r="AL942" i="1"/>
  <c r="AM942" i="1"/>
  <c r="AK943" i="1"/>
  <c r="AL943" i="1"/>
  <c r="AM943" i="1"/>
  <c r="AK893" i="1"/>
  <c r="AL893" i="1"/>
  <c r="AM893" i="1"/>
  <c r="AK894" i="1"/>
  <c r="AL894" i="1"/>
  <c r="AM894" i="1"/>
  <c r="AK896" i="1"/>
  <c r="AL896" i="1"/>
  <c r="AM896" i="1"/>
  <c r="AK895" i="1"/>
  <c r="AL895" i="1"/>
  <c r="AM895" i="1"/>
  <c r="AK897" i="1"/>
  <c r="AL897" i="1"/>
  <c r="AM897" i="1"/>
  <c r="AK898" i="1"/>
  <c r="AL898" i="1"/>
  <c r="AM898" i="1"/>
  <c r="AK899" i="1"/>
  <c r="AL899" i="1"/>
  <c r="AM899" i="1"/>
  <c r="AK900" i="1"/>
  <c r="AL900" i="1"/>
  <c r="AM900" i="1"/>
  <c r="AK901" i="1"/>
  <c r="AL901" i="1"/>
  <c r="AM901" i="1"/>
  <c r="AK902" i="1"/>
  <c r="AL902" i="1"/>
  <c r="AM902" i="1"/>
  <c r="AK903" i="1"/>
  <c r="AL903" i="1"/>
  <c r="AM903" i="1"/>
  <c r="AK904" i="1"/>
  <c r="AL904" i="1"/>
  <c r="AM904" i="1"/>
  <c r="AK905" i="1"/>
  <c r="AL905" i="1"/>
  <c r="AM905" i="1"/>
  <c r="AK906" i="1"/>
  <c r="AL906" i="1"/>
  <c r="AM906" i="1"/>
  <c r="AK907" i="1"/>
  <c r="AL907" i="1"/>
  <c r="AM907" i="1"/>
  <c r="AK908" i="1"/>
  <c r="AL908" i="1"/>
  <c r="AM908" i="1"/>
  <c r="AK909" i="1"/>
  <c r="AL909" i="1"/>
  <c r="AM909" i="1"/>
  <c r="AK910" i="1"/>
  <c r="AL910" i="1"/>
  <c r="AM910" i="1"/>
  <c r="AK911" i="1"/>
  <c r="AL911" i="1"/>
  <c r="AM911" i="1"/>
  <c r="AK912" i="1"/>
  <c r="AL912" i="1"/>
  <c r="AM912" i="1"/>
  <c r="AK913" i="1"/>
  <c r="AL913" i="1"/>
  <c r="AM913" i="1"/>
  <c r="AK914" i="1"/>
  <c r="AL914" i="1"/>
  <c r="AM914" i="1"/>
  <c r="AK915" i="1"/>
  <c r="AL915" i="1"/>
  <c r="AM915" i="1"/>
  <c r="AK916" i="1"/>
  <c r="AL916" i="1"/>
  <c r="AM916" i="1"/>
  <c r="AK917" i="1"/>
  <c r="AL917" i="1"/>
  <c r="AM917" i="1"/>
  <c r="AK918" i="1"/>
  <c r="AL918" i="1"/>
  <c r="AM918" i="1"/>
  <c r="AK919" i="1"/>
  <c r="AL919" i="1"/>
  <c r="AM919" i="1"/>
  <c r="AK920" i="1"/>
  <c r="AL920" i="1"/>
  <c r="AM920" i="1"/>
  <c r="AK921" i="1"/>
  <c r="AL921" i="1"/>
  <c r="AM921" i="1"/>
  <c r="AK922" i="1"/>
  <c r="AL922" i="1"/>
  <c r="AM922" i="1"/>
  <c r="AK923" i="1"/>
  <c r="AL923" i="1"/>
  <c r="AM923" i="1"/>
  <c r="AK924" i="1"/>
  <c r="AL924" i="1"/>
  <c r="AM924" i="1"/>
  <c r="AK925" i="1"/>
  <c r="AL925" i="1"/>
  <c r="AM925" i="1"/>
  <c r="AK926" i="1"/>
  <c r="AL926" i="1"/>
  <c r="AM926" i="1"/>
  <c r="AK927" i="1"/>
  <c r="AL927" i="1"/>
  <c r="AM927" i="1"/>
  <c r="AK928" i="1"/>
  <c r="AL928" i="1"/>
  <c r="AM928" i="1"/>
  <c r="AK944" i="1"/>
  <c r="AL944" i="1"/>
  <c r="AM944" i="1"/>
  <c r="AK949" i="1"/>
  <c r="AL949" i="1"/>
  <c r="AM949" i="1"/>
  <c r="AK945" i="1"/>
  <c r="AL945" i="1"/>
  <c r="AM945" i="1"/>
  <c r="AK946" i="1"/>
  <c r="AL946" i="1"/>
  <c r="AM946" i="1"/>
  <c r="AK947" i="1"/>
  <c r="AL947" i="1"/>
  <c r="AM947" i="1"/>
  <c r="AK948" i="1"/>
  <c r="AL948" i="1"/>
  <c r="AM948" i="1"/>
  <c r="AK952" i="1"/>
  <c r="AL952" i="1"/>
  <c r="AM952" i="1"/>
  <c r="AK953" i="1"/>
  <c r="AL953" i="1"/>
  <c r="AM953" i="1"/>
  <c r="AK954" i="1"/>
  <c r="AL954" i="1"/>
  <c r="AM954" i="1"/>
  <c r="AK955" i="1"/>
  <c r="AL955" i="1"/>
  <c r="AM955" i="1"/>
  <c r="AK956" i="1"/>
  <c r="AL956" i="1"/>
  <c r="AM956" i="1"/>
  <c r="AK957" i="1"/>
  <c r="AL957" i="1"/>
  <c r="AM957" i="1"/>
  <c r="AK1089" i="1"/>
  <c r="AL1089" i="1"/>
  <c r="AM1089" i="1"/>
  <c r="AK1090" i="1"/>
  <c r="AL1090" i="1"/>
  <c r="AM1090" i="1"/>
  <c r="AK1091" i="1"/>
  <c r="AL1091" i="1"/>
  <c r="AM1091" i="1"/>
  <c r="AK1092" i="1"/>
  <c r="AL1092" i="1"/>
  <c r="AM1092" i="1"/>
  <c r="AK1093" i="1"/>
  <c r="AL1093" i="1"/>
  <c r="AM1093" i="1"/>
  <c r="AK1094" i="1"/>
  <c r="AL1094" i="1"/>
  <c r="AM1094" i="1"/>
  <c r="AK1095" i="1"/>
  <c r="AL1095" i="1"/>
  <c r="AM1095" i="1"/>
  <c r="AK1096" i="1"/>
  <c r="AL1096" i="1"/>
  <c r="AM1096" i="1"/>
  <c r="AK1097" i="1"/>
  <c r="AL1097" i="1"/>
  <c r="AM1097" i="1"/>
  <c r="AK1098" i="1"/>
  <c r="AL1098" i="1"/>
  <c r="AM1098" i="1"/>
  <c r="AK1099" i="1"/>
  <c r="AL1099" i="1"/>
  <c r="AM1099" i="1"/>
  <c r="AK1100" i="1"/>
  <c r="AL1100" i="1"/>
  <c r="AM1100" i="1"/>
  <c r="AK1101" i="1"/>
  <c r="AL1101" i="1"/>
  <c r="AM1101" i="1"/>
  <c r="AK1102" i="1"/>
  <c r="AL1102" i="1"/>
  <c r="AM1102" i="1"/>
  <c r="AK1103" i="1"/>
  <c r="AL1103" i="1"/>
  <c r="AM1103" i="1"/>
  <c r="AK1104" i="1"/>
  <c r="AL1104" i="1"/>
  <c r="AM1104" i="1"/>
  <c r="AK1105" i="1"/>
  <c r="AL1105" i="1"/>
  <c r="AM1105" i="1"/>
  <c r="AK1106" i="1"/>
  <c r="AL1106" i="1"/>
  <c r="AM1106" i="1"/>
  <c r="AK1107" i="1"/>
  <c r="AL1107" i="1"/>
  <c r="AM1107" i="1"/>
  <c r="AK1108" i="1"/>
  <c r="AL1108" i="1"/>
  <c r="AM1108" i="1"/>
  <c r="AK1109" i="1"/>
  <c r="AL1109" i="1"/>
  <c r="AM1109" i="1"/>
  <c r="AK1110" i="1"/>
  <c r="AL1110" i="1"/>
  <c r="AM1110" i="1"/>
  <c r="AK1113" i="1"/>
  <c r="AL1113" i="1"/>
  <c r="AM1113" i="1"/>
  <c r="AK1114" i="1"/>
  <c r="AL1114" i="1"/>
  <c r="AM1114" i="1"/>
  <c r="AK1115" i="1"/>
  <c r="AL1115" i="1"/>
  <c r="AM1115" i="1"/>
  <c r="AK1116" i="1"/>
  <c r="AL1116" i="1"/>
  <c r="AM1116" i="1"/>
  <c r="AK1117" i="1"/>
  <c r="AL1117" i="1"/>
  <c r="AM1117" i="1"/>
  <c r="AK1118" i="1"/>
  <c r="AL1118" i="1"/>
  <c r="AM1118" i="1"/>
  <c r="AK1119" i="1"/>
  <c r="AL1119" i="1"/>
  <c r="AM1119" i="1"/>
  <c r="AK1120" i="1"/>
  <c r="AL1120" i="1"/>
  <c r="AM1120" i="1"/>
  <c r="AK979" i="1"/>
  <c r="AL979" i="1"/>
  <c r="AM979" i="1"/>
  <c r="AK980" i="1"/>
  <c r="AL980" i="1"/>
  <c r="AM980" i="1"/>
  <c r="AK981" i="1"/>
  <c r="AL981" i="1"/>
  <c r="AM981" i="1"/>
  <c r="AK982" i="1"/>
  <c r="AL982" i="1"/>
  <c r="AM982" i="1"/>
  <c r="AK983" i="1"/>
  <c r="AL983" i="1"/>
  <c r="AM983" i="1"/>
  <c r="AK984" i="1"/>
  <c r="AL984" i="1"/>
  <c r="AM984" i="1"/>
  <c r="AK985" i="1"/>
  <c r="AL985" i="1"/>
  <c r="AM985" i="1"/>
  <c r="AK987" i="1"/>
  <c r="AL987" i="1"/>
  <c r="AM987" i="1"/>
  <c r="AK986" i="1"/>
  <c r="AL986" i="1"/>
  <c r="AM986" i="1"/>
  <c r="AK988" i="1"/>
  <c r="AL988" i="1"/>
  <c r="AM988" i="1"/>
  <c r="AK989" i="1"/>
  <c r="AL989" i="1"/>
  <c r="AM989" i="1"/>
  <c r="AK990" i="1"/>
  <c r="AL990" i="1"/>
  <c r="AM990" i="1"/>
  <c r="AK991" i="1"/>
  <c r="AL991" i="1"/>
  <c r="AM991" i="1"/>
  <c r="AK992" i="1"/>
  <c r="AL992" i="1"/>
  <c r="AM992" i="1"/>
  <c r="AK993" i="1"/>
  <c r="AL993" i="1"/>
  <c r="AM993" i="1"/>
  <c r="AK994" i="1"/>
  <c r="AL994" i="1"/>
  <c r="AM994" i="1"/>
  <c r="AK995" i="1"/>
  <c r="AL995" i="1"/>
  <c r="AM995" i="1"/>
  <c r="AK996" i="1"/>
  <c r="AL996" i="1"/>
  <c r="AM996" i="1"/>
  <c r="AK997" i="1"/>
  <c r="AL997" i="1"/>
  <c r="AM997" i="1"/>
  <c r="AK998" i="1"/>
  <c r="AL998" i="1"/>
  <c r="AM998" i="1"/>
  <c r="AK999" i="1"/>
  <c r="AL999" i="1"/>
  <c r="AM999" i="1"/>
  <c r="AK1000" i="1"/>
  <c r="AL1000" i="1"/>
  <c r="AM1000" i="1"/>
  <c r="AK1001" i="1"/>
  <c r="AL1001" i="1"/>
  <c r="AM1001" i="1"/>
  <c r="AK1002" i="1"/>
  <c r="AL1002" i="1"/>
  <c r="AM1002" i="1"/>
  <c r="AK1003" i="1"/>
  <c r="AL1003" i="1"/>
  <c r="AM1003" i="1"/>
  <c r="AK1004" i="1"/>
  <c r="AL1004" i="1"/>
  <c r="AM1004" i="1"/>
  <c r="AK1005" i="1"/>
  <c r="AL1005" i="1"/>
  <c r="AM1005" i="1"/>
  <c r="AK1006" i="1"/>
  <c r="AL1006" i="1"/>
  <c r="AM1006" i="1"/>
  <c r="AK1007" i="1"/>
  <c r="AL1007" i="1"/>
  <c r="AM1007" i="1"/>
  <c r="AK1008" i="1"/>
  <c r="AL1008" i="1"/>
  <c r="AM1008" i="1"/>
  <c r="AK1009" i="1"/>
  <c r="AL1009" i="1"/>
  <c r="AM1009" i="1"/>
  <c r="AK1010" i="1"/>
  <c r="AL1010" i="1"/>
  <c r="AM1010" i="1"/>
  <c r="AK1011" i="1"/>
  <c r="AL1011" i="1"/>
  <c r="AM1011" i="1"/>
  <c r="AK1012" i="1"/>
  <c r="AL1012" i="1"/>
  <c r="AM1012" i="1"/>
  <c r="AK1111" i="1"/>
  <c r="AL1111" i="1"/>
  <c r="AM1111" i="1"/>
  <c r="AK1013" i="1"/>
  <c r="AL1013" i="1"/>
  <c r="AM1013" i="1"/>
  <c r="AK579" i="1"/>
  <c r="AL579" i="1"/>
  <c r="AM579" i="1"/>
  <c r="AK580" i="1"/>
  <c r="AL580" i="1"/>
  <c r="AM580" i="1"/>
  <c r="AK2616" i="1"/>
  <c r="AL2616" i="1"/>
  <c r="AM2616" i="1"/>
  <c r="AK733" i="1"/>
  <c r="AL733" i="1"/>
  <c r="AM733" i="1"/>
  <c r="AK710" i="1"/>
  <c r="AL710" i="1"/>
  <c r="AM710" i="1"/>
  <c r="AK2330" i="1"/>
  <c r="AL2330" i="1"/>
  <c r="AM2330" i="1"/>
  <c r="AK1917" i="1"/>
  <c r="AL1917" i="1"/>
  <c r="AM1917" i="1"/>
  <c r="AK619" i="1"/>
  <c r="AL619" i="1"/>
  <c r="AM619" i="1"/>
  <c r="AK1492" i="1"/>
  <c r="AL1492" i="1"/>
  <c r="AM1492" i="1"/>
  <c r="AK1550" i="1"/>
  <c r="AL1550" i="1"/>
  <c r="AM1550" i="1"/>
  <c r="AK1551" i="1"/>
  <c r="AL1551" i="1"/>
  <c r="AM1551" i="1"/>
  <c r="AK1552" i="1"/>
  <c r="AL1552" i="1"/>
  <c r="AM1552" i="1"/>
  <c r="AK1553" i="1"/>
  <c r="AL1553" i="1"/>
  <c r="AM1553" i="1"/>
  <c r="AK1618" i="1"/>
  <c r="AL1618" i="1"/>
  <c r="AM1618" i="1"/>
  <c r="AK1619" i="1"/>
  <c r="AL1619" i="1"/>
  <c r="AM1619" i="1"/>
  <c r="AK743" i="1"/>
  <c r="AL743" i="1"/>
  <c r="AM743" i="1"/>
  <c r="AK744" i="1"/>
  <c r="AL744" i="1"/>
  <c r="AM744" i="1"/>
  <c r="AK1732" i="1"/>
  <c r="AL1732" i="1"/>
  <c r="AM1732" i="1"/>
  <c r="AK1733" i="1"/>
  <c r="AL1733" i="1"/>
  <c r="AM1733" i="1"/>
  <c r="AK2331" i="1"/>
  <c r="AL2331" i="1"/>
  <c r="AM2331" i="1"/>
  <c r="AK1918" i="1"/>
  <c r="AL1918" i="1"/>
  <c r="AM1918" i="1"/>
  <c r="AK1620" i="1"/>
  <c r="AL1620" i="1"/>
  <c r="AM1620" i="1"/>
  <c r="AK1621" i="1"/>
  <c r="AL1621" i="1"/>
  <c r="AM1621" i="1"/>
  <c r="AK34" i="1"/>
  <c r="AL34" i="1"/>
  <c r="AM34" i="1"/>
  <c r="AK143" i="1"/>
  <c r="AL143" i="1"/>
  <c r="AM143" i="1"/>
  <c r="AK144" i="1"/>
  <c r="AL144" i="1"/>
  <c r="AM144" i="1"/>
  <c r="AK147" i="1"/>
  <c r="AL147" i="1"/>
  <c r="AM147" i="1"/>
  <c r="AK1036" i="1"/>
  <c r="AL1036" i="1"/>
  <c r="AM1036" i="1"/>
  <c r="AK1037" i="1"/>
  <c r="AL1037" i="1"/>
  <c r="AM1037" i="1"/>
  <c r="AK1038" i="1"/>
  <c r="AL1038" i="1"/>
  <c r="AM1038" i="1"/>
  <c r="AK1039" i="1"/>
  <c r="AL1039" i="1"/>
  <c r="AM1039" i="1"/>
  <c r="AK1040" i="1"/>
  <c r="AL1040" i="1"/>
  <c r="AM1040" i="1"/>
  <c r="AK1041" i="1"/>
  <c r="AL1041" i="1"/>
  <c r="AM1041" i="1"/>
  <c r="AK1042" i="1"/>
  <c r="AL1042" i="1"/>
  <c r="AM1042" i="1"/>
  <c r="AK1043" i="1"/>
  <c r="AL1043" i="1"/>
  <c r="AM1043" i="1"/>
  <c r="AK1044" i="1"/>
  <c r="AL1044" i="1"/>
  <c r="AM1044" i="1"/>
  <c r="AK1045" i="1"/>
  <c r="AL1045" i="1"/>
  <c r="AM1045" i="1"/>
  <c r="AK1046" i="1"/>
  <c r="AL1046" i="1"/>
  <c r="AM1046" i="1"/>
  <c r="AK1048" i="1"/>
  <c r="AL1048" i="1"/>
  <c r="AM1048" i="1"/>
  <c r="AK1050" i="1"/>
  <c r="AL1050" i="1"/>
  <c r="AM1050" i="1"/>
  <c r="AK1049" i="1"/>
  <c r="AL1049" i="1"/>
  <c r="AM1049" i="1"/>
  <c r="AK1051" i="1"/>
  <c r="AL1051" i="1"/>
  <c r="AM1051" i="1"/>
  <c r="AK1053" i="1"/>
  <c r="AL1053" i="1"/>
  <c r="AM1053" i="1"/>
  <c r="AK1052" i="1"/>
  <c r="AL1052" i="1"/>
  <c r="AM1052" i="1"/>
  <c r="AK1069" i="1"/>
  <c r="AL1069" i="1"/>
  <c r="AM1069" i="1"/>
  <c r="AK1070" i="1"/>
  <c r="AL1070" i="1"/>
  <c r="AM1070" i="1"/>
  <c r="AK1071" i="1"/>
  <c r="AL1071" i="1"/>
  <c r="AM1071" i="1"/>
  <c r="AK1072" i="1"/>
  <c r="AL1072" i="1"/>
  <c r="AM1072" i="1"/>
  <c r="AK1073" i="1"/>
  <c r="AL1073" i="1"/>
  <c r="AM1073" i="1"/>
  <c r="AK1074" i="1"/>
  <c r="AL1074" i="1"/>
  <c r="AM1074" i="1"/>
  <c r="AK1075" i="1"/>
  <c r="AL1075" i="1"/>
  <c r="AM1075" i="1"/>
  <c r="AK1076" i="1"/>
  <c r="AL1076" i="1"/>
  <c r="AM1076" i="1"/>
  <c r="AK1077" i="1"/>
  <c r="AL1077" i="1"/>
  <c r="AM1077" i="1"/>
  <c r="AK1078" i="1"/>
  <c r="AL1078" i="1"/>
  <c r="AM1078" i="1"/>
  <c r="AK1079" i="1"/>
  <c r="AL1079" i="1"/>
  <c r="AM1079" i="1"/>
  <c r="AK1080" i="1"/>
  <c r="AL1080" i="1"/>
  <c r="AM1080" i="1"/>
  <c r="AK1081" i="1"/>
  <c r="AL1081" i="1"/>
  <c r="AM1081" i="1"/>
  <c r="AK1082" i="1"/>
  <c r="AL1082" i="1"/>
  <c r="AM1082" i="1"/>
  <c r="AK1083" i="1"/>
  <c r="AL1083" i="1"/>
  <c r="AM1083" i="1"/>
  <c r="AK1084" i="1"/>
  <c r="AL1084" i="1"/>
  <c r="AM1084" i="1"/>
  <c r="AK1085" i="1"/>
  <c r="AL1085" i="1"/>
  <c r="AM1085" i="1"/>
  <c r="AK1087" i="1"/>
  <c r="AL1087" i="1"/>
  <c r="AM1087" i="1"/>
  <c r="AK1088" i="1"/>
  <c r="AL1088" i="1"/>
  <c r="AM1088" i="1"/>
  <c r="AK960" i="1"/>
  <c r="AL960" i="1"/>
  <c r="AM960" i="1"/>
  <c r="AK961" i="1"/>
  <c r="AL961" i="1"/>
  <c r="AM961" i="1"/>
  <c r="AK962" i="1"/>
  <c r="AL962" i="1"/>
  <c r="AM962" i="1"/>
  <c r="AK963" i="1"/>
  <c r="AL963" i="1"/>
  <c r="AM963" i="1"/>
  <c r="AK965" i="1"/>
  <c r="AL965" i="1"/>
  <c r="AM965" i="1"/>
  <c r="AK959" i="1"/>
  <c r="AL959" i="1"/>
  <c r="AM959" i="1"/>
  <c r="AK964" i="1"/>
  <c r="AL964" i="1"/>
  <c r="AM964" i="1"/>
  <c r="AK966" i="1"/>
  <c r="AL966" i="1"/>
  <c r="AM966" i="1"/>
  <c r="AK967" i="1"/>
  <c r="AL967" i="1"/>
  <c r="AM967" i="1"/>
  <c r="AK968" i="1"/>
  <c r="AL968" i="1"/>
  <c r="AM968" i="1"/>
  <c r="AK969" i="1"/>
  <c r="AL969" i="1"/>
  <c r="AM969" i="1"/>
  <c r="AK970" i="1"/>
  <c r="AL970" i="1"/>
  <c r="AM970" i="1"/>
  <c r="AK971" i="1"/>
  <c r="AL971" i="1"/>
  <c r="AM971" i="1"/>
  <c r="AK972" i="1"/>
  <c r="AL972" i="1"/>
  <c r="AM972" i="1"/>
  <c r="AK973" i="1"/>
  <c r="AL973" i="1"/>
  <c r="AM973" i="1"/>
  <c r="AK974" i="1"/>
  <c r="AL974" i="1"/>
  <c r="AM974" i="1"/>
  <c r="AK975" i="1"/>
  <c r="AL975" i="1"/>
  <c r="AM975" i="1"/>
  <c r="AK976" i="1"/>
  <c r="AL976" i="1"/>
  <c r="AM976" i="1"/>
  <c r="AK977" i="1"/>
  <c r="AL977" i="1"/>
  <c r="AM977" i="1"/>
  <c r="AK978" i="1"/>
  <c r="AL978" i="1"/>
  <c r="AM978" i="1"/>
  <c r="AK1123" i="1"/>
  <c r="AL1123" i="1"/>
  <c r="AM1123" i="1"/>
  <c r="AK1122" i="1"/>
  <c r="AL1122" i="1"/>
  <c r="AM1122" i="1"/>
  <c r="AK1124" i="1"/>
  <c r="AL1124" i="1"/>
  <c r="AM1124" i="1"/>
  <c r="AK1125" i="1"/>
  <c r="AL1125" i="1"/>
  <c r="AM1125" i="1"/>
  <c r="AK1126" i="1"/>
  <c r="AL1126" i="1"/>
  <c r="AM1126" i="1"/>
  <c r="AK1127" i="1"/>
  <c r="AL1127" i="1"/>
  <c r="AM1127" i="1"/>
  <c r="AK1128" i="1"/>
  <c r="AL1128" i="1"/>
  <c r="AM1128" i="1"/>
  <c r="AK1129" i="1"/>
  <c r="AL1129" i="1"/>
  <c r="AM1129" i="1"/>
  <c r="AK1130" i="1"/>
  <c r="AL1130" i="1"/>
  <c r="AM1130" i="1"/>
  <c r="AK1131" i="1"/>
  <c r="AL1131" i="1"/>
  <c r="AM1131" i="1"/>
  <c r="AK1132" i="1"/>
  <c r="AL1132" i="1"/>
  <c r="AM1132" i="1"/>
  <c r="AK1133" i="1"/>
  <c r="AL1133" i="1"/>
  <c r="AM1133" i="1"/>
  <c r="AK1134" i="1"/>
  <c r="AL1134" i="1"/>
  <c r="AM1134" i="1"/>
  <c r="AK1014" i="1"/>
  <c r="AL1014" i="1"/>
  <c r="AM1014" i="1"/>
  <c r="AK1015" i="1"/>
  <c r="AL1015" i="1"/>
  <c r="AM1015" i="1"/>
  <c r="AK1016" i="1"/>
  <c r="AL1016" i="1"/>
  <c r="AM1016" i="1"/>
  <c r="AK1017" i="1"/>
  <c r="AL1017" i="1"/>
  <c r="AM1017" i="1"/>
  <c r="AK1018" i="1"/>
  <c r="AL1018" i="1"/>
  <c r="AM1018" i="1"/>
  <c r="AK1019" i="1"/>
  <c r="AL1019" i="1"/>
  <c r="AM1019" i="1"/>
  <c r="AK1020" i="1"/>
  <c r="AL1020" i="1"/>
  <c r="AM1020" i="1"/>
  <c r="AK1021" i="1"/>
  <c r="AL1021" i="1"/>
  <c r="AM1021" i="1"/>
  <c r="AK1022" i="1"/>
  <c r="AL1022" i="1"/>
  <c r="AM1022" i="1"/>
  <c r="AK1024" i="1"/>
  <c r="AL1024" i="1"/>
  <c r="AM1024" i="1"/>
  <c r="AK1025" i="1"/>
  <c r="AL1025" i="1"/>
  <c r="AM1025" i="1"/>
  <c r="AK1026" i="1"/>
  <c r="AL1026" i="1"/>
  <c r="AM1026" i="1"/>
  <c r="AK1027" i="1"/>
  <c r="AL1027" i="1"/>
  <c r="AM1027" i="1"/>
  <c r="AK1028" i="1"/>
  <c r="AL1028" i="1"/>
  <c r="AM1028" i="1"/>
  <c r="AK1029" i="1"/>
  <c r="AL1029" i="1"/>
  <c r="AM1029" i="1"/>
  <c r="AK1030" i="1"/>
  <c r="AL1030" i="1"/>
  <c r="AM1030" i="1"/>
  <c r="AK1031" i="1"/>
  <c r="AL1031" i="1"/>
  <c r="AM1031" i="1"/>
  <c r="AK1032" i="1"/>
  <c r="AL1032" i="1"/>
  <c r="AM1032" i="1"/>
  <c r="AK1033" i="1"/>
  <c r="AL1033" i="1"/>
  <c r="AM1033" i="1"/>
  <c r="AK1034" i="1"/>
  <c r="AL1034" i="1"/>
  <c r="AM1034" i="1"/>
  <c r="AK1035" i="1"/>
  <c r="AL1035" i="1"/>
  <c r="AM1035" i="1"/>
  <c r="AK1054" i="1"/>
  <c r="AL1054" i="1"/>
  <c r="AM1054" i="1"/>
  <c r="AK1056" i="1"/>
  <c r="AL1056" i="1"/>
  <c r="AM1056" i="1"/>
  <c r="AK1057" i="1"/>
  <c r="AL1057" i="1"/>
  <c r="AM1057" i="1"/>
  <c r="AK1058" i="1"/>
  <c r="AL1058" i="1"/>
  <c r="AM1058" i="1"/>
  <c r="AK1059" i="1"/>
  <c r="AL1059" i="1"/>
  <c r="AM1059" i="1"/>
  <c r="AK1060" i="1"/>
  <c r="AL1060" i="1"/>
  <c r="AM1060" i="1"/>
  <c r="AK1055" i="1"/>
  <c r="AL1055" i="1"/>
  <c r="AM1055" i="1"/>
  <c r="AK1061" i="1"/>
  <c r="AL1061" i="1"/>
  <c r="AM1061" i="1"/>
  <c r="AK1062" i="1"/>
  <c r="AL1062" i="1"/>
  <c r="AM1062" i="1"/>
  <c r="AK1063" i="1"/>
  <c r="AL1063" i="1"/>
  <c r="AM1063" i="1"/>
  <c r="AK1064" i="1"/>
  <c r="AL1064" i="1"/>
  <c r="AM1064" i="1"/>
  <c r="AK1065" i="1"/>
  <c r="AL1065" i="1"/>
  <c r="AM1065" i="1"/>
  <c r="AK1066" i="1"/>
  <c r="AL1066" i="1"/>
  <c r="AM1066" i="1"/>
  <c r="AK1067" i="1"/>
  <c r="AL1067" i="1"/>
  <c r="AM1067" i="1"/>
  <c r="AK1068" i="1"/>
  <c r="AL1068" i="1"/>
  <c r="AM1068" i="1"/>
  <c r="AK159" i="1"/>
  <c r="AL159" i="1"/>
  <c r="AM159" i="1"/>
  <c r="AK160" i="1"/>
  <c r="AL160" i="1"/>
  <c r="AM160" i="1"/>
  <c r="AK161" i="1"/>
  <c r="AL161" i="1"/>
  <c r="AM161" i="1"/>
  <c r="AK162" i="1"/>
  <c r="AL162" i="1"/>
  <c r="AM162" i="1"/>
  <c r="AK158" i="1"/>
  <c r="AL158" i="1"/>
  <c r="AM158" i="1"/>
  <c r="AK1047" i="1"/>
  <c r="AL1047" i="1"/>
  <c r="AM1047" i="1"/>
  <c r="AK1086" i="1"/>
  <c r="AL1086" i="1"/>
  <c r="AM1086" i="1"/>
  <c r="AK1140" i="1"/>
  <c r="AL1140" i="1"/>
  <c r="AM1140" i="1"/>
  <c r="AK1141" i="1"/>
  <c r="AL1141" i="1"/>
  <c r="AM1141" i="1"/>
  <c r="AK1023" i="1"/>
  <c r="AL1023" i="1"/>
  <c r="AM1023" i="1"/>
  <c r="AK1897" i="1"/>
  <c r="AL1897" i="1"/>
  <c r="AM1897" i="1"/>
  <c r="AK1891" i="1"/>
  <c r="AL1891" i="1"/>
  <c r="AM1891" i="1"/>
  <c r="AK1919" i="1"/>
  <c r="AL1919" i="1"/>
  <c r="AM1919" i="1"/>
  <c r="AK800" i="1"/>
  <c r="AL800" i="1"/>
  <c r="AM800" i="1"/>
  <c r="AK801" i="1"/>
  <c r="AL801" i="1"/>
  <c r="AM801" i="1"/>
  <c r="AK2067" i="1"/>
  <c r="AL2067" i="1"/>
  <c r="AM2067" i="1"/>
  <c r="AK591" i="1"/>
  <c r="AL591" i="1"/>
  <c r="AM591" i="1"/>
  <c r="AK598" i="1"/>
  <c r="AL598" i="1"/>
  <c r="AM598" i="1"/>
  <c r="AK1230" i="1"/>
  <c r="AL1230" i="1"/>
  <c r="AM1230" i="1"/>
  <c r="AK1231" i="1"/>
  <c r="AL1231" i="1"/>
  <c r="AM1231" i="1"/>
  <c r="AK63" i="1"/>
  <c r="AL63" i="1"/>
  <c r="AM63" i="1"/>
  <c r="AK71" i="1"/>
  <c r="AL71" i="1"/>
  <c r="AM71" i="1"/>
  <c r="AK70" i="1"/>
  <c r="AL70" i="1"/>
  <c r="AM70" i="1"/>
  <c r="AK112" i="1"/>
  <c r="AL112" i="1"/>
  <c r="AM112" i="1"/>
  <c r="AK99" i="1"/>
  <c r="AL99" i="1"/>
  <c r="AM99" i="1"/>
  <c r="AK102" i="1"/>
  <c r="AL102" i="1"/>
  <c r="AM102" i="1"/>
  <c r="AK120" i="1"/>
  <c r="AL120" i="1"/>
  <c r="AM120" i="1"/>
  <c r="AK92" i="1"/>
  <c r="AL92" i="1"/>
  <c r="AM92" i="1"/>
  <c r="AK131" i="1"/>
  <c r="AL131" i="1"/>
  <c r="AM131" i="1"/>
  <c r="AK68" i="1"/>
  <c r="AL68" i="1"/>
  <c r="AM68" i="1"/>
  <c r="AK77" i="1"/>
  <c r="AL77" i="1"/>
  <c r="AM77" i="1"/>
  <c r="AK75" i="1"/>
  <c r="AL75" i="1"/>
  <c r="AM75" i="1"/>
  <c r="AK74" i="1"/>
  <c r="AL74" i="1"/>
  <c r="AM74" i="1"/>
  <c r="AK91" i="1"/>
  <c r="AL91" i="1"/>
  <c r="AM91" i="1"/>
  <c r="AK101" i="1"/>
  <c r="AL101" i="1"/>
  <c r="AM101" i="1"/>
  <c r="AK72" i="1"/>
  <c r="AL72" i="1"/>
  <c r="AM72" i="1"/>
  <c r="AK73" i="1"/>
  <c r="AL73" i="1"/>
  <c r="AM73" i="1"/>
  <c r="AK76" i="1"/>
  <c r="AL76" i="1"/>
  <c r="AM76" i="1"/>
  <c r="AK90" i="1"/>
  <c r="AL90" i="1"/>
  <c r="AM90" i="1"/>
  <c r="AK106" i="1"/>
  <c r="AL106" i="1"/>
  <c r="AM106" i="1"/>
  <c r="AK111" i="1"/>
  <c r="AL111" i="1"/>
  <c r="AM111" i="1"/>
  <c r="AK129" i="1"/>
  <c r="AL129" i="1"/>
  <c r="AM129" i="1"/>
  <c r="AK132" i="1"/>
  <c r="AL132" i="1"/>
  <c r="AM132" i="1"/>
  <c r="AK69" i="1"/>
  <c r="AL69" i="1"/>
  <c r="AM69" i="1"/>
  <c r="AK80" i="1"/>
  <c r="AL80" i="1"/>
  <c r="AM80" i="1"/>
  <c r="AK103" i="1"/>
  <c r="AL103" i="1"/>
  <c r="AM103" i="1"/>
  <c r="AK105" i="1"/>
  <c r="AL105" i="1"/>
  <c r="AM105" i="1"/>
  <c r="AK1622" i="1"/>
  <c r="AL1622" i="1"/>
  <c r="AM1622" i="1"/>
  <c r="AK113" i="1"/>
  <c r="AL113" i="1"/>
  <c r="AM113" i="1"/>
  <c r="AK1920" i="1"/>
  <c r="AL1920" i="1"/>
  <c r="AM1920" i="1"/>
  <c r="AK1665" i="1"/>
  <c r="AL1665" i="1"/>
  <c r="AM1665" i="1"/>
  <c r="AK93" i="1"/>
  <c r="AL93" i="1"/>
  <c r="AM93" i="1"/>
  <c r="AK104" i="1"/>
  <c r="AL104" i="1"/>
  <c r="AM104" i="1"/>
  <c r="AK1921" i="1"/>
  <c r="AL1921" i="1"/>
  <c r="AM1921" i="1"/>
  <c r="AK802" i="1"/>
  <c r="AL802" i="1"/>
  <c r="AM802" i="1"/>
  <c r="AK803" i="1"/>
  <c r="AL803" i="1"/>
  <c r="AM803" i="1"/>
  <c r="AK2068" i="1"/>
  <c r="AL2068" i="1"/>
  <c r="AM2068" i="1"/>
  <c r="AK1232" i="1"/>
  <c r="AL1232" i="1"/>
  <c r="AM1232" i="1"/>
  <c r="AK1233" i="1"/>
  <c r="AL1233" i="1"/>
  <c r="AM1233" i="1"/>
  <c r="AK1234" i="1"/>
  <c r="AL1234" i="1"/>
  <c r="AM1234" i="1"/>
  <c r="AK1235" i="1"/>
  <c r="AL1235" i="1"/>
  <c r="AM1235" i="1"/>
  <c r="AK1236" i="1"/>
  <c r="AL1236" i="1"/>
  <c r="AM1236" i="1"/>
  <c r="AK1675" i="1"/>
  <c r="AL1675" i="1"/>
  <c r="AM1675" i="1"/>
  <c r="AK1388" i="1"/>
  <c r="AL1388" i="1"/>
  <c r="AM1388" i="1"/>
  <c r="AK1422" i="1"/>
  <c r="AL1422" i="1"/>
  <c r="AM1422" i="1"/>
  <c r="AK1423" i="1"/>
  <c r="AL1423" i="1"/>
  <c r="AM1423" i="1"/>
  <c r="AK1424" i="1"/>
  <c r="AL1424" i="1"/>
  <c r="AM1424" i="1"/>
  <c r="AK1763" i="1"/>
  <c r="AL1763" i="1"/>
  <c r="AM1763" i="1"/>
  <c r="AK1764" i="1"/>
  <c r="AL1764" i="1"/>
  <c r="AM1764" i="1"/>
  <c r="AK1623" i="1"/>
  <c r="AL1623" i="1"/>
  <c r="AM1623" i="1"/>
  <c r="AK260" i="1"/>
  <c r="AL260" i="1"/>
  <c r="AM260" i="1"/>
  <c r="AK261" i="1"/>
  <c r="AL261" i="1"/>
  <c r="AM261" i="1"/>
  <c r="AK358" i="1"/>
  <c r="AL358" i="1"/>
  <c r="AM358" i="1"/>
  <c r="AK1308" i="1"/>
  <c r="AL1308" i="1"/>
  <c r="AM1308" i="1"/>
  <c r="AK1922" i="1"/>
  <c r="AL1922" i="1"/>
  <c r="AM1922" i="1"/>
  <c r="AK804" i="1"/>
  <c r="AL804" i="1"/>
  <c r="AM804" i="1"/>
  <c r="AK805" i="1"/>
  <c r="AL805" i="1"/>
  <c r="AM805" i="1"/>
  <c r="AK2069" i="1"/>
  <c r="AL2069" i="1"/>
  <c r="AM2069" i="1"/>
  <c r="AK739" i="1"/>
  <c r="AL739" i="1"/>
  <c r="AM739" i="1"/>
  <c r="AK706" i="1"/>
  <c r="AL706" i="1"/>
  <c r="AM706" i="1"/>
  <c r="AK1734" i="1"/>
  <c r="AL1734" i="1"/>
  <c r="AM1734" i="1"/>
  <c r="AK1309" i="1"/>
  <c r="AL1309" i="1"/>
  <c r="AM1309" i="1"/>
  <c r="AK1796" i="1"/>
  <c r="AL1796" i="1"/>
  <c r="AM1796" i="1"/>
  <c r="AK1923" i="1"/>
  <c r="AL1923" i="1"/>
  <c r="AM1923" i="1"/>
  <c r="AK806" i="1"/>
  <c r="AL806" i="1"/>
  <c r="AM806" i="1"/>
  <c r="AK1666" i="1"/>
  <c r="AL1666" i="1"/>
  <c r="AM1666" i="1"/>
  <c r="AK1667" i="1"/>
  <c r="AL1667" i="1"/>
  <c r="AM1667" i="1"/>
  <c r="AK1770" i="1"/>
  <c r="AL1770" i="1"/>
  <c r="AM1770" i="1"/>
  <c r="AK745" i="1"/>
  <c r="AL745" i="1"/>
  <c r="AM745" i="1"/>
  <c r="AK734" i="1"/>
  <c r="AL734" i="1"/>
  <c r="AM734" i="1"/>
  <c r="AK1771" i="1"/>
  <c r="AL1771" i="1"/>
  <c r="AM1771" i="1"/>
  <c r="AK1554" i="1"/>
  <c r="AL1554" i="1"/>
  <c r="AM1554" i="1"/>
  <c r="AK1555" i="1"/>
  <c r="AL1555" i="1"/>
  <c r="AM1555" i="1"/>
  <c r="AK1556" i="1"/>
  <c r="AL1556" i="1"/>
  <c r="AM1556" i="1"/>
  <c r="AK1624" i="1"/>
  <c r="AL1624" i="1"/>
  <c r="AM1624" i="1"/>
  <c r="AK1625" i="1"/>
  <c r="AL1625" i="1"/>
  <c r="AM1625" i="1"/>
  <c r="AK1473" i="1"/>
  <c r="AL1473" i="1"/>
  <c r="AM1473" i="1"/>
  <c r="AK145" i="1"/>
  <c r="AL145" i="1"/>
  <c r="AM145" i="1"/>
  <c r="AK1482" i="1"/>
  <c r="AL1482" i="1"/>
  <c r="AM1482" i="1"/>
  <c r="AK2201" i="1"/>
  <c r="AL2201" i="1"/>
  <c r="AM2201" i="1"/>
  <c r="AK1924" i="1"/>
  <c r="AL1924" i="1"/>
  <c r="AM1924" i="1"/>
  <c r="AK2070" i="1"/>
  <c r="AL2070" i="1"/>
  <c r="AM2070" i="1"/>
  <c r="AK262" i="1"/>
  <c r="AL262" i="1"/>
  <c r="AM262" i="1"/>
  <c r="AK2524" i="1"/>
  <c r="AL2524" i="1"/>
  <c r="AM2524" i="1"/>
  <c r="AK685" i="1"/>
  <c r="AL685" i="1"/>
  <c r="AM685" i="1"/>
  <c r="AK686" i="1"/>
  <c r="AL686" i="1"/>
  <c r="AM686" i="1"/>
  <c r="AK687" i="1"/>
  <c r="AL687" i="1"/>
  <c r="AM687" i="1"/>
  <c r="AK2426" i="1"/>
  <c r="AL2426" i="1"/>
  <c r="AM2426" i="1"/>
  <c r="AK2427" i="1"/>
  <c r="AL2427" i="1"/>
  <c r="AM2427" i="1"/>
  <c r="AK2523" i="1"/>
  <c r="AL2523" i="1"/>
  <c r="AM2523" i="1"/>
  <c r="AK2071" i="1"/>
  <c r="AL2071" i="1"/>
  <c r="AM2071" i="1"/>
  <c r="AK807" i="1"/>
  <c r="AL807" i="1"/>
  <c r="AM807" i="1"/>
  <c r="AK1925" i="1"/>
  <c r="AL1925" i="1"/>
  <c r="AM1925" i="1"/>
  <c r="AK1926" i="1"/>
  <c r="AL1926" i="1"/>
  <c r="AM1926" i="1"/>
  <c r="AK2202" i="1"/>
  <c r="AL2202" i="1"/>
  <c r="AM2202" i="1"/>
  <c r="AK2332" i="1"/>
  <c r="AL2332" i="1"/>
  <c r="AM2332" i="1"/>
  <c r="AK1354" i="1"/>
  <c r="AL1354" i="1"/>
  <c r="AM1354" i="1"/>
  <c r="AK1773" i="1"/>
  <c r="AL1773" i="1"/>
  <c r="AM1773" i="1"/>
  <c r="AK1774" i="1"/>
  <c r="AL1774" i="1"/>
  <c r="AM1774" i="1"/>
  <c r="AK670" i="1"/>
  <c r="AL670" i="1"/>
  <c r="AM670" i="1"/>
  <c r="AK671" i="1"/>
  <c r="AL671" i="1"/>
  <c r="AM671" i="1"/>
  <c r="AK657" i="1"/>
  <c r="AL657" i="1"/>
  <c r="AM657" i="1"/>
  <c r="AK658" i="1"/>
  <c r="AL658" i="1"/>
  <c r="AM658" i="1"/>
  <c r="AK659" i="1"/>
  <c r="AL659" i="1"/>
  <c r="AM659" i="1"/>
  <c r="AK662" i="1"/>
  <c r="AL662" i="1"/>
  <c r="AM662" i="1"/>
  <c r="AK663" i="1"/>
  <c r="AL663" i="1"/>
  <c r="AM663" i="1"/>
  <c r="AK653" i="1"/>
  <c r="AL653" i="1"/>
  <c r="AM653" i="1"/>
  <c r="AK654" i="1"/>
  <c r="AL654" i="1"/>
  <c r="AM654" i="1"/>
  <c r="AK667" i="1"/>
  <c r="AL667" i="1"/>
  <c r="AM667" i="1"/>
  <c r="AK1484" i="1"/>
  <c r="AL1484" i="1"/>
  <c r="AM1484" i="1"/>
  <c r="AK1425" i="1"/>
  <c r="AL1425" i="1"/>
  <c r="AM1425" i="1"/>
  <c r="AK1426" i="1"/>
  <c r="AL1426" i="1"/>
  <c r="AM1426" i="1"/>
  <c r="AK1427" i="1"/>
  <c r="AL1427" i="1"/>
  <c r="AM1427" i="1"/>
  <c r="AK263" i="1"/>
  <c r="AL263" i="1"/>
  <c r="AM263" i="1"/>
  <c r="AK2428" i="1"/>
  <c r="AL2428" i="1"/>
  <c r="AM2428" i="1"/>
  <c r="AK2429" i="1"/>
  <c r="AL2429" i="1"/>
  <c r="AM2429" i="1"/>
  <c r="AK2525" i="1"/>
  <c r="AL2525" i="1"/>
  <c r="AM2525" i="1"/>
  <c r="AK2526" i="1"/>
  <c r="AL2526" i="1"/>
  <c r="AM2526" i="1"/>
  <c r="AK808" i="1"/>
  <c r="AL808" i="1"/>
  <c r="AM808" i="1"/>
  <c r="AK809" i="1"/>
  <c r="AL809" i="1"/>
  <c r="AM809" i="1"/>
  <c r="AK1927" i="1"/>
  <c r="AL1927" i="1"/>
  <c r="AM1927" i="1"/>
  <c r="AK1928" i="1"/>
  <c r="AL1928" i="1"/>
  <c r="AM1928" i="1"/>
  <c r="AK2072" i="1"/>
  <c r="AL2072" i="1"/>
  <c r="AM2072" i="1"/>
  <c r="AK2073" i="1"/>
  <c r="AL2073" i="1"/>
  <c r="AM2073" i="1"/>
  <c r="AK2074" i="1"/>
  <c r="AL2074" i="1"/>
  <c r="AM2074" i="1"/>
  <c r="AK2203" i="1"/>
  <c r="AL2203" i="1"/>
  <c r="AM2203" i="1"/>
  <c r="AK2204" i="1"/>
  <c r="AL2204" i="1"/>
  <c r="AM2204" i="1"/>
  <c r="AK2333" i="1"/>
  <c r="AL2333" i="1"/>
  <c r="AM2333" i="1"/>
  <c r="AK2334" i="1"/>
  <c r="AL2334" i="1"/>
  <c r="AM2334" i="1"/>
  <c r="AK1775" i="1"/>
  <c r="AL1775" i="1"/>
  <c r="AM1775" i="1"/>
  <c r="AK711" i="1"/>
  <c r="AL711" i="1"/>
  <c r="AM711" i="1"/>
  <c r="AK1676" i="1"/>
  <c r="AL1676" i="1"/>
  <c r="AM1676" i="1"/>
  <c r="AK1677" i="1"/>
  <c r="AL1677" i="1"/>
  <c r="AM1677" i="1"/>
  <c r="AK2625" i="1"/>
  <c r="AL2625" i="1"/>
  <c r="AM2625" i="1"/>
  <c r="AK2624" i="1"/>
  <c r="AL2624" i="1"/>
  <c r="AM2624" i="1"/>
  <c r="AK1678" i="1"/>
  <c r="AL1678" i="1"/>
  <c r="AM1678" i="1"/>
  <c r="AK1679" i="1"/>
  <c r="AL1679" i="1"/>
  <c r="AM1679" i="1"/>
  <c r="AK2430" i="1"/>
  <c r="AL2430" i="1"/>
  <c r="AM2430" i="1"/>
  <c r="AK2431" i="1"/>
  <c r="AL2431" i="1"/>
  <c r="AM2431" i="1"/>
  <c r="AK810" i="1"/>
  <c r="AL810" i="1"/>
  <c r="AM810" i="1"/>
  <c r="AK811" i="1"/>
  <c r="AL811" i="1"/>
  <c r="AM811" i="1"/>
  <c r="AK1929" i="1"/>
  <c r="AL1929" i="1"/>
  <c r="AM1929" i="1"/>
  <c r="AK2075" i="1"/>
  <c r="AL2075" i="1"/>
  <c r="AM2075" i="1"/>
  <c r="AK2205" i="1"/>
  <c r="AL2205" i="1"/>
  <c r="AM2205" i="1"/>
  <c r="AK2335" i="1"/>
  <c r="AL2335" i="1"/>
  <c r="AM2335" i="1"/>
  <c r="AK2527" i="1"/>
  <c r="AL2527" i="1"/>
  <c r="AM2527" i="1"/>
  <c r="AK1493" i="1"/>
  <c r="AL1493" i="1"/>
  <c r="AM1493" i="1"/>
  <c r="AK1494" i="1"/>
  <c r="AL1494" i="1"/>
  <c r="AM1494" i="1"/>
  <c r="AK1237" i="1"/>
  <c r="AL1237" i="1"/>
  <c r="AM1237" i="1"/>
  <c r="AK1453" i="1"/>
  <c r="AL1453" i="1"/>
  <c r="AM1453" i="1"/>
  <c r="AK1454" i="1"/>
  <c r="AL1454" i="1"/>
  <c r="AM1454" i="1"/>
  <c r="AK1455" i="1"/>
  <c r="AL1455" i="1"/>
  <c r="AM1455" i="1"/>
  <c r="AK1456" i="1"/>
  <c r="AL1456" i="1"/>
  <c r="AM1456" i="1"/>
  <c r="AK1457" i="1"/>
  <c r="AL1457" i="1"/>
  <c r="AM1457" i="1"/>
  <c r="AK1310" i="1"/>
  <c r="AL1310" i="1"/>
  <c r="AM1310" i="1"/>
  <c r="AK688" i="1"/>
  <c r="AL688" i="1"/>
  <c r="AM688" i="1"/>
  <c r="AK50" i="1"/>
  <c r="AL50" i="1"/>
  <c r="AM50" i="1"/>
  <c r="AK634" i="1"/>
  <c r="AL634" i="1"/>
  <c r="AM634" i="1"/>
  <c r="AK1294" i="1"/>
  <c r="AL1294" i="1"/>
  <c r="AM1294" i="1"/>
  <c r="AK2617" i="1"/>
  <c r="AL2617" i="1"/>
  <c r="AM2617" i="1"/>
  <c r="AK620" i="1"/>
  <c r="AL620" i="1"/>
  <c r="AM620" i="1"/>
  <c r="AK1718" i="1"/>
  <c r="AL1718" i="1"/>
  <c r="AM1718" i="1"/>
  <c r="AK1721" i="1"/>
  <c r="AL1721" i="1"/>
  <c r="AM1721" i="1"/>
  <c r="AK1725" i="1"/>
  <c r="AL1725" i="1"/>
  <c r="AM1725" i="1"/>
  <c r="AK1735" i="1"/>
  <c r="AL1735" i="1"/>
  <c r="AM1735" i="1"/>
  <c r="AK1736" i="1"/>
  <c r="AL1736" i="1"/>
  <c r="AM1736" i="1"/>
  <c r="AK1737" i="1"/>
  <c r="AL1737" i="1"/>
  <c r="AM1737" i="1"/>
  <c r="AK1738" i="1"/>
  <c r="AL1738" i="1"/>
  <c r="AM1738" i="1"/>
  <c r="AK1739" i="1"/>
  <c r="AL1739" i="1"/>
  <c r="AM1739" i="1"/>
  <c r="AK1740" i="1"/>
  <c r="AL1740" i="1"/>
  <c r="AM1740" i="1"/>
  <c r="AK622" i="1"/>
  <c r="AL622" i="1"/>
  <c r="AM622" i="1"/>
  <c r="AK621" i="1"/>
  <c r="AL621" i="1"/>
  <c r="AM621" i="1"/>
  <c r="AK2432" i="1"/>
  <c r="AL2432" i="1"/>
  <c r="AM2432" i="1"/>
  <c r="AK812" i="1"/>
  <c r="AL812" i="1"/>
  <c r="AM812" i="1"/>
  <c r="AK813" i="1"/>
  <c r="AL813" i="1"/>
  <c r="AM813" i="1"/>
  <c r="AK1930" i="1"/>
  <c r="AL1930" i="1"/>
  <c r="AM1930" i="1"/>
  <c r="AK2076" i="1"/>
  <c r="AL2076" i="1"/>
  <c r="AM2076" i="1"/>
  <c r="AK1931" i="1"/>
  <c r="AL1931" i="1"/>
  <c r="AM1931" i="1"/>
  <c r="AK2206" i="1"/>
  <c r="AL2206" i="1"/>
  <c r="AM2206" i="1"/>
  <c r="AK2207" i="1"/>
  <c r="AL2207" i="1"/>
  <c r="AM2207" i="1"/>
  <c r="AK2336" i="1"/>
  <c r="AL2336" i="1"/>
  <c r="AM2336" i="1"/>
  <c r="AK2528" i="1"/>
  <c r="AL2528" i="1"/>
  <c r="AM2528" i="1"/>
  <c r="AK712" i="1"/>
  <c r="AL712" i="1"/>
  <c r="AM712" i="1"/>
  <c r="AK713" i="1"/>
  <c r="AL713" i="1"/>
  <c r="AM713" i="1"/>
  <c r="AK746" i="1"/>
  <c r="AL746" i="1"/>
  <c r="AM746" i="1"/>
  <c r="AK1238" i="1"/>
  <c r="AL1238" i="1"/>
  <c r="AM1238" i="1"/>
  <c r="AK1239" i="1"/>
  <c r="AL1239" i="1"/>
  <c r="AM1239" i="1"/>
  <c r="AK1810" i="1"/>
  <c r="AL1810" i="1"/>
  <c r="AM1810" i="1"/>
  <c r="AK1811" i="1"/>
  <c r="AL1811" i="1"/>
  <c r="AM1811" i="1"/>
  <c r="AK1557" i="1"/>
  <c r="AL1557" i="1"/>
  <c r="AM1557" i="1"/>
  <c r="AK1558" i="1"/>
  <c r="AL1558" i="1"/>
  <c r="AM1558" i="1"/>
  <c r="AK1559" i="1"/>
  <c r="AL1559" i="1"/>
  <c r="AM1559" i="1"/>
  <c r="AK1560" i="1"/>
  <c r="AL1560" i="1"/>
  <c r="AM1560" i="1"/>
  <c r="AK1561" i="1"/>
  <c r="AL1561" i="1"/>
  <c r="AM1561" i="1"/>
  <c r="AK1311" i="1"/>
  <c r="AL1311" i="1"/>
  <c r="AM1311" i="1"/>
  <c r="AK1312" i="1"/>
  <c r="AL1312" i="1"/>
  <c r="AM1312" i="1"/>
  <c r="AK1850" i="1"/>
  <c r="AL1850" i="1"/>
  <c r="AM1850" i="1"/>
  <c r="AK35" i="1"/>
  <c r="AL35" i="1"/>
  <c r="AM35" i="1"/>
  <c r="AK814" i="1"/>
  <c r="AL814" i="1"/>
  <c r="AM814" i="1"/>
  <c r="AK815" i="1"/>
  <c r="AL815" i="1"/>
  <c r="AM815" i="1"/>
  <c r="AK1932" i="1"/>
  <c r="AL1932" i="1"/>
  <c r="AM1932" i="1"/>
  <c r="AK2077" i="1"/>
  <c r="AL2077" i="1"/>
  <c r="AM2077" i="1"/>
  <c r="AK2078" i="1"/>
  <c r="AL2078" i="1"/>
  <c r="AM2078" i="1"/>
  <c r="AK2337" i="1"/>
  <c r="AL2337" i="1"/>
  <c r="AM2337" i="1"/>
  <c r="AK2529" i="1"/>
  <c r="AL2529" i="1"/>
  <c r="AM2529" i="1"/>
  <c r="AK635" i="1"/>
  <c r="AL635" i="1"/>
  <c r="AM635" i="1"/>
  <c r="AK1680" i="1"/>
  <c r="AL1680" i="1"/>
  <c r="AM1680" i="1"/>
  <c r="AK601" i="1"/>
  <c r="AL601" i="1"/>
  <c r="AM601" i="1"/>
  <c r="AK1812" i="1"/>
  <c r="AL1812" i="1"/>
  <c r="AM1812" i="1"/>
  <c r="AK1752" i="1"/>
  <c r="AL1752" i="1"/>
  <c r="AM1752" i="1"/>
  <c r="AK1753" i="1"/>
  <c r="AL1753" i="1"/>
  <c r="AM1753" i="1"/>
  <c r="AK1240" i="1"/>
  <c r="AL1240" i="1"/>
  <c r="AM1240" i="1"/>
  <c r="AK1241" i="1"/>
  <c r="AL1241" i="1"/>
  <c r="AM1241" i="1"/>
  <c r="AK1797" i="1"/>
  <c r="AL1797" i="1"/>
  <c r="AM1797" i="1"/>
  <c r="AK1798" i="1"/>
  <c r="AL1798" i="1"/>
  <c r="AM1798" i="1"/>
  <c r="AK1799" i="1"/>
  <c r="AL1799" i="1"/>
  <c r="AM1799" i="1"/>
  <c r="AK735" i="1"/>
  <c r="AL735" i="1"/>
  <c r="AM735" i="1"/>
  <c r="AK623" i="1"/>
  <c r="AL623" i="1"/>
  <c r="AM623" i="1"/>
  <c r="AK1313" i="1"/>
  <c r="AL1313" i="1"/>
  <c r="AM1313" i="1"/>
  <c r="AK264" i="1"/>
  <c r="AL264" i="1"/>
  <c r="AM264" i="1"/>
  <c r="AK265" i="1"/>
  <c r="AL265" i="1"/>
  <c r="AM265" i="1"/>
  <c r="AK1242" i="1"/>
  <c r="AL1242" i="1"/>
  <c r="AM1242" i="1"/>
  <c r="AK2530" i="1"/>
  <c r="AL2530" i="1"/>
  <c r="AM2530" i="1"/>
  <c r="AK2433" i="1"/>
  <c r="AL2433" i="1"/>
  <c r="AM2433" i="1"/>
  <c r="AK2434" i="1"/>
  <c r="AL2434" i="1"/>
  <c r="AM2434" i="1"/>
  <c r="AK2435" i="1"/>
  <c r="AL2435" i="1"/>
  <c r="AM2435" i="1"/>
  <c r="AK2338" i="1"/>
  <c r="AL2338" i="1"/>
  <c r="AM2338" i="1"/>
  <c r="AK2339" i="1"/>
  <c r="AL2339" i="1"/>
  <c r="AM2339" i="1"/>
  <c r="AK1933" i="1"/>
  <c r="AL1933" i="1"/>
  <c r="AM1933" i="1"/>
  <c r="AK2079" i="1"/>
  <c r="AL2079" i="1"/>
  <c r="AM2079" i="1"/>
  <c r="AK2080" i="1"/>
  <c r="AL2080" i="1"/>
  <c r="AM2080" i="1"/>
  <c r="AK2081" i="1"/>
  <c r="AL2081" i="1"/>
  <c r="AM2081" i="1"/>
  <c r="AK395" i="1"/>
  <c r="AL395" i="1"/>
  <c r="AM395" i="1"/>
  <c r="AK399" i="1"/>
  <c r="AL399" i="1"/>
  <c r="AM399" i="1"/>
  <c r="AK1813" i="1"/>
  <c r="AL1813" i="1"/>
  <c r="AM1813" i="1"/>
  <c r="AK1814" i="1"/>
  <c r="AL1814" i="1"/>
  <c r="AM1814" i="1"/>
  <c r="AK1815" i="1"/>
  <c r="AL1815" i="1"/>
  <c r="AM1815" i="1"/>
  <c r="AK1816" i="1"/>
  <c r="AL1816" i="1"/>
  <c r="AM1816" i="1"/>
  <c r="AK1817" i="1"/>
  <c r="AL1817" i="1"/>
  <c r="AM1817" i="1"/>
  <c r="AK609" i="1"/>
  <c r="AL609" i="1"/>
  <c r="AM609" i="1"/>
  <c r="AK359" i="1"/>
  <c r="AL359" i="1"/>
  <c r="AM359" i="1"/>
  <c r="AK1243" i="1"/>
  <c r="AL1243" i="1"/>
  <c r="AM1243" i="1"/>
  <c r="AK1244" i="1"/>
  <c r="AL1244" i="1"/>
  <c r="AM1244" i="1"/>
  <c r="AK2208" i="1"/>
  <c r="AL2208" i="1"/>
  <c r="AM2208" i="1"/>
  <c r="AK2209" i="1"/>
  <c r="AL2209" i="1"/>
  <c r="AM2209" i="1"/>
  <c r="AK674" i="1"/>
  <c r="AL674" i="1"/>
  <c r="AM674" i="1"/>
  <c r="AK673" i="1"/>
  <c r="AL673" i="1"/>
  <c r="AM673" i="1"/>
  <c r="AK675" i="1"/>
  <c r="AL675" i="1"/>
  <c r="AM675" i="1"/>
  <c r="AK1626" i="1"/>
  <c r="AL1626" i="1"/>
  <c r="AM1626" i="1"/>
  <c r="AK1627" i="1"/>
  <c r="AL1627" i="1"/>
  <c r="AM1627" i="1"/>
  <c r="AK1628" i="1"/>
  <c r="AL1628" i="1"/>
  <c r="AM1628" i="1"/>
  <c r="AK1629" i="1"/>
  <c r="AL1629" i="1"/>
  <c r="AM1629" i="1"/>
  <c r="AK2531" i="1"/>
  <c r="AL2531" i="1"/>
  <c r="AM2531" i="1"/>
  <c r="AK2532" i="1"/>
  <c r="AL2532" i="1"/>
  <c r="AM2532" i="1"/>
  <c r="AK1934" i="1"/>
  <c r="AL1934" i="1"/>
  <c r="AM1934" i="1"/>
  <c r="AK1936" i="1"/>
  <c r="AL1936" i="1"/>
  <c r="AM1936" i="1"/>
  <c r="AK1935" i="1"/>
  <c r="AL1935" i="1"/>
  <c r="AM1935" i="1"/>
  <c r="AK2436" i="1"/>
  <c r="AL2436" i="1"/>
  <c r="AM2436" i="1"/>
  <c r="AK2437" i="1"/>
  <c r="AL2437" i="1"/>
  <c r="AM2437" i="1"/>
  <c r="AK816" i="1"/>
  <c r="AL816" i="1"/>
  <c r="AM816" i="1"/>
  <c r="AK817" i="1"/>
  <c r="AL817" i="1"/>
  <c r="AM817" i="1"/>
  <c r="AK1562" i="1"/>
  <c r="AL1562" i="1"/>
  <c r="AM1562" i="1"/>
  <c r="AK1563" i="1"/>
  <c r="AL1563" i="1"/>
  <c r="AM1563" i="1"/>
  <c r="AK1564" i="1"/>
  <c r="AL1564" i="1"/>
  <c r="AM1564" i="1"/>
  <c r="AK1565" i="1"/>
  <c r="AL1565" i="1"/>
  <c r="AM1565" i="1"/>
  <c r="AK1314" i="1"/>
  <c r="AL1314" i="1"/>
  <c r="AM1314" i="1"/>
  <c r="AK1315" i="1"/>
  <c r="AL1315" i="1"/>
  <c r="AM1315" i="1"/>
  <c r="AK2210" i="1"/>
  <c r="AL2210" i="1"/>
  <c r="AM2210" i="1"/>
  <c r="AK2211" i="1"/>
  <c r="AL2211" i="1"/>
  <c r="AM2211" i="1"/>
  <c r="AK2212" i="1"/>
  <c r="AL2212" i="1"/>
  <c r="AM2212" i="1"/>
  <c r="AK2213" i="1"/>
  <c r="AL2213" i="1"/>
  <c r="AM2213" i="1"/>
  <c r="AK887" i="1"/>
  <c r="AL887" i="1"/>
  <c r="AM887" i="1"/>
  <c r="AK764" i="1"/>
  <c r="AL764" i="1"/>
  <c r="AM764" i="1"/>
  <c r="AK765" i="1"/>
  <c r="AL765" i="1"/>
  <c r="AM765" i="1"/>
  <c r="AK1458" i="1"/>
  <c r="AL1458" i="1"/>
  <c r="AM1458" i="1"/>
  <c r="AK1316" i="1"/>
  <c r="AL1316" i="1"/>
  <c r="AM1316" i="1"/>
  <c r="AK888" i="1"/>
  <c r="AL888" i="1"/>
  <c r="AM888" i="1"/>
  <c r="AK889" i="1"/>
  <c r="AL889" i="1"/>
  <c r="AM889" i="1"/>
  <c r="AK1800" i="1"/>
  <c r="AL1800" i="1"/>
  <c r="AM1800" i="1"/>
  <c r="AK1801" i="1"/>
  <c r="AL1801" i="1"/>
  <c r="AM1801" i="1"/>
  <c r="AK890" i="1"/>
  <c r="AL890" i="1"/>
  <c r="AM890" i="1"/>
  <c r="AK891" i="1"/>
  <c r="AL891" i="1"/>
  <c r="AM891" i="1"/>
  <c r="AK1245" i="1"/>
  <c r="AL1245" i="1"/>
  <c r="AM1245" i="1"/>
  <c r="AK1246" i="1"/>
  <c r="AL1246" i="1"/>
  <c r="AM1246" i="1"/>
  <c r="AK1247" i="1"/>
  <c r="AL1247" i="1"/>
  <c r="AM1247" i="1"/>
  <c r="AK2533" i="1"/>
  <c r="AL2533" i="1"/>
  <c r="AM2533" i="1"/>
  <c r="AK2534" i="1"/>
  <c r="AL2534" i="1"/>
  <c r="AM2534" i="1"/>
  <c r="AK2535" i="1"/>
  <c r="AL2535" i="1"/>
  <c r="AM2535" i="1"/>
  <c r="AK818" i="1"/>
  <c r="AL818" i="1"/>
  <c r="AM818" i="1"/>
  <c r="AK819" i="1"/>
  <c r="AL819" i="1"/>
  <c r="AM819" i="1"/>
  <c r="AK820" i="1"/>
  <c r="AL820" i="1"/>
  <c r="AM820" i="1"/>
  <c r="AK592" i="1"/>
  <c r="AL592" i="1"/>
  <c r="AM592" i="1"/>
  <c r="AK599" i="1"/>
  <c r="AL599" i="1"/>
  <c r="AM599" i="1"/>
  <c r="AK714" i="1"/>
  <c r="AL714" i="1"/>
  <c r="AM714" i="1"/>
  <c r="AK689" i="1"/>
  <c r="AL689" i="1"/>
  <c r="AM689" i="1"/>
  <c r="AK690" i="1"/>
  <c r="AL690" i="1"/>
  <c r="AM690" i="1"/>
  <c r="AK636" i="1"/>
  <c r="AL636" i="1"/>
  <c r="AM636" i="1"/>
  <c r="AK2214" i="1"/>
  <c r="AL2214" i="1"/>
  <c r="AM2214" i="1"/>
  <c r="AK2215" i="1"/>
  <c r="AL2215" i="1"/>
  <c r="AM2215" i="1"/>
  <c r="AK1248" i="1"/>
  <c r="AL1248" i="1"/>
  <c r="AM1248" i="1"/>
  <c r="AK1249" i="1"/>
  <c r="AL1249" i="1"/>
  <c r="AM1249" i="1"/>
  <c r="AK1250" i="1"/>
  <c r="AL1250" i="1"/>
  <c r="AM1250" i="1"/>
  <c r="AK1459" i="1"/>
  <c r="AL1459" i="1"/>
  <c r="AM1459" i="1"/>
  <c r="AK1861" i="1"/>
  <c r="AL1861" i="1"/>
  <c r="AM1861" i="1"/>
  <c r="AK1566" i="1"/>
  <c r="AL1566" i="1"/>
  <c r="AM1566" i="1"/>
  <c r="AK1567" i="1"/>
  <c r="AL1567" i="1"/>
  <c r="AM1567" i="1"/>
  <c r="AK821" i="1"/>
  <c r="AL821" i="1"/>
  <c r="AM821" i="1"/>
  <c r="AK2216" i="1"/>
  <c r="AL2216" i="1"/>
  <c r="AM2216" i="1"/>
  <c r="AK1630" i="1"/>
  <c r="AL1630" i="1"/>
  <c r="AM1630" i="1"/>
  <c r="AK1251" i="1"/>
  <c r="AL1251" i="1"/>
  <c r="AM1251" i="1"/>
  <c r="AK1428" i="1"/>
  <c r="AL1428" i="1"/>
  <c r="AM1428" i="1"/>
  <c r="AK2605" i="1"/>
  <c r="AL2605" i="1"/>
  <c r="AM2605" i="1"/>
  <c r="AK2082" i="1"/>
  <c r="AL2082" i="1"/>
  <c r="AM2082" i="1"/>
  <c r="AK2083" i="1"/>
  <c r="AL2083" i="1"/>
  <c r="AM2083" i="1"/>
  <c r="AK2438" i="1"/>
  <c r="AL2438" i="1"/>
  <c r="AM2438" i="1"/>
  <c r="AK2217" i="1"/>
  <c r="AL2217" i="1"/>
  <c r="AM2217" i="1"/>
  <c r="AK2218" i="1"/>
  <c r="AL2218" i="1"/>
  <c r="AM2218" i="1"/>
  <c r="AK2340" i="1"/>
  <c r="AL2340" i="1"/>
  <c r="AM2340" i="1"/>
  <c r="AK2536" i="1"/>
  <c r="AL2536" i="1"/>
  <c r="AM2536" i="1"/>
  <c r="AK1355" i="1"/>
  <c r="AL1355" i="1"/>
  <c r="AM1355" i="1"/>
  <c r="AK1818" i="1"/>
  <c r="AL1818" i="1"/>
  <c r="AM1818" i="1"/>
  <c r="AK1227" i="1"/>
  <c r="AL1227" i="1"/>
  <c r="AM1227" i="1"/>
  <c r="AK1229" i="1"/>
  <c r="AL1229" i="1"/>
  <c r="AM1229" i="1"/>
  <c r="AK637" i="1"/>
  <c r="AL637" i="1"/>
  <c r="AM637" i="1"/>
  <c r="AK1429" i="1"/>
  <c r="AL1429" i="1"/>
  <c r="AM1429" i="1"/>
  <c r="AK266" i="1"/>
  <c r="AL266" i="1"/>
  <c r="AM266" i="1"/>
  <c r="AK822" i="1"/>
  <c r="AL822" i="1"/>
  <c r="AM822" i="1"/>
  <c r="AK823" i="1"/>
  <c r="AL823" i="1"/>
  <c r="AM823" i="1"/>
  <c r="AK51" i="1"/>
  <c r="AL51" i="1"/>
  <c r="AM51" i="1"/>
  <c r="AK52" i="1"/>
  <c r="AL52" i="1"/>
  <c r="AM52" i="1"/>
  <c r="AK2084" i="1"/>
  <c r="AL2084" i="1"/>
  <c r="AM2084" i="1"/>
  <c r="AK2439" i="1"/>
  <c r="AL2439" i="1"/>
  <c r="AM2439" i="1"/>
  <c r="AK2440" i="1"/>
  <c r="AL2440" i="1"/>
  <c r="AM2440" i="1"/>
  <c r="AK2441" i="1"/>
  <c r="AL2441" i="1"/>
  <c r="AM2441" i="1"/>
  <c r="AK2219" i="1"/>
  <c r="AL2219" i="1"/>
  <c r="AM2219" i="1"/>
  <c r="AK2220" i="1"/>
  <c r="AL2220" i="1"/>
  <c r="AM2220" i="1"/>
  <c r="AK2341" i="1"/>
  <c r="AL2341" i="1"/>
  <c r="AM2341" i="1"/>
  <c r="AK2342" i="1"/>
  <c r="AL2342" i="1"/>
  <c r="AM2342" i="1"/>
  <c r="AK2343" i="1"/>
  <c r="AL2343" i="1"/>
  <c r="AM2343" i="1"/>
  <c r="AK2537" i="1"/>
  <c r="AL2537" i="1"/>
  <c r="AM2537" i="1"/>
  <c r="AK824" i="1"/>
  <c r="AL824" i="1"/>
  <c r="AM824" i="1"/>
  <c r="AK1507" i="1"/>
  <c r="AL1507" i="1"/>
  <c r="AM1507" i="1"/>
  <c r="AK1506" i="1"/>
  <c r="AL1506" i="1"/>
  <c r="AM1506" i="1"/>
  <c r="AK1400" i="1"/>
  <c r="AL1400" i="1"/>
  <c r="AM1400" i="1"/>
  <c r="AK1851" i="1"/>
  <c r="AL1851" i="1"/>
  <c r="AM1851" i="1"/>
  <c r="AK1862" i="1"/>
  <c r="AL1862" i="1"/>
  <c r="AM1862" i="1"/>
  <c r="AK593" i="1"/>
  <c r="AL593" i="1"/>
  <c r="AM593" i="1"/>
  <c r="AK736" i="1"/>
  <c r="AL736" i="1"/>
  <c r="AM736" i="1"/>
  <c r="AK715" i="1"/>
  <c r="AL715" i="1"/>
  <c r="AM715" i="1"/>
  <c r="AK691" i="1"/>
  <c r="AL691" i="1"/>
  <c r="AM691" i="1"/>
  <c r="AK638" i="1"/>
  <c r="AL638" i="1"/>
  <c r="AM638" i="1"/>
  <c r="AK747" i="1"/>
  <c r="AL747" i="1"/>
  <c r="AM747" i="1"/>
  <c r="AK748" i="1"/>
  <c r="AL748" i="1"/>
  <c r="AM748" i="1"/>
  <c r="AK624" i="1"/>
  <c r="AL624" i="1"/>
  <c r="AM624" i="1"/>
  <c r="AK1802" i="1"/>
  <c r="AL1802" i="1"/>
  <c r="AM1802" i="1"/>
  <c r="AK114" i="1"/>
  <c r="AL114" i="1"/>
  <c r="AM114" i="1"/>
  <c r="AK1487" i="1"/>
  <c r="AL1487" i="1"/>
  <c r="AM1487" i="1"/>
  <c r="AK1488" i="1"/>
  <c r="AL1488" i="1"/>
  <c r="AM1488" i="1"/>
  <c r="AK1317" i="1"/>
  <c r="AL1317" i="1"/>
  <c r="AM1317" i="1"/>
  <c r="AK2442" i="1"/>
  <c r="AL2442" i="1"/>
  <c r="AM2442" i="1"/>
  <c r="AK2221" i="1"/>
  <c r="AL2221" i="1"/>
  <c r="AM2221" i="1"/>
  <c r="AK2222" i="1"/>
  <c r="AL2222" i="1"/>
  <c r="AM2222" i="1"/>
  <c r="AK2085" i="1"/>
  <c r="AL2085" i="1"/>
  <c r="AM2085" i="1"/>
  <c r="AK2344" i="1"/>
  <c r="AL2344" i="1"/>
  <c r="AM2344" i="1"/>
  <c r="AK2538" i="1"/>
  <c r="AL2538" i="1"/>
  <c r="AM2538" i="1"/>
  <c r="AK825" i="1"/>
  <c r="AL825" i="1"/>
  <c r="AM825" i="1"/>
  <c r="AK826" i="1"/>
  <c r="AL826" i="1"/>
  <c r="AM826" i="1"/>
  <c r="AK1937" i="1"/>
  <c r="AL1937" i="1"/>
  <c r="AM1937" i="1"/>
  <c r="AK1938" i="1"/>
  <c r="AL1938" i="1"/>
  <c r="AM1938" i="1"/>
  <c r="AK1939" i="1"/>
  <c r="AL1939" i="1"/>
  <c r="AM1939" i="1"/>
  <c r="AK1520" i="1"/>
  <c r="AL1520" i="1"/>
  <c r="AM1520" i="1"/>
  <c r="AK1521" i="1"/>
  <c r="AL1521" i="1"/>
  <c r="AM1521" i="1"/>
  <c r="AK1356" i="1"/>
  <c r="AL1356" i="1"/>
  <c r="AM1356" i="1"/>
  <c r="AK1357" i="1"/>
  <c r="AL1357" i="1"/>
  <c r="AM1357" i="1"/>
  <c r="AK1358" i="1"/>
  <c r="AL1358" i="1"/>
  <c r="AM1358" i="1"/>
  <c r="AK1318" i="1"/>
  <c r="AL1318" i="1"/>
  <c r="AM1318" i="1"/>
  <c r="AK1319" i="1"/>
  <c r="AL1319" i="1"/>
  <c r="AM1319" i="1"/>
  <c r="AK1495" i="1"/>
  <c r="AL1495" i="1"/>
  <c r="AM1495" i="1"/>
  <c r="AK1496" i="1"/>
  <c r="AL1496" i="1"/>
  <c r="AM1496" i="1"/>
  <c r="AK1681" i="1"/>
  <c r="AL1681" i="1"/>
  <c r="AM1681" i="1"/>
  <c r="AK2223" i="1"/>
  <c r="AL2223" i="1"/>
  <c r="AM2223" i="1"/>
  <c r="AK2224" i="1"/>
  <c r="AL2224" i="1"/>
  <c r="AM2224" i="1"/>
  <c r="AK2086" i="1"/>
  <c r="AL2086" i="1"/>
  <c r="AM2086" i="1"/>
  <c r="AK2087" i="1"/>
  <c r="AL2087" i="1"/>
  <c r="AM2087" i="1"/>
  <c r="AK827" i="1"/>
  <c r="AL827" i="1"/>
  <c r="AM827" i="1"/>
  <c r="AK1940" i="1"/>
  <c r="AL1940" i="1"/>
  <c r="AM1940" i="1"/>
  <c r="AK1941" i="1"/>
  <c r="AL1941" i="1"/>
  <c r="AM1941" i="1"/>
  <c r="AK1942" i="1"/>
  <c r="AL1942" i="1"/>
  <c r="AM1942" i="1"/>
  <c r="AK1944" i="1"/>
  <c r="AL1944" i="1"/>
  <c r="AM1944" i="1"/>
  <c r="AK1943" i="1"/>
  <c r="AL1943" i="1"/>
  <c r="AM1943" i="1"/>
  <c r="AK1460" i="1"/>
  <c r="AL1460" i="1"/>
  <c r="AM1460" i="1"/>
  <c r="AK1461" i="1"/>
  <c r="AL1461" i="1"/>
  <c r="AM1461" i="1"/>
  <c r="AK1568" i="1"/>
  <c r="AL1568" i="1"/>
  <c r="AM1568" i="1"/>
  <c r="AK1569" i="1"/>
  <c r="AL1569" i="1"/>
  <c r="AM1569" i="1"/>
  <c r="AK1631" i="1"/>
  <c r="AL1631" i="1"/>
  <c r="AM1631" i="1"/>
  <c r="AK1632" i="1"/>
  <c r="AL1632" i="1"/>
  <c r="AM1632" i="1"/>
  <c r="AK1633" i="1"/>
  <c r="AL1633" i="1"/>
  <c r="AM1633" i="1"/>
  <c r="AK1634" i="1"/>
  <c r="AL1634" i="1"/>
  <c r="AM1634" i="1"/>
  <c r="AK1635" i="1"/>
  <c r="AL1635" i="1"/>
  <c r="AM1635" i="1"/>
  <c r="AK1636" i="1"/>
  <c r="AL1636" i="1"/>
  <c r="AM1636" i="1"/>
  <c r="AK146" i="1"/>
  <c r="AL146" i="1"/>
  <c r="AM146" i="1"/>
  <c r="AK766" i="1"/>
  <c r="AL766" i="1"/>
  <c r="AM766" i="1"/>
  <c r="AK767" i="1"/>
  <c r="AL767" i="1"/>
  <c r="AM767" i="1"/>
  <c r="AK1389" i="1"/>
  <c r="AL1389" i="1"/>
  <c r="AM1389" i="1"/>
  <c r="AK2610" i="1"/>
  <c r="AL2610" i="1"/>
  <c r="AM2610" i="1"/>
  <c r="AK2225" i="1"/>
  <c r="AL2225" i="1"/>
  <c r="AM2225" i="1"/>
  <c r="AK2226" i="1"/>
  <c r="AL2226" i="1"/>
  <c r="AM2226" i="1"/>
  <c r="AK2088" i="1"/>
  <c r="AL2088" i="1"/>
  <c r="AM2088" i="1"/>
  <c r="AK2089" i="1"/>
  <c r="AL2089" i="1"/>
  <c r="AM2089" i="1"/>
  <c r="AK1945" i="1"/>
  <c r="AL1945" i="1"/>
  <c r="AM1945" i="1"/>
  <c r="AK2539" i="1"/>
  <c r="AL2539" i="1"/>
  <c r="AM2539" i="1"/>
  <c r="AK2540" i="1"/>
  <c r="AL2540" i="1"/>
  <c r="AM2540" i="1"/>
  <c r="AK2541" i="1"/>
  <c r="AL2541" i="1"/>
  <c r="AM2541" i="1"/>
  <c r="AK2542" i="1"/>
  <c r="AL2542" i="1"/>
  <c r="AM2542" i="1"/>
  <c r="AK2543" i="1"/>
  <c r="AL2543" i="1"/>
  <c r="AM2543" i="1"/>
  <c r="AK2345" i="1"/>
  <c r="AL2345" i="1"/>
  <c r="AM2345" i="1"/>
  <c r="AK2346" i="1"/>
  <c r="AL2346" i="1"/>
  <c r="AM2346" i="1"/>
  <c r="AK828" i="1"/>
  <c r="AL828" i="1"/>
  <c r="AM828" i="1"/>
  <c r="AK829" i="1"/>
  <c r="AL829" i="1"/>
  <c r="AM829" i="1"/>
  <c r="AK830" i="1"/>
  <c r="AL830" i="1"/>
  <c r="AM830" i="1"/>
  <c r="AK831" i="1"/>
  <c r="AL831" i="1"/>
  <c r="AM831" i="1"/>
  <c r="AK832" i="1"/>
  <c r="AL832" i="1"/>
  <c r="AM832" i="1"/>
  <c r="AK1359" i="1"/>
  <c r="AL1359" i="1"/>
  <c r="AM1359" i="1"/>
  <c r="AK1320" i="1"/>
  <c r="AL1320" i="1"/>
  <c r="AM1320" i="1"/>
  <c r="AK625" i="1"/>
  <c r="AL625" i="1"/>
  <c r="AM625" i="1"/>
  <c r="AK1401" i="1"/>
  <c r="AL1401" i="1"/>
  <c r="AM1401" i="1"/>
  <c r="AK2443" i="1"/>
  <c r="AL2443" i="1"/>
  <c r="AM2443" i="1"/>
  <c r="AK2444" i="1"/>
  <c r="AL2444" i="1"/>
  <c r="AM2444" i="1"/>
  <c r="AK2445" i="1"/>
  <c r="AL2445" i="1"/>
  <c r="AM2445" i="1"/>
  <c r="AK2227" i="1"/>
  <c r="AL2227" i="1"/>
  <c r="AM2227" i="1"/>
  <c r="AK2228" i="1"/>
  <c r="AL2228" i="1"/>
  <c r="AM2228" i="1"/>
  <c r="AK2090" i="1"/>
  <c r="AL2090" i="1"/>
  <c r="AM2090" i="1"/>
  <c r="AK1946" i="1"/>
  <c r="AL1946" i="1"/>
  <c r="AM1946" i="1"/>
  <c r="AK1947" i="1"/>
  <c r="AL1947" i="1"/>
  <c r="AM1947" i="1"/>
  <c r="AK2544" i="1"/>
  <c r="AL2544" i="1"/>
  <c r="AM2544" i="1"/>
  <c r="AK2545" i="1"/>
  <c r="AL2545" i="1"/>
  <c r="AM2545" i="1"/>
  <c r="AK2347" i="1"/>
  <c r="AL2347" i="1"/>
  <c r="AM2347" i="1"/>
  <c r="AK2348" i="1"/>
  <c r="AL2348" i="1"/>
  <c r="AM2348" i="1"/>
  <c r="AK1570" i="1"/>
  <c r="AL1570" i="1"/>
  <c r="AM1570" i="1"/>
  <c r="AK1571" i="1"/>
  <c r="AL1571" i="1"/>
  <c r="AM1571" i="1"/>
  <c r="AK1572" i="1"/>
  <c r="AL1572" i="1"/>
  <c r="AM1572" i="1"/>
  <c r="AK1637" i="1"/>
  <c r="AL1637" i="1"/>
  <c r="AM1637" i="1"/>
  <c r="AK1638" i="1"/>
  <c r="AL1638" i="1"/>
  <c r="AM1638" i="1"/>
  <c r="AK749" i="1"/>
  <c r="AL749" i="1"/>
  <c r="AM749" i="1"/>
  <c r="AK716" i="1"/>
  <c r="AL716" i="1"/>
  <c r="AM716" i="1"/>
  <c r="AK717" i="1"/>
  <c r="AL717" i="1"/>
  <c r="AM717" i="1"/>
  <c r="AK115" i="1"/>
  <c r="AL115" i="1"/>
  <c r="AM115" i="1"/>
  <c r="AK116" i="1"/>
  <c r="AL116" i="1"/>
  <c r="AM116" i="1"/>
  <c r="AK117" i="1"/>
  <c r="AL117" i="1"/>
  <c r="AM117" i="1"/>
  <c r="AK81" i="1"/>
  <c r="AL81" i="1"/>
  <c r="AM81" i="1"/>
  <c r="AK82" i="1"/>
  <c r="AL82" i="1"/>
  <c r="AM82" i="1"/>
  <c r="AK83" i="1"/>
  <c r="AL83" i="1"/>
  <c r="AM83" i="1"/>
  <c r="AK1795" i="1"/>
  <c r="AL1795" i="1"/>
  <c r="AM1795" i="1"/>
  <c r="AK2446" i="1"/>
  <c r="AL2446" i="1"/>
  <c r="AM2446" i="1"/>
  <c r="AK2447" i="1"/>
  <c r="AL2447" i="1"/>
  <c r="AM2447" i="1"/>
  <c r="AK2229" i="1"/>
  <c r="AL2229" i="1"/>
  <c r="AM2229" i="1"/>
  <c r="AK2230" i="1"/>
  <c r="AL2230" i="1"/>
  <c r="AM2230" i="1"/>
  <c r="AK2231" i="1"/>
  <c r="AL2231" i="1"/>
  <c r="AM2231" i="1"/>
  <c r="AK2091" i="1"/>
  <c r="AL2091" i="1"/>
  <c r="AM2091" i="1"/>
  <c r="AK2092" i="1"/>
  <c r="AL2092" i="1"/>
  <c r="AM2092" i="1"/>
  <c r="AK1948" i="1"/>
  <c r="AL1948" i="1"/>
  <c r="AM1948" i="1"/>
  <c r="AK1949" i="1"/>
  <c r="AL1949" i="1"/>
  <c r="AM1949" i="1"/>
  <c r="AK1950" i="1"/>
  <c r="AL1950" i="1"/>
  <c r="AM1950" i="1"/>
  <c r="AK1951" i="1"/>
  <c r="AL1951" i="1"/>
  <c r="AM1951" i="1"/>
  <c r="AK2546" i="1"/>
  <c r="AL2546" i="1"/>
  <c r="AM2546" i="1"/>
  <c r="AK2547" i="1"/>
  <c r="AL2547" i="1"/>
  <c r="AM2547" i="1"/>
  <c r="AK2548" i="1"/>
  <c r="AL2548" i="1"/>
  <c r="AM2548" i="1"/>
  <c r="AK2549" i="1"/>
  <c r="AL2549" i="1"/>
  <c r="AM2549" i="1"/>
  <c r="AK2550" i="1"/>
  <c r="AL2550" i="1"/>
  <c r="AM2550" i="1"/>
  <c r="AK2551" i="1"/>
  <c r="AL2551" i="1"/>
  <c r="AM2551" i="1"/>
  <c r="AK2349" i="1"/>
  <c r="AL2349" i="1"/>
  <c r="AM2349" i="1"/>
  <c r="AK2350" i="1"/>
  <c r="AL2350" i="1"/>
  <c r="AM2350" i="1"/>
  <c r="AK2351" i="1"/>
  <c r="AL2351" i="1"/>
  <c r="AM2351" i="1"/>
  <c r="AK1190" i="1"/>
  <c r="AL1190" i="1"/>
  <c r="AM1190" i="1"/>
  <c r="AK1191" i="1"/>
  <c r="AL1191" i="1"/>
  <c r="AM1191" i="1"/>
  <c r="AK737" i="1"/>
  <c r="AL737" i="1"/>
  <c r="AM737" i="1"/>
  <c r="AK1402" i="1"/>
  <c r="AL1402" i="1"/>
  <c r="AM1402" i="1"/>
  <c r="AK1321" i="1"/>
  <c r="AL1321" i="1"/>
  <c r="AM1321" i="1"/>
  <c r="AK1158" i="1"/>
  <c r="AL1158" i="1"/>
  <c r="AM1158" i="1"/>
  <c r="AK1161" i="1"/>
  <c r="AL1161" i="1"/>
  <c r="AM1161" i="1"/>
  <c r="AK1159" i="1"/>
  <c r="AL1159" i="1"/>
  <c r="AM1159" i="1"/>
  <c r="AK1160" i="1"/>
  <c r="AL1160" i="1"/>
  <c r="AM1160" i="1"/>
  <c r="AK1162" i="1"/>
  <c r="AL1162" i="1"/>
  <c r="AM1162" i="1"/>
  <c r="AK1163" i="1"/>
  <c r="AL1163" i="1"/>
  <c r="AM1163" i="1"/>
  <c r="AK1164" i="1"/>
  <c r="AL1164" i="1"/>
  <c r="AM1164" i="1"/>
  <c r="AK1165" i="1"/>
  <c r="AL1165" i="1"/>
  <c r="AM1165" i="1"/>
  <c r="AK1166" i="1"/>
  <c r="AL1166" i="1"/>
  <c r="AM1166" i="1"/>
  <c r="AK1167" i="1"/>
  <c r="AL1167" i="1"/>
  <c r="AM1167" i="1"/>
  <c r="AK1168" i="1"/>
  <c r="AL1168" i="1"/>
  <c r="AM1168" i="1"/>
  <c r="AK2552" i="1"/>
  <c r="AL2552" i="1"/>
  <c r="AM2552" i="1"/>
  <c r="AK2553" i="1"/>
  <c r="AL2553" i="1"/>
  <c r="AM2553" i="1"/>
  <c r="AK2554" i="1"/>
  <c r="AL2554" i="1"/>
  <c r="AM2554" i="1"/>
  <c r="AK2555" i="1"/>
  <c r="AL2555" i="1"/>
  <c r="AM2555" i="1"/>
  <c r="AK1360" i="1"/>
  <c r="AL1360" i="1"/>
  <c r="AM1360" i="1"/>
  <c r="AK1508" i="1"/>
  <c r="AL1508" i="1"/>
  <c r="AM1508" i="1"/>
  <c r="AK1509" i="1"/>
  <c r="AL1509" i="1"/>
  <c r="AM1509" i="1"/>
  <c r="AK1876" i="1"/>
  <c r="AL1876" i="1"/>
  <c r="AM1876" i="1"/>
  <c r="AK1877" i="1"/>
  <c r="AL1877" i="1"/>
  <c r="AM1877" i="1"/>
  <c r="AK1878" i="1"/>
  <c r="AL1878" i="1"/>
  <c r="AM1878" i="1"/>
  <c r="AK2232" i="1"/>
  <c r="AL2232" i="1"/>
  <c r="AM2232" i="1"/>
  <c r="AK2233" i="1"/>
  <c r="AL2233" i="1"/>
  <c r="AM2233" i="1"/>
  <c r="AK2234" i="1"/>
  <c r="AL2234" i="1"/>
  <c r="AM2234" i="1"/>
  <c r="AK2235" i="1"/>
  <c r="AL2235" i="1"/>
  <c r="AM2235" i="1"/>
  <c r="AK2093" i="1"/>
  <c r="AL2093" i="1"/>
  <c r="AM2093" i="1"/>
  <c r="AK2094" i="1"/>
  <c r="AL2094" i="1"/>
  <c r="AM2094" i="1"/>
  <c r="AK2352" i="1"/>
  <c r="AL2352" i="1"/>
  <c r="AM2352" i="1"/>
  <c r="AK2353" i="1"/>
  <c r="AL2353" i="1"/>
  <c r="AM2353" i="1"/>
  <c r="AK2354" i="1"/>
  <c r="AL2354" i="1"/>
  <c r="AM2354" i="1"/>
  <c r="AK626" i="1"/>
  <c r="AL626" i="1"/>
  <c r="AM626" i="1"/>
  <c r="AK627" i="1"/>
  <c r="AL627" i="1"/>
  <c r="AM627" i="1"/>
  <c r="AK1819" i="1"/>
  <c r="AL1819" i="1"/>
  <c r="AM1819" i="1"/>
  <c r="AK1252" i="1"/>
  <c r="AL1252" i="1"/>
  <c r="AM1252" i="1"/>
  <c r="AK692" i="1"/>
  <c r="AL692" i="1"/>
  <c r="AM692" i="1"/>
  <c r="AK594" i="1"/>
  <c r="AL594" i="1"/>
  <c r="AM594" i="1"/>
  <c r="AK1192" i="1"/>
  <c r="AL1192" i="1"/>
  <c r="AM1192" i="1"/>
  <c r="AK1193" i="1"/>
  <c r="AL1193" i="1"/>
  <c r="AM1193" i="1"/>
  <c r="AK1863" i="1"/>
  <c r="AL1863" i="1"/>
  <c r="AM1863" i="1"/>
  <c r="AK1169" i="1"/>
  <c r="AL1169" i="1"/>
  <c r="AM1169" i="1"/>
  <c r="AK1170" i="1"/>
  <c r="AL1170" i="1"/>
  <c r="AM1170" i="1"/>
  <c r="AK1171" i="1"/>
  <c r="AL1171" i="1"/>
  <c r="AM1171" i="1"/>
  <c r="AK1172" i="1"/>
  <c r="AL1172" i="1"/>
  <c r="AM1172" i="1"/>
  <c r="AK1173" i="1"/>
  <c r="AL1173" i="1"/>
  <c r="AM1173" i="1"/>
  <c r="AK1174" i="1"/>
  <c r="AL1174" i="1"/>
  <c r="AM1174" i="1"/>
  <c r="AK429" i="1"/>
  <c r="AL429" i="1"/>
  <c r="AM429" i="1"/>
  <c r="AK460" i="1"/>
  <c r="AL460" i="1"/>
  <c r="AM460" i="1"/>
  <c r="AK461" i="1"/>
  <c r="AL461" i="1"/>
  <c r="AM461" i="1"/>
  <c r="AK462" i="1"/>
  <c r="AL462" i="1"/>
  <c r="AM462" i="1"/>
  <c r="AK463" i="1"/>
  <c r="AL463" i="1"/>
  <c r="AM463" i="1"/>
  <c r="AK464" i="1"/>
  <c r="AL464" i="1"/>
  <c r="AM464" i="1"/>
  <c r="AK465" i="1"/>
  <c r="AL465" i="1"/>
  <c r="AM465" i="1"/>
  <c r="AK466" i="1"/>
  <c r="AL466" i="1"/>
  <c r="AM466" i="1"/>
  <c r="AK467" i="1"/>
  <c r="AL467" i="1"/>
  <c r="AM467" i="1"/>
  <c r="AK468" i="1"/>
  <c r="AL468" i="1"/>
  <c r="AM468" i="1"/>
  <c r="AK2355" i="1"/>
  <c r="AL2355" i="1"/>
  <c r="AM2355" i="1"/>
  <c r="AK2356" i="1"/>
  <c r="AL2356" i="1"/>
  <c r="AM2356" i="1"/>
  <c r="AK2357" i="1"/>
  <c r="AL2357" i="1"/>
  <c r="AM2357" i="1"/>
  <c r="AK2358" i="1"/>
  <c r="AL2358" i="1"/>
  <c r="AM2358" i="1"/>
  <c r="AK833" i="1"/>
  <c r="AL833" i="1"/>
  <c r="AM833" i="1"/>
  <c r="AK834" i="1"/>
  <c r="AL834" i="1"/>
  <c r="AM834" i="1"/>
  <c r="AK835" i="1"/>
  <c r="AL835" i="1"/>
  <c r="AM835" i="1"/>
  <c r="AK539" i="1"/>
  <c r="AL539" i="1"/>
  <c r="AM539" i="1"/>
  <c r="AK540" i="1"/>
  <c r="AL540" i="1"/>
  <c r="AM540" i="1"/>
  <c r="AK1322" i="1"/>
  <c r="AL1322" i="1"/>
  <c r="AM1322" i="1"/>
  <c r="AK1323" i="1"/>
  <c r="AL1323" i="1"/>
  <c r="AM1323" i="1"/>
  <c r="AK1361" i="1"/>
  <c r="AL1361" i="1"/>
  <c r="AM1361" i="1"/>
  <c r="AK1362" i="1"/>
  <c r="AL1362" i="1"/>
  <c r="AM1362" i="1"/>
  <c r="AK1363" i="1"/>
  <c r="AL1363" i="1"/>
  <c r="AM1363" i="1"/>
  <c r="AK1364" i="1"/>
  <c r="AL1364" i="1"/>
  <c r="AM1364" i="1"/>
  <c r="AK2095" i="1"/>
  <c r="AL2095" i="1"/>
  <c r="AM2095" i="1"/>
  <c r="AK2096" i="1"/>
  <c r="AL2096" i="1"/>
  <c r="AM2096" i="1"/>
  <c r="AK2097" i="1"/>
  <c r="AL2097" i="1"/>
  <c r="AM2097" i="1"/>
  <c r="AK1390" i="1"/>
  <c r="AL1390" i="1"/>
  <c r="AM1390" i="1"/>
  <c r="AK1391" i="1"/>
  <c r="AL1391" i="1"/>
  <c r="AM1391" i="1"/>
  <c r="AK1430" i="1"/>
  <c r="AL1430" i="1"/>
  <c r="AM1430" i="1"/>
  <c r="AK1431" i="1"/>
  <c r="AL1431" i="1"/>
  <c r="AM1431" i="1"/>
  <c r="AK1432" i="1"/>
  <c r="AL1432" i="1"/>
  <c r="AM1432" i="1"/>
  <c r="AK1433" i="1"/>
  <c r="AL1433" i="1"/>
  <c r="AM1433" i="1"/>
  <c r="AK1434" i="1"/>
  <c r="AL1434" i="1"/>
  <c r="AM1434" i="1"/>
  <c r="AK1253" i="1"/>
  <c r="AL1253" i="1"/>
  <c r="AM1253" i="1"/>
  <c r="AK718" i="1"/>
  <c r="AL718" i="1"/>
  <c r="AM718" i="1"/>
  <c r="AK719" i="1"/>
  <c r="AL719" i="1"/>
  <c r="AM719" i="1"/>
  <c r="AK720" i="1"/>
  <c r="AL720" i="1"/>
  <c r="AM720" i="1"/>
  <c r="AK721" i="1"/>
  <c r="AL721" i="1"/>
  <c r="AM721" i="1"/>
  <c r="AK541" i="1"/>
  <c r="AL541" i="1"/>
  <c r="AM541" i="1"/>
  <c r="AK628" i="1"/>
  <c r="AL628" i="1"/>
  <c r="AM628" i="1"/>
  <c r="AK1497" i="1"/>
  <c r="AL1497" i="1"/>
  <c r="AM1497" i="1"/>
  <c r="AK431" i="1"/>
  <c r="AL431" i="1"/>
  <c r="AM431" i="1"/>
  <c r="AK430" i="1"/>
  <c r="AL430" i="1"/>
  <c r="AM430" i="1"/>
  <c r="AK2448" i="1"/>
  <c r="AL2448" i="1"/>
  <c r="AM2448" i="1"/>
  <c r="AK2449" i="1"/>
  <c r="AL2449" i="1"/>
  <c r="AM2449" i="1"/>
  <c r="AK2450" i="1"/>
  <c r="AL2450" i="1"/>
  <c r="AM2450" i="1"/>
  <c r="AK2236" i="1"/>
  <c r="AL2236" i="1"/>
  <c r="AM2236" i="1"/>
  <c r="AK2237" i="1"/>
  <c r="AL2237" i="1"/>
  <c r="AM2237" i="1"/>
  <c r="AK2098" i="1"/>
  <c r="AL2098" i="1"/>
  <c r="AM2098" i="1"/>
  <c r="AK2099" i="1"/>
  <c r="AL2099" i="1"/>
  <c r="AM2099" i="1"/>
  <c r="AK1952" i="1"/>
  <c r="AL1952" i="1"/>
  <c r="AM1952" i="1"/>
  <c r="AK836" i="1"/>
  <c r="AL836" i="1"/>
  <c r="AM836" i="1"/>
  <c r="AK837" i="1"/>
  <c r="AL837" i="1"/>
  <c r="AM837" i="1"/>
  <c r="AK838" i="1"/>
  <c r="AL838" i="1"/>
  <c r="AM838" i="1"/>
  <c r="AK839" i="1"/>
  <c r="AL839" i="1"/>
  <c r="AM839" i="1"/>
  <c r="AK840" i="1"/>
  <c r="AL840" i="1"/>
  <c r="AM840" i="1"/>
  <c r="AK2556" i="1"/>
  <c r="AL2556" i="1"/>
  <c r="AM2556" i="1"/>
  <c r="AK2557" i="1"/>
  <c r="AL2557" i="1"/>
  <c r="AM2557" i="1"/>
  <c r="AK2558" i="1"/>
  <c r="AL2558" i="1"/>
  <c r="AM2558" i="1"/>
  <c r="AK1754" i="1"/>
  <c r="AL1754" i="1"/>
  <c r="AM1754" i="1"/>
  <c r="AK1755" i="1"/>
  <c r="AL1755" i="1"/>
  <c r="AM1755" i="1"/>
  <c r="AK1756" i="1"/>
  <c r="AL1756" i="1"/>
  <c r="AM1756" i="1"/>
  <c r="AK1757" i="1"/>
  <c r="AL1757" i="1"/>
  <c r="AM1757" i="1"/>
  <c r="AK1254" i="1"/>
  <c r="AL1254" i="1"/>
  <c r="AM1254" i="1"/>
  <c r="AK1255" i="1"/>
  <c r="AL1255" i="1"/>
  <c r="AM1255" i="1"/>
  <c r="AK1682" i="1"/>
  <c r="AL1682" i="1"/>
  <c r="AM1682" i="1"/>
  <c r="AK1683" i="1"/>
  <c r="AL1683" i="1"/>
  <c r="AM1683" i="1"/>
  <c r="AK1879" i="1"/>
  <c r="AL1879" i="1"/>
  <c r="AM1879" i="1"/>
  <c r="AK1880" i="1"/>
  <c r="AL1880" i="1"/>
  <c r="AM1880" i="1"/>
  <c r="AK1881" i="1"/>
  <c r="AL1881" i="1"/>
  <c r="AM1881" i="1"/>
  <c r="AK53" i="1"/>
  <c r="AL53" i="1"/>
  <c r="AM53" i="1"/>
  <c r="AK639" i="1"/>
  <c r="AL639" i="1"/>
  <c r="AM639" i="1"/>
  <c r="AK2451" i="1"/>
  <c r="AL2451" i="1"/>
  <c r="AM2451" i="1"/>
  <c r="AK2238" i="1"/>
  <c r="AL2238" i="1"/>
  <c r="AM2238" i="1"/>
  <c r="AK2100" i="1"/>
  <c r="AL2100" i="1"/>
  <c r="AM2100" i="1"/>
  <c r="AK2452" i="1"/>
  <c r="AL2452" i="1"/>
  <c r="AM2452" i="1"/>
  <c r="AK1953" i="1"/>
  <c r="AL1953" i="1"/>
  <c r="AM1953" i="1"/>
  <c r="AK1954" i="1"/>
  <c r="AL1954" i="1"/>
  <c r="AM1954" i="1"/>
  <c r="AK1955" i="1"/>
  <c r="AL1955" i="1"/>
  <c r="AM1955" i="1"/>
  <c r="AK841" i="1"/>
  <c r="AL841" i="1"/>
  <c r="AM841" i="1"/>
  <c r="AK842" i="1"/>
  <c r="AL842" i="1"/>
  <c r="AM842" i="1"/>
  <c r="AK843" i="1"/>
  <c r="AL843" i="1"/>
  <c r="AM843" i="1"/>
  <c r="AK2559" i="1"/>
  <c r="AL2559" i="1"/>
  <c r="AM2559" i="1"/>
  <c r="AK768" i="1"/>
  <c r="AL768" i="1"/>
  <c r="AM768" i="1"/>
  <c r="AK769" i="1"/>
  <c r="AL769" i="1"/>
  <c r="AM769" i="1"/>
  <c r="AK629" i="1"/>
  <c r="AL629" i="1"/>
  <c r="AM629" i="1"/>
  <c r="AK1708" i="1"/>
  <c r="AL1708" i="1"/>
  <c r="AM1708" i="1"/>
  <c r="AK1256" i="1"/>
  <c r="AL1256" i="1"/>
  <c r="AM1256" i="1"/>
  <c r="AK1820" i="1"/>
  <c r="AL1820" i="1"/>
  <c r="AM1820" i="1"/>
  <c r="AK1573" i="1"/>
  <c r="AL1573" i="1"/>
  <c r="AM1573" i="1"/>
  <c r="AK1574" i="1"/>
  <c r="AL1574" i="1"/>
  <c r="AM1574" i="1"/>
  <c r="AK1639" i="1"/>
  <c r="AL1639" i="1"/>
  <c r="AM1639" i="1"/>
  <c r="AK602" i="1"/>
  <c r="AL602" i="1"/>
  <c r="AM602" i="1"/>
  <c r="AK603" i="1"/>
  <c r="AL603" i="1"/>
  <c r="AM603" i="1"/>
  <c r="AL2608" i="1"/>
  <c r="AM2608" i="1"/>
  <c r="AK2239" i="1"/>
  <c r="AL2239" i="1"/>
  <c r="AM2239" i="1"/>
  <c r="AK2101" i="1"/>
  <c r="AL2101" i="1"/>
  <c r="AM2101" i="1"/>
  <c r="AK2102" i="1"/>
  <c r="AL2102" i="1"/>
  <c r="AM2102" i="1"/>
  <c r="AK2453" i="1"/>
  <c r="AL2453" i="1"/>
  <c r="AM2453" i="1"/>
  <c r="AK2454" i="1"/>
  <c r="AL2454" i="1"/>
  <c r="AM2454" i="1"/>
  <c r="AK1956" i="1"/>
  <c r="AL1956" i="1"/>
  <c r="AM1956" i="1"/>
  <c r="AK1957" i="1"/>
  <c r="AL1957" i="1"/>
  <c r="AM1957" i="1"/>
  <c r="AK844" i="1"/>
  <c r="AL844" i="1"/>
  <c r="AM844" i="1"/>
  <c r="AK845" i="1"/>
  <c r="AL845" i="1"/>
  <c r="AM845" i="1"/>
  <c r="AK2560" i="1"/>
  <c r="AL2560" i="1"/>
  <c r="AM2560" i="1"/>
  <c r="AK2561" i="1"/>
  <c r="AL2561" i="1"/>
  <c r="AM2561" i="1"/>
  <c r="AK2562" i="1"/>
  <c r="AL2562" i="1"/>
  <c r="AM2562" i="1"/>
  <c r="AK1324" i="1"/>
  <c r="AL1324" i="1"/>
  <c r="AM1324" i="1"/>
  <c r="AK1325" i="1"/>
  <c r="AL1325" i="1"/>
  <c r="AM1325" i="1"/>
  <c r="AK1326" i="1"/>
  <c r="AL1326" i="1"/>
  <c r="AM1326" i="1"/>
  <c r="AK1435" i="1"/>
  <c r="AL1435" i="1"/>
  <c r="AM1435" i="1"/>
  <c r="AK183" i="1"/>
  <c r="AL183" i="1"/>
  <c r="AM183" i="1"/>
  <c r="AK1200" i="1"/>
  <c r="AL1200" i="1"/>
  <c r="AM1200" i="1"/>
  <c r="AK1201" i="1"/>
  <c r="AL1201" i="1"/>
  <c r="AM1201" i="1"/>
  <c r="AK1202" i="1"/>
  <c r="AL1202" i="1"/>
  <c r="AM1202" i="1"/>
  <c r="AK1203" i="1"/>
  <c r="AL1203" i="1"/>
  <c r="AM1203" i="1"/>
  <c r="AK1204" i="1"/>
  <c r="AL1204" i="1"/>
  <c r="AM1204" i="1"/>
  <c r="AK1205" i="1"/>
  <c r="AL1205" i="1"/>
  <c r="AM1205" i="1"/>
  <c r="AK1206" i="1"/>
  <c r="AL1206" i="1"/>
  <c r="AM1206" i="1"/>
  <c r="AK1207" i="1"/>
  <c r="AL1207" i="1"/>
  <c r="AM1207" i="1"/>
  <c r="AK1208" i="1"/>
  <c r="AL1208" i="1"/>
  <c r="AM1208" i="1"/>
  <c r="AK1209" i="1"/>
  <c r="AL1209" i="1"/>
  <c r="AM1209" i="1"/>
  <c r="AK1210" i="1"/>
  <c r="AL1210" i="1"/>
  <c r="AM1210" i="1"/>
  <c r="AK1211" i="1"/>
  <c r="AL1211" i="1"/>
  <c r="AM1211" i="1"/>
  <c r="AK1212" i="1"/>
  <c r="AL1212" i="1"/>
  <c r="AM1212" i="1"/>
  <c r="AK1195" i="1"/>
  <c r="AL1195" i="1"/>
  <c r="AM1195" i="1"/>
  <c r="AK1194" i="1"/>
  <c r="AL1194" i="1"/>
  <c r="AM1194" i="1"/>
  <c r="AK1196" i="1"/>
  <c r="AL1196" i="1"/>
  <c r="AM1196" i="1"/>
  <c r="AK1197" i="1"/>
  <c r="AL1197" i="1"/>
  <c r="AM1197" i="1"/>
  <c r="AK1198" i="1"/>
  <c r="AL1198" i="1"/>
  <c r="AM1198" i="1"/>
  <c r="AK1199" i="1"/>
  <c r="AL1199" i="1"/>
  <c r="AM1199" i="1"/>
  <c r="AK1821" i="1"/>
  <c r="AL1821" i="1"/>
  <c r="AM1821" i="1"/>
  <c r="AK1822" i="1"/>
  <c r="AL1822" i="1"/>
  <c r="AM1822" i="1"/>
  <c r="AK1575" i="1"/>
  <c r="AL1575" i="1"/>
  <c r="AM1575" i="1"/>
  <c r="AK1709" i="1"/>
  <c r="AL1709" i="1"/>
  <c r="AM1709" i="1"/>
  <c r="AK21" i="1"/>
  <c r="AL21" i="1"/>
  <c r="AM21" i="1"/>
  <c r="AK2240" i="1"/>
  <c r="AL2240" i="1"/>
  <c r="AM2240" i="1"/>
  <c r="AK2103" i="1"/>
  <c r="AL2103" i="1"/>
  <c r="AM2103" i="1"/>
  <c r="AK2455" i="1"/>
  <c r="AL2455" i="1"/>
  <c r="AM2455" i="1"/>
  <c r="AK2456" i="1"/>
  <c r="AL2456" i="1"/>
  <c r="AM2456" i="1"/>
  <c r="AK1958" i="1"/>
  <c r="AL1958" i="1"/>
  <c r="AM1958" i="1"/>
  <c r="AK1365" i="1"/>
  <c r="AL1365" i="1"/>
  <c r="AM1365" i="1"/>
  <c r="AK1327" i="1"/>
  <c r="AL1327" i="1"/>
  <c r="AM1327" i="1"/>
  <c r="AK1328" i="1"/>
  <c r="AL1328" i="1"/>
  <c r="AM1328" i="1"/>
  <c r="AK1329" i="1"/>
  <c r="AL1329" i="1"/>
  <c r="AM1329" i="1"/>
  <c r="AK1330" i="1"/>
  <c r="AL1330" i="1"/>
  <c r="AM1330" i="1"/>
  <c r="AK1213" i="1"/>
  <c r="AL1213" i="1"/>
  <c r="AM1213" i="1"/>
  <c r="AK1214" i="1"/>
  <c r="AL1214" i="1"/>
  <c r="AM1214" i="1"/>
  <c r="AK1215" i="1"/>
  <c r="AL1215" i="1"/>
  <c r="AM1215" i="1"/>
  <c r="AK1216" i="1"/>
  <c r="AL1216" i="1"/>
  <c r="AM1216" i="1"/>
  <c r="AK1331" i="1"/>
  <c r="AL1331" i="1"/>
  <c r="AM1331" i="1"/>
  <c r="AK184" i="1"/>
  <c r="AL184" i="1"/>
  <c r="AM184" i="1"/>
  <c r="AK210" i="1"/>
  <c r="AL210" i="1"/>
  <c r="AM210" i="1"/>
  <c r="AK185" i="1"/>
  <c r="AL185" i="1"/>
  <c r="AM185" i="1"/>
  <c r="AK187" i="1"/>
  <c r="AL187" i="1"/>
  <c r="AM187" i="1"/>
  <c r="AK195" i="1"/>
  <c r="AL195" i="1"/>
  <c r="AM195" i="1"/>
  <c r="AK206" i="1"/>
  <c r="AL206" i="1"/>
  <c r="AM206" i="1"/>
  <c r="AK208" i="1"/>
  <c r="AL208" i="1"/>
  <c r="AM208" i="1"/>
  <c r="AK189" i="1"/>
  <c r="AL189" i="1"/>
  <c r="AM189" i="1"/>
  <c r="AK1392" i="1"/>
  <c r="AL1392" i="1"/>
  <c r="AM1392" i="1"/>
  <c r="AK267" i="1"/>
  <c r="AL267" i="1"/>
  <c r="AM267" i="1"/>
  <c r="AK268" i="1"/>
  <c r="AL268" i="1"/>
  <c r="AM268" i="1"/>
  <c r="AK630" i="1"/>
  <c r="AL630" i="1"/>
  <c r="AM630" i="1"/>
  <c r="AK2241" i="1"/>
  <c r="AL2241" i="1"/>
  <c r="AM2241" i="1"/>
  <c r="AK2104" i="1"/>
  <c r="AL2104" i="1"/>
  <c r="AM2104" i="1"/>
  <c r="AK2105" i="1"/>
  <c r="AL2105" i="1"/>
  <c r="AM2105" i="1"/>
  <c r="AK2457" i="1"/>
  <c r="AL2457" i="1"/>
  <c r="AM2457" i="1"/>
  <c r="AK1959" i="1"/>
  <c r="AL1959" i="1"/>
  <c r="AM1959" i="1"/>
  <c r="AK1436" i="1"/>
  <c r="AK1437" i="1"/>
  <c r="AL1437" i="1"/>
  <c r="AM1437" i="1"/>
  <c r="AK269" i="1"/>
  <c r="AL269" i="1"/>
  <c r="AM269" i="1"/>
  <c r="AK270" i="1"/>
  <c r="AL270" i="1"/>
  <c r="AM270" i="1"/>
  <c r="AK271" i="1"/>
  <c r="AL271" i="1"/>
  <c r="AM271" i="1"/>
  <c r="AK272" i="1"/>
  <c r="AL272" i="1"/>
  <c r="AM272" i="1"/>
  <c r="AK273" i="1"/>
  <c r="AL273" i="1"/>
  <c r="AM273" i="1"/>
  <c r="AK274" i="1"/>
  <c r="AL274" i="1"/>
  <c r="AM274" i="1"/>
  <c r="AK275" i="1"/>
  <c r="AL275" i="1"/>
  <c r="AM275" i="1"/>
  <c r="AK276" i="1"/>
  <c r="AL276" i="1"/>
  <c r="AM276" i="1"/>
  <c r="AK360" i="1"/>
  <c r="AL360" i="1"/>
  <c r="AM360" i="1"/>
  <c r="AK361" i="1"/>
  <c r="AL361" i="1"/>
  <c r="AM361" i="1"/>
  <c r="AK362" i="1"/>
  <c r="AL362" i="1"/>
  <c r="AM362" i="1"/>
  <c r="AK363" i="1"/>
  <c r="AL363" i="1"/>
  <c r="AM363" i="1"/>
  <c r="AK1498" i="1"/>
  <c r="AL1498" i="1"/>
  <c r="AM1498" i="1"/>
  <c r="AK2242" i="1"/>
  <c r="AL2242" i="1"/>
  <c r="AM2242" i="1"/>
  <c r="AK2243" i="1"/>
  <c r="AL2243" i="1"/>
  <c r="AM2243" i="1"/>
  <c r="AK2244" i="1"/>
  <c r="AL2244" i="1"/>
  <c r="AM2244" i="1"/>
  <c r="AK1960" i="1"/>
  <c r="AL1960" i="1"/>
  <c r="AM1960" i="1"/>
  <c r="AK2563" i="1"/>
  <c r="AL2563" i="1"/>
  <c r="AM2563" i="1"/>
  <c r="AK2564" i="1"/>
  <c r="AL2564" i="1"/>
  <c r="AM2564" i="1"/>
  <c r="AK2565" i="1"/>
  <c r="AL2565" i="1"/>
  <c r="AM2565" i="1"/>
  <c r="AK1803" i="1"/>
  <c r="AL1803" i="1"/>
  <c r="AM1803" i="1"/>
  <c r="AK1804" i="1"/>
  <c r="AL1804" i="1"/>
  <c r="AM1804" i="1"/>
  <c r="AK1438" i="1"/>
  <c r="AL1438" i="1"/>
  <c r="AM1438" i="1"/>
  <c r="AK1439" i="1"/>
  <c r="AL1439" i="1"/>
  <c r="AM1439" i="1"/>
  <c r="AK364" i="1"/>
  <c r="AL364" i="1"/>
  <c r="AM364" i="1"/>
  <c r="AK365" i="1"/>
  <c r="AL365" i="1"/>
  <c r="AM365" i="1"/>
  <c r="AK366" i="1"/>
  <c r="AL366" i="1"/>
  <c r="AM366" i="1"/>
  <c r="AK610" i="1"/>
  <c r="AL610" i="1"/>
  <c r="AM610" i="1"/>
  <c r="AK1882" i="1"/>
  <c r="AL1882" i="1"/>
  <c r="AM1882" i="1"/>
  <c r="AK1576" i="1"/>
  <c r="AL1576" i="1"/>
  <c r="AM1576" i="1"/>
  <c r="AK2245" i="1"/>
  <c r="AL2245" i="1"/>
  <c r="AM2245" i="1"/>
  <c r="AK1961" i="1"/>
  <c r="AL1961" i="1"/>
  <c r="AM1961" i="1"/>
  <c r="AK2566" i="1"/>
  <c r="AL2566" i="1"/>
  <c r="AM2566" i="1"/>
  <c r="AK2567" i="1"/>
  <c r="AL2567" i="1"/>
  <c r="AM2567" i="1"/>
  <c r="AK2629" i="1"/>
  <c r="AL2629" i="1"/>
  <c r="AM2629" i="1"/>
  <c r="AK1257" i="1"/>
  <c r="AL1257" i="1"/>
  <c r="AM1257" i="1"/>
  <c r="AK1258" i="1"/>
  <c r="AL1258" i="1"/>
  <c r="AM1258" i="1"/>
  <c r="AK1259" i="1"/>
  <c r="AL1259" i="1"/>
  <c r="AM1259" i="1"/>
  <c r="AK1260" i="1"/>
  <c r="AL1260" i="1"/>
  <c r="AM1260" i="1"/>
  <c r="AK1261" i="1"/>
  <c r="AL1261" i="1"/>
  <c r="AM1261" i="1"/>
  <c r="AK1262" i="1"/>
  <c r="AL1262" i="1"/>
  <c r="AM1262" i="1"/>
  <c r="AK1263" i="1"/>
  <c r="AL1263" i="1"/>
  <c r="AM1263" i="1"/>
  <c r="AK1264" i="1"/>
  <c r="AL1264" i="1"/>
  <c r="AM1264" i="1"/>
  <c r="AK1265" i="1"/>
  <c r="AL1265" i="1"/>
  <c r="AM1265" i="1"/>
  <c r="AK1266" i="1"/>
  <c r="AL1266" i="1"/>
  <c r="AM1266" i="1"/>
  <c r="AK1267" i="1"/>
  <c r="AL1267" i="1"/>
  <c r="AM1267" i="1"/>
  <c r="AK409" i="1"/>
  <c r="AL409" i="1"/>
  <c r="AM409" i="1"/>
  <c r="AK408" i="1"/>
  <c r="AL408" i="1"/>
  <c r="AM408" i="1"/>
  <c r="AK410" i="1"/>
  <c r="AL410" i="1"/>
  <c r="AM410" i="1"/>
  <c r="AK411" i="1"/>
  <c r="AL411" i="1"/>
  <c r="AM411" i="1"/>
  <c r="AK412" i="1"/>
  <c r="AL412" i="1"/>
  <c r="AM412" i="1"/>
  <c r="AK413" i="1"/>
  <c r="AL413" i="1"/>
  <c r="AM413" i="1"/>
  <c r="AK414" i="1"/>
  <c r="AL414" i="1"/>
  <c r="AM414" i="1"/>
  <c r="AK415" i="1"/>
  <c r="AL415" i="1"/>
  <c r="AM415" i="1"/>
  <c r="AK416" i="1"/>
  <c r="AL416" i="1"/>
  <c r="AM416" i="1"/>
  <c r="AK417" i="1"/>
  <c r="AL417" i="1"/>
  <c r="AM417" i="1"/>
  <c r="AK418" i="1"/>
  <c r="AL418" i="1"/>
  <c r="AM418" i="1"/>
  <c r="AK419" i="1"/>
  <c r="AL419" i="1"/>
  <c r="AM419" i="1"/>
  <c r="AK2246" i="1"/>
  <c r="AL2246" i="1"/>
  <c r="AM2246" i="1"/>
  <c r="AK2247" i="1"/>
  <c r="AL2247" i="1"/>
  <c r="AM2247" i="1"/>
  <c r="AK495" i="1"/>
  <c r="AL495" i="1"/>
  <c r="AM495" i="1"/>
  <c r="AK496" i="1"/>
  <c r="AL496" i="1"/>
  <c r="AM496" i="1"/>
  <c r="AK497" i="1"/>
  <c r="AL497" i="1"/>
  <c r="AM497" i="1"/>
  <c r="AK498" i="1"/>
  <c r="AL498" i="1"/>
  <c r="AM498" i="1"/>
  <c r="AK499" i="1"/>
  <c r="AL499" i="1"/>
  <c r="AM499" i="1"/>
  <c r="AK500" i="1"/>
  <c r="AL500" i="1"/>
  <c r="AM500" i="1"/>
  <c r="AK501" i="1"/>
  <c r="AL501" i="1"/>
  <c r="AM501" i="1"/>
  <c r="AK502" i="1"/>
  <c r="AL502" i="1"/>
  <c r="AM502" i="1"/>
  <c r="AK503" i="1"/>
  <c r="AL503" i="1"/>
  <c r="AM503" i="1"/>
  <c r="AK504" i="1"/>
  <c r="AL504" i="1"/>
  <c r="AM504" i="1"/>
  <c r="AK2568" i="1"/>
  <c r="AL2568" i="1"/>
  <c r="AM2568" i="1"/>
  <c r="AK1884" i="1"/>
  <c r="AL1884" i="1"/>
  <c r="AM1884" i="1"/>
  <c r="AK1823" i="1"/>
  <c r="AL1823" i="1"/>
  <c r="AM1823" i="1"/>
  <c r="AK1684" i="1"/>
  <c r="AL1684" i="1"/>
  <c r="AM1684" i="1"/>
  <c r="AK1685" i="1"/>
  <c r="AL1685" i="1"/>
  <c r="AM1685" i="1"/>
  <c r="AK505" i="1"/>
  <c r="AL505" i="1"/>
  <c r="AM505" i="1"/>
  <c r="AK506" i="1"/>
  <c r="AL506" i="1"/>
  <c r="AM506" i="1"/>
  <c r="AK507" i="1"/>
  <c r="AL507" i="1"/>
  <c r="AM507" i="1"/>
  <c r="AK508" i="1"/>
  <c r="AL508" i="1"/>
  <c r="AM508" i="1"/>
  <c r="AK16" i="1"/>
  <c r="AL16" i="1"/>
  <c r="AM16" i="1"/>
  <c r="AK640" i="1"/>
  <c r="AL640" i="1"/>
  <c r="AM640" i="1"/>
  <c r="AK1332" i="1"/>
  <c r="AL1332" i="1"/>
  <c r="AM1332" i="1"/>
  <c r="AK1577" i="1"/>
  <c r="AL1577" i="1"/>
  <c r="AM1577" i="1"/>
  <c r="AK1578" i="1"/>
  <c r="AL1578" i="1"/>
  <c r="AM1578" i="1"/>
  <c r="AK1640" i="1"/>
  <c r="AL1640" i="1"/>
  <c r="AM1640" i="1"/>
  <c r="AK1765" i="1"/>
  <c r="AL1765" i="1"/>
  <c r="AM1765" i="1"/>
  <c r="AK1824" i="1"/>
  <c r="AL1824" i="1"/>
  <c r="AM1824" i="1"/>
  <c r="AK1864" i="1"/>
  <c r="AL1864" i="1"/>
  <c r="AM1864" i="1"/>
  <c r="AK1268" i="1"/>
  <c r="AL1268" i="1"/>
  <c r="AM1268" i="1"/>
  <c r="AK1269" i="1"/>
  <c r="AL1269" i="1"/>
  <c r="AM1269" i="1"/>
  <c r="AK78" i="1"/>
  <c r="AL78" i="1"/>
  <c r="AM78" i="1"/>
  <c r="AK846" i="1"/>
  <c r="AL846" i="1"/>
  <c r="AM846" i="1"/>
  <c r="AK1333" i="1"/>
  <c r="AL1333" i="1"/>
  <c r="AM1333" i="1"/>
  <c r="AK1596" i="1"/>
  <c r="AL1596" i="1"/>
  <c r="AM1596" i="1"/>
  <c r="AK641" i="1"/>
  <c r="AL641" i="1"/>
  <c r="AM641" i="1"/>
  <c r="AK1962" i="1"/>
  <c r="AL1962" i="1"/>
  <c r="AM1962" i="1"/>
  <c r="AK2106" i="1"/>
  <c r="AL2106" i="1"/>
  <c r="AM2106" i="1"/>
  <c r="AK2248" i="1"/>
  <c r="AL2248" i="1"/>
  <c r="AM2248" i="1"/>
  <c r="AK2359" i="1"/>
  <c r="AL2359" i="1"/>
  <c r="AM2359" i="1"/>
  <c r="AK2458" i="1"/>
  <c r="AL2458" i="1"/>
  <c r="AM2458" i="1"/>
  <c r="AK2569" i="1"/>
  <c r="AL2569" i="1"/>
  <c r="AM2569" i="1"/>
  <c r="AK2570" i="1"/>
  <c r="AL2570" i="1"/>
  <c r="AM2570" i="1"/>
  <c r="AK2571" i="1"/>
  <c r="AL2571" i="1"/>
  <c r="AM2571" i="1"/>
  <c r="AK367" i="1"/>
  <c r="AL367" i="1"/>
  <c r="AM367" i="1"/>
  <c r="AK368" i="1"/>
  <c r="AL368" i="1"/>
  <c r="AM368" i="1"/>
  <c r="AK847" i="1"/>
  <c r="AL847" i="1"/>
  <c r="AM847" i="1"/>
  <c r="AK1523" i="1"/>
  <c r="AL1523" i="1"/>
  <c r="AM1523" i="1"/>
  <c r="AK1852" i="1"/>
  <c r="AL1852" i="1"/>
  <c r="AM1852" i="1"/>
  <c r="AK1403" i="1"/>
  <c r="AL1403" i="1"/>
  <c r="AM1403" i="1"/>
  <c r="AK1825" i="1"/>
  <c r="AL1825" i="1"/>
  <c r="AM1825" i="1"/>
  <c r="AK420" i="1"/>
  <c r="AL420" i="1"/>
  <c r="AM420" i="1"/>
  <c r="AK421" i="1"/>
  <c r="AL421" i="1"/>
  <c r="AM421" i="1"/>
  <c r="AK422" i="1"/>
  <c r="AL422" i="1"/>
  <c r="AM422" i="1"/>
  <c r="AK423" i="1"/>
  <c r="AL423" i="1"/>
  <c r="AM423" i="1"/>
  <c r="AK424" i="1"/>
  <c r="AL424" i="1"/>
  <c r="AM424" i="1"/>
  <c r="AK425" i="1"/>
  <c r="AL425" i="1"/>
  <c r="AM425" i="1"/>
  <c r="AK426" i="1"/>
  <c r="AL426" i="1"/>
  <c r="AM426" i="1"/>
  <c r="AK427" i="1"/>
  <c r="AL427" i="1"/>
  <c r="AM427" i="1"/>
  <c r="AK428" i="1"/>
  <c r="AL428" i="1"/>
  <c r="AM428" i="1"/>
  <c r="AK1826" i="1"/>
  <c r="AL1826" i="1"/>
  <c r="AM1826" i="1"/>
  <c r="AK277" i="1"/>
  <c r="AL277" i="1"/>
  <c r="AM277" i="1"/>
  <c r="AK1334" i="1"/>
  <c r="AL1334" i="1"/>
  <c r="AM1334" i="1"/>
  <c r="AK1335" i="1"/>
  <c r="AL1335" i="1"/>
  <c r="AM1335" i="1"/>
  <c r="AK1462" i="1"/>
  <c r="AL1462" i="1"/>
  <c r="AM1462" i="1"/>
  <c r="AK1463" i="1"/>
  <c r="AL1463" i="1"/>
  <c r="AM1463" i="1"/>
  <c r="AK1710" i="1"/>
  <c r="AL1710" i="1"/>
  <c r="AM1710" i="1"/>
  <c r="AK22" i="1"/>
  <c r="AL22" i="1"/>
  <c r="AM22" i="1"/>
  <c r="AK1963" i="1"/>
  <c r="AL1963" i="1"/>
  <c r="AM1963" i="1"/>
  <c r="AK1964" i="1"/>
  <c r="AL1964" i="1"/>
  <c r="AM1964" i="1"/>
  <c r="AK1965" i="1"/>
  <c r="AL1965" i="1"/>
  <c r="AM1965" i="1"/>
  <c r="AK1966" i="1"/>
  <c r="AL1966" i="1"/>
  <c r="AM1966" i="1"/>
  <c r="AK1967" i="1"/>
  <c r="AL1967" i="1"/>
  <c r="AM1967" i="1"/>
  <c r="AK2107" i="1"/>
  <c r="AL2107" i="1"/>
  <c r="AM2107" i="1"/>
  <c r="AK2249" i="1"/>
  <c r="AL2249" i="1"/>
  <c r="AM2249" i="1"/>
  <c r="AK2250" i="1"/>
  <c r="AL2250" i="1"/>
  <c r="AM2250" i="1"/>
  <c r="AK2251" i="1"/>
  <c r="AL2251" i="1"/>
  <c r="AM2251" i="1"/>
  <c r="AK2252" i="1"/>
  <c r="AL2252" i="1"/>
  <c r="AM2252" i="1"/>
  <c r="AK2360" i="1"/>
  <c r="AL2360" i="1"/>
  <c r="AM2360" i="1"/>
  <c r="AK2361" i="1"/>
  <c r="AL2361" i="1"/>
  <c r="AM2361" i="1"/>
  <c r="AK2459" i="1"/>
  <c r="AL2459" i="1"/>
  <c r="AM2459" i="1"/>
  <c r="AK2460" i="1"/>
  <c r="AL2460" i="1"/>
  <c r="AM2460" i="1"/>
  <c r="AK369" i="1"/>
  <c r="AL369" i="1"/>
  <c r="AM369" i="1"/>
  <c r="AK848" i="1"/>
  <c r="AL848" i="1"/>
  <c r="AM848" i="1"/>
  <c r="AK1758" i="1"/>
  <c r="AL1758" i="1"/>
  <c r="AM1758" i="1"/>
  <c r="AK1759" i="1"/>
  <c r="AL1759" i="1"/>
  <c r="AM1759" i="1"/>
  <c r="AK79" i="1"/>
  <c r="AL79" i="1"/>
  <c r="AM79" i="1"/>
  <c r="AK278" i="1"/>
  <c r="AL278" i="1"/>
  <c r="AM278" i="1"/>
  <c r="AK1969" i="1"/>
  <c r="AL1969" i="1"/>
  <c r="AM1969" i="1"/>
  <c r="AK1968" i="1"/>
  <c r="AL1968" i="1"/>
  <c r="AM1968" i="1"/>
  <c r="AK2108" i="1"/>
  <c r="AL2108" i="1"/>
  <c r="AM2108" i="1"/>
  <c r="AK2253" i="1"/>
  <c r="AL2253" i="1"/>
  <c r="AM2253" i="1"/>
  <c r="AK2572" i="1"/>
  <c r="AL2572" i="1"/>
  <c r="AM2572" i="1"/>
  <c r="AK2573" i="1"/>
  <c r="AL2573" i="1"/>
  <c r="AM2573" i="1"/>
  <c r="AK849" i="1"/>
  <c r="AL849" i="1"/>
  <c r="AM849" i="1"/>
  <c r="AK850" i="1"/>
  <c r="AL850" i="1"/>
  <c r="AM850" i="1"/>
  <c r="AK1827" i="1"/>
  <c r="AL1827" i="1"/>
  <c r="AM1827" i="1"/>
  <c r="AK1828" i="1"/>
  <c r="AL1828" i="1"/>
  <c r="AM1828" i="1"/>
  <c r="AK1829" i="1"/>
  <c r="AL1829" i="1"/>
  <c r="AM1829" i="1"/>
  <c r="AK1270" i="1"/>
  <c r="AL1270" i="1"/>
  <c r="AM1270" i="1"/>
  <c r="AK1271" i="1"/>
  <c r="AL1271" i="1"/>
  <c r="AM1271" i="1"/>
  <c r="AK150" i="1"/>
  <c r="AL150" i="1"/>
  <c r="AM150" i="1"/>
  <c r="AK1272" i="1"/>
  <c r="AL1272" i="1"/>
  <c r="AM1272" i="1"/>
  <c r="AK1273" i="1"/>
  <c r="AL1273" i="1"/>
  <c r="AM1273" i="1"/>
  <c r="AK2109" i="1"/>
  <c r="AL2109" i="1"/>
  <c r="AM2109" i="1"/>
  <c r="AK2110" i="1"/>
  <c r="AL2110" i="1"/>
  <c r="AM2110" i="1"/>
  <c r="AK851" i="1"/>
  <c r="AL851" i="1"/>
  <c r="AM851" i="1"/>
  <c r="AK852" i="1"/>
  <c r="AL852" i="1"/>
  <c r="AM852" i="1"/>
  <c r="AK1711" i="1"/>
  <c r="AL1711" i="1"/>
  <c r="AM1711" i="1"/>
  <c r="AK1336" i="1"/>
  <c r="AL1336" i="1"/>
  <c r="AM1336" i="1"/>
  <c r="AK1337" i="1"/>
  <c r="AL1337" i="1"/>
  <c r="AM1337" i="1"/>
  <c r="AK1338" i="1"/>
  <c r="AL1338" i="1"/>
  <c r="AM1338" i="1"/>
  <c r="AK1339" i="1"/>
  <c r="AL1339" i="1"/>
  <c r="AM1339" i="1"/>
  <c r="AK1366" i="1"/>
  <c r="AL1366" i="1"/>
  <c r="AM1366" i="1"/>
  <c r="AK1367" i="1"/>
  <c r="AL1367" i="1"/>
  <c r="AM1367" i="1"/>
  <c r="AK1368" i="1"/>
  <c r="AL1368" i="1"/>
  <c r="AM1368" i="1"/>
  <c r="AK1760" i="1"/>
  <c r="AL1760" i="1"/>
  <c r="AM1760" i="1"/>
  <c r="AK1761" i="1"/>
  <c r="AL1761" i="1"/>
  <c r="AM1761" i="1"/>
  <c r="AK1579" i="1"/>
  <c r="AL1579" i="1"/>
  <c r="AM1579" i="1"/>
  <c r="AK1404" i="1"/>
  <c r="AL1404" i="1"/>
  <c r="AM1404" i="1"/>
  <c r="AK1405" i="1"/>
  <c r="AL1405" i="1"/>
  <c r="AM1405" i="1"/>
  <c r="AK1524" i="1"/>
  <c r="AL1524" i="1"/>
  <c r="AM1524" i="1"/>
  <c r="AK1686" i="1"/>
  <c r="AL1686" i="1"/>
  <c r="AM1686" i="1"/>
  <c r="AK1687" i="1"/>
  <c r="AL1687" i="1"/>
  <c r="AM1687" i="1"/>
  <c r="AK118" i="1"/>
  <c r="AL118" i="1"/>
  <c r="AM118" i="1"/>
  <c r="AK642" i="1"/>
  <c r="AL642" i="1"/>
  <c r="AM642" i="1"/>
  <c r="AK279" i="1"/>
  <c r="AL279" i="1"/>
  <c r="AM279" i="1"/>
  <c r="AK280" i="1"/>
  <c r="AL280" i="1"/>
  <c r="AM280" i="1"/>
  <c r="AK2254" i="1"/>
  <c r="AL2254" i="1"/>
  <c r="AM2254" i="1"/>
  <c r="AK2255" i="1"/>
  <c r="AL2255" i="1"/>
  <c r="AM2255" i="1"/>
  <c r="AK1868" i="1"/>
  <c r="AL1868" i="1"/>
  <c r="AM1868" i="1"/>
  <c r="AK1869" i="1"/>
  <c r="AL1869" i="1"/>
  <c r="AM1869" i="1"/>
  <c r="AK569" i="1"/>
  <c r="AL569" i="1"/>
  <c r="AM569" i="1"/>
  <c r="AK571" i="1"/>
  <c r="AL571" i="1"/>
  <c r="AM571" i="1"/>
  <c r="AK572" i="1"/>
  <c r="AL572" i="1"/>
  <c r="AM572" i="1"/>
  <c r="AK2111" i="1"/>
  <c r="AL2111" i="1"/>
  <c r="AM2111" i="1"/>
  <c r="AK2461" i="1"/>
  <c r="AL2461" i="1"/>
  <c r="AM2461" i="1"/>
  <c r="AK2574" i="1"/>
  <c r="AL2574" i="1"/>
  <c r="AM2574" i="1"/>
  <c r="AK853" i="1"/>
  <c r="AL853" i="1"/>
  <c r="AM853" i="1"/>
  <c r="AK854" i="1"/>
  <c r="AL854" i="1"/>
  <c r="AM854" i="1"/>
  <c r="AK855" i="1"/>
  <c r="AL855" i="1"/>
  <c r="AM855" i="1"/>
  <c r="AK1393" i="1"/>
  <c r="AL1393" i="1"/>
  <c r="AM1393" i="1"/>
  <c r="AK1522" i="1"/>
  <c r="AL1522" i="1"/>
  <c r="AM1522" i="1"/>
  <c r="AK2112" i="1"/>
  <c r="AL2112" i="1"/>
  <c r="AM2112" i="1"/>
  <c r="AK2113" i="1"/>
  <c r="AL2113" i="1"/>
  <c r="AM2113" i="1"/>
  <c r="AK2114" i="1"/>
  <c r="AL2114" i="1"/>
  <c r="AM2114" i="1"/>
  <c r="AK2462" i="1"/>
  <c r="AL2462" i="1"/>
  <c r="AM2462" i="1"/>
  <c r="AK2463" i="1"/>
  <c r="AL2463" i="1"/>
  <c r="AM2463" i="1"/>
  <c r="AK2464" i="1"/>
  <c r="AL2464" i="1"/>
  <c r="AM2464" i="1"/>
  <c r="AK2465" i="1"/>
  <c r="AL2465" i="1"/>
  <c r="AM2465" i="1"/>
  <c r="AK856" i="1"/>
  <c r="AL856" i="1"/>
  <c r="AM856" i="1"/>
  <c r="AK857" i="1"/>
  <c r="AL857" i="1"/>
  <c r="AM857" i="1"/>
  <c r="AK858" i="1"/>
  <c r="AL858" i="1"/>
  <c r="AM858" i="1"/>
  <c r="AK1440" i="1"/>
  <c r="AL1440" i="1"/>
  <c r="AM1440" i="1"/>
  <c r="AK693" i="1"/>
  <c r="AL693" i="1"/>
  <c r="AM693" i="1"/>
  <c r="AK694" i="1"/>
  <c r="AL694" i="1"/>
  <c r="AM694" i="1"/>
  <c r="AK695" i="1"/>
  <c r="AL695" i="1"/>
  <c r="AM695" i="1"/>
  <c r="AK1782" i="1"/>
  <c r="AL1782" i="1"/>
  <c r="AM1782" i="1"/>
  <c r="AK1783" i="1"/>
  <c r="AL1783" i="1"/>
  <c r="AM1783" i="1"/>
  <c r="AK1865" i="1"/>
  <c r="AL1865" i="1"/>
  <c r="AM1865" i="1"/>
  <c r="AK1688" i="1"/>
  <c r="AL1688" i="1"/>
  <c r="AM1688" i="1"/>
  <c r="AK1689" i="1"/>
  <c r="AL1689" i="1"/>
  <c r="AM1689" i="1"/>
  <c r="AK469" i="1"/>
  <c r="AL469" i="1"/>
  <c r="AM469" i="1"/>
  <c r="AK470" i="1"/>
  <c r="AL470" i="1"/>
  <c r="AM470" i="1"/>
  <c r="AK471" i="1"/>
  <c r="AL471" i="1"/>
  <c r="AM471" i="1"/>
  <c r="AK472" i="1"/>
  <c r="AL472" i="1"/>
  <c r="AM472" i="1"/>
  <c r="AK473" i="1"/>
  <c r="AL473" i="1"/>
  <c r="AM473" i="1"/>
  <c r="AK476" i="1"/>
  <c r="AL476" i="1"/>
  <c r="AM476" i="1"/>
  <c r="AK474" i="1"/>
  <c r="AL474" i="1"/>
  <c r="AM474" i="1"/>
  <c r="AK475" i="1"/>
  <c r="AL475" i="1"/>
  <c r="AM475" i="1"/>
  <c r="AK477" i="1"/>
  <c r="AL477" i="1"/>
  <c r="AM477" i="1"/>
  <c r="AK480" i="1"/>
  <c r="AL480" i="1"/>
  <c r="AM480" i="1"/>
  <c r="AK479" i="1"/>
  <c r="AL479" i="1"/>
  <c r="AM479" i="1"/>
  <c r="AK478" i="1"/>
  <c r="AL478" i="1"/>
  <c r="AM478" i="1"/>
  <c r="AK604" i="1"/>
  <c r="AL604" i="1"/>
  <c r="AM604" i="1"/>
  <c r="AK605" i="1"/>
  <c r="AL605" i="1"/>
  <c r="AM605" i="1"/>
  <c r="AK1971" i="1"/>
  <c r="AL1971" i="1"/>
  <c r="AM1971" i="1"/>
  <c r="AK1970" i="1"/>
  <c r="AL1970" i="1"/>
  <c r="AM1970" i="1"/>
  <c r="AK1972" i="1"/>
  <c r="AL1972" i="1"/>
  <c r="AM1972" i="1"/>
  <c r="AK481" i="1"/>
  <c r="AL481" i="1"/>
  <c r="AM481" i="1"/>
  <c r="AK859" i="1"/>
  <c r="AL859" i="1"/>
  <c r="AM859" i="1"/>
  <c r="AK860" i="1"/>
  <c r="AL860" i="1"/>
  <c r="AM860" i="1"/>
  <c r="AK1274" i="1"/>
  <c r="AL1274" i="1"/>
  <c r="AM1274" i="1"/>
  <c r="AK1275" i="1"/>
  <c r="AL1275" i="1"/>
  <c r="AM1275" i="1"/>
  <c r="AK2256" i="1"/>
  <c r="AL2256" i="1"/>
  <c r="AM2256" i="1"/>
  <c r="AK2257" i="1"/>
  <c r="AL2257" i="1"/>
  <c r="AM2257" i="1"/>
  <c r="AK2258" i="1"/>
  <c r="AL2258" i="1"/>
  <c r="AM2258" i="1"/>
  <c r="AK2259" i="1"/>
  <c r="AL2259" i="1"/>
  <c r="AM2259" i="1"/>
  <c r="AK2466" i="1"/>
  <c r="AL2466" i="1"/>
  <c r="AM2466" i="1"/>
  <c r="AK2467" i="1"/>
  <c r="AL2467" i="1"/>
  <c r="AM2467" i="1"/>
  <c r="AK2468" i="1"/>
  <c r="AL2468" i="1"/>
  <c r="AM2468" i="1"/>
  <c r="AK2469" i="1"/>
  <c r="AL2469" i="1"/>
  <c r="AM2469" i="1"/>
  <c r="AK861" i="1"/>
  <c r="AL861" i="1"/>
  <c r="AM861" i="1"/>
  <c r="AK862" i="1"/>
  <c r="AL862" i="1"/>
  <c r="AM862" i="1"/>
  <c r="AK863" i="1"/>
  <c r="AL863" i="1"/>
  <c r="AM863" i="1"/>
  <c r="AK1340" i="1"/>
  <c r="AK611" i="1"/>
  <c r="AL611" i="1"/>
  <c r="AM611" i="1"/>
  <c r="AK433" i="1"/>
  <c r="AL433" i="1"/>
  <c r="AM433" i="1"/>
  <c r="AK432" i="1"/>
  <c r="AL432" i="1"/>
  <c r="AM432" i="1"/>
  <c r="AK434" i="1"/>
  <c r="AL434" i="1"/>
  <c r="AM434" i="1"/>
  <c r="AK436" i="1"/>
  <c r="AL436" i="1"/>
  <c r="AM436" i="1"/>
  <c r="AK437" i="1"/>
  <c r="AL437" i="1"/>
  <c r="AM437" i="1"/>
  <c r="AK438" i="1"/>
  <c r="AL438" i="1"/>
  <c r="AM438" i="1"/>
  <c r="AK435" i="1"/>
  <c r="AL435" i="1"/>
  <c r="AM435" i="1"/>
  <c r="AK439" i="1"/>
  <c r="AL439" i="1"/>
  <c r="AM439" i="1"/>
  <c r="AK1973" i="1"/>
  <c r="AL1973" i="1"/>
  <c r="AM1973" i="1"/>
  <c r="AK1974" i="1"/>
  <c r="AL1974" i="1"/>
  <c r="AM1974" i="1"/>
  <c r="AK1276" i="1"/>
  <c r="AL1276" i="1"/>
  <c r="AM1276" i="1"/>
  <c r="AK864" i="1"/>
  <c r="AL864" i="1"/>
  <c r="AM864" i="1"/>
  <c r="AK1394" i="1"/>
  <c r="AL1394" i="1"/>
  <c r="AM1394" i="1"/>
  <c r="AK1395" i="1"/>
  <c r="AL1395" i="1"/>
  <c r="AM1395" i="1"/>
  <c r="AK1396" i="1"/>
  <c r="AL1396" i="1"/>
  <c r="AM1396" i="1"/>
  <c r="AK696" i="1"/>
  <c r="AL696" i="1"/>
  <c r="AM696" i="1"/>
  <c r="AK2260" i="1"/>
  <c r="AL2260" i="1"/>
  <c r="AM2260" i="1"/>
  <c r="AK2261" i="1"/>
  <c r="AL2261" i="1"/>
  <c r="AM2261" i="1"/>
  <c r="AK2262" i="1"/>
  <c r="AL2262" i="1"/>
  <c r="AM2262" i="1"/>
  <c r="AK2263" i="1"/>
  <c r="AL2263" i="1"/>
  <c r="AM2263" i="1"/>
  <c r="AK2363" i="1"/>
  <c r="AL2363" i="1"/>
  <c r="AM2363" i="1"/>
  <c r="AK2362" i="1"/>
  <c r="AL2362" i="1"/>
  <c r="AM2362" i="1"/>
  <c r="AK2364" i="1"/>
  <c r="AL2364" i="1"/>
  <c r="AM2364" i="1"/>
  <c r="AK1690" i="1"/>
  <c r="AL1690" i="1"/>
  <c r="AM1690" i="1"/>
  <c r="AK751" i="1"/>
  <c r="AL751" i="1"/>
  <c r="AM751" i="1"/>
  <c r="AK1975" i="1"/>
  <c r="AL1975" i="1"/>
  <c r="AM1975" i="1"/>
  <c r="AK1976" i="1"/>
  <c r="AL1976" i="1"/>
  <c r="AM1976" i="1"/>
  <c r="AK1977" i="1"/>
  <c r="AL1977" i="1"/>
  <c r="AM1977" i="1"/>
  <c r="AK1978" i="1"/>
  <c r="AL1978" i="1"/>
  <c r="AM1978" i="1"/>
  <c r="AK1979" i="1"/>
  <c r="AL1979" i="1"/>
  <c r="AM1979" i="1"/>
  <c r="AK753" i="1"/>
  <c r="AL753" i="1"/>
  <c r="AM753" i="1"/>
  <c r="AK752" i="1"/>
  <c r="AL752" i="1"/>
  <c r="AM752" i="1"/>
  <c r="AK1341" i="1"/>
  <c r="AK1342" i="1"/>
  <c r="AK1641" i="1"/>
  <c r="AL1641" i="1"/>
  <c r="AM1641" i="1"/>
  <c r="AK2626" i="1"/>
  <c r="AL2626" i="1"/>
  <c r="AM2626" i="1"/>
  <c r="AK2620" i="1"/>
  <c r="AL2620" i="1"/>
  <c r="AM2620" i="1"/>
  <c r="AK2618" i="1"/>
  <c r="AL2618" i="1"/>
  <c r="AM2618" i="1"/>
  <c r="AK2621" i="1"/>
  <c r="AL2621" i="1"/>
  <c r="AM2621" i="1"/>
  <c r="AK2619" i="1"/>
  <c r="AL2619" i="1"/>
  <c r="AM2619" i="1"/>
  <c r="AK750" i="1"/>
  <c r="AL750" i="1"/>
  <c r="AM750" i="1"/>
  <c r="AK723" i="1"/>
  <c r="AL723" i="1"/>
  <c r="AM723" i="1"/>
  <c r="AK722" i="1"/>
  <c r="AL722" i="1"/>
  <c r="AM722" i="1"/>
  <c r="AK724" i="1"/>
  <c r="AL724" i="1"/>
  <c r="AM724" i="1"/>
  <c r="AK542" i="1"/>
  <c r="AL542" i="1"/>
  <c r="AM542" i="1"/>
  <c r="AK543" i="1"/>
  <c r="AL543" i="1"/>
  <c r="AM543" i="1"/>
  <c r="AK544" i="1"/>
  <c r="AL544" i="1"/>
  <c r="AM544" i="1"/>
  <c r="AK546" i="1"/>
  <c r="AL546" i="1"/>
  <c r="AM546" i="1"/>
  <c r="AK545" i="1"/>
  <c r="AL545" i="1"/>
  <c r="AM545" i="1"/>
  <c r="AK443" i="1"/>
  <c r="AL443" i="1"/>
  <c r="AM443" i="1"/>
  <c r="AK440" i="1"/>
  <c r="AL440" i="1"/>
  <c r="AM440" i="1"/>
  <c r="AK441" i="1"/>
  <c r="AL441" i="1"/>
  <c r="AM441" i="1"/>
  <c r="AK442" i="1"/>
  <c r="AL442" i="1"/>
  <c r="AM442" i="1"/>
  <c r="AK510" i="1"/>
  <c r="AL510" i="1"/>
  <c r="AM510" i="1"/>
  <c r="AL511" i="1"/>
  <c r="AM511" i="1"/>
  <c r="AK511" i="1"/>
  <c r="AK512" i="1"/>
  <c r="AL512" i="1"/>
  <c r="AM512" i="1"/>
  <c r="AK513" i="1"/>
  <c r="AL513" i="1"/>
  <c r="AM513" i="1"/>
  <c r="AK509" i="1"/>
  <c r="AL509" i="1"/>
  <c r="AM509" i="1"/>
  <c r="AK514" i="1"/>
  <c r="AL514" i="1"/>
  <c r="AM514" i="1"/>
  <c r="AK515" i="1"/>
  <c r="AL515" i="1"/>
  <c r="AM515" i="1"/>
  <c r="AK738" i="1"/>
  <c r="AL738" i="1"/>
  <c r="AM738" i="1"/>
  <c r="AK370" i="1"/>
  <c r="AL370" i="1"/>
  <c r="AM370" i="1"/>
  <c r="AK371" i="1"/>
  <c r="AL371" i="1"/>
  <c r="AM371" i="1"/>
  <c r="AK372" i="1"/>
  <c r="AL372" i="1"/>
  <c r="AK373" i="1"/>
  <c r="AL373" i="1"/>
  <c r="AK153" i="1"/>
  <c r="AL153" i="1"/>
  <c r="AM153" i="1"/>
  <c r="AK154" i="1"/>
  <c r="AL154" i="1"/>
  <c r="AM154" i="1"/>
  <c r="AK10" i="1"/>
  <c r="AL10" i="1"/>
  <c r="AM10" i="1"/>
  <c r="AK11" i="1"/>
  <c r="AL11" i="1"/>
  <c r="AM11" i="1"/>
  <c r="AK2265" i="1"/>
  <c r="AL2265" i="1"/>
  <c r="AM2265" i="1"/>
  <c r="AK2264" i="1"/>
  <c r="AL2264" i="1"/>
  <c r="AM2264" i="1"/>
  <c r="AK281" i="1"/>
  <c r="AL281" i="1"/>
  <c r="AM281" i="1"/>
  <c r="AK1580" i="1"/>
  <c r="AL1580" i="1"/>
  <c r="AM1580" i="1"/>
  <c r="AK1369" i="1"/>
  <c r="AL1369" i="1"/>
  <c r="AM1369" i="1"/>
  <c r="AK1370" i="1"/>
  <c r="AL1370" i="1"/>
  <c r="AM1370" i="1"/>
  <c r="AK1703" i="1"/>
  <c r="AL1703" i="1"/>
  <c r="AM1703" i="1"/>
  <c r="AK1704" i="1"/>
  <c r="AL1704" i="1"/>
  <c r="AM1704" i="1"/>
  <c r="AK1705" i="1"/>
  <c r="AL1705" i="1"/>
  <c r="AM1705" i="1"/>
  <c r="AK643" i="1"/>
  <c r="AL643" i="1"/>
  <c r="AM643" i="1"/>
  <c r="AK1217" i="1"/>
  <c r="AL1217" i="1"/>
  <c r="AM1217" i="1"/>
  <c r="AK1218" i="1"/>
  <c r="AL1218" i="1"/>
  <c r="AM1218" i="1"/>
  <c r="AK2115" i="1"/>
  <c r="AL2115" i="1"/>
  <c r="AM2115" i="1"/>
  <c r="AK2116" i="1"/>
  <c r="AL2116" i="1"/>
  <c r="AM2116" i="1"/>
  <c r="AK754" i="1"/>
  <c r="AL754" i="1"/>
  <c r="AM754" i="1"/>
  <c r="AK1712" i="1"/>
  <c r="AL1712" i="1"/>
  <c r="AM1712" i="1"/>
  <c r="AK516" i="1"/>
  <c r="AL516" i="1"/>
  <c r="AM516" i="1"/>
  <c r="AK2575" i="1"/>
  <c r="AL2575" i="1"/>
  <c r="AM2575" i="1"/>
  <c r="AK1525" i="1"/>
  <c r="AL1525" i="1"/>
  <c r="AM1525" i="1"/>
  <c r="AK148" i="1"/>
  <c r="AL148" i="1"/>
  <c r="AM148" i="1"/>
  <c r="AK725" i="1"/>
  <c r="AL725" i="1"/>
  <c r="AM725" i="1"/>
  <c r="AK755" i="1"/>
  <c r="AL755" i="1"/>
  <c r="AM755" i="1"/>
  <c r="AK1830" i="1"/>
  <c r="AL1830" i="1"/>
  <c r="AM1830" i="1"/>
  <c r="AK1831" i="1"/>
  <c r="AL1831" i="1"/>
  <c r="AM1831" i="1"/>
  <c r="AK1832" i="1"/>
  <c r="AL1832" i="1"/>
  <c r="AM1832" i="1"/>
  <c r="AK1581" i="1"/>
  <c r="AL1581" i="1"/>
  <c r="AM1581" i="1"/>
  <c r="AK644" i="1"/>
  <c r="AL644" i="1"/>
  <c r="AM644" i="1"/>
  <c r="AK2576" i="1"/>
  <c r="AL2576" i="1"/>
  <c r="AM2576" i="1"/>
  <c r="AK2577" i="1"/>
  <c r="AL2577" i="1"/>
  <c r="AM2577" i="1"/>
  <c r="AK1980" i="1"/>
  <c r="AL1980" i="1"/>
  <c r="AM1980" i="1"/>
  <c r="AK1219" i="1"/>
  <c r="AL1219" i="1"/>
  <c r="AM1219" i="1"/>
  <c r="AK1220" i="1"/>
  <c r="AL1220" i="1"/>
  <c r="AM1220" i="1"/>
  <c r="AK756" i="1"/>
  <c r="AL756" i="1"/>
  <c r="AM756" i="1"/>
  <c r="AK282" i="1"/>
  <c r="AL282" i="1"/>
  <c r="AM282" i="1"/>
  <c r="AK283" i="1"/>
  <c r="AL283" i="1"/>
  <c r="AM283" i="1"/>
  <c r="AK2117" i="1"/>
  <c r="AL2117" i="1"/>
  <c r="AM2117" i="1"/>
  <c r="AK2118" i="1"/>
  <c r="AL2118" i="1"/>
  <c r="AM2118" i="1"/>
  <c r="AK2119" i="1"/>
  <c r="AL2119" i="1"/>
  <c r="AM2119" i="1"/>
  <c r="AK2120" i="1"/>
  <c r="AL2120" i="1"/>
  <c r="AM2120" i="1"/>
  <c r="AK374" i="1"/>
  <c r="AL374" i="1"/>
  <c r="AM374" i="1"/>
  <c r="AK2630" i="1"/>
  <c r="AL2630" i="1"/>
  <c r="AM2630" i="1"/>
  <c r="AK2471" i="1"/>
  <c r="AL2471" i="1"/>
  <c r="AM2471" i="1"/>
  <c r="AK2472" i="1"/>
  <c r="AL2472" i="1"/>
  <c r="AM2472" i="1"/>
  <c r="AK2470" i="1"/>
  <c r="AL2470" i="1"/>
  <c r="AM2470" i="1"/>
  <c r="AK2578" i="1"/>
  <c r="AL2578" i="1"/>
  <c r="AM2578" i="1"/>
  <c r="AK2579" i="1"/>
  <c r="AL2579" i="1"/>
  <c r="AM2579" i="1"/>
  <c r="AK1277" i="1"/>
  <c r="AL1277" i="1"/>
  <c r="AM1277" i="1"/>
  <c r="AK1278" i="1"/>
  <c r="AL1278" i="1"/>
  <c r="AM1278" i="1"/>
  <c r="AK1981" i="1"/>
  <c r="AL1981" i="1"/>
  <c r="AM1981" i="1"/>
  <c r="AK1833" i="1"/>
  <c r="AL1833" i="1"/>
  <c r="AM1833" i="1"/>
  <c r="AK1834" i="1"/>
  <c r="AL1834" i="1"/>
  <c r="AM1834" i="1"/>
  <c r="AK1836" i="1"/>
  <c r="AL1836" i="1"/>
  <c r="AM1836" i="1"/>
  <c r="AK1371" i="1"/>
  <c r="AL1371" i="1"/>
  <c r="AM1371" i="1"/>
  <c r="AK1372" i="1"/>
  <c r="AL1372" i="1"/>
  <c r="AM1372" i="1"/>
  <c r="AK1510" i="1"/>
  <c r="AL1510" i="1"/>
  <c r="AM1510" i="1"/>
  <c r="AK1511" i="1"/>
  <c r="AL1511" i="1"/>
  <c r="AM1511" i="1"/>
  <c r="AK1512" i="1"/>
  <c r="AL1512" i="1"/>
  <c r="AM1512" i="1"/>
  <c r="AK1513" i="1"/>
  <c r="AL1513" i="1"/>
  <c r="AM1513" i="1"/>
  <c r="AK1982" i="1"/>
  <c r="AL1982" i="1"/>
  <c r="AM1982" i="1"/>
  <c r="AK1464" i="1"/>
  <c r="AL1464" i="1"/>
  <c r="AM1464" i="1"/>
  <c r="AK1642" i="1"/>
  <c r="AL1642" i="1"/>
  <c r="AM1642" i="1"/>
  <c r="AK284" i="1"/>
  <c r="AL284" i="1"/>
  <c r="AM284" i="1"/>
  <c r="AK2580" i="1"/>
  <c r="AL2580" i="1"/>
  <c r="AM2580" i="1"/>
  <c r="AK2581" i="1"/>
  <c r="AL2581" i="1"/>
  <c r="AM2581" i="1"/>
  <c r="AK2582" i="1"/>
  <c r="AL2582" i="1"/>
  <c r="AM2582" i="1"/>
  <c r="AK2583" i="1"/>
  <c r="AL2583" i="1"/>
  <c r="AM2583" i="1"/>
  <c r="AK2584" i="1"/>
  <c r="AL2584" i="1"/>
  <c r="AM2584" i="1"/>
  <c r="AK2585" i="1"/>
  <c r="AL2585" i="1"/>
  <c r="AM2585" i="1"/>
  <c r="AK2586" i="1"/>
  <c r="AL2586" i="1"/>
  <c r="AM2586" i="1"/>
  <c r="AK2587" i="1"/>
  <c r="AL2587" i="1"/>
  <c r="AM2587" i="1"/>
  <c r="AK2588" i="1"/>
  <c r="AL2588" i="1"/>
  <c r="AM2588" i="1"/>
  <c r="AK375" i="1"/>
  <c r="AL375" i="1"/>
  <c r="AK697" i="1"/>
  <c r="AL697" i="1"/>
  <c r="AM697" i="1"/>
  <c r="AK698" i="1"/>
  <c r="AL698" i="1"/>
  <c r="AM698" i="1"/>
  <c r="AK554" i="1"/>
  <c r="AL554" i="1"/>
  <c r="AM554" i="1"/>
  <c r="AK548" i="1"/>
  <c r="AL548" i="1"/>
  <c r="AM548" i="1"/>
  <c r="AK547" i="1"/>
  <c r="AL547" i="1"/>
  <c r="AM547" i="1"/>
  <c r="AK549" i="1"/>
  <c r="AL549" i="1"/>
  <c r="AM549" i="1"/>
  <c r="AK550" i="1"/>
  <c r="AL550" i="1"/>
  <c r="AM550" i="1"/>
  <c r="AK551" i="1"/>
  <c r="AL551" i="1"/>
  <c r="AM551" i="1"/>
  <c r="AK552" i="1"/>
  <c r="AL552" i="1"/>
  <c r="AM552" i="1"/>
  <c r="AK553" i="1"/>
  <c r="AL553" i="1"/>
  <c r="AM553" i="1"/>
  <c r="AK557" i="1"/>
  <c r="AL557" i="1"/>
  <c r="AM557" i="1"/>
  <c r="AK556" i="1"/>
  <c r="AL556" i="1"/>
  <c r="AM556" i="1"/>
  <c r="AK555" i="1"/>
  <c r="AL555" i="1"/>
  <c r="AM555" i="1"/>
  <c r="AK1984" i="1"/>
  <c r="AL1984" i="1"/>
  <c r="AM1984" i="1"/>
  <c r="AK1983" i="1"/>
  <c r="AL1983" i="1"/>
  <c r="AM1983" i="1"/>
  <c r="AK1784" i="1"/>
  <c r="AL1784" i="1"/>
  <c r="AM1784" i="1"/>
  <c r="AK1785" i="1"/>
  <c r="AL1785" i="1"/>
  <c r="AM1785" i="1"/>
  <c r="AK1500" i="1"/>
  <c r="AL1500" i="1"/>
  <c r="AM1500" i="1"/>
  <c r="AK1514" i="1"/>
  <c r="AL1514" i="1"/>
  <c r="AM1514" i="1"/>
  <c r="AK1515" i="1"/>
  <c r="AL1515" i="1"/>
  <c r="AM1515" i="1"/>
  <c r="AK1691" i="1"/>
  <c r="AL1691" i="1"/>
  <c r="AM1691" i="1"/>
  <c r="AK2473" i="1"/>
  <c r="AL2473" i="1"/>
  <c r="AM2473" i="1"/>
  <c r="AK2474" i="1"/>
  <c r="AL2474" i="1"/>
  <c r="AM2474" i="1"/>
  <c r="AK2475" i="1"/>
  <c r="AL2475" i="1"/>
  <c r="AM2475" i="1"/>
  <c r="AK2476" i="1"/>
  <c r="AL2476" i="1"/>
  <c r="AM2476" i="1"/>
  <c r="AK1741" i="1"/>
  <c r="AL1741" i="1"/>
  <c r="AM1741" i="1"/>
  <c r="AK285" i="1"/>
  <c r="AL285" i="1"/>
  <c r="AM285" i="1"/>
  <c r="AK866" i="1"/>
  <c r="AL866" i="1"/>
  <c r="AM866" i="1"/>
  <c r="AK865" i="1"/>
  <c r="AL865" i="1"/>
  <c r="AM865" i="1"/>
  <c r="AK1855" i="1"/>
  <c r="AL1855" i="1"/>
  <c r="AM1855" i="1"/>
  <c r="AK2121" i="1"/>
  <c r="AL2121" i="1"/>
  <c r="AM2121" i="1"/>
  <c r="AK2122" i="1"/>
  <c r="AL2122" i="1"/>
  <c r="AM2122" i="1"/>
  <c r="AK1516" i="1"/>
  <c r="AL1516" i="1"/>
  <c r="AM1516" i="1"/>
  <c r="AK1465" i="1"/>
  <c r="AL1465" i="1"/>
  <c r="AM1465" i="1"/>
  <c r="AK2477" i="1"/>
  <c r="AL2477" i="1"/>
  <c r="AM2477" i="1"/>
  <c r="AK2478" i="1"/>
  <c r="AL2478" i="1"/>
  <c r="AM2478" i="1"/>
  <c r="AK1221" i="1"/>
  <c r="AL1221" i="1"/>
  <c r="AM1221" i="1"/>
  <c r="AK1222" i="1"/>
  <c r="AL1222" i="1"/>
  <c r="AM1222" i="1"/>
  <c r="AK2266" i="1"/>
  <c r="AL2266" i="1"/>
  <c r="AM2266" i="1"/>
  <c r="AK2267" i="1"/>
  <c r="AL2267" i="1"/>
  <c r="AM2267" i="1"/>
  <c r="AK2268" i="1"/>
  <c r="AL2268" i="1"/>
  <c r="AM2268" i="1"/>
  <c r="AK2269" i="1"/>
  <c r="AL2269" i="1"/>
  <c r="AM2269" i="1"/>
  <c r="AK2270" i="1"/>
  <c r="AL2270" i="1"/>
  <c r="AM2270" i="1"/>
  <c r="AK2271" i="1"/>
  <c r="AL2271" i="1"/>
  <c r="AM2271" i="1"/>
  <c r="AK867" i="1"/>
  <c r="AL867" i="1"/>
  <c r="AM867" i="1"/>
  <c r="AK757" i="1"/>
  <c r="AL757" i="1"/>
  <c r="AM757" i="1"/>
  <c r="AK1397" i="1"/>
  <c r="AL1397" i="1"/>
  <c r="AM1397" i="1"/>
  <c r="AK444" i="1"/>
  <c r="AL444" i="1"/>
  <c r="AM444" i="1"/>
  <c r="AK445" i="1"/>
  <c r="AL445" i="1"/>
  <c r="AM445" i="1"/>
  <c r="AK446" i="1"/>
  <c r="AL446" i="1"/>
  <c r="AM446" i="1"/>
  <c r="AK447" i="1"/>
  <c r="AL447" i="1"/>
  <c r="AM447" i="1"/>
  <c r="AK448" i="1"/>
  <c r="AL448" i="1"/>
  <c r="AM448" i="1"/>
  <c r="AK449" i="1"/>
  <c r="AL449" i="1"/>
  <c r="AM449" i="1"/>
  <c r="AK519" i="1"/>
  <c r="AL519" i="1"/>
  <c r="AM519" i="1"/>
  <c r="AK521" i="1"/>
  <c r="AL521" i="1"/>
  <c r="AM521" i="1"/>
  <c r="AK522" i="1"/>
  <c r="AL522" i="1"/>
  <c r="AM522" i="1"/>
  <c r="AK523" i="1"/>
  <c r="AL523" i="1"/>
  <c r="AM523" i="1"/>
  <c r="AK517" i="1"/>
  <c r="AL517" i="1"/>
  <c r="AM517" i="1"/>
  <c r="AK518" i="1"/>
  <c r="AL518" i="1"/>
  <c r="AM518" i="1"/>
  <c r="AK520" i="1"/>
  <c r="AL520" i="1"/>
  <c r="AM520" i="1"/>
  <c r="AK2595" i="1"/>
  <c r="AL2595" i="1"/>
  <c r="AM2595" i="1"/>
  <c r="AK2593" i="1"/>
  <c r="AL2593" i="1"/>
  <c r="AM2593" i="1"/>
  <c r="AK2592" i="1"/>
  <c r="AL2592" i="1"/>
  <c r="AM2592" i="1"/>
  <c r="AK2591" i="1"/>
  <c r="AL2591" i="1"/>
  <c r="AM2591" i="1"/>
  <c r="AK2590" i="1"/>
  <c r="AL2590" i="1"/>
  <c r="AM2590" i="1"/>
  <c r="AK2589" i="1"/>
  <c r="AL2589" i="1"/>
  <c r="AM2589" i="1"/>
  <c r="AK2594" i="1"/>
  <c r="AL2594" i="1"/>
  <c r="AM2594" i="1"/>
  <c r="AK2596" i="1"/>
  <c r="AL2596" i="1"/>
  <c r="AM2596" i="1"/>
  <c r="AK1989" i="1"/>
  <c r="AL1989" i="1"/>
  <c r="AM1989" i="1"/>
  <c r="AK2272" i="1"/>
  <c r="AL2272" i="1"/>
  <c r="AM2272" i="1"/>
  <c r="AK211" i="1"/>
  <c r="AL211" i="1"/>
  <c r="AM211" i="1"/>
  <c r="AK186" i="1"/>
  <c r="AL186" i="1"/>
  <c r="AM186" i="1"/>
  <c r="AK188" i="1"/>
  <c r="AL188" i="1"/>
  <c r="AM188" i="1"/>
  <c r="AK196" i="1"/>
  <c r="AL196" i="1"/>
  <c r="AM196" i="1"/>
  <c r="AK207" i="1"/>
  <c r="AL207" i="1"/>
  <c r="AM207" i="1"/>
  <c r="AK209" i="1"/>
  <c r="AL209" i="1"/>
  <c r="AM209" i="1"/>
  <c r="AK190" i="1"/>
  <c r="AL190" i="1"/>
  <c r="AM190" i="1"/>
  <c r="AK868" i="1"/>
  <c r="AL868" i="1"/>
  <c r="AM868" i="1"/>
  <c r="AK1582" i="1"/>
  <c r="AL1582" i="1"/>
  <c r="AM1582" i="1"/>
  <c r="AK1985" i="1"/>
  <c r="AL1985" i="1"/>
  <c r="AM1985" i="1"/>
  <c r="AK1986" i="1"/>
  <c r="AL1986" i="1"/>
  <c r="AM1986" i="1"/>
  <c r="AK1643" i="1"/>
  <c r="AL1643" i="1"/>
  <c r="AM1643" i="1"/>
  <c r="AK1644" i="1"/>
  <c r="AL1644" i="1"/>
  <c r="AM1644" i="1"/>
  <c r="AK482" i="1"/>
  <c r="AL482" i="1"/>
  <c r="AM482" i="1"/>
  <c r="AK483" i="1"/>
  <c r="AL483" i="1"/>
  <c r="AM483" i="1"/>
  <c r="AK484" i="1"/>
  <c r="AL484" i="1"/>
  <c r="AM484" i="1"/>
  <c r="AK485" i="1"/>
  <c r="AL485" i="1"/>
  <c r="AM485" i="1"/>
  <c r="AK486" i="1"/>
  <c r="AL486" i="1"/>
  <c r="AM486" i="1"/>
  <c r="AK2631" i="1"/>
  <c r="AL2631" i="1"/>
  <c r="AM2631" i="1"/>
  <c r="AK2123" i="1"/>
  <c r="AL2123" i="1"/>
  <c r="AM2123" i="1"/>
  <c r="AK2124" i="1"/>
  <c r="AL2124" i="1"/>
  <c r="AM2124" i="1"/>
  <c r="AK2273" i="1"/>
  <c r="AL2273" i="1"/>
  <c r="AM2273" i="1"/>
  <c r="AK2274" i="1"/>
  <c r="AL2274" i="1"/>
  <c r="AM2274" i="1"/>
  <c r="AK2275" i="1"/>
  <c r="AL2275" i="1"/>
  <c r="AM2275" i="1"/>
  <c r="AK2276" i="1"/>
  <c r="AL2276" i="1"/>
  <c r="AM2276" i="1"/>
  <c r="AK758" i="1"/>
  <c r="AL758" i="1"/>
  <c r="AM758" i="1"/>
  <c r="AK1376" i="1"/>
  <c r="AL1376" i="1"/>
  <c r="AM1376" i="1"/>
  <c r="AK1377" i="1"/>
  <c r="AL1377" i="1"/>
  <c r="AM1377" i="1"/>
  <c r="AK1373" i="1"/>
  <c r="AL1373" i="1"/>
  <c r="AM1373" i="1"/>
  <c r="AK869" i="1"/>
  <c r="AL869" i="1"/>
  <c r="AM869" i="1"/>
  <c r="AK870" i="1"/>
  <c r="AL870" i="1"/>
  <c r="AM870" i="1"/>
  <c r="AK871" i="1"/>
  <c r="AL871" i="1"/>
  <c r="AM871" i="1"/>
  <c r="AK872" i="1"/>
  <c r="AL872" i="1"/>
  <c r="AM872" i="1"/>
  <c r="AK1379" i="1"/>
  <c r="AL1379" i="1"/>
  <c r="AM1379" i="1"/>
  <c r="AK1987" i="1"/>
  <c r="AL1987" i="1"/>
  <c r="AM1987" i="1"/>
  <c r="AK1988" i="1"/>
  <c r="AL1988" i="1"/>
  <c r="AM1988" i="1"/>
  <c r="AK54" i="1"/>
  <c r="AL54" i="1"/>
  <c r="AM54" i="1"/>
  <c r="AK149" i="1"/>
  <c r="AL149" i="1"/>
  <c r="AM149" i="1"/>
  <c r="AK699" i="1"/>
  <c r="AL699" i="1"/>
  <c r="AM699" i="1"/>
  <c r="AK700" i="1"/>
  <c r="AL700" i="1"/>
  <c r="AM700" i="1"/>
  <c r="AK701" i="1"/>
  <c r="AL701" i="1"/>
  <c r="AM701" i="1"/>
  <c r="AK2632" i="1"/>
  <c r="AL2632" i="1"/>
  <c r="AM2632" i="1"/>
  <c r="AK487" i="1"/>
  <c r="AL487" i="1"/>
  <c r="AM487" i="1"/>
  <c r="AK488" i="1"/>
  <c r="AL488" i="1"/>
  <c r="AM488" i="1"/>
  <c r="AK558" i="1"/>
  <c r="AL558" i="1"/>
  <c r="AM558" i="1"/>
  <c r="AK559" i="1"/>
  <c r="AL559" i="1"/>
  <c r="AM559" i="1"/>
  <c r="AK560" i="1"/>
  <c r="AL560" i="1"/>
  <c r="AM560" i="1"/>
  <c r="AK561" i="1"/>
  <c r="AL561" i="1"/>
  <c r="AM561" i="1"/>
  <c r="AK562" i="1"/>
  <c r="AL562" i="1"/>
  <c r="AM562" i="1"/>
  <c r="AK563" i="1"/>
  <c r="AL563" i="1"/>
  <c r="AM563" i="1"/>
  <c r="AK564" i="1"/>
  <c r="AL564" i="1"/>
  <c r="AM564" i="1"/>
  <c r="AK2125" i="1"/>
  <c r="AL2125" i="1"/>
  <c r="AM2125" i="1"/>
  <c r="AK1343" i="1"/>
  <c r="AK1441" i="1"/>
  <c r="AL1441" i="1"/>
  <c r="AM1441" i="1"/>
  <c r="AK1442" i="1"/>
  <c r="AL1442" i="1"/>
  <c r="AM1442" i="1"/>
  <c r="AK1443" i="1"/>
  <c r="AL1443" i="1"/>
  <c r="AM1443" i="1"/>
  <c r="AK1501" i="1"/>
  <c r="AL1501" i="1"/>
  <c r="AM1501" i="1"/>
  <c r="AK155" i="1"/>
  <c r="AL155" i="1"/>
  <c r="AM155" i="1"/>
  <c r="AK156" i="1"/>
  <c r="AL156" i="1"/>
  <c r="AM156" i="1"/>
  <c r="AK163" i="1"/>
  <c r="AL163" i="1"/>
  <c r="AM163" i="1"/>
  <c r="AK165" i="1"/>
  <c r="AL165" i="1"/>
  <c r="AM165" i="1"/>
  <c r="AK169" i="1"/>
  <c r="AL169" i="1"/>
  <c r="AM169" i="1"/>
  <c r="AK2277" i="1"/>
  <c r="AL2277" i="1"/>
  <c r="AM2277" i="1"/>
  <c r="AK2479" i="1"/>
  <c r="AL2479" i="1"/>
  <c r="AM2479" i="1"/>
  <c r="AK2480" i="1"/>
  <c r="AL2480" i="1"/>
  <c r="AM2480" i="1"/>
  <c r="AK2481" i="1"/>
  <c r="AL2481" i="1"/>
  <c r="AM2481" i="1"/>
  <c r="AK1380" i="1"/>
  <c r="AL1380" i="1"/>
  <c r="AM1380" i="1"/>
  <c r="AK36" i="1"/>
  <c r="AL36" i="1"/>
  <c r="AM36" i="1"/>
  <c r="AK1742" i="1"/>
  <c r="AK1517" i="1"/>
  <c r="AL1517" i="1"/>
  <c r="AM1517" i="1"/>
  <c r="AK645" i="1"/>
  <c r="AL645" i="1"/>
  <c r="AM645" i="1"/>
  <c r="AK1805" i="1"/>
  <c r="AL1805" i="1"/>
  <c r="AM1805" i="1"/>
  <c r="AK1806" i="1"/>
  <c r="AL1806" i="1"/>
  <c r="AM1806" i="1"/>
  <c r="AK2597" i="1"/>
  <c r="AL2597" i="1"/>
  <c r="AM2597" i="1"/>
  <c r="AK2598" i="1"/>
  <c r="AL2598" i="1"/>
  <c r="AM2598" i="1"/>
  <c r="AK1398" i="1"/>
  <c r="AL1398" i="1"/>
  <c r="AM1398" i="1"/>
  <c r="AK1399" i="1"/>
  <c r="AL1399" i="1"/>
  <c r="AM1399" i="1"/>
  <c r="AK2482" i="1"/>
  <c r="AL2482" i="1"/>
  <c r="AM2482" i="1"/>
  <c r="AK1786" i="1"/>
  <c r="AL1786" i="1"/>
  <c r="AM1786" i="1"/>
  <c r="AK1788" i="1"/>
  <c r="AL1788" i="1"/>
  <c r="AM1788" i="1"/>
  <c r="AK1645" i="1"/>
  <c r="AL1645" i="1"/>
  <c r="AM1645" i="1"/>
  <c r="AK702" i="1"/>
  <c r="AL702" i="1"/>
  <c r="AM702" i="1"/>
  <c r="AK182" i="1"/>
  <c r="AL182" i="1"/>
  <c r="AM182" i="1"/>
  <c r="AK191" i="1"/>
  <c r="AL191" i="1"/>
  <c r="AM191" i="1"/>
  <c r="AK192" i="1"/>
  <c r="AL192" i="1"/>
  <c r="AM192" i="1"/>
  <c r="AK193" i="1"/>
  <c r="AL193" i="1"/>
  <c r="AM193" i="1"/>
  <c r="AK194" i="1"/>
  <c r="AL194" i="1"/>
  <c r="AM194" i="1"/>
  <c r="AK197" i="1"/>
  <c r="AL197" i="1"/>
  <c r="AM197" i="1"/>
  <c r="AK199" i="1"/>
  <c r="AL199" i="1"/>
  <c r="AM199" i="1"/>
  <c r="AK200" i="1"/>
  <c r="AL200" i="1"/>
  <c r="AM200" i="1"/>
  <c r="AK198" i="1"/>
  <c r="AL198" i="1"/>
  <c r="AM198" i="1"/>
  <c r="AK202" i="1"/>
  <c r="AL202" i="1"/>
  <c r="AM202" i="1"/>
  <c r="AK203" i="1"/>
  <c r="AL203" i="1"/>
  <c r="AM203" i="1"/>
  <c r="AK201" i="1"/>
  <c r="AL201" i="1"/>
  <c r="AM201" i="1"/>
  <c r="AK205" i="1"/>
  <c r="AL205" i="1"/>
  <c r="AM205" i="1"/>
  <c r="AK204" i="1"/>
  <c r="AL204" i="1"/>
  <c r="AM204" i="1"/>
  <c r="AK2278" i="1"/>
  <c r="AL2278" i="1"/>
  <c r="AM2278" i="1"/>
  <c r="AK2279" i="1"/>
  <c r="AL2279" i="1"/>
  <c r="AM2279" i="1"/>
  <c r="AK2280" i="1"/>
  <c r="AL2280" i="1"/>
  <c r="AM2280" i="1"/>
  <c r="AK1866" i="1"/>
  <c r="AL1866" i="1"/>
  <c r="AM1866" i="1"/>
  <c r="AK2126" i="1"/>
  <c r="AL2126" i="1"/>
  <c r="AM2126" i="1"/>
  <c r="AK2127" i="1"/>
  <c r="AL2127" i="1"/>
  <c r="AM2127" i="1"/>
  <c r="AK1223" i="1"/>
  <c r="AL1223" i="1"/>
  <c r="AM1223" i="1"/>
  <c r="AK1224" i="1"/>
  <c r="AL1224" i="1"/>
  <c r="AM1224" i="1"/>
  <c r="AK171" i="1"/>
  <c r="AL171" i="1"/>
  <c r="AM171" i="1"/>
  <c r="AK173" i="1"/>
  <c r="AL173" i="1"/>
  <c r="AM173" i="1"/>
  <c r="AK175" i="1"/>
  <c r="AL175" i="1"/>
  <c r="AM175" i="1"/>
  <c r="AK177" i="1"/>
  <c r="AL177" i="1"/>
  <c r="AM177" i="1"/>
  <c r="AK178" i="1"/>
  <c r="AL178" i="1"/>
  <c r="AM178" i="1"/>
  <c r="AK179" i="1"/>
  <c r="AL179" i="1"/>
  <c r="AM179" i="1"/>
  <c r="AK180" i="1"/>
  <c r="AL180" i="1"/>
  <c r="AM180" i="1"/>
  <c r="AK2483" i="1"/>
  <c r="AL2483" i="1"/>
  <c r="AM2483" i="1"/>
  <c r="AK2599" i="1"/>
  <c r="AL2599" i="1"/>
  <c r="AM2599" i="1"/>
  <c r="AK2600" i="1"/>
  <c r="AL2600" i="1"/>
  <c r="AM2600" i="1"/>
  <c r="AK1990" i="1"/>
  <c r="AL1990" i="1"/>
  <c r="AM1990" i="1"/>
  <c r="AK1991" i="1"/>
  <c r="AL1991" i="1"/>
  <c r="AM1991" i="1"/>
  <c r="AK1992" i="1"/>
  <c r="AL1992" i="1"/>
  <c r="AM1992" i="1"/>
  <c r="AK1993" i="1"/>
  <c r="AL1993" i="1"/>
  <c r="AM1993" i="1"/>
  <c r="AK2633" i="1"/>
  <c r="AL2633" i="1"/>
  <c r="AM2633" i="1"/>
  <c r="AK2128" i="1"/>
  <c r="AL2128" i="1"/>
  <c r="AM2128" i="1"/>
  <c r="AK2281" i="1"/>
  <c r="AL2281" i="1"/>
  <c r="AM2281" i="1"/>
  <c r="AK1445" i="1"/>
  <c r="AL1445" i="1"/>
  <c r="AM1445" i="1"/>
  <c r="AK2365" i="1"/>
  <c r="AL2365" i="1"/>
  <c r="AM2365" i="1"/>
  <c r="AK2484" i="1"/>
  <c r="AL2484" i="1"/>
  <c r="AM2484" i="1"/>
  <c r="AK1583" i="1"/>
  <c r="AL1583" i="1"/>
  <c r="AM1583" i="1"/>
  <c r="AK1778" i="1"/>
  <c r="AL1778" i="1"/>
  <c r="AM1778" i="1"/>
  <c r="AK167" i="1"/>
  <c r="AL167" i="1"/>
  <c r="AM167" i="1"/>
  <c r="AK1692" i="1"/>
  <c r="AL1692" i="1"/>
  <c r="AM1692" i="1"/>
  <c r="AK2129" i="1"/>
  <c r="AL2129" i="1"/>
  <c r="AM2129" i="1"/>
  <c r="AK2130" i="1"/>
  <c r="AL2130" i="1"/>
  <c r="AM2130" i="1"/>
  <c r="AK1175" i="1"/>
  <c r="AL1175" i="1"/>
  <c r="AM1175" i="1"/>
  <c r="AK1178" i="1"/>
  <c r="AL1178" i="1"/>
  <c r="AM1178" i="1"/>
  <c r="AK1177" i="1"/>
  <c r="AL1177" i="1"/>
  <c r="AM1177" i="1"/>
  <c r="AK1189" i="1"/>
  <c r="AL1189" i="1"/>
  <c r="AM1189" i="1"/>
  <c r="AK286" i="1"/>
  <c r="AL286" i="1"/>
  <c r="AM286" i="1"/>
  <c r="AK288" i="1"/>
  <c r="AL288" i="1"/>
  <c r="AM288" i="1"/>
  <c r="AK287" i="1"/>
  <c r="AL287" i="1"/>
  <c r="AM287" i="1"/>
  <c r="AK289" i="1"/>
  <c r="AL289" i="1"/>
  <c r="AM289" i="1"/>
  <c r="AK291" i="1"/>
  <c r="AL291" i="1"/>
  <c r="AM291" i="1"/>
  <c r="AK290" i="1"/>
  <c r="AL290" i="1"/>
  <c r="AM290" i="1"/>
  <c r="AK292" i="1"/>
  <c r="AL292" i="1"/>
  <c r="AM292" i="1"/>
  <c r="AK293" i="1"/>
  <c r="AL293" i="1"/>
  <c r="AM293" i="1"/>
  <c r="AK524" i="1"/>
  <c r="AL524" i="1"/>
  <c r="AM524" i="1"/>
  <c r="AK2485" i="1"/>
  <c r="AL2485" i="1"/>
  <c r="AM2485" i="1"/>
  <c r="AK873" i="1"/>
  <c r="AL873" i="1"/>
  <c r="AM873" i="1"/>
  <c r="AK874" i="1"/>
  <c r="AL874" i="1"/>
  <c r="AM874" i="1"/>
  <c r="AK1838" i="1"/>
  <c r="AL1838" i="1"/>
  <c r="AM1838" i="1"/>
  <c r="AK2282" i="1"/>
  <c r="AL2282" i="1"/>
  <c r="AM2282" i="1"/>
  <c r="AK2284" i="1"/>
  <c r="AL2284" i="1"/>
  <c r="AM2284" i="1"/>
  <c r="AK2283" i="1"/>
  <c r="AL2283" i="1"/>
  <c r="AM2283" i="1"/>
  <c r="AK875" i="1"/>
  <c r="AL875" i="1"/>
  <c r="AM875" i="1"/>
  <c r="AK2486" i="1"/>
  <c r="AL2486" i="1"/>
  <c r="AM2486" i="1"/>
  <c r="AK2487" i="1"/>
  <c r="AL2487" i="1"/>
  <c r="AM2487" i="1"/>
  <c r="AK2131" i="1"/>
  <c r="AL2131" i="1"/>
  <c r="AM2131" i="1"/>
  <c r="AK646" i="1"/>
  <c r="AL646" i="1"/>
  <c r="AM646" i="1"/>
  <c r="AK2488" i="1"/>
  <c r="AL2488" i="1"/>
  <c r="AM2488" i="1"/>
  <c r="AK2132" i="1"/>
  <c r="AL2132" i="1"/>
  <c r="AM2132" i="1"/>
  <c r="AK614" i="1"/>
  <c r="AL614" i="1"/>
  <c r="AM614" i="1"/>
  <c r="AK1483" i="1"/>
  <c r="AL1483" i="1"/>
  <c r="AM1483" i="1"/>
  <c r="AK1647" i="1"/>
  <c r="AL1647" i="1"/>
  <c r="AM1647" i="1"/>
  <c r="AK1446" i="1"/>
  <c r="AL1446" i="1"/>
  <c r="AM1446" i="1"/>
  <c r="AK2601" i="1"/>
  <c r="AL2601" i="1"/>
  <c r="AM2601" i="1"/>
  <c r="AK1406" i="1"/>
  <c r="AL1406" i="1"/>
  <c r="AM1406" i="1"/>
  <c r="AK2634" i="1"/>
  <c r="AL2634" i="1"/>
  <c r="AM2634" i="1"/>
  <c r="AK2602" i="1"/>
  <c r="AL2602" i="1"/>
  <c r="AM2602" i="1"/>
  <c r="AK1996" i="1"/>
  <c r="AL1996" i="1"/>
  <c r="AM1996" i="1"/>
  <c r="AK2290" i="1"/>
  <c r="AL2290" i="1"/>
  <c r="AM2290" i="1"/>
  <c r="AK55" i="1"/>
  <c r="AL55" i="1"/>
  <c r="AM55" i="1"/>
  <c r="AK2490" i="1"/>
  <c r="AL2490" i="1"/>
  <c r="AM2490" i="1"/>
  <c r="AK1584" i="1"/>
  <c r="AL1584" i="1"/>
  <c r="AM1584" i="1"/>
  <c r="AK1998" i="1"/>
  <c r="AL1998" i="1"/>
  <c r="AM1998" i="1"/>
  <c r="AK2292" i="1"/>
  <c r="AL2292" i="1"/>
  <c r="AM2292" i="1"/>
  <c r="AK2492" i="1"/>
  <c r="AL2492" i="1"/>
  <c r="AM2492" i="1"/>
  <c r="AK1466" i="1"/>
  <c r="AL1466" i="1"/>
  <c r="AM1466" i="1"/>
  <c r="AK1467" i="1"/>
  <c r="AL1467" i="1"/>
  <c r="AM1467" i="1"/>
  <c r="AK529" i="1"/>
  <c r="AL529" i="1"/>
  <c r="AM529" i="1"/>
  <c r="AK2494" i="1"/>
  <c r="AL2494" i="1"/>
  <c r="AM2494" i="1"/>
  <c r="AK879" i="1"/>
  <c r="AL879" i="1"/>
  <c r="AM879" i="1"/>
  <c r="AK703" i="1"/>
  <c r="AL703" i="1"/>
  <c r="AM703" i="1"/>
  <c r="AK726" i="1"/>
  <c r="AL726" i="1"/>
  <c r="AM726" i="1"/>
  <c r="AK759" i="1"/>
  <c r="AL759" i="1"/>
  <c r="AM759" i="1"/>
  <c r="AK566" i="1"/>
  <c r="AL566" i="1"/>
  <c r="AM566" i="1"/>
  <c r="AK2000" i="1"/>
  <c r="AL2000" i="1"/>
  <c r="AM2000" i="1"/>
  <c r="AK1295" i="1"/>
  <c r="AL1295" i="1"/>
  <c r="AM1295" i="1"/>
  <c r="AK1382" i="1"/>
  <c r="AL1382" i="1"/>
  <c r="AM1382" i="1"/>
  <c r="AK1781" i="1"/>
  <c r="AL1781" i="1"/>
  <c r="AM1781" i="1"/>
  <c r="AK1485" i="1"/>
  <c r="AL1485" i="1"/>
  <c r="AM1485" i="1"/>
  <c r="AK1486" i="1"/>
  <c r="AL1486" i="1"/>
  <c r="AM1486" i="1"/>
  <c r="AK1790" i="1"/>
  <c r="AL1790" i="1"/>
  <c r="AM1790" i="1"/>
  <c r="AK1794" i="1"/>
  <c r="AL1794" i="1"/>
  <c r="AM1794" i="1"/>
  <c r="AK647" i="1"/>
  <c r="AL647" i="1"/>
  <c r="AM647" i="1"/>
  <c r="AK2603" i="1"/>
  <c r="AL2603" i="1"/>
  <c r="AM2603" i="1"/>
  <c r="AK37" i="1"/>
  <c r="AL37" i="1"/>
  <c r="AM37" i="1"/>
  <c r="AK2293" i="1"/>
  <c r="AL2293" i="1"/>
  <c r="AM2293" i="1"/>
  <c r="AK2367" i="1"/>
  <c r="AL2367" i="1"/>
  <c r="AM2367" i="1"/>
  <c r="AK2495" i="1"/>
  <c r="AL2495" i="1"/>
  <c r="AM2495" i="1"/>
  <c r="AK2136" i="1"/>
  <c r="AL2136" i="1"/>
  <c r="AM2136" i="1"/>
  <c r="AK1489" i="1"/>
  <c r="AL1489" i="1"/>
  <c r="AM1489" i="1"/>
  <c r="AK1490" i="1"/>
  <c r="AL1490" i="1"/>
  <c r="AM1490" i="1"/>
  <c r="AK1706" i="1"/>
  <c r="AL1706" i="1"/>
  <c r="AM1706" i="1"/>
  <c r="AK1707" i="1"/>
  <c r="AL1707" i="1"/>
  <c r="AM1707" i="1"/>
  <c r="AK1648" i="1"/>
  <c r="AL1648" i="1"/>
  <c r="AM1648" i="1"/>
  <c r="AK1468" i="1"/>
  <c r="AL1468" i="1"/>
  <c r="AM1468" i="1"/>
  <c r="AK2296" i="1"/>
  <c r="AL2296" i="1"/>
  <c r="AM2296" i="1"/>
  <c r="AK2368" i="1"/>
  <c r="AL2368" i="1"/>
  <c r="AM2368" i="1"/>
  <c r="AK1695" i="1"/>
  <c r="AL1695" i="1"/>
  <c r="AM1695" i="1"/>
  <c r="AK2138" i="1"/>
  <c r="AL2138" i="1"/>
  <c r="AM2138" i="1"/>
  <c r="AK2297" i="1"/>
  <c r="AL2297" i="1"/>
  <c r="AM2297" i="1"/>
  <c r="AK2139" i="1"/>
  <c r="AL2139" i="1"/>
  <c r="AM2139" i="1"/>
  <c r="AK2635" i="1"/>
  <c r="AL2635" i="1"/>
  <c r="AM2635" i="1"/>
  <c r="AK1807" i="1"/>
  <c r="AL1807" i="1"/>
  <c r="AM1807" i="1"/>
  <c r="AK450" i="1"/>
  <c r="AL450" i="1"/>
  <c r="AM450" i="1"/>
  <c r="AK648" i="1"/>
  <c r="AL648" i="1"/>
  <c r="AM648" i="1"/>
  <c r="AK489" i="1"/>
  <c r="AL489" i="1"/>
  <c r="AM489" i="1"/>
  <c r="AK310" i="1"/>
  <c r="AL310" i="1"/>
  <c r="AM310" i="1"/>
  <c r="AK530" i="1"/>
  <c r="AL530" i="1"/>
  <c r="AM530" i="1"/>
  <c r="AK2001" i="1"/>
  <c r="AL2001" i="1"/>
  <c r="AM2001" i="1"/>
  <c r="AK393" i="1"/>
  <c r="AL393" i="1"/>
  <c r="AK881" i="1"/>
  <c r="AL881" i="1"/>
  <c r="AM881" i="1"/>
  <c r="AK704" i="1"/>
  <c r="AL704" i="1"/>
  <c r="AM704" i="1"/>
  <c r="AK727" i="1"/>
  <c r="AL727" i="1"/>
  <c r="AM727" i="1"/>
  <c r="AK760" i="1"/>
  <c r="AL760" i="1"/>
  <c r="AM760" i="1"/>
  <c r="AK1502" i="1"/>
  <c r="AL1502" i="1"/>
  <c r="AM1502" i="1"/>
  <c r="AK164" i="1"/>
  <c r="AL164" i="1"/>
  <c r="AM164" i="1"/>
  <c r="AK649" i="1"/>
  <c r="AL649" i="1"/>
  <c r="AM649" i="1"/>
  <c r="AK1297" i="1"/>
  <c r="AL1297" i="1"/>
  <c r="AM1297" i="1"/>
  <c r="AK1808" i="1"/>
  <c r="AL1808" i="1"/>
  <c r="AM1808" i="1"/>
  <c r="AK1867" i="1"/>
  <c r="AL1867" i="1"/>
  <c r="AM1867" i="1"/>
  <c r="AK1585" i="1"/>
  <c r="AL1585" i="1"/>
  <c r="AM1585" i="1"/>
  <c r="AK1586" i="1"/>
  <c r="AL1586" i="1"/>
  <c r="AM1586" i="1"/>
  <c r="AK157" i="1"/>
  <c r="AL157" i="1"/>
  <c r="AM157" i="1"/>
  <c r="AK166" i="1"/>
  <c r="AL166" i="1"/>
  <c r="AM166" i="1"/>
  <c r="AK170" i="1"/>
  <c r="AL170" i="1"/>
  <c r="AM170" i="1"/>
  <c r="AK84" i="1"/>
  <c r="AL84" i="1"/>
  <c r="AM84" i="1"/>
  <c r="AK85" i="1"/>
  <c r="AL85" i="1"/>
  <c r="AM85" i="1"/>
  <c r="AK38" i="1"/>
  <c r="AL38" i="1"/>
  <c r="AM38" i="1"/>
  <c r="AK1518" i="1"/>
  <c r="AL1518" i="1"/>
  <c r="AM1518" i="1"/>
  <c r="AK1282" i="1"/>
  <c r="AL1282" i="1"/>
  <c r="AM1282" i="1"/>
  <c r="AK61" i="1"/>
  <c r="AL61" i="1"/>
  <c r="AM61" i="1"/>
  <c r="AK1841" i="1"/>
  <c r="AL1841" i="1"/>
  <c r="AM1841" i="1"/>
  <c r="AK107" i="1"/>
  <c r="AL107" i="1"/>
  <c r="AM107" i="1"/>
  <c r="AK1649" i="1"/>
  <c r="AL1649" i="1"/>
  <c r="AM1649" i="1"/>
  <c r="AK94" i="1"/>
  <c r="AL94" i="1"/>
  <c r="AM94" i="1"/>
  <c r="AK2140" i="1"/>
  <c r="AL2140" i="1"/>
  <c r="AM2140" i="1"/>
  <c r="AK1407" i="1"/>
  <c r="AL1407" i="1"/>
  <c r="AM1407" i="1"/>
  <c r="AK23" i="1"/>
  <c r="AL23" i="1"/>
  <c r="AM23" i="1"/>
  <c r="AK567" i="1"/>
  <c r="AL567" i="1"/>
  <c r="AM567" i="1"/>
  <c r="AK451" i="1"/>
  <c r="AL451" i="1"/>
  <c r="AM451" i="1"/>
  <c r="AK705" i="1"/>
  <c r="AL705" i="1"/>
  <c r="AM705" i="1"/>
  <c r="AK728" i="1"/>
  <c r="AL728" i="1"/>
  <c r="AM728" i="1"/>
  <c r="AK761" i="1"/>
  <c r="AL761" i="1"/>
  <c r="AM761" i="1"/>
  <c r="AK311" i="1"/>
  <c r="AL311" i="1"/>
  <c r="AM311" i="1"/>
  <c r="AK2003" i="1"/>
  <c r="AL2003" i="1"/>
  <c r="AM2003" i="1"/>
  <c r="AK2298" i="1"/>
  <c r="AL2298" i="1"/>
  <c r="AM2298" i="1"/>
  <c r="AK2369" i="1"/>
  <c r="AL2369" i="1"/>
  <c r="AM2369" i="1"/>
  <c r="AK2496" i="1"/>
  <c r="AL2496" i="1"/>
  <c r="AM2496" i="1"/>
  <c r="AK2604" i="1"/>
  <c r="AL2604" i="1"/>
  <c r="AM2604" i="1"/>
  <c r="AK394" i="1"/>
  <c r="AL394" i="1"/>
  <c r="AM394" i="1"/>
  <c r="AK883" i="1"/>
  <c r="AL883" i="1"/>
  <c r="AM883" i="1"/>
  <c r="AK172" i="1"/>
  <c r="AL172" i="1"/>
  <c r="AM172" i="1"/>
  <c r="AK174" i="1"/>
  <c r="AL174" i="1"/>
  <c r="AM174" i="1"/>
  <c r="AK176" i="1"/>
  <c r="AL176" i="1"/>
  <c r="AM176" i="1"/>
  <c r="AK884" i="1"/>
  <c r="AL884" i="1"/>
  <c r="AM884" i="1"/>
  <c r="AK1385" i="1"/>
  <c r="AL1385" i="1"/>
  <c r="AM1385" i="1"/>
  <c r="AK1469" i="1"/>
  <c r="AL1469" i="1"/>
  <c r="AM1469" i="1"/>
  <c r="AK1856" i="1"/>
  <c r="AL1856" i="1"/>
  <c r="AM1856" i="1"/>
  <c r="AK168" i="1"/>
  <c r="AL168" i="1"/>
  <c r="AM168" i="1"/>
  <c r="AK650" i="1"/>
  <c r="AL650" i="1"/>
  <c r="AM650" i="1"/>
  <c r="AK1809" i="1"/>
  <c r="AL1809" i="1"/>
  <c r="AM1809" i="1"/>
  <c r="AK1587" i="1"/>
  <c r="AL1587" i="1"/>
  <c r="AM1587" i="1"/>
  <c r="AK1283" i="1"/>
  <c r="AL1283" i="1"/>
  <c r="AM1283" i="1"/>
  <c r="AK1696" i="1"/>
  <c r="AL1696" i="1"/>
  <c r="AM1696" i="1"/>
  <c r="AK1284" i="1"/>
  <c r="AL1284" i="1"/>
  <c r="AM1284" i="1"/>
  <c r="AK86" i="1"/>
  <c r="AL86" i="1"/>
  <c r="AM86" i="1"/>
  <c r="AK24" i="1"/>
  <c r="AL24" i="1"/>
  <c r="AM24" i="1"/>
  <c r="AK39" i="1"/>
  <c r="AL39" i="1"/>
  <c r="AM39" i="1"/>
  <c r="AK1588" i="1"/>
  <c r="AL1588" i="1"/>
  <c r="AM1588" i="1"/>
  <c r="AK1842" i="1"/>
  <c r="AL1842" i="1"/>
  <c r="AM1842" i="1"/>
  <c r="AK1285" i="1"/>
  <c r="AL1285" i="1"/>
  <c r="AM1285" i="1"/>
  <c r="AK25" i="1"/>
  <c r="AL25" i="1"/>
  <c r="AM25" i="1"/>
  <c r="AK95" i="1"/>
  <c r="AL95" i="1"/>
  <c r="AM95" i="1"/>
  <c r="AK1650" i="1"/>
  <c r="AL1650" i="1"/>
  <c r="AM1650" i="1"/>
  <c r="AK1697" i="1"/>
  <c r="AL1697" i="1"/>
  <c r="AM1697" i="1"/>
  <c r="AK651" i="1"/>
  <c r="AL651" i="1"/>
  <c r="AM651" i="1"/>
  <c r="AK40" i="1"/>
  <c r="AL40" i="1"/>
  <c r="AM40" i="1"/>
  <c r="AK41" i="1"/>
  <c r="AL41" i="1"/>
  <c r="AM41" i="1"/>
  <c r="AK1589" i="1"/>
  <c r="AL1589" i="1"/>
  <c r="AM1589" i="1"/>
  <c r="AK1286" i="1"/>
  <c r="AL1286" i="1"/>
  <c r="AM1286" i="1"/>
  <c r="AK655" i="1"/>
  <c r="AL655" i="1"/>
  <c r="AM655" i="1"/>
  <c r="AK660" i="1"/>
  <c r="AL660" i="1"/>
  <c r="AM660" i="1"/>
  <c r="AK664" i="1"/>
  <c r="AL664" i="1"/>
  <c r="AM664" i="1"/>
  <c r="AK668" i="1"/>
  <c r="AL668" i="1"/>
  <c r="AM668" i="1"/>
  <c r="AK672" i="1"/>
  <c r="AL672" i="1"/>
  <c r="AM672" i="1"/>
  <c r="AK26" i="1"/>
  <c r="AL26" i="1"/>
  <c r="AM26" i="1"/>
  <c r="AK87" i="1"/>
  <c r="AL87" i="1"/>
  <c r="AM87" i="1"/>
  <c r="AK108" i="1"/>
  <c r="AL108" i="1"/>
  <c r="AM108" i="1"/>
  <c r="AK1526" i="1"/>
  <c r="AL1526" i="1"/>
  <c r="AM1526" i="1"/>
  <c r="AK1843" i="1"/>
  <c r="AL1843" i="1"/>
  <c r="AM1843" i="1"/>
  <c r="AK1590" i="1"/>
  <c r="AL1590" i="1"/>
  <c r="AM1590" i="1"/>
  <c r="AK1698" i="1"/>
  <c r="AL1698" i="1"/>
  <c r="AM1698" i="1"/>
  <c r="AK42" i="1"/>
  <c r="AL42" i="1"/>
  <c r="AM42" i="1"/>
  <c r="AK1651" i="1"/>
  <c r="AL1651" i="1"/>
  <c r="AM1651" i="1"/>
  <c r="AK27" i="1"/>
  <c r="AL27" i="1"/>
  <c r="AM27" i="1"/>
  <c r="AK96" i="1"/>
  <c r="AL96" i="1"/>
  <c r="AM96" i="1"/>
  <c r="AK1591" i="1"/>
  <c r="AL1591" i="1"/>
  <c r="AM1591" i="1"/>
  <c r="AK1287" i="1"/>
  <c r="AL1287" i="1"/>
  <c r="AM1287" i="1"/>
  <c r="AK28" i="1"/>
  <c r="AL28" i="1"/>
  <c r="AM28" i="1"/>
  <c r="AK43" i="1"/>
  <c r="AL43" i="1"/>
  <c r="AM43" i="1"/>
  <c r="AK1699" i="1"/>
  <c r="AL1699" i="1"/>
  <c r="AM1699" i="1"/>
  <c r="AK1652" i="1"/>
  <c r="AL1652" i="1"/>
  <c r="AM1652" i="1"/>
  <c r="AK29" i="1"/>
  <c r="AL29" i="1"/>
  <c r="AM29" i="1"/>
  <c r="AK1844" i="1"/>
  <c r="AL1844" i="1"/>
  <c r="AM1844" i="1"/>
  <c r="AK98" i="1"/>
  <c r="AL98" i="1"/>
  <c r="AM98" i="1"/>
  <c r="AK1592" i="1"/>
  <c r="AL1592" i="1"/>
  <c r="AM1592" i="1"/>
  <c r="AK88" i="1"/>
  <c r="AL88" i="1"/>
  <c r="AM88" i="1"/>
  <c r="AK1288" i="1"/>
  <c r="AL1288" i="1"/>
  <c r="AM1288" i="1"/>
  <c r="AK30" i="1"/>
  <c r="AL30" i="1"/>
  <c r="AM30" i="1"/>
  <c r="AK110" i="1"/>
  <c r="AL110" i="1"/>
  <c r="AM110" i="1"/>
  <c r="AK1700" i="1"/>
  <c r="AL1700" i="1"/>
  <c r="AM1700" i="1"/>
  <c r="AK44" i="1"/>
  <c r="AL44" i="1"/>
  <c r="AM44" i="1"/>
  <c r="AK1653" i="1"/>
  <c r="AL1653" i="1"/>
  <c r="AM1653" i="1"/>
  <c r="AK31" i="1"/>
  <c r="AL31" i="1"/>
  <c r="AM31" i="1"/>
  <c r="AK1289" i="1"/>
  <c r="AL1289" i="1"/>
  <c r="AM1289" i="1"/>
  <c r="AK1593" i="1"/>
  <c r="AL1593" i="1"/>
  <c r="AM1593" i="1"/>
  <c r="AK45" i="1"/>
  <c r="AL45" i="1"/>
  <c r="AM45" i="1"/>
  <c r="AK1701" i="1"/>
  <c r="AL1701" i="1"/>
  <c r="AM1701" i="1"/>
  <c r="AK32" i="1"/>
  <c r="AL32" i="1"/>
  <c r="AM32" i="1"/>
  <c r="AK46" i="1"/>
  <c r="AL46" i="1"/>
  <c r="AM46" i="1"/>
  <c r="AK33" i="1"/>
  <c r="AL33" i="1"/>
  <c r="AM33" i="1"/>
  <c r="AK1702" i="1"/>
  <c r="AL1702" i="1"/>
  <c r="AM1702" i="1"/>
  <c r="AK1292" i="1"/>
  <c r="AK405" i="1"/>
  <c r="AL405" i="1"/>
  <c r="AM405" i="1"/>
  <c r="AK181" i="1"/>
  <c r="AL181" i="1"/>
  <c r="AM181" i="1"/>
  <c r="AK958" i="1"/>
  <c r="AL958" i="1"/>
  <c r="AM958" i="1"/>
  <c r="AK1121" i="1"/>
  <c r="AL1121" i="1"/>
  <c r="AM1121" i="1"/>
  <c r="AK396" i="1"/>
  <c r="AL396" i="1"/>
  <c r="AM396" i="1"/>
  <c r="J2133" i="1" l="1"/>
  <c r="S2133" i="1"/>
  <c r="AG1176" i="1"/>
  <c r="J1181" i="1"/>
  <c r="J1179" i="1"/>
  <c r="J1180" i="1"/>
  <c r="J1177" i="1"/>
  <c r="L1177" i="1"/>
  <c r="M1177" i="1"/>
  <c r="O1177" i="1"/>
  <c r="AE1177" i="1"/>
  <c r="AD1177" i="1"/>
  <c r="S1177" i="1"/>
  <c r="AG2283" i="1"/>
  <c r="L2283" i="1"/>
  <c r="M2283" i="1"/>
  <c r="O2283" i="1"/>
  <c r="AE2283" i="1"/>
  <c r="AD2283" i="1"/>
  <c r="S2283" i="1"/>
  <c r="AG292" i="1"/>
  <c r="L292" i="1"/>
  <c r="M292" i="1"/>
  <c r="O292" i="1"/>
  <c r="AE292" i="1"/>
  <c r="AD292" i="1"/>
  <c r="S292" i="1"/>
  <c r="AG293" i="1"/>
  <c r="L293" i="1"/>
  <c r="M293" i="1"/>
  <c r="O293" i="1"/>
  <c r="AE293" i="1"/>
  <c r="AD293" i="1"/>
  <c r="S293" i="1"/>
  <c r="AD2132" i="1"/>
  <c r="AE2132" i="1"/>
  <c r="J2132" i="1"/>
  <c r="L2132" i="1"/>
  <c r="M2132" i="1"/>
  <c r="O2132" i="1"/>
  <c r="S2132" i="1"/>
  <c r="AD2131" i="1"/>
  <c r="AE2131" i="1"/>
  <c r="I2130" i="1"/>
  <c r="AG2129" i="1"/>
  <c r="L2129" i="1"/>
  <c r="M2129" i="1"/>
  <c r="O2129" i="1"/>
  <c r="AE2129" i="1"/>
  <c r="AD2129" i="1"/>
  <c r="S2129" i="1"/>
  <c r="J2284" i="1"/>
  <c r="L2284" i="1"/>
  <c r="M2284" i="1"/>
  <c r="O2284" i="1"/>
  <c r="AE2284" i="1"/>
  <c r="AD2284" i="1"/>
  <c r="S2284" i="1"/>
  <c r="AG1178" i="1"/>
  <c r="L1178" i="1"/>
  <c r="M1178" i="1"/>
  <c r="O1178" i="1"/>
  <c r="AE1178" i="1"/>
  <c r="AD1178" i="1"/>
  <c r="S1178" i="1"/>
  <c r="AG1177" i="1" l="1"/>
  <c r="J2283" i="1"/>
  <c r="J292" i="1"/>
  <c r="J2129" i="1"/>
  <c r="J293" i="1"/>
  <c r="AG2132" i="1"/>
  <c r="AG2284" i="1"/>
  <c r="J1178" i="1"/>
  <c r="AE290" i="1" l="1"/>
  <c r="AD290" i="1"/>
  <c r="O290" i="1"/>
  <c r="M290" i="1"/>
  <c r="L290" i="1"/>
  <c r="AE291" i="1"/>
  <c r="AD291" i="1"/>
  <c r="O291" i="1"/>
  <c r="M291" i="1"/>
  <c r="L291" i="1"/>
  <c r="J1189" i="1"/>
  <c r="L1189" i="1"/>
  <c r="M1189" i="1"/>
  <c r="O1189" i="1"/>
  <c r="AE1189" i="1"/>
  <c r="AD1189" i="1"/>
  <c r="J1175" i="1"/>
  <c r="L1175" i="1"/>
  <c r="M1175" i="1"/>
  <c r="O1175" i="1"/>
  <c r="AE1175" i="1"/>
  <c r="AD1175" i="1"/>
  <c r="AG1692" i="1"/>
  <c r="L1692" i="1"/>
  <c r="M1692" i="1"/>
  <c r="O1692" i="1"/>
  <c r="AE1692" i="1"/>
  <c r="AD1692" i="1"/>
  <c r="J1834" i="1"/>
  <c r="L1834" i="1"/>
  <c r="M1834" i="1"/>
  <c r="O1834" i="1"/>
  <c r="AE1834" i="1"/>
  <c r="AD1834" i="1"/>
  <c r="AD1277" i="1"/>
  <c r="AE1277" i="1"/>
  <c r="I1278" i="1"/>
  <c r="J1277" i="1"/>
  <c r="L1277" i="1"/>
  <c r="M1277" i="1"/>
  <c r="O1277" i="1"/>
  <c r="AE1276" i="1"/>
  <c r="AD1276" i="1"/>
  <c r="J1342" i="1"/>
  <c r="L1342" i="1"/>
  <c r="M1342" i="1"/>
  <c r="O1342" i="1"/>
  <c r="AD1342" i="1"/>
  <c r="AE1342" i="1"/>
  <c r="I1373" i="1"/>
  <c r="J1377" i="1"/>
  <c r="L1377" i="1"/>
  <c r="M1377" i="1"/>
  <c r="O1377" i="1"/>
  <c r="AD1377" i="1"/>
  <c r="AE1377" i="1"/>
  <c r="AE1398" i="1"/>
  <c r="AD1398" i="1"/>
  <c r="L1399" i="1"/>
  <c r="M1399" i="1"/>
  <c r="O1399" i="1"/>
  <c r="AD1399" i="1"/>
  <c r="AE1399" i="1"/>
  <c r="AD1469" i="1"/>
  <c r="J1469" i="1"/>
  <c r="L1469" i="1"/>
  <c r="M1469" i="1"/>
  <c r="O1469" i="1"/>
  <c r="AD1468" i="1"/>
  <c r="J1485" i="1"/>
  <c r="L1485" i="1"/>
  <c r="M1485" i="1"/>
  <c r="O1485" i="1"/>
  <c r="AD1485" i="1"/>
  <c r="AE1485" i="1"/>
  <c r="S2282" i="1"/>
  <c r="J2282" i="1"/>
  <c r="L2282" i="1"/>
  <c r="M2282" i="1"/>
  <c r="O2282" i="1"/>
  <c r="AE2282" i="1"/>
  <c r="AD2282" i="1"/>
  <c r="S2487" i="1"/>
  <c r="S2486" i="1"/>
  <c r="J2486" i="1"/>
  <c r="L2486" i="1"/>
  <c r="M2486" i="1"/>
  <c r="O2486" i="1"/>
  <c r="AE2486" i="1"/>
  <c r="AD2486" i="1"/>
  <c r="J1224" i="1"/>
  <c r="L1224" i="1"/>
  <c r="M1224" i="1"/>
  <c r="O1224" i="1"/>
  <c r="AD1224" i="1"/>
  <c r="AE1224" i="1"/>
  <c r="I701" i="1"/>
  <c r="J700" i="1"/>
  <c r="L700" i="1"/>
  <c r="M700" i="1"/>
  <c r="O700" i="1"/>
  <c r="S700" i="1"/>
  <c r="AD700" i="1"/>
  <c r="AE700" i="1"/>
  <c r="AD2485" i="1"/>
  <c r="AE2485" i="1"/>
  <c r="AG2487" i="1"/>
  <c r="L2487" i="1"/>
  <c r="M2487" i="1"/>
  <c r="O2487" i="1"/>
  <c r="AE2487" i="1"/>
  <c r="AD2487" i="1"/>
  <c r="I2281" i="1"/>
  <c r="I1993" i="1"/>
  <c r="I978" i="1"/>
  <c r="AE1991" i="1"/>
  <c r="AD1991" i="1"/>
  <c r="O1991" i="1"/>
  <c r="M1991" i="1"/>
  <c r="L1991" i="1"/>
  <c r="I2483" i="1"/>
  <c r="J699" i="1"/>
  <c r="L699" i="1"/>
  <c r="M699" i="1"/>
  <c r="O699" i="1"/>
  <c r="S699" i="1"/>
  <c r="AD699" i="1"/>
  <c r="AE699" i="1"/>
  <c r="AD2481" i="1"/>
  <c r="AE2481" i="1"/>
  <c r="I2482" i="1"/>
  <c r="S2481" i="1"/>
  <c r="O2481" i="1"/>
  <c r="M2481" i="1"/>
  <c r="L2481" i="1"/>
  <c r="J2481" i="1"/>
  <c r="AG1990" i="1"/>
  <c r="L1990" i="1"/>
  <c r="M1990" i="1"/>
  <c r="O1990" i="1"/>
  <c r="AD1990" i="1"/>
  <c r="AE1990" i="1"/>
  <c r="I2280" i="1"/>
  <c r="I2480" i="1"/>
  <c r="S2479" i="1"/>
  <c r="J2479" i="1"/>
  <c r="L2479" i="1"/>
  <c r="M2479" i="1"/>
  <c r="O2479" i="1"/>
  <c r="AE2479" i="1"/>
  <c r="AD2479" i="1"/>
  <c r="I664" i="1"/>
  <c r="I655" i="1"/>
  <c r="J289" i="1"/>
  <c r="L289" i="1"/>
  <c r="M289" i="1"/>
  <c r="O289" i="1"/>
  <c r="AE289" i="1"/>
  <c r="AD289" i="1"/>
  <c r="AE201" i="1"/>
  <c r="AD201" i="1"/>
  <c r="S201" i="1"/>
  <c r="O201" i="1"/>
  <c r="M201" i="1"/>
  <c r="L201" i="1"/>
  <c r="J201" i="1"/>
  <c r="AG1277" i="1" l="1"/>
  <c r="J1399" i="1"/>
  <c r="AG1469" i="1"/>
  <c r="AG290" i="1"/>
  <c r="J290" i="1"/>
  <c r="AG291" i="1"/>
  <c r="J291" i="1"/>
  <c r="AG1399" i="1"/>
  <c r="AG1377" i="1"/>
  <c r="AG1485" i="1"/>
  <c r="AG1342" i="1"/>
  <c r="AG1224" i="1"/>
  <c r="J1692" i="1"/>
  <c r="AG2486" i="1"/>
  <c r="AG1834" i="1"/>
  <c r="AG2282" i="1"/>
  <c r="AG1189" i="1"/>
  <c r="AG1175" i="1"/>
  <c r="J2487" i="1"/>
  <c r="AG700" i="1"/>
  <c r="AG1991" i="1"/>
  <c r="J1991" i="1"/>
  <c r="AG699" i="1"/>
  <c r="AG2481" i="1"/>
  <c r="J1990" i="1"/>
  <c r="AG2479" i="1"/>
  <c r="AG289" i="1"/>
  <c r="AG201" i="1"/>
  <c r="S1742" i="1" l="1"/>
  <c r="AG1742" i="1"/>
  <c r="L1742" i="1"/>
  <c r="M1742" i="1"/>
  <c r="O1742" i="1"/>
  <c r="AE1742" i="1"/>
  <c r="AD1742" i="1"/>
  <c r="I2478" i="1"/>
  <c r="S2478" i="1" s="1"/>
  <c r="L2478" i="1"/>
  <c r="M2478" i="1"/>
  <c r="O2478" i="1"/>
  <c r="J2478" i="1" l="1"/>
  <c r="J1742" i="1"/>
  <c r="S2600" i="1" l="1"/>
  <c r="L2600" i="1"/>
  <c r="M2600" i="1"/>
  <c r="O2600" i="1"/>
  <c r="AE2600" i="1"/>
  <c r="AD2600" i="1"/>
  <c r="J2600" i="1" l="1"/>
  <c r="AG2600" i="1"/>
  <c r="I2128" i="1" l="1"/>
  <c r="I2127" i="1"/>
  <c r="AD2477" i="1"/>
  <c r="AE2477" i="1"/>
  <c r="S2477" i="1"/>
  <c r="AG2477" i="1"/>
  <c r="L2477" i="1"/>
  <c r="M2477" i="1"/>
  <c r="O2477" i="1"/>
  <c r="S2279" i="1"/>
  <c r="AG2279" i="1"/>
  <c r="L2279" i="1"/>
  <c r="M2279" i="1"/>
  <c r="O2279" i="1"/>
  <c r="AE2279" i="1"/>
  <c r="AD2279" i="1"/>
  <c r="AD2599" i="1"/>
  <c r="AE2599" i="1"/>
  <c r="S2599" i="1"/>
  <c r="AG2599" i="1"/>
  <c r="L2599" i="1"/>
  <c r="M2599" i="1"/>
  <c r="O2599" i="1"/>
  <c r="I874" i="1"/>
  <c r="J875" i="1"/>
  <c r="L875" i="1"/>
  <c r="M875" i="1"/>
  <c r="O875" i="1"/>
  <c r="AE875" i="1"/>
  <c r="AD875" i="1"/>
  <c r="J1989" i="1"/>
  <c r="L1989" i="1"/>
  <c r="M1989" i="1"/>
  <c r="O1989" i="1"/>
  <c r="AE1989" i="1"/>
  <c r="AD1989" i="1"/>
  <c r="J449" i="1"/>
  <c r="L449" i="1"/>
  <c r="M449" i="1"/>
  <c r="O449" i="1"/>
  <c r="AE449" i="1"/>
  <c r="AD449" i="1"/>
  <c r="I488" i="1"/>
  <c r="J487" i="1"/>
  <c r="L487" i="1"/>
  <c r="M487" i="1"/>
  <c r="O487" i="1"/>
  <c r="AE487" i="1"/>
  <c r="AD487" i="1"/>
  <c r="AE1988" i="1"/>
  <c r="AD1988" i="1"/>
  <c r="J1988" i="1"/>
  <c r="L1988" i="1"/>
  <c r="M1988" i="1"/>
  <c r="O1988" i="1"/>
  <c r="I486" i="1"/>
  <c r="AG485" i="1"/>
  <c r="L485" i="1"/>
  <c r="M485" i="1"/>
  <c r="O485" i="1"/>
  <c r="AD485" i="1"/>
  <c r="AE485" i="1"/>
  <c r="AG448" i="1"/>
  <c r="L448" i="1"/>
  <c r="M448" i="1"/>
  <c r="O448" i="1"/>
  <c r="AD448" i="1"/>
  <c r="AE448" i="1"/>
  <c r="AD1274" i="1"/>
  <c r="AE1274" i="1"/>
  <c r="I1275" i="1"/>
  <c r="J1274" i="1"/>
  <c r="L1274" i="1"/>
  <c r="M1274" i="1"/>
  <c r="O1274" i="1"/>
  <c r="I1987" i="1"/>
  <c r="AG1986" i="1"/>
  <c r="L1986" i="1"/>
  <c r="M1986" i="1"/>
  <c r="O1986" i="1"/>
  <c r="AE1986" i="1"/>
  <c r="AD1986" i="1"/>
  <c r="AD2278" i="1"/>
  <c r="AE2278" i="1"/>
  <c r="S2278" i="1"/>
  <c r="AG2278" i="1"/>
  <c r="L2278" i="1"/>
  <c r="M2278" i="1"/>
  <c r="O2278" i="1"/>
  <c r="AD2277" i="1"/>
  <c r="AE2277" i="1"/>
  <c r="AD2276" i="1"/>
  <c r="AE2276" i="1"/>
  <c r="J288" i="1"/>
  <c r="L288" i="1"/>
  <c r="M288" i="1"/>
  <c r="O288" i="1"/>
  <c r="AE288" i="1"/>
  <c r="AD288" i="1"/>
  <c r="J287" i="1"/>
  <c r="L287" i="1"/>
  <c r="M287" i="1"/>
  <c r="O287" i="1"/>
  <c r="AE287" i="1"/>
  <c r="AD287" i="1"/>
  <c r="J447" i="1"/>
  <c r="L447" i="1"/>
  <c r="M447" i="1"/>
  <c r="O447" i="1"/>
  <c r="AE447" i="1"/>
  <c r="AD447" i="1"/>
  <c r="J446" i="1"/>
  <c r="L446" i="1"/>
  <c r="M446" i="1"/>
  <c r="O446" i="1"/>
  <c r="AE446" i="1"/>
  <c r="AD446" i="1"/>
  <c r="J483" i="1"/>
  <c r="L483" i="1"/>
  <c r="M483" i="1"/>
  <c r="O483" i="1"/>
  <c r="AE483" i="1"/>
  <c r="AD483" i="1"/>
  <c r="J484" i="1"/>
  <c r="L484" i="1"/>
  <c r="M484" i="1"/>
  <c r="O484" i="1"/>
  <c r="AE484" i="1"/>
  <c r="AD484" i="1"/>
  <c r="J1376" i="1"/>
  <c r="L1376" i="1"/>
  <c r="M1376" i="1"/>
  <c r="O1376" i="1"/>
  <c r="AE1376" i="1"/>
  <c r="AD1376" i="1"/>
  <c r="J614" i="1"/>
  <c r="L614" i="1"/>
  <c r="M614" i="1"/>
  <c r="O614" i="1"/>
  <c r="AE614" i="1"/>
  <c r="AD614" i="1"/>
  <c r="L488" i="1"/>
  <c r="M488" i="1"/>
  <c r="O488" i="1"/>
  <c r="AE488" i="1"/>
  <c r="AD488" i="1"/>
  <c r="J1223" i="1"/>
  <c r="L1223" i="1"/>
  <c r="M1223" i="1"/>
  <c r="O1223" i="1"/>
  <c r="AE1223" i="1"/>
  <c r="AD1223" i="1"/>
  <c r="AG482" i="1"/>
  <c r="L482" i="1"/>
  <c r="M482" i="1"/>
  <c r="O482" i="1"/>
  <c r="AD482" i="1"/>
  <c r="AE482" i="1"/>
  <c r="I2276" i="1"/>
  <c r="AG2275" i="1"/>
  <c r="L2275" i="1"/>
  <c r="M2275" i="1"/>
  <c r="O2275" i="1"/>
  <c r="S2275" i="1"/>
  <c r="AD2275" i="1"/>
  <c r="AE2275" i="1"/>
  <c r="AG445" i="1"/>
  <c r="L445" i="1"/>
  <c r="M445" i="1"/>
  <c r="O445" i="1"/>
  <c r="AD445" i="1"/>
  <c r="AE445" i="1"/>
  <c r="I1707" i="1"/>
  <c r="J1706" i="1"/>
  <c r="L1706" i="1"/>
  <c r="M1706" i="1"/>
  <c r="O1706" i="1"/>
  <c r="AD1706" i="1"/>
  <c r="AE1706" i="1"/>
  <c r="J1704" i="1"/>
  <c r="L1704" i="1"/>
  <c r="M1704" i="1"/>
  <c r="O1704" i="1"/>
  <c r="AD1704" i="1"/>
  <c r="AE1704" i="1"/>
  <c r="AG1341" i="1"/>
  <c r="L1341" i="1"/>
  <c r="M1341" i="1"/>
  <c r="O1341" i="1"/>
  <c r="AD1341" i="1"/>
  <c r="AE1341" i="1"/>
  <c r="AG1514" i="1"/>
  <c r="L1514" i="1"/>
  <c r="M1514" i="1"/>
  <c r="O1514" i="1"/>
  <c r="AD1514" i="1"/>
  <c r="AE1514" i="1"/>
  <c r="I1490" i="1"/>
  <c r="AG1489" i="1"/>
  <c r="L1489" i="1"/>
  <c r="M1489" i="1"/>
  <c r="O1489" i="1"/>
  <c r="AD1489" i="1"/>
  <c r="AE1489" i="1"/>
  <c r="J286" i="1"/>
  <c r="L286" i="1"/>
  <c r="M286" i="1"/>
  <c r="O286" i="1"/>
  <c r="AG303" i="1"/>
  <c r="L303" i="1"/>
  <c r="M303" i="1"/>
  <c r="O303" i="1"/>
  <c r="AE286" i="1"/>
  <c r="AD286" i="1"/>
  <c r="AG2274" i="1"/>
  <c r="L2274" i="1"/>
  <c r="M2274" i="1"/>
  <c r="O2274" i="1"/>
  <c r="S2274" i="1"/>
  <c r="AD2274" i="1"/>
  <c r="AE2274" i="1"/>
  <c r="S2273" i="1"/>
  <c r="J2273" i="1"/>
  <c r="L2273" i="1"/>
  <c r="M2273" i="1"/>
  <c r="O2273" i="1"/>
  <c r="AE2273" i="1"/>
  <c r="AD2273" i="1"/>
  <c r="AD2272" i="1"/>
  <c r="AE2272" i="1"/>
  <c r="J488" i="1" l="1"/>
  <c r="J2477" i="1"/>
  <c r="J2279" i="1"/>
  <c r="AG1989" i="1"/>
  <c r="J2599" i="1"/>
  <c r="AG875" i="1"/>
  <c r="AG449" i="1"/>
  <c r="AG487" i="1"/>
  <c r="J448" i="1"/>
  <c r="AG1988" i="1"/>
  <c r="AG1274" i="1"/>
  <c r="J485" i="1"/>
  <c r="AG288" i="1"/>
  <c r="AG287" i="1"/>
  <c r="J2278" i="1"/>
  <c r="J1986" i="1"/>
  <c r="AG447" i="1"/>
  <c r="AG446" i="1"/>
  <c r="AG483" i="1"/>
  <c r="AG484" i="1"/>
  <c r="J303" i="1"/>
  <c r="J2275" i="1"/>
  <c r="AG1704" i="1"/>
  <c r="J482" i="1"/>
  <c r="J1489" i="1"/>
  <c r="J1514" i="1"/>
  <c r="J1341" i="1"/>
  <c r="J445" i="1"/>
  <c r="AG1706" i="1"/>
  <c r="J2274" i="1"/>
  <c r="AG286" i="1"/>
  <c r="AG1376" i="1"/>
  <c r="AG614" i="1"/>
  <c r="AG488" i="1"/>
  <c r="AG1223" i="1"/>
  <c r="AG2273" i="1"/>
  <c r="J444" i="1"/>
  <c r="L444" i="1"/>
  <c r="M444" i="1"/>
  <c r="O444" i="1"/>
  <c r="AE444" i="1"/>
  <c r="AD444" i="1"/>
  <c r="AF1703" i="1"/>
  <c r="I2271" i="1"/>
  <c r="J2270" i="1"/>
  <c r="L2270" i="1"/>
  <c r="M2270" i="1"/>
  <c r="O2270" i="1"/>
  <c r="S2270" i="1"/>
  <c r="AD2270" i="1"/>
  <c r="AE2270" i="1"/>
  <c r="I2476" i="1"/>
  <c r="J2475" i="1"/>
  <c r="L2475" i="1"/>
  <c r="M2475" i="1"/>
  <c r="O2475" i="1"/>
  <c r="S2475" i="1"/>
  <c r="AD2475" i="1"/>
  <c r="AE2475" i="1"/>
  <c r="I1220" i="1"/>
  <c r="J1219" i="1"/>
  <c r="L1219" i="1"/>
  <c r="M1219" i="1"/>
  <c r="O1219" i="1"/>
  <c r="AD1219" i="1"/>
  <c r="AE1219" i="1"/>
  <c r="I564" i="1"/>
  <c r="J563" i="1"/>
  <c r="L563" i="1"/>
  <c r="M563" i="1"/>
  <c r="O563" i="1"/>
  <c r="S563" i="1"/>
  <c r="AD563" i="1"/>
  <c r="AE563" i="1"/>
  <c r="AE2632" i="1"/>
  <c r="AD2632" i="1"/>
  <c r="O2632" i="1"/>
  <c r="M2632" i="1"/>
  <c r="L2632" i="1"/>
  <c r="AG2632" i="1"/>
  <c r="I1222" i="1"/>
  <c r="J1221" i="1"/>
  <c r="L1221" i="1"/>
  <c r="M1221" i="1"/>
  <c r="O1221" i="1"/>
  <c r="AD1221" i="1"/>
  <c r="AE1221" i="1"/>
  <c r="I523" i="1"/>
  <c r="J522" i="1"/>
  <c r="L522" i="1"/>
  <c r="M522" i="1"/>
  <c r="O522" i="1"/>
  <c r="S522" i="1"/>
  <c r="AD522" i="1"/>
  <c r="AE522" i="1"/>
  <c r="S2474" i="1"/>
  <c r="J2474" i="1"/>
  <c r="L2474" i="1"/>
  <c r="M2474" i="1"/>
  <c r="O2474" i="1"/>
  <c r="AE2474" i="1"/>
  <c r="AD2474" i="1"/>
  <c r="J2597" i="1"/>
  <c r="S2597" i="1"/>
  <c r="L2597" i="1"/>
  <c r="M2597" i="1"/>
  <c r="O2597" i="1"/>
  <c r="AE2597" i="1"/>
  <c r="AD2597" i="1"/>
  <c r="J521" i="1"/>
  <c r="S521" i="1"/>
  <c r="L521" i="1"/>
  <c r="M521" i="1"/>
  <c r="O521" i="1"/>
  <c r="AE521" i="1"/>
  <c r="AD521" i="1"/>
  <c r="J873" i="1"/>
  <c r="L873" i="1"/>
  <c r="M873" i="1"/>
  <c r="O873" i="1"/>
  <c r="AE873" i="1"/>
  <c r="AD873" i="1"/>
  <c r="J562" i="1"/>
  <c r="S562" i="1"/>
  <c r="L562" i="1"/>
  <c r="M562" i="1"/>
  <c r="O562" i="1"/>
  <c r="AE562" i="1"/>
  <c r="AD562" i="1"/>
  <c r="J561" i="1"/>
  <c r="S561" i="1"/>
  <c r="L561" i="1"/>
  <c r="M561" i="1"/>
  <c r="O561" i="1"/>
  <c r="AE561" i="1"/>
  <c r="AD561" i="1"/>
  <c r="I872" i="1"/>
  <c r="J871" i="1"/>
  <c r="L871" i="1"/>
  <c r="M871" i="1"/>
  <c r="O871" i="1"/>
  <c r="AE871" i="1"/>
  <c r="AD871" i="1"/>
  <c r="J2269" i="1"/>
  <c r="S2269" i="1"/>
  <c r="L2269" i="1"/>
  <c r="M2269" i="1"/>
  <c r="O2269" i="1"/>
  <c r="AE2269" i="1"/>
  <c r="AD2269" i="1"/>
  <c r="S519" i="1"/>
  <c r="J519" i="1"/>
  <c r="L519" i="1"/>
  <c r="M519" i="1"/>
  <c r="O519" i="1"/>
  <c r="AE519" i="1"/>
  <c r="AD519" i="1"/>
  <c r="J870" i="1"/>
  <c r="L870" i="1"/>
  <c r="M870" i="1"/>
  <c r="O870" i="1"/>
  <c r="AE870" i="1"/>
  <c r="AD870" i="1"/>
  <c r="I520" i="1"/>
  <c r="J518" i="1"/>
  <c r="S518" i="1"/>
  <c r="L518" i="1"/>
  <c r="M518" i="1"/>
  <c r="O518" i="1"/>
  <c r="AE518" i="1"/>
  <c r="AD518" i="1"/>
  <c r="S2473" i="1"/>
  <c r="J2473" i="1"/>
  <c r="L2473" i="1"/>
  <c r="M2473" i="1"/>
  <c r="O2473" i="1"/>
  <c r="AE2473" i="1"/>
  <c r="AD2473" i="1"/>
  <c r="AE558" i="1"/>
  <c r="AE559" i="1"/>
  <c r="AE560" i="1"/>
  <c r="AE555" i="1"/>
  <c r="S560" i="1"/>
  <c r="J560" i="1"/>
  <c r="L560" i="1"/>
  <c r="M560" i="1"/>
  <c r="O560" i="1"/>
  <c r="AD560" i="1"/>
  <c r="AG444" i="1" l="1"/>
  <c r="AG2270" i="1"/>
  <c r="AG2475" i="1"/>
  <c r="AG1219" i="1"/>
  <c r="AG563" i="1"/>
  <c r="J2632" i="1"/>
  <c r="AG560" i="1"/>
  <c r="AG1221" i="1"/>
  <c r="AG522" i="1"/>
  <c r="AG2474" i="1"/>
  <c r="AG2597" i="1"/>
  <c r="AG521" i="1"/>
  <c r="AG873" i="1"/>
  <c r="AG562" i="1"/>
  <c r="AG561" i="1"/>
  <c r="AG871" i="1"/>
  <c r="AG2269" i="1"/>
  <c r="AG519" i="1"/>
  <c r="AG870" i="1"/>
  <c r="AG518" i="1"/>
  <c r="AG2473" i="1"/>
  <c r="AG1589" i="1"/>
  <c r="J869" i="1"/>
  <c r="L869" i="1"/>
  <c r="M869" i="1"/>
  <c r="O869" i="1"/>
  <c r="AD869" i="1"/>
  <c r="AE869" i="1"/>
  <c r="J2268" i="1"/>
  <c r="L2268" i="1"/>
  <c r="M2268" i="1"/>
  <c r="O2268" i="1"/>
  <c r="S2268" i="1"/>
  <c r="AD2268" i="1"/>
  <c r="AE2268" i="1"/>
  <c r="I2472" i="1"/>
  <c r="J2471" i="1"/>
  <c r="L2471" i="1"/>
  <c r="M2471" i="1"/>
  <c r="O2471" i="1"/>
  <c r="S2471" i="1"/>
  <c r="AD2471" i="1"/>
  <c r="AE2471" i="1"/>
  <c r="J559" i="1"/>
  <c r="L559" i="1"/>
  <c r="M559" i="1"/>
  <c r="O559" i="1"/>
  <c r="S559" i="1"/>
  <c r="AD559" i="1"/>
  <c r="J517" i="1"/>
  <c r="L517" i="1"/>
  <c r="M517" i="1"/>
  <c r="O517" i="1"/>
  <c r="S517" i="1"/>
  <c r="AD517" i="1"/>
  <c r="AE517" i="1"/>
  <c r="J407" i="1"/>
  <c r="AG707" i="1"/>
  <c r="AG1885" i="1"/>
  <c r="AG1886" i="1"/>
  <c r="AG1887" i="1"/>
  <c r="AG1888" i="1"/>
  <c r="AG1889" i="1"/>
  <c r="AG1890" i="1"/>
  <c r="AG1907" i="1"/>
  <c r="AG2158" i="1"/>
  <c r="AG2004" i="1"/>
  <c r="AG2379" i="1"/>
  <c r="AG2302" i="1"/>
  <c r="AG2497" i="1"/>
  <c r="AG1112" i="1"/>
  <c r="AG892" i="1"/>
  <c r="AG2159" i="1"/>
  <c r="AG2006" i="1"/>
  <c r="AG2382" i="1"/>
  <c r="AG2303" i="1"/>
  <c r="AG2498" i="1"/>
  <c r="AG2612" i="1"/>
  <c r="AG2160" i="1"/>
  <c r="AG2009" i="1"/>
  <c r="AG2384" i="1"/>
  <c r="AG2304" i="1"/>
  <c r="AG2499" i="1"/>
  <c r="AG2161" i="1"/>
  <c r="AG2012" i="1"/>
  <c r="AG2386" i="1"/>
  <c r="AG2305" i="1"/>
  <c r="AG2500" i="1"/>
  <c r="AG2164" i="1"/>
  <c r="AG2015" i="1"/>
  <c r="AG2389" i="1"/>
  <c r="AG2306" i="1"/>
  <c r="AG2501" i="1"/>
  <c r="AG2165" i="1"/>
  <c r="AG2017" i="1"/>
  <c r="AG2390" i="1"/>
  <c r="AG2307" i="1"/>
  <c r="AG2502" i="1"/>
  <c r="AG2167" i="1"/>
  <c r="AG2019" i="1"/>
  <c r="AG2391" i="1"/>
  <c r="AG2308" i="1"/>
  <c r="AG2503" i="1"/>
  <c r="AG2169" i="1"/>
  <c r="AG2022" i="1"/>
  <c r="AG2393" i="1"/>
  <c r="AG2309" i="1"/>
  <c r="AG1900" i="1"/>
  <c r="AG1875" i="1"/>
  <c r="AG894" i="1"/>
  <c r="AG895" i="1"/>
  <c r="AG897"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1113" i="1"/>
  <c r="AG1114" i="1"/>
  <c r="AG1115" i="1"/>
  <c r="AG1116" i="1"/>
  <c r="AG1117" i="1"/>
  <c r="AG1118" i="1"/>
  <c r="AG1119" i="1"/>
  <c r="AG1120" i="1"/>
  <c r="AG733" i="1"/>
  <c r="AG1891" i="1"/>
  <c r="AG1667" i="1"/>
  <c r="AG734" i="1"/>
  <c r="AG1810" i="1"/>
  <c r="AG747" i="1"/>
  <c r="AG1944" i="1"/>
  <c r="AG1460" i="1"/>
  <c r="AG766" i="1"/>
  <c r="AG2345" i="1"/>
  <c r="AG429" i="1"/>
  <c r="AG460" i="1"/>
  <c r="AG1200" i="1"/>
  <c r="AG1201" i="1"/>
  <c r="AG1202" i="1"/>
  <c r="AG1203" i="1"/>
  <c r="AG1204" i="1"/>
  <c r="AG1205" i="1"/>
  <c r="AG1206" i="1"/>
  <c r="AG1207" i="1"/>
  <c r="AG1208" i="1"/>
  <c r="AG1209" i="1"/>
  <c r="AG1210" i="1"/>
  <c r="AG1211" i="1"/>
  <c r="AG1212" i="1"/>
  <c r="AG1195" i="1"/>
  <c r="AG1194" i="1"/>
  <c r="AG1196" i="1"/>
  <c r="AG1197" i="1"/>
  <c r="AG1198" i="1"/>
  <c r="AG1199" i="1"/>
  <c r="AG420" i="1"/>
  <c r="AG516" i="1"/>
  <c r="AE758" i="1"/>
  <c r="AD758" i="1"/>
  <c r="S758" i="1"/>
  <c r="O758" i="1"/>
  <c r="M758" i="1"/>
  <c r="L758" i="1"/>
  <c r="AG758" i="1"/>
  <c r="I1273" i="1"/>
  <c r="L1272" i="1"/>
  <c r="M1272" i="1"/>
  <c r="O1272" i="1"/>
  <c r="AD1272" i="1"/>
  <c r="AE1272" i="1"/>
  <c r="I1689" i="1"/>
  <c r="L1688" i="1"/>
  <c r="M1688" i="1"/>
  <c r="O1688" i="1"/>
  <c r="AD1688" i="1"/>
  <c r="AE1688" i="1"/>
  <c r="L1833" i="1"/>
  <c r="M1833" i="1"/>
  <c r="O1833" i="1"/>
  <c r="AD1833" i="1"/>
  <c r="AE1833" i="1"/>
  <c r="L558" i="1"/>
  <c r="M558" i="1"/>
  <c r="O558" i="1"/>
  <c r="S558" i="1"/>
  <c r="AD558" i="1"/>
  <c r="L2267" i="1"/>
  <c r="M2267" i="1"/>
  <c r="O2267" i="1"/>
  <c r="S2267" i="1"/>
  <c r="AD2267" i="1"/>
  <c r="AE2267" i="1"/>
  <c r="S2266" i="1"/>
  <c r="AG2266" i="1"/>
  <c r="L2266" i="1"/>
  <c r="M2266" i="1"/>
  <c r="O2266" i="1"/>
  <c r="AE2266" i="1"/>
  <c r="AD2266" i="1"/>
  <c r="I866" i="1"/>
  <c r="L865" i="1"/>
  <c r="M865" i="1"/>
  <c r="O865" i="1"/>
  <c r="AE865" i="1"/>
  <c r="AD865" i="1"/>
  <c r="I2598" i="1"/>
  <c r="AG2596" i="1"/>
  <c r="S2596" i="1"/>
  <c r="L2596" i="1"/>
  <c r="M2596" i="1"/>
  <c r="O2596" i="1"/>
  <c r="AE2596" i="1"/>
  <c r="AD2596" i="1"/>
  <c r="I557" i="1"/>
  <c r="S556" i="1"/>
  <c r="L556" i="1"/>
  <c r="M556" i="1"/>
  <c r="O556" i="1"/>
  <c r="AE556" i="1"/>
  <c r="AD556" i="1"/>
  <c r="AG869" i="1" l="1"/>
  <c r="AG2268" i="1"/>
  <c r="AG2471" i="1"/>
  <c r="AG559" i="1"/>
  <c r="AG517" i="1"/>
  <c r="J556" i="1"/>
  <c r="AG556" i="1"/>
  <c r="J2267" i="1"/>
  <c r="AG2267" i="1"/>
  <c r="J558" i="1"/>
  <c r="AG558" i="1"/>
  <c r="J865" i="1"/>
  <c r="AG865" i="1"/>
  <c r="J1833" i="1"/>
  <c r="AG1833" i="1"/>
  <c r="J1688" i="1"/>
  <c r="AG1688" i="1"/>
  <c r="J1272" i="1"/>
  <c r="AG1272" i="1"/>
  <c r="J758" i="1"/>
  <c r="J2266" i="1"/>
  <c r="J2596" i="1"/>
  <c r="O757" i="1" l="1"/>
  <c r="AE757" i="1"/>
  <c r="AD757" i="1"/>
  <c r="S757" i="1"/>
  <c r="M757" i="1"/>
  <c r="L757" i="1"/>
  <c r="AG757" i="1"/>
  <c r="J757" i="1" l="1"/>
  <c r="O149" i="1" l="1"/>
  <c r="O151" i="1"/>
  <c r="O150" i="1"/>
  <c r="AE149" i="1"/>
  <c r="AD149" i="1"/>
  <c r="M149" i="1"/>
  <c r="L149" i="1"/>
  <c r="AG149" i="1"/>
  <c r="AE520" i="1"/>
  <c r="AD520" i="1"/>
  <c r="S520" i="1"/>
  <c r="O520" i="1"/>
  <c r="M520" i="1"/>
  <c r="L520" i="1"/>
  <c r="AG520" i="1"/>
  <c r="J149" i="1" l="1"/>
  <c r="J520" i="1"/>
  <c r="AE283" i="1"/>
  <c r="AD283" i="1"/>
  <c r="O283" i="1"/>
  <c r="M283" i="1"/>
  <c r="L283" i="1"/>
  <c r="AE2594" i="1"/>
  <c r="AD2594" i="1"/>
  <c r="S2594" i="1"/>
  <c r="O2594" i="1"/>
  <c r="M2594" i="1"/>
  <c r="L2594" i="1"/>
  <c r="I2595" i="1"/>
  <c r="AE2470" i="1"/>
  <c r="AD2470" i="1"/>
  <c r="S2470" i="1"/>
  <c r="O2470" i="1"/>
  <c r="M2470" i="1"/>
  <c r="L2470" i="1"/>
  <c r="AG2470" i="1"/>
  <c r="AE2264" i="1"/>
  <c r="AD2264" i="1"/>
  <c r="S2264" i="1"/>
  <c r="O2264" i="1"/>
  <c r="M2264" i="1"/>
  <c r="L2264" i="1"/>
  <c r="AG2264" i="1"/>
  <c r="I2265" i="1"/>
  <c r="J2594" i="1" l="1"/>
  <c r="AG2594" i="1"/>
  <c r="J283" i="1"/>
  <c r="AG283" i="1"/>
  <c r="J2470" i="1"/>
  <c r="J2264" i="1"/>
  <c r="I2123" i="1" l="1"/>
  <c r="AD2124" i="1"/>
  <c r="AD2125" i="1"/>
  <c r="AD2126" i="1"/>
  <c r="AE2126" i="1"/>
  <c r="S2126" i="1"/>
  <c r="O2126" i="1"/>
  <c r="M2126" i="1"/>
  <c r="L2126" i="1"/>
  <c r="I2125" i="1"/>
  <c r="I2124" i="1"/>
  <c r="S2124" i="1" s="1"/>
  <c r="AE2124" i="1"/>
  <c r="O2124" i="1"/>
  <c r="M2124" i="1"/>
  <c r="L2124" i="1"/>
  <c r="AG2124" i="1"/>
  <c r="AD555" i="1"/>
  <c r="S555" i="1"/>
  <c r="O555" i="1"/>
  <c r="M555" i="1"/>
  <c r="L555" i="1"/>
  <c r="I1586" i="1"/>
  <c r="O1585" i="1"/>
  <c r="M1585" i="1"/>
  <c r="L1585" i="1"/>
  <c r="AD1585" i="1"/>
  <c r="AE1585" i="1"/>
  <c r="AE1643" i="1"/>
  <c r="AD1643" i="1"/>
  <c r="AG1643" i="1"/>
  <c r="L1643" i="1"/>
  <c r="M1643" i="1"/>
  <c r="O1643" i="1"/>
  <c r="O1741" i="1"/>
  <c r="AG1741" i="1"/>
  <c r="L1741" i="1"/>
  <c r="M1741" i="1"/>
  <c r="S1741" i="1"/>
  <c r="AD1741" i="1"/>
  <c r="AE1741" i="1"/>
  <c r="I1372" i="1"/>
  <c r="I1371" i="1"/>
  <c r="AE1371" i="1"/>
  <c r="I1467" i="1"/>
  <c r="AG1466" i="1"/>
  <c r="L1466" i="1"/>
  <c r="M1466" i="1"/>
  <c r="O1466" i="1"/>
  <c r="AD1466" i="1"/>
  <c r="AE1466" i="1"/>
  <c r="AD1270" i="1"/>
  <c r="AE1270" i="1"/>
  <c r="I1271" i="1"/>
  <c r="AG1270" i="1"/>
  <c r="L1270" i="1"/>
  <c r="M1270" i="1"/>
  <c r="O1270" i="1"/>
  <c r="I1785" i="1"/>
  <c r="L1786" i="1"/>
  <c r="M1786" i="1"/>
  <c r="O1786" i="1"/>
  <c r="AD1786" i="1"/>
  <c r="AE1786" i="1"/>
  <c r="I1444" i="1"/>
  <c r="L1443" i="1"/>
  <c r="M1443" i="1"/>
  <c r="O1443" i="1"/>
  <c r="S1443" i="1"/>
  <c r="AE1443" i="1"/>
  <c r="I1832" i="1"/>
  <c r="AG1831" i="1"/>
  <c r="L1831" i="1"/>
  <c r="M1831" i="1"/>
  <c r="O1831" i="1"/>
  <c r="AD1831" i="1"/>
  <c r="AE1831" i="1"/>
  <c r="I554" i="1"/>
  <c r="S553" i="1"/>
  <c r="L553" i="1"/>
  <c r="M553" i="1"/>
  <c r="O553" i="1"/>
  <c r="AE553" i="1"/>
  <c r="AD553" i="1"/>
  <c r="S2593" i="1"/>
  <c r="AG2593" i="1"/>
  <c r="L2593" i="1"/>
  <c r="M2593" i="1"/>
  <c r="O2593" i="1"/>
  <c r="AE2593" i="1"/>
  <c r="AD2593" i="1"/>
  <c r="AG2254" i="1"/>
  <c r="J1585" i="1" l="1"/>
  <c r="AG1585" i="1"/>
  <c r="J1443" i="1"/>
  <c r="AG1443" i="1"/>
  <c r="J2126" i="1"/>
  <c r="AG2126" i="1"/>
  <c r="J555" i="1"/>
  <c r="AG555" i="1"/>
  <c r="J553" i="1"/>
  <c r="AG553" i="1"/>
  <c r="J1786" i="1"/>
  <c r="AG1786" i="1"/>
  <c r="J2124" i="1"/>
  <c r="J1741" i="1"/>
  <c r="J1270" i="1"/>
  <c r="J1643" i="1"/>
  <c r="J1831" i="1"/>
  <c r="J1466" i="1"/>
  <c r="J2593" i="1"/>
  <c r="O202" i="1"/>
  <c r="O203" i="1"/>
  <c r="O205" i="1"/>
  <c r="O204" i="1"/>
  <c r="AE198" i="1"/>
  <c r="AD198" i="1"/>
  <c r="S198" i="1"/>
  <c r="O198" i="1"/>
  <c r="M198" i="1"/>
  <c r="L198" i="1"/>
  <c r="AG198" i="1"/>
  <c r="L202" i="1"/>
  <c r="M202" i="1"/>
  <c r="S202" i="1"/>
  <c r="AD202" i="1"/>
  <c r="AE202" i="1"/>
  <c r="L203" i="1"/>
  <c r="M203" i="1"/>
  <c r="S203" i="1"/>
  <c r="AD203" i="1"/>
  <c r="AE203" i="1"/>
  <c r="AG205" i="1"/>
  <c r="L205" i="1"/>
  <c r="M205" i="1"/>
  <c r="S205" i="1"/>
  <c r="AD205" i="1"/>
  <c r="AE205" i="1"/>
  <c r="AG204" i="1"/>
  <c r="L204" i="1"/>
  <c r="M204" i="1"/>
  <c r="S204" i="1"/>
  <c r="AD204" i="1"/>
  <c r="AE204" i="1"/>
  <c r="J203" i="1" l="1"/>
  <c r="AG203" i="1"/>
  <c r="J202" i="1"/>
  <c r="AG202" i="1"/>
  <c r="J198" i="1"/>
  <c r="J205" i="1"/>
  <c r="J204" i="1"/>
  <c r="L2592" i="1"/>
  <c r="M2592" i="1"/>
  <c r="O2592" i="1"/>
  <c r="S2592" i="1"/>
  <c r="AD2592" i="1"/>
  <c r="AE2592" i="1"/>
  <c r="AG2469" i="1"/>
  <c r="L2469" i="1"/>
  <c r="M2469" i="1"/>
  <c r="O2469" i="1"/>
  <c r="S2469" i="1"/>
  <c r="AD2469" i="1"/>
  <c r="AE2469" i="1"/>
  <c r="I2122" i="1"/>
  <c r="AG2121" i="1"/>
  <c r="L2121" i="1"/>
  <c r="M2121" i="1"/>
  <c r="O2121" i="1"/>
  <c r="S2121" i="1"/>
  <c r="AD2121" i="1"/>
  <c r="AE2121" i="1"/>
  <c r="L2262" i="1"/>
  <c r="M2262" i="1"/>
  <c r="O2262" i="1"/>
  <c r="S2262" i="1"/>
  <c r="AG2263" i="1"/>
  <c r="L2263" i="1"/>
  <c r="M2263" i="1"/>
  <c r="O2263" i="1"/>
  <c r="S2263" i="1"/>
  <c r="AD2263" i="1"/>
  <c r="AE2263" i="1"/>
  <c r="AD2262" i="1"/>
  <c r="AE2262" i="1"/>
  <c r="L552" i="1"/>
  <c r="M552" i="1"/>
  <c r="O552" i="1"/>
  <c r="S552" i="1"/>
  <c r="AD552" i="1"/>
  <c r="AE552" i="1"/>
  <c r="L551" i="1"/>
  <c r="M551" i="1"/>
  <c r="O551" i="1"/>
  <c r="S551" i="1"/>
  <c r="AD551" i="1"/>
  <c r="AE551" i="1"/>
  <c r="AE1222" i="1"/>
  <c r="AD1222" i="1"/>
  <c r="O1222" i="1"/>
  <c r="M1222" i="1"/>
  <c r="L1222" i="1"/>
  <c r="AG1222" i="1"/>
  <c r="L550" i="1"/>
  <c r="M550" i="1"/>
  <c r="O550" i="1"/>
  <c r="S550" i="1"/>
  <c r="AD550" i="1"/>
  <c r="AE550" i="1"/>
  <c r="L2261" i="1"/>
  <c r="M2261" i="1"/>
  <c r="O2261" i="1"/>
  <c r="S2261" i="1"/>
  <c r="AD2261" i="1"/>
  <c r="AE2261" i="1"/>
  <c r="AG2591" i="1"/>
  <c r="L2591" i="1"/>
  <c r="M2591" i="1"/>
  <c r="O2591" i="1"/>
  <c r="S2591" i="1"/>
  <c r="AD2591" i="1"/>
  <c r="AE2591" i="1"/>
  <c r="AG2120" i="1"/>
  <c r="I2120" i="1"/>
  <c r="S2120" i="1" s="1"/>
  <c r="L2120" i="1"/>
  <c r="M2120" i="1"/>
  <c r="O2120" i="1"/>
  <c r="AD2120" i="1"/>
  <c r="AE2120" i="1"/>
  <c r="AF364" i="1"/>
  <c r="I1269" i="1"/>
  <c r="L1268" i="1"/>
  <c r="M1268" i="1"/>
  <c r="O1268" i="1"/>
  <c r="AD1268" i="1"/>
  <c r="AE1268" i="1"/>
  <c r="AG1830" i="1"/>
  <c r="L1830" i="1"/>
  <c r="M1830" i="1"/>
  <c r="O1830" i="1"/>
  <c r="AD1830" i="1"/>
  <c r="AE1830" i="1"/>
  <c r="I1806" i="1"/>
  <c r="L1805" i="1"/>
  <c r="M1805" i="1"/>
  <c r="O1805" i="1"/>
  <c r="AD1805" i="1"/>
  <c r="AE1805" i="1"/>
  <c r="I1687" i="1"/>
  <c r="I1370" i="1"/>
  <c r="AG1369" i="1"/>
  <c r="L1369" i="1"/>
  <c r="M1369" i="1"/>
  <c r="O1369" i="1"/>
  <c r="AD1369" i="1"/>
  <c r="AE1369" i="1"/>
  <c r="I2119" i="1"/>
  <c r="AE1286" i="1"/>
  <c r="AD1286" i="1"/>
  <c r="O1286" i="1"/>
  <c r="M1286" i="1"/>
  <c r="L1286" i="1"/>
  <c r="AE1289" i="1"/>
  <c r="AD1289" i="1"/>
  <c r="O1289" i="1"/>
  <c r="AE1284" i="1"/>
  <c r="AD1284" i="1"/>
  <c r="O1284" i="1"/>
  <c r="M1284" i="1"/>
  <c r="L1284" i="1"/>
  <c r="AG1284" i="1"/>
  <c r="I2260" i="1"/>
  <c r="S549" i="1"/>
  <c r="L549" i="1"/>
  <c r="M549" i="1"/>
  <c r="O549" i="1"/>
  <c r="AE549" i="1"/>
  <c r="AD549" i="1"/>
  <c r="AE760" i="1"/>
  <c r="AD760" i="1"/>
  <c r="S760" i="1"/>
  <c r="O760" i="1"/>
  <c r="M760" i="1"/>
  <c r="L760" i="1"/>
  <c r="AE759" i="1"/>
  <c r="AD759" i="1"/>
  <c r="S759" i="1"/>
  <c r="O759" i="1"/>
  <c r="M759" i="1"/>
  <c r="L759" i="1"/>
  <c r="AE728" i="1"/>
  <c r="AD728" i="1"/>
  <c r="O728" i="1"/>
  <c r="M728" i="1"/>
  <c r="L728" i="1"/>
  <c r="AE727" i="1"/>
  <c r="AD727" i="1"/>
  <c r="O727" i="1"/>
  <c r="M727" i="1"/>
  <c r="L727" i="1"/>
  <c r="AE726" i="1"/>
  <c r="AD726" i="1"/>
  <c r="O726" i="1"/>
  <c r="M726" i="1"/>
  <c r="L726" i="1"/>
  <c r="AG726" i="1"/>
  <c r="AE705" i="1"/>
  <c r="AD705" i="1"/>
  <c r="S705" i="1"/>
  <c r="O705" i="1"/>
  <c r="M705" i="1"/>
  <c r="L705" i="1"/>
  <c r="AG705" i="1"/>
  <c r="AE704" i="1"/>
  <c r="AD704" i="1"/>
  <c r="S704" i="1"/>
  <c r="O704" i="1"/>
  <c r="M704" i="1"/>
  <c r="L704" i="1"/>
  <c r="AG704" i="1"/>
  <c r="AE703" i="1"/>
  <c r="AD703" i="1"/>
  <c r="S703" i="1"/>
  <c r="O703" i="1"/>
  <c r="M703" i="1"/>
  <c r="L703" i="1"/>
  <c r="AE702" i="1"/>
  <c r="AD702" i="1"/>
  <c r="S702" i="1"/>
  <c r="O702" i="1"/>
  <c r="M702" i="1"/>
  <c r="L702" i="1"/>
  <c r="AG702" i="1"/>
  <c r="J549" i="1" l="1"/>
  <c r="AG549" i="1"/>
  <c r="J552" i="1"/>
  <c r="AG552" i="1"/>
  <c r="J2262" i="1"/>
  <c r="AG2262" i="1"/>
  <c r="J727" i="1"/>
  <c r="AG727" i="1"/>
  <c r="J551" i="1"/>
  <c r="AG551" i="1"/>
  <c r="J2592" i="1"/>
  <c r="AG2592" i="1"/>
  <c r="J703" i="1"/>
  <c r="AG703" i="1"/>
  <c r="J728" i="1"/>
  <c r="AG728" i="1"/>
  <c r="J760" i="1"/>
  <c r="AG760" i="1"/>
  <c r="AG1289" i="1"/>
  <c r="J2636" i="1"/>
  <c r="J759" i="1"/>
  <c r="AG759" i="1"/>
  <c r="AG1286" i="1"/>
  <c r="J1805" i="1"/>
  <c r="AG1805" i="1"/>
  <c r="J550" i="1"/>
  <c r="AG550" i="1"/>
  <c r="J1268" i="1"/>
  <c r="AG1268" i="1"/>
  <c r="J2261" i="1"/>
  <c r="AG2261" i="1"/>
  <c r="J2121" i="1"/>
  <c r="J2591" i="1"/>
  <c r="J2263" i="1"/>
  <c r="J2469" i="1"/>
  <c r="J2120" i="1"/>
  <c r="J1222" i="1"/>
  <c r="J1369" i="1"/>
  <c r="J1830" i="1"/>
  <c r="J1284" i="1"/>
  <c r="J726" i="1"/>
  <c r="J705" i="1"/>
  <c r="J704" i="1"/>
  <c r="J702" i="1"/>
  <c r="AE284" i="1"/>
  <c r="AD284" i="1"/>
  <c r="O284" i="1"/>
  <c r="M284" i="1"/>
  <c r="L284" i="1"/>
  <c r="J284" i="1" l="1"/>
  <c r="AG284" i="1"/>
  <c r="AE2118" i="1"/>
  <c r="AD2118" i="1"/>
  <c r="S2118" i="1"/>
  <c r="O2118" i="1"/>
  <c r="M2118" i="1"/>
  <c r="L2118" i="1"/>
  <c r="AG2118" i="1"/>
  <c r="AE1984" i="1"/>
  <c r="AD1984" i="1"/>
  <c r="O1984" i="1"/>
  <c r="M1984" i="1"/>
  <c r="L1984" i="1"/>
  <c r="AE2590" i="1"/>
  <c r="AD2590" i="1"/>
  <c r="S2590" i="1"/>
  <c r="O2590" i="1"/>
  <c r="M2590" i="1"/>
  <c r="L2590" i="1"/>
  <c r="AE548" i="1"/>
  <c r="AD548" i="1"/>
  <c r="S548" i="1"/>
  <c r="O548" i="1"/>
  <c r="M548" i="1"/>
  <c r="L548" i="1"/>
  <c r="J1984" i="1" l="1"/>
  <c r="AG1984" i="1"/>
  <c r="J2590" i="1"/>
  <c r="AG2590" i="1"/>
  <c r="J548" i="1"/>
  <c r="AG548" i="1"/>
  <c r="J2118" i="1"/>
  <c r="O2621" i="1" l="1"/>
  <c r="O2619" i="1"/>
  <c r="AE2589" i="1"/>
  <c r="AD2589" i="1"/>
  <c r="O2589" i="1"/>
  <c r="M2589" i="1"/>
  <c r="L2589" i="1"/>
  <c r="S2589" i="1"/>
  <c r="AG2589" i="1"/>
  <c r="S698" i="1"/>
  <c r="AE697" i="1"/>
  <c r="AD697" i="1"/>
  <c r="S697" i="1"/>
  <c r="O697" i="1"/>
  <c r="M697" i="1"/>
  <c r="L697" i="1"/>
  <c r="AG697" i="1"/>
  <c r="AE557" i="1"/>
  <c r="AD557" i="1"/>
  <c r="S557" i="1"/>
  <c r="O557" i="1"/>
  <c r="M557" i="1"/>
  <c r="L557" i="1"/>
  <c r="AG557" i="1"/>
  <c r="AE547" i="1"/>
  <c r="AD547" i="1"/>
  <c r="O547" i="1"/>
  <c r="M547" i="1"/>
  <c r="L547" i="1"/>
  <c r="S547" i="1"/>
  <c r="AE2117" i="1"/>
  <c r="AD2117" i="1"/>
  <c r="O2117" i="1"/>
  <c r="M2117" i="1"/>
  <c r="L2117" i="1"/>
  <c r="AE1983" i="1"/>
  <c r="AD1983" i="1"/>
  <c r="O1983" i="1"/>
  <c r="M1983" i="1"/>
  <c r="L1983" i="1"/>
  <c r="I1982" i="1"/>
  <c r="L2588" i="1"/>
  <c r="M2588" i="1"/>
  <c r="O2588" i="1"/>
  <c r="S2588" i="1"/>
  <c r="AD2588" i="1"/>
  <c r="AE2588" i="1"/>
  <c r="L2116" i="1"/>
  <c r="M2116" i="1"/>
  <c r="O2116" i="1"/>
  <c r="S2116" i="1"/>
  <c r="AD2116" i="1"/>
  <c r="AE2116" i="1"/>
  <c r="L1267" i="1"/>
  <c r="M1267" i="1"/>
  <c r="O1267" i="1"/>
  <c r="L1266" i="1"/>
  <c r="M1266" i="1"/>
  <c r="O1266" i="1"/>
  <c r="AD1267" i="1"/>
  <c r="AE1267" i="1"/>
  <c r="L1686" i="1"/>
  <c r="M1686" i="1"/>
  <c r="O1686" i="1"/>
  <c r="AD1686" i="1"/>
  <c r="AE1686" i="1"/>
  <c r="I1465" i="1"/>
  <c r="I1784" i="1"/>
  <c r="I1340" i="1"/>
  <c r="L1339" i="1"/>
  <c r="M1339" i="1"/>
  <c r="O1339" i="1"/>
  <c r="AD1339" i="1"/>
  <c r="AE1339" i="1"/>
  <c r="L1511" i="1"/>
  <c r="M1511" i="1"/>
  <c r="O1511" i="1"/>
  <c r="AD1511" i="1"/>
  <c r="AE1511" i="1"/>
  <c r="I1705" i="1"/>
  <c r="L1703" i="1"/>
  <c r="M1703" i="1"/>
  <c r="O1703" i="1"/>
  <c r="AD1703" i="1"/>
  <c r="AE1703" i="1"/>
  <c r="I55" i="1"/>
  <c r="I54" i="1"/>
  <c r="I23" i="1"/>
  <c r="I24" i="1"/>
  <c r="I37" i="1"/>
  <c r="I36" i="1"/>
  <c r="O571" i="1"/>
  <c r="AE176" i="1"/>
  <c r="AD176" i="1"/>
  <c r="S176" i="1"/>
  <c r="O176" i="1"/>
  <c r="M176" i="1"/>
  <c r="L176" i="1"/>
  <c r="AE175" i="1"/>
  <c r="AD175" i="1"/>
  <c r="S175" i="1"/>
  <c r="O175" i="1"/>
  <c r="M175" i="1"/>
  <c r="L175" i="1"/>
  <c r="AE174" i="1"/>
  <c r="AD174" i="1"/>
  <c r="S174" i="1"/>
  <c r="O174" i="1"/>
  <c r="M174" i="1"/>
  <c r="L174" i="1"/>
  <c r="AE173" i="1"/>
  <c r="AD173" i="1"/>
  <c r="S173" i="1"/>
  <c r="O173" i="1"/>
  <c r="M173" i="1"/>
  <c r="L173" i="1"/>
  <c r="AG173" i="1"/>
  <c r="I1981" i="1"/>
  <c r="S2587" i="1"/>
  <c r="AG2587" i="1"/>
  <c r="L2587" i="1"/>
  <c r="M2587" i="1"/>
  <c r="O2587" i="1"/>
  <c r="AE2587" i="1"/>
  <c r="AD2587" i="1"/>
  <c r="I572" i="1"/>
  <c r="I569" i="1"/>
  <c r="AE698" i="1"/>
  <c r="AD698" i="1"/>
  <c r="O698" i="1"/>
  <c r="M698" i="1"/>
  <c r="L698" i="1"/>
  <c r="I2115" i="1"/>
  <c r="J176" i="1" l="1"/>
  <c r="AG176" i="1"/>
  <c r="J1686" i="1"/>
  <c r="AG1686" i="1"/>
  <c r="J1266" i="1"/>
  <c r="AG1266" i="1"/>
  <c r="J698" i="1"/>
  <c r="AG698" i="1"/>
  <c r="J1703" i="1"/>
  <c r="AG1703" i="1"/>
  <c r="J1267" i="1"/>
  <c r="AG1267" i="1"/>
  <c r="J2116" i="1"/>
  <c r="AG2116" i="1"/>
  <c r="J2588" i="1"/>
  <c r="AG2588" i="1"/>
  <c r="J174" i="1"/>
  <c r="AG174" i="1"/>
  <c r="J1511" i="1"/>
  <c r="AG1511" i="1"/>
  <c r="J547" i="1"/>
  <c r="AG547" i="1"/>
  <c r="J1339" i="1"/>
  <c r="AG1339" i="1"/>
  <c r="J1983" i="1"/>
  <c r="AG1983" i="1"/>
  <c r="J2117" i="1"/>
  <c r="AG2117" i="1"/>
  <c r="J175" i="1"/>
  <c r="AG175" i="1"/>
  <c r="J2589" i="1"/>
  <c r="J697" i="1"/>
  <c r="J557" i="1"/>
  <c r="S2117" i="1"/>
  <c r="J173" i="1"/>
  <c r="J2587" i="1"/>
  <c r="AE489" i="1" l="1"/>
  <c r="AD489" i="1"/>
  <c r="O489" i="1"/>
  <c r="M489" i="1"/>
  <c r="L489" i="1"/>
  <c r="AE486" i="1"/>
  <c r="AD486" i="1"/>
  <c r="O486" i="1"/>
  <c r="M486" i="1"/>
  <c r="L486" i="1"/>
  <c r="AG486" i="1"/>
  <c r="AE451" i="1"/>
  <c r="AD451" i="1"/>
  <c r="O451" i="1"/>
  <c r="M451" i="1"/>
  <c r="L451" i="1"/>
  <c r="AG451" i="1"/>
  <c r="AE450" i="1"/>
  <c r="AD450" i="1"/>
  <c r="O450" i="1"/>
  <c r="M450" i="1"/>
  <c r="L450" i="1"/>
  <c r="AG450" i="1"/>
  <c r="AE567" i="1"/>
  <c r="AD567" i="1"/>
  <c r="S567" i="1"/>
  <c r="O567" i="1"/>
  <c r="M567" i="1"/>
  <c r="L567" i="1"/>
  <c r="AG567" i="1"/>
  <c r="AE566" i="1"/>
  <c r="AD566" i="1"/>
  <c r="S566" i="1"/>
  <c r="O566" i="1"/>
  <c r="M566" i="1"/>
  <c r="L566" i="1"/>
  <c r="AG566" i="1"/>
  <c r="AE564" i="1"/>
  <c r="AD564" i="1"/>
  <c r="S564" i="1"/>
  <c r="O564" i="1"/>
  <c r="M564" i="1"/>
  <c r="L564" i="1"/>
  <c r="AG564" i="1"/>
  <c r="AE530" i="1"/>
  <c r="AD530" i="1"/>
  <c r="S530" i="1"/>
  <c r="O530" i="1"/>
  <c r="M530" i="1"/>
  <c r="L530" i="1"/>
  <c r="AG530" i="1"/>
  <c r="AE529" i="1"/>
  <c r="AD529" i="1"/>
  <c r="S529" i="1"/>
  <c r="O529" i="1"/>
  <c r="M529" i="1"/>
  <c r="L529" i="1"/>
  <c r="AE524" i="1"/>
  <c r="AD524" i="1"/>
  <c r="S524" i="1"/>
  <c r="O524" i="1"/>
  <c r="M524" i="1"/>
  <c r="L524" i="1"/>
  <c r="AG524" i="1"/>
  <c r="O523" i="1"/>
  <c r="S523" i="1"/>
  <c r="L523" i="1"/>
  <c r="M523" i="1"/>
  <c r="AD523" i="1"/>
  <c r="AE523" i="1"/>
  <c r="L867" i="1"/>
  <c r="M867" i="1"/>
  <c r="O867" i="1"/>
  <c r="L868" i="1"/>
  <c r="M868" i="1"/>
  <c r="O868" i="1"/>
  <c r="L872" i="1"/>
  <c r="M872" i="1"/>
  <c r="O872" i="1"/>
  <c r="I1980" i="1"/>
  <c r="I2114" i="1"/>
  <c r="AG2586" i="1"/>
  <c r="L2586" i="1"/>
  <c r="M2586" i="1"/>
  <c r="O2586" i="1"/>
  <c r="S2586" i="1"/>
  <c r="AD2586" i="1"/>
  <c r="AE2586" i="1"/>
  <c r="I2585" i="1"/>
  <c r="AG1979" i="1"/>
  <c r="L1979" i="1"/>
  <c r="M1979" i="1"/>
  <c r="O1979" i="1"/>
  <c r="AD1979" i="1"/>
  <c r="AE1979" i="1"/>
  <c r="L701" i="1"/>
  <c r="M701" i="1"/>
  <c r="O701" i="1"/>
  <c r="S701" i="1"/>
  <c r="L1978" i="1"/>
  <c r="M1978" i="1"/>
  <c r="O1978" i="1"/>
  <c r="AD1978" i="1"/>
  <c r="AE1978" i="1"/>
  <c r="S2584" i="1"/>
  <c r="L2584" i="1"/>
  <c r="M2584" i="1"/>
  <c r="O2584" i="1"/>
  <c r="L2583" i="1"/>
  <c r="M2583" i="1"/>
  <c r="O2583" i="1"/>
  <c r="S2583" i="1"/>
  <c r="AD2584" i="1"/>
  <c r="AE2584" i="1"/>
  <c r="AG860" i="1"/>
  <c r="L860" i="1"/>
  <c r="M860" i="1"/>
  <c r="O860" i="1"/>
  <c r="AD860" i="1"/>
  <c r="AE860" i="1"/>
  <c r="AD701" i="1"/>
  <c r="AE701" i="1"/>
  <c r="L374" i="1"/>
  <c r="M374" i="1"/>
  <c r="O374" i="1"/>
  <c r="AD374" i="1"/>
  <c r="AE374" i="1"/>
  <c r="AG282" i="1"/>
  <c r="L282" i="1"/>
  <c r="M282" i="1"/>
  <c r="O282" i="1"/>
  <c r="AD282" i="1"/>
  <c r="AE282" i="1"/>
  <c r="O156" i="1"/>
  <c r="O157" i="1"/>
  <c r="O163" i="1"/>
  <c r="O164" i="1"/>
  <c r="O165" i="1"/>
  <c r="O166" i="1"/>
  <c r="O167" i="1"/>
  <c r="O168" i="1"/>
  <c r="O169" i="1"/>
  <c r="O170" i="1"/>
  <c r="O171" i="1"/>
  <c r="O172" i="1"/>
  <c r="O177" i="1"/>
  <c r="O178" i="1"/>
  <c r="O179" i="1"/>
  <c r="O180" i="1"/>
  <c r="AE178" i="1"/>
  <c r="AD178" i="1"/>
  <c r="S178" i="1"/>
  <c r="M178" i="1"/>
  <c r="L178" i="1"/>
  <c r="AE177" i="1"/>
  <c r="AD177" i="1"/>
  <c r="S177" i="1"/>
  <c r="M177" i="1"/>
  <c r="L177" i="1"/>
  <c r="AG177" i="1"/>
  <c r="AE172" i="1"/>
  <c r="AD172" i="1"/>
  <c r="S172" i="1"/>
  <c r="M172" i="1"/>
  <c r="L172" i="1"/>
  <c r="AG172" i="1"/>
  <c r="AE171" i="1"/>
  <c r="AD171" i="1"/>
  <c r="S171" i="1"/>
  <c r="M171" i="1"/>
  <c r="L171" i="1"/>
  <c r="AE170" i="1"/>
  <c r="AD170" i="1"/>
  <c r="S170" i="1"/>
  <c r="M170" i="1"/>
  <c r="L170" i="1"/>
  <c r="AE169" i="1"/>
  <c r="AD169" i="1"/>
  <c r="S169" i="1"/>
  <c r="M169" i="1"/>
  <c r="L169" i="1"/>
  <c r="AG169" i="1"/>
  <c r="AE164" i="1"/>
  <c r="AD164" i="1"/>
  <c r="S164" i="1"/>
  <c r="M164" i="1"/>
  <c r="L164" i="1"/>
  <c r="AG164" i="1"/>
  <c r="AE155" i="1"/>
  <c r="AD155" i="1"/>
  <c r="S155" i="1"/>
  <c r="O155" i="1"/>
  <c r="M155" i="1"/>
  <c r="L155" i="1"/>
  <c r="L156" i="1"/>
  <c r="M156" i="1"/>
  <c r="S156" i="1"/>
  <c r="AD156" i="1"/>
  <c r="AE156" i="1"/>
  <c r="L157" i="1"/>
  <c r="L163" i="1"/>
  <c r="M157" i="1"/>
  <c r="M163" i="1"/>
  <c r="S157" i="1"/>
  <c r="S163" i="1"/>
  <c r="AD157" i="1"/>
  <c r="AD163" i="1"/>
  <c r="AE157" i="1"/>
  <c r="AE163" i="1"/>
  <c r="L165" i="1"/>
  <c r="L166" i="1"/>
  <c r="M165" i="1"/>
  <c r="M166" i="1"/>
  <c r="S165" i="1"/>
  <c r="S166" i="1"/>
  <c r="AD165" i="1"/>
  <c r="AD166" i="1"/>
  <c r="AE165" i="1"/>
  <c r="AE166" i="1"/>
  <c r="L167" i="1"/>
  <c r="L168" i="1"/>
  <c r="M167" i="1"/>
  <c r="M168" i="1"/>
  <c r="S167" i="1"/>
  <c r="S168" i="1"/>
  <c r="AD167" i="1"/>
  <c r="AD168" i="1"/>
  <c r="AE167" i="1"/>
  <c r="AE168" i="1"/>
  <c r="L179" i="1"/>
  <c r="M179" i="1"/>
  <c r="S179" i="1"/>
  <c r="AD179" i="1"/>
  <c r="AE179" i="1"/>
  <c r="L180" i="1"/>
  <c r="M180" i="1"/>
  <c r="S180" i="1"/>
  <c r="AD180" i="1"/>
  <c r="AE180" i="1"/>
  <c r="AG199" i="1"/>
  <c r="L199" i="1"/>
  <c r="M199" i="1"/>
  <c r="O199" i="1"/>
  <c r="S199" i="1"/>
  <c r="AD199" i="1"/>
  <c r="AE199" i="1"/>
  <c r="AG200" i="1"/>
  <c r="L200" i="1"/>
  <c r="M200" i="1"/>
  <c r="O200" i="1"/>
  <c r="S200" i="1"/>
  <c r="AD200" i="1"/>
  <c r="AE200" i="1"/>
  <c r="O182" i="1"/>
  <c r="O191" i="1"/>
  <c r="O192" i="1"/>
  <c r="O193" i="1"/>
  <c r="O194" i="1"/>
  <c r="O197" i="1"/>
  <c r="AG191" i="1"/>
  <c r="AG197" i="1"/>
  <c r="AE189" i="1"/>
  <c r="AD189" i="1"/>
  <c r="S189" i="1"/>
  <c r="O189" i="1"/>
  <c r="M189" i="1"/>
  <c r="L189" i="1"/>
  <c r="L182" i="1"/>
  <c r="M182" i="1"/>
  <c r="S182" i="1"/>
  <c r="AD182" i="1"/>
  <c r="AE182" i="1"/>
  <c r="L191" i="1"/>
  <c r="L192" i="1"/>
  <c r="M191" i="1"/>
  <c r="M192" i="1"/>
  <c r="S191" i="1"/>
  <c r="S192" i="1"/>
  <c r="AD191" i="1"/>
  <c r="AD192" i="1"/>
  <c r="AE191" i="1"/>
  <c r="AE192" i="1"/>
  <c r="L193" i="1"/>
  <c r="L194" i="1"/>
  <c r="M193" i="1"/>
  <c r="M194" i="1"/>
  <c r="S193" i="1"/>
  <c r="S194" i="1"/>
  <c r="AD193" i="1"/>
  <c r="AD194" i="1"/>
  <c r="AE193" i="1"/>
  <c r="AE194" i="1"/>
  <c r="L197" i="1"/>
  <c r="M197" i="1"/>
  <c r="S197" i="1"/>
  <c r="AD197" i="1"/>
  <c r="AE197" i="1"/>
  <c r="I2259" i="1"/>
  <c r="J193" i="1" l="1"/>
  <c r="AG193" i="1"/>
  <c r="J166" i="1"/>
  <c r="AG166" i="1"/>
  <c r="J156" i="1"/>
  <c r="AG156" i="1"/>
  <c r="J489" i="1"/>
  <c r="AG489" i="1"/>
  <c r="J155" i="1"/>
  <c r="AG155" i="1"/>
  <c r="J180" i="1"/>
  <c r="AG180" i="1"/>
  <c r="J2584" i="1"/>
  <c r="AG2584" i="1"/>
  <c r="J189" i="1"/>
  <c r="AG189" i="1"/>
  <c r="J192" i="1"/>
  <c r="AG192" i="1"/>
  <c r="J374" i="1"/>
  <c r="AG374" i="1"/>
  <c r="J1978" i="1"/>
  <c r="AG1978" i="1"/>
  <c r="J868" i="1"/>
  <c r="AG868" i="1"/>
  <c r="J165" i="1"/>
  <c r="AG165" i="1"/>
  <c r="J182" i="1"/>
  <c r="AG182" i="1"/>
  <c r="AG168" i="1"/>
  <c r="J163" i="1"/>
  <c r="AG163" i="1"/>
  <c r="J170" i="1"/>
  <c r="AG170" i="1"/>
  <c r="J523" i="1"/>
  <c r="AG523" i="1"/>
  <c r="J194" i="1"/>
  <c r="AG194" i="1"/>
  <c r="J171" i="1"/>
  <c r="AG171" i="1"/>
  <c r="J2583" i="1"/>
  <c r="AG2583" i="1"/>
  <c r="J872" i="1"/>
  <c r="AG872" i="1"/>
  <c r="J529" i="1"/>
  <c r="AG529" i="1"/>
  <c r="J167" i="1"/>
  <c r="AG167" i="1"/>
  <c r="J157" i="1"/>
  <c r="AG157" i="1"/>
  <c r="J179" i="1"/>
  <c r="AG179" i="1"/>
  <c r="J701" i="1"/>
  <c r="AG701" i="1"/>
  <c r="J867" i="1"/>
  <c r="AG867" i="1"/>
  <c r="J178" i="1"/>
  <c r="AG178" i="1"/>
  <c r="J282" i="1"/>
  <c r="J486" i="1"/>
  <c r="J450" i="1"/>
  <c r="J451" i="1"/>
  <c r="J567" i="1"/>
  <c r="J566" i="1"/>
  <c r="J564" i="1"/>
  <c r="J530" i="1"/>
  <c r="J524" i="1"/>
  <c r="J1979" i="1"/>
  <c r="J860" i="1"/>
  <c r="J2586" i="1"/>
  <c r="J172" i="1"/>
  <c r="J177" i="1"/>
  <c r="J169" i="1"/>
  <c r="J164" i="1"/>
  <c r="J199" i="1"/>
  <c r="J200" i="1"/>
  <c r="J197" i="1"/>
  <c r="J191" i="1"/>
  <c r="L1977" i="1" l="1"/>
  <c r="M1977" i="1"/>
  <c r="O1977" i="1"/>
  <c r="AD1977" i="1"/>
  <c r="AE1977" i="1"/>
  <c r="AD2583" i="1"/>
  <c r="AE2583" i="1"/>
  <c r="AD1645" i="1"/>
  <c r="AE1645" i="1"/>
  <c r="AG1645" i="1"/>
  <c r="L1645" i="1"/>
  <c r="M1645" i="1"/>
  <c r="O1645" i="1"/>
  <c r="L859" i="1"/>
  <c r="M859" i="1"/>
  <c r="O859" i="1"/>
  <c r="AD859" i="1"/>
  <c r="AE859" i="1"/>
  <c r="L2582" i="1"/>
  <c r="M2582" i="1"/>
  <c r="O2582" i="1"/>
  <c r="S2582" i="1"/>
  <c r="AD2582" i="1"/>
  <c r="AE2582" i="1"/>
  <c r="AG1976" i="1"/>
  <c r="L1976" i="1"/>
  <c r="M1976" i="1"/>
  <c r="O1976" i="1"/>
  <c r="AD1976" i="1"/>
  <c r="AE1976" i="1"/>
  <c r="AG1218" i="1"/>
  <c r="L1218" i="1"/>
  <c r="M1218" i="1"/>
  <c r="O1218" i="1"/>
  <c r="AD1218" i="1"/>
  <c r="AE1218" i="1"/>
  <c r="I696" i="1"/>
  <c r="AG695" i="1"/>
  <c r="L695" i="1"/>
  <c r="M695" i="1"/>
  <c r="O695" i="1"/>
  <c r="S695" i="1"/>
  <c r="AD695" i="1"/>
  <c r="AE695" i="1"/>
  <c r="I514" i="1"/>
  <c r="AG513" i="1"/>
  <c r="L513" i="1"/>
  <c r="M513" i="1"/>
  <c r="O513" i="1"/>
  <c r="S513" i="1"/>
  <c r="AD513" i="1"/>
  <c r="AE513" i="1"/>
  <c r="I509" i="1"/>
  <c r="AG1220" i="1"/>
  <c r="L1220" i="1"/>
  <c r="M1220" i="1"/>
  <c r="O1220" i="1"/>
  <c r="AD1220" i="1"/>
  <c r="AE1220" i="1"/>
  <c r="AE96" i="1"/>
  <c r="AD96" i="1"/>
  <c r="O96" i="1"/>
  <c r="M96" i="1"/>
  <c r="L96" i="1"/>
  <c r="AE95" i="1"/>
  <c r="AD95" i="1"/>
  <c r="O95" i="1"/>
  <c r="M95" i="1"/>
  <c r="L95" i="1"/>
  <c r="AE108" i="1"/>
  <c r="AD108" i="1"/>
  <c r="O108" i="1"/>
  <c r="M108" i="1"/>
  <c r="L108" i="1"/>
  <c r="AE88" i="1"/>
  <c r="AD88" i="1"/>
  <c r="O88" i="1"/>
  <c r="M88" i="1"/>
  <c r="L88" i="1"/>
  <c r="AE87" i="1"/>
  <c r="AD87" i="1"/>
  <c r="O87" i="1"/>
  <c r="M87" i="1"/>
  <c r="L87" i="1"/>
  <c r="AG87" i="1"/>
  <c r="AE86" i="1"/>
  <c r="AD86" i="1"/>
  <c r="O86" i="1"/>
  <c r="M86" i="1"/>
  <c r="L86" i="1"/>
  <c r="AG86" i="1"/>
  <c r="AE45" i="1"/>
  <c r="AD45" i="1"/>
  <c r="O45" i="1"/>
  <c r="M45" i="1"/>
  <c r="L45" i="1"/>
  <c r="AE44" i="1"/>
  <c r="AD44" i="1"/>
  <c r="O44" i="1"/>
  <c r="M44" i="1"/>
  <c r="L44" i="1"/>
  <c r="AG44" i="1"/>
  <c r="AE43" i="1"/>
  <c r="AD43" i="1"/>
  <c r="O43" i="1"/>
  <c r="M43" i="1"/>
  <c r="L43" i="1"/>
  <c r="AG43" i="1"/>
  <c r="AE42" i="1"/>
  <c r="AD42" i="1"/>
  <c r="O42" i="1"/>
  <c r="M42" i="1"/>
  <c r="L42" i="1"/>
  <c r="AE46" i="1"/>
  <c r="AD46" i="1"/>
  <c r="O46" i="1"/>
  <c r="M46" i="1"/>
  <c r="L46" i="1"/>
  <c r="AG46" i="1"/>
  <c r="AE41" i="1"/>
  <c r="AD41" i="1"/>
  <c r="O41" i="1"/>
  <c r="M41" i="1"/>
  <c r="L41" i="1"/>
  <c r="AG41" i="1"/>
  <c r="J88" i="1" l="1"/>
  <c r="AG88" i="1"/>
  <c r="J108" i="1"/>
  <c r="AG108" i="1"/>
  <c r="J95" i="1"/>
  <c r="AG95" i="1"/>
  <c r="J96" i="1"/>
  <c r="AG96" i="1"/>
  <c r="J2582" i="1"/>
  <c r="AG2582" i="1"/>
  <c r="J859" i="1"/>
  <c r="AG859" i="1"/>
  <c r="J42" i="1"/>
  <c r="AG42" i="1"/>
  <c r="J45" i="1"/>
  <c r="AG45" i="1"/>
  <c r="J1977" i="1"/>
  <c r="AG1977" i="1"/>
  <c r="J1220" i="1"/>
  <c r="J695" i="1"/>
  <c r="J1976" i="1"/>
  <c r="J513" i="1"/>
  <c r="J1218" i="1"/>
  <c r="J1645" i="1"/>
  <c r="J86" i="1"/>
  <c r="J87" i="1"/>
  <c r="J44" i="1"/>
  <c r="J43" i="1"/>
  <c r="J46" i="1"/>
  <c r="J41" i="1"/>
  <c r="AG2581" i="1"/>
  <c r="S2581" i="1"/>
  <c r="L2581" i="1"/>
  <c r="M2581" i="1"/>
  <c r="O2581" i="1"/>
  <c r="AE2581" i="1"/>
  <c r="AD2581" i="1"/>
  <c r="AD2580" i="1"/>
  <c r="I1975" i="1"/>
  <c r="L863" i="1"/>
  <c r="M863" i="1"/>
  <c r="O863" i="1"/>
  <c r="AE863" i="1"/>
  <c r="AD863" i="1"/>
  <c r="J863" i="1" l="1"/>
  <c r="AG863" i="1"/>
  <c r="J2581" i="1"/>
  <c r="AE1382" i="1"/>
  <c r="AD1382" i="1"/>
  <c r="O1382" i="1"/>
  <c r="M1382" i="1"/>
  <c r="L1382" i="1"/>
  <c r="O1468" i="1"/>
  <c r="M1468" i="1"/>
  <c r="L1468" i="1"/>
  <c r="AE1844" i="1"/>
  <c r="AD1844" i="1"/>
  <c r="O1844" i="1"/>
  <c r="M1844" i="1"/>
  <c r="L1844" i="1"/>
  <c r="AE1843" i="1"/>
  <c r="AD1843" i="1"/>
  <c r="O1843" i="1"/>
  <c r="M1843" i="1"/>
  <c r="L1843" i="1"/>
  <c r="AE1842" i="1"/>
  <c r="AD1842" i="1"/>
  <c r="O1842" i="1"/>
  <c r="M1842" i="1"/>
  <c r="L1842" i="1"/>
  <c r="L1841" i="1"/>
  <c r="M1841" i="1"/>
  <c r="O1841" i="1"/>
  <c r="AD1841" i="1"/>
  <c r="AE1841" i="1"/>
  <c r="AG1856" i="1"/>
  <c r="L1856" i="1"/>
  <c r="M1856" i="1"/>
  <c r="O1856" i="1"/>
  <c r="AD1856" i="1"/>
  <c r="AE1856" i="1"/>
  <c r="AE1790" i="1"/>
  <c r="AD1790" i="1"/>
  <c r="O1790" i="1"/>
  <c r="M1790" i="1"/>
  <c r="L1790" i="1"/>
  <c r="AG1790" i="1"/>
  <c r="AE1522" i="1"/>
  <c r="AD1522" i="1"/>
  <c r="O1522" i="1"/>
  <c r="M1522" i="1"/>
  <c r="L1522" i="1"/>
  <c r="AE1266" i="1"/>
  <c r="AD1266" i="1"/>
  <c r="L1518" i="1"/>
  <c r="M1518" i="1"/>
  <c r="O1518" i="1"/>
  <c r="AD1518" i="1"/>
  <c r="AE1518" i="1"/>
  <c r="Q1740" i="1"/>
  <c r="AG1740" i="1"/>
  <c r="L1740" i="1"/>
  <c r="M1740" i="1"/>
  <c r="O1740" i="1"/>
  <c r="AE1740" i="1"/>
  <c r="AD1740" i="1"/>
  <c r="AE1397" i="1"/>
  <c r="AD1397" i="1"/>
  <c r="O1397" i="1"/>
  <c r="M1397" i="1"/>
  <c r="L1397" i="1"/>
  <c r="O1346" i="1"/>
  <c r="AG1346" i="1"/>
  <c r="AE1297" i="1"/>
  <c r="AD1297" i="1"/>
  <c r="O1297" i="1"/>
  <c r="M1297" i="1"/>
  <c r="L1297" i="1"/>
  <c r="L1294" i="1"/>
  <c r="M1294" i="1"/>
  <c r="O1294" i="1"/>
  <c r="AD1294" i="1"/>
  <c r="AE1294" i="1"/>
  <c r="I1581" i="1"/>
  <c r="L1865" i="1"/>
  <c r="M1865" i="1"/>
  <c r="O1865" i="1"/>
  <c r="AD1865" i="1"/>
  <c r="AE1865" i="1"/>
  <c r="AG862" i="1"/>
  <c r="L862" i="1"/>
  <c r="M862" i="1"/>
  <c r="O862" i="1"/>
  <c r="AE862" i="1"/>
  <c r="AD862" i="1"/>
  <c r="AG1974" i="1"/>
  <c r="L1974" i="1"/>
  <c r="M1974" i="1"/>
  <c r="O1974" i="1"/>
  <c r="AE1974" i="1"/>
  <c r="AD1974" i="1"/>
  <c r="I2580" i="1"/>
  <c r="O761" i="1"/>
  <c r="L761" i="1"/>
  <c r="M761" i="1"/>
  <c r="S761" i="1"/>
  <c r="AD761" i="1"/>
  <c r="AE761" i="1"/>
  <c r="O554" i="1"/>
  <c r="L554" i="1"/>
  <c r="M554" i="1"/>
  <c r="S554" i="1"/>
  <c r="AD554" i="1"/>
  <c r="AE554" i="1"/>
  <c r="O11" i="1"/>
  <c r="O10" i="1"/>
  <c r="O154" i="1"/>
  <c r="O153" i="1"/>
  <c r="O858" i="1"/>
  <c r="O1971" i="1"/>
  <c r="O1970" i="1"/>
  <c r="O516" i="1"/>
  <c r="S542" i="1"/>
  <c r="S543" i="1"/>
  <c r="S544" i="1"/>
  <c r="S546" i="1"/>
  <c r="L542" i="1"/>
  <c r="M542" i="1"/>
  <c r="O542" i="1"/>
  <c r="L543" i="1"/>
  <c r="M543" i="1"/>
  <c r="O543" i="1"/>
  <c r="L544" i="1"/>
  <c r="M544" i="1"/>
  <c r="O544" i="1"/>
  <c r="O2618" i="1"/>
  <c r="O2620" i="1"/>
  <c r="O372" i="1"/>
  <c r="O751" i="1"/>
  <c r="O753" i="1"/>
  <c r="O754" i="1"/>
  <c r="O755" i="1"/>
  <c r="O756" i="1"/>
  <c r="J1844" i="1" l="1"/>
  <c r="AG1844" i="1"/>
  <c r="J1518" i="1"/>
  <c r="AG1518" i="1"/>
  <c r="J1841" i="1"/>
  <c r="AG1841" i="1"/>
  <c r="J1843" i="1"/>
  <c r="AG1843" i="1"/>
  <c r="J1842" i="1"/>
  <c r="AG1842" i="1"/>
  <c r="J1397" i="1"/>
  <c r="AG1397" i="1"/>
  <c r="J1865" i="1"/>
  <c r="AG1865" i="1"/>
  <c r="J1294" i="1"/>
  <c r="AG1294" i="1"/>
  <c r="J1522" i="1"/>
  <c r="AG1522" i="1"/>
  <c r="J761" i="1"/>
  <c r="AG761" i="1"/>
  <c r="AG1297" i="1"/>
  <c r="J554" i="1"/>
  <c r="AG554" i="1"/>
  <c r="J1382" i="1"/>
  <c r="AG1382" i="1"/>
  <c r="J1468" i="1"/>
  <c r="AG1468" i="1"/>
  <c r="J1856" i="1"/>
  <c r="J1790" i="1"/>
  <c r="J1740" i="1"/>
  <c r="J862" i="1"/>
  <c r="J1974" i="1"/>
  <c r="I1338" i="1" l="1"/>
  <c r="AG1340" i="1"/>
  <c r="L1340" i="1"/>
  <c r="M1340" i="1"/>
  <c r="O1340" i="1"/>
  <c r="AD1340" i="1"/>
  <c r="AE1340" i="1"/>
  <c r="L1783" i="1"/>
  <c r="M1783" i="1"/>
  <c r="O1783" i="1"/>
  <c r="AE1783" i="1"/>
  <c r="AD1783" i="1"/>
  <c r="J516" i="1"/>
  <c r="L516" i="1"/>
  <c r="M516" i="1"/>
  <c r="S516" i="1"/>
  <c r="AD516" i="1"/>
  <c r="AE516" i="1"/>
  <c r="I861" i="1"/>
  <c r="I1973" i="1"/>
  <c r="AG2579" i="1"/>
  <c r="L2579" i="1"/>
  <c r="M2579" i="1"/>
  <c r="O2579" i="1"/>
  <c r="S2579" i="1"/>
  <c r="AD2579" i="1"/>
  <c r="AE2579" i="1"/>
  <c r="L864" i="1"/>
  <c r="M864" i="1"/>
  <c r="O864" i="1"/>
  <c r="AD864" i="1"/>
  <c r="AE864" i="1"/>
  <c r="I756" i="1"/>
  <c r="AG756" i="1"/>
  <c r="L756" i="1"/>
  <c r="M756" i="1"/>
  <c r="AD756" i="1"/>
  <c r="AE756" i="1"/>
  <c r="L755" i="1"/>
  <c r="M755" i="1"/>
  <c r="AD755" i="1"/>
  <c r="AE755" i="1"/>
  <c r="AG858" i="1"/>
  <c r="L858" i="1"/>
  <c r="M858" i="1"/>
  <c r="AD858" i="1"/>
  <c r="AE858" i="1"/>
  <c r="I2578" i="1"/>
  <c r="I1972" i="1"/>
  <c r="AG1971" i="1"/>
  <c r="L1971" i="1"/>
  <c r="M1971" i="1"/>
  <c r="S1971" i="1"/>
  <c r="AD1971" i="1"/>
  <c r="AE1971" i="1"/>
  <c r="S2259" i="1"/>
  <c r="L2577" i="1"/>
  <c r="M2577" i="1"/>
  <c r="O2577" i="1"/>
  <c r="S2577" i="1"/>
  <c r="AD2577" i="1"/>
  <c r="AE2577" i="1"/>
  <c r="AG857" i="1"/>
  <c r="L857" i="1"/>
  <c r="M857" i="1"/>
  <c r="O857" i="1"/>
  <c r="AD857" i="1"/>
  <c r="AE857" i="1"/>
  <c r="L1970" i="1"/>
  <c r="M1970" i="1"/>
  <c r="S1970" i="1"/>
  <c r="AD1970" i="1"/>
  <c r="AE1970" i="1"/>
  <c r="AE396" i="1"/>
  <c r="AD396" i="1"/>
  <c r="S396" i="1"/>
  <c r="M396" i="1"/>
  <c r="L396" i="1"/>
  <c r="AG396" i="1"/>
  <c r="AG372" i="1"/>
  <c r="AE372" i="1"/>
  <c r="AD372" i="1"/>
  <c r="M372" i="1"/>
  <c r="L372" i="1"/>
  <c r="AG371" i="1"/>
  <c r="L371" i="1"/>
  <c r="M371" i="1"/>
  <c r="O371" i="1"/>
  <c r="AE371" i="1"/>
  <c r="AD371" i="1"/>
  <c r="I856" i="1"/>
  <c r="I2576" i="1"/>
  <c r="AG2259" i="1"/>
  <c r="L2259" i="1"/>
  <c r="M2259" i="1"/>
  <c r="O2259" i="1"/>
  <c r="AE2259" i="1"/>
  <c r="AD2259" i="1"/>
  <c r="J864" i="1" l="1"/>
  <c r="AG864" i="1"/>
  <c r="J2577" i="1"/>
  <c r="AG2577" i="1"/>
  <c r="J1970" i="1"/>
  <c r="AG1970" i="1"/>
  <c r="J755" i="1"/>
  <c r="AG755" i="1"/>
  <c r="J1783" i="1"/>
  <c r="AG1783" i="1"/>
  <c r="J858" i="1"/>
  <c r="J1971" i="1"/>
  <c r="J2579" i="1"/>
  <c r="J1340" i="1"/>
  <c r="J756" i="1"/>
  <c r="J857" i="1"/>
  <c r="J396" i="1"/>
  <c r="J372" i="1"/>
  <c r="J371" i="1"/>
  <c r="J2259" i="1"/>
  <c r="I2574" i="1" l="1"/>
  <c r="I2575" i="1"/>
  <c r="L545" i="1"/>
  <c r="M545" i="1"/>
  <c r="O545" i="1"/>
  <c r="S545" i="1"/>
  <c r="AD545" i="1"/>
  <c r="AE545" i="1"/>
  <c r="L725" i="1"/>
  <c r="M725" i="1"/>
  <c r="O725" i="1"/>
  <c r="AD725" i="1"/>
  <c r="AE725" i="1"/>
  <c r="I1968" i="1"/>
  <c r="L1368" i="1"/>
  <c r="M1368" i="1"/>
  <c r="O1368" i="1"/>
  <c r="AD1368" i="1"/>
  <c r="AE1368" i="1"/>
  <c r="I1265" i="1"/>
  <c r="L1869" i="1"/>
  <c r="M1869" i="1"/>
  <c r="O1869" i="1"/>
  <c r="AD1869" i="1"/>
  <c r="AE1869" i="1"/>
  <c r="L1761" i="1"/>
  <c r="M1761" i="1"/>
  <c r="O1761" i="1"/>
  <c r="AD1761" i="1"/>
  <c r="AE1761" i="1"/>
  <c r="AG1521" i="1"/>
  <c r="L1521" i="1"/>
  <c r="M1521" i="1"/>
  <c r="O1521" i="1"/>
  <c r="AD1521" i="1"/>
  <c r="AE1521" i="1"/>
  <c r="AG1396" i="1"/>
  <c r="L1396" i="1"/>
  <c r="M1396" i="1"/>
  <c r="O1396" i="1"/>
  <c r="AD1396" i="1"/>
  <c r="AE1396" i="1"/>
  <c r="AG1442" i="1"/>
  <c r="L1442" i="1"/>
  <c r="M1442" i="1"/>
  <c r="O1442" i="1"/>
  <c r="S1442" i="1"/>
  <c r="AE1442" i="1"/>
  <c r="L1405" i="1"/>
  <c r="M1405" i="1"/>
  <c r="O1405" i="1"/>
  <c r="S1405" i="1"/>
  <c r="AD1405" i="1"/>
  <c r="AE1405" i="1"/>
  <c r="AG1337" i="1"/>
  <c r="L1337" i="1"/>
  <c r="M1337" i="1"/>
  <c r="O1337" i="1"/>
  <c r="AD1337" i="1"/>
  <c r="AE1337" i="1"/>
  <c r="L546" i="1"/>
  <c r="M546" i="1"/>
  <c r="O546" i="1"/>
  <c r="AE546" i="1"/>
  <c r="AD546" i="1"/>
  <c r="J1761" i="1" l="1"/>
  <c r="AG1761" i="1"/>
  <c r="J1405" i="1"/>
  <c r="AG1405" i="1"/>
  <c r="J546" i="1"/>
  <c r="AG546" i="1"/>
  <c r="J545" i="1"/>
  <c r="AG545" i="1"/>
  <c r="J1869" i="1"/>
  <c r="AG1869" i="1"/>
  <c r="J1368" i="1"/>
  <c r="AG1368" i="1"/>
  <c r="J725" i="1"/>
  <c r="AG725" i="1"/>
  <c r="J1337" i="1"/>
  <c r="J1396" i="1"/>
  <c r="J1442" i="1"/>
  <c r="J1521" i="1"/>
  <c r="AG754" i="1"/>
  <c r="L754" i="1"/>
  <c r="M754" i="1"/>
  <c r="AE754" i="1"/>
  <c r="AD754" i="1"/>
  <c r="AF855" i="1"/>
  <c r="I855" i="1"/>
  <c r="AG1969" i="1"/>
  <c r="L1969" i="1"/>
  <c r="M1969" i="1"/>
  <c r="O1969" i="1"/>
  <c r="AE1969" i="1"/>
  <c r="AD1969" i="1"/>
  <c r="AG2573" i="1"/>
  <c r="L2573" i="1"/>
  <c r="M2573" i="1"/>
  <c r="O2573" i="1"/>
  <c r="AE2573" i="1"/>
  <c r="AD2573" i="1"/>
  <c r="L1121" i="1"/>
  <c r="M1121" i="1"/>
  <c r="S1121" i="1"/>
  <c r="AD1121" i="1"/>
  <c r="AE1121" i="1"/>
  <c r="L958" i="1"/>
  <c r="M958" i="1"/>
  <c r="S958" i="1"/>
  <c r="AD958" i="1"/>
  <c r="AE958" i="1"/>
  <c r="I2253" i="1"/>
  <c r="AG752" i="1"/>
  <c r="L752" i="1"/>
  <c r="M752" i="1"/>
  <c r="O752" i="1"/>
  <c r="AD752" i="1"/>
  <c r="AE752" i="1"/>
  <c r="I724" i="1"/>
  <c r="AG722" i="1"/>
  <c r="L722" i="1"/>
  <c r="M722" i="1"/>
  <c r="O722" i="1"/>
  <c r="AD722" i="1"/>
  <c r="AE722" i="1"/>
  <c r="L2464" i="1"/>
  <c r="M2464" i="1"/>
  <c r="O2464" i="1"/>
  <c r="AD2464" i="1"/>
  <c r="AE2464" i="1"/>
  <c r="L10" i="1"/>
  <c r="M10" i="1"/>
  <c r="AD10" i="1"/>
  <c r="AE10" i="1"/>
  <c r="L2620" i="1"/>
  <c r="M2620" i="1"/>
  <c r="S2620" i="1"/>
  <c r="AD2620" i="1"/>
  <c r="AE2620" i="1"/>
  <c r="L720" i="1"/>
  <c r="M720" i="1"/>
  <c r="O720" i="1"/>
  <c r="AD720" i="1"/>
  <c r="AE720" i="1"/>
  <c r="L2618" i="1"/>
  <c r="M2618" i="1"/>
  <c r="S2618" i="1"/>
  <c r="AD2618" i="1"/>
  <c r="AE2618" i="1"/>
  <c r="I53" i="1"/>
  <c r="I1524" i="1"/>
  <c r="L694" i="1"/>
  <c r="M694" i="1"/>
  <c r="O694" i="1"/>
  <c r="S694" i="1"/>
  <c r="AD694" i="1"/>
  <c r="AE694" i="1"/>
  <c r="AG2621" i="1"/>
  <c r="L2621" i="1"/>
  <c r="M2621" i="1"/>
  <c r="S2621" i="1"/>
  <c r="AD2621" i="1"/>
  <c r="AE2621" i="1"/>
  <c r="L153" i="1"/>
  <c r="M153" i="1"/>
  <c r="AD153" i="1"/>
  <c r="AE153" i="1"/>
  <c r="AG853" i="1"/>
  <c r="L853" i="1"/>
  <c r="M853" i="1"/>
  <c r="O853" i="1"/>
  <c r="AD853" i="1"/>
  <c r="AE853" i="1"/>
  <c r="O1441" i="1"/>
  <c r="O1404" i="1"/>
  <c r="I280" i="1"/>
  <c r="L279" i="1"/>
  <c r="M279" i="1"/>
  <c r="O279" i="1"/>
  <c r="S279" i="1"/>
  <c r="AD279" i="1"/>
  <c r="AE279" i="1"/>
  <c r="L370" i="1"/>
  <c r="M370" i="1"/>
  <c r="O370" i="1"/>
  <c r="AD370" i="1"/>
  <c r="AE370" i="1"/>
  <c r="L2570" i="1"/>
  <c r="M2570" i="1"/>
  <c r="O2570" i="1"/>
  <c r="S2570" i="1"/>
  <c r="AD2570" i="1"/>
  <c r="AE2570" i="1"/>
  <c r="AD544" i="1"/>
  <c r="AE544" i="1"/>
  <c r="I1967" i="1"/>
  <c r="I2572" i="1"/>
  <c r="L2571" i="1"/>
  <c r="M2571" i="1"/>
  <c r="O2571" i="1"/>
  <c r="AD2571" i="1"/>
  <c r="AE2571" i="1"/>
  <c r="AG543" i="1"/>
  <c r="AD543" i="1"/>
  <c r="AE543" i="1"/>
  <c r="AD51" i="1"/>
  <c r="AE51" i="1"/>
  <c r="AL2" i="1"/>
  <c r="AG181" i="1"/>
  <c r="J2571" i="1" l="1"/>
  <c r="AG2571" i="1"/>
  <c r="J569" i="1"/>
  <c r="AG569" i="1"/>
  <c r="J2618" i="1"/>
  <c r="AG2618" i="1"/>
  <c r="J958" i="1"/>
  <c r="AG958" i="1"/>
  <c r="J279" i="1"/>
  <c r="AG279" i="1"/>
  <c r="J370" i="1"/>
  <c r="AG370" i="1"/>
  <c r="J153" i="1"/>
  <c r="AG153" i="1"/>
  <c r="J2464" i="1"/>
  <c r="AG2464" i="1"/>
  <c r="J2570" i="1"/>
  <c r="AG2570" i="1"/>
  <c r="J10" i="1"/>
  <c r="AG10" i="1"/>
  <c r="J544" i="1"/>
  <c r="AG544" i="1"/>
  <c r="J2620" i="1"/>
  <c r="AG2620" i="1"/>
  <c r="J1121" i="1"/>
  <c r="AG1121" i="1"/>
  <c r="J694" i="1"/>
  <c r="AG694" i="1"/>
  <c r="J720" i="1"/>
  <c r="AG720" i="1"/>
  <c r="J752" i="1"/>
  <c r="J754" i="1"/>
  <c r="J543" i="1"/>
  <c r="J2573" i="1"/>
  <c r="J1969" i="1"/>
  <c r="J2621" i="1"/>
  <c r="J853" i="1"/>
  <c r="J722" i="1"/>
  <c r="I1520" i="1"/>
  <c r="AG1404" i="1" l="1"/>
  <c r="AE1404" i="1"/>
  <c r="AD1404" i="1"/>
  <c r="S1404" i="1"/>
  <c r="AE1441" i="1"/>
  <c r="AD1441" i="1"/>
  <c r="S1441" i="1"/>
  <c r="M1441" i="1"/>
  <c r="L1441" i="1"/>
  <c r="I1336" i="1"/>
  <c r="AG571" i="1"/>
  <c r="L571" i="1"/>
  <c r="M571" i="1"/>
  <c r="AD571" i="1"/>
  <c r="AE571" i="1"/>
  <c r="I52" i="1"/>
  <c r="AG53" i="1"/>
  <c r="AD2619" i="1"/>
  <c r="AE2619" i="1"/>
  <c r="AG2619" i="1"/>
  <c r="L2619" i="1"/>
  <c r="M2619" i="1"/>
  <c r="S2619" i="1"/>
  <c r="L154" i="1"/>
  <c r="M154" i="1"/>
  <c r="AD154" i="1"/>
  <c r="AE154" i="1"/>
  <c r="L11" i="1"/>
  <c r="M11" i="1"/>
  <c r="AD11" i="1"/>
  <c r="AE11" i="1"/>
  <c r="L1580" i="1"/>
  <c r="M1580" i="1"/>
  <c r="O1580" i="1"/>
  <c r="AD1580" i="1"/>
  <c r="AE1580" i="1"/>
  <c r="J1667" i="1"/>
  <c r="L1667" i="1"/>
  <c r="M1667" i="1"/>
  <c r="O1667" i="1"/>
  <c r="AD1667" i="1"/>
  <c r="AE1667" i="1"/>
  <c r="AG542" i="1"/>
  <c r="AD542" i="1"/>
  <c r="AE542" i="1"/>
  <c r="AG723" i="1"/>
  <c r="L723" i="1"/>
  <c r="M723" i="1"/>
  <c r="O723" i="1"/>
  <c r="AD723" i="1"/>
  <c r="AE723" i="1"/>
  <c r="L2465" i="1"/>
  <c r="M2465" i="1"/>
  <c r="O2465" i="1"/>
  <c r="AD2465" i="1"/>
  <c r="AE2465" i="1"/>
  <c r="AG854" i="1"/>
  <c r="L854" i="1"/>
  <c r="M854" i="1"/>
  <c r="O854" i="1"/>
  <c r="AD854" i="1"/>
  <c r="AE854" i="1"/>
  <c r="AG753" i="1"/>
  <c r="L753" i="1"/>
  <c r="M753" i="1"/>
  <c r="AD753" i="1"/>
  <c r="AE753" i="1"/>
  <c r="AG751" i="1"/>
  <c r="L751" i="1"/>
  <c r="M751" i="1"/>
  <c r="AD751" i="1"/>
  <c r="AE751" i="1"/>
  <c r="AG2258" i="1"/>
  <c r="L2258" i="1"/>
  <c r="M2258" i="1"/>
  <c r="O2258" i="1"/>
  <c r="S2258" i="1"/>
  <c r="AD2258" i="1"/>
  <c r="AE2258" i="1"/>
  <c r="AG2257" i="1"/>
  <c r="L2257" i="1"/>
  <c r="M2257" i="1"/>
  <c r="O2257" i="1"/>
  <c r="S2257" i="1"/>
  <c r="AD2257" i="1"/>
  <c r="AE2257" i="1"/>
  <c r="I2256" i="1"/>
  <c r="AG2255" i="1"/>
  <c r="L2255" i="1"/>
  <c r="M2255" i="1"/>
  <c r="O2255" i="1"/>
  <c r="S2255" i="1"/>
  <c r="AD2255" i="1"/>
  <c r="AE2255" i="1"/>
  <c r="L2364" i="1"/>
  <c r="M2364" i="1"/>
  <c r="O2364" i="1"/>
  <c r="S2364" i="1"/>
  <c r="AD2364" i="1"/>
  <c r="AE2364" i="1"/>
  <c r="L2463" i="1"/>
  <c r="M2463" i="1"/>
  <c r="O2463" i="1"/>
  <c r="AD2463" i="1"/>
  <c r="AE2463" i="1"/>
  <c r="I2462" i="1"/>
  <c r="I2461" i="1"/>
  <c r="AG2468" i="1"/>
  <c r="L2468" i="1"/>
  <c r="M2468" i="1"/>
  <c r="O2468" i="1"/>
  <c r="S2468" i="1"/>
  <c r="AD2468" i="1"/>
  <c r="AE2468" i="1"/>
  <c r="L512" i="1"/>
  <c r="M512" i="1"/>
  <c r="O512" i="1"/>
  <c r="S512" i="1"/>
  <c r="AD512" i="1"/>
  <c r="AE512" i="1"/>
  <c r="L511" i="1"/>
  <c r="M511" i="1"/>
  <c r="O511" i="1"/>
  <c r="S511" i="1"/>
  <c r="AD511" i="1"/>
  <c r="AE511" i="1"/>
  <c r="AF1718" i="1"/>
  <c r="AG1463" i="1"/>
  <c r="L1463" i="1"/>
  <c r="M1463" i="1"/>
  <c r="O1463" i="1"/>
  <c r="AD1463" i="1"/>
  <c r="AE1463" i="1"/>
  <c r="L1782" i="1"/>
  <c r="M1782" i="1"/>
  <c r="O1782" i="1"/>
  <c r="AD1782" i="1"/>
  <c r="AE1782" i="1"/>
  <c r="L1335" i="1"/>
  <c r="M1335" i="1"/>
  <c r="O1335" i="1"/>
  <c r="AD1335" i="1"/>
  <c r="AE1335" i="1"/>
  <c r="L1367" i="1"/>
  <c r="M1367" i="1"/>
  <c r="O1367" i="1"/>
  <c r="AD1367" i="1"/>
  <c r="AE1367" i="1"/>
  <c r="AG1264" i="1"/>
  <c r="L1264" i="1"/>
  <c r="M1264" i="1"/>
  <c r="O1264" i="1"/>
  <c r="AD1264" i="1"/>
  <c r="AE1264" i="1"/>
  <c r="AG1804" i="1"/>
  <c r="L1804" i="1"/>
  <c r="M1804" i="1"/>
  <c r="O1804" i="1"/>
  <c r="AD1804" i="1"/>
  <c r="AE1804" i="1"/>
  <c r="AG438" i="1"/>
  <c r="L438" i="1"/>
  <c r="M438" i="1"/>
  <c r="O438" i="1"/>
  <c r="AD438" i="1"/>
  <c r="AE438" i="1"/>
  <c r="L1217" i="1"/>
  <c r="M1217" i="1"/>
  <c r="O1217" i="1"/>
  <c r="AD1217" i="1"/>
  <c r="AE1217" i="1"/>
  <c r="L2252" i="1"/>
  <c r="M2252" i="1"/>
  <c r="O2252" i="1"/>
  <c r="AD2252" i="1"/>
  <c r="AE2252" i="1"/>
  <c r="AG2113" i="1"/>
  <c r="L2113" i="1"/>
  <c r="M2113" i="1"/>
  <c r="O2113" i="1"/>
  <c r="S2113" i="1"/>
  <c r="AD2113" i="1"/>
  <c r="AE2113" i="1"/>
  <c r="AG2251" i="1"/>
  <c r="L2251" i="1"/>
  <c r="M2251" i="1"/>
  <c r="O2251" i="1"/>
  <c r="AD2251" i="1"/>
  <c r="AE2251" i="1"/>
  <c r="AG2467" i="1"/>
  <c r="L2467" i="1"/>
  <c r="M2467" i="1"/>
  <c r="O2467" i="1"/>
  <c r="S2467" i="1"/>
  <c r="AD2467" i="1"/>
  <c r="AE2467" i="1"/>
  <c r="AG1966" i="1"/>
  <c r="L1966" i="1"/>
  <c r="M1966" i="1"/>
  <c r="O1966" i="1"/>
  <c r="AD1966" i="1"/>
  <c r="AE1966" i="1"/>
  <c r="AG437" i="1"/>
  <c r="L437" i="1"/>
  <c r="M437" i="1"/>
  <c r="O437" i="1"/>
  <c r="AD437" i="1"/>
  <c r="AE437" i="1"/>
  <c r="I481" i="1"/>
  <c r="S481" i="1" s="1"/>
  <c r="AG481" i="1"/>
  <c r="L481" i="1"/>
  <c r="M481" i="1"/>
  <c r="O481" i="1"/>
  <c r="AD481" i="1"/>
  <c r="AE481" i="1"/>
  <c r="AG439" i="1"/>
  <c r="L439" i="1"/>
  <c r="M439" i="1"/>
  <c r="O439" i="1"/>
  <c r="AD439" i="1"/>
  <c r="AE439" i="1"/>
  <c r="L479" i="1"/>
  <c r="M479" i="1"/>
  <c r="O479" i="1"/>
  <c r="S479" i="1"/>
  <c r="AD479" i="1"/>
  <c r="AE479" i="1"/>
  <c r="AG2250" i="1"/>
  <c r="L2250" i="1"/>
  <c r="M2250" i="1"/>
  <c r="O2250" i="1"/>
  <c r="AD2250" i="1"/>
  <c r="AE2250" i="1"/>
  <c r="AG2466" i="1"/>
  <c r="L2466" i="1"/>
  <c r="M2466" i="1"/>
  <c r="O2466" i="1"/>
  <c r="S2466" i="1"/>
  <c r="AD2466" i="1"/>
  <c r="AE2466" i="1"/>
  <c r="AG1965" i="1"/>
  <c r="L1965" i="1"/>
  <c r="M1965" i="1"/>
  <c r="O1965" i="1"/>
  <c r="AD1965" i="1"/>
  <c r="AE1965" i="1"/>
  <c r="AE478" i="1"/>
  <c r="AD478" i="1"/>
  <c r="O478" i="1"/>
  <c r="M478" i="1"/>
  <c r="L478" i="1"/>
  <c r="AG478" i="1"/>
  <c r="O435" i="1"/>
  <c r="M435" i="1"/>
  <c r="L435" i="1"/>
  <c r="AG435" i="1"/>
  <c r="AD435" i="1"/>
  <c r="AE435" i="1"/>
  <c r="AG428" i="1"/>
  <c r="L428" i="1"/>
  <c r="M428" i="1"/>
  <c r="O428" i="1"/>
  <c r="AD428" i="1"/>
  <c r="AE428" i="1"/>
  <c r="AF1942" i="1"/>
  <c r="AG1942" i="1" s="1"/>
  <c r="I1942" i="1"/>
  <c r="L1944" i="1"/>
  <c r="M1944" i="1"/>
  <c r="O1944" i="1"/>
  <c r="AE1944" i="1"/>
  <c r="AD1944" i="1"/>
  <c r="I151" i="1"/>
  <c r="AG151" i="1"/>
  <c r="L151" i="1"/>
  <c r="M151" i="1"/>
  <c r="AE151" i="1"/>
  <c r="AD151" i="1"/>
  <c r="L1652" i="1"/>
  <c r="M1652" i="1"/>
  <c r="O1652" i="1"/>
  <c r="AG1653" i="1"/>
  <c r="L1653" i="1"/>
  <c r="M1653" i="1"/>
  <c r="O1653" i="1"/>
  <c r="AE1652" i="1"/>
  <c r="AE1653" i="1"/>
  <c r="AD1652" i="1"/>
  <c r="AD1653" i="1"/>
  <c r="L1867" i="1"/>
  <c r="M1867" i="1"/>
  <c r="O1867" i="1"/>
  <c r="AE1867" i="1"/>
  <c r="AD1867" i="1"/>
  <c r="J1782" i="1" l="1"/>
  <c r="AG1782" i="1"/>
  <c r="J1217" i="1"/>
  <c r="AG1217" i="1"/>
  <c r="J2364" i="1"/>
  <c r="AG2364" i="1"/>
  <c r="J1335" i="1"/>
  <c r="AG1335" i="1"/>
  <c r="J1867" i="1"/>
  <c r="AG1867" i="1"/>
  <c r="J2463" i="1"/>
  <c r="AG2463" i="1"/>
  <c r="J1580" i="1"/>
  <c r="AG1580" i="1"/>
  <c r="J154" i="1"/>
  <c r="AG154" i="1"/>
  <c r="J2252" i="1"/>
  <c r="AG2252" i="1"/>
  <c r="J1367" i="1"/>
  <c r="AG1367" i="1"/>
  <c r="J512" i="1"/>
  <c r="AG512" i="1"/>
  <c r="J1441" i="1"/>
  <c r="AG1441" i="1"/>
  <c r="J2465" i="1"/>
  <c r="AG2465" i="1"/>
  <c r="J11" i="1"/>
  <c r="AG11" i="1"/>
  <c r="J511" i="1"/>
  <c r="AG511" i="1"/>
  <c r="J1652" i="1"/>
  <c r="AG1652" i="1"/>
  <c r="J479" i="1"/>
  <c r="AG479" i="1"/>
  <c r="J1653" i="1"/>
  <c r="J751" i="1"/>
  <c r="J753" i="1"/>
  <c r="J1404" i="1"/>
  <c r="J2619" i="1"/>
  <c r="J571" i="1"/>
  <c r="J481" i="1"/>
  <c r="J151" i="1"/>
  <c r="J439" i="1"/>
  <c r="J1965" i="1"/>
  <c r="J2467" i="1"/>
  <c r="J2468" i="1"/>
  <c r="J2255" i="1"/>
  <c r="J437" i="1"/>
  <c r="J1966" i="1"/>
  <c r="J2257" i="1"/>
  <c r="J428" i="1"/>
  <c r="J438" i="1"/>
  <c r="J723" i="1"/>
  <c r="J2113" i="1"/>
  <c r="J854" i="1"/>
  <c r="J1804" i="1"/>
  <c r="J542" i="1"/>
  <c r="J2466" i="1"/>
  <c r="J1463" i="1"/>
  <c r="J2250" i="1"/>
  <c r="J2251" i="1"/>
  <c r="J1264" i="1"/>
  <c r="J2258" i="1"/>
  <c r="S478" i="1"/>
  <c r="J478" i="1"/>
  <c r="J435" i="1"/>
  <c r="L1502" i="1"/>
  <c r="M1502" i="1"/>
  <c r="O1502" i="1"/>
  <c r="L1483" i="1"/>
  <c r="M1483" i="1"/>
  <c r="O1483" i="1"/>
  <c r="AD1483" i="1"/>
  <c r="AE1483" i="1"/>
  <c r="AG1467" i="1"/>
  <c r="L1467" i="1"/>
  <c r="M1467" i="1"/>
  <c r="O1467" i="1"/>
  <c r="AD1467" i="1"/>
  <c r="AE1467" i="1"/>
  <c r="AG1471" i="1"/>
  <c r="L1471" i="1"/>
  <c r="M1471" i="1"/>
  <c r="O1471" i="1"/>
  <c r="AD1471" i="1"/>
  <c r="L1448" i="1"/>
  <c r="M1448" i="1"/>
  <c r="O1448" i="1"/>
  <c r="AG1452" i="1"/>
  <c r="L1452" i="1"/>
  <c r="M1452" i="1"/>
  <c r="O1452" i="1"/>
  <c r="AD1452" i="1"/>
  <c r="L1398" i="1"/>
  <c r="M1398" i="1"/>
  <c r="O1398" i="1"/>
  <c r="L1380" i="1"/>
  <c r="M1380" i="1"/>
  <c r="O1380" i="1"/>
  <c r="AG1385" i="1"/>
  <c r="O1385" i="1"/>
  <c r="AD1385" i="1"/>
  <c r="AE1385" i="1"/>
  <c r="AD1380" i="1"/>
  <c r="AE1380" i="1"/>
  <c r="I2092" i="1"/>
  <c r="AF2092" i="1"/>
  <c r="I1753" i="1"/>
  <c r="AF1753" i="1"/>
  <c r="AG434" i="1"/>
  <c r="L434" i="1"/>
  <c r="M434" i="1"/>
  <c r="O434" i="1"/>
  <c r="AD434" i="1"/>
  <c r="AE434" i="1"/>
  <c r="L477" i="1"/>
  <c r="M477" i="1"/>
  <c r="O477" i="1"/>
  <c r="S477" i="1"/>
  <c r="AD477" i="1"/>
  <c r="AE477" i="1"/>
  <c r="L604" i="1"/>
  <c r="M604" i="1"/>
  <c r="O604" i="1"/>
  <c r="S604" i="1"/>
  <c r="AD604" i="1"/>
  <c r="AE604" i="1"/>
  <c r="L432" i="1"/>
  <c r="M432" i="1"/>
  <c r="O432" i="1"/>
  <c r="AD432" i="1"/>
  <c r="AE432" i="1"/>
  <c r="L475" i="1"/>
  <c r="M475" i="1"/>
  <c r="O475" i="1"/>
  <c r="S475" i="1"/>
  <c r="AD475" i="1"/>
  <c r="AE475" i="1"/>
  <c r="AG474" i="1"/>
  <c r="L474" i="1"/>
  <c r="M474" i="1"/>
  <c r="O474" i="1"/>
  <c r="S474" i="1"/>
  <c r="AD474" i="1"/>
  <c r="AE474" i="1"/>
  <c r="L1964" i="1"/>
  <c r="M1964" i="1"/>
  <c r="O1964" i="1"/>
  <c r="AD1964" i="1"/>
  <c r="AE1964" i="1"/>
  <c r="L442" i="1"/>
  <c r="M442" i="1"/>
  <c r="O442" i="1"/>
  <c r="AD442" i="1"/>
  <c r="AE442" i="1"/>
  <c r="O2363" i="1"/>
  <c r="I2362" i="1"/>
  <c r="L2363" i="1"/>
  <c r="M2363" i="1"/>
  <c r="S2363" i="1"/>
  <c r="AD2363" i="1"/>
  <c r="AE2363" i="1"/>
  <c r="AG1832" i="1"/>
  <c r="L1832" i="1"/>
  <c r="M1832" i="1"/>
  <c r="O1832" i="1"/>
  <c r="AD1832" i="1"/>
  <c r="AE1832" i="1"/>
  <c r="AG1852" i="1"/>
  <c r="L1852" i="1"/>
  <c r="M1852" i="1"/>
  <c r="O1852" i="1"/>
  <c r="AD1852" i="1"/>
  <c r="AE1852" i="1"/>
  <c r="AG1334" i="1"/>
  <c r="L1334" i="1"/>
  <c r="M1334" i="1"/>
  <c r="O1334" i="1"/>
  <c r="AD1334" i="1"/>
  <c r="AE1334" i="1"/>
  <c r="L433" i="1"/>
  <c r="M433" i="1"/>
  <c r="O433" i="1"/>
  <c r="AD433" i="1"/>
  <c r="AE433" i="1"/>
  <c r="AG436" i="1"/>
  <c r="L436" i="1"/>
  <c r="M436" i="1"/>
  <c r="O436" i="1"/>
  <c r="AD436" i="1"/>
  <c r="AE436" i="1"/>
  <c r="S470" i="1"/>
  <c r="S471" i="1"/>
  <c r="S472" i="1"/>
  <c r="S473" i="1"/>
  <c r="S476" i="1"/>
  <c r="L476" i="1"/>
  <c r="M476" i="1"/>
  <c r="O476" i="1"/>
  <c r="AD476" i="1"/>
  <c r="AE476" i="1"/>
  <c r="L160" i="1"/>
  <c r="M160" i="1"/>
  <c r="O160" i="1"/>
  <c r="S160" i="1"/>
  <c r="AD160" i="1"/>
  <c r="AE160" i="1"/>
  <c r="L510" i="1"/>
  <c r="M510" i="1"/>
  <c r="O510" i="1"/>
  <c r="S510" i="1"/>
  <c r="AD510" i="1"/>
  <c r="AE510" i="1"/>
  <c r="I443" i="1"/>
  <c r="AG443" i="1"/>
  <c r="L443" i="1"/>
  <c r="M443" i="1"/>
  <c r="O443" i="1"/>
  <c r="AD443" i="1"/>
  <c r="AE443" i="1"/>
  <c r="AE440" i="1"/>
  <c r="AD440" i="1"/>
  <c r="O440" i="1"/>
  <c r="O441" i="1"/>
  <c r="AG440" i="1"/>
  <c r="L440" i="1"/>
  <c r="M440" i="1"/>
  <c r="L441" i="1"/>
  <c r="M441" i="1"/>
  <c r="AD441" i="1"/>
  <c r="AE441" i="1"/>
  <c r="J475" i="1" l="1"/>
  <c r="AG475" i="1"/>
  <c r="J1398" i="1"/>
  <c r="AG1398" i="1"/>
  <c r="J1502" i="1"/>
  <c r="AG1502" i="1"/>
  <c r="J1380" i="1"/>
  <c r="AG1380" i="1"/>
  <c r="J1483" i="1"/>
  <c r="AG1483" i="1"/>
  <c r="J433" i="1"/>
  <c r="AG433" i="1"/>
  <c r="J1964" i="1"/>
  <c r="AG1964" i="1"/>
  <c r="J477" i="1"/>
  <c r="AG477" i="1"/>
  <c r="J441" i="1"/>
  <c r="AG441" i="1"/>
  <c r="J476" i="1"/>
  <c r="AG476" i="1"/>
  <c r="J2363" i="1"/>
  <c r="AG2363" i="1"/>
  <c r="J442" i="1"/>
  <c r="AG442" i="1"/>
  <c r="J604" i="1"/>
  <c r="AG604" i="1"/>
  <c r="J1471" i="1"/>
  <c r="J160" i="1"/>
  <c r="AG160" i="1"/>
  <c r="J1448" i="1"/>
  <c r="J432" i="1"/>
  <c r="AG432" i="1"/>
  <c r="J510" i="1"/>
  <c r="AG510" i="1"/>
  <c r="J474" i="1"/>
  <c r="M1404" i="1"/>
  <c r="L1404" i="1"/>
  <c r="J443" i="1"/>
  <c r="J434" i="1"/>
  <c r="J1334" i="1"/>
  <c r="J1467" i="1"/>
  <c r="J1852" i="1"/>
  <c r="J1832" i="1"/>
  <c r="J436" i="1"/>
  <c r="J1452" i="1"/>
  <c r="J440" i="1"/>
  <c r="AE472" i="1" l="1"/>
  <c r="AD472" i="1"/>
  <c r="O472" i="1"/>
  <c r="O473" i="1"/>
  <c r="L473" i="1"/>
  <c r="M473" i="1"/>
  <c r="AD473" i="1"/>
  <c r="AE473" i="1"/>
  <c r="L472" i="1"/>
  <c r="M472" i="1"/>
  <c r="S480" i="1"/>
  <c r="J473" i="1" l="1"/>
  <c r="AG473" i="1"/>
  <c r="J472" i="1"/>
  <c r="AG472" i="1"/>
  <c r="AG471" i="1"/>
  <c r="L471" i="1"/>
  <c r="M471" i="1"/>
  <c r="O471" i="1"/>
  <c r="AD471" i="1"/>
  <c r="AE471" i="1"/>
  <c r="AG470" i="1"/>
  <c r="L470" i="1"/>
  <c r="M470" i="1"/>
  <c r="O470" i="1"/>
  <c r="AD470" i="1"/>
  <c r="AE470" i="1"/>
  <c r="AG2112" i="1"/>
  <c r="L2112" i="1"/>
  <c r="M2112" i="1"/>
  <c r="O2112" i="1"/>
  <c r="S2112" i="1"/>
  <c r="AD2112" i="1"/>
  <c r="AE2112" i="1"/>
  <c r="AG1963" i="1"/>
  <c r="L1963" i="1"/>
  <c r="M1963" i="1"/>
  <c r="O1963" i="1"/>
  <c r="S1963" i="1"/>
  <c r="AD1963" i="1"/>
  <c r="AE1963" i="1"/>
  <c r="L509" i="1"/>
  <c r="M509" i="1"/>
  <c r="O509" i="1"/>
  <c r="AD509" i="1"/>
  <c r="AE509" i="1"/>
  <c r="AG469" i="1"/>
  <c r="I1216" i="1"/>
  <c r="I427" i="1"/>
  <c r="AG426" i="1"/>
  <c r="L426" i="1"/>
  <c r="M426" i="1"/>
  <c r="O426" i="1"/>
  <c r="AD426" i="1"/>
  <c r="AE426" i="1"/>
  <c r="AG425" i="1"/>
  <c r="L425" i="1"/>
  <c r="M425" i="1"/>
  <c r="O425" i="1"/>
  <c r="AD425" i="1"/>
  <c r="AE425" i="1"/>
  <c r="L469" i="1"/>
  <c r="M469" i="1"/>
  <c r="O469" i="1"/>
  <c r="S469" i="1"/>
  <c r="AD469" i="1"/>
  <c r="AE469" i="1"/>
  <c r="AG424" i="1"/>
  <c r="L424" i="1"/>
  <c r="M424" i="1"/>
  <c r="O424" i="1"/>
  <c r="AD424" i="1"/>
  <c r="AE424" i="1"/>
  <c r="AG1215" i="1"/>
  <c r="L1215" i="1"/>
  <c r="M1215" i="1"/>
  <c r="O1215" i="1"/>
  <c r="S1215" i="1"/>
  <c r="AD1215" i="1"/>
  <c r="AE1215" i="1"/>
  <c r="AE423" i="1"/>
  <c r="L423" i="1"/>
  <c r="M423" i="1"/>
  <c r="O423" i="1"/>
  <c r="AD423" i="1"/>
  <c r="L1828" i="1"/>
  <c r="L1829" i="1"/>
  <c r="M1828" i="1"/>
  <c r="O1828" i="1"/>
  <c r="AD1828" i="1"/>
  <c r="AE1828" i="1"/>
  <c r="L1760" i="1"/>
  <c r="M1760" i="1"/>
  <c r="O1760" i="1"/>
  <c r="AD1760" i="1"/>
  <c r="AE1760" i="1"/>
  <c r="O1394" i="1"/>
  <c r="AG1394" i="1"/>
  <c r="L1394" i="1"/>
  <c r="M1394" i="1"/>
  <c r="AD1394" i="1"/>
  <c r="AE1394" i="1"/>
  <c r="L1366" i="1"/>
  <c r="M1366" i="1"/>
  <c r="O1366" i="1"/>
  <c r="AD1366" i="1"/>
  <c r="AE1366" i="1"/>
  <c r="L1446" i="1"/>
  <c r="M1446" i="1"/>
  <c r="O1446" i="1"/>
  <c r="AE1446" i="1"/>
  <c r="AG1214" i="1"/>
  <c r="L1214" i="1"/>
  <c r="M1214" i="1"/>
  <c r="O1214" i="1"/>
  <c r="AD1214" i="1"/>
  <c r="AE1214" i="1"/>
  <c r="AF1431" i="1"/>
  <c r="AF1432" i="1"/>
  <c r="AF1436" i="1"/>
  <c r="O1765" i="1"/>
  <c r="O514" i="1"/>
  <c r="L514" i="1"/>
  <c r="M514" i="1"/>
  <c r="S514" i="1"/>
  <c r="AD514" i="1"/>
  <c r="AE514" i="1"/>
  <c r="O480" i="1"/>
  <c r="L480" i="1"/>
  <c r="M480" i="1"/>
  <c r="AD480" i="1"/>
  <c r="AE480" i="1"/>
  <c r="J1828" i="1" l="1"/>
  <c r="AG1828" i="1"/>
  <c r="J1760" i="1"/>
  <c r="AG1760" i="1"/>
  <c r="J514" i="1"/>
  <c r="AG514" i="1"/>
  <c r="J480" i="1"/>
  <c r="AG480" i="1"/>
  <c r="J1366" i="1"/>
  <c r="AG1366" i="1"/>
  <c r="J509" i="1"/>
  <c r="AG509" i="1"/>
  <c r="J1446" i="1"/>
  <c r="J423" i="1"/>
  <c r="AG423" i="1"/>
  <c r="J471" i="1"/>
  <c r="J470" i="1"/>
  <c r="J424" i="1"/>
  <c r="J469" i="1"/>
  <c r="J1215" i="1"/>
  <c r="J1963" i="1"/>
  <c r="J2112" i="1"/>
  <c r="J425" i="1"/>
  <c r="J426" i="1"/>
  <c r="J1394" i="1"/>
  <c r="J1214" i="1"/>
  <c r="L421" i="1" l="1"/>
  <c r="M421" i="1"/>
  <c r="O421" i="1"/>
  <c r="L422" i="1"/>
  <c r="M422" i="1"/>
  <c r="O422" i="1"/>
  <c r="AE422" i="1"/>
  <c r="AD422" i="1"/>
  <c r="J422" i="1" l="1"/>
  <c r="AG422" i="1"/>
  <c r="J421" i="1"/>
  <c r="AG421" i="1"/>
  <c r="O693" i="1"/>
  <c r="O696" i="1"/>
  <c r="L693" i="1"/>
  <c r="M693" i="1"/>
  <c r="S693" i="1"/>
  <c r="AD693" i="1"/>
  <c r="AE693" i="1"/>
  <c r="L696" i="1"/>
  <c r="M696" i="1"/>
  <c r="S696" i="1"/>
  <c r="AD696" i="1"/>
  <c r="AE696" i="1"/>
  <c r="O750" i="1"/>
  <c r="L750" i="1"/>
  <c r="M750" i="1"/>
  <c r="S750" i="1"/>
  <c r="AD750" i="1"/>
  <c r="AE750" i="1"/>
  <c r="O724" i="1"/>
  <c r="L724" i="1"/>
  <c r="M724" i="1"/>
  <c r="S724" i="1"/>
  <c r="AD724" i="1"/>
  <c r="AE724" i="1"/>
  <c r="O611" i="1"/>
  <c r="L611" i="1"/>
  <c r="M611" i="1"/>
  <c r="S611" i="1"/>
  <c r="AD611" i="1"/>
  <c r="AE611" i="1"/>
  <c r="O605" i="1"/>
  <c r="AG605" i="1"/>
  <c r="L605" i="1"/>
  <c r="M605" i="1"/>
  <c r="S605" i="1"/>
  <c r="AD605" i="1"/>
  <c r="AE605" i="1"/>
  <c r="O2626" i="1"/>
  <c r="L2626" i="1"/>
  <c r="M2626" i="1"/>
  <c r="S2626" i="1"/>
  <c r="AD2626" i="1"/>
  <c r="AE2626" i="1"/>
  <c r="J693" i="1" l="1"/>
  <c r="AG693" i="1"/>
  <c r="J611" i="1"/>
  <c r="AG611" i="1"/>
  <c r="J696" i="1"/>
  <c r="AG696" i="1"/>
  <c r="J750" i="1"/>
  <c r="AG750" i="1"/>
  <c r="J2626" i="1"/>
  <c r="AG2626" i="1"/>
  <c r="J724" i="1"/>
  <c r="AG724" i="1"/>
  <c r="J605" i="1"/>
  <c r="O373" i="1" l="1"/>
  <c r="O375" i="1"/>
  <c r="O393" i="1"/>
  <c r="O394" i="1"/>
  <c r="L373" i="1"/>
  <c r="L375" i="1"/>
  <c r="M373" i="1"/>
  <c r="M375" i="1"/>
  <c r="AD373" i="1"/>
  <c r="AD375" i="1"/>
  <c r="AE373" i="1"/>
  <c r="AE375" i="1"/>
  <c r="L393" i="1"/>
  <c r="L394" i="1"/>
  <c r="M393" i="1"/>
  <c r="M394" i="1"/>
  <c r="AD393" i="1"/>
  <c r="AD394" i="1"/>
  <c r="AE393" i="1"/>
  <c r="AE394" i="1"/>
  <c r="O2254" i="1"/>
  <c r="O2256" i="1"/>
  <c r="O2260" i="1"/>
  <c r="O2265" i="1"/>
  <c r="O2271" i="1"/>
  <c r="O2272" i="1"/>
  <c r="O2276" i="1"/>
  <c r="O2277" i="1"/>
  <c r="O2280" i="1"/>
  <c r="O2281" i="1"/>
  <c r="O2286" i="1"/>
  <c r="O2287" i="1"/>
  <c r="O2290" i="1"/>
  <c r="O2292" i="1"/>
  <c r="O2293" i="1"/>
  <c r="O2296" i="1"/>
  <c r="O2297" i="1"/>
  <c r="O2298" i="1"/>
  <c r="O2575" i="1"/>
  <c r="O2576" i="1"/>
  <c r="O2578" i="1"/>
  <c r="O2580" i="1"/>
  <c r="O2585" i="1"/>
  <c r="O2595" i="1"/>
  <c r="O2598" i="1"/>
  <c r="O2601" i="1"/>
  <c r="O2602" i="1"/>
  <c r="O2603" i="1"/>
  <c r="O2604" i="1"/>
  <c r="L2601" i="1"/>
  <c r="L2602" i="1"/>
  <c r="M2601" i="1"/>
  <c r="M2602" i="1"/>
  <c r="S2601" i="1"/>
  <c r="S2602" i="1"/>
  <c r="AD2601" i="1"/>
  <c r="AD2602" i="1"/>
  <c r="AE2601" i="1"/>
  <c r="AE2602" i="1"/>
  <c r="AG2595" i="1"/>
  <c r="L2578" i="1"/>
  <c r="L2580" i="1"/>
  <c r="L2585" i="1"/>
  <c r="L2595" i="1"/>
  <c r="L2598" i="1"/>
  <c r="M2578" i="1"/>
  <c r="M2580" i="1"/>
  <c r="M2585" i="1"/>
  <c r="M2595" i="1"/>
  <c r="M2598" i="1"/>
  <c r="S2578" i="1"/>
  <c r="S2580" i="1"/>
  <c r="S2585" i="1"/>
  <c r="S2595" i="1"/>
  <c r="S2598" i="1"/>
  <c r="AD2578" i="1"/>
  <c r="AD2585" i="1"/>
  <c r="AD2595" i="1"/>
  <c r="AD2598" i="1"/>
  <c r="AE2578" i="1"/>
  <c r="AE2580" i="1"/>
  <c r="AE2585" i="1"/>
  <c r="AE2595" i="1"/>
  <c r="AE2598" i="1"/>
  <c r="L2575" i="1"/>
  <c r="L2576" i="1"/>
  <c r="M2575" i="1"/>
  <c r="M2576" i="1"/>
  <c r="S2575" i="1"/>
  <c r="S2576" i="1"/>
  <c r="AD2575" i="1"/>
  <c r="AD2576" i="1"/>
  <c r="AE2575" i="1"/>
  <c r="AE2576" i="1"/>
  <c r="L2603" i="1"/>
  <c r="M2603" i="1"/>
  <c r="S2603" i="1"/>
  <c r="AD2603" i="1"/>
  <c r="AE2603" i="1"/>
  <c r="L2604" i="1"/>
  <c r="M2604" i="1"/>
  <c r="S2604" i="1"/>
  <c r="AD2604" i="1"/>
  <c r="AE2604" i="1"/>
  <c r="O2480" i="1"/>
  <c r="O2482" i="1"/>
  <c r="O2483" i="1"/>
  <c r="O2484" i="1"/>
  <c r="O2485" i="1"/>
  <c r="O2488" i="1"/>
  <c r="O2490" i="1"/>
  <c r="O2492" i="1"/>
  <c r="O2494" i="1"/>
  <c r="O2495" i="1"/>
  <c r="O2496" i="1"/>
  <c r="L2495" i="1"/>
  <c r="M2495" i="1"/>
  <c r="S2495" i="1"/>
  <c r="AD2495" i="1"/>
  <c r="AE2495" i="1"/>
  <c r="L2496" i="1"/>
  <c r="M2496" i="1"/>
  <c r="S2496" i="1"/>
  <c r="AD2496" i="1"/>
  <c r="AE2496" i="1"/>
  <c r="L2480" i="1"/>
  <c r="L2482" i="1"/>
  <c r="L2483" i="1"/>
  <c r="L2484" i="1"/>
  <c r="M2480" i="1"/>
  <c r="M2482" i="1"/>
  <c r="M2483" i="1"/>
  <c r="M2484" i="1"/>
  <c r="S2480" i="1"/>
  <c r="S2482" i="1"/>
  <c r="S2483" i="1"/>
  <c r="S2484" i="1"/>
  <c r="AD2480" i="1"/>
  <c r="AD2482" i="1"/>
  <c r="AD2483" i="1"/>
  <c r="AD2484" i="1"/>
  <c r="AE2480" i="1"/>
  <c r="AE2482" i="1"/>
  <c r="AE2483" i="1"/>
  <c r="AE2484" i="1"/>
  <c r="L2485" i="1"/>
  <c r="M2485" i="1"/>
  <c r="S2485" i="1"/>
  <c r="L2488" i="1"/>
  <c r="L2490" i="1"/>
  <c r="M2488" i="1"/>
  <c r="M2490" i="1"/>
  <c r="S2488" i="1"/>
  <c r="S2490" i="1"/>
  <c r="AD2488" i="1"/>
  <c r="AD2490" i="1"/>
  <c r="AE2488" i="1"/>
  <c r="AE2490" i="1"/>
  <c r="AD2460" i="1"/>
  <c r="AE2460" i="1"/>
  <c r="S2460" i="1"/>
  <c r="AG2460" i="1"/>
  <c r="L2460" i="1"/>
  <c r="M2460" i="1"/>
  <c r="O2460" i="1"/>
  <c r="O2472" i="1"/>
  <c r="O2476" i="1"/>
  <c r="L2472" i="1"/>
  <c r="L2476" i="1"/>
  <c r="M2472" i="1"/>
  <c r="M2476" i="1"/>
  <c r="S2472" i="1"/>
  <c r="S2476" i="1"/>
  <c r="AD2472" i="1"/>
  <c r="AD2476" i="1"/>
  <c r="AE2472" i="1"/>
  <c r="AE2476" i="1"/>
  <c r="AD2478" i="1"/>
  <c r="AE2478" i="1"/>
  <c r="L2492" i="1"/>
  <c r="M2492" i="1"/>
  <c r="S2492" i="1"/>
  <c r="AD2492" i="1"/>
  <c r="AE2492" i="1"/>
  <c r="L2494" i="1"/>
  <c r="M2494" i="1"/>
  <c r="S2494" i="1"/>
  <c r="AD2494" i="1"/>
  <c r="AE2494" i="1"/>
  <c r="O2362" i="1"/>
  <c r="O2365" i="1"/>
  <c r="O2367" i="1"/>
  <c r="O2368" i="1"/>
  <c r="O2369" i="1"/>
  <c r="L2367" i="1"/>
  <c r="L2368" i="1"/>
  <c r="M2367" i="1"/>
  <c r="M2368" i="1"/>
  <c r="S2367" i="1"/>
  <c r="S2368" i="1"/>
  <c r="AD2367" i="1"/>
  <c r="AD2368" i="1"/>
  <c r="AE2367" i="1"/>
  <c r="AE2368" i="1"/>
  <c r="L2365" i="1"/>
  <c r="M2365" i="1"/>
  <c r="S2365" i="1"/>
  <c r="AD2365" i="1"/>
  <c r="AE2365" i="1"/>
  <c r="L2369" i="1"/>
  <c r="M2369" i="1"/>
  <c r="S2369" i="1"/>
  <c r="AD2369" i="1"/>
  <c r="AE2369" i="1"/>
  <c r="L2362" i="1"/>
  <c r="M2362" i="1"/>
  <c r="S2362" i="1"/>
  <c r="AD2362" i="1"/>
  <c r="AE2362" i="1"/>
  <c r="J2365" i="1" l="1"/>
  <c r="AG2365" i="1"/>
  <c r="J2369" i="1"/>
  <c r="AG2369" i="1"/>
  <c r="J2494" i="1"/>
  <c r="AG2494" i="1"/>
  <c r="J2496" i="1"/>
  <c r="AG2496" i="1"/>
  <c r="J2484" i="1"/>
  <c r="AG2484" i="1"/>
  <c r="J2483" i="1"/>
  <c r="AG2483" i="1"/>
  <c r="J2604" i="1"/>
  <c r="AG2604" i="1"/>
  <c r="J2490" i="1"/>
  <c r="AG2490" i="1"/>
  <c r="J2482" i="1"/>
  <c r="AG2482" i="1"/>
  <c r="AG2478" i="1"/>
  <c r="J2488" i="1"/>
  <c r="AG2488" i="1"/>
  <c r="J2480" i="1"/>
  <c r="AG2480" i="1"/>
  <c r="J2495" i="1"/>
  <c r="AG2495" i="1"/>
  <c r="J394" i="1"/>
  <c r="AG394" i="1"/>
  <c r="J2362" i="1"/>
  <c r="AG2362" i="1"/>
  <c r="J2603" i="1"/>
  <c r="AG2603" i="1"/>
  <c r="J2598" i="1"/>
  <c r="AG2598" i="1"/>
  <c r="AG393" i="1"/>
  <c r="J2368" i="1"/>
  <c r="AG2368" i="1"/>
  <c r="J2476" i="1"/>
  <c r="AG2476" i="1"/>
  <c r="J2585" i="1"/>
  <c r="AG2585" i="1"/>
  <c r="J2367" i="1"/>
  <c r="AG2367" i="1"/>
  <c r="J2492" i="1"/>
  <c r="AG2492" i="1"/>
  <c r="J2472" i="1"/>
  <c r="AG2472" i="1"/>
  <c r="J2485" i="1"/>
  <c r="AG2485" i="1"/>
  <c r="J2580" i="1"/>
  <c r="AG2580" i="1"/>
  <c r="J2602" i="1"/>
  <c r="AG2602" i="1"/>
  <c r="AG375" i="1"/>
  <c r="J2576" i="1"/>
  <c r="AG2576" i="1"/>
  <c r="J2578" i="1"/>
  <c r="AG2578" i="1"/>
  <c r="J2601" i="1"/>
  <c r="AG2601" i="1"/>
  <c r="J373" i="1"/>
  <c r="AG373" i="1"/>
  <c r="J2575" i="1"/>
  <c r="AG2575" i="1"/>
  <c r="J2595" i="1"/>
  <c r="J2460" i="1"/>
  <c r="AG2292" i="1"/>
  <c r="L2290" i="1"/>
  <c r="L2292" i="1"/>
  <c r="M2290" i="1"/>
  <c r="M2292" i="1"/>
  <c r="S2290" i="1"/>
  <c r="S2292" i="1"/>
  <c r="AD2290" i="1"/>
  <c r="AD2292" i="1"/>
  <c r="AE2290" i="1"/>
  <c r="AE2292" i="1"/>
  <c r="L2293" i="1"/>
  <c r="L2296" i="1"/>
  <c r="M2293" i="1"/>
  <c r="M2296" i="1"/>
  <c r="S2293" i="1"/>
  <c r="S2296" i="1"/>
  <c r="AD2293" i="1"/>
  <c r="AD2296" i="1"/>
  <c r="AE2293" i="1"/>
  <c r="AE2296" i="1"/>
  <c r="L2298" i="1"/>
  <c r="M2298" i="1"/>
  <c r="S2298" i="1"/>
  <c r="AD2298" i="1"/>
  <c r="AE2298" i="1"/>
  <c r="L2271" i="1"/>
  <c r="L2272" i="1"/>
  <c r="L2276" i="1"/>
  <c r="L2277" i="1"/>
  <c r="M2271" i="1"/>
  <c r="M2272" i="1"/>
  <c r="M2276" i="1"/>
  <c r="M2277" i="1"/>
  <c r="S2271" i="1"/>
  <c r="S2272" i="1"/>
  <c r="S2276" i="1"/>
  <c r="S2277" i="1"/>
  <c r="AD2271" i="1"/>
  <c r="AE2271" i="1"/>
  <c r="AG2280" i="1"/>
  <c r="L2280" i="1"/>
  <c r="M2280" i="1"/>
  <c r="S2280" i="1"/>
  <c r="AD2280" i="1"/>
  <c r="AE2280" i="1"/>
  <c r="L2265" i="1"/>
  <c r="M2265" i="1"/>
  <c r="S2265" i="1"/>
  <c r="AD2265" i="1"/>
  <c r="AE2265" i="1"/>
  <c r="L2281" i="1"/>
  <c r="M2281" i="1"/>
  <c r="S2281" i="1"/>
  <c r="AD2281" i="1"/>
  <c r="AE2281" i="1"/>
  <c r="J2254" i="1"/>
  <c r="AG2256" i="1"/>
  <c r="L2254" i="1"/>
  <c r="L2256" i="1"/>
  <c r="M2254" i="1"/>
  <c r="M2256" i="1"/>
  <c r="S2254" i="1"/>
  <c r="S2256" i="1"/>
  <c r="AD2254" i="1"/>
  <c r="AD2256" i="1"/>
  <c r="AE2254" i="1"/>
  <c r="AE2256" i="1"/>
  <c r="AG2286" i="1"/>
  <c r="L2260" i="1"/>
  <c r="L2286" i="1"/>
  <c r="M2260" i="1"/>
  <c r="M2286" i="1"/>
  <c r="S2260" i="1"/>
  <c r="S2286" i="1"/>
  <c r="AD2260" i="1"/>
  <c r="AE2260" i="1"/>
  <c r="AG2287" i="1"/>
  <c r="L2287" i="1"/>
  <c r="M2287" i="1"/>
  <c r="S2287" i="1"/>
  <c r="L2297" i="1"/>
  <c r="M2297" i="1"/>
  <c r="S2297" i="1"/>
  <c r="AD2297" i="1"/>
  <c r="AE2297" i="1"/>
  <c r="O2131" i="1"/>
  <c r="O2134" i="1"/>
  <c r="O2135" i="1"/>
  <c r="O2136" i="1"/>
  <c r="O2138" i="1"/>
  <c r="O2139" i="1"/>
  <c r="O2140" i="1"/>
  <c r="L2131" i="1"/>
  <c r="L2134" i="1"/>
  <c r="L2135" i="1"/>
  <c r="L2136" i="1"/>
  <c r="M2131" i="1"/>
  <c r="M2134" i="1"/>
  <c r="M2135" i="1"/>
  <c r="M2136" i="1"/>
  <c r="S2131" i="1"/>
  <c r="S2134" i="1"/>
  <c r="S2135" i="1"/>
  <c r="S2136" i="1"/>
  <c r="AD2136" i="1"/>
  <c r="AE2136" i="1"/>
  <c r="L2140" i="1"/>
  <c r="M2140" i="1"/>
  <c r="S2140" i="1"/>
  <c r="AD2140" i="1"/>
  <c r="AE2140" i="1"/>
  <c r="L2138" i="1"/>
  <c r="L2139" i="1"/>
  <c r="M2138" i="1"/>
  <c r="M2139" i="1"/>
  <c r="S2138" i="1"/>
  <c r="S2139" i="1"/>
  <c r="AD2138" i="1"/>
  <c r="AD2139" i="1"/>
  <c r="AE2138" i="1"/>
  <c r="AE2139" i="1"/>
  <c r="J2131" i="1" l="1"/>
  <c r="AG2131" i="1"/>
  <c r="J2265" i="1"/>
  <c r="AG2265" i="1"/>
  <c r="J2298" i="1"/>
  <c r="AG2298" i="1"/>
  <c r="J2135" i="1"/>
  <c r="J2277" i="1"/>
  <c r="AG2277" i="1"/>
  <c r="J2276" i="1"/>
  <c r="AG2276" i="1"/>
  <c r="J2272" i="1"/>
  <c r="AG2272" i="1"/>
  <c r="J2296" i="1"/>
  <c r="AG2296" i="1"/>
  <c r="J2287" i="1"/>
  <c r="J2281" i="1"/>
  <c r="AG2281" i="1"/>
  <c r="J2271" i="1"/>
  <c r="AG2271" i="1"/>
  <c r="J2293" i="1"/>
  <c r="AG2293" i="1"/>
  <c r="J2134" i="1"/>
  <c r="J2136" i="1"/>
  <c r="AG2136" i="1"/>
  <c r="J2139" i="1"/>
  <c r="AG2139" i="1"/>
  <c r="J2286" i="1"/>
  <c r="J2297" i="1"/>
  <c r="AG2297" i="1"/>
  <c r="J2260" i="1"/>
  <c r="AG2260" i="1"/>
  <c r="J2290" i="1"/>
  <c r="AG2290" i="1"/>
  <c r="J2140" i="1"/>
  <c r="AG2140" i="1"/>
  <c r="J2138" i="1"/>
  <c r="AG2138" i="1"/>
  <c r="J2292" i="1"/>
  <c r="J2280" i="1"/>
  <c r="J2256" i="1"/>
  <c r="AG2574" i="1" l="1"/>
  <c r="L2574" i="1"/>
  <c r="M2574" i="1"/>
  <c r="O2574" i="1"/>
  <c r="AE2574" i="1"/>
  <c r="AD2574" i="1"/>
  <c r="AG2462" i="1"/>
  <c r="L2462" i="1"/>
  <c r="M2462" i="1"/>
  <c r="O2462" i="1"/>
  <c r="AE2462" i="1"/>
  <c r="AD2462" i="1"/>
  <c r="L856" i="1"/>
  <c r="M856" i="1"/>
  <c r="O856" i="1"/>
  <c r="L861" i="1"/>
  <c r="M861" i="1"/>
  <c r="O861" i="1"/>
  <c r="O866" i="1"/>
  <c r="O855" i="1"/>
  <c r="O884" i="1"/>
  <c r="AE861" i="1"/>
  <c r="AD861" i="1"/>
  <c r="AE856" i="1"/>
  <c r="AD856" i="1"/>
  <c r="J861" i="1" l="1"/>
  <c r="AG861" i="1"/>
  <c r="J856" i="1"/>
  <c r="AG856" i="1"/>
  <c r="J2462" i="1"/>
  <c r="J2574" i="1"/>
  <c r="O2111" i="1"/>
  <c r="O2114" i="1"/>
  <c r="O2115" i="1"/>
  <c r="O2119" i="1"/>
  <c r="O2122" i="1"/>
  <c r="O2123" i="1"/>
  <c r="O2125" i="1"/>
  <c r="O2127" i="1"/>
  <c r="O2128" i="1"/>
  <c r="O2130" i="1"/>
  <c r="L2125" i="1"/>
  <c r="L2127" i="1"/>
  <c r="L2128" i="1"/>
  <c r="M2125" i="1"/>
  <c r="M2127" i="1"/>
  <c r="M2128" i="1"/>
  <c r="S2125" i="1"/>
  <c r="S2127" i="1"/>
  <c r="S2128" i="1"/>
  <c r="AD2127" i="1"/>
  <c r="AD2128" i="1"/>
  <c r="AE2125" i="1"/>
  <c r="AE2127" i="1"/>
  <c r="AE2128" i="1"/>
  <c r="AG2115" i="1"/>
  <c r="L2115" i="1"/>
  <c r="L2119" i="1"/>
  <c r="L2122" i="1"/>
  <c r="L2123" i="1"/>
  <c r="M2115" i="1"/>
  <c r="M2119" i="1"/>
  <c r="M2122" i="1"/>
  <c r="M2123" i="1"/>
  <c r="S2115" i="1"/>
  <c r="S2119" i="1"/>
  <c r="S2122" i="1"/>
  <c r="S2123" i="1"/>
  <c r="AD2115" i="1"/>
  <c r="AD2119" i="1"/>
  <c r="AD2122" i="1"/>
  <c r="AE2115" i="1"/>
  <c r="AE2119" i="1"/>
  <c r="AE2122" i="1"/>
  <c r="AE2123" i="1"/>
  <c r="L2111" i="1"/>
  <c r="L2114" i="1"/>
  <c r="M2111" i="1"/>
  <c r="M2114" i="1"/>
  <c r="S2111" i="1"/>
  <c r="S2114" i="1"/>
  <c r="AD2111" i="1"/>
  <c r="AD2114" i="1"/>
  <c r="AE2111" i="1"/>
  <c r="AE2114" i="1"/>
  <c r="L2130" i="1"/>
  <c r="M2130" i="1"/>
  <c r="S2130" i="1"/>
  <c r="AD2130" i="1"/>
  <c r="AE2130" i="1"/>
  <c r="O1972" i="1"/>
  <c r="O1973" i="1"/>
  <c r="O1975" i="1"/>
  <c r="O1980" i="1"/>
  <c r="O1981" i="1"/>
  <c r="O1982" i="1"/>
  <c r="O1985" i="1"/>
  <c r="O1987" i="1"/>
  <c r="O1992" i="1"/>
  <c r="O1993" i="1"/>
  <c r="O1996" i="1"/>
  <c r="O1998" i="1"/>
  <c r="O2000" i="1"/>
  <c r="O2001" i="1"/>
  <c r="O2003" i="1"/>
  <c r="L2003" i="1"/>
  <c r="M2003" i="1"/>
  <c r="AD2003" i="1"/>
  <c r="AE2003" i="1"/>
  <c r="AG1987" i="1"/>
  <c r="L1985" i="1"/>
  <c r="L1987" i="1"/>
  <c r="L1992" i="1"/>
  <c r="L1993" i="1"/>
  <c r="M1985" i="1"/>
  <c r="M1987" i="1"/>
  <c r="M1992" i="1"/>
  <c r="M1993" i="1"/>
  <c r="AD1985" i="1"/>
  <c r="AD1987" i="1"/>
  <c r="AD1992" i="1"/>
  <c r="AD1993" i="1"/>
  <c r="AE1985" i="1"/>
  <c r="AE1987" i="1"/>
  <c r="AE1992" i="1"/>
  <c r="AE1993" i="1"/>
  <c r="L1996" i="1"/>
  <c r="M1996" i="1"/>
  <c r="AD1996" i="1"/>
  <c r="AE1996" i="1"/>
  <c r="L1998" i="1"/>
  <c r="M1998" i="1"/>
  <c r="AD1998" i="1"/>
  <c r="AE1998" i="1"/>
  <c r="L2000" i="1"/>
  <c r="M2000" i="1"/>
  <c r="AD2000" i="1"/>
  <c r="AE2000" i="1"/>
  <c r="L1982" i="1"/>
  <c r="M1982" i="1"/>
  <c r="AD1982" i="1"/>
  <c r="AE1982" i="1"/>
  <c r="L2001" i="1"/>
  <c r="M2001" i="1"/>
  <c r="AD2001" i="1"/>
  <c r="AE2001" i="1"/>
  <c r="L1972" i="1"/>
  <c r="L1973" i="1"/>
  <c r="M1972" i="1"/>
  <c r="M1973" i="1"/>
  <c r="AD1972" i="1"/>
  <c r="AD1973" i="1"/>
  <c r="AE1972" i="1"/>
  <c r="AE1973" i="1"/>
  <c r="AG1975" i="1"/>
  <c r="L1975" i="1"/>
  <c r="L1980" i="1"/>
  <c r="M1975" i="1"/>
  <c r="M1980" i="1"/>
  <c r="AD1975" i="1"/>
  <c r="AD1980" i="1"/>
  <c r="AE1975" i="1"/>
  <c r="AE1980" i="1"/>
  <c r="L1981" i="1"/>
  <c r="M1981" i="1"/>
  <c r="AD1981" i="1"/>
  <c r="AE1981" i="1"/>
  <c r="O883" i="1"/>
  <c r="O881" i="1"/>
  <c r="O879" i="1"/>
  <c r="O874" i="1"/>
  <c r="L874" i="1"/>
  <c r="L879" i="1"/>
  <c r="M874" i="1"/>
  <c r="M879" i="1"/>
  <c r="AD874" i="1"/>
  <c r="AD879" i="1"/>
  <c r="AE874" i="1"/>
  <c r="AE879" i="1"/>
  <c r="AG883" i="1"/>
  <c r="L881" i="1"/>
  <c r="L883" i="1"/>
  <c r="M881" i="1"/>
  <c r="M883" i="1"/>
  <c r="AD881" i="1"/>
  <c r="AD883" i="1"/>
  <c r="AE881" i="1"/>
  <c r="AE883" i="1"/>
  <c r="AD868" i="1"/>
  <c r="AE868" i="1"/>
  <c r="AD872" i="1"/>
  <c r="AE872" i="1"/>
  <c r="J2111" i="1" l="1"/>
  <c r="AG2111" i="1"/>
  <c r="J1998" i="1"/>
  <c r="AG1998" i="1"/>
  <c r="J2125" i="1"/>
  <c r="AG2125" i="1"/>
  <c r="J881" i="1"/>
  <c r="AG881" i="1"/>
  <c r="J2127" i="1"/>
  <c r="AG2127" i="1"/>
  <c r="J2001" i="1"/>
  <c r="AG2001" i="1"/>
  <c r="J1973" i="1"/>
  <c r="AG1973" i="1"/>
  <c r="J1996" i="1"/>
  <c r="AG1996" i="1"/>
  <c r="J1972" i="1"/>
  <c r="AG1972" i="1"/>
  <c r="J2000" i="1"/>
  <c r="AG2000" i="1"/>
  <c r="J2003" i="1"/>
  <c r="AG2003" i="1"/>
  <c r="J1980" i="1"/>
  <c r="AG1980" i="1"/>
  <c r="J879" i="1"/>
  <c r="AG879" i="1"/>
  <c r="J1993" i="1"/>
  <c r="AG1993" i="1"/>
  <c r="J2130" i="1"/>
  <c r="AG2130" i="1"/>
  <c r="J874" i="1"/>
  <c r="AG874" i="1"/>
  <c r="J1992" i="1"/>
  <c r="AG1992" i="1"/>
  <c r="J2123" i="1"/>
  <c r="AG2123" i="1"/>
  <c r="J1981" i="1"/>
  <c r="AG1981" i="1"/>
  <c r="J1982" i="1"/>
  <c r="AG1982" i="1"/>
  <c r="J1985" i="1"/>
  <c r="AG1985" i="1"/>
  <c r="J2122" i="1"/>
  <c r="AG2122" i="1"/>
  <c r="J2119" i="1"/>
  <c r="AG2119" i="1"/>
  <c r="J2114" i="1"/>
  <c r="AG2114" i="1"/>
  <c r="J2128" i="1"/>
  <c r="AG2128" i="1"/>
  <c r="J1975" i="1"/>
  <c r="J2115" i="1"/>
  <c r="J1987" i="1"/>
  <c r="J883" i="1"/>
  <c r="AE421" i="1" l="1"/>
  <c r="AD421" i="1"/>
  <c r="L855" i="1" l="1"/>
  <c r="L866" i="1"/>
  <c r="L884" i="1"/>
  <c r="M855" i="1"/>
  <c r="M866" i="1"/>
  <c r="M884" i="1"/>
  <c r="AD855" i="1"/>
  <c r="AD866" i="1"/>
  <c r="AD867" i="1"/>
  <c r="AD884" i="1"/>
  <c r="AE855" i="1"/>
  <c r="AE866" i="1"/>
  <c r="AE867" i="1"/>
  <c r="AE884" i="1"/>
  <c r="L431" i="1"/>
  <c r="M431" i="1"/>
  <c r="O431" i="1"/>
  <c r="AE431" i="1"/>
  <c r="AD431" i="1"/>
  <c r="J431" i="1" l="1"/>
  <c r="AG431" i="1"/>
  <c r="J866" i="1"/>
  <c r="AG866" i="1"/>
  <c r="J884" i="1"/>
  <c r="AG884" i="1"/>
  <c r="J855" i="1"/>
  <c r="AG855" i="1"/>
  <c r="I418" i="1"/>
  <c r="L417" i="1"/>
  <c r="M417" i="1"/>
  <c r="O417" i="1"/>
  <c r="AE417" i="1"/>
  <c r="AD417" i="1"/>
  <c r="J417" i="1" l="1"/>
  <c r="AG417" i="1"/>
  <c r="AG1263" i="1"/>
  <c r="L1263" i="1"/>
  <c r="M1263" i="1"/>
  <c r="O1263" i="1"/>
  <c r="AE1263" i="1"/>
  <c r="AD1263" i="1"/>
  <c r="L1759" i="1"/>
  <c r="M1759" i="1"/>
  <c r="O1759" i="1"/>
  <c r="AE1759" i="1"/>
  <c r="AD1759" i="1"/>
  <c r="L1718" i="1"/>
  <c r="M1718" i="1"/>
  <c r="O1718" i="1"/>
  <c r="AD1718" i="1"/>
  <c r="AE1718" i="1"/>
  <c r="L2459" i="1"/>
  <c r="M2459" i="1"/>
  <c r="O2459" i="1"/>
  <c r="AE2459" i="1"/>
  <c r="AD2459" i="1"/>
  <c r="S2459" i="1"/>
  <c r="I2361" i="1"/>
  <c r="AG2360" i="1"/>
  <c r="L2360" i="1"/>
  <c r="M2360" i="1"/>
  <c r="O2360" i="1"/>
  <c r="AE2360" i="1"/>
  <c r="AD2360" i="1"/>
  <c r="J1718" i="1" l="1"/>
  <c r="AG1718" i="1"/>
  <c r="J2459" i="1"/>
  <c r="AG2459" i="1"/>
  <c r="J1759" i="1"/>
  <c r="AG1759" i="1"/>
  <c r="J1263" i="1"/>
  <c r="J2360" i="1"/>
  <c r="AG183" i="1" l="1"/>
  <c r="AG207" i="1"/>
  <c r="AG1133" i="1" l="1"/>
  <c r="L1133" i="1"/>
  <c r="M1133" i="1"/>
  <c r="O1133" i="1"/>
  <c r="AE1133" i="1"/>
  <c r="AD1133" i="1"/>
  <c r="S1133" i="1"/>
  <c r="AG416" i="1"/>
  <c r="L416" i="1"/>
  <c r="M416" i="1"/>
  <c r="O416" i="1"/>
  <c r="AE416" i="1"/>
  <c r="AD416" i="1"/>
  <c r="J1133" i="1" l="1"/>
  <c r="J416" i="1"/>
  <c r="L1132" i="1" l="1"/>
  <c r="M1132" i="1"/>
  <c r="O1132" i="1"/>
  <c r="AE1132" i="1"/>
  <c r="AD1132" i="1"/>
  <c r="S1132" i="1"/>
  <c r="O1707" i="1"/>
  <c r="L415" i="1"/>
  <c r="M415" i="1"/>
  <c r="O415" i="1"/>
  <c r="AE415" i="1"/>
  <c r="AD415" i="1"/>
  <c r="J1132" i="1" l="1"/>
  <c r="AG1132" i="1"/>
  <c r="J415" i="1"/>
  <c r="AG415" i="1"/>
  <c r="I852" i="1"/>
  <c r="L851" i="1"/>
  <c r="M851" i="1"/>
  <c r="O851" i="1"/>
  <c r="AE851" i="1"/>
  <c r="AD851" i="1"/>
  <c r="I845" i="1"/>
  <c r="J851" i="1" l="1"/>
  <c r="AG851" i="1"/>
  <c r="L19" i="1"/>
  <c r="O1440" i="1"/>
  <c r="O1445" i="1"/>
  <c r="O1444" i="1"/>
  <c r="O1439" i="1"/>
  <c r="S1123" i="1"/>
  <c r="S1122" i="1"/>
  <c r="S1124" i="1"/>
  <c r="S1125" i="1"/>
  <c r="S1126" i="1"/>
  <c r="S1127" i="1"/>
  <c r="S1140" i="1"/>
  <c r="S1128" i="1"/>
  <c r="S1129" i="1"/>
  <c r="S1130" i="1"/>
  <c r="S1141" i="1"/>
  <c r="S1131" i="1"/>
  <c r="L1131" i="1"/>
  <c r="M1131" i="1"/>
  <c r="O1131" i="1"/>
  <c r="AD1131" i="1"/>
  <c r="AE1131" i="1"/>
  <c r="I928" i="1"/>
  <c r="J927" i="1"/>
  <c r="L927" i="1"/>
  <c r="M927" i="1"/>
  <c r="O927" i="1"/>
  <c r="AD927" i="1"/>
  <c r="AE927" i="1"/>
  <c r="L414" i="1"/>
  <c r="M414" i="1"/>
  <c r="O414" i="1"/>
  <c r="AD414" i="1"/>
  <c r="AE414" i="1"/>
  <c r="J925" i="1"/>
  <c r="L925" i="1"/>
  <c r="M925" i="1"/>
  <c r="O925" i="1"/>
  <c r="J926" i="1"/>
  <c r="L926" i="1"/>
  <c r="M926" i="1"/>
  <c r="O926" i="1"/>
  <c r="AD925" i="1"/>
  <c r="AE925" i="1"/>
  <c r="AD926" i="1"/>
  <c r="AE926" i="1"/>
  <c r="L1596" i="1"/>
  <c r="M1596" i="1"/>
  <c r="O1596" i="1"/>
  <c r="S1596" i="1"/>
  <c r="AD1596" i="1"/>
  <c r="AE1596" i="1"/>
  <c r="L413" i="1"/>
  <c r="M413" i="1"/>
  <c r="O413" i="1"/>
  <c r="AD413" i="1"/>
  <c r="AE413" i="1"/>
  <c r="L31" i="1"/>
  <c r="M31" i="1"/>
  <c r="O31" i="1"/>
  <c r="L32" i="1"/>
  <c r="M32" i="1"/>
  <c r="O32" i="1"/>
  <c r="L33" i="1"/>
  <c r="M33" i="1"/>
  <c r="O33" i="1"/>
  <c r="AD31" i="1"/>
  <c r="AD32" i="1"/>
  <c r="AD33" i="1"/>
  <c r="AE31" i="1"/>
  <c r="AE32" i="1"/>
  <c r="AE33" i="1"/>
  <c r="L1591" i="1"/>
  <c r="M1591" i="1"/>
  <c r="O1591" i="1"/>
  <c r="AG1592" i="1"/>
  <c r="L1592" i="1"/>
  <c r="M1592" i="1"/>
  <c r="O1592" i="1"/>
  <c r="AG1593" i="1"/>
  <c r="L1593" i="1"/>
  <c r="M1593" i="1"/>
  <c r="O1593" i="1"/>
  <c r="AD1591" i="1"/>
  <c r="AD1592" i="1"/>
  <c r="AD1593" i="1"/>
  <c r="AE1591" i="1"/>
  <c r="AE1592" i="1"/>
  <c r="AE1593" i="1"/>
  <c r="M1583" i="1"/>
  <c r="L1584" i="1"/>
  <c r="AG1651" i="1"/>
  <c r="L1651" i="1"/>
  <c r="M1651" i="1"/>
  <c r="O1651" i="1"/>
  <c r="AD1651" i="1"/>
  <c r="AE1651" i="1"/>
  <c r="L504" i="1"/>
  <c r="M504" i="1"/>
  <c r="O504" i="1"/>
  <c r="AE504" i="1"/>
  <c r="AD504" i="1"/>
  <c r="L849" i="1"/>
  <c r="M849" i="1"/>
  <c r="O849" i="1"/>
  <c r="AE849" i="1"/>
  <c r="AD849" i="1"/>
  <c r="I2110" i="1"/>
  <c r="L2109" i="1"/>
  <c r="M2109" i="1"/>
  <c r="O2109" i="1"/>
  <c r="AD2109" i="1"/>
  <c r="AE2109" i="1"/>
  <c r="L412" i="1"/>
  <c r="M412" i="1"/>
  <c r="O412" i="1"/>
  <c r="AD412" i="1"/>
  <c r="AE412" i="1"/>
  <c r="L1262" i="1"/>
  <c r="M1262" i="1"/>
  <c r="O1262" i="1"/>
  <c r="AD1262" i="1"/>
  <c r="AE1262" i="1"/>
  <c r="AD1684" i="1"/>
  <c r="AE1684" i="1"/>
  <c r="O1684" i="1"/>
  <c r="L1684" i="1"/>
  <c r="M1684" i="1"/>
  <c r="O1829" i="1"/>
  <c r="O1836" i="1"/>
  <c r="O1838" i="1"/>
  <c r="L1261" i="1"/>
  <c r="M1261" i="1"/>
  <c r="O1261" i="1"/>
  <c r="AD1261" i="1"/>
  <c r="AE1261" i="1"/>
  <c r="AG1866" i="1"/>
  <c r="L1866" i="1"/>
  <c r="M1866" i="1"/>
  <c r="O1866" i="1"/>
  <c r="AD1866" i="1"/>
  <c r="AE1866" i="1"/>
  <c r="AG1836" i="1"/>
  <c r="L1836" i="1"/>
  <c r="L1838" i="1"/>
  <c r="M1829" i="1"/>
  <c r="M1836" i="1"/>
  <c r="M1838" i="1"/>
  <c r="AD1829" i="1"/>
  <c r="AD1836" i="1"/>
  <c r="AD1838" i="1"/>
  <c r="AE1829" i="1"/>
  <c r="AE1836" i="1"/>
  <c r="AE1838" i="1"/>
  <c r="AG1778" i="1"/>
  <c r="L1778" i="1"/>
  <c r="M1778" i="1"/>
  <c r="O1778" i="1"/>
  <c r="L1781" i="1"/>
  <c r="M1781" i="1"/>
  <c r="O1781" i="1"/>
  <c r="AD1778" i="1"/>
  <c r="AE1778" i="1"/>
  <c r="AD1781" i="1"/>
  <c r="AE1781" i="1"/>
  <c r="L1711" i="1"/>
  <c r="M1711" i="1"/>
  <c r="O1711" i="1"/>
  <c r="L1712" i="1"/>
  <c r="M1712" i="1"/>
  <c r="O1712" i="1"/>
  <c r="AD1712" i="1"/>
  <c r="AE1712" i="1"/>
  <c r="AD1711" i="1"/>
  <c r="AE1711" i="1"/>
  <c r="AE1709" i="1"/>
  <c r="AG1707" i="1"/>
  <c r="L1707" i="1"/>
  <c r="M1707" i="1"/>
  <c r="AD1707" i="1"/>
  <c r="AE1707" i="1"/>
  <c r="L1523" i="1"/>
  <c r="M1523" i="1"/>
  <c r="O1523" i="1"/>
  <c r="L1515" i="1"/>
  <c r="M1515" i="1"/>
  <c r="O1515" i="1"/>
  <c r="AD1515" i="1"/>
  <c r="AE1515" i="1"/>
  <c r="O1474" i="1"/>
  <c r="O1477" i="1"/>
  <c r="AG1474" i="1"/>
  <c r="L1474" i="1"/>
  <c r="M1474" i="1"/>
  <c r="AG1477" i="1"/>
  <c r="L1477" i="1"/>
  <c r="M1477" i="1"/>
  <c r="O1395" i="1"/>
  <c r="AD411" i="1"/>
  <c r="AE411" i="1"/>
  <c r="AD418" i="1"/>
  <c r="AE418" i="1"/>
  <c r="AD420" i="1"/>
  <c r="AE420" i="1"/>
  <c r="AD427" i="1"/>
  <c r="AE427" i="1"/>
  <c r="J420" i="1"/>
  <c r="L420" i="1"/>
  <c r="M420" i="1"/>
  <c r="O420" i="1"/>
  <c r="L411" i="1"/>
  <c r="M411" i="1"/>
  <c r="O411" i="1"/>
  <c r="AG427" i="1"/>
  <c r="L427" i="1"/>
  <c r="M427" i="1"/>
  <c r="O427" i="1"/>
  <c r="L503" i="1"/>
  <c r="M503" i="1"/>
  <c r="O503" i="1"/>
  <c r="AD503" i="1"/>
  <c r="AE503" i="1"/>
  <c r="O277" i="1"/>
  <c r="AE924" i="1"/>
  <c r="AD502" i="1"/>
  <c r="AE502" i="1"/>
  <c r="L502" i="1"/>
  <c r="M502" i="1"/>
  <c r="O502" i="1"/>
  <c r="AG501" i="1"/>
  <c r="L501" i="1"/>
  <c r="M501" i="1"/>
  <c r="O501" i="1"/>
  <c r="AD501" i="1"/>
  <c r="AE501" i="1"/>
  <c r="AD410" i="1"/>
  <c r="AE410" i="1"/>
  <c r="O410" i="1"/>
  <c r="L410" i="1"/>
  <c r="M410" i="1"/>
  <c r="AD1010" i="1"/>
  <c r="AE1010" i="1"/>
  <c r="AD1011" i="1"/>
  <c r="AE1011" i="1"/>
  <c r="AG1010" i="1"/>
  <c r="L1010" i="1"/>
  <c r="M1010" i="1"/>
  <c r="O1010" i="1"/>
  <c r="AG1011" i="1"/>
  <c r="L1011" i="1"/>
  <c r="M1011" i="1"/>
  <c r="O1011" i="1"/>
  <c r="J924" i="1"/>
  <c r="L924" i="1"/>
  <c r="M924" i="1"/>
  <c r="O924" i="1"/>
  <c r="S924" i="1"/>
  <c r="AD924" i="1"/>
  <c r="O976" i="1"/>
  <c r="O977" i="1"/>
  <c r="O978" i="1"/>
  <c r="L977" i="1"/>
  <c r="M977" i="1"/>
  <c r="S977" i="1"/>
  <c r="AD977" i="1"/>
  <c r="AE977" i="1"/>
  <c r="L1407" i="1"/>
  <c r="M1407" i="1"/>
  <c r="O1407" i="1"/>
  <c r="AD1407" i="1"/>
  <c r="AE1407" i="1"/>
  <c r="L500" i="1"/>
  <c r="M500" i="1"/>
  <c r="O500" i="1"/>
  <c r="AD500" i="1"/>
  <c r="AE500" i="1"/>
  <c r="I847" i="1"/>
  <c r="O268" i="1"/>
  <c r="L268" i="1"/>
  <c r="M268" i="1"/>
  <c r="S268" i="1"/>
  <c r="AD268" i="1"/>
  <c r="AE268" i="1"/>
  <c r="AG1343" i="1"/>
  <c r="L1343" i="1"/>
  <c r="M1343" i="1"/>
  <c r="O1343" i="1"/>
  <c r="AG1352" i="1"/>
  <c r="O1352" i="1"/>
  <c r="O1295" i="1"/>
  <c r="L1295" i="1"/>
  <c r="M1295" i="1"/>
  <c r="AD1295" i="1"/>
  <c r="AE1295" i="1"/>
  <c r="I2107" i="1"/>
  <c r="AD846" i="1"/>
  <c r="AE846" i="1"/>
  <c r="O846" i="1"/>
  <c r="O847" i="1"/>
  <c r="L846" i="1"/>
  <c r="M846" i="1"/>
  <c r="AG846" i="1"/>
  <c r="I278" i="1"/>
  <c r="AE277" i="1"/>
  <c r="AD277" i="1"/>
  <c r="S277" i="1"/>
  <c r="M277" i="1"/>
  <c r="L277" i="1"/>
  <c r="AD368" i="1"/>
  <c r="AE368" i="1"/>
  <c r="AD369" i="1"/>
  <c r="AE369" i="1"/>
  <c r="AD847" i="1"/>
  <c r="AE847" i="1"/>
  <c r="AD848" i="1"/>
  <c r="AE848" i="1"/>
  <c r="AD850" i="1"/>
  <c r="AE850" i="1"/>
  <c r="AD852" i="1"/>
  <c r="AE852" i="1"/>
  <c r="AD2572" i="1"/>
  <c r="AE2572" i="1"/>
  <c r="AD2361" i="1"/>
  <c r="AE2361" i="1"/>
  <c r="AD2458" i="1"/>
  <c r="AE2458" i="1"/>
  <c r="AD2461" i="1"/>
  <c r="AE2461" i="1"/>
  <c r="AD1967" i="1"/>
  <c r="AE1967" i="1"/>
  <c r="AD1968" i="1"/>
  <c r="AE1968" i="1"/>
  <c r="AD2106" i="1"/>
  <c r="AE2106" i="1"/>
  <c r="AD2107" i="1"/>
  <c r="AE2107" i="1"/>
  <c r="AD2108" i="1"/>
  <c r="AE2108" i="1"/>
  <c r="AD2110" i="1"/>
  <c r="AE2110" i="1"/>
  <c r="AD2248" i="1"/>
  <c r="AE2248" i="1"/>
  <c r="AD2249" i="1"/>
  <c r="AE2249" i="1"/>
  <c r="AD2253" i="1"/>
  <c r="AE2253" i="1"/>
  <c r="AD148" i="1"/>
  <c r="AE148" i="1"/>
  <c r="AD515" i="1"/>
  <c r="AE515" i="1"/>
  <c r="AD738" i="1"/>
  <c r="AE738" i="1"/>
  <c r="AD1216" i="1"/>
  <c r="AE1216" i="1"/>
  <c r="AD78" i="1"/>
  <c r="AE78" i="1"/>
  <c r="AD79" i="1"/>
  <c r="AE79" i="1"/>
  <c r="AD150" i="1"/>
  <c r="AE150" i="1"/>
  <c r="AD569" i="1"/>
  <c r="AE569" i="1"/>
  <c r="AD572" i="1"/>
  <c r="AE572" i="1"/>
  <c r="AD603" i="1"/>
  <c r="AE603" i="1"/>
  <c r="AD845" i="1"/>
  <c r="AE845" i="1"/>
  <c r="AD468" i="1"/>
  <c r="AE468" i="1"/>
  <c r="AD721" i="1"/>
  <c r="AE721" i="1"/>
  <c r="AD278" i="1"/>
  <c r="AE278" i="1"/>
  <c r="AD280" i="1"/>
  <c r="AE280" i="1"/>
  <c r="AD281" i="1"/>
  <c r="AE281" i="1"/>
  <c r="AD285" i="1"/>
  <c r="AE285" i="1"/>
  <c r="AD310" i="1"/>
  <c r="AE310" i="1"/>
  <c r="AD311" i="1"/>
  <c r="AE311" i="1"/>
  <c r="AD395" i="1"/>
  <c r="AE395" i="1"/>
  <c r="AD399" i="1"/>
  <c r="AE399" i="1"/>
  <c r="AD1807" i="1"/>
  <c r="AE1807" i="1"/>
  <c r="AD1808" i="1"/>
  <c r="AE1808" i="1"/>
  <c r="AD1809" i="1"/>
  <c r="AE1809" i="1"/>
  <c r="AD22" i="1"/>
  <c r="AE22" i="1"/>
  <c r="AD23" i="1"/>
  <c r="AE23" i="1"/>
  <c r="AD24" i="1"/>
  <c r="AE24" i="1"/>
  <c r="AD25" i="1"/>
  <c r="AE25" i="1"/>
  <c r="AD26" i="1"/>
  <c r="AE26" i="1"/>
  <c r="AD27" i="1"/>
  <c r="AE27" i="1"/>
  <c r="AD28" i="1"/>
  <c r="AE28" i="1"/>
  <c r="AD29" i="1"/>
  <c r="AE29" i="1"/>
  <c r="AD30" i="1"/>
  <c r="AE30" i="1"/>
  <c r="AD61" i="1"/>
  <c r="AE61" i="1"/>
  <c r="AD40" i="1"/>
  <c r="AE40" i="1"/>
  <c r="AD39" i="1"/>
  <c r="AE39" i="1"/>
  <c r="AD623" i="1"/>
  <c r="AE623" i="1"/>
  <c r="AD624" i="1"/>
  <c r="AE624" i="1"/>
  <c r="AD625" i="1"/>
  <c r="AE625" i="1"/>
  <c r="AD628" i="1"/>
  <c r="AE628" i="1"/>
  <c r="AD630" i="1"/>
  <c r="AE630" i="1"/>
  <c r="AD640" i="1"/>
  <c r="AE640" i="1"/>
  <c r="AD639" i="1"/>
  <c r="AE639" i="1"/>
  <c r="AD641" i="1"/>
  <c r="AE641" i="1"/>
  <c r="AD642" i="1"/>
  <c r="AE642" i="1"/>
  <c r="AD643" i="1"/>
  <c r="AE643" i="1"/>
  <c r="AD644" i="1"/>
  <c r="AE644" i="1"/>
  <c r="AD645" i="1"/>
  <c r="AE645" i="1"/>
  <c r="AD646" i="1"/>
  <c r="AE646" i="1"/>
  <c r="AD647" i="1"/>
  <c r="AE647" i="1"/>
  <c r="AD648" i="1"/>
  <c r="AE648" i="1"/>
  <c r="AD649" i="1"/>
  <c r="AE649" i="1"/>
  <c r="AD650" i="1"/>
  <c r="AE650" i="1"/>
  <c r="AD651" i="1"/>
  <c r="AE651" i="1"/>
  <c r="AD94" i="1"/>
  <c r="AE94" i="1"/>
  <c r="AD98" i="1"/>
  <c r="AE98" i="1"/>
  <c r="AD107" i="1"/>
  <c r="AE107" i="1"/>
  <c r="AD110" i="1"/>
  <c r="AE110" i="1"/>
  <c r="AD2605" i="1"/>
  <c r="AE2605" i="1"/>
  <c r="AD2608" i="1"/>
  <c r="AE2608" i="1"/>
  <c r="AD208" i="1"/>
  <c r="AE208" i="1"/>
  <c r="AD206" i="1"/>
  <c r="AE206" i="1"/>
  <c r="AD195" i="1"/>
  <c r="AE195" i="1"/>
  <c r="AD187" i="1"/>
  <c r="AE187" i="1"/>
  <c r="AD185" i="1"/>
  <c r="AE185" i="1"/>
  <c r="AD210" i="1"/>
  <c r="AE210" i="1"/>
  <c r="AD184" i="1"/>
  <c r="AE184" i="1"/>
  <c r="AD1739" i="1"/>
  <c r="AE1739" i="1"/>
  <c r="AD739" i="1"/>
  <c r="AE739" i="1"/>
  <c r="AD706" i="1"/>
  <c r="AE706" i="1"/>
  <c r="AD655" i="1"/>
  <c r="AE655" i="1"/>
  <c r="AD660" i="1"/>
  <c r="AE660" i="1"/>
  <c r="AD664" i="1"/>
  <c r="AE664" i="1"/>
  <c r="AD668" i="1"/>
  <c r="AE668" i="1"/>
  <c r="AD672" i="1"/>
  <c r="AE672" i="1"/>
  <c r="AD890" i="1"/>
  <c r="AE890" i="1"/>
  <c r="AE1365" i="1"/>
  <c r="AD2359" i="1"/>
  <c r="AE2359" i="1"/>
  <c r="O1200" i="1"/>
  <c r="AD1365" i="1"/>
  <c r="AD1202" i="1"/>
  <c r="AD467" i="1"/>
  <c r="AD2542" i="1"/>
  <c r="AD2539" i="1"/>
  <c r="AD1961" i="1"/>
  <c r="AD1962" i="1"/>
  <c r="AE1962" i="1"/>
  <c r="AD2569" i="1"/>
  <c r="AE2569" i="1"/>
  <c r="I368" i="1"/>
  <c r="O367" i="1"/>
  <c r="AG367" i="1"/>
  <c r="L367" i="1"/>
  <c r="M367" i="1"/>
  <c r="AD367" i="1"/>
  <c r="AE367" i="1"/>
  <c r="AG848" i="1"/>
  <c r="AG850" i="1"/>
  <c r="AG852" i="1"/>
  <c r="AG2572" i="1"/>
  <c r="AG2461" i="1"/>
  <c r="AG2361" i="1"/>
  <c r="AG2249" i="1"/>
  <c r="AG2253" i="1"/>
  <c r="AG2107" i="1"/>
  <c r="AG2108" i="1"/>
  <c r="AG2110" i="1"/>
  <c r="AG2248" i="1"/>
  <c r="AG2359" i="1"/>
  <c r="AG2458" i="1"/>
  <c r="AG368" i="1"/>
  <c r="AG369" i="1"/>
  <c r="AG847" i="1"/>
  <c r="AG2106" i="1"/>
  <c r="AG1967" i="1"/>
  <c r="AG1968" i="1"/>
  <c r="AF984" i="1"/>
  <c r="AF1003" i="1"/>
  <c r="AF982" i="1"/>
  <c r="AF981" i="1"/>
  <c r="AF980" i="1"/>
  <c r="AF988" i="1"/>
  <c r="AF497" i="1"/>
  <c r="J32" i="1" l="1"/>
  <c r="AG32" i="1"/>
  <c r="J1596" i="1"/>
  <c r="AG1596" i="1"/>
  <c r="J2109" i="1"/>
  <c r="AG2109" i="1"/>
  <c r="J413" i="1"/>
  <c r="AG413" i="1"/>
  <c r="J411" i="1"/>
  <c r="AG411" i="1"/>
  <c r="J1515" i="1"/>
  <c r="AG1515" i="1"/>
  <c r="J1711" i="1"/>
  <c r="AG1711" i="1"/>
  <c r="J1684" i="1"/>
  <c r="AG1684" i="1"/>
  <c r="J504" i="1"/>
  <c r="AG504" i="1"/>
  <c r="J268" i="1"/>
  <c r="AG268" i="1"/>
  <c r="J502" i="1"/>
  <c r="AG502" i="1"/>
  <c r="J1591" i="1"/>
  <c r="AG1591" i="1"/>
  <c r="J1477" i="1"/>
  <c r="J1295" i="1"/>
  <c r="AG1295" i="1"/>
  <c r="J977" i="1"/>
  <c r="AG977" i="1"/>
  <c r="J1781" i="1"/>
  <c r="AG1781" i="1"/>
  <c r="J412" i="1"/>
  <c r="AG412" i="1"/>
  <c r="J33" i="1"/>
  <c r="AG33" i="1"/>
  <c r="J414" i="1"/>
  <c r="AG414" i="1"/>
  <c r="J1131" i="1"/>
  <c r="AG1131" i="1"/>
  <c r="J410" i="1"/>
  <c r="AG410" i="1"/>
  <c r="J1838" i="1"/>
  <c r="AG1838" i="1"/>
  <c r="J2569" i="1"/>
  <c r="AG2569" i="1"/>
  <c r="J1262" i="1"/>
  <c r="AG1262" i="1"/>
  <c r="J31" i="1"/>
  <c r="AG31" i="1"/>
  <c r="J277" i="1"/>
  <c r="AG277" i="1"/>
  <c r="J1407" i="1"/>
  <c r="AG1407" i="1"/>
  <c r="J1829" i="1"/>
  <c r="AG1829" i="1"/>
  <c r="J1712" i="1"/>
  <c r="AG1712" i="1"/>
  <c r="J500" i="1"/>
  <c r="AG500" i="1"/>
  <c r="J1343" i="1"/>
  <c r="J503" i="1"/>
  <c r="AG503" i="1"/>
  <c r="J1261" i="1"/>
  <c r="AG1261" i="1"/>
  <c r="J849" i="1"/>
  <c r="AG849" i="1"/>
  <c r="J1651" i="1"/>
  <c r="J1474" i="1"/>
  <c r="J1866" i="1"/>
  <c r="J1593" i="1"/>
  <c r="J1592" i="1"/>
  <c r="J1836" i="1"/>
  <c r="J1778" i="1"/>
  <c r="J1707" i="1"/>
  <c r="J427" i="1"/>
  <c r="J501" i="1"/>
  <c r="J2106" i="1"/>
  <c r="J2110" i="1"/>
  <c r="J2108" i="1"/>
  <c r="J2107" i="1"/>
  <c r="J852" i="1"/>
  <c r="J850" i="1"/>
  <c r="J848" i="1"/>
  <c r="J847" i="1"/>
  <c r="J846" i="1"/>
  <c r="J2248" i="1"/>
  <c r="J2253" i="1"/>
  <c r="J2249" i="1"/>
  <c r="J2458" i="1"/>
  <c r="J2461" i="1"/>
  <c r="J369" i="1"/>
  <c r="J2361" i="1"/>
  <c r="J2572" i="1"/>
  <c r="J2359" i="1"/>
  <c r="J1968" i="1"/>
  <c r="J1967" i="1"/>
  <c r="J367" i="1"/>
  <c r="J368" i="1"/>
  <c r="L976" i="1" l="1"/>
  <c r="M976" i="1"/>
  <c r="S976" i="1"/>
  <c r="AD976" i="1"/>
  <c r="AE976" i="1"/>
  <c r="J923" i="1"/>
  <c r="L923" i="1"/>
  <c r="M923" i="1"/>
  <c r="S923" i="1"/>
  <c r="AD923" i="1"/>
  <c r="AE923" i="1"/>
  <c r="L1009" i="1"/>
  <c r="M1009" i="1"/>
  <c r="S1009" i="1"/>
  <c r="AD1009" i="1"/>
  <c r="AE1009" i="1"/>
  <c r="L1756" i="1"/>
  <c r="M1756" i="1"/>
  <c r="O1756" i="1"/>
  <c r="L1757" i="1"/>
  <c r="M1757" i="1"/>
  <c r="O1757" i="1"/>
  <c r="AD1757" i="1"/>
  <c r="AE1757" i="1"/>
  <c r="L1331" i="1"/>
  <c r="M1331" i="1"/>
  <c r="O1331" i="1"/>
  <c r="AG1330" i="1"/>
  <c r="AD1331" i="1"/>
  <c r="AE1331" i="1"/>
  <c r="L1439" i="1"/>
  <c r="M1439" i="1"/>
  <c r="S1439" i="1"/>
  <c r="AD1439" i="1"/>
  <c r="AE1439" i="1"/>
  <c r="O844" i="1"/>
  <c r="L844" i="1"/>
  <c r="M844" i="1"/>
  <c r="AD844" i="1"/>
  <c r="AE844" i="1"/>
  <c r="AE1884" i="1"/>
  <c r="AD1884" i="1"/>
  <c r="L1259" i="1"/>
  <c r="M1259" i="1"/>
  <c r="O1259" i="1"/>
  <c r="S1259" i="1"/>
  <c r="AD1259" i="1"/>
  <c r="AE1259" i="1"/>
  <c r="I366" i="1"/>
  <c r="L1827" i="1"/>
  <c r="M1827" i="1"/>
  <c r="O1827" i="1"/>
  <c r="AD1827" i="1"/>
  <c r="AE1827" i="1"/>
  <c r="L16" i="1"/>
  <c r="M16" i="1"/>
  <c r="S16" i="1"/>
  <c r="AD16" i="1"/>
  <c r="AE16" i="1"/>
  <c r="L1008" i="1"/>
  <c r="M1008" i="1"/>
  <c r="O1008" i="1"/>
  <c r="S1008" i="1"/>
  <c r="AD1008" i="1"/>
  <c r="AE1008" i="1"/>
  <c r="L1765" i="1"/>
  <c r="M1765" i="1"/>
  <c r="S1765" i="1"/>
  <c r="AD1765" i="1"/>
  <c r="AE1765" i="1"/>
  <c r="O569" i="1"/>
  <c r="O1171" i="1"/>
  <c r="O1172" i="1"/>
  <c r="O1173" i="1"/>
  <c r="O1174" i="1"/>
  <c r="O1192" i="1"/>
  <c r="O1193" i="1"/>
  <c r="O429" i="1"/>
  <c r="O430" i="1"/>
  <c r="O460" i="1"/>
  <c r="O461" i="1"/>
  <c r="O462" i="1"/>
  <c r="O463" i="1"/>
  <c r="O464" i="1"/>
  <c r="O465" i="1"/>
  <c r="O466" i="1"/>
  <c r="O467" i="1"/>
  <c r="O468" i="1"/>
  <c r="O1201" i="1"/>
  <c r="O1202" i="1"/>
  <c r="O1203" i="1"/>
  <c r="O1204" i="1"/>
  <c r="O1205" i="1"/>
  <c r="O1206" i="1"/>
  <c r="O1207" i="1"/>
  <c r="O1208" i="1"/>
  <c r="O1209" i="1"/>
  <c r="O1210" i="1"/>
  <c r="O1211" i="1"/>
  <c r="O1212" i="1"/>
  <c r="O1195" i="1"/>
  <c r="O1194" i="1"/>
  <c r="O1196" i="1"/>
  <c r="O1197" i="1"/>
  <c r="O1198" i="1"/>
  <c r="O1199" i="1"/>
  <c r="O836" i="1"/>
  <c r="O837" i="1"/>
  <c r="O838" i="1"/>
  <c r="O839" i="1"/>
  <c r="O840" i="1"/>
  <c r="O841" i="1"/>
  <c r="O842" i="1"/>
  <c r="O843" i="1"/>
  <c r="O845" i="1"/>
  <c r="O768" i="1"/>
  <c r="O769" i="1"/>
  <c r="O602" i="1"/>
  <c r="O603" i="1"/>
  <c r="O629" i="1"/>
  <c r="O1213" i="1"/>
  <c r="O1216" i="1"/>
  <c r="O78" i="1"/>
  <c r="O79" i="1"/>
  <c r="O572" i="1"/>
  <c r="O1882" i="1"/>
  <c r="O409" i="1"/>
  <c r="O408" i="1"/>
  <c r="O419" i="1"/>
  <c r="O418" i="1"/>
  <c r="O495" i="1"/>
  <c r="O496" i="1"/>
  <c r="O497" i="1"/>
  <c r="O498" i="1"/>
  <c r="O499" i="1"/>
  <c r="O505" i="1"/>
  <c r="O506" i="1"/>
  <c r="O507" i="1"/>
  <c r="O508" i="1"/>
  <c r="O515" i="1"/>
  <c r="O738" i="1"/>
  <c r="O2552" i="1"/>
  <c r="O2553" i="1"/>
  <c r="O2554" i="1"/>
  <c r="O2555" i="1"/>
  <c r="O2556" i="1"/>
  <c r="O2557" i="1"/>
  <c r="O2558" i="1"/>
  <c r="O2559" i="1"/>
  <c r="O2560" i="1"/>
  <c r="O2561" i="1"/>
  <c r="O2562" i="1"/>
  <c r="O2563" i="1"/>
  <c r="O2564" i="1"/>
  <c r="O2565" i="1"/>
  <c r="O2566" i="1"/>
  <c r="O2567" i="1"/>
  <c r="O2568" i="1"/>
  <c r="O1884" i="1"/>
  <c r="O148" i="1"/>
  <c r="O1962" i="1"/>
  <c r="O1967" i="1"/>
  <c r="O1968" i="1"/>
  <c r="O2106" i="1"/>
  <c r="O2107" i="1"/>
  <c r="O2108" i="1"/>
  <c r="O2110" i="1"/>
  <c r="O2248" i="1"/>
  <c r="O2249" i="1"/>
  <c r="O2253" i="1"/>
  <c r="O2359" i="1"/>
  <c r="O2361" i="1"/>
  <c r="O2458" i="1"/>
  <c r="O2461" i="1"/>
  <c r="O2569" i="1"/>
  <c r="O2572" i="1"/>
  <c r="O368" i="1"/>
  <c r="O369" i="1"/>
  <c r="O848" i="1"/>
  <c r="O850" i="1"/>
  <c r="O852" i="1"/>
  <c r="O1353" i="1"/>
  <c r="O1354" i="1"/>
  <c r="O1355" i="1"/>
  <c r="O1356" i="1"/>
  <c r="O1357" i="1"/>
  <c r="O1358" i="1"/>
  <c r="O1359" i="1"/>
  <c r="O1360" i="1"/>
  <c r="O1361" i="1"/>
  <c r="O1362" i="1"/>
  <c r="O1363" i="1"/>
  <c r="O1364" i="1"/>
  <c r="O1365" i="1"/>
  <c r="O1370" i="1"/>
  <c r="O1371" i="1"/>
  <c r="O1372" i="1"/>
  <c r="O1373" i="1"/>
  <c r="O1379" i="1"/>
  <c r="O1400" i="1"/>
  <c r="O1401" i="1"/>
  <c r="O1402" i="1"/>
  <c r="O1403" i="1"/>
  <c r="O1406" i="1"/>
  <c r="O1453" i="1"/>
  <c r="O1454" i="1"/>
  <c r="O1455" i="1"/>
  <c r="O1456" i="1"/>
  <c r="O1457" i="1"/>
  <c r="O1459" i="1"/>
  <c r="O1458" i="1"/>
  <c r="O1460" i="1"/>
  <c r="O1461" i="1"/>
  <c r="O1462" i="1"/>
  <c r="O1464" i="1"/>
  <c r="O1465" i="1"/>
  <c r="O1478" i="1"/>
  <c r="O1479" i="1"/>
  <c r="O1484" i="1"/>
  <c r="O1487" i="1"/>
  <c r="O1488" i="1"/>
  <c r="O1490" i="1"/>
  <c r="O1491" i="1"/>
  <c r="O1492" i="1"/>
  <c r="O1503" i="1"/>
  <c r="O1504" i="1"/>
  <c r="O1505" i="1"/>
  <c r="O1507" i="1"/>
  <c r="O1506" i="1"/>
  <c r="O1508" i="1"/>
  <c r="O1509" i="1"/>
  <c r="O1512" i="1"/>
  <c r="O1513" i="1"/>
  <c r="O1510" i="1"/>
  <c r="O1516" i="1"/>
  <c r="O1517" i="1"/>
  <c r="O1519" i="1"/>
  <c r="O1520" i="1"/>
  <c r="O1524" i="1"/>
  <c r="O1768" i="1"/>
  <c r="O1772" i="1"/>
  <c r="O1776" i="1"/>
  <c r="O1777" i="1"/>
  <c r="O1857" i="1"/>
  <c r="O1486" i="1"/>
  <c r="O1868" i="1"/>
  <c r="O1298" i="1"/>
  <c r="O1299" i="1"/>
  <c r="O1300" i="1"/>
  <c r="O1301" i="1"/>
  <c r="O1302" i="1"/>
  <c r="O1303" i="1"/>
  <c r="O1304" i="1"/>
  <c r="O1305" i="1"/>
  <c r="O1306" i="1"/>
  <c r="O1307" i="1"/>
  <c r="O1309" i="1"/>
  <c r="O1308" i="1"/>
  <c r="O1310" i="1"/>
  <c r="O1311" i="1"/>
  <c r="O1312" i="1"/>
  <c r="O1313" i="1"/>
  <c r="O1316" i="1"/>
  <c r="O1314" i="1"/>
  <c r="O1315" i="1"/>
  <c r="O1317" i="1"/>
  <c r="O1318" i="1"/>
  <c r="O1319" i="1"/>
  <c r="O1320" i="1"/>
  <c r="O1321" i="1"/>
  <c r="O1322" i="1"/>
  <c r="O1323" i="1"/>
  <c r="O1324" i="1"/>
  <c r="O1325" i="1"/>
  <c r="O1326" i="1"/>
  <c r="O1327" i="1"/>
  <c r="O1328" i="1"/>
  <c r="O1329" i="1"/>
  <c r="O1330" i="1"/>
  <c r="O1332" i="1"/>
  <c r="O1333" i="1"/>
  <c r="O1336" i="1"/>
  <c r="O1338" i="1"/>
  <c r="O1386" i="1"/>
  <c r="O1387" i="1"/>
  <c r="O1388" i="1"/>
  <c r="O1389" i="1"/>
  <c r="O1390" i="1"/>
  <c r="O1391" i="1"/>
  <c r="O1392" i="1"/>
  <c r="O1393" i="1"/>
  <c r="O1408" i="1"/>
  <c r="O1409" i="1"/>
  <c r="O1410" i="1"/>
  <c r="O1411" i="1"/>
  <c r="O1412" i="1"/>
  <c r="O1413" i="1"/>
  <c r="O1414" i="1"/>
  <c r="O1415" i="1"/>
  <c r="O1416" i="1"/>
  <c r="O1417" i="1"/>
  <c r="O1418" i="1"/>
  <c r="O1419" i="1"/>
  <c r="O1420" i="1"/>
  <c r="O1421" i="1"/>
  <c r="O1422" i="1"/>
  <c r="O1423" i="1"/>
  <c r="O1424" i="1"/>
  <c r="O1425" i="1"/>
  <c r="O1426" i="1"/>
  <c r="O1427" i="1"/>
  <c r="O1428" i="1"/>
  <c r="O1429" i="1"/>
  <c r="O1435" i="1"/>
  <c r="O1430" i="1"/>
  <c r="O1431" i="1"/>
  <c r="O1432" i="1"/>
  <c r="O1436" i="1"/>
  <c r="O1433" i="1"/>
  <c r="O1434" i="1"/>
  <c r="O1437" i="1"/>
  <c r="O1438" i="1"/>
  <c r="O1472" i="1"/>
  <c r="O1480" i="1"/>
  <c r="O1481" i="1"/>
  <c r="O1754" i="1"/>
  <c r="O1755" i="1"/>
  <c r="O1758" i="1"/>
  <c r="O1763" i="1"/>
  <c r="O1764" i="1"/>
  <c r="O1767" i="1"/>
  <c r="O1775" i="1"/>
  <c r="O1773" i="1"/>
  <c r="O1774" i="1"/>
  <c r="O1784" i="1"/>
  <c r="O1785" i="1"/>
  <c r="O1788" i="1"/>
  <c r="O1794" i="1"/>
  <c r="O1810" i="1"/>
  <c r="O1811" i="1"/>
  <c r="O1812" i="1"/>
  <c r="O1813" i="1"/>
  <c r="O1814" i="1"/>
  <c r="O1815" i="1"/>
  <c r="O1816" i="1"/>
  <c r="O1817" i="1"/>
  <c r="O1818" i="1"/>
  <c r="O1819" i="1"/>
  <c r="O1820" i="1"/>
  <c r="O1821" i="1"/>
  <c r="O1822" i="1"/>
  <c r="O1826" i="1"/>
  <c r="O1823" i="1"/>
  <c r="O1824" i="1"/>
  <c r="O1825" i="1"/>
  <c r="O1847" i="1"/>
  <c r="O1848" i="1"/>
  <c r="O1849" i="1"/>
  <c r="O1850" i="1"/>
  <c r="O1851" i="1"/>
  <c r="O1855" i="1"/>
  <c r="O1858" i="1"/>
  <c r="O1859" i="1"/>
  <c r="O21" i="1"/>
  <c r="O65" i="1"/>
  <c r="O66" i="1"/>
  <c r="O67" i="1"/>
  <c r="O19" i="1"/>
  <c r="O1860" i="1"/>
  <c r="O1861" i="1"/>
  <c r="O1862" i="1"/>
  <c r="O1863" i="1"/>
  <c r="O1864" i="1"/>
  <c r="O1705" i="1"/>
  <c r="O1769" i="1"/>
  <c r="O1770" i="1"/>
  <c r="O63" i="1"/>
  <c r="O71" i="1"/>
  <c r="O70" i="1"/>
  <c r="O112" i="1"/>
  <c r="O99" i="1"/>
  <c r="O102" i="1"/>
  <c r="O120" i="1"/>
  <c r="O92" i="1"/>
  <c r="O131" i="1"/>
  <c r="O93" i="1"/>
  <c r="O68" i="1"/>
  <c r="O77" i="1"/>
  <c r="O81" i="1"/>
  <c r="O82" i="1"/>
  <c r="O83" i="1"/>
  <c r="O84" i="1"/>
  <c r="O85" i="1"/>
  <c r="O20" i="1"/>
  <c r="O47" i="1"/>
  <c r="O48" i="1"/>
  <c r="O49" i="1"/>
  <c r="O50" i="1"/>
  <c r="O51" i="1"/>
  <c r="O52" i="1"/>
  <c r="O53" i="1"/>
  <c r="O54" i="1"/>
  <c r="O55" i="1"/>
  <c r="O312" i="1"/>
  <c r="O313" i="1"/>
  <c r="O674" i="1"/>
  <c r="O673" i="1"/>
  <c r="O675" i="1"/>
  <c r="O632" i="1"/>
  <c r="O633" i="1"/>
  <c r="O2627" i="1"/>
  <c r="O2370" i="1"/>
  <c r="O2371" i="1"/>
  <c r="O2372" i="1"/>
  <c r="O2373" i="1"/>
  <c r="O2374" i="1"/>
  <c r="O2375" i="1"/>
  <c r="O2376" i="1"/>
  <c r="O2377" i="1"/>
  <c r="O2378" i="1"/>
  <c r="O2299" i="1"/>
  <c r="O2300" i="1"/>
  <c r="O2301" i="1"/>
  <c r="O770" i="1"/>
  <c r="O771" i="1"/>
  <c r="O1902" i="1"/>
  <c r="O1903" i="1"/>
  <c r="O1904" i="1"/>
  <c r="O1905" i="1"/>
  <c r="O1906" i="1"/>
  <c r="O2142" i="1"/>
  <c r="O2143" i="1"/>
  <c r="O2144" i="1"/>
  <c r="O2145" i="1"/>
  <c r="O2146" i="1"/>
  <c r="O2152" i="1"/>
  <c r="O2153" i="1"/>
  <c r="O2154" i="1"/>
  <c r="O2155" i="1"/>
  <c r="O2147" i="1"/>
  <c r="O2148" i="1"/>
  <c r="O2149" i="1"/>
  <c r="O2150" i="1"/>
  <c r="O2151" i="1"/>
  <c r="O2156" i="1"/>
  <c r="O2157" i="1"/>
  <c r="O406" i="1"/>
  <c r="O12" i="1"/>
  <c r="O13" i="1"/>
  <c r="O14" i="1"/>
  <c r="O15" i="1"/>
  <c r="O1668" i="1"/>
  <c r="O1669" i="1"/>
  <c r="O1670" i="1"/>
  <c r="O1671" i="1"/>
  <c r="O1672" i="1"/>
  <c r="O1654" i="1"/>
  <c r="O1655" i="1"/>
  <c r="O1656" i="1"/>
  <c r="O1657" i="1"/>
  <c r="O1658" i="1"/>
  <c r="O1659" i="1"/>
  <c r="O1660" i="1"/>
  <c r="O1713" i="1"/>
  <c r="O1726" i="1"/>
  <c r="O1673" i="1"/>
  <c r="O1674" i="1"/>
  <c r="O1661" i="1"/>
  <c r="O1662" i="1"/>
  <c r="O1663" i="1"/>
  <c r="O1664" i="1"/>
  <c r="O615" i="1"/>
  <c r="O886" i="1"/>
  <c r="O885" i="1"/>
  <c r="O2628" i="1"/>
  <c r="O2629" i="1"/>
  <c r="O2630" i="1"/>
  <c r="O2631" i="1"/>
  <c r="O2633" i="1"/>
  <c r="O2634" i="1"/>
  <c r="O2635" i="1"/>
  <c r="O631" i="1"/>
  <c r="O213" i="1"/>
  <c r="O214" i="1"/>
  <c r="O215" i="1"/>
  <c r="O216" i="1"/>
  <c r="O217" i="1"/>
  <c r="O218" i="1"/>
  <c r="O888" i="1"/>
  <c r="O889" i="1"/>
  <c r="O665" i="1"/>
  <c r="O666" i="1"/>
  <c r="O661" i="1"/>
  <c r="O652" i="1"/>
  <c r="O669" i="1"/>
  <c r="O656" i="1"/>
  <c r="O586" i="1"/>
  <c r="O587" i="1"/>
  <c r="O1885" i="1"/>
  <c r="O1886" i="1"/>
  <c r="O1887" i="1"/>
  <c r="O1888" i="1"/>
  <c r="O1889" i="1"/>
  <c r="O1890" i="1"/>
  <c r="O762" i="1"/>
  <c r="O763" i="1"/>
  <c r="O490" i="1"/>
  <c r="O491" i="1"/>
  <c r="O492" i="1"/>
  <c r="O493" i="1"/>
  <c r="O494" i="1"/>
  <c r="O531" i="1"/>
  <c r="O533" i="1"/>
  <c r="O75" i="1"/>
  <c r="O74" i="1"/>
  <c r="O62" i="1"/>
  <c r="O91" i="1"/>
  <c r="O101" i="1"/>
  <c r="O72" i="1"/>
  <c r="O73" i="1"/>
  <c r="O76" i="1"/>
  <c r="O90" i="1"/>
  <c r="O106" i="1"/>
  <c r="O111" i="1"/>
  <c r="O129" i="1"/>
  <c r="O132" i="1"/>
  <c r="O69" i="1"/>
  <c r="O80" i="1"/>
  <c r="O103" i="1"/>
  <c r="O104" i="1"/>
  <c r="O105" i="1"/>
  <c r="O1846" i="1"/>
  <c r="O121" i="1"/>
  <c r="O123" i="1"/>
  <c r="O122" i="1"/>
  <c r="O124" i="1"/>
  <c r="O130" i="1"/>
  <c r="O134" i="1"/>
  <c r="O135" i="1"/>
  <c r="O138" i="1"/>
  <c r="O125" i="1"/>
  <c r="O126" i="1"/>
  <c r="O127" i="1"/>
  <c r="O128" i="1"/>
  <c r="O133" i="1"/>
  <c r="O137" i="1"/>
  <c r="O139" i="1"/>
  <c r="O140" i="1"/>
  <c r="O1845" i="1"/>
  <c r="O141" i="1"/>
  <c r="O142" i="1"/>
  <c r="O64"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2" i="1"/>
  <c r="O1563" i="1"/>
  <c r="O1564" i="1"/>
  <c r="O1561" i="1"/>
  <c r="O1565" i="1"/>
  <c r="O1566" i="1"/>
  <c r="O1567" i="1"/>
  <c r="O1568" i="1"/>
  <c r="O1569" i="1"/>
  <c r="O1570" i="1"/>
  <c r="O1571" i="1"/>
  <c r="O1572" i="1"/>
  <c r="O1575" i="1"/>
  <c r="O1573" i="1"/>
  <c r="O1574" i="1"/>
  <c r="O1577" i="1"/>
  <c r="O1578" i="1"/>
  <c r="O1579" i="1"/>
  <c r="O1576" i="1"/>
  <c r="O1581" i="1"/>
  <c r="O1582" i="1"/>
  <c r="O1583" i="1"/>
  <c r="O1584" i="1"/>
  <c r="O1586" i="1"/>
  <c r="O1587" i="1"/>
  <c r="O1588" i="1"/>
  <c r="O1589" i="1"/>
  <c r="O1590" i="1"/>
  <c r="O2141" i="1"/>
  <c r="O606" i="1"/>
  <c r="O607" i="1"/>
  <c r="O608" i="1"/>
  <c r="O609"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7" i="1"/>
  <c r="O1628" i="1"/>
  <c r="O1629" i="1"/>
  <c r="O1630" i="1"/>
  <c r="O1626" i="1"/>
  <c r="O1631" i="1"/>
  <c r="O1632" i="1"/>
  <c r="O1633" i="1"/>
  <c r="O1634" i="1"/>
  <c r="O1635" i="1"/>
  <c r="O1637" i="1"/>
  <c r="O1639" i="1"/>
  <c r="O1636" i="1"/>
  <c r="O1638" i="1"/>
  <c r="O1640" i="1"/>
  <c r="O1641" i="1"/>
  <c r="O1642" i="1"/>
  <c r="O1647" i="1"/>
  <c r="O1644" i="1"/>
  <c r="O1648" i="1"/>
  <c r="O1649" i="1"/>
  <c r="O1650" i="1"/>
  <c r="O532" i="1"/>
  <c r="O534" i="1"/>
  <c r="O535" i="1"/>
  <c r="O536" i="1"/>
  <c r="O537" i="1"/>
  <c r="O538" i="1"/>
  <c r="O1227" i="1"/>
  <c r="O1229" i="1"/>
  <c r="O36" i="1"/>
  <c r="O38" i="1"/>
  <c r="O34" i="1"/>
  <c r="O35" i="1"/>
  <c r="O37" i="1"/>
  <c r="O405" i="1"/>
  <c r="O404" i="1"/>
  <c r="O403" i="1"/>
  <c r="O212" i="1"/>
  <c r="O17" i="1"/>
  <c r="O18" i="1"/>
  <c r="O400" i="1"/>
  <c r="O401" i="1"/>
  <c r="O181" i="1"/>
  <c r="O136" i="1"/>
  <c r="O1795" i="1"/>
  <c r="O1525" i="1"/>
  <c r="O1526" i="1"/>
  <c r="O1744" i="1"/>
  <c r="O1745" i="1"/>
  <c r="O1746" i="1"/>
  <c r="O1748" i="1"/>
  <c r="O1747" i="1"/>
  <c r="O1749" i="1"/>
  <c r="O1751" i="1"/>
  <c r="O1750" i="1"/>
  <c r="O1752" i="1"/>
  <c r="O1753" i="1"/>
  <c r="O1708" i="1"/>
  <c r="O1709" i="1"/>
  <c r="O1710" i="1"/>
  <c r="O1493" i="1"/>
  <c r="O1494" i="1"/>
  <c r="O1495" i="1"/>
  <c r="O1496" i="1"/>
  <c r="O1497" i="1"/>
  <c r="O1498" i="1"/>
  <c r="O1500" i="1"/>
  <c r="O1501" i="1"/>
  <c r="O676" i="1"/>
  <c r="O677" i="1"/>
  <c r="O1892" i="1"/>
  <c r="O1893" i="1"/>
  <c r="O1727" i="1"/>
  <c r="O1728" i="1"/>
  <c r="O1715" i="1"/>
  <c r="O1716" i="1"/>
  <c r="O1714" i="1"/>
  <c r="O573" i="1"/>
  <c r="O729" i="1"/>
  <c r="O730" i="1"/>
  <c r="O740" i="1"/>
  <c r="O707" i="1"/>
  <c r="O314" i="1"/>
  <c r="O2613" i="1"/>
  <c r="O407" i="1"/>
  <c r="O588" i="1"/>
  <c r="O589"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9" i="1"/>
  <c r="O270" i="1"/>
  <c r="O271" i="1"/>
  <c r="O272" i="1"/>
  <c r="O273" i="1"/>
  <c r="O274" i="1"/>
  <c r="O275" i="1"/>
  <c r="O276"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4" i="1"/>
  <c r="O360" i="1"/>
  <c r="O361" i="1"/>
  <c r="O362" i="1"/>
  <c r="O363" i="1"/>
  <c r="O365" i="1"/>
  <c r="O366" i="1"/>
  <c r="O1907" i="1"/>
  <c r="O1908" i="1"/>
  <c r="O1909" i="1"/>
  <c r="O1910" i="1"/>
  <c r="O1911" i="1"/>
  <c r="O1912" i="1"/>
  <c r="O1913" i="1"/>
  <c r="O2158" i="1"/>
  <c r="O2159" i="1"/>
  <c r="O2160" i="1"/>
  <c r="O2161" i="1"/>
  <c r="O2162" i="1"/>
  <c r="O2163" i="1"/>
  <c r="O2164" i="1"/>
  <c r="O2165" i="1"/>
  <c r="O2166" i="1"/>
  <c r="O2167" i="1"/>
  <c r="O2168" i="1"/>
  <c r="O2169" i="1"/>
  <c r="O2170" i="1"/>
  <c r="O2004" i="1"/>
  <c r="O2005" i="1"/>
  <c r="O2006" i="1"/>
  <c r="O2007" i="1"/>
  <c r="O2008" i="1"/>
  <c r="O2009" i="1"/>
  <c r="O2010" i="1"/>
  <c r="O2011" i="1"/>
  <c r="O2012" i="1"/>
  <c r="O2013" i="1"/>
  <c r="O2014" i="1"/>
  <c r="O2015" i="1"/>
  <c r="O2016" i="1"/>
  <c r="O2017" i="1"/>
  <c r="O2018" i="1"/>
  <c r="O2019" i="1"/>
  <c r="O2020" i="1"/>
  <c r="O2021" i="1"/>
  <c r="O2022" i="1"/>
  <c r="O2023" i="1"/>
  <c r="O2024" i="1"/>
  <c r="O2379" i="1"/>
  <c r="O2380" i="1"/>
  <c r="O2381" i="1"/>
  <c r="O2382" i="1"/>
  <c r="O2383" i="1"/>
  <c r="O2384" i="1"/>
  <c r="O2385" i="1"/>
  <c r="O2386" i="1"/>
  <c r="O2387" i="1"/>
  <c r="O2388" i="1"/>
  <c r="O2389" i="1"/>
  <c r="O2390" i="1"/>
  <c r="O2391" i="1"/>
  <c r="O2392" i="1"/>
  <c r="O2393" i="1"/>
  <c r="O2394" i="1"/>
  <c r="O2302" i="1"/>
  <c r="O2303" i="1"/>
  <c r="O2304" i="1"/>
  <c r="O2305" i="1"/>
  <c r="O2306" i="1"/>
  <c r="O2307" i="1"/>
  <c r="O2308" i="1"/>
  <c r="O2309" i="1"/>
  <c r="O2497" i="1"/>
  <c r="O2498" i="1"/>
  <c r="O2499" i="1"/>
  <c r="O2500" i="1"/>
  <c r="O2501" i="1"/>
  <c r="O2502" i="1"/>
  <c r="O2503" i="1"/>
  <c r="O2504" i="1"/>
  <c r="O2622" i="1"/>
  <c r="O2623" i="1"/>
  <c r="O2625" i="1"/>
  <c r="O2624" i="1"/>
  <c r="O2614" i="1"/>
  <c r="O2615" i="1"/>
  <c r="O2616" i="1"/>
  <c r="O2617" i="1"/>
  <c r="O618" i="1"/>
  <c r="O619" i="1"/>
  <c r="O620" i="1"/>
  <c r="O600" i="1"/>
  <c r="O590" i="1"/>
  <c r="O591" i="1"/>
  <c r="O592" i="1"/>
  <c r="O593" i="1"/>
  <c r="O595" i="1"/>
  <c r="O596" i="1"/>
  <c r="O597" i="1"/>
  <c r="O598" i="1"/>
  <c r="O599" i="1"/>
  <c r="O616" i="1"/>
  <c r="O617" i="1"/>
  <c r="O731" i="1"/>
  <c r="O732" i="1"/>
  <c r="O733" i="1"/>
  <c r="O734" i="1"/>
  <c r="O735" i="1"/>
  <c r="O737" i="1"/>
  <c r="O736" i="1"/>
  <c r="O708" i="1"/>
  <c r="O709" i="1"/>
  <c r="O710" i="1"/>
  <c r="O711" i="1"/>
  <c r="O712" i="1"/>
  <c r="O713" i="1"/>
  <c r="O714" i="1"/>
  <c r="O715" i="1"/>
  <c r="O741" i="1"/>
  <c r="O742" i="1"/>
  <c r="O743" i="1"/>
  <c r="O744" i="1"/>
  <c r="O745" i="1"/>
  <c r="O746" i="1"/>
  <c r="O1142" i="1"/>
  <c r="O1143" i="1"/>
  <c r="O1144" i="1"/>
  <c r="O1145" i="1"/>
  <c r="O1146" i="1"/>
  <c r="O1147" i="1"/>
  <c r="O1898" i="1"/>
  <c r="O1899" i="1"/>
  <c r="O457" i="1"/>
  <c r="O458" i="1"/>
  <c r="O459" i="1"/>
  <c r="O950" i="1"/>
  <c r="O951" i="1"/>
  <c r="O1112" i="1"/>
  <c r="O892" i="1"/>
  <c r="O570" i="1"/>
  <c r="O568" i="1"/>
  <c r="O1230" i="1"/>
  <c r="O1231" i="1"/>
  <c r="O1232" i="1"/>
  <c r="O1233" i="1"/>
  <c r="O1234" i="1"/>
  <c r="O1235" i="1"/>
  <c r="O1236" i="1"/>
  <c r="O1237" i="1"/>
  <c r="O1238" i="1"/>
  <c r="O1239" i="1"/>
  <c r="O1240" i="1"/>
  <c r="O1241" i="1"/>
  <c r="O1243" i="1"/>
  <c r="O1244" i="1"/>
  <c r="O1242" i="1"/>
  <c r="O1245" i="1"/>
  <c r="O1246" i="1"/>
  <c r="O1247" i="1"/>
  <c r="O1248" i="1"/>
  <c r="O1249" i="1"/>
  <c r="O1250" i="1"/>
  <c r="O1251" i="1"/>
  <c r="O1252" i="1"/>
  <c r="O1253" i="1"/>
  <c r="O1254" i="1"/>
  <c r="O1255" i="1"/>
  <c r="O1256" i="1"/>
  <c r="O1257" i="1"/>
  <c r="O1258" i="1"/>
  <c r="O1260" i="1"/>
  <c r="O1265" i="1"/>
  <c r="O1269" i="1"/>
  <c r="O1271" i="1"/>
  <c r="O1273" i="1"/>
  <c r="O1275" i="1"/>
  <c r="O1276" i="1"/>
  <c r="O1278" i="1"/>
  <c r="O1282" i="1"/>
  <c r="O1283" i="1"/>
  <c r="O1285" i="1"/>
  <c r="O1287" i="1"/>
  <c r="O1288" i="1"/>
  <c r="O1292" i="1"/>
  <c r="O1675" i="1"/>
  <c r="O1680" i="1"/>
  <c r="O1676" i="1"/>
  <c r="O1677" i="1"/>
  <c r="O1678" i="1"/>
  <c r="O1679" i="1"/>
  <c r="O1681" i="1"/>
  <c r="O1682" i="1"/>
  <c r="O1683" i="1"/>
  <c r="O1685" i="1"/>
  <c r="O1687" i="1"/>
  <c r="O1689" i="1"/>
  <c r="O1690" i="1"/>
  <c r="O1691" i="1"/>
  <c r="O1695" i="1"/>
  <c r="O1696" i="1"/>
  <c r="O1697" i="1"/>
  <c r="O1698" i="1"/>
  <c r="O1699" i="1"/>
  <c r="O1700" i="1"/>
  <c r="O1701" i="1"/>
  <c r="O1702" i="1"/>
  <c r="O1872" i="1"/>
  <c r="O1873" i="1"/>
  <c r="O1875" i="1"/>
  <c r="O1876" i="1"/>
  <c r="O1877" i="1"/>
  <c r="O1878" i="1"/>
  <c r="O1879" i="1"/>
  <c r="O1880" i="1"/>
  <c r="O1881" i="1"/>
  <c r="O1874" i="1"/>
  <c r="O772" i="1"/>
  <c r="O773" i="1"/>
  <c r="O774" i="1"/>
  <c r="O775" i="1"/>
  <c r="O776" i="1"/>
  <c r="O777" i="1"/>
  <c r="O1870" i="1"/>
  <c r="O1871" i="1"/>
  <c r="O402" i="1"/>
  <c r="O574" i="1"/>
  <c r="O575" i="1"/>
  <c r="O576" i="1"/>
  <c r="O577" i="1"/>
  <c r="O578" i="1"/>
  <c r="O1894" i="1"/>
  <c r="O1895" i="1"/>
  <c r="O1896" i="1"/>
  <c r="O1151" i="1"/>
  <c r="O2395" i="1"/>
  <c r="O2396" i="1"/>
  <c r="O2397" i="1"/>
  <c r="O2398" i="1"/>
  <c r="O2399" i="1"/>
  <c r="O2448" i="1"/>
  <c r="O2449" i="1"/>
  <c r="O2451" i="1"/>
  <c r="O2450" i="1"/>
  <c r="O2452" i="1"/>
  <c r="O2453" i="1"/>
  <c r="O2454" i="1"/>
  <c r="O2455" i="1"/>
  <c r="O2456" i="1"/>
  <c r="O2457" i="1"/>
  <c r="O2400" i="1"/>
  <c r="O2401" i="1"/>
  <c r="O2404" i="1"/>
  <c r="O2405" i="1"/>
  <c r="O2406" i="1"/>
  <c r="O2407" i="1"/>
  <c r="O2408" i="1"/>
  <c r="O2402" i="1"/>
  <c r="O2403" i="1"/>
  <c r="O2409" i="1"/>
  <c r="O2410" i="1"/>
  <c r="O2411" i="1"/>
  <c r="O2412" i="1"/>
  <c r="O2413" i="1"/>
  <c r="O778" i="1"/>
  <c r="O779" i="1"/>
  <c r="O780" i="1"/>
  <c r="O781" i="1"/>
  <c r="O782" i="1"/>
  <c r="O783" i="1"/>
  <c r="O784" i="1"/>
  <c r="O785" i="1"/>
  <c r="O786" i="1"/>
  <c r="O787" i="1"/>
  <c r="O788" i="1"/>
  <c r="O789" i="1"/>
  <c r="O2171" i="1"/>
  <c r="O2172" i="1"/>
  <c r="O2173" i="1"/>
  <c r="O2174" i="1"/>
  <c r="O2175" i="1"/>
  <c r="O2176" i="1"/>
  <c r="O2177" i="1"/>
  <c r="O2178" i="1"/>
  <c r="O2179" i="1"/>
  <c r="O2180" i="1"/>
  <c r="O2181" i="1"/>
  <c r="O2182" i="1"/>
  <c r="O2025" i="1"/>
  <c r="O2026" i="1"/>
  <c r="O2027" i="1"/>
  <c r="O2028" i="1"/>
  <c r="O2029" i="1"/>
  <c r="O2030" i="1"/>
  <c r="O2031" i="1"/>
  <c r="O2032" i="1"/>
  <c r="O2033" i="1"/>
  <c r="O2034" i="1"/>
  <c r="O2035" i="1"/>
  <c r="O2036" i="1"/>
  <c r="O2037" i="1"/>
  <c r="O2038" i="1"/>
  <c r="O2039" i="1"/>
  <c r="O2040" i="1"/>
  <c r="O2041" i="1"/>
  <c r="O2043" i="1"/>
  <c r="O2042" i="1"/>
  <c r="O2505" i="1"/>
  <c r="O2506" i="1"/>
  <c r="O2507" i="1"/>
  <c r="O2508" i="1"/>
  <c r="O2524" i="1"/>
  <c r="O2530" i="1"/>
  <c r="O2531" i="1"/>
  <c r="O2532" i="1"/>
  <c r="O2533" i="1"/>
  <c r="O2534" i="1"/>
  <c r="O2535" i="1"/>
  <c r="O2509" i="1"/>
  <c r="O2510" i="1"/>
  <c r="O2511" i="1"/>
  <c r="O2512" i="1"/>
  <c r="O2513" i="1"/>
  <c r="O2514" i="1"/>
  <c r="O2515" i="1"/>
  <c r="O2516" i="1"/>
  <c r="O2517" i="1"/>
  <c r="O2518" i="1"/>
  <c r="O2519" i="1"/>
  <c r="O143" i="1"/>
  <c r="O144" i="1"/>
  <c r="O147" i="1"/>
  <c r="O678" i="1"/>
  <c r="O679" i="1"/>
  <c r="O680" i="1"/>
  <c r="O681" i="1"/>
  <c r="O682" i="1"/>
  <c r="O683" i="1"/>
  <c r="O684" i="1"/>
  <c r="O685" i="1"/>
  <c r="O686" i="1"/>
  <c r="O687" i="1"/>
  <c r="O688" i="1"/>
  <c r="O689" i="1"/>
  <c r="O690" i="1"/>
  <c r="O691" i="1"/>
  <c r="O692" i="1"/>
  <c r="O113" i="1"/>
  <c r="O114" i="1"/>
  <c r="O118" i="1"/>
  <c r="O115" i="1"/>
  <c r="O116" i="1"/>
  <c r="O117" i="1"/>
  <c r="O1148" i="1"/>
  <c r="O1149" i="1"/>
  <c r="O1150" i="1"/>
  <c r="O1152" i="1"/>
  <c r="O1153" i="1"/>
  <c r="O1154" i="1"/>
  <c r="O1155" i="1"/>
  <c r="O1156" i="1"/>
  <c r="O159" i="1"/>
  <c r="O161" i="1"/>
  <c r="O162" i="1"/>
  <c r="O158" i="1"/>
  <c r="O1226" i="1"/>
  <c r="O1228" i="1"/>
  <c r="O2310" i="1"/>
  <c r="O2311" i="1"/>
  <c r="O2312" i="1"/>
  <c r="O2313" i="1"/>
  <c r="O2314" i="1"/>
  <c r="O2315" i="1"/>
  <c r="O2316" i="1"/>
  <c r="O2317" i="1"/>
  <c r="O2318" i="1"/>
  <c r="O2319" i="1"/>
  <c r="O2320" i="1"/>
  <c r="O2321" i="1"/>
  <c r="O2322" i="1"/>
  <c r="O2323" i="1"/>
  <c r="O2183" i="1"/>
  <c r="O2184" i="1"/>
  <c r="O2185" i="1"/>
  <c r="O2186" i="1"/>
  <c r="O2187" i="1"/>
  <c r="O2188" i="1"/>
  <c r="O2189" i="1"/>
  <c r="O2190" i="1"/>
  <c r="O2191" i="1"/>
  <c r="O2192" i="1"/>
  <c r="O2193" i="1"/>
  <c r="O2194" i="1"/>
  <c r="O2195" i="1"/>
  <c r="O2196" i="1"/>
  <c r="O2197" i="1"/>
  <c r="O2198" i="1"/>
  <c r="O2199" i="1"/>
  <c r="O2200" i="1"/>
  <c r="O790" i="1"/>
  <c r="O791" i="1"/>
  <c r="O792" i="1"/>
  <c r="O793" i="1"/>
  <c r="O794" i="1"/>
  <c r="O795" i="1"/>
  <c r="O796" i="1"/>
  <c r="O797" i="1"/>
  <c r="O798" i="1"/>
  <c r="O799" i="1"/>
  <c r="O2044" i="1"/>
  <c r="O2045" i="1"/>
  <c r="O2046" i="1"/>
  <c r="O2047" i="1"/>
  <c r="O2048" i="1"/>
  <c r="O2049" i="1"/>
  <c r="O2050" i="1"/>
  <c r="O2051" i="1"/>
  <c r="O2052" i="1"/>
  <c r="O2053" i="1"/>
  <c r="O2054" i="1"/>
  <c r="O2055" i="1"/>
  <c r="O2056" i="1"/>
  <c r="O2057" i="1"/>
  <c r="O2058" i="1"/>
  <c r="O2059" i="1"/>
  <c r="O2060" i="1"/>
  <c r="O2520" i="1"/>
  <c r="O2521" i="1"/>
  <c r="O2522" i="1"/>
  <c r="O2414" i="1"/>
  <c r="O2415" i="1"/>
  <c r="O2416" i="1"/>
  <c r="O2417" i="1"/>
  <c r="O2418" i="1"/>
  <c r="O2419" i="1"/>
  <c r="O2420" i="1"/>
  <c r="O2421" i="1"/>
  <c r="O2422" i="1"/>
  <c r="O2423" i="1"/>
  <c r="O929" i="1"/>
  <c r="O930" i="1"/>
  <c r="O931" i="1"/>
  <c r="O932" i="1"/>
  <c r="O933" i="1"/>
  <c r="O934" i="1"/>
  <c r="O935" i="1"/>
  <c r="O936" i="1"/>
  <c r="O938" i="1"/>
  <c r="O937" i="1"/>
  <c r="O939" i="1"/>
  <c r="O940" i="1"/>
  <c r="O941" i="1"/>
  <c r="O942" i="1"/>
  <c r="O943" i="1"/>
  <c r="O1036" i="1"/>
  <c r="O1037" i="1"/>
  <c r="O1038" i="1"/>
  <c r="O1039" i="1"/>
  <c r="O1040" i="1"/>
  <c r="O1041" i="1"/>
  <c r="O1042" i="1"/>
  <c r="O1043" i="1"/>
  <c r="O1044" i="1"/>
  <c r="O1045" i="1"/>
  <c r="O1047" i="1"/>
  <c r="O1046" i="1"/>
  <c r="O1048" i="1"/>
  <c r="O1050" i="1"/>
  <c r="O1049" i="1"/>
  <c r="O1051" i="1"/>
  <c r="O1053" i="1"/>
  <c r="O1052" i="1"/>
  <c r="O1069" i="1"/>
  <c r="O1070" i="1"/>
  <c r="O1071" i="1"/>
  <c r="O1072" i="1"/>
  <c r="O1073" i="1"/>
  <c r="O1074" i="1"/>
  <c r="O1075" i="1"/>
  <c r="O1076" i="1"/>
  <c r="O1077" i="1"/>
  <c r="O1078" i="1"/>
  <c r="O1086" i="1"/>
  <c r="O1079" i="1"/>
  <c r="O1080" i="1"/>
  <c r="O1081" i="1"/>
  <c r="O1082" i="1"/>
  <c r="O1083" i="1"/>
  <c r="O1084" i="1"/>
  <c r="O1085" i="1"/>
  <c r="O1087" i="1"/>
  <c r="O1088" i="1"/>
  <c r="O893" i="1"/>
  <c r="O894" i="1"/>
  <c r="O896" i="1"/>
  <c r="O895"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8" i="1"/>
  <c r="O944" i="1"/>
  <c r="O949" i="1"/>
  <c r="O945" i="1"/>
  <c r="O946" i="1"/>
  <c r="O947" i="1"/>
  <c r="O948" i="1"/>
  <c r="O952" i="1"/>
  <c r="O953" i="1"/>
  <c r="O954" i="1"/>
  <c r="O955" i="1"/>
  <c r="O956" i="1"/>
  <c r="O957" i="1"/>
  <c r="O960" i="1"/>
  <c r="O961" i="1"/>
  <c r="O962" i="1"/>
  <c r="O963" i="1"/>
  <c r="O965" i="1"/>
  <c r="O959" i="1"/>
  <c r="O964" i="1"/>
  <c r="O966" i="1"/>
  <c r="O967" i="1"/>
  <c r="O968" i="1"/>
  <c r="O969" i="1"/>
  <c r="O970" i="1"/>
  <c r="O971" i="1"/>
  <c r="O972" i="1"/>
  <c r="O973" i="1"/>
  <c r="O974" i="1"/>
  <c r="O975" i="1"/>
  <c r="O1089" i="1"/>
  <c r="O1090" i="1"/>
  <c r="O1091" i="1"/>
  <c r="O1092" i="1"/>
  <c r="O1093" i="1"/>
  <c r="O1094" i="1"/>
  <c r="O1095" i="1"/>
  <c r="O1096" i="1"/>
  <c r="O1111" i="1"/>
  <c r="O1097" i="1"/>
  <c r="O1098" i="1"/>
  <c r="O1099" i="1"/>
  <c r="O1100" i="1"/>
  <c r="O1101" i="1"/>
  <c r="O1102" i="1"/>
  <c r="O1103" i="1"/>
  <c r="O1104" i="1"/>
  <c r="O1105" i="1"/>
  <c r="O1106" i="1"/>
  <c r="O1107" i="1"/>
  <c r="O1108" i="1"/>
  <c r="O1109" i="1"/>
  <c r="O1110" i="1"/>
  <c r="O1113" i="1"/>
  <c r="O1114" i="1"/>
  <c r="O1115" i="1"/>
  <c r="O1116" i="1"/>
  <c r="O1117" i="1"/>
  <c r="O1118" i="1"/>
  <c r="O1119" i="1"/>
  <c r="O1120" i="1"/>
  <c r="O1123" i="1"/>
  <c r="O1122" i="1"/>
  <c r="O1124" i="1"/>
  <c r="O1125" i="1"/>
  <c r="O1126" i="1"/>
  <c r="O1127" i="1"/>
  <c r="O1140" i="1"/>
  <c r="O1128" i="1"/>
  <c r="O1129" i="1"/>
  <c r="O1130" i="1"/>
  <c r="O1141" i="1"/>
  <c r="O1134" i="1"/>
  <c r="O979" i="1"/>
  <c r="O980" i="1"/>
  <c r="O981" i="1"/>
  <c r="O982" i="1"/>
  <c r="O983" i="1"/>
  <c r="O984" i="1"/>
  <c r="O985" i="1"/>
  <c r="O987" i="1"/>
  <c r="O986" i="1"/>
  <c r="O988" i="1"/>
  <c r="O989" i="1"/>
  <c r="O990" i="1"/>
  <c r="O991" i="1"/>
  <c r="O992" i="1"/>
  <c r="O993" i="1"/>
  <c r="O994" i="1"/>
  <c r="O995" i="1"/>
  <c r="O996" i="1"/>
  <c r="O997" i="1"/>
  <c r="O998" i="1"/>
  <c r="O999" i="1"/>
  <c r="O1000" i="1"/>
  <c r="O1001" i="1"/>
  <c r="O1002" i="1"/>
  <c r="O1003" i="1"/>
  <c r="O1004" i="1"/>
  <c r="O1013" i="1"/>
  <c r="O1005" i="1"/>
  <c r="O1006" i="1"/>
  <c r="O1007" i="1"/>
  <c r="O1012" i="1"/>
  <c r="O1014" i="1"/>
  <c r="O1015" i="1"/>
  <c r="O1016" i="1"/>
  <c r="O1023" i="1"/>
  <c r="O1017" i="1"/>
  <c r="O1018" i="1"/>
  <c r="O1019" i="1"/>
  <c r="O1020" i="1"/>
  <c r="O1021" i="1"/>
  <c r="O1022" i="1"/>
  <c r="O1024" i="1"/>
  <c r="O1025" i="1"/>
  <c r="O1026" i="1"/>
  <c r="O1027" i="1"/>
  <c r="O1028" i="1"/>
  <c r="O1029" i="1"/>
  <c r="O1030" i="1"/>
  <c r="O1031" i="1"/>
  <c r="O1032" i="1"/>
  <c r="O1033" i="1"/>
  <c r="O1034" i="1"/>
  <c r="O1035" i="1"/>
  <c r="O1054" i="1"/>
  <c r="O1056" i="1"/>
  <c r="O1057" i="1"/>
  <c r="O1058" i="1"/>
  <c r="O1059" i="1"/>
  <c r="O1060" i="1"/>
  <c r="O1055" i="1"/>
  <c r="O1061" i="1"/>
  <c r="O1062" i="1"/>
  <c r="O1063" i="1"/>
  <c r="O1064" i="1"/>
  <c r="O1065" i="1"/>
  <c r="O1066" i="1"/>
  <c r="O1067" i="1"/>
  <c r="O1068" i="1"/>
  <c r="O1796" i="1"/>
  <c r="O1797" i="1"/>
  <c r="O1798" i="1"/>
  <c r="O1799" i="1"/>
  <c r="O1800" i="1"/>
  <c r="O1801" i="1"/>
  <c r="O1802" i="1"/>
  <c r="O1803" i="1"/>
  <c r="O1806" i="1"/>
  <c r="O1729" i="1"/>
  <c r="O1721" i="1"/>
  <c r="O1725" i="1"/>
  <c r="O2061" i="1"/>
  <c r="O2062" i="1"/>
  <c r="O2063" i="1"/>
  <c r="O2064" i="1"/>
  <c r="O2065" i="1"/>
  <c r="O2066" i="1"/>
  <c r="O2424" i="1"/>
  <c r="O2425" i="1"/>
  <c r="O2324" i="1"/>
  <c r="O2325" i="1"/>
  <c r="O2326" i="1"/>
  <c r="O2327" i="1"/>
  <c r="O2328" i="1"/>
  <c r="O2329" i="1"/>
  <c r="O2330" i="1"/>
  <c r="O2331" i="1"/>
  <c r="O1900" i="1"/>
  <c r="O1901" i="1"/>
  <c r="O670" i="1"/>
  <c r="O671" i="1"/>
  <c r="O1717" i="1"/>
  <c r="O657" i="1"/>
  <c r="O658" i="1"/>
  <c r="O659" i="1"/>
  <c r="O662" i="1"/>
  <c r="O663" i="1"/>
  <c r="O653" i="1"/>
  <c r="O654" i="1"/>
  <c r="O667" i="1"/>
  <c r="O1914" i="1"/>
  <c r="O1915" i="1"/>
  <c r="O1916" i="1"/>
  <c r="O1917" i="1"/>
  <c r="O1918" i="1"/>
  <c r="O890" i="1"/>
  <c r="O887" i="1"/>
  <c r="O891" i="1"/>
  <c r="O579" i="1"/>
  <c r="O580" i="1"/>
  <c r="O1897" i="1"/>
  <c r="O145" i="1"/>
  <c r="O1891" i="1"/>
  <c r="O2201" i="1"/>
  <c r="O2523" i="1"/>
  <c r="O2525" i="1"/>
  <c r="O2526" i="1"/>
  <c r="O1919" i="1"/>
  <c r="O1921" i="1"/>
  <c r="O1922" i="1"/>
  <c r="O1923" i="1"/>
  <c r="O1924" i="1"/>
  <c r="O800" i="1"/>
  <c r="O801" i="1"/>
  <c r="O802" i="1"/>
  <c r="O803" i="1"/>
  <c r="O804" i="1"/>
  <c r="O805" i="1"/>
  <c r="O806" i="1"/>
  <c r="O2067" i="1"/>
  <c r="O2068" i="1"/>
  <c r="O2069" i="1"/>
  <c r="O2071" i="1"/>
  <c r="O2070" i="1"/>
  <c r="O1731" i="1"/>
  <c r="O1730" i="1"/>
  <c r="O1732" i="1"/>
  <c r="O1733" i="1"/>
  <c r="O655" i="1"/>
  <c r="O660" i="1"/>
  <c r="O664" i="1"/>
  <c r="O668" i="1"/>
  <c r="O672" i="1"/>
  <c r="O1920" i="1"/>
  <c r="O821" i="1"/>
  <c r="O2338" i="1"/>
  <c r="O2339" i="1"/>
  <c r="O739" i="1"/>
  <c r="O706" i="1"/>
  <c r="O1665" i="1"/>
  <c r="O1594" i="1"/>
  <c r="O1595" i="1"/>
  <c r="O1771" i="1"/>
  <c r="O1734" i="1"/>
  <c r="O1735" i="1"/>
  <c r="O1736" i="1"/>
  <c r="O1737" i="1"/>
  <c r="O1738" i="1"/>
  <c r="O1739" i="1"/>
  <c r="O183" i="1"/>
  <c r="O184" i="1"/>
  <c r="O211" i="1"/>
  <c r="O210" i="1"/>
  <c r="O186" i="1"/>
  <c r="O185" i="1"/>
  <c r="O188" i="1"/>
  <c r="O187" i="1"/>
  <c r="O196" i="1"/>
  <c r="O195" i="1"/>
  <c r="O207" i="1"/>
  <c r="O206" i="1"/>
  <c r="O209" i="1"/>
  <c r="O208" i="1"/>
  <c r="O190" i="1"/>
  <c r="O1666" i="1"/>
  <c r="O807" i="1"/>
  <c r="O808" i="1"/>
  <c r="O809" i="1"/>
  <c r="O2605" i="1"/>
  <c r="O810" i="1"/>
  <c r="O812" i="1"/>
  <c r="O813" i="1"/>
  <c r="O811" i="1"/>
  <c r="O814" i="1"/>
  <c r="O815" i="1"/>
  <c r="O1925" i="1"/>
  <c r="O1926" i="1"/>
  <c r="O1927" i="1"/>
  <c r="O1928" i="1"/>
  <c r="O1929" i="1"/>
  <c r="O1930" i="1"/>
  <c r="O1932" i="1"/>
  <c r="O2072" i="1"/>
  <c r="O2073" i="1"/>
  <c r="O2074" i="1"/>
  <c r="O2075" i="1"/>
  <c r="O2076" i="1"/>
  <c r="O1931" i="1"/>
  <c r="O1933" i="1"/>
  <c r="O1934" i="1"/>
  <c r="O1936" i="1"/>
  <c r="O1935" i="1"/>
  <c r="O2077" i="1"/>
  <c r="O2202" i="1"/>
  <c r="O2203" i="1"/>
  <c r="O2204" i="1"/>
  <c r="O2205" i="1"/>
  <c r="O2078" i="1"/>
  <c r="O2079" i="1"/>
  <c r="O2080" i="1"/>
  <c r="O2081" i="1"/>
  <c r="O2082" i="1"/>
  <c r="O2083" i="1"/>
  <c r="O2084" i="1"/>
  <c r="O2206" i="1"/>
  <c r="O2207" i="1"/>
  <c r="O2208" i="1"/>
  <c r="O2209" i="1"/>
  <c r="O2210" i="1"/>
  <c r="O2211" i="1"/>
  <c r="O2212" i="1"/>
  <c r="O2213" i="1"/>
  <c r="O2214" i="1"/>
  <c r="O2215" i="1"/>
  <c r="O2216" i="1"/>
  <c r="O2332" i="1"/>
  <c r="O2333" i="1"/>
  <c r="O2334" i="1"/>
  <c r="O2335" i="1"/>
  <c r="O2336" i="1"/>
  <c r="O2337" i="1"/>
  <c r="O2426" i="1"/>
  <c r="O2427" i="1"/>
  <c r="O2428" i="1"/>
  <c r="O2429" i="1"/>
  <c r="O2430" i="1"/>
  <c r="O2431" i="1"/>
  <c r="O2432" i="1"/>
  <c r="O2433" i="1"/>
  <c r="O2434" i="1"/>
  <c r="O2435" i="1"/>
  <c r="O2436" i="1"/>
  <c r="O2437" i="1"/>
  <c r="O2438" i="1"/>
  <c r="O2439" i="1"/>
  <c r="O2440" i="1"/>
  <c r="O2441" i="1"/>
  <c r="O2527" i="1"/>
  <c r="O2528" i="1"/>
  <c r="O2529" i="1"/>
  <c r="O107" i="1"/>
  <c r="O110" i="1"/>
  <c r="O1482" i="1"/>
  <c r="O1473" i="1"/>
  <c r="O636" i="1"/>
  <c r="O634" i="1"/>
  <c r="O635" i="1"/>
  <c r="O637" i="1"/>
  <c r="O638" i="1"/>
  <c r="O640" i="1"/>
  <c r="O639" i="1"/>
  <c r="O641" i="1"/>
  <c r="O642" i="1"/>
  <c r="O643" i="1"/>
  <c r="O644" i="1"/>
  <c r="O645" i="1"/>
  <c r="O646" i="1"/>
  <c r="O647" i="1"/>
  <c r="O648" i="1"/>
  <c r="O649" i="1"/>
  <c r="O650" i="1"/>
  <c r="O651" i="1"/>
  <c r="O94" i="1"/>
  <c r="O98" i="1"/>
  <c r="O601" i="1"/>
  <c r="O622" i="1"/>
  <c r="O623" i="1"/>
  <c r="O624" i="1"/>
  <c r="O625" i="1"/>
  <c r="O628" i="1"/>
  <c r="O630" i="1"/>
  <c r="O621" i="1"/>
  <c r="O22" i="1"/>
  <c r="O23" i="1"/>
  <c r="O24" i="1"/>
  <c r="O25" i="1"/>
  <c r="O26" i="1"/>
  <c r="O27" i="1"/>
  <c r="O28" i="1"/>
  <c r="O29" i="1"/>
  <c r="O30" i="1"/>
  <c r="O61" i="1"/>
  <c r="O40" i="1"/>
  <c r="O39" i="1"/>
  <c r="O764" i="1"/>
  <c r="O765" i="1"/>
  <c r="O1807" i="1"/>
  <c r="O1808" i="1"/>
  <c r="O1809" i="1"/>
  <c r="O816" i="1"/>
  <c r="O817" i="1"/>
  <c r="O818" i="1"/>
  <c r="O819" i="1"/>
  <c r="O820" i="1"/>
  <c r="O395" i="1"/>
  <c r="O399" i="1"/>
  <c r="O146" i="1"/>
  <c r="O2217" i="1"/>
  <c r="O2218" i="1"/>
  <c r="O2219" i="1"/>
  <c r="O2220" i="1"/>
  <c r="O2340" i="1"/>
  <c r="O2341" i="1"/>
  <c r="O2342" i="1"/>
  <c r="O2343" i="1"/>
  <c r="O2536" i="1"/>
  <c r="O2537" i="1"/>
  <c r="O822" i="1"/>
  <c r="O823" i="1"/>
  <c r="O824" i="1"/>
  <c r="O278" i="1"/>
  <c r="O280" i="1"/>
  <c r="O281" i="1"/>
  <c r="O285" i="1"/>
  <c r="O310" i="1"/>
  <c r="O311" i="1"/>
  <c r="O766" i="1"/>
  <c r="O767"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085" i="1"/>
  <c r="O2086" i="1"/>
  <c r="O2087" i="1"/>
  <c r="O2088" i="1"/>
  <c r="O2089" i="1"/>
  <c r="O2090" i="1"/>
  <c r="O2091" i="1"/>
  <c r="O2092" i="1"/>
  <c r="O2093" i="1"/>
  <c r="O2094" i="1"/>
  <c r="O2096" i="1"/>
  <c r="O2097" i="1"/>
  <c r="O2095" i="1"/>
  <c r="O2098" i="1"/>
  <c r="O2099" i="1"/>
  <c r="O2100" i="1"/>
  <c r="O2101" i="1"/>
  <c r="O2102" i="1"/>
  <c r="O2103" i="1"/>
  <c r="O2105" i="1"/>
  <c r="O2104" i="1"/>
  <c r="O2344" i="1"/>
  <c r="O2442" i="1"/>
  <c r="O2443" i="1"/>
  <c r="O2444" i="1"/>
  <c r="O2445" i="1"/>
  <c r="O2446" i="1"/>
  <c r="O2447" i="1"/>
  <c r="O2538" i="1"/>
  <c r="O747" i="1"/>
  <c r="O748" i="1"/>
  <c r="O749" i="1"/>
  <c r="O825" i="1"/>
  <c r="O826" i="1"/>
  <c r="O827" i="1"/>
  <c r="O1937" i="1"/>
  <c r="O1938" i="1"/>
  <c r="O1939" i="1"/>
  <c r="O1940" i="1"/>
  <c r="O1941" i="1"/>
  <c r="O1942" i="1"/>
  <c r="O1943" i="1"/>
  <c r="O1945" i="1"/>
  <c r="O1946" i="1"/>
  <c r="O1947" i="1"/>
  <c r="O1948" i="1"/>
  <c r="O1949" i="1"/>
  <c r="O1950" i="1"/>
  <c r="O1951" i="1"/>
  <c r="O1952" i="1"/>
  <c r="O1953" i="1"/>
  <c r="O1954" i="1"/>
  <c r="O1955" i="1"/>
  <c r="O1956" i="1"/>
  <c r="O1957" i="1"/>
  <c r="O1958" i="1"/>
  <c r="O1959" i="1"/>
  <c r="O1960" i="1"/>
  <c r="O1961" i="1"/>
  <c r="O2539" i="1"/>
  <c r="O2540" i="1"/>
  <c r="O2541" i="1"/>
  <c r="O2542" i="1"/>
  <c r="O2543" i="1"/>
  <c r="O2544" i="1"/>
  <c r="O2545" i="1"/>
  <c r="O2546" i="1"/>
  <c r="O2547" i="1"/>
  <c r="O2548" i="1"/>
  <c r="O2549" i="1"/>
  <c r="O2550" i="1"/>
  <c r="O2551" i="1"/>
  <c r="O2345" i="1"/>
  <c r="O2346" i="1"/>
  <c r="O2347" i="1"/>
  <c r="O2348" i="1"/>
  <c r="O2349" i="1"/>
  <c r="O2350" i="1"/>
  <c r="O2351" i="1"/>
  <c r="O2352" i="1"/>
  <c r="O2353" i="1"/>
  <c r="O2354" i="1"/>
  <c r="O2355" i="1"/>
  <c r="O2356" i="1"/>
  <c r="O2357" i="1"/>
  <c r="O2358" i="1"/>
  <c r="O828" i="1"/>
  <c r="O829" i="1"/>
  <c r="O830" i="1"/>
  <c r="O831" i="1"/>
  <c r="O832" i="1"/>
  <c r="O833" i="1"/>
  <c r="O834" i="1"/>
  <c r="O835" i="1"/>
  <c r="O716" i="1"/>
  <c r="O717" i="1"/>
  <c r="O718" i="1"/>
  <c r="O719" i="1"/>
  <c r="O721" i="1"/>
  <c r="O610" i="1"/>
  <c r="O594" i="1"/>
  <c r="O626" i="1"/>
  <c r="O627" i="1"/>
  <c r="O1190" i="1"/>
  <c r="O1191" i="1"/>
  <c r="O1158" i="1"/>
  <c r="O1161" i="1"/>
  <c r="O1159" i="1"/>
  <c r="O1160" i="1"/>
  <c r="O1162" i="1"/>
  <c r="O1163" i="1"/>
  <c r="O1164" i="1"/>
  <c r="O1165" i="1"/>
  <c r="O1166" i="1"/>
  <c r="O1167" i="1"/>
  <c r="O1168" i="1"/>
  <c r="O539" i="1"/>
  <c r="O540" i="1"/>
  <c r="O541" i="1"/>
  <c r="O1169" i="1"/>
  <c r="O1170" i="1"/>
  <c r="O1293" i="1"/>
  <c r="L419" i="1"/>
  <c r="M419" i="1"/>
  <c r="AG419" i="1"/>
  <c r="AE419" i="1"/>
  <c r="AD419" i="1"/>
  <c r="AE508" i="1"/>
  <c r="L508" i="1"/>
  <c r="M508" i="1"/>
  <c r="AD508" i="1"/>
  <c r="L408" i="1"/>
  <c r="M408" i="1"/>
  <c r="AD408" i="1"/>
  <c r="AE408" i="1"/>
  <c r="L507" i="1"/>
  <c r="M507" i="1"/>
  <c r="AD507" i="1"/>
  <c r="AE507" i="1"/>
  <c r="L365" i="1"/>
  <c r="M365" i="1"/>
  <c r="AD365" i="1"/>
  <c r="AE365" i="1"/>
  <c r="I363" i="1"/>
  <c r="L506" i="1"/>
  <c r="M506" i="1"/>
  <c r="AG506" i="1"/>
  <c r="AD506" i="1"/>
  <c r="AE506" i="1"/>
  <c r="L505" i="1"/>
  <c r="M505" i="1"/>
  <c r="AE505" i="1"/>
  <c r="AD505" i="1"/>
  <c r="L2567" i="1"/>
  <c r="M2567" i="1"/>
  <c r="I2568" i="1"/>
  <c r="AG2567" i="1"/>
  <c r="AE2567" i="1"/>
  <c r="AD2567" i="1"/>
  <c r="L361" i="1"/>
  <c r="M361" i="1"/>
  <c r="L362" i="1"/>
  <c r="M362" i="1"/>
  <c r="AD362" i="1"/>
  <c r="AE362" i="1"/>
  <c r="L275" i="1"/>
  <c r="M275" i="1"/>
  <c r="S275" i="1"/>
  <c r="I276" i="1"/>
  <c r="AG275" i="1"/>
  <c r="AD275" i="1"/>
  <c r="AE275" i="1"/>
  <c r="I898" i="1"/>
  <c r="AF995" i="1"/>
  <c r="AF998" i="1"/>
  <c r="AF893" i="1"/>
  <c r="AG893" i="1" s="1"/>
  <c r="AF896" i="1"/>
  <c r="AG896" i="1" s="1"/>
  <c r="L975" i="1"/>
  <c r="M975" i="1"/>
  <c r="S975" i="1"/>
  <c r="AG975" i="1"/>
  <c r="AD975" i="1"/>
  <c r="AE975" i="1"/>
  <c r="L1006" i="1"/>
  <c r="M1006" i="1"/>
  <c r="L1007" i="1"/>
  <c r="M1007" i="1"/>
  <c r="AG1007" i="1"/>
  <c r="S1007" i="1"/>
  <c r="AD1007" i="1"/>
  <c r="AE1007" i="1"/>
  <c r="J922" i="1"/>
  <c r="L922" i="1"/>
  <c r="M922" i="1"/>
  <c r="AD922" i="1"/>
  <c r="AE922" i="1"/>
  <c r="AG1756" i="1"/>
  <c r="AD1756" i="1"/>
  <c r="AE1756" i="1"/>
  <c r="L499" i="1"/>
  <c r="M499" i="1"/>
  <c r="AG499" i="1"/>
  <c r="AD499" i="1"/>
  <c r="AE499" i="1"/>
  <c r="AG361" i="1"/>
  <c r="AD361" i="1"/>
  <c r="AE361" i="1"/>
  <c r="AG274" i="1"/>
  <c r="L274" i="1"/>
  <c r="M274" i="1"/>
  <c r="S274" i="1"/>
  <c r="AD274" i="1"/>
  <c r="AE274" i="1"/>
  <c r="I603" i="1"/>
  <c r="L602" i="1"/>
  <c r="M602" i="1"/>
  <c r="AD602" i="1"/>
  <c r="AE602" i="1"/>
  <c r="I769" i="1"/>
  <c r="AG768" i="1"/>
  <c r="L768" i="1"/>
  <c r="M768" i="1"/>
  <c r="AD768" i="1"/>
  <c r="AE768" i="1"/>
  <c r="AG498" i="1"/>
  <c r="L498" i="1"/>
  <c r="M498" i="1"/>
  <c r="AD498" i="1"/>
  <c r="AE498" i="1"/>
  <c r="L497" i="1"/>
  <c r="M497" i="1"/>
  <c r="AD497" i="1"/>
  <c r="AE497" i="1"/>
  <c r="L495" i="1"/>
  <c r="M495" i="1"/>
  <c r="AD495" i="1"/>
  <c r="AE495" i="1"/>
  <c r="AD843" i="1"/>
  <c r="AE843" i="1"/>
  <c r="AD769" i="1"/>
  <c r="AE769" i="1"/>
  <c r="AD629" i="1"/>
  <c r="AE629" i="1"/>
  <c r="AD1213" i="1"/>
  <c r="AE1213" i="1"/>
  <c r="AD1882" i="1"/>
  <c r="AE1882" i="1"/>
  <c r="AD409" i="1"/>
  <c r="AE409" i="1"/>
  <c r="AD496" i="1"/>
  <c r="AE496" i="1"/>
  <c r="AG273" i="1"/>
  <c r="L273" i="1"/>
  <c r="M273" i="1"/>
  <c r="AD273" i="1"/>
  <c r="AE273" i="1"/>
  <c r="L360" i="1"/>
  <c r="M360" i="1"/>
  <c r="AD360" i="1"/>
  <c r="AE360" i="1"/>
  <c r="J1827" i="1" l="1"/>
  <c r="AG1827" i="1"/>
  <c r="J508" i="1"/>
  <c r="AG508" i="1"/>
  <c r="J1765" i="1"/>
  <c r="AG1765" i="1"/>
  <c r="J1259" i="1"/>
  <c r="AG1259" i="1"/>
  <c r="J1439" i="1"/>
  <c r="AG1439" i="1"/>
  <c r="J1009" i="1"/>
  <c r="AG1009" i="1"/>
  <c r="J360" i="1"/>
  <c r="AG360" i="1"/>
  <c r="J844" i="1"/>
  <c r="AG844" i="1"/>
  <c r="J497" i="1"/>
  <c r="AG497" i="1"/>
  <c r="J1757" i="1"/>
  <c r="AG1757" i="1"/>
  <c r="J408" i="1"/>
  <c r="AG408" i="1"/>
  <c r="J495" i="1"/>
  <c r="AG495" i="1"/>
  <c r="J602" i="1"/>
  <c r="AG602" i="1"/>
  <c r="J1331" i="1"/>
  <c r="AG1331" i="1"/>
  <c r="J505" i="1"/>
  <c r="AG505" i="1"/>
  <c r="J507" i="1"/>
  <c r="AG507" i="1"/>
  <c r="J362" i="1"/>
  <c r="AG362" i="1"/>
  <c r="J365" i="1"/>
  <c r="AG365" i="1"/>
  <c r="J1008" i="1"/>
  <c r="AG1008" i="1"/>
  <c r="J16" i="1"/>
  <c r="AG16" i="1"/>
  <c r="J976" i="1"/>
  <c r="AG976" i="1"/>
  <c r="J419" i="1"/>
  <c r="J506" i="1"/>
  <c r="J975" i="1"/>
  <c r="J274" i="1"/>
  <c r="J499" i="1"/>
  <c r="J273" i="1"/>
  <c r="J498" i="1"/>
  <c r="J361" i="1"/>
  <c r="J768" i="1"/>
  <c r="J1007" i="1"/>
  <c r="J2567" i="1"/>
  <c r="J1756" i="1"/>
  <c r="J275" i="1"/>
  <c r="L1109" i="1"/>
  <c r="M1109" i="1"/>
  <c r="S1109" i="1"/>
  <c r="I1110" i="1"/>
  <c r="AG1109" i="1"/>
  <c r="AD1109" i="1"/>
  <c r="AE1109" i="1"/>
  <c r="AG1884" i="1"/>
  <c r="L1579" i="1"/>
  <c r="M1579" i="1"/>
  <c r="S1579" i="1"/>
  <c r="AD1579" i="1"/>
  <c r="AE1579" i="1"/>
  <c r="I1022" i="1"/>
  <c r="AD1021" i="1"/>
  <c r="AE1021" i="1"/>
  <c r="S1021" i="1"/>
  <c r="AG1021" i="1"/>
  <c r="L1021" i="1"/>
  <c r="M1021" i="1"/>
  <c r="AD1821" i="1"/>
  <c r="AE1821" i="1"/>
  <c r="AG1821" i="1"/>
  <c r="L1821" i="1"/>
  <c r="M1821" i="1"/>
  <c r="AD974" i="1"/>
  <c r="AE974" i="1"/>
  <c r="S974" i="1"/>
  <c r="AG974" i="1"/>
  <c r="L974" i="1"/>
  <c r="M974" i="1"/>
  <c r="AD1020" i="1"/>
  <c r="AE1020" i="1"/>
  <c r="S1020" i="1"/>
  <c r="AG1020" i="1"/>
  <c r="L1020" i="1"/>
  <c r="M1020" i="1"/>
  <c r="AD1006" i="1"/>
  <c r="AE1006" i="1"/>
  <c r="S1006" i="1"/>
  <c r="AG1006" i="1"/>
  <c r="AD921" i="1"/>
  <c r="AE921" i="1"/>
  <c r="L921" i="1"/>
  <c r="M921" i="1"/>
  <c r="I1174" i="1"/>
  <c r="AE1173" i="1"/>
  <c r="AD1173" i="1"/>
  <c r="M1173" i="1"/>
  <c r="L1173" i="1"/>
  <c r="AE2564" i="1"/>
  <c r="AD2564" i="1"/>
  <c r="M2564" i="1"/>
  <c r="L2564" i="1"/>
  <c r="AG2564" i="1"/>
  <c r="J1579" i="1" l="1"/>
  <c r="AG1579" i="1"/>
  <c r="J1173" i="1"/>
  <c r="AG1173" i="1"/>
  <c r="J1109" i="1"/>
  <c r="J1006" i="1"/>
  <c r="J974" i="1"/>
  <c r="J1020" i="1"/>
  <c r="J1021" i="1"/>
  <c r="J1821" i="1"/>
  <c r="J2564" i="1"/>
  <c r="AE272" i="1"/>
  <c r="AD272" i="1"/>
  <c r="M272" i="1"/>
  <c r="L272" i="1"/>
  <c r="AE1172" i="1"/>
  <c r="AD1172" i="1"/>
  <c r="M1172" i="1"/>
  <c r="L1172" i="1"/>
  <c r="J272" i="1" l="1"/>
  <c r="AG272" i="1"/>
  <c r="J1172" i="1"/>
  <c r="AG1172" i="1"/>
  <c r="L1171" i="1"/>
  <c r="M1171" i="1"/>
  <c r="S1171" i="1"/>
  <c r="AD1171" i="1"/>
  <c r="AE1171" i="1"/>
  <c r="L271" i="1"/>
  <c r="M271" i="1"/>
  <c r="AD271" i="1"/>
  <c r="AE271" i="1"/>
  <c r="I1212" i="1"/>
  <c r="AE270" i="1"/>
  <c r="AD270" i="1"/>
  <c r="M270" i="1"/>
  <c r="L270" i="1"/>
  <c r="AG270" i="1"/>
  <c r="AE2246" i="1"/>
  <c r="AD2246" i="1"/>
  <c r="M2246" i="1"/>
  <c r="L2246" i="1"/>
  <c r="AG2246" i="1"/>
  <c r="AE1211" i="1"/>
  <c r="AD1211" i="1"/>
  <c r="M1211" i="1"/>
  <c r="L1211" i="1"/>
  <c r="J1211" i="1"/>
  <c r="AF996" i="1"/>
  <c r="AE1170" i="1"/>
  <c r="AD1170" i="1"/>
  <c r="M1170" i="1"/>
  <c r="L1170" i="1"/>
  <c r="AG1170" i="1"/>
  <c r="J271" i="1" l="1"/>
  <c r="AG271" i="1"/>
  <c r="J1171" i="1"/>
  <c r="AG1171" i="1"/>
  <c r="J270" i="1"/>
  <c r="J2246" i="1"/>
  <c r="J1170" i="1"/>
  <c r="AE84" i="1" l="1"/>
  <c r="AD84" i="1"/>
  <c r="M84" i="1"/>
  <c r="L84" i="1"/>
  <c r="AG84" i="1"/>
  <c r="S1005" i="1"/>
  <c r="AE920" i="1"/>
  <c r="AD920" i="1"/>
  <c r="M920" i="1"/>
  <c r="L920" i="1"/>
  <c r="J920" i="1"/>
  <c r="AE1108" i="1"/>
  <c r="AD1108" i="1"/>
  <c r="S1108" i="1"/>
  <c r="M1108" i="1"/>
  <c r="L1108" i="1"/>
  <c r="AG1108" i="1"/>
  <c r="AE1198" i="1"/>
  <c r="AD1198" i="1"/>
  <c r="M1198" i="1"/>
  <c r="L1198" i="1"/>
  <c r="I1198" i="1"/>
  <c r="J1198" i="1" s="1"/>
  <c r="AD1353" i="1"/>
  <c r="AE1353" i="1"/>
  <c r="AD1354" i="1"/>
  <c r="AE1354" i="1"/>
  <c r="AD1355" i="1"/>
  <c r="AE1355" i="1"/>
  <c r="AD1356" i="1"/>
  <c r="AE1356" i="1"/>
  <c r="AD1357" i="1"/>
  <c r="AE1357" i="1"/>
  <c r="AD1358" i="1"/>
  <c r="AE1358" i="1"/>
  <c r="AD1359" i="1"/>
  <c r="AE1359" i="1"/>
  <c r="AD1360" i="1"/>
  <c r="AE1360" i="1"/>
  <c r="AD1361" i="1"/>
  <c r="AE1361" i="1"/>
  <c r="AD1362" i="1"/>
  <c r="AE1362" i="1"/>
  <c r="AD1363" i="1"/>
  <c r="AE1363" i="1"/>
  <c r="AD1364" i="1"/>
  <c r="AE1364" i="1"/>
  <c r="AD1370" i="1"/>
  <c r="AE1370" i="1"/>
  <c r="AD1371" i="1"/>
  <c r="AD1372" i="1"/>
  <c r="AE1372" i="1"/>
  <c r="AD1373" i="1"/>
  <c r="AE1373" i="1"/>
  <c r="AD1379" i="1"/>
  <c r="AE1379" i="1"/>
  <c r="AD1400" i="1"/>
  <c r="AE1400" i="1"/>
  <c r="AD1401" i="1"/>
  <c r="AE1401" i="1"/>
  <c r="AD1402" i="1"/>
  <c r="AE1402" i="1"/>
  <c r="AD1403" i="1"/>
  <c r="AE1403" i="1"/>
  <c r="AD1406" i="1"/>
  <c r="AE1406" i="1"/>
  <c r="AD1453" i="1"/>
  <c r="AE1453" i="1"/>
  <c r="AD1454" i="1"/>
  <c r="AE1454" i="1"/>
  <c r="AD1455" i="1"/>
  <c r="AE1455" i="1"/>
  <c r="AD1456" i="1"/>
  <c r="AE1456" i="1"/>
  <c r="AD1457" i="1"/>
  <c r="AE1457" i="1"/>
  <c r="AD1459" i="1"/>
  <c r="AE1459" i="1"/>
  <c r="AD1458" i="1"/>
  <c r="AE1458" i="1"/>
  <c r="AD1460" i="1"/>
  <c r="AE1460" i="1"/>
  <c r="AD1461" i="1"/>
  <c r="AE1461" i="1"/>
  <c r="AD1462" i="1"/>
  <c r="AE1462" i="1"/>
  <c r="AD1464" i="1"/>
  <c r="AE1464" i="1"/>
  <c r="AD1465" i="1"/>
  <c r="AE1465" i="1"/>
  <c r="AD1478" i="1"/>
  <c r="AE1478" i="1"/>
  <c r="AD1479" i="1"/>
  <c r="AE1479" i="1"/>
  <c r="AD1484" i="1"/>
  <c r="AE1484" i="1"/>
  <c r="AD1487" i="1"/>
  <c r="AE1487" i="1"/>
  <c r="AD1488" i="1"/>
  <c r="AE1488" i="1"/>
  <c r="AD1490" i="1"/>
  <c r="AE1490" i="1"/>
  <c r="AD1491" i="1"/>
  <c r="AE1491" i="1"/>
  <c r="AD1492" i="1"/>
  <c r="AE1492" i="1"/>
  <c r="AD1503" i="1"/>
  <c r="AE1503" i="1"/>
  <c r="AD1504" i="1"/>
  <c r="AE1504" i="1"/>
  <c r="AD1505" i="1"/>
  <c r="AE1505" i="1"/>
  <c r="AD1507" i="1"/>
  <c r="AE1507" i="1"/>
  <c r="AD1506" i="1"/>
  <c r="AE1506" i="1"/>
  <c r="AD1508" i="1"/>
  <c r="AE1508" i="1"/>
  <c r="AD1509" i="1"/>
  <c r="AE1509" i="1"/>
  <c r="AD1512" i="1"/>
  <c r="AE1512" i="1"/>
  <c r="AD1513" i="1"/>
  <c r="AE1513" i="1"/>
  <c r="AD1510" i="1"/>
  <c r="AE1510" i="1"/>
  <c r="AD1516" i="1"/>
  <c r="AE1516" i="1"/>
  <c r="AD1517" i="1"/>
  <c r="AE1517" i="1"/>
  <c r="AD1519" i="1"/>
  <c r="AE1519" i="1"/>
  <c r="AD1520" i="1"/>
  <c r="AE1520" i="1"/>
  <c r="AD1523" i="1"/>
  <c r="AE1523" i="1"/>
  <c r="AD1524" i="1"/>
  <c r="AE1524" i="1"/>
  <c r="AD1768" i="1"/>
  <c r="AE1768" i="1"/>
  <c r="AD1772" i="1"/>
  <c r="AE1772" i="1"/>
  <c r="AD1776" i="1"/>
  <c r="AE1776" i="1"/>
  <c r="AD1777" i="1"/>
  <c r="AE1777" i="1"/>
  <c r="AD1857" i="1"/>
  <c r="AE1857" i="1"/>
  <c r="AD1486" i="1"/>
  <c r="AE1486" i="1"/>
  <c r="AD1868" i="1"/>
  <c r="AE1868" i="1"/>
  <c r="AD1298" i="1"/>
  <c r="AE1298" i="1"/>
  <c r="AD1299" i="1"/>
  <c r="AE1299" i="1"/>
  <c r="AD1300" i="1"/>
  <c r="AE1300" i="1"/>
  <c r="AD1301" i="1"/>
  <c r="AE1301" i="1"/>
  <c r="AD1302" i="1"/>
  <c r="AE1302" i="1"/>
  <c r="AD1303" i="1"/>
  <c r="AE1303" i="1"/>
  <c r="AD1304" i="1"/>
  <c r="AE1304" i="1"/>
  <c r="AD1305" i="1"/>
  <c r="AE1305" i="1"/>
  <c r="AD1306" i="1"/>
  <c r="AE1306" i="1"/>
  <c r="AD1307" i="1"/>
  <c r="AE1307" i="1"/>
  <c r="AD1309" i="1"/>
  <c r="AE1309" i="1"/>
  <c r="AD1308" i="1"/>
  <c r="AE1308" i="1"/>
  <c r="AD1310" i="1"/>
  <c r="AE1310" i="1"/>
  <c r="AD1311" i="1"/>
  <c r="AE1311" i="1"/>
  <c r="AD1312" i="1"/>
  <c r="AE1312" i="1"/>
  <c r="AD1313" i="1"/>
  <c r="AE1313" i="1"/>
  <c r="AD1316" i="1"/>
  <c r="AE1316" i="1"/>
  <c r="AD1314" i="1"/>
  <c r="AE1314" i="1"/>
  <c r="AD1315" i="1"/>
  <c r="AE1315" i="1"/>
  <c r="AD1317" i="1"/>
  <c r="AE1317" i="1"/>
  <c r="AD1318" i="1"/>
  <c r="AE1318" i="1"/>
  <c r="AD1319" i="1"/>
  <c r="AE1319" i="1"/>
  <c r="AD1320" i="1"/>
  <c r="AE1320" i="1"/>
  <c r="AD1321" i="1"/>
  <c r="AE1321" i="1"/>
  <c r="AD1322" i="1"/>
  <c r="AE1322" i="1"/>
  <c r="AD1323" i="1"/>
  <c r="AE1323" i="1"/>
  <c r="AD1324" i="1"/>
  <c r="AE1324" i="1"/>
  <c r="AD1325" i="1"/>
  <c r="AE1325" i="1"/>
  <c r="AD1326" i="1"/>
  <c r="AE1326" i="1"/>
  <c r="AD1327" i="1"/>
  <c r="AE1327" i="1"/>
  <c r="AD1328" i="1"/>
  <c r="AE1328" i="1"/>
  <c r="AD1329" i="1"/>
  <c r="AE1329" i="1"/>
  <c r="AD1330" i="1"/>
  <c r="AE1330" i="1"/>
  <c r="AD1332" i="1"/>
  <c r="AE1332" i="1"/>
  <c r="AD1333" i="1"/>
  <c r="AE1333" i="1"/>
  <c r="AD1336" i="1"/>
  <c r="AE1336" i="1"/>
  <c r="AD1338" i="1"/>
  <c r="AE1338" i="1"/>
  <c r="AD1386" i="1"/>
  <c r="AE1386" i="1"/>
  <c r="AD1387" i="1"/>
  <c r="AE1387" i="1"/>
  <c r="AD1388" i="1"/>
  <c r="AE1388" i="1"/>
  <c r="AD1389" i="1"/>
  <c r="AE1389" i="1"/>
  <c r="AD1390" i="1"/>
  <c r="AE1390" i="1"/>
  <c r="AD1391" i="1"/>
  <c r="AE1391" i="1"/>
  <c r="AD1392" i="1"/>
  <c r="AE1392" i="1"/>
  <c r="AD1393" i="1"/>
  <c r="AE1393" i="1"/>
  <c r="AD1395" i="1"/>
  <c r="AE1395" i="1"/>
  <c r="AD1408" i="1"/>
  <c r="AE1408" i="1"/>
  <c r="AD1409" i="1"/>
  <c r="AE1409" i="1"/>
  <c r="AD1410" i="1"/>
  <c r="AE1410" i="1"/>
  <c r="AD1411" i="1"/>
  <c r="AE1411" i="1"/>
  <c r="AD1412" i="1"/>
  <c r="AE1412" i="1"/>
  <c r="AD1413" i="1"/>
  <c r="AE1413" i="1"/>
  <c r="AD1414" i="1"/>
  <c r="AE1414" i="1"/>
  <c r="AD1415" i="1"/>
  <c r="AE1415" i="1"/>
  <c r="AD1416" i="1"/>
  <c r="AE1416" i="1"/>
  <c r="AD1417" i="1"/>
  <c r="AE1417" i="1"/>
  <c r="AD1418" i="1"/>
  <c r="AE1418" i="1"/>
  <c r="AD1419" i="1"/>
  <c r="AE1419" i="1"/>
  <c r="AD1420" i="1"/>
  <c r="AE1420" i="1"/>
  <c r="AD1421" i="1"/>
  <c r="AE1421" i="1"/>
  <c r="AD1422" i="1"/>
  <c r="AE1422" i="1"/>
  <c r="AD1423" i="1"/>
  <c r="AE1423" i="1"/>
  <c r="AD1424" i="1"/>
  <c r="AE1424" i="1"/>
  <c r="AD1425" i="1"/>
  <c r="AE1425" i="1"/>
  <c r="AD1426" i="1"/>
  <c r="AE1426" i="1"/>
  <c r="AD1427" i="1"/>
  <c r="AE1427" i="1"/>
  <c r="AD1428" i="1"/>
  <c r="AE1428" i="1"/>
  <c r="AD1429" i="1"/>
  <c r="AE1429" i="1"/>
  <c r="AD1435" i="1"/>
  <c r="AE1435" i="1"/>
  <c r="AD1430" i="1"/>
  <c r="AE1430" i="1"/>
  <c r="AD1431" i="1"/>
  <c r="AE1431" i="1"/>
  <c r="AD1432" i="1"/>
  <c r="AE1432" i="1"/>
  <c r="AD1436" i="1"/>
  <c r="AE1436" i="1"/>
  <c r="AD1433" i="1"/>
  <c r="AE1433" i="1"/>
  <c r="AD1434" i="1"/>
  <c r="AE1434" i="1"/>
  <c r="AD1437" i="1"/>
  <c r="AE1437" i="1"/>
  <c r="AD1438" i="1"/>
  <c r="AE1438" i="1"/>
  <c r="AD1440" i="1"/>
  <c r="AE1440" i="1"/>
  <c r="AE1445" i="1"/>
  <c r="AD1472" i="1"/>
  <c r="AE1472" i="1"/>
  <c r="AD1480" i="1"/>
  <c r="AE1480" i="1"/>
  <c r="AD1481" i="1"/>
  <c r="AE1481" i="1"/>
  <c r="AD1754" i="1"/>
  <c r="AE1754" i="1"/>
  <c r="AD1755" i="1"/>
  <c r="AE1755" i="1"/>
  <c r="AD1758" i="1"/>
  <c r="AE1758" i="1"/>
  <c r="AD1763" i="1"/>
  <c r="AE1763" i="1"/>
  <c r="AD1764" i="1"/>
  <c r="AE1764" i="1"/>
  <c r="AD1767" i="1"/>
  <c r="AE1767" i="1"/>
  <c r="AD1775" i="1"/>
  <c r="AE1775" i="1"/>
  <c r="AD1773" i="1"/>
  <c r="AE1773" i="1"/>
  <c r="AD1774" i="1"/>
  <c r="AE1774" i="1"/>
  <c r="AD1784" i="1"/>
  <c r="AE1784" i="1"/>
  <c r="AD1785" i="1"/>
  <c r="AE1785" i="1"/>
  <c r="AD1788" i="1"/>
  <c r="AE1788" i="1"/>
  <c r="AD1794" i="1"/>
  <c r="AE1794" i="1"/>
  <c r="AD1810" i="1"/>
  <c r="AE1810" i="1"/>
  <c r="AD1811" i="1"/>
  <c r="AE1811" i="1"/>
  <c r="AD1812" i="1"/>
  <c r="AE1812" i="1"/>
  <c r="AD1813" i="1"/>
  <c r="AE1813" i="1"/>
  <c r="AD1814" i="1"/>
  <c r="AE1814" i="1"/>
  <c r="AD1815" i="1"/>
  <c r="AE1815" i="1"/>
  <c r="AD1816" i="1"/>
  <c r="AE1816" i="1"/>
  <c r="AD1817" i="1"/>
  <c r="AE1817" i="1"/>
  <c r="AD1818" i="1"/>
  <c r="AE1818" i="1"/>
  <c r="AD1819" i="1"/>
  <c r="AE1819" i="1"/>
  <c r="AD1820" i="1"/>
  <c r="AE1820" i="1"/>
  <c r="AD1822" i="1"/>
  <c r="AE1822" i="1"/>
  <c r="AD1826" i="1"/>
  <c r="AE1826" i="1"/>
  <c r="AD1823" i="1"/>
  <c r="AE1823" i="1"/>
  <c r="AD1824" i="1"/>
  <c r="AE1824" i="1"/>
  <c r="AD1825" i="1"/>
  <c r="AE1825" i="1"/>
  <c r="AD1847" i="1"/>
  <c r="AE1847" i="1"/>
  <c r="AD1848" i="1"/>
  <c r="AE1848" i="1"/>
  <c r="AD1849" i="1"/>
  <c r="AE1849" i="1"/>
  <c r="AD1850" i="1"/>
  <c r="AE1850" i="1"/>
  <c r="AD1851" i="1"/>
  <c r="AE1851" i="1"/>
  <c r="AD1855" i="1"/>
  <c r="AE1855" i="1"/>
  <c r="AD1858" i="1"/>
  <c r="AE1858" i="1"/>
  <c r="AD1859" i="1"/>
  <c r="AE1859" i="1"/>
  <c r="AD21" i="1"/>
  <c r="AE21" i="1"/>
  <c r="AD65" i="1"/>
  <c r="AE65" i="1"/>
  <c r="AD66" i="1"/>
  <c r="AE66" i="1"/>
  <c r="AD67" i="1"/>
  <c r="AE67" i="1"/>
  <c r="AD19" i="1"/>
  <c r="AE19" i="1"/>
  <c r="AD1860" i="1"/>
  <c r="AE1860" i="1"/>
  <c r="AD1861" i="1"/>
  <c r="AE1861" i="1"/>
  <c r="AD1862" i="1"/>
  <c r="AE1862" i="1"/>
  <c r="AD1863" i="1"/>
  <c r="AE1863" i="1"/>
  <c r="AD1864" i="1"/>
  <c r="AE1864" i="1"/>
  <c r="AD1705" i="1"/>
  <c r="AE1705" i="1"/>
  <c r="AD1769" i="1"/>
  <c r="AE1769" i="1"/>
  <c r="AD1770" i="1"/>
  <c r="AE1770" i="1"/>
  <c r="AD63" i="1"/>
  <c r="AE63" i="1"/>
  <c r="AD71" i="1"/>
  <c r="AE71" i="1"/>
  <c r="AD112" i="1"/>
  <c r="AE112" i="1"/>
  <c r="AD99" i="1"/>
  <c r="AE99" i="1"/>
  <c r="AD102" i="1"/>
  <c r="AE102" i="1"/>
  <c r="AD120" i="1"/>
  <c r="AE120" i="1"/>
  <c r="AD92" i="1"/>
  <c r="AE92" i="1"/>
  <c r="AD131" i="1"/>
  <c r="AE131" i="1"/>
  <c r="AD93" i="1"/>
  <c r="AE93" i="1"/>
  <c r="AD68" i="1"/>
  <c r="AE68" i="1"/>
  <c r="AD77" i="1"/>
  <c r="AE77" i="1"/>
  <c r="AD81" i="1"/>
  <c r="AE81" i="1"/>
  <c r="AD82" i="1"/>
  <c r="AE82" i="1"/>
  <c r="AD83" i="1"/>
  <c r="AE83" i="1"/>
  <c r="AD85" i="1"/>
  <c r="AE85" i="1"/>
  <c r="AD20" i="1"/>
  <c r="AE20" i="1"/>
  <c r="AD47" i="1"/>
  <c r="AE47" i="1"/>
  <c r="AD48" i="1"/>
  <c r="AE48" i="1"/>
  <c r="AD49" i="1"/>
  <c r="AE49" i="1"/>
  <c r="AD50" i="1"/>
  <c r="AE50" i="1"/>
  <c r="AD52" i="1"/>
  <c r="AE52" i="1"/>
  <c r="AD53" i="1"/>
  <c r="AE53" i="1"/>
  <c r="AD54" i="1"/>
  <c r="AE54" i="1"/>
  <c r="AD55" i="1"/>
  <c r="AE55" i="1"/>
  <c r="AD312" i="1"/>
  <c r="AE312" i="1"/>
  <c r="AD313" i="1"/>
  <c r="AE313" i="1"/>
  <c r="AD674" i="1"/>
  <c r="AE674" i="1"/>
  <c r="AD673" i="1"/>
  <c r="AE673" i="1"/>
  <c r="AD675" i="1"/>
  <c r="AE675" i="1"/>
  <c r="AD632" i="1"/>
  <c r="AE632" i="1"/>
  <c r="AD633" i="1"/>
  <c r="AE633" i="1"/>
  <c r="AD2627" i="1"/>
  <c r="AE2627" i="1"/>
  <c r="AD2370" i="1"/>
  <c r="AE2370" i="1"/>
  <c r="AD2371" i="1"/>
  <c r="AE2371" i="1"/>
  <c r="AD2372" i="1"/>
  <c r="AE2372" i="1"/>
  <c r="AD2373" i="1"/>
  <c r="AE2373" i="1"/>
  <c r="AD2374" i="1"/>
  <c r="AE2374" i="1"/>
  <c r="AD2375" i="1"/>
  <c r="AE2375" i="1"/>
  <c r="AD2376" i="1"/>
  <c r="AE2376" i="1"/>
  <c r="AD2377" i="1"/>
  <c r="AE2377" i="1"/>
  <c r="AD2378" i="1"/>
  <c r="AE2378" i="1"/>
  <c r="AD2299" i="1"/>
  <c r="AE2299" i="1"/>
  <c r="AD2300" i="1"/>
  <c r="AE2300" i="1"/>
  <c r="AD2301" i="1"/>
  <c r="AE2301" i="1"/>
  <c r="AD770" i="1"/>
  <c r="AE770" i="1"/>
  <c r="AD771" i="1"/>
  <c r="AE771" i="1"/>
  <c r="AD1902" i="1"/>
  <c r="AE1902" i="1"/>
  <c r="AD1903" i="1"/>
  <c r="AE1903" i="1"/>
  <c r="AD1904" i="1"/>
  <c r="AE1904" i="1"/>
  <c r="AD1905" i="1"/>
  <c r="AE1905" i="1"/>
  <c r="AD1906" i="1"/>
  <c r="AE1906" i="1"/>
  <c r="AD2142" i="1"/>
  <c r="AE2142" i="1"/>
  <c r="AD2143" i="1"/>
  <c r="AE2143" i="1"/>
  <c r="AD2144" i="1"/>
  <c r="AE2144" i="1"/>
  <c r="AD2145" i="1"/>
  <c r="AE2145" i="1"/>
  <c r="AD2146" i="1"/>
  <c r="AE2146" i="1"/>
  <c r="AD2152" i="1"/>
  <c r="AE2152" i="1"/>
  <c r="AD2153" i="1"/>
  <c r="AE2153" i="1"/>
  <c r="AD2154" i="1"/>
  <c r="AE2154" i="1"/>
  <c r="AD2155" i="1"/>
  <c r="AE2155" i="1"/>
  <c r="AD2147" i="1"/>
  <c r="AE2147" i="1"/>
  <c r="AD2148" i="1"/>
  <c r="AE2148" i="1"/>
  <c r="AD2149" i="1"/>
  <c r="AE2149" i="1"/>
  <c r="AD2150" i="1"/>
  <c r="AE2150" i="1"/>
  <c r="AD2151" i="1"/>
  <c r="AE2151" i="1"/>
  <c r="AD2156" i="1"/>
  <c r="AE2156" i="1"/>
  <c r="AD2157" i="1"/>
  <c r="AE2157" i="1"/>
  <c r="AD581" i="1"/>
  <c r="AE581" i="1"/>
  <c r="AD406" i="1"/>
  <c r="AE406" i="1"/>
  <c r="AD12" i="1"/>
  <c r="AE12" i="1"/>
  <c r="AD13" i="1"/>
  <c r="AE13" i="1"/>
  <c r="AD14" i="1"/>
  <c r="AE14" i="1"/>
  <c r="AD15" i="1"/>
  <c r="AE15" i="1"/>
  <c r="AD1668" i="1"/>
  <c r="AE1668" i="1"/>
  <c r="AD1669" i="1"/>
  <c r="AE1669" i="1"/>
  <c r="AD1670" i="1"/>
  <c r="AE1670" i="1"/>
  <c r="AD1671" i="1"/>
  <c r="AE1671" i="1"/>
  <c r="AD1672" i="1"/>
  <c r="AE1672" i="1"/>
  <c r="AD1654" i="1"/>
  <c r="AE1654" i="1"/>
  <c r="AD1655" i="1"/>
  <c r="AE1655" i="1"/>
  <c r="AD1656" i="1"/>
  <c r="AE1656" i="1"/>
  <c r="AD1657" i="1"/>
  <c r="AE1657" i="1"/>
  <c r="AD1658" i="1"/>
  <c r="AE1658" i="1"/>
  <c r="AD1659" i="1"/>
  <c r="AE1659" i="1"/>
  <c r="AD1660" i="1"/>
  <c r="AE1660" i="1"/>
  <c r="AD1713" i="1"/>
  <c r="AE1713" i="1"/>
  <c r="AD1726" i="1"/>
  <c r="AE1726" i="1"/>
  <c r="AD1673" i="1"/>
  <c r="AE1673" i="1"/>
  <c r="AD1674" i="1"/>
  <c r="AE1674" i="1"/>
  <c r="AD1661" i="1"/>
  <c r="AE1661" i="1"/>
  <c r="AD1662" i="1"/>
  <c r="AE1662" i="1"/>
  <c r="AD1663" i="1"/>
  <c r="AE1663" i="1"/>
  <c r="AD1664" i="1"/>
  <c r="AE1664" i="1"/>
  <c r="AD615" i="1"/>
  <c r="AE615" i="1"/>
  <c r="AD886" i="1"/>
  <c r="AE886" i="1"/>
  <c r="AD885" i="1"/>
  <c r="AE885" i="1"/>
  <c r="AD2628" i="1"/>
  <c r="AE2628" i="1"/>
  <c r="AD2629" i="1"/>
  <c r="AE2629" i="1"/>
  <c r="AD2630" i="1"/>
  <c r="AE2630" i="1"/>
  <c r="AD2631" i="1"/>
  <c r="AE2631" i="1"/>
  <c r="AD2633" i="1"/>
  <c r="AE2633" i="1"/>
  <c r="AD2634" i="1"/>
  <c r="AE2634" i="1"/>
  <c r="AD2635" i="1"/>
  <c r="AE2635" i="1"/>
  <c r="AD631" i="1"/>
  <c r="AE631" i="1"/>
  <c r="AD213" i="1"/>
  <c r="AE213" i="1"/>
  <c r="AD214" i="1"/>
  <c r="AE214" i="1"/>
  <c r="AD215" i="1"/>
  <c r="AE215" i="1"/>
  <c r="AD216" i="1"/>
  <c r="AE216" i="1"/>
  <c r="AD217" i="1"/>
  <c r="AE217" i="1"/>
  <c r="AD218" i="1"/>
  <c r="AE218" i="1"/>
  <c r="AD888" i="1"/>
  <c r="AE888" i="1"/>
  <c r="AD889" i="1"/>
  <c r="AE889" i="1"/>
  <c r="AD665" i="1"/>
  <c r="AE665" i="1"/>
  <c r="AD666" i="1"/>
  <c r="AE666" i="1"/>
  <c r="AD661" i="1"/>
  <c r="AE661" i="1"/>
  <c r="AD652" i="1"/>
  <c r="AE652" i="1"/>
  <c r="AD669" i="1"/>
  <c r="AE669" i="1"/>
  <c r="AD656" i="1"/>
  <c r="AE656" i="1"/>
  <c r="AD586" i="1"/>
  <c r="AE586" i="1"/>
  <c r="AD587" i="1"/>
  <c r="AE587" i="1"/>
  <c r="AD1885" i="1"/>
  <c r="AE1885" i="1"/>
  <c r="AD1886" i="1"/>
  <c r="AE1886" i="1"/>
  <c r="AD1887" i="1"/>
  <c r="AE1887" i="1"/>
  <c r="AD1888" i="1"/>
  <c r="AE1888" i="1"/>
  <c r="AD1889" i="1"/>
  <c r="AE1889" i="1"/>
  <c r="AD1890" i="1"/>
  <c r="AE1890" i="1"/>
  <c r="AD762" i="1"/>
  <c r="AE762" i="1"/>
  <c r="AD763" i="1"/>
  <c r="AE763" i="1"/>
  <c r="AD490" i="1"/>
  <c r="AE490" i="1"/>
  <c r="AD491" i="1"/>
  <c r="AE491" i="1"/>
  <c r="AD492" i="1"/>
  <c r="AE492" i="1"/>
  <c r="AD493" i="1"/>
  <c r="AE493" i="1"/>
  <c r="AD494" i="1"/>
  <c r="AE494" i="1"/>
  <c r="AD2609" i="1"/>
  <c r="AE2609" i="1"/>
  <c r="AD531" i="1"/>
  <c r="AE531" i="1"/>
  <c r="AD533" i="1"/>
  <c r="AE533" i="1"/>
  <c r="AD75" i="1"/>
  <c r="AE75" i="1"/>
  <c r="AD74" i="1"/>
  <c r="AE74" i="1"/>
  <c r="AD62" i="1"/>
  <c r="AE62" i="1"/>
  <c r="AD91" i="1"/>
  <c r="AE91" i="1"/>
  <c r="AD101" i="1"/>
  <c r="AE101" i="1"/>
  <c r="AD72" i="1"/>
  <c r="AE72" i="1"/>
  <c r="AD73" i="1"/>
  <c r="AE73" i="1"/>
  <c r="AD76" i="1"/>
  <c r="AE76" i="1"/>
  <c r="AD90" i="1"/>
  <c r="AE90" i="1"/>
  <c r="AD106" i="1"/>
  <c r="AE106" i="1"/>
  <c r="AD111" i="1"/>
  <c r="AE111" i="1"/>
  <c r="AD129" i="1"/>
  <c r="AE129" i="1"/>
  <c r="AD132" i="1"/>
  <c r="AE132" i="1"/>
  <c r="AD69" i="1"/>
  <c r="AE69" i="1"/>
  <c r="AD80" i="1"/>
  <c r="AE80" i="1"/>
  <c r="AD103" i="1"/>
  <c r="AE103" i="1"/>
  <c r="AD104" i="1"/>
  <c r="AE104" i="1"/>
  <c r="AD105" i="1"/>
  <c r="AE105" i="1"/>
  <c r="AD1846" i="1"/>
  <c r="AE1846" i="1"/>
  <c r="AD121" i="1"/>
  <c r="AE121" i="1"/>
  <c r="AD123" i="1"/>
  <c r="AE123" i="1"/>
  <c r="AD122" i="1"/>
  <c r="AE122" i="1"/>
  <c r="AD124" i="1"/>
  <c r="AE124" i="1"/>
  <c r="AD130" i="1"/>
  <c r="AE130" i="1"/>
  <c r="AD134" i="1"/>
  <c r="AE134" i="1"/>
  <c r="AD135" i="1"/>
  <c r="AE135" i="1"/>
  <c r="AD138" i="1"/>
  <c r="AE138" i="1"/>
  <c r="AD125" i="1"/>
  <c r="AE125" i="1"/>
  <c r="AD126" i="1"/>
  <c r="AE126" i="1"/>
  <c r="AD127" i="1"/>
  <c r="AE127" i="1"/>
  <c r="AD128" i="1"/>
  <c r="AE128" i="1"/>
  <c r="AD133" i="1"/>
  <c r="AE133" i="1"/>
  <c r="AD137" i="1"/>
  <c r="AE137" i="1"/>
  <c r="AD139" i="1"/>
  <c r="AE139" i="1"/>
  <c r="AD140" i="1"/>
  <c r="AE140" i="1"/>
  <c r="AD1845" i="1"/>
  <c r="AE1845" i="1"/>
  <c r="AD141" i="1"/>
  <c r="AE141" i="1"/>
  <c r="AD142" i="1"/>
  <c r="AE142" i="1"/>
  <c r="AD64" i="1"/>
  <c r="AE64" i="1"/>
  <c r="AD1527" i="1"/>
  <c r="AE1527" i="1"/>
  <c r="AD1528" i="1"/>
  <c r="AE1528" i="1"/>
  <c r="AD1529" i="1"/>
  <c r="AE1529" i="1"/>
  <c r="AD1530" i="1"/>
  <c r="AE1530" i="1"/>
  <c r="AD1531" i="1"/>
  <c r="AE1531" i="1"/>
  <c r="AD1532" i="1"/>
  <c r="AE1532" i="1"/>
  <c r="AD1533" i="1"/>
  <c r="AE1533" i="1"/>
  <c r="AD1534" i="1"/>
  <c r="AE1534" i="1"/>
  <c r="AD1535" i="1"/>
  <c r="AE1535" i="1"/>
  <c r="AD1536" i="1"/>
  <c r="AE1536" i="1"/>
  <c r="AD1537" i="1"/>
  <c r="AE1537" i="1"/>
  <c r="AD1538" i="1"/>
  <c r="AE1538" i="1"/>
  <c r="AD1539" i="1"/>
  <c r="AE1539" i="1"/>
  <c r="AD1540" i="1"/>
  <c r="AE1540" i="1"/>
  <c r="AD1541" i="1"/>
  <c r="AE1541" i="1"/>
  <c r="AD1542" i="1"/>
  <c r="AE1542" i="1"/>
  <c r="AD1543" i="1"/>
  <c r="AE1543" i="1"/>
  <c r="AD1544" i="1"/>
  <c r="AE1544" i="1"/>
  <c r="AD1545" i="1"/>
  <c r="AE1545" i="1"/>
  <c r="AD1546" i="1"/>
  <c r="AE1546" i="1"/>
  <c r="AD1547" i="1"/>
  <c r="AE1547" i="1"/>
  <c r="AD1548" i="1"/>
  <c r="AE1548" i="1"/>
  <c r="AD1549" i="1"/>
  <c r="AE1549" i="1"/>
  <c r="AD1550" i="1"/>
  <c r="AE1550" i="1"/>
  <c r="AD1551" i="1"/>
  <c r="AE1551" i="1"/>
  <c r="AD1552" i="1"/>
  <c r="AE1552" i="1"/>
  <c r="AD1553" i="1"/>
  <c r="AE1553" i="1"/>
  <c r="AD1554" i="1"/>
  <c r="AE1554" i="1"/>
  <c r="AD1555" i="1"/>
  <c r="AE1555" i="1"/>
  <c r="AD1556" i="1"/>
  <c r="AE1556" i="1"/>
  <c r="AD1557" i="1"/>
  <c r="AE1557" i="1"/>
  <c r="AD1558" i="1"/>
  <c r="AE1558" i="1"/>
  <c r="AD1559" i="1"/>
  <c r="AE1559" i="1"/>
  <c r="AD1560" i="1"/>
  <c r="AE1560" i="1"/>
  <c r="AD1562" i="1"/>
  <c r="AE1562" i="1"/>
  <c r="AD1563" i="1"/>
  <c r="AE1563" i="1"/>
  <c r="AD1564" i="1"/>
  <c r="AE1564" i="1"/>
  <c r="AD1561" i="1"/>
  <c r="AE1561" i="1"/>
  <c r="AD1565" i="1"/>
  <c r="AE1565" i="1"/>
  <c r="AD1566" i="1"/>
  <c r="AE1566" i="1"/>
  <c r="AD1567" i="1"/>
  <c r="AE1567" i="1"/>
  <c r="AD1568" i="1"/>
  <c r="AE1568" i="1"/>
  <c r="AD1569" i="1"/>
  <c r="AE1569" i="1"/>
  <c r="AD1570" i="1"/>
  <c r="AE1570" i="1"/>
  <c r="AD1571" i="1"/>
  <c r="AE1571" i="1"/>
  <c r="AD1572" i="1"/>
  <c r="AE1572" i="1"/>
  <c r="AD1575" i="1"/>
  <c r="AE1575" i="1"/>
  <c r="AD1573" i="1"/>
  <c r="AE1573" i="1"/>
  <c r="AD1574" i="1"/>
  <c r="AE1574" i="1"/>
  <c r="AD1577" i="1"/>
  <c r="AE1577" i="1"/>
  <c r="AD1578" i="1"/>
  <c r="AE1578" i="1"/>
  <c r="AD1576" i="1"/>
  <c r="AE1576" i="1"/>
  <c r="AD1581" i="1"/>
  <c r="AE1581" i="1"/>
  <c r="AD1582" i="1"/>
  <c r="AE1582" i="1"/>
  <c r="AD1583" i="1"/>
  <c r="AE1583" i="1"/>
  <c r="AD1584" i="1"/>
  <c r="AE1584" i="1"/>
  <c r="AD1586" i="1"/>
  <c r="AE1586" i="1"/>
  <c r="AD1587" i="1"/>
  <c r="AE1587" i="1"/>
  <c r="AD1588" i="1"/>
  <c r="AE1588" i="1"/>
  <c r="AD1589" i="1"/>
  <c r="AE1589" i="1"/>
  <c r="AD1590" i="1"/>
  <c r="AE1590" i="1"/>
  <c r="AD2141" i="1"/>
  <c r="AE2141" i="1"/>
  <c r="AD606" i="1"/>
  <c r="AE606" i="1"/>
  <c r="AD607" i="1"/>
  <c r="AE607" i="1"/>
  <c r="AD608" i="1"/>
  <c r="AE608" i="1"/>
  <c r="AD609" i="1"/>
  <c r="AE609" i="1"/>
  <c r="AD1597" i="1"/>
  <c r="AE1597" i="1"/>
  <c r="AD1598" i="1"/>
  <c r="AE1598" i="1"/>
  <c r="AD1599" i="1"/>
  <c r="AE1599" i="1"/>
  <c r="AD1600" i="1"/>
  <c r="AE1600" i="1"/>
  <c r="AD1601" i="1"/>
  <c r="AE1601" i="1"/>
  <c r="AD1602" i="1"/>
  <c r="AE1602" i="1"/>
  <c r="AD1603" i="1"/>
  <c r="AE1603" i="1"/>
  <c r="AD1604" i="1"/>
  <c r="AE1604" i="1"/>
  <c r="AD1605" i="1"/>
  <c r="AE1605" i="1"/>
  <c r="AD1606" i="1"/>
  <c r="AE1606" i="1"/>
  <c r="AD1607" i="1"/>
  <c r="AE1607" i="1"/>
  <c r="AD1608" i="1"/>
  <c r="AE1608" i="1"/>
  <c r="AD1609" i="1"/>
  <c r="AE1609" i="1"/>
  <c r="AD1610" i="1"/>
  <c r="AE1610" i="1"/>
  <c r="AD1611" i="1"/>
  <c r="AE1611" i="1"/>
  <c r="AD1612" i="1"/>
  <c r="AE1612" i="1"/>
  <c r="AD1613" i="1"/>
  <c r="AE1613" i="1"/>
  <c r="AD1614" i="1"/>
  <c r="AE1614" i="1"/>
  <c r="AD1615" i="1"/>
  <c r="AE1615" i="1"/>
  <c r="AD1616" i="1"/>
  <c r="AE1616" i="1"/>
  <c r="AD1617" i="1"/>
  <c r="AE1617" i="1"/>
  <c r="AD1618" i="1"/>
  <c r="AE1618" i="1"/>
  <c r="AD1619" i="1"/>
  <c r="AE1619" i="1"/>
  <c r="AD1620" i="1"/>
  <c r="AE1620" i="1"/>
  <c r="AD1621" i="1"/>
  <c r="AE1621" i="1"/>
  <c r="AD1622" i="1"/>
  <c r="AE1622" i="1"/>
  <c r="AD1623" i="1"/>
  <c r="AE1623" i="1"/>
  <c r="AD1624" i="1"/>
  <c r="AE1624" i="1"/>
  <c r="AD1625" i="1"/>
  <c r="AE1625" i="1"/>
  <c r="AD1627" i="1"/>
  <c r="AE1627" i="1"/>
  <c r="AD1628" i="1"/>
  <c r="AE1628" i="1"/>
  <c r="AD1629" i="1"/>
  <c r="AE1629" i="1"/>
  <c r="AD1630" i="1"/>
  <c r="AE1630" i="1"/>
  <c r="AD1626" i="1"/>
  <c r="AE1626" i="1"/>
  <c r="AD1631" i="1"/>
  <c r="AE1631" i="1"/>
  <c r="AD1632" i="1"/>
  <c r="AE1632" i="1"/>
  <c r="AD1633" i="1"/>
  <c r="AE1633" i="1"/>
  <c r="AD1634" i="1"/>
  <c r="AE1634" i="1"/>
  <c r="AD1635" i="1"/>
  <c r="AE1635" i="1"/>
  <c r="AD1637" i="1"/>
  <c r="AE1637" i="1"/>
  <c r="AD1639" i="1"/>
  <c r="AE1639" i="1"/>
  <c r="AD1636" i="1"/>
  <c r="AE1636" i="1"/>
  <c r="AD1638" i="1"/>
  <c r="AE1638" i="1"/>
  <c r="AD1640" i="1"/>
  <c r="AE1640" i="1"/>
  <c r="AD1641" i="1"/>
  <c r="AE1641" i="1"/>
  <c r="AD1642" i="1"/>
  <c r="AE1642" i="1"/>
  <c r="AD1647" i="1"/>
  <c r="AE1647" i="1"/>
  <c r="AD1644" i="1"/>
  <c r="AE1644" i="1"/>
  <c r="AD1648" i="1"/>
  <c r="AE1648" i="1"/>
  <c r="AD1649" i="1"/>
  <c r="AE1649" i="1"/>
  <c r="AD1650" i="1"/>
  <c r="AE1650" i="1"/>
  <c r="AD2611" i="1"/>
  <c r="AE2611" i="1"/>
  <c r="AD532" i="1"/>
  <c r="AE532" i="1"/>
  <c r="AD534" i="1"/>
  <c r="AE534" i="1"/>
  <c r="AD535" i="1"/>
  <c r="AE535" i="1"/>
  <c r="AD536" i="1"/>
  <c r="AE536" i="1"/>
  <c r="AD537" i="1"/>
  <c r="AE537" i="1"/>
  <c r="AD538" i="1"/>
  <c r="AE538" i="1"/>
  <c r="AD1227" i="1"/>
  <c r="AE1227" i="1"/>
  <c r="AD1229" i="1"/>
  <c r="AE1229" i="1"/>
  <c r="AD36" i="1"/>
  <c r="AE36" i="1"/>
  <c r="AD38" i="1"/>
  <c r="AE38" i="1"/>
  <c r="AD34" i="1"/>
  <c r="AE34" i="1"/>
  <c r="AD35" i="1"/>
  <c r="AE35" i="1"/>
  <c r="AD37" i="1"/>
  <c r="AE37" i="1"/>
  <c r="AD405" i="1"/>
  <c r="AE405" i="1"/>
  <c r="AD404" i="1"/>
  <c r="AE404" i="1"/>
  <c r="AD403" i="1"/>
  <c r="AE403" i="1"/>
  <c r="AD212" i="1"/>
  <c r="AE212" i="1"/>
  <c r="AD17" i="1"/>
  <c r="AE17" i="1"/>
  <c r="AD18" i="1"/>
  <c r="AE18" i="1"/>
  <c r="AD400" i="1"/>
  <c r="AE400" i="1"/>
  <c r="AD401" i="1"/>
  <c r="AE401" i="1"/>
  <c r="AD181" i="1"/>
  <c r="AE181" i="1"/>
  <c r="AD136" i="1"/>
  <c r="AE136" i="1"/>
  <c r="AD1795" i="1"/>
  <c r="AE1795" i="1"/>
  <c r="AD1525" i="1"/>
  <c r="AE1525" i="1"/>
  <c r="AD1526" i="1"/>
  <c r="AE1526" i="1"/>
  <c r="AD1744" i="1"/>
  <c r="AE1744" i="1"/>
  <c r="AD1745" i="1"/>
  <c r="AE1745" i="1"/>
  <c r="AD1746" i="1"/>
  <c r="AE1746" i="1"/>
  <c r="AD1748" i="1"/>
  <c r="AE1748" i="1"/>
  <c r="AD1747" i="1"/>
  <c r="AE1747" i="1"/>
  <c r="AD1749" i="1"/>
  <c r="AE1749" i="1"/>
  <c r="AD1751" i="1"/>
  <c r="AE1751" i="1"/>
  <c r="AD1750" i="1"/>
  <c r="AE1750" i="1"/>
  <c r="AD1752" i="1"/>
  <c r="AE1752" i="1"/>
  <c r="AD1753" i="1"/>
  <c r="AE1753" i="1"/>
  <c r="AD1708" i="1"/>
  <c r="AE1708" i="1"/>
  <c r="AD1709" i="1"/>
  <c r="AD1710" i="1"/>
  <c r="AE1710" i="1"/>
  <c r="AD1493" i="1"/>
  <c r="AE1493" i="1"/>
  <c r="AD1494" i="1"/>
  <c r="AE1494" i="1"/>
  <c r="AD1495" i="1"/>
  <c r="AE1495" i="1"/>
  <c r="AD1496" i="1"/>
  <c r="AE1496" i="1"/>
  <c r="AD1497" i="1"/>
  <c r="AE1497" i="1"/>
  <c r="AD1498" i="1"/>
  <c r="AE1498" i="1"/>
  <c r="AD1500" i="1"/>
  <c r="AE1500" i="1"/>
  <c r="AD676" i="1"/>
  <c r="AE676" i="1"/>
  <c r="AD677" i="1"/>
  <c r="AE677" i="1"/>
  <c r="AD1892" i="1"/>
  <c r="AE1892" i="1"/>
  <c r="AD1893" i="1"/>
  <c r="AE1893" i="1"/>
  <c r="AD1727" i="1"/>
  <c r="AE1727" i="1"/>
  <c r="AD1728" i="1"/>
  <c r="AE1728" i="1"/>
  <c r="AD1715" i="1"/>
  <c r="AE1715" i="1"/>
  <c r="AD1716" i="1"/>
  <c r="AE1716" i="1"/>
  <c r="AD1714" i="1"/>
  <c r="AE1714" i="1"/>
  <c r="AD573" i="1"/>
  <c r="AE573" i="1"/>
  <c r="AD729" i="1"/>
  <c r="AE729" i="1"/>
  <c r="AD730" i="1"/>
  <c r="AE730" i="1"/>
  <c r="AD740" i="1"/>
  <c r="AE740" i="1"/>
  <c r="AD707" i="1"/>
  <c r="AE707" i="1"/>
  <c r="AD314" i="1"/>
  <c r="AE314" i="1"/>
  <c r="AD2613" i="1"/>
  <c r="AE2613" i="1"/>
  <c r="AD407" i="1"/>
  <c r="AE407" i="1"/>
  <c r="AD588" i="1"/>
  <c r="AE588" i="1"/>
  <c r="AD589" i="1"/>
  <c r="AE589" i="1"/>
  <c r="AD219" i="1"/>
  <c r="AE219" i="1"/>
  <c r="AD220" i="1"/>
  <c r="AE220" i="1"/>
  <c r="AD221" i="1"/>
  <c r="AE221" i="1"/>
  <c r="AD222" i="1"/>
  <c r="AE222" i="1"/>
  <c r="AD223" i="1"/>
  <c r="AE223" i="1"/>
  <c r="AD224" i="1"/>
  <c r="AE224" i="1"/>
  <c r="AD225" i="1"/>
  <c r="AE225" i="1"/>
  <c r="AD226" i="1"/>
  <c r="AE226" i="1"/>
  <c r="AD227" i="1"/>
  <c r="AE227" i="1"/>
  <c r="AD228" i="1"/>
  <c r="AE228" i="1"/>
  <c r="AD229" i="1"/>
  <c r="AE229" i="1"/>
  <c r="AD230" i="1"/>
  <c r="AE230" i="1"/>
  <c r="AD231" i="1"/>
  <c r="AE231" i="1"/>
  <c r="AD232" i="1"/>
  <c r="AE232" i="1"/>
  <c r="AD233" i="1"/>
  <c r="AE233" i="1"/>
  <c r="AD234" i="1"/>
  <c r="AE234" i="1"/>
  <c r="AD235" i="1"/>
  <c r="AE235" i="1"/>
  <c r="AD236" i="1"/>
  <c r="AE236" i="1"/>
  <c r="AD237" i="1"/>
  <c r="AE237" i="1"/>
  <c r="AD238" i="1"/>
  <c r="AE238" i="1"/>
  <c r="AD239" i="1"/>
  <c r="AE239" i="1"/>
  <c r="AD240" i="1"/>
  <c r="AE240" i="1"/>
  <c r="AD241" i="1"/>
  <c r="AE241" i="1"/>
  <c r="AD242" i="1"/>
  <c r="AE242" i="1"/>
  <c r="AD243" i="1"/>
  <c r="AE243" i="1"/>
  <c r="AD244" i="1"/>
  <c r="AE244" i="1"/>
  <c r="AD245" i="1"/>
  <c r="AE245" i="1"/>
  <c r="AD246" i="1"/>
  <c r="AE246" i="1"/>
  <c r="AD247" i="1"/>
  <c r="AE247" i="1"/>
  <c r="AD248" i="1"/>
  <c r="AE248" i="1"/>
  <c r="AD249" i="1"/>
  <c r="AE249" i="1"/>
  <c r="AD250" i="1"/>
  <c r="AE250" i="1"/>
  <c r="AD251" i="1"/>
  <c r="AE251" i="1"/>
  <c r="AD252" i="1"/>
  <c r="AE252" i="1"/>
  <c r="AD253" i="1"/>
  <c r="AE253" i="1"/>
  <c r="AD254" i="1"/>
  <c r="AE254" i="1"/>
  <c r="AD255" i="1"/>
  <c r="AE255" i="1"/>
  <c r="AD256" i="1"/>
  <c r="AE256" i="1"/>
  <c r="AD257" i="1"/>
  <c r="AE257" i="1"/>
  <c r="AD258" i="1"/>
  <c r="AE258" i="1"/>
  <c r="AD259" i="1"/>
  <c r="AE259" i="1"/>
  <c r="AD260" i="1"/>
  <c r="AE260" i="1"/>
  <c r="AD261" i="1"/>
  <c r="AE261" i="1"/>
  <c r="AD262" i="1"/>
  <c r="AE262" i="1"/>
  <c r="AD263" i="1"/>
  <c r="AE263" i="1"/>
  <c r="AD264" i="1"/>
  <c r="AE264" i="1"/>
  <c r="AD265" i="1"/>
  <c r="AE265" i="1"/>
  <c r="AD269" i="1"/>
  <c r="AE269" i="1"/>
  <c r="AD276" i="1"/>
  <c r="AE276" i="1"/>
  <c r="AD266" i="1"/>
  <c r="AE266" i="1"/>
  <c r="AD315" i="1"/>
  <c r="AE315" i="1"/>
  <c r="AD316" i="1"/>
  <c r="AE316" i="1"/>
  <c r="AD317" i="1"/>
  <c r="AE317" i="1"/>
  <c r="AD318" i="1"/>
  <c r="AE318" i="1"/>
  <c r="AD319" i="1"/>
  <c r="AE319" i="1"/>
  <c r="AD320" i="1"/>
  <c r="AE320" i="1"/>
  <c r="AD321" i="1"/>
  <c r="AE321" i="1"/>
  <c r="AD322" i="1"/>
  <c r="AE322" i="1"/>
  <c r="AD323" i="1"/>
  <c r="AE323" i="1"/>
  <c r="AD324" i="1"/>
  <c r="AE324" i="1"/>
  <c r="AD325" i="1"/>
  <c r="AE325" i="1"/>
  <c r="AD326" i="1"/>
  <c r="AE326" i="1"/>
  <c r="AD327" i="1"/>
  <c r="AE327" i="1"/>
  <c r="AD328" i="1"/>
  <c r="AE328" i="1"/>
  <c r="AD329" i="1"/>
  <c r="AE329" i="1"/>
  <c r="AD330" i="1"/>
  <c r="AE330" i="1"/>
  <c r="AD331" i="1"/>
  <c r="AE331" i="1"/>
  <c r="AD332" i="1"/>
  <c r="AE332" i="1"/>
  <c r="AD333" i="1"/>
  <c r="AE333" i="1"/>
  <c r="AD334" i="1"/>
  <c r="AE334" i="1"/>
  <c r="AD335" i="1"/>
  <c r="AE335" i="1"/>
  <c r="AD336" i="1"/>
  <c r="AE336" i="1"/>
  <c r="AD337" i="1"/>
  <c r="AE337" i="1"/>
  <c r="AD338" i="1"/>
  <c r="AE338" i="1"/>
  <c r="AD339" i="1"/>
  <c r="AE339" i="1"/>
  <c r="AD340" i="1"/>
  <c r="AE340" i="1"/>
  <c r="AD341" i="1"/>
  <c r="AE341" i="1"/>
  <c r="AD342" i="1"/>
  <c r="AE342" i="1"/>
  <c r="AD343" i="1"/>
  <c r="AE343" i="1"/>
  <c r="AD344" i="1"/>
  <c r="AE344" i="1"/>
  <c r="AD345" i="1"/>
  <c r="AE345" i="1"/>
  <c r="AD346" i="1"/>
  <c r="AE346" i="1"/>
  <c r="AD347" i="1"/>
  <c r="AE347" i="1"/>
  <c r="AD348" i="1"/>
  <c r="AE348" i="1"/>
  <c r="AD349" i="1"/>
  <c r="AE349" i="1"/>
  <c r="AD350" i="1"/>
  <c r="AE350" i="1"/>
  <c r="AD351" i="1"/>
  <c r="AE351" i="1"/>
  <c r="AD352" i="1"/>
  <c r="AE352" i="1"/>
  <c r="AD353" i="1"/>
  <c r="AE353" i="1"/>
  <c r="AD354" i="1"/>
  <c r="AE354" i="1"/>
  <c r="AD355" i="1"/>
  <c r="AE355" i="1"/>
  <c r="AD356" i="1"/>
  <c r="AE356" i="1"/>
  <c r="AD357" i="1"/>
  <c r="AE357" i="1"/>
  <c r="AD358" i="1"/>
  <c r="AE358" i="1"/>
  <c r="AD359" i="1"/>
  <c r="AE359" i="1"/>
  <c r="AD364" i="1"/>
  <c r="AE364" i="1"/>
  <c r="AD363" i="1"/>
  <c r="AE363" i="1"/>
  <c r="AD366" i="1"/>
  <c r="AE366" i="1"/>
  <c r="AD1907" i="1"/>
  <c r="AE1907" i="1"/>
  <c r="AD1908" i="1"/>
  <c r="AE1908" i="1"/>
  <c r="AD1909" i="1"/>
  <c r="AE1909" i="1"/>
  <c r="AD1910" i="1"/>
  <c r="AE1910" i="1"/>
  <c r="AD1911" i="1"/>
  <c r="AE1911" i="1"/>
  <c r="AD1912" i="1"/>
  <c r="AE1912" i="1"/>
  <c r="AD1913" i="1"/>
  <c r="AE1913" i="1"/>
  <c r="AD2158" i="1"/>
  <c r="AE2158" i="1"/>
  <c r="AD2159" i="1"/>
  <c r="AE2159" i="1"/>
  <c r="AD2160" i="1"/>
  <c r="AE2160" i="1"/>
  <c r="AD2161" i="1"/>
  <c r="AE2161" i="1"/>
  <c r="AD2162" i="1"/>
  <c r="AE2162" i="1"/>
  <c r="AD2163" i="1"/>
  <c r="AE2163" i="1"/>
  <c r="AD2164" i="1"/>
  <c r="AE2164" i="1"/>
  <c r="AD2165" i="1"/>
  <c r="AE2165" i="1"/>
  <c r="AD2166" i="1"/>
  <c r="AE2166" i="1"/>
  <c r="AD2167" i="1"/>
  <c r="AE2167" i="1"/>
  <c r="AD2168" i="1"/>
  <c r="AE2168" i="1"/>
  <c r="AD2169" i="1"/>
  <c r="AE2169" i="1"/>
  <c r="AD2170" i="1"/>
  <c r="AE2170" i="1"/>
  <c r="AD2004" i="1"/>
  <c r="AE2004" i="1"/>
  <c r="AD2005" i="1"/>
  <c r="AE2005" i="1"/>
  <c r="AD2006" i="1"/>
  <c r="AE2006" i="1"/>
  <c r="AD2007" i="1"/>
  <c r="AE2007" i="1"/>
  <c r="AD2008" i="1"/>
  <c r="AE2008" i="1"/>
  <c r="AD2009" i="1"/>
  <c r="AE2009" i="1"/>
  <c r="AD2010" i="1"/>
  <c r="AE2010" i="1"/>
  <c r="AD2011" i="1"/>
  <c r="AE2011" i="1"/>
  <c r="AD2012" i="1"/>
  <c r="AE2012" i="1"/>
  <c r="AD2013" i="1"/>
  <c r="AE2013" i="1"/>
  <c r="AD2014" i="1"/>
  <c r="AE2014" i="1"/>
  <c r="AD2015" i="1"/>
  <c r="AE2015" i="1"/>
  <c r="AD2016" i="1"/>
  <c r="AE2016" i="1"/>
  <c r="AD2017" i="1"/>
  <c r="AE2017" i="1"/>
  <c r="AD2018" i="1"/>
  <c r="AE2018" i="1"/>
  <c r="AD2019" i="1"/>
  <c r="AE2019" i="1"/>
  <c r="AD2020" i="1"/>
  <c r="AE2020" i="1"/>
  <c r="AD2021" i="1"/>
  <c r="AE2021" i="1"/>
  <c r="AD2022" i="1"/>
  <c r="AE2022" i="1"/>
  <c r="AD2023" i="1"/>
  <c r="AE2023" i="1"/>
  <c r="AD2024" i="1"/>
  <c r="AE2024" i="1"/>
  <c r="AD2379" i="1"/>
  <c r="AE2379" i="1"/>
  <c r="AD2380" i="1"/>
  <c r="AE2380" i="1"/>
  <c r="AD2381" i="1"/>
  <c r="AE2381" i="1"/>
  <c r="AD2382" i="1"/>
  <c r="AE2382" i="1"/>
  <c r="AD2383" i="1"/>
  <c r="AE2383" i="1"/>
  <c r="AD2384" i="1"/>
  <c r="AE2384" i="1"/>
  <c r="AD2385" i="1"/>
  <c r="AE2385" i="1"/>
  <c r="AD2386" i="1"/>
  <c r="AE2386" i="1"/>
  <c r="AD2387" i="1"/>
  <c r="AE2387" i="1"/>
  <c r="AD2388" i="1"/>
  <c r="AE2388" i="1"/>
  <c r="AD2389" i="1"/>
  <c r="AE2389" i="1"/>
  <c r="AD2390" i="1"/>
  <c r="AE2390" i="1"/>
  <c r="AD2391" i="1"/>
  <c r="AE2391" i="1"/>
  <c r="AD2392" i="1"/>
  <c r="AE2392" i="1"/>
  <c r="AD2393" i="1"/>
  <c r="AE2393" i="1"/>
  <c r="AD2394" i="1"/>
  <c r="AE2394" i="1"/>
  <c r="AD2302" i="1"/>
  <c r="AE2302" i="1"/>
  <c r="AD2303" i="1"/>
  <c r="AE2303" i="1"/>
  <c r="AD2304" i="1"/>
  <c r="AE2304" i="1"/>
  <c r="AD2305" i="1"/>
  <c r="AE2305" i="1"/>
  <c r="AD2306" i="1"/>
  <c r="AE2306" i="1"/>
  <c r="AD2307" i="1"/>
  <c r="AE2307" i="1"/>
  <c r="AD2308" i="1"/>
  <c r="AE2308" i="1"/>
  <c r="AD2309" i="1"/>
  <c r="AE2309" i="1"/>
  <c r="AD2497" i="1"/>
  <c r="AE2497" i="1"/>
  <c r="AD2498" i="1"/>
  <c r="AE2498" i="1"/>
  <c r="AD2499" i="1"/>
  <c r="AE2499" i="1"/>
  <c r="AD2500" i="1"/>
  <c r="AE2500" i="1"/>
  <c r="AD2501" i="1"/>
  <c r="AE2501" i="1"/>
  <c r="AD2502" i="1"/>
  <c r="AE2502" i="1"/>
  <c r="AD2503" i="1"/>
  <c r="AE2503" i="1"/>
  <c r="AD2504" i="1"/>
  <c r="AE2504" i="1"/>
  <c r="AD2622" i="1"/>
  <c r="AE2622" i="1"/>
  <c r="AD2623" i="1"/>
  <c r="AE2623" i="1"/>
  <c r="AD2625" i="1"/>
  <c r="AE2625" i="1"/>
  <c r="AD2624" i="1"/>
  <c r="AE2624" i="1"/>
  <c r="AD2614" i="1"/>
  <c r="AE2614" i="1"/>
  <c r="AD2615" i="1"/>
  <c r="AE2615" i="1"/>
  <c r="AD2616" i="1"/>
  <c r="AE2616" i="1"/>
  <c r="AD2617" i="1"/>
  <c r="AE2617" i="1"/>
  <c r="AD618" i="1"/>
  <c r="AE618" i="1"/>
  <c r="AD619" i="1"/>
  <c r="AE619" i="1"/>
  <c r="AD620" i="1"/>
  <c r="AE620" i="1"/>
  <c r="AD600" i="1"/>
  <c r="AE600" i="1"/>
  <c r="AD590" i="1"/>
  <c r="AE590" i="1"/>
  <c r="AD591" i="1"/>
  <c r="AE591" i="1"/>
  <c r="AD592" i="1"/>
  <c r="AE592" i="1"/>
  <c r="AD593" i="1"/>
  <c r="AE593" i="1"/>
  <c r="AD595" i="1"/>
  <c r="AE595" i="1"/>
  <c r="AD596" i="1"/>
  <c r="AE596" i="1"/>
  <c r="AD597" i="1"/>
  <c r="AE597" i="1"/>
  <c r="AD598" i="1"/>
  <c r="AE598" i="1"/>
  <c r="AD599" i="1"/>
  <c r="AE599" i="1"/>
  <c r="AD616" i="1"/>
  <c r="AE616" i="1"/>
  <c r="AD617" i="1"/>
  <c r="AE617" i="1"/>
  <c r="AD731" i="1"/>
  <c r="AE731" i="1"/>
  <c r="AD732" i="1"/>
  <c r="AE732" i="1"/>
  <c r="AD733" i="1"/>
  <c r="AE733" i="1"/>
  <c r="AD734" i="1"/>
  <c r="AE734" i="1"/>
  <c r="AD735" i="1"/>
  <c r="AE735" i="1"/>
  <c r="AD737" i="1"/>
  <c r="AE737" i="1"/>
  <c r="AD736" i="1"/>
  <c r="AE736" i="1"/>
  <c r="AD708" i="1"/>
  <c r="AE708" i="1"/>
  <c r="AD709" i="1"/>
  <c r="AE709" i="1"/>
  <c r="AD710" i="1"/>
  <c r="AE710" i="1"/>
  <c r="AD711" i="1"/>
  <c r="AE711" i="1"/>
  <c r="AD712" i="1"/>
  <c r="AE712" i="1"/>
  <c r="AD713" i="1"/>
  <c r="AE713" i="1"/>
  <c r="AD714" i="1"/>
  <c r="AE714" i="1"/>
  <c r="AD715" i="1"/>
  <c r="AE715" i="1"/>
  <c r="AD741" i="1"/>
  <c r="AE741" i="1"/>
  <c r="AD742" i="1"/>
  <c r="AE742" i="1"/>
  <c r="AD743" i="1"/>
  <c r="AE743" i="1"/>
  <c r="AD744" i="1"/>
  <c r="AE744" i="1"/>
  <c r="AD745" i="1"/>
  <c r="AE745" i="1"/>
  <c r="AD746" i="1"/>
  <c r="AE746" i="1"/>
  <c r="AD1142" i="1"/>
  <c r="AE1142" i="1"/>
  <c r="AD1143" i="1"/>
  <c r="AE1143" i="1"/>
  <c r="AD1144" i="1"/>
  <c r="AE1144" i="1"/>
  <c r="AD1145" i="1"/>
  <c r="AE1145" i="1"/>
  <c r="AD1146" i="1"/>
  <c r="AE1146" i="1"/>
  <c r="AD1147" i="1"/>
  <c r="AE1147" i="1"/>
  <c r="AD1898" i="1"/>
  <c r="AE1898" i="1"/>
  <c r="AD1899" i="1"/>
  <c r="AE1899" i="1"/>
  <c r="AD457" i="1"/>
  <c r="AE457" i="1"/>
  <c r="AD458" i="1"/>
  <c r="AE458" i="1"/>
  <c r="AD459" i="1"/>
  <c r="AE459" i="1"/>
  <c r="AD950" i="1"/>
  <c r="AE950" i="1"/>
  <c r="AD951" i="1"/>
  <c r="AE951" i="1"/>
  <c r="AD1112" i="1"/>
  <c r="AE1112" i="1"/>
  <c r="AD892" i="1"/>
  <c r="AE892" i="1"/>
  <c r="AD570" i="1"/>
  <c r="AE570" i="1"/>
  <c r="AD568" i="1"/>
  <c r="AE568" i="1"/>
  <c r="AD1230" i="1"/>
  <c r="AE1230" i="1"/>
  <c r="AD1231" i="1"/>
  <c r="AE1231" i="1"/>
  <c r="AD1232" i="1"/>
  <c r="AE1232" i="1"/>
  <c r="AD1233" i="1"/>
  <c r="AE1233" i="1"/>
  <c r="AD1234" i="1"/>
  <c r="AE1234" i="1"/>
  <c r="AD1235" i="1"/>
  <c r="AE1235" i="1"/>
  <c r="AD1236" i="1"/>
  <c r="AE1236" i="1"/>
  <c r="AD1237" i="1"/>
  <c r="AE1237" i="1"/>
  <c r="AD1238" i="1"/>
  <c r="AE1238" i="1"/>
  <c r="AD1239" i="1"/>
  <c r="AE1239" i="1"/>
  <c r="AD1240" i="1"/>
  <c r="AE1240" i="1"/>
  <c r="AD1241" i="1"/>
  <c r="AE1241" i="1"/>
  <c r="AD1243" i="1"/>
  <c r="AE1243" i="1"/>
  <c r="AD1244" i="1"/>
  <c r="AE1244" i="1"/>
  <c r="AD1242" i="1"/>
  <c r="AE1242" i="1"/>
  <c r="AD1245" i="1"/>
  <c r="AE1245" i="1"/>
  <c r="AD1246" i="1"/>
  <c r="AE1246" i="1"/>
  <c r="AD1247" i="1"/>
  <c r="AE1247" i="1"/>
  <c r="AD1248" i="1"/>
  <c r="AE1248" i="1"/>
  <c r="AD1249" i="1"/>
  <c r="AE1249" i="1"/>
  <c r="AD1250" i="1"/>
  <c r="AE1250" i="1"/>
  <c r="AD1251" i="1"/>
  <c r="AE1251" i="1"/>
  <c r="AD1252" i="1"/>
  <c r="AE1252" i="1"/>
  <c r="AD1253" i="1"/>
  <c r="AE1253" i="1"/>
  <c r="AD1254" i="1"/>
  <c r="AE1254" i="1"/>
  <c r="AD1255" i="1"/>
  <c r="AE1255" i="1"/>
  <c r="AD1256" i="1"/>
  <c r="AE1256" i="1"/>
  <c r="AD1257" i="1"/>
  <c r="AE1257" i="1"/>
  <c r="AD1258" i="1"/>
  <c r="AE1258" i="1"/>
  <c r="AD1260" i="1"/>
  <c r="AE1260" i="1"/>
  <c r="AD1265" i="1"/>
  <c r="AE1265" i="1"/>
  <c r="AD1269" i="1"/>
  <c r="AE1269" i="1"/>
  <c r="AD1271" i="1"/>
  <c r="AE1271" i="1"/>
  <c r="AD1273" i="1"/>
  <c r="AE1273" i="1"/>
  <c r="AD1275" i="1"/>
  <c r="AE1275" i="1"/>
  <c r="AD1278" i="1"/>
  <c r="AE1278" i="1"/>
  <c r="AD1282" i="1"/>
  <c r="AE1282" i="1"/>
  <c r="AD1283" i="1"/>
  <c r="AE1283" i="1"/>
  <c r="AD1285" i="1"/>
  <c r="AE1285" i="1"/>
  <c r="AD1287" i="1"/>
  <c r="AE1287" i="1"/>
  <c r="AD1288" i="1"/>
  <c r="AE1288" i="1"/>
  <c r="AD1292" i="1"/>
  <c r="AE1292" i="1"/>
  <c r="AD1675" i="1"/>
  <c r="AE1675" i="1"/>
  <c r="AD1680" i="1"/>
  <c r="AE1680" i="1"/>
  <c r="AD1676" i="1"/>
  <c r="AE1676" i="1"/>
  <c r="AD1677" i="1"/>
  <c r="AE1677" i="1"/>
  <c r="AD1678" i="1"/>
  <c r="AE1678" i="1"/>
  <c r="AD1679" i="1"/>
  <c r="AE1679" i="1"/>
  <c r="AD1681" i="1"/>
  <c r="AE1681" i="1"/>
  <c r="AD1682" i="1"/>
  <c r="AE1682" i="1"/>
  <c r="AD1683" i="1"/>
  <c r="AE1683" i="1"/>
  <c r="AD1685" i="1"/>
  <c r="AE1685" i="1"/>
  <c r="AD1687" i="1"/>
  <c r="AE1687" i="1"/>
  <c r="AD1689" i="1"/>
  <c r="AE1689" i="1"/>
  <c r="AD1690" i="1"/>
  <c r="AE1690" i="1"/>
  <c r="AD1691" i="1"/>
  <c r="AE1691" i="1"/>
  <c r="AD1695" i="1"/>
  <c r="AE1695" i="1"/>
  <c r="AD1696" i="1"/>
  <c r="AE1696" i="1"/>
  <c r="AD1697" i="1"/>
  <c r="AE1697" i="1"/>
  <c r="AD1698" i="1"/>
  <c r="AE1698" i="1"/>
  <c r="AD1699" i="1"/>
  <c r="AE1699" i="1"/>
  <c r="AD1700" i="1"/>
  <c r="AE1700" i="1"/>
  <c r="AD1701" i="1"/>
  <c r="AE1701" i="1"/>
  <c r="AD1702" i="1"/>
  <c r="AE1702" i="1"/>
  <c r="AD1872" i="1"/>
  <c r="AE1872" i="1"/>
  <c r="AD1873" i="1"/>
  <c r="AE1873" i="1"/>
  <c r="AD1875" i="1"/>
  <c r="AE1875" i="1"/>
  <c r="AD1876" i="1"/>
  <c r="AE1876" i="1"/>
  <c r="AD1877" i="1"/>
  <c r="AE1877" i="1"/>
  <c r="AD1878" i="1"/>
  <c r="AE1878" i="1"/>
  <c r="AD1879" i="1"/>
  <c r="AE1879" i="1"/>
  <c r="AD1880" i="1"/>
  <c r="AE1880" i="1"/>
  <c r="AD1881" i="1"/>
  <c r="AE1881" i="1"/>
  <c r="AD1874" i="1"/>
  <c r="AE1874" i="1"/>
  <c r="AD772" i="1"/>
  <c r="AE772" i="1"/>
  <c r="AD773" i="1"/>
  <c r="AE773" i="1"/>
  <c r="AD774" i="1"/>
  <c r="AE774" i="1"/>
  <c r="AD775" i="1"/>
  <c r="AE775" i="1"/>
  <c r="AD776" i="1"/>
  <c r="AE776" i="1"/>
  <c r="AD777" i="1"/>
  <c r="AE777" i="1"/>
  <c r="AD1870" i="1"/>
  <c r="AE1870" i="1"/>
  <c r="AD1871" i="1"/>
  <c r="AE1871" i="1"/>
  <c r="AD2612" i="1"/>
  <c r="AE2612" i="1"/>
  <c r="AD402" i="1"/>
  <c r="AE402" i="1"/>
  <c r="AD574" i="1"/>
  <c r="AE574" i="1"/>
  <c r="AD575" i="1"/>
  <c r="AE575" i="1"/>
  <c r="AD576" i="1"/>
  <c r="AE576" i="1"/>
  <c r="AD577" i="1"/>
  <c r="AE577" i="1"/>
  <c r="AD578" i="1"/>
  <c r="AE578" i="1"/>
  <c r="AD1894" i="1"/>
  <c r="AE1894" i="1"/>
  <c r="AD1895" i="1"/>
  <c r="AE1895" i="1"/>
  <c r="AD1896" i="1"/>
  <c r="AE1896" i="1"/>
  <c r="AD1151" i="1"/>
  <c r="AE1151" i="1"/>
  <c r="AD2395" i="1"/>
  <c r="AE2395" i="1"/>
  <c r="AD2396" i="1"/>
  <c r="AE2396" i="1"/>
  <c r="AD2397" i="1"/>
  <c r="AE2397" i="1"/>
  <c r="AD2398" i="1"/>
  <c r="AE2398" i="1"/>
  <c r="AD2399" i="1"/>
  <c r="AE2399" i="1"/>
  <c r="AD2448" i="1"/>
  <c r="AE2448" i="1"/>
  <c r="AD2449" i="1"/>
  <c r="AE2449" i="1"/>
  <c r="AD2451" i="1"/>
  <c r="AE2451" i="1"/>
  <c r="AD2450" i="1"/>
  <c r="AE2450" i="1"/>
  <c r="AD2452" i="1"/>
  <c r="AE2452" i="1"/>
  <c r="AD2453" i="1"/>
  <c r="AE2453" i="1"/>
  <c r="AD2454" i="1"/>
  <c r="AE2454" i="1"/>
  <c r="AD2455" i="1"/>
  <c r="AE2455" i="1"/>
  <c r="AD2456" i="1"/>
  <c r="AE2456" i="1"/>
  <c r="AD2457" i="1"/>
  <c r="AE2457" i="1"/>
  <c r="AD2400" i="1"/>
  <c r="AE2400" i="1"/>
  <c r="AD2401" i="1"/>
  <c r="AE2401" i="1"/>
  <c r="AD2404" i="1"/>
  <c r="AE2404" i="1"/>
  <c r="AD2405" i="1"/>
  <c r="AE2405" i="1"/>
  <c r="AD2406" i="1"/>
  <c r="AE2406" i="1"/>
  <c r="AD2407" i="1"/>
  <c r="AE2407" i="1"/>
  <c r="AD2408" i="1"/>
  <c r="AE2408" i="1"/>
  <c r="AD2402" i="1"/>
  <c r="AE2402" i="1"/>
  <c r="AD2403" i="1"/>
  <c r="AE2403" i="1"/>
  <c r="AD2409" i="1"/>
  <c r="AE2409" i="1"/>
  <c r="AD2410" i="1"/>
  <c r="AE2410" i="1"/>
  <c r="AD2411" i="1"/>
  <c r="AE2411" i="1"/>
  <c r="AD2412" i="1"/>
  <c r="AE2412" i="1"/>
  <c r="AD2413" i="1"/>
  <c r="AE2413" i="1"/>
  <c r="AD778" i="1"/>
  <c r="AE778" i="1"/>
  <c r="AD779" i="1"/>
  <c r="AE779" i="1"/>
  <c r="AD780" i="1"/>
  <c r="AE780" i="1"/>
  <c r="AD781" i="1"/>
  <c r="AE781" i="1"/>
  <c r="AD782" i="1"/>
  <c r="AE782" i="1"/>
  <c r="AD783" i="1"/>
  <c r="AE783" i="1"/>
  <c r="AD784" i="1"/>
  <c r="AE784" i="1"/>
  <c r="AD785" i="1"/>
  <c r="AE785" i="1"/>
  <c r="AD786" i="1"/>
  <c r="AE786" i="1"/>
  <c r="AD787" i="1"/>
  <c r="AE787" i="1"/>
  <c r="AD788" i="1"/>
  <c r="AE788" i="1"/>
  <c r="AD789" i="1"/>
  <c r="AE789" i="1"/>
  <c r="AD2171" i="1"/>
  <c r="AE2171" i="1"/>
  <c r="AD2172" i="1"/>
  <c r="AE2172" i="1"/>
  <c r="AD2173" i="1"/>
  <c r="AE2173" i="1"/>
  <c r="AD2174" i="1"/>
  <c r="AE2174" i="1"/>
  <c r="AD2175" i="1"/>
  <c r="AE2175" i="1"/>
  <c r="AD2176" i="1"/>
  <c r="AE2176" i="1"/>
  <c r="AD2177" i="1"/>
  <c r="AE2177" i="1"/>
  <c r="AD2178" i="1"/>
  <c r="AE2178" i="1"/>
  <c r="AD2179" i="1"/>
  <c r="AE2179" i="1"/>
  <c r="AD2180" i="1"/>
  <c r="AE2180" i="1"/>
  <c r="AD2181" i="1"/>
  <c r="AE2181" i="1"/>
  <c r="AD2182" i="1"/>
  <c r="AE2182" i="1"/>
  <c r="AD2025" i="1"/>
  <c r="AE2025" i="1"/>
  <c r="AD2026" i="1"/>
  <c r="AE2026" i="1"/>
  <c r="AD2027" i="1"/>
  <c r="AE2027" i="1"/>
  <c r="AD2028" i="1"/>
  <c r="AE2028" i="1"/>
  <c r="AD2029" i="1"/>
  <c r="AE2029" i="1"/>
  <c r="AD2030" i="1"/>
  <c r="AE2030" i="1"/>
  <c r="AD2031" i="1"/>
  <c r="AE2031" i="1"/>
  <c r="AD2032" i="1"/>
  <c r="AE2032" i="1"/>
  <c r="AD2033" i="1"/>
  <c r="AE2033" i="1"/>
  <c r="AD2034" i="1"/>
  <c r="AE2034" i="1"/>
  <c r="AD2035" i="1"/>
  <c r="AE2035" i="1"/>
  <c r="AD2036" i="1"/>
  <c r="AE2036" i="1"/>
  <c r="AD2037" i="1"/>
  <c r="AE2037" i="1"/>
  <c r="AD2038" i="1"/>
  <c r="AE2038" i="1"/>
  <c r="AD2039" i="1"/>
  <c r="AE2039" i="1"/>
  <c r="AD2040" i="1"/>
  <c r="AE2040" i="1"/>
  <c r="AD2041" i="1"/>
  <c r="AE2041" i="1"/>
  <c r="AD2043" i="1"/>
  <c r="AE2043" i="1"/>
  <c r="AD2042" i="1"/>
  <c r="AE2042" i="1"/>
  <c r="AD2505" i="1"/>
  <c r="AE2505" i="1"/>
  <c r="AD2506" i="1"/>
  <c r="AE2506" i="1"/>
  <c r="AD2507" i="1"/>
  <c r="AE2507" i="1"/>
  <c r="AD2508" i="1"/>
  <c r="AE2508" i="1"/>
  <c r="AD2524" i="1"/>
  <c r="AE2524" i="1"/>
  <c r="AD2530" i="1"/>
  <c r="AE2530" i="1"/>
  <c r="AD2531" i="1"/>
  <c r="AE2531" i="1"/>
  <c r="AD2532" i="1"/>
  <c r="AE2532" i="1"/>
  <c r="AD2533" i="1"/>
  <c r="AE2533" i="1"/>
  <c r="AD2534" i="1"/>
  <c r="AE2534" i="1"/>
  <c r="AD2535" i="1"/>
  <c r="AE2535" i="1"/>
  <c r="AD2509" i="1"/>
  <c r="AE2509" i="1"/>
  <c r="AD2510" i="1"/>
  <c r="AE2510" i="1"/>
  <c r="AD2511" i="1"/>
  <c r="AE2511" i="1"/>
  <c r="AD2512" i="1"/>
  <c r="AE2512" i="1"/>
  <c r="AD2513" i="1"/>
  <c r="AE2513" i="1"/>
  <c r="AD2514" i="1"/>
  <c r="AE2514" i="1"/>
  <c r="AD2515" i="1"/>
  <c r="AE2515" i="1"/>
  <c r="AD2516" i="1"/>
  <c r="AE2516" i="1"/>
  <c r="AD2517" i="1"/>
  <c r="AE2517" i="1"/>
  <c r="AD2518" i="1"/>
  <c r="AE2518" i="1"/>
  <c r="AD2519" i="1"/>
  <c r="AE2519" i="1"/>
  <c r="AD143" i="1"/>
  <c r="AE143" i="1"/>
  <c r="AD144" i="1"/>
  <c r="AE144" i="1"/>
  <c r="AD147" i="1"/>
  <c r="AE147" i="1"/>
  <c r="AD678" i="1"/>
  <c r="AE678" i="1"/>
  <c r="AD679" i="1"/>
  <c r="AE679" i="1"/>
  <c r="AD680" i="1"/>
  <c r="AE680" i="1"/>
  <c r="AD681" i="1"/>
  <c r="AE681" i="1"/>
  <c r="AD682" i="1"/>
  <c r="AE682" i="1"/>
  <c r="AD683" i="1"/>
  <c r="AE683" i="1"/>
  <c r="AD684" i="1"/>
  <c r="AE684" i="1"/>
  <c r="AD685" i="1"/>
  <c r="AE685" i="1"/>
  <c r="AD686" i="1"/>
  <c r="AE686" i="1"/>
  <c r="AD687" i="1"/>
  <c r="AE687" i="1"/>
  <c r="AD688" i="1"/>
  <c r="AE688" i="1"/>
  <c r="AD689" i="1"/>
  <c r="AE689" i="1"/>
  <c r="AD690" i="1"/>
  <c r="AE690" i="1"/>
  <c r="AD691" i="1"/>
  <c r="AE691" i="1"/>
  <c r="AD692" i="1"/>
  <c r="AE692" i="1"/>
  <c r="AD113" i="1"/>
  <c r="AE113" i="1"/>
  <c r="AD114" i="1"/>
  <c r="AE114" i="1"/>
  <c r="AD118" i="1"/>
  <c r="AE118" i="1"/>
  <c r="AD115" i="1"/>
  <c r="AE115" i="1"/>
  <c r="AD116" i="1"/>
  <c r="AE116" i="1"/>
  <c r="AD117" i="1"/>
  <c r="AE117" i="1"/>
  <c r="AD1148" i="1"/>
  <c r="AE1148" i="1"/>
  <c r="AD1149" i="1"/>
  <c r="AE1149" i="1"/>
  <c r="AD1150" i="1"/>
  <c r="AE1150" i="1"/>
  <c r="AD1152" i="1"/>
  <c r="AE1152" i="1"/>
  <c r="AD1153" i="1"/>
  <c r="AE1153" i="1"/>
  <c r="AD1154" i="1"/>
  <c r="AE1154" i="1"/>
  <c r="AD1155" i="1"/>
  <c r="AE1155" i="1"/>
  <c r="AD1156" i="1"/>
  <c r="AE1156" i="1"/>
  <c r="AD159" i="1"/>
  <c r="AE159" i="1"/>
  <c r="AD161" i="1"/>
  <c r="AE161" i="1"/>
  <c r="AD162" i="1"/>
  <c r="AE162" i="1"/>
  <c r="AD158" i="1"/>
  <c r="AE158" i="1"/>
  <c r="AD1226" i="1"/>
  <c r="AE1226" i="1"/>
  <c r="AD1228" i="1"/>
  <c r="AE1228" i="1"/>
  <c r="AD2310" i="1"/>
  <c r="AE2310" i="1"/>
  <c r="AD2311" i="1"/>
  <c r="AE2311" i="1"/>
  <c r="AD2312" i="1"/>
  <c r="AE2312" i="1"/>
  <c r="AD2313" i="1"/>
  <c r="AE2313" i="1"/>
  <c r="AD2314" i="1"/>
  <c r="AE2314" i="1"/>
  <c r="AD2315" i="1"/>
  <c r="AE2315" i="1"/>
  <c r="AD2316" i="1"/>
  <c r="AE2316" i="1"/>
  <c r="AD2317" i="1"/>
  <c r="AE2317" i="1"/>
  <c r="AD2318" i="1"/>
  <c r="AE2318" i="1"/>
  <c r="AD2319" i="1"/>
  <c r="AE2319" i="1"/>
  <c r="AD2320" i="1"/>
  <c r="AE2320" i="1"/>
  <c r="AD2321" i="1"/>
  <c r="AE2321" i="1"/>
  <c r="AD2322" i="1"/>
  <c r="AE2322" i="1"/>
  <c r="AD2323" i="1"/>
  <c r="AE2323" i="1"/>
  <c r="AD2183" i="1"/>
  <c r="AE2183" i="1"/>
  <c r="AD2184" i="1"/>
  <c r="AE2184" i="1"/>
  <c r="AD2185" i="1"/>
  <c r="AE2185" i="1"/>
  <c r="AD2186" i="1"/>
  <c r="AE2186" i="1"/>
  <c r="AD2187" i="1"/>
  <c r="AE2187" i="1"/>
  <c r="AD2188" i="1"/>
  <c r="AE2188" i="1"/>
  <c r="AD2189" i="1"/>
  <c r="AE2189" i="1"/>
  <c r="AD2190" i="1"/>
  <c r="AE2190" i="1"/>
  <c r="AD2191" i="1"/>
  <c r="AE2191" i="1"/>
  <c r="AD2192" i="1"/>
  <c r="AE2192" i="1"/>
  <c r="AD2193" i="1"/>
  <c r="AE2193" i="1"/>
  <c r="AD2194" i="1"/>
  <c r="AE2194" i="1"/>
  <c r="AD2195" i="1"/>
  <c r="AE2195" i="1"/>
  <c r="AD2196" i="1"/>
  <c r="AE2196" i="1"/>
  <c r="AD2197" i="1"/>
  <c r="AE2197" i="1"/>
  <c r="AD2198" i="1"/>
  <c r="AE2198" i="1"/>
  <c r="AD2199" i="1"/>
  <c r="AE2199" i="1"/>
  <c r="AD2200" i="1"/>
  <c r="AE2200" i="1"/>
  <c r="AD790" i="1"/>
  <c r="AE790" i="1"/>
  <c r="AD791" i="1"/>
  <c r="AE791" i="1"/>
  <c r="AD792" i="1"/>
  <c r="AE792" i="1"/>
  <c r="AD793" i="1"/>
  <c r="AE793" i="1"/>
  <c r="AD794" i="1"/>
  <c r="AE794" i="1"/>
  <c r="AD795" i="1"/>
  <c r="AE795" i="1"/>
  <c r="AD796" i="1"/>
  <c r="AE796" i="1"/>
  <c r="AD797" i="1"/>
  <c r="AE797" i="1"/>
  <c r="AD798" i="1"/>
  <c r="AE798" i="1"/>
  <c r="AD799" i="1"/>
  <c r="AE799" i="1"/>
  <c r="AD2044" i="1"/>
  <c r="AE2044" i="1"/>
  <c r="AD2045" i="1"/>
  <c r="AE2045" i="1"/>
  <c r="AD2046" i="1"/>
  <c r="AE2046" i="1"/>
  <c r="AD2047" i="1"/>
  <c r="AE2047" i="1"/>
  <c r="AD2048" i="1"/>
  <c r="AE2048" i="1"/>
  <c r="AD2049" i="1"/>
  <c r="AE2049" i="1"/>
  <c r="AD2050" i="1"/>
  <c r="AE2050" i="1"/>
  <c r="AD2051" i="1"/>
  <c r="AE2051" i="1"/>
  <c r="AD2052" i="1"/>
  <c r="AE2052" i="1"/>
  <c r="AD2053" i="1"/>
  <c r="AE2053" i="1"/>
  <c r="AD2054" i="1"/>
  <c r="AE2054" i="1"/>
  <c r="AD2055" i="1"/>
  <c r="AE2055" i="1"/>
  <c r="AD2056" i="1"/>
  <c r="AE2056" i="1"/>
  <c r="AD2057" i="1"/>
  <c r="AE2057" i="1"/>
  <c r="AD2058" i="1"/>
  <c r="AE2058" i="1"/>
  <c r="AD2059" i="1"/>
  <c r="AE2059" i="1"/>
  <c r="AD2060" i="1"/>
  <c r="AE2060" i="1"/>
  <c r="AD2520" i="1"/>
  <c r="AE2520" i="1"/>
  <c r="AD2521" i="1"/>
  <c r="AE2521" i="1"/>
  <c r="AD2522" i="1"/>
  <c r="AE2522" i="1"/>
  <c r="AD2414" i="1"/>
  <c r="AE2414" i="1"/>
  <c r="AD2415" i="1"/>
  <c r="AE2415" i="1"/>
  <c r="AD2416" i="1"/>
  <c r="AE2416" i="1"/>
  <c r="AD2417" i="1"/>
  <c r="AE2417" i="1"/>
  <c r="AD2418" i="1"/>
  <c r="AE2418" i="1"/>
  <c r="AD2419" i="1"/>
  <c r="AE2419" i="1"/>
  <c r="AD2420" i="1"/>
  <c r="AE2420" i="1"/>
  <c r="AD2421" i="1"/>
  <c r="AE2421" i="1"/>
  <c r="AD2422" i="1"/>
  <c r="AE2422" i="1"/>
  <c r="AD2423" i="1"/>
  <c r="AE2423" i="1"/>
  <c r="AD929" i="1"/>
  <c r="AE929" i="1"/>
  <c r="AD930" i="1"/>
  <c r="AE930" i="1"/>
  <c r="AD931" i="1"/>
  <c r="AE931" i="1"/>
  <c r="AD932" i="1"/>
  <c r="AE932" i="1"/>
  <c r="AD933" i="1"/>
  <c r="AE933" i="1"/>
  <c r="AD934" i="1"/>
  <c r="AE934" i="1"/>
  <c r="AD935" i="1"/>
  <c r="AE935" i="1"/>
  <c r="AD936" i="1"/>
  <c r="AE936" i="1"/>
  <c r="AD938" i="1"/>
  <c r="AE938" i="1"/>
  <c r="AD937" i="1"/>
  <c r="AE937" i="1"/>
  <c r="AD939" i="1"/>
  <c r="AE939" i="1"/>
  <c r="AD940" i="1"/>
  <c r="AE940" i="1"/>
  <c r="AD941" i="1"/>
  <c r="AE941" i="1"/>
  <c r="AD942" i="1"/>
  <c r="AE942" i="1"/>
  <c r="AD943" i="1"/>
  <c r="AE943" i="1"/>
  <c r="AD1036" i="1"/>
  <c r="AE1036" i="1"/>
  <c r="AD1037" i="1"/>
  <c r="AE1037" i="1"/>
  <c r="AD1038" i="1"/>
  <c r="AE1038" i="1"/>
  <c r="AD1039" i="1"/>
  <c r="AE1039" i="1"/>
  <c r="AD1040" i="1"/>
  <c r="AE1040" i="1"/>
  <c r="AD1041" i="1"/>
  <c r="AE1041" i="1"/>
  <c r="AD1042" i="1"/>
  <c r="AE1042" i="1"/>
  <c r="AD1043" i="1"/>
  <c r="AE1043" i="1"/>
  <c r="AD1044" i="1"/>
  <c r="AE1044" i="1"/>
  <c r="AD1045" i="1"/>
  <c r="AE1045" i="1"/>
  <c r="AD1047" i="1"/>
  <c r="AE1047" i="1"/>
  <c r="AD1046" i="1"/>
  <c r="AE1046" i="1"/>
  <c r="AD1048" i="1"/>
  <c r="AE1048" i="1"/>
  <c r="AD1050" i="1"/>
  <c r="AE1050" i="1"/>
  <c r="AD1049" i="1"/>
  <c r="AE1049" i="1"/>
  <c r="AD1051" i="1"/>
  <c r="AE1051" i="1"/>
  <c r="AD1053" i="1"/>
  <c r="AE1053" i="1"/>
  <c r="AD1052" i="1"/>
  <c r="AE1052" i="1"/>
  <c r="AD1069" i="1"/>
  <c r="AE1069" i="1"/>
  <c r="AD1070" i="1"/>
  <c r="AE1070" i="1"/>
  <c r="AD1071" i="1"/>
  <c r="AE1071" i="1"/>
  <c r="AD1072" i="1"/>
  <c r="AE1072" i="1"/>
  <c r="AD1073" i="1"/>
  <c r="AE1073" i="1"/>
  <c r="AD1074" i="1"/>
  <c r="AE1074" i="1"/>
  <c r="AD1075" i="1"/>
  <c r="AE1075" i="1"/>
  <c r="AD1076" i="1"/>
  <c r="AE1076" i="1"/>
  <c r="AD1077" i="1"/>
  <c r="AE1077" i="1"/>
  <c r="AD1078" i="1"/>
  <c r="AE1078" i="1"/>
  <c r="AD1086" i="1"/>
  <c r="AE1086" i="1"/>
  <c r="AD1079" i="1"/>
  <c r="AE1079" i="1"/>
  <c r="AD1080" i="1"/>
  <c r="AE1080" i="1"/>
  <c r="AD1081" i="1"/>
  <c r="AE1081" i="1"/>
  <c r="AD1082" i="1"/>
  <c r="AE1082" i="1"/>
  <c r="AD1083" i="1"/>
  <c r="AE1083" i="1"/>
  <c r="AD1084" i="1"/>
  <c r="AE1084" i="1"/>
  <c r="AD1085" i="1"/>
  <c r="AE1085" i="1"/>
  <c r="AD1087" i="1"/>
  <c r="AE1087" i="1"/>
  <c r="AD1088" i="1"/>
  <c r="AE1088" i="1"/>
  <c r="AD893" i="1"/>
  <c r="AE893" i="1"/>
  <c r="AD894" i="1"/>
  <c r="AE894" i="1"/>
  <c r="AD896" i="1"/>
  <c r="AE896" i="1"/>
  <c r="AD895" i="1"/>
  <c r="AE895" i="1"/>
  <c r="AD897" i="1"/>
  <c r="AE897" i="1"/>
  <c r="AD898" i="1"/>
  <c r="AE898" i="1"/>
  <c r="AD899" i="1"/>
  <c r="AE899" i="1"/>
  <c r="AD900" i="1"/>
  <c r="AE900" i="1"/>
  <c r="AD901" i="1"/>
  <c r="AE901" i="1"/>
  <c r="AD902" i="1"/>
  <c r="AE902" i="1"/>
  <c r="AD903" i="1"/>
  <c r="AE903" i="1"/>
  <c r="AD904" i="1"/>
  <c r="AE904" i="1"/>
  <c r="AD905" i="1"/>
  <c r="AE905" i="1"/>
  <c r="AD906" i="1"/>
  <c r="AE906" i="1"/>
  <c r="AD907" i="1"/>
  <c r="AE907" i="1"/>
  <c r="AD908" i="1"/>
  <c r="AE908" i="1"/>
  <c r="AD909" i="1"/>
  <c r="AE909" i="1"/>
  <c r="AD910" i="1"/>
  <c r="AE910" i="1"/>
  <c r="AD911" i="1"/>
  <c r="AE911" i="1"/>
  <c r="AD912" i="1"/>
  <c r="AE912" i="1"/>
  <c r="AD913" i="1"/>
  <c r="AE913" i="1"/>
  <c r="AD914" i="1"/>
  <c r="AE914" i="1"/>
  <c r="AD915" i="1"/>
  <c r="AE915" i="1"/>
  <c r="AD916" i="1"/>
  <c r="AE916" i="1"/>
  <c r="AD917" i="1"/>
  <c r="AE917" i="1"/>
  <c r="AD918" i="1"/>
  <c r="AE918" i="1"/>
  <c r="AD919" i="1"/>
  <c r="AE919" i="1"/>
  <c r="AD928" i="1"/>
  <c r="AE928" i="1"/>
  <c r="AD944" i="1"/>
  <c r="AE944" i="1"/>
  <c r="AD949" i="1"/>
  <c r="AE949" i="1"/>
  <c r="AD945" i="1"/>
  <c r="AE945" i="1"/>
  <c r="AD946" i="1"/>
  <c r="AE946" i="1"/>
  <c r="AD947" i="1"/>
  <c r="AE947" i="1"/>
  <c r="AD948" i="1"/>
  <c r="AE948" i="1"/>
  <c r="AD952" i="1"/>
  <c r="AE952" i="1"/>
  <c r="AD953" i="1"/>
  <c r="AE953" i="1"/>
  <c r="AD954" i="1"/>
  <c r="AE954" i="1"/>
  <c r="AD955" i="1"/>
  <c r="AE955" i="1"/>
  <c r="AD956" i="1"/>
  <c r="AE956" i="1"/>
  <c r="AD957" i="1"/>
  <c r="AE957" i="1"/>
  <c r="AD960" i="1"/>
  <c r="AE960" i="1"/>
  <c r="AD961" i="1"/>
  <c r="AE961" i="1"/>
  <c r="AD962" i="1"/>
  <c r="AE962" i="1"/>
  <c r="AD963" i="1"/>
  <c r="AE963" i="1"/>
  <c r="AD965" i="1"/>
  <c r="AE965" i="1"/>
  <c r="AD959" i="1"/>
  <c r="AE959" i="1"/>
  <c r="AD964" i="1"/>
  <c r="AE964" i="1"/>
  <c r="AD966" i="1"/>
  <c r="AE966" i="1"/>
  <c r="AD967" i="1"/>
  <c r="AE967" i="1"/>
  <c r="AD968" i="1"/>
  <c r="AE968" i="1"/>
  <c r="AD969" i="1"/>
  <c r="AE969" i="1"/>
  <c r="AD970" i="1"/>
  <c r="AE970" i="1"/>
  <c r="AD971" i="1"/>
  <c r="AE971" i="1"/>
  <c r="AD972" i="1"/>
  <c r="AE972" i="1"/>
  <c r="AD973" i="1"/>
  <c r="AE973" i="1"/>
  <c r="AD978" i="1"/>
  <c r="AE978" i="1"/>
  <c r="AD1089" i="1"/>
  <c r="AE1089" i="1"/>
  <c r="AD1090" i="1"/>
  <c r="AE1090" i="1"/>
  <c r="AD1091" i="1"/>
  <c r="AE1091" i="1"/>
  <c r="AD1092" i="1"/>
  <c r="AE1092" i="1"/>
  <c r="AD1093" i="1"/>
  <c r="AE1093" i="1"/>
  <c r="AD1094" i="1"/>
  <c r="AE1094" i="1"/>
  <c r="AD1095" i="1"/>
  <c r="AE1095" i="1"/>
  <c r="AD1096" i="1"/>
  <c r="AE1096" i="1"/>
  <c r="AD1111" i="1"/>
  <c r="AE1111" i="1"/>
  <c r="AD1097" i="1"/>
  <c r="AE1097" i="1"/>
  <c r="AD1098" i="1"/>
  <c r="AE1098" i="1"/>
  <c r="AD1099" i="1"/>
  <c r="AE1099" i="1"/>
  <c r="AD1100" i="1"/>
  <c r="AE1100" i="1"/>
  <c r="AD1101" i="1"/>
  <c r="AE1101" i="1"/>
  <c r="AD1102" i="1"/>
  <c r="AE1102" i="1"/>
  <c r="AD1103" i="1"/>
  <c r="AE1103" i="1"/>
  <c r="AD1104" i="1"/>
  <c r="AE1104" i="1"/>
  <c r="AD1105" i="1"/>
  <c r="AE1105" i="1"/>
  <c r="AD1106" i="1"/>
  <c r="AE1106" i="1"/>
  <c r="AD1107" i="1"/>
  <c r="AE1107" i="1"/>
  <c r="AD1110" i="1"/>
  <c r="AE1110" i="1"/>
  <c r="AD1113" i="1"/>
  <c r="AE1113" i="1"/>
  <c r="AD1114" i="1"/>
  <c r="AE1114" i="1"/>
  <c r="AD1115" i="1"/>
  <c r="AE1115" i="1"/>
  <c r="AD1116" i="1"/>
  <c r="AE1116" i="1"/>
  <c r="AD1117" i="1"/>
  <c r="AE1117" i="1"/>
  <c r="AD1118" i="1"/>
  <c r="AE1118" i="1"/>
  <c r="AD1119" i="1"/>
  <c r="AE1119" i="1"/>
  <c r="AD1120" i="1"/>
  <c r="AE1120" i="1"/>
  <c r="AD1123" i="1"/>
  <c r="AE1123" i="1"/>
  <c r="AD1122" i="1"/>
  <c r="AE1122" i="1"/>
  <c r="AD1124" i="1"/>
  <c r="AE1124" i="1"/>
  <c r="AD1125" i="1"/>
  <c r="AE1125" i="1"/>
  <c r="AD1126" i="1"/>
  <c r="AE1126" i="1"/>
  <c r="AD1127" i="1"/>
  <c r="AE1127" i="1"/>
  <c r="AD1140" i="1"/>
  <c r="AE1140" i="1"/>
  <c r="AD1128" i="1"/>
  <c r="AE1128" i="1"/>
  <c r="AD1129" i="1"/>
  <c r="AE1129" i="1"/>
  <c r="AD1130" i="1"/>
  <c r="AE1130" i="1"/>
  <c r="AD1141" i="1"/>
  <c r="AE1141" i="1"/>
  <c r="AD1134" i="1"/>
  <c r="AE1134" i="1"/>
  <c r="AD979" i="1"/>
  <c r="AE979" i="1"/>
  <c r="AD980" i="1"/>
  <c r="AE980" i="1"/>
  <c r="AD981" i="1"/>
  <c r="AE981" i="1"/>
  <c r="AD982" i="1"/>
  <c r="AE982" i="1"/>
  <c r="AD983" i="1"/>
  <c r="AE983" i="1"/>
  <c r="AD984" i="1"/>
  <c r="AE984" i="1"/>
  <c r="AD985" i="1"/>
  <c r="AE985" i="1"/>
  <c r="AD987" i="1"/>
  <c r="AE987" i="1"/>
  <c r="AD986" i="1"/>
  <c r="AE986" i="1"/>
  <c r="AD988" i="1"/>
  <c r="AE988" i="1"/>
  <c r="AD989" i="1"/>
  <c r="AE989" i="1"/>
  <c r="AD990" i="1"/>
  <c r="AE990" i="1"/>
  <c r="AD991" i="1"/>
  <c r="AE991" i="1"/>
  <c r="AD992" i="1"/>
  <c r="AE992" i="1"/>
  <c r="AD993" i="1"/>
  <c r="AE993" i="1"/>
  <c r="AD994" i="1"/>
  <c r="AE994" i="1"/>
  <c r="AD995" i="1"/>
  <c r="AE995" i="1"/>
  <c r="AD996" i="1"/>
  <c r="AE996" i="1"/>
  <c r="AD997" i="1"/>
  <c r="AE997" i="1"/>
  <c r="AD998" i="1"/>
  <c r="AE998" i="1"/>
  <c r="AD999" i="1"/>
  <c r="AE999" i="1"/>
  <c r="AD1000" i="1"/>
  <c r="AE1000" i="1"/>
  <c r="AD1001" i="1"/>
  <c r="AE1001" i="1"/>
  <c r="AD1002" i="1"/>
  <c r="AE1002" i="1"/>
  <c r="AD1003" i="1"/>
  <c r="AE1003" i="1"/>
  <c r="AD1004" i="1"/>
  <c r="AE1004" i="1"/>
  <c r="AD1013" i="1"/>
  <c r="AE1013" i="1"/>
  <c r="AD1005" i="1"/>
  <c r="AE1005" i="1"/>
  <c r="AD1012" i="1"/>
  <c r="AE1012" i="1"/>
  <c r="AD1014" i="1"/>
  <c r="AE1014" i="1"/>
  <c r="AD1015" i="1"/>
  <c r="AE1015" i="1"/>
  <c r="AD1016" i="1"/>
  <c r="AE1016" i="1"/>
  <c r="AD1023" i="1"/>
  <c r="AE1023" i="1"/>
  <c r="AD1017" i="1"/>
  <c r="AE1017" i="1"/>
  <c r="AD1018" i="1"/>
  <c r="AE1018" i="1"/>
  <c r="AD1019" i="1"/>
  <c r="AE1019" i="1"/>
  <c r="AD1022" i="1"/>
  <c r="AE1022" i="1"/>
  <c r="AD1024" i="1"/>
  <c r="AE1024" i="1"/>
  <c r="AD1025" i="1"/>
  <c r="AE1025" i="1"/>
  <c r="AD1026" i="1"/>
  <c r="AE1026" i="1"/>
  <c r="AD1027" i="1"/>
  <c r="AE1027" i="1"/>
  <c r="AD1028" i="1"/>
  <c r="AE1028" i="1"/>
  <c r="AD1029" i="1"/>
  <c r="AE1029" i="1"/>
  <c r="AD1030" i="1"/>
  <c r="AE1030" i="1"/>
  <c r="AD1031" i="1"/>
  <c r="AE1031" i="1"/>
  <c r="AD1032" i="1"/>
  <c r="AE1032" i="1"/>
  <c r="AD1033" i="1"/>
  <c r="AE1033" i="1"/>
  <c r="AD1034" i="1"/>
  <c r="AE1034" i="1"/>
  <c r="AD1035" i="1"/>
  <c r="AE1035" i="1"/>
  <c r="AD1054" i="1"/>
  <c r="AE1054" i="1"/>
  <c r="AD1056" i="1"/>
  <c r="AE1056" i="1"/>
  <c r="AD1057" i="1"/>
  <c r="AE1057" i="1"/>
  <c r="AD1058" i="1"/>
  <c r="AE1058" i="1"/>
  <c r="AD1059" i="1"/>
  <c r="AE1059" i="1"/>
  <c r="AD1060" i="1"/>
  <c r="AE1060" i="1"/>
  <c r="AD1055" i="1"/>
  <c r="AE1055" i="1"/>
  <c r="AD1061" i="1"/>
  <c r="AE1061" i="1"/>
  <c r="AD1062" i="1"/>
  <c r="AE1062" i="1"/>
  <c r="AD1063" i="1"/>
  <c r="AE1063" i="1"/>
  <c r="AD1064" i="1"/>
  <c r="AE1064" i="1"/>
  <c r="AD1065" i="1"/>
  <c r="AE1065" i="1"/>
  <c r="AD1066" i="1"/>
  <c r="AE1066" i="1"/>
  <c r="AD1067" i="1"/>
  <c r="AE1067" i="1"/>
  <c r="AD1068" i="1"/>
  <c r="AE1068" i="1"/>
  <c r="AD1796" i="1"/>
  <c r="AE1796" i="1"/>
  <c r="AD1797" i="1"/>
  <c r="AE1797" i="1"/>
  <c r="AD1798" i="1"/>
  <c r="AE1798" i="1"/>
  <c r="AD1799" i="1"/>
  <c r="AE1799" i="1"/>
  <c r="AD1800" i="1"/>
  <c r="AE1800" i="1"/>
  <c r="AD1801" i="1"/>
  <c r="AE1801" i="1"/>
  <c r="AD1802" i="1"/>
  <c r="AE1802" i="1"/>
  <c r="AD1803" i="1"/>
  <c r="AE1803" i="1"/>
  <c r="AD1806" i="1"/>
  <c r="AE1806" i="1"/>
  <c r="AD1729" i="1"/>
  <c r="AE1729" i="1"/>
  <c r="AD1721" i="1"/>
  <c r="AE1721" i="1"/>
  <c r="AD2061" i="1"/>
  <c r="AE2061" i="1"/>
  <c r="AD2062" i="1"/>
  <c r="AE2062" i="1"/>
  <c r="AD2063" i="1"/>
  <c r="AE2063" i="1"/>
  <c r="AD2064" i="1"/>
  <c r="AE2064" i="1"/>
  <c r="AD2065" i="1"/>
  <c r="AE2065" i="1"/>
  <c r="AD2066" i="1"/>
  <c r="AE2066" i="1"/>
  <c r="AD2424" i="1"/>
  <c r="AE2424" i="1"/>
  <c r="AD2425" i="1"/>
  <c r="AE2425" i="1"/>
  <c r="AD2324" i="1"/>
  <c r="AE2324" i="1"/>
  <c r="AD2325" i="1"/>
  <c r="AE2325" i="1"/>
  <c r="AD2326" i="1"/>
  <c r="AE2326" i="1"/>
  <c r="AD2327" i="1"/>
  <c r="AE2327" i="1"/>
  <c r="AD2328" i="1"/>
  <c r="AE2328" i="1"/>
  <c r="AD2329" i="1"/>
  <c r="AE2329" i="1"/>
  <c r="AD2330" i="1"/>
  <c r="AE2330" i="1"/>
  <c r="AD2331" i="1"/>
  <c r="AE2331" i="1"/>
  <c r="AD1900" i="1"/>
  <c r="AE1900" i="1"/>
  <c r="AD1901" i="1"/>
  <c r="AE1901" i="1"/>
  <c r="AD670" i="1"/>
  <c r="AE670" i="1"/>
  <c r="AD671" i="1"/>
  <c r="AE671" i="1"/>
  <c r="AD1717" i="1"/>
  <c r="AE1717" i="1"/>
  <c r="AD657" i="1"/>
  <c r="AE657" i="1"/>
  <c r="AD658" i="1"/>
  <c r="AE658" i="1"/>
  <c r="AD659" i="1"/>
  <c r="AE659" i="1"/>
  <c r="AD662" i="1"/>
  <c r="AE662" i="1"/>
  <c r="AD663" i="1"/>
  <c r="AE663" i="1"/>
  <c r="AD653" i="1"/>
  <c r="AE653" i="1"/>
  <c r="AD654" i="1"/>
  <c r="AE654" i="1"/>
  <c r="AD667" i="1"/>
  <c r="AE667" i="1"/>
  <c r="AD1914" i="1"/>
  <c r="AE1914" i="1"/>
  <c r="AD1915" i="1"/>
  <c r="AE1915" i="1"/>
  <c r="AD1916" i="1"/>
  <c r="AE1916" i="1"/>
  <c r="AD1917" i="1"/>
  <c r="AE1917" i="1"/>
  <c r="AD1918" i="1"/>
  <c r="AE1918" i="1"/>
  <c r="AD887" i="1"/>
  <c r="AE887" i="1"/>
  <c r="AD891" i="1"/>
  <c r="AE891" i="1"/>
  <c r="AD579" i="1"/>
  <c r="AE579" i="1"/>
  <c r="AD580" i="1"/>
  <c r="AE580" i="1"/>
  <c r="AD1897" i="1"/>
  <c r="AE1897" i="1"/>
  <c r="AD145" i="1"/>
  <c r="AE145" i="1"/>
  <c r="AD1891" i="1"/>
  <c r="AE1891" i="1"/>
  <c r="AD2201" i="1"/>
  <c r="AE2201" i="1"/>
  <c r="AD2523" i="1"/>
  <c r="AE2523" i="1"/>
  <c r="AD2525" i="1"/>
  <c r="AE2525" i="1"/>
  <c r="AD2526" i="1"/>
  <c r="AE2526" i="1"/>
  <c r="AD1919" i="1"/>
  <c r="AE1919" i="1"/>
  <c r="AD1921" i="1"/>
  <c r="AE1921" i="1"/>
  <c r="AD1922" i="1"/>
  <c r="AE1922" i="1"/>
  <c r="AD1923" i="1"/>
  <c r="AE1923" i="1"/>
  <c r="AD1924" i="1"/>
  <c r="AE1924" i="1"/>
  <c r="AD800" i="1"/>
  <c r="AE800" i="1"/>
  <c r="AD801" i="1"/>
  <c r="AE801" i="1"/>
  <c r="AD802" i="1"/>
  <c r="AE802" i="1"/>
  <c r="AD803" i="1"/>
  <c r="AE803" i="1"/>
  <c r="AD804" i="1"/>
  <c r="AE804" i="1"/>
  <c r="AD805" i="1"/>
  <c r="AE805" i="1"/>
  <c r="AD806" i="1"/>
  <c r="AE806" i="1"/>
  <c r="AD2067" i="1"/>
  <c r="AE2067" i="1"/>
  <c r="AD2068" i="1"/>
  <c r="AE2068" i="1"/>
  <c r="AD2069" i="1"/>
  <c r="AE2069" i="1"/>
  <c r="AD2071" i="1"/>
  <c r="AE2071" i="1"/>
  <c r="AD2070" i="1"/>
  <c r="AE2070" i="1"/>
  <c r="AD1731" i="1"/>
  <c r="AE1731" i="1"/>
  <c r="AD1730" i="1"/>
  <c r="AE1730" i="1"/>
  <c r="AD1732" i="1"/>
  <c r="AE1732" i="1"/>
  <c r="AD1733" i="1"/>
  <c r="AE1733" i="1"/>
  <c r="AD1920" i="1"/>
  <c r="AE1920" i="1"/>
  <c r="AD821" i="1"/>
  <c r="AE821" i="1"/>
  <c r="AD2338" i="1"/>
  <c r="AE2338" i="1"/>
  <c r="AD2339" i="1"/>
  <c r="AE2339" i="1"/>
  <c r="AD1665" i="1"/>
  <c r="AE1665" i="1"/>
  <c r="AD1594" i="1"/>
  <c r="AE1594" i="1"/>
  <c r="AD1595" i="1"/>
  <c r="AE1595" i="1"/>
  <c r="AD1771" i="1"/>
  <c r="AE1771" i="1"/>
  <c r="AD1734" i="1"/>
  <c r="AE1734" i="1"/>
  <c r="AD1735" i="1"/>
  <c r="AE1735" i="1"/>
  <c r="AD1736" i="1"/>
  <c r="AE1736" i="1"/>
  <c r="AD1737" i="1"/>
  <c r="AE1737" i="1"/>
  <c r="AD1738" i="1"/>
  <c r="AE1738" i="1"/>
  <c r="AD183" i="1"/>
  <c r="AE183" i="1"/>
  <c r="AD211" i="1"/>
  <c r="AE211" i="1"/>
  <c r="AD186" i="1"/>
  <c r="AE186" i="1"/>
  <c r="AD188" i="1"/>
  <c r="AE188" i="1"/>
  <c r="AD196" i="1"/>
  <c r="AE196" i="1"/>
  <c r="AD207" i="1"/>
  <c r="AE207" i="1"/>
  <c r="AD209" i="1"/>
  <c r="AE209" i="1"/>
  <c r="AD190" i="1"/>
  <c r="AE190" i="1"/>
  <c r="AD1666" i="1"/>
  <c r="AE1666" i="1"/>
  <c r="AD807" i="1"/>
  <c r="AE807" i="1"/>
  <c r="AD808" i="1"/>
  <c r="AE808" i="1"/>
  <c r="AD809" i="1"/>
  <c r="AE809" i="1"/>
  <c r="AD810" i="1"/>
  <c r="AE810" i="1"/>
  <c r="AD812" i="1"/>
  <c r="AE812" i="1"/>
  <c r="AD813" i="1"/>
  <c r="AE813" i="1"/>
  <c r="AD811" i="1"/>
  <c r="AE811" i="1"/>
  <c r="AD814" i="1"/>
  <c r="AE814" i="1"/>
  <c r="AD815" i="1"/>
  <c r="AE815" i="1"/>
  <c r="AD1925" i="1"/>
  <c r="AE1925" i="1"/>
  <c r="AD1926" i="1"/>
  <c r="AE1926" i="1"/>
  <c r="AD1927" i="1"/>
  <c r="AE1927" i="1"/>
  <c r="AD1928" i="1"/>
  <c r="AE1928" i="1"/>
  <c r="AD1929" i="1"/>
  <c r="AE1929" i="1"/>
  <c r="AD1930" i="1"/>
  <c r="AE1930" i="1"/>
  <c r="AD1932" i="1"/>
  <c r="AE1932" i="1"/>
  <c r="AD2072" i="1"/>
  <c r="AE2072" i="1"/>
  <c r="AD2073" i="1"/>
  <c r="AE2073" i="1"/>
  <c r="AD2074" i="1"/>
  <c r="AE2074" i="1"/>
  <c r="AD2075" i="1"/>
  <c r="AE2075" i="1"/>
  <c r="AD2076" i="1"/>
  <c r="AE2076" i="1"/>
  <c r="AD1931" i="1"/>
  <c r="AE1931" i="1"/>
  <c r="AD1933" i="1"/>
  <c r="AE1933" i="1"/>
  <c r="AD1934" i="1"/>
  <c r="AE1934" i="1"/>
  <c r="AD1936" i="1"/>
  <c r="AE1936" i="1"/>
  <c r="AD1935" i="1"/>
  <c r="AE1935" i="1"/>
  <c r="AD2077" i="1"/>
  <c r="AE2077" i="1"/>
  <c r="AD2202" i="1"/>
  <c r="AE2202" i="1"/>
  <c r="AD2203" i="1"/>
  <c r="AE2203" i="1"/>
  <c r="AD2204" i="1"/>
  <c r="AE2204" i="1"/>
  <c r="AD2205" i="1"/>
  <c r="AE2205" i="1"/>
  <c r="AD2078" i="1"/>
  <c r="AE2078" i="1"/>
  <c r="AD2079" i="1"/>
  <c r="AE2079" i="1"/>
  <c r="AD2080" i="1"/>
  <c r="AE2080" i="1"/>
  <c r="AD2081" i="1"/>
  <c r="AE2081" i="1"/>
  <c r="AD2082" i="1"/>
  <c r="AE2082" i="1"/>
  <c r="AD2083" i="1"/>
  <c r="AE2083" i="1"/>
  <c r="AD2084" i="1"/>
  <c r="AE2084" i="1"/>
  <c r="AD2206" i="1"/>
  <c r="AE2206" i="1"/>
  <c r="AD2207" i="1"/>
  <c r="AE2207" i="1"/>
  <c r="AD2208" i="1"/>
  <c r="AE2208" i="1"/>
  <c r="AD2209" i="1"/>
  <c r="AE2209" i="1"/>
  <c r="AD2210" i="1"/>
  <c r="AE2210" i="1"/>
  <c r="AD2211" i="1"/>
  <c r="AE2211" i="1"/>
  <c r="AD2212" i="1"/>
  <c r="AE2212" i="1"/>
  <c r="AD2213" i="1"/>
  <c r="AE2213" i="1"/>
  <c r="AD2214" i="1"/>
  <c r="AE2214" i="1"/>
  <c r="AD2215" i="1"/>
  <c r="AE2215" i="1"/>
  <c r="AD2216" i="1"/>
  <c r="AE2216" i="1"/>
  <c r="AD2332" i="1"/>
  <c r="AE2332" i="1"/>
  <c r="AD2333" i="1"/>
  <c r="AE2333" i="1"/>
  <c r="AD2334" i="1"/>
  <c r="AE2334" i="1"/>
  <c r="AD2335" i="1"/>
  <c r="AE2335" i="1"/>
  <c r="AD2336" i="1"/>
  <c r="AE2336" i="1"/>
  <c r="AD2337" i="1"/>
  <c r="AE2337" i="1"/>
  <c r="AD2426" i="1"/>
  <c r="AE2426" i="1"/>
  <c r="AD2427" i="1"/>
  <c r="AE2427" i="1"/>
  <c r="AD2428" i="1"/>
  <c r="AE2428" i="1"/>
  <c r="AD2429" i="1"/>
  <c r="AE2429" i="1"/>
  <c r="AD2430" i="1"/>
  <c r="AE2430" i="1"/>
  <c r="AD2431" i="1"/>
  <c r="AE2431" i="1"/>
  <c r="AD2432" i="1"/>
  <c r="AE2432" i="1"/>
  <c r="AD2433" i="1"/>
  <c r="AE2433" i="1"/>
  <c r="AD2434" i="1"/>
  <c r="AE2434" i="1"/>
  <c r="AD2435" i="1"/>
  <c r="AE2435" i="1"/>
  <c r="AD2436" i="1"/>
  <c r="AE2436" i="1"/>
  <c r="AD2437" i="1"/>
  <c r="AE2437" i="1"/>
  <c r="AD2438" i="1"/>
  <c r="AE2438" i="1"/>
  <c r="AD2439" i="1"/>
  <c r="AE2439" i="1"/>
  <c r="AD2440" i="1"/>
  <c r="AE2440" i="1"/>
  <c r="AD2441" i="1"/>
  <c r="AE2441" i="1"/>
  <c r="AD2527" i="1"/>
  <c r="AE2527" i="1"/>
  <c r="AD2528" i="1"/>
  <c r="AE2528" i="1"/>
  <c r="AD2529" i="1"/>
  <c r="AE2529" i="1"/>
  <c r="AD1482" i="1"/>
  <c r="AE1482" i="1"/>
  <c r="AD1473" i="1"/>
  <c r="AE1473" i="1"/>
  <c r="AD636" i="1"/>
  <c r="AE636" i="1"/>
  <c r="AD634" i="1"/>
  <c r="AE634" i="1"/>
  <c r="AD635" i="1"/>
  <c r="AE635" i="1"/>
  <c r="AD637" i="1"/>
  <c r="AE637" i="1"/>
  <c r="AD638" i="1"/>
  <c r="AE638" i="1"/>
  <c r="AD601" i="1"/>
  <c r="AE601" i="1"/>
  <c r="AD622" i="1"/>
  <c r="AE622" i="1"/>
  <c r="AD621" i="1"/>
  <c r="AE621" i="1"/>
  <c r="AD764" i="1"/>
  <c r="AE764" i="1"/>
  <c r="AD765" i="1"/>
  <c r="AE765" i="1"/>
  <c r="AD816" i="1"/>
  <c r="AE816" i="1"/>
  <c r="AD817" i="1"/>
  <c r="AE817" i="1"/>
  <c r="AD818" i="1"/>
  <c r="AE818" i="1"/>
  <c r="AD819" i="1"/>
  <c r="AE819" i="1"/>
  <c r="AD820" i="1"/>
  <c r="AE820" i="1"/>
  <c r="AD146" i="1"/>
  <c r="AE146" i="1"/>
  <c r="AD2217" i="1"/>
  <c r="AE2217" i="1"/>
  <c r="AD2218" i="1"/>
  <c r="AE2218" i="1"/>
  <c r="AD2219" i="1"/>
  <c r="AE2219" i="1"/>
  <c r="AD2220" i="1"/>
  <c r="AE2220" i="1"/>
  <c r="AD2340" i="1"/>
  <c r="AE2340" i="1"/>
  <c r="AD2341" i="1"/>
  <c r="AE2341" i="1"/>
  <c r="AD2342" i="1"/>
  <c r="AE2342" i="1"/>
  <c r="AD2343" i="1"/>
  <c r="AE2343" i="1"/>
  <c r="AD2536" i="1"/>
  <c r="AE2536" i="1"/>
  <c r="AD2537" i="1"/>
  <c r="AE2537" i="1"/>
  <c r="AD822" i="1"/>
  <c r="AE822" i="1"/>
  <c r="AD823" i="1"/>
  <c r="AE823" i="1"/>
  <c r="AD824" i="1"/>
  <c r="AE824" i="1"/>
  <c r="AD766" i="1"/>
  <c r="AE766" i="1"/>
  <c r="AD767" i="1"/>
  <c r="AE767" i="1"/>
  <c r="AD2221" i="1"/>
  <c r="AE2221" i="1"/>
  <c r="AD2222" i="1"/>
  <c r="AE2222" i="1"/>
  <c r="AD2223" i="1"/>
  <c r="AE2223" i="1"/>
  <c r="AD2224" i="1"/>
  <c r="AE2224" i="1"/>
  <c r="AD2225" i="1"/>
  <c r="AE2225" i="1"/>
  <c r="AD2226" i="1"/>
  <c r="AE2226" i="1"/>
  <c r="AD2227" i="1"/>
  <c r="AE2227" i="1"/>
  <c r="AD2228" i="1"/>
  <c r="AE2228" i="1"/>
  <c r="AD2229" i="1"/>
  <c r="AE2229" i="1"/>
  <c r="AD2230" i="1"/>
  <c r="AE2230" i="1"/>
  <c r="AD2231" i="1"/>
  <c r="AE2231" i="1"/>
  <c r="AD2232" i="1"/>
  <c r="AE2232" i="1"/>
  <c r="AD2233" i="1"/>
  <c r="AE2233" i="1"/>
  <c r="AD2234" i="1"/>
  <c r="AE2234" i="1"/>
  <c r="AD2235" i="1"/>
  <c r="AE2235" i="1"/>
  <c r="AD2236" i="1"/>
  <c r="AE2236" i="1"/>
  <c r="AD2237" i="1"/>
  <c r="AE2237" i="1"/>
  <c r="AD2238" i="1"/>
  <c r="AE2238" i="1"/>
  <c r="AD2239" i="1"/>
  <c r="AE2239" i="1"/>
  <c r="AD2240" i="1"/>
  <c r="AE2240" i="1"/>
  <c r="AD2241" i="1"/>
  <c r="AE2241" i="1"/>
  <c r="AD2242" i="1"/>
  <c r="AE2242" i="1"/>
  <c r="AD2243" i="1"/>
  <c r="AE2243" i="1"/>
  <c r="AD2244" i="1"/>
  <c r="AE2244" i="1"/>
  <c r="AD2245" i="1"/>
  <c r="AE2245" i="1"/>
  <c r="AD2247" i="1"/>
  <c r="AE2247" i="1"/>
  <c r="AD2085" i="1"/>
  <c r="AE2085" i="1"/>
  <c r="AD2086" i="1"/>
  <c r="AE2086" i="1"/>
  <c r="AD2087" i="1"/>
  <c r="AE2087" i="1"/>
  <c r="AD2088" i="1"/>
  <c r="AE2088" i="1"/>
  <c r="AD2089" i="1"/>
  <c r="AE2089" i="1"/>
  <c r="AD2090" i="1"/>
  <c r="AE2090" i="1"/>
  <c r="AD2091" i="1"/>
  <c r="AE2091" i="1"/>
  <c r="AD2092" i="1"/>
  <c r="AE2092" i="1"/>
  <c r="AD2093" i="1"/>
  <c r="AE2093" i="1"/>
  <c r="AD2094" i="1"/>
  <c r="AE2094" i="1"/>
  <c r="AD2096" i="1"/>
  <c r="AE2096" i="1"/>
  <c r="AD2097" i="1"/>
  <c r="AE2097" i="1"/>
  <c r="AD2095" i="1"/>
  <c r="AE2095" i="1"/>
  <c r="AD2098" i="1"/>
  <c r="AE2098" i="1"/>
  <c r="AD2099" i="1"/>
  <c r="AE2099" i="1"/>
  <c r="AD2100" i="1"/>
  <c r="AE2100" i="1"/>
  <c r="AD2101" i="1"/>
  <c r="AE2101" i="1"/>
  <c r="AD2102" i="1"/>
  <c r="AE2102" i="1"/>
  <c r="AD2103" i="1"/>
  <c r="AE2103" i="1"/>
  <c r="AD2105" i="1"/>
  <c r="AE2105" i="1"/>
  <c r="AD2104" i="1"/>
  <c r="AE2104" i="1"/>
  <c r="AD2344" i="1"/>
  <c r="AE2344" i="1"/>
  <c r="AD2442" i="1"/>
  <c r="AE2442" i="1"/>
  <c r="AD2443" i="1"/>
  <c r="AE2443" i="1"/>
  <c r="AD2444" i="1"/>
  <c r="AE2444" i="1"/>
  <c r="AD2445" i="1"/>
  <c r="AE2445" i="1"/>
  <c r="AD2446" i="1"/>
  <c r="AE2446" i="1"/>
  <c r="AD2447" i="1"/>
  <c r="AE2447" i="1"/>
  <c r="AD2538" i="1"/>
  <c r="AE2538" i="1"/>
  <c r="AD747" i="1"/>
  <c r="AE747" i="1"/>
  <c r="AD748" i="1"/>
  <c r="AE748" i="1"/>
  <c r="AD749" i="1"/>
  <c r="AE749" i="1"/>
  <c r="AD825" i="1"/>
  <c r="AE825" i="1"/>
  <c r="AD826" i="1"/>
  <c r="AE826" i="1"/>
  <c r="AD827" i="1"/>
  <c r="AE827" i="1"/>
  <c r="AD1937" i="1"/>
  <c r="AE1937" i="1"/>
  <c r="AD1938" i="1"/>
  <c r="AE1938" i="1"/>
  <c r="AD1939" i="1"/>
  <c r="AE1939" i="1"/>
  <c r="AD1940" i="1"/>
  <c r="AE1940" i="1"/>
  <c r="AD1941" i="1"/>
  <c r="AE1941" i="1"/>
  <c r="AD1942" i="1"/>
  <c r="AE1942" i="1"/>
  <c r="AD1943" i="1"/>
  <c r="AE1943" i="1"/>
  <c r="AD1945" i="1"/>
  <c r="AE1945" i="1"/>
  <c r="AD1946" i="1"/>
  <c r="AE1946" i="1"/>
  <c r="AD1947" i="1"/>
  <c r="AE1947" i="1"/>
  <c r="AD1948" i="1"/>
  <c r="AE1948" i="1"/>
  <c r="AD1949" i="1"/>
  <c r="AE1949" i="1"/>
  <c r="AD1950" i="1"/>
  <c r="AE1950" i="1"/>
  <c r="AD1951" i="1"/>
  <c r="AE1951" i="1"/>
  <c r="AD1952" i="1"/>
  <c r="AE1952" i="1"/>
  <c r="AD1953" i="1"/>
  <c r="AE1953" i="1"/>
  <c r="AD1954" i="1"/>
  <c r="AE1954" i="1"/>
  <c r="AD1955" i="1"/>
  <c r="AE1955" i="1"/>
  <c r="AD1956" i="1"/>
  <c r="AE1956" i="1"/>
  <c r="AD1957" i="1"/>
  <c r="AE1957" i="1"/>
  <c r="AD1958" i="1"/>
  <c r="AE1958" i="1"/>
  <c r="AD1959" i="1"/>
  <c r="AE1959" i="1"/>
  <c r="AD1960" i="1"/>
  <c r="AE1960" i="1"/>
  <c r="AE1961" i="1"/>
  <c r="AE2539" i="1"/>
  <c r="AD2540" i="1"/>
  <c r="AE2540" i="1"/>
  <c r="AD2541" i="1"/>
  <c r="AE2541" i="1"/>
  <c r="AE2542" i="1"/>
  <c r="AD2543" i="1"/>
  <c r="AE2543" i="1"/>
  <c r="AD2544" i="1"/>
  <c r="AE2544" i="1"/>
  <c r="AD2545" i="1"/>
  <c r="AE2545" i="1"/>
  <c r="AD2546" i="1"/>
  <c r="AE2546" i="1"/>
  <c r="AD2547" i="1"/>
  <c r="AE2547" i="1"/>
  <c r="AD2548" i="1"/>
  <c r="AE2548" i="1"/>
  <c r="AD2549" i="1"/>
  <c r="AE2549" i="1"/>
  <c r="AD2550" i="1"/>
  <c r="AE2550" i="1"/>
  <c r="AD2551" i="1"/>
  <c r="AE2551" i="1"/>
  <c r="AD2345" i="1"/>
  <c r="AE2345" i="1"/>
  <c r="AD2346" i="1"/>
  <c r="AE2346" i="1"/>
  <c r="AD2347" i="1"/>
  <c r="AE2347" i="1"/>
  <c r="AD2348" i="1"/>
  <c r="AE2348" i="1"/>
  <c r="AD2349" i="1"/>
  <c r="AE2349" i="1"/>
  <c r="AD2350" i="1"/>
  <c r="AE2350" i="1"/>
  <c r="AD2351" i="1"/>
  <c r="AE2351" i="1"/>
  <c r="AD2352" i="1"/>
  <c r="AE2352" i="1"/>
  <c r="AD2353" i="1"/>
  <c r="AE2353" i="1"/>
  <c r="AD2354" i="1"/>
  <c r="AE2354" i="1"/>
  <c r="AD2355" i="1"/>
  <c r="AE2355" i="1"/>
  <c r="AD2356" i="1"/>
  <c r="AE2356" i="1"/>
  <c r="AD2357" i="1"/>
  <c r="AE2357" i="1"/>
  <c r="AD2358" i="1"/>
  <c r="AE2358" i="1"/>
  <c r="AD828" i="1"/>
  <c r="AE828" i="1"/>
  <c r="AD829" i="1"/>
  <c r="AE829" i="1"/>
  <c r="AD830" i="1"/>
  <c r="AE830" i="1"/>
  <c r="AD831" i="1"/>
  <c r="AE831" i="1"/>
  <c r="AD832" i="1"/>
  <c r="AE832" i="1"/>
  <c r="AD833" i="1"/>
  <c r="AE833" i="1"/>
  <c r="AD834" i="1"/>
  <c r="AE834" i="1"/>
  <c r="AD835" i="1"/>
  <c r="AE835" i="1"/>
  <c r="AD716" i="1"/>
  <c r="AE716" i="1"/>
  <c r="AD717" i="1"/>
  <c r="AE717" i="1"/>
  <c r="AD718" i="1"/>
  <c r="AE718" i="1"/>
  <c r="AD719" i="1"/>
  <c r="AE719" i="1"/>
  <c r="AD610" i="1"/>
  <c r="AE610" i="1"/>
  <c r="AD594" i="1"/>
  <c r="AE594" i="1"/>
  <c r="AD626" i="1"/>
  <c r="AE626" i="1"/>
  <c r="AD627" i="1"/>
  <c r="AE627" i="1"/>
  <c r="AD1190" i="1"/>
  <c r="AE1190" i="1"/>
  <c r="AD1191" i="1"/>
  <c r="AE1191" i="1"/>
  <c r="AD1158" i="1"/>
  <c r="AE1158" i="1"/>
  <c r="AD1161" i="1"/>
  <c r="AE1161" i="1"/>
  <c r="AD1159" i="1"/>
  <c r="AE1159" i="1"/>
  <c r="AD1160" i="1"/>
  <c r="AE1160" i="1"/>
  <c r="AD1162" i="1"/>
  <c r="AE1162" i="1"/>
  <c r="AD1163" i="1"/>
  <c r="AE1163" i="1"/>
  <c r="AD1164" i="1"/>
  <c r="AE1164" i="1"/>
  <c r="AD1165" i="1"/>
  <c r="AE1165" i="1"/>
  <c r="AD1166" i="1"/>
  <c r="AE1166" i="1"/>
  <c r="AD1167" i="1"/>
  <c r="AE1167" i="1"/>
  <c r="AD1168" i="1"/>
  <c r="AE1168" i="1"/>
  <c r="AD539" i="1"/>
  <c r="AE539" i="1"/>
  <c r="AD540" i="1"/>
  <c r="AE540" i="1"/>
  <c r="AD541" i="1"/>
  <c r="AE541" i="1"/>
  <c r="AD1169" i="1"/>
  <c r="AE1169" i="1"/>
  <c r="AD1174" i="1"/>
  <c r="AE1174" i="1"/>
  <c r="AD1192" i="1"/>
  <c r="AE1192" i="1"/>
  <c r="AD1193" i="1"/>
  <c r="AE1193" i="1"/>
  <c r="AD429" i="1"/>
  <c r="AE429" i="1"/>
  <c r="AD430" i="1"/>
  <c r="AE430" i="1"/>
  <c r="AD460" i="1"/>
  <c r="AE460" i="1"/>
  <c r="AD461" i="1"/>
  <c r="AE461" i="1"/>
  <c r="AD462" i="1"/>
  <c r="AE462" i="1"/>
  <c r="AD463" i="1"/>
  <c r="AE463" i="1"/>
  <c r="AD464" i="1"/>
  <c r="AE464" i="1"/>
  <c r="AD465" i="1"/>
  <c r="AE465" i="1"/>
  <c r="AD466" i="1"/>
  <c r="AE466" i="1"/>
  <c r="AE467" i="1"/>
  <c r="AD1200" i="1"/>
  <c r="AE1200" i="1"/>
  <c r="AD1201" i="1"/>
  <c r="AE1201" i="1"/>
  <c r="AE1202" i="1"/>
  <c r="AD1203" i="1"/>
  <c r="AE1203" i="1"/>
  <c r="AD1204" i="1"/>
  <c r="AE1204" i="1"/>
  <c r="AD1205" i="1"/>
  <c r="AE1205" i="1"/>
  <c r="AD1206" i="1"/>
  <c r="AE1206" i="1"/>
  <c r="AD1207" i="1"/>
  <c r="AE1207" i="1"/>
  <c r="AD1208" i="1"/>
  <c r="AE1208" i="1"/>
  <c r="AD1209" i="1"/>
  <c r="AE1209" i="1"/>
  <c r="AD1210" i="1"/>
  <c r="AE1210" i="1"/>
  <c r="AD1212" i="1"/>
  <c r="AE1212" i="1"/>
  <c r="AD1195" i="1"/>
  <c r="AE1195" i="1"/>
  <c r="AD1194" i="1"/>
  <c r="AE1194" i="1"/>
  <c r="AD1196" i="1"/>
  <c r="AE1196" i="1"/>
  <c r="AD1197" i="1"/>
  <c r="AE1197" i="1"/>
  <c r="AD1199" i="1"/>
  <c r="AE1199" i="1"/>
  <c r="AD836" i="1"/>
  <c r="AE836" i="1"/>
  <c r="AD837" i="1"/>
  <c r="AE837" i="1"/>
  <c r="AD838" i="1"/>
  <c r="AE838" i="1"/>
  <c r="AD839" i="1"/>
  <c r="AE839" i="1"/>
  <c r="AD840" i="1"/>
  <c r="AE840" i="1"/>
  <c r="AD841" i="1"/>
  <c r="AE841" i="1"/>
  <c r="AD842" i="1"/>
  <c r="AE842" i="1"/>
  <c r="AD267" i="1"/>
  <c r="AE267" i="1"/>
  <c r="M919" i="1"/>
  <c r="L919" i="1"/>
  <c r="M1005" i="1"/>
  <c r="L1005" i="1"/>
  <c r="AG1005" i="1"/>
  <c r="S1107" i="1"/>
  <c r="M1107" i="1"/>
  <c r="L1107" i="1"/>
  <c r="J1107" i="1" l="1"/>
  <c r="AG1107" i="1"/>
  <c r="J84" i="1"/>
  <c r="J1108" i="1"/>
  <c r="J1005" i="1"/>
  <c r="M364" i="1" l="1"/>
  <c r="L364" i="1"/>
  <c r="M1685" i="1"/>
  <c r="L1685" i="1"/>
  <c r="M1696" i="1"/>
  <c r="L1696" i="1"/>
  <c r="M1695" i="1"/>
  <c r="L1695" i="1"/>
  <c r="M1691" i="1"/>
  <c r="L1691" i="1"/>
  <c r="M1690" i="1"/>
  <c r="L1690" i="1"/>
  <c r="M1699" i="1"/>
  <c r="L1699" i="1"/>
  <c r="AG1699" i="1"/>
  <c r="M1698" i="1"/>
  <c r="L1698" i="1"/>
  <c r="M1697" i="1"/>
  <c r="L1697" i="1"/>
  <c r="M1689" i="1"/>
  <c r="L1689" i="1"/>
  <c r="AG1689" i="1"/>
  <c r="M1687" i="1"/>
  <c r="L1687" i="1"/>
  <c r="AG1687" i="1"/>
  <c r="M1683" i="1"/>
  <c r="L1683" i="1"/>
  <c r="M1682" i="1"/>
  <c r="L1682" i="1"/>
  <c r="M1257" i="1"/>
  <c r="L1257" i="1"/>
  <c r="AG1257" i="1"/>
  <c r="M269" i="1"/>
  <c r="L269" i="1"/>
  <c r="AG269" i="1"/>
  <c r="M1210" i="1"/>
  <c r="L1210" i="1"/>
  <c r="J1210" i="1"/>
  <c r="M1169" i="1"/>
  <c r="L1169" i="1"/>
  <c r="AG1169" i="1"/>
  <c r="J1685" i="1" l="1"/>
  <c r="AG1685" i="1"/>
  <c r="J1691" i="1"/>
  <c r="AG1691" i="1"/>
  <c r="J1682" i="1"/>
  <c r="AG1682" i="1"/>
  <c r="J1695" i="1"/>
  <c r="AG1695" i="1"/>
  <c r="J1696" i="1"/>
  <c r="AG1696" i="1"/>
  <c r="J364" i="1"/>
  <c r="AG364" i="1"/>
  <c r="J1698" i="1"/>
  <c r="AG1698" i="1"/>
  <c r="J1683" i="1"/>
  <c r="AG1683" i="1"/>
  <c r="J1697" i="1"/>
  <c r="AG1697" i="1"/>
  <c r="J1690" i="1"/>
  <c r="AG1690" i="1"/>
  <c r="J1687" i="1"/>
  <c r="J1699" i="1"/>
  <c r="J1689" i="1"/>
  <c r="J1257" i="1"/>
  <c r="J269" i="1"/>
  <c r="J1169" i="1"/>
  <c r="M2447" i="1" l="1"/>
  <c r="L2447" i="1"/>
  <c r="AG2447" i="1"/>
  <c r="J2447" i="1" l="1"/>
  <c r="M842" i="1" l="1"/>
  <c r="L842" i="1"/>
  <c r="AG842" i="1"/>
  <c r="I1168" i="1"/>
  <c r="M1167" i="1"/>
  <c r="L1167" i="1"/>
  <c r="AG1167" i="1"/>
  <c r="M1209" i="1"/>
  <c r="L1209" i="1"/>
  <c r="J1209" i="1"/>
  <c r="J842" i="1" l="1"/>
  <c r="J1167" i="1"/>
  <c r="AG150" i="1"/>
  <c r="J150" i="1" l="1"/>
  <c r="AG1516" i="1"/>
  <c r="AG1517" i="1"/>
  <c r="M1517" i="1"/>
  <c r="L1517" i="1"/>
  <c r="M1516" i="1"/>
  <c r="L1516" i="1"/>
  <c r="L1406" i="1"/>
  <c r="AG1373" i="1"/>
  <c r="AG1379" i="1"/>
  <c r="M1379" i="1"/>
  <c r="L1379" i="1"/>
  <c r="M1373" i="1"/>
  <c r="L1373" i="1"/>
  <c r="M1371" i="1"/>
  <c r="AG1332" i="1"/>
  <c r="M1332" i="1"/>
  <c r="L1332" i="1"/>
  <c r="M1825" i="1"/>
  <c r="L1825" i="1"/>
  <c r="AG1825" i="1"/>
  <c r="M1824" i="1"/>
  <c r="L1824" i="1"/>
  <c r="AG1824" i="1"/>
  <c r="M1823" i="1"/>
  <c r="L1823" i="1"/>
  <c r="AG1823" i="1"/>
  <c r="M1826" i="1"/>
  <c r="L1826" i="1"/>
  <c r="AG1826" i="1"/>
  <c r="M1822" i="1"/>
  <c r="L1822" i="1"/>
  <c r="I1063" i="1"/>
  <c r="M29" i="1"/>
  <c r="L29" i="1"/>
  <c r="AG29" i="1"/>
  <c r="M28" i="1"/>
  <c r="L28" i="1"/>
  <c r="AG28" i="1"/>
  <c r="M27" i="1"/>
  <c r="L27" i="1"/>
  <c r="AG27" i="1"/>
  <c r="M26" i="1"/>
  <c r="L26" i="1"/>
  <c r="AG26" i="1"/>
  <c r="M25" i="1"/>
  <c r="L25" i="1"/>
  <c r="AG25" i="1"/>
  <c r="M24" i="1"/>
  <c r="L24" i="1"/>
  <c r="AG24" i="1"/>
  <c r="M23" i="1"/>
  <c r="L23" i="1"/>
  <c r="AG23" i="1"/>
  <c r="M1208" i="1"/>
  <c r="L1208" i="1"/>
  <c r="J1208" i="1"/>
  <c r="M1166" i="1"/>
  <c r="L1166" i="1"/>
  <c r="M841" i="1"/>
  <c r="L841" i="1"/>
  <c r="AG841" i="1"/>
  <c r="I2244" i="1"/>
  <c r="M2243" i="1"/>
  <c r="L2243" i="1"/>
  <c r="AG2243" i="1"/>
  <c r="M1437" i="1"/>
  <c r="L1437" i="1"/>
  <c r="AG1437" i="1"/>
  <c r="M1434" i="1"/>
  <c r="L1434" i="1"/>
  <c r="AG1434" i="1"/>
  <c r="M1433" i="1"/>
  <c r="L1433" i="1"/>
  <c r="I1433" i="1"/>
  <c r="AG1433" i="1"/>
  <c r="M369" i="1"/>
  <c r="L369" i="1"/>
  <c r="S1106" i="1"/>
  <c r="L1106" i="1"/>
  <c r="M1106" i="1"/>
  <c r="AG1106" i="1"/>
  <c r="L1013" i="1"/>
  <c r="M1013" i="1"/>
  <c r="AG1013" i="1"/>
  <c r="S1013" i="1"/>
  <c r="L918" i="1"/>
  <c r="M918" i="1"/>
  <c r="S1084" i="1"/>
  <c r="I1085" i="1"/>
  <c r="AG1084" i="1"/>
  <c r="M1084" i="1"/>
  <c r="L1084" i="1"/>
  <c r="S1047" i="1"/>
  <c r="L1047" i="1"/>
  <c r="M1047" i="1"/>
  <c r="I1046" i="1"/>
  <c r="AG1047" i="1"/>
  <c r="J1207" i="1"/>
  <c r="L1207" i="1"/>
  <c r="M1207" i="1"/>
  <c r="L1165" i="1"/>
  <c r="M1165" i="1"/>
  <c r="AG2247" i="1"/>
  <c r="L2247" i="1"/>
  <c r="M2247" i="1"/>
  <c r="J1206" i="1"/>
  <c r="L1206" i="1"/>
  <c r="M1206" i="1"/>
  <c r="L1164" i="1"/>
  <c r="M1164" i="1"/>
  <c r="L2242" i="1"/>
  <c r="M2242" i="1"/>
  <c r="AG2563" i="1"/>
  <c r="L2563" i="1"/>
  <c r="M2563" i="1"/>
  <c r="AD2563" i="1"/>
  <c r="AE2563" i="1"/>
  <c r="I2105" i="1"/>
  <c r="L2104" i="1"/>
  <c r="M2104" i="1"/>
  <c r="I840" i="1"/>
  <c r="L1961" i="1"/>
  <c r="M1961" i="1"/>
  <c r="AG2568" i="1"/>
  <c r="L2568" i="1"/>
  <c r="M2568" i="1"/>
  <c r="AD2568" i="1"/>
  <c r="AE2568" i="1"/>
  <c r="I468" i="1"/>
  <c r="L1163" i="1"/>
  <c r="M1163" i="1"/>
  <c r="J1205" i="1"/>
  <c r="L1205" i="1"/>
  <c r="M1205" i="1"/>
  <c r="M1755" i="1"/>
  <c r="L1755" i="1"/>
  <c r="AG1755" i="1"/>
  <c r="M1329" i="1"/>
  <c r="L1329" i="1"/>
  <c r="AG1329" i="1"/>
  <c r="M1363" i="1"/>
  <c r="L1363" i="1"/>
  <c r="AG1363" i="1"/>
  <c r="M1436" i="1"/>
  <c r="L1436" i="1"/>
  <c r="AG1436" i="1"/>
  <c r="M1391" i="1"/>
  <c r="L1391" i="1"/>
  <c r="AG1391" i="1"/>
  <c r="I1513" i="1"/>
  <c r="M1512" i="1"/>
  <c r="L1512" i="1"/>
  <c r="AG1512" i="1"/>
  <c r="M1162" i="1"/>
  <c r="L1162" i="1"/>
  <c r="AG1162" i="1"/>
  <c r="M467" i="1"/>
  <c r="L467" i="1"/>
  <c r="AG467" i="1"/>
  <c r="M1197" i="1"/>
  <c r="L1197" i="1"/>
  <c r="J1197" i="1"/>
  <c r="M1204" i="1"/>
  <c r="L1204" i="1"/>
  <c r="J1204" i="1"/>
  <c r="L1199" i="1"/>
  <c r="M1199" i="1"/>
  <c r="M1203" i="1"/>
  <c r="L1203" i="1"/>
  <c r="M1161" i="1"/>
  <c r="L1161" i="1"/>
  <c r="J1161" i="1" l="1"/>
  <c r="AG1161" i="1"/>
  <c r="J1961" i="1"/>
  <c r="AG1961" i="1"/>
  <c r="J1165" i="1"/>
  <c r="AG1165" i="1"/>
  <c r="J1163" i="1"/>
  <c r="AG1163" i="1"/>
  <c r="J1822" i="1"/>
  <c r="AG1822" i="1"/>
  <c r="J1164" i="1"/>
  <c r="AG1164" i="1"/>
  <c r="J2104" i="1"/>
  <c r="AG2104" i="1"/>
  <c r="J1166" i="1"/>
  <c r="AG1166" i="1"/>
  <c r="J2242" i="1"/>
  <c r="AG2242" i="1"/>
  <c r="J1517" i="1"/>
  <c r="J1516" i="1"/>
  <c r="J1379" i="1"/>
  <c r="J1373" i="1"/>
  <c r="J1332" i="1"/>
  <c r="J1824" i="1"/>
  <c r="J1823" i="1"/>
  <c r="J1825" i="1"/>
  <c r="J1826" i="1"/>
  <c r="J29" i="1"/>
  <c r="J26" i="1"/>
  <c r="J28" i="1"/>
  <c r="J25" i="1"/>
  <c r="J27" i="1"/>
  <c r="J24" i="1"/>
  <c r="J23" i="1"/>
  <c r="J841" i="1"/>
  <c r="J2243" i="1"/>
  <c r="J1434" i="1"/>
  <c r="J1433" i="1"/>
  <c r="J1437" i="1"/>
  <c r="J1106" i="1"/>
  <c r="J1013" i="1"/>
  <c r="J918" i="1"/>
  <c r="J2563" i="1"/>
  <c r="J1084" i="1"/>
  <c r="J2247" i="1"/>
  <c r="J1047" i="1"/>
  <c r="J2568" i="1"/>
  <c r="J1755" i="1"/>
  <c r="J1329" i="1"/>
  <c r="J1363" i="1"/>
  <c r="J1436" i="1"/>
  <c r="J1391" i="1"/>
  <c r="J1512" i="1"/>
  <c r="J1162" i="1"/>
  <c r="J467" i="1"/>
  <c r="J1203" i="1"/>
  <c r="M839" i="1" l="1"/>
  <c r="L839" i="1"/>
  <c r="AG839" i="1"/>
  <c r="M1160" i="1"/>
  <c r="L1160" i="1"/>
  <c r="M1202" i="1"/>
  <c r="L1202" i="1"/>
  <c r="J1202" i="1"/>
  <c r="M1196" i="1"/>
  <c r="L1196" i="1"/>
  <c r="J1196" i="1"/>
  <c r="M1201" i="1"/>
  <c r="L1201" i="1"/>
  <c r="J1201" i="1"/>
  <c r="M1194" i="1"/>
  <c r="L1194" i="1"/>
  <c r="J1194" i="1"/>
  <c r="M1159" i="1"/>
  <c r="L1159" i="1"/>
  <c r="AG1159" i="1"/>
  <c r="J1160" i="1" l="1"/>
  <c r="AG1160" i="1"/>
  <c r="J839" i="1"/>
  <c r="J1159" i="1"/>
  <c r="M1062" i="1" l="1"/>
  <c r="L1062" i="1"/>
  <c r="AG1062" i="1"/>
  <c r="S1061" i="1"/>
  <c r="M1061" i="1"/>
  <c r="L1061" i="1"/>
  <c r="AG1061" i="1"/>
  <c r="S1004" i="1"/>
  <c r="M1004" i="1"/>
  <c r="L1004" i="1"/>
  <c r="S1105" i="1"/>
  <c r="M1105" i="1"/>
  <c r="L1105" i="1"/>
  <c r="AG1105" i="1"/>
  <c r="M917" i="1"/>
  <c r="L917" i="1"/>
  <c r="J917" i="1"/>
  <c r="J1004" i="1" l="1"/>
  <c r="AG1004" i="1"/>
  <c r="J1062" i="1"/>
  <c r="S1062" i="1"/>
  <c r="J1061" i="1"/>
  <c r="J1105" i="1"/>
  <c r="M1649" i="1" l="1"/>
  <c r="L1649" i="1"/>
  <c r="AG1649" i="1"/>
  <c r="M838" i="1"/>
  <c r="L838" i="1"/>
  <c r="AG838" i="1"/>
  <c r="I2456" i="1"/>
  <c r="M2455" i="1"/>
  <c r="L2455" i="1"/>
  <c r="AG2455" i="1"/>
  <c r="M466" i="1"/>
  <c r="L466" i="1"/>
  <c r="M1754" i="1"/>
  <c r="L1754" i="1"/>
  <c r="AG1754" i="1"/>
  <c r="M1362" i="1"/>
  <c r="L1362" i="1"/>
  <c r="AG1362" i="1"/>
  <c r="I1328" i="1"/>
  <c r="M1327" i="1"/>
  <c r="L1327" i="1"/>
  <c r="I1431" i="1"/>
  <c r="AG1430" i="1"/>
  <c r="M1430" i="1"/>
  <c r="L1430" i="1"/>
  <c r="M1195" i="1"/>
  <c r="L1195" i="1"/>
  <c r="J1195" i="1"/>
  <c r="M1212" i="1"/>
  <c r="L1212" i="1"/>
  <c r="J1212" i="1"/>
  <c r="M1200" i="1"/>
  <c r="L1200" i="1"/>
  <c r="J1200" i="1"/>
  <c r="M468" i="1"/>
  <c r="L468" i="1"/>
  <c r="AG468" i="1"/>
  <c r="J466" i="1" l="1"/>
  <c r="AG466" i="1"/>
  <c r="J1327" i="1"/>
  <c r="AG1327" i="1"/>
  <c r="J1649" i="1"/>
  <c r="J838" i="1"/>
  <c r="J2455" i="1"/>
  <c r="J1754" i="1"/>
  <c r="J1362" i="1"/>
  <c r="J1430" i="1"/>
  <c r="J468" i="1"/>
  <c r="M465" i="1" l="1"/>
  <c r="L465" i="1"/>
  <c r="AG465" i="1"/>
  <c r="J465" i="1" l="1"/>
  <c r="S2605" i="1"/>
  <c r="M2605" i="1"/>
  <c r="L2605" i="1"/>
  <c r="AG2605" i="1"/>
  <c r="J2605" i="1" l="1"/>
  <c r="I1326" i="1"/>
  <c r="M1325" i="1"/>
  <c r="L1325" i="1"/>
  <c r="AG1325" i="1"/>
  <c r="M1256" i="1"/>
  <c r="L1256" i="1"/>
  <c r="AG1256" i="1"/>
  <c r="S1083" i="1"/>
  <c r="M1083" i="1"/>
  <c r="L1083" i="1"/>
  <c r="AG1083" i="1"/>
  <c r="S1082" i="1"/>
  <c r="M1082" i="1"/>
  <c r="L1082" i="1"/>
  <c r="AG1082" i="1"/>
  <c r="S1104" i="1"/>
  <c r="M1104" i="1"/>
  <c r="L1104" i="1"/>
  <c r="AG1104" i="1"/>
  <c r="M916" i="1"/>
  <c r="L916" i="1"/>
  <c r="J916" i="1"/>
  <c r="M837" i="1"/>
  <c r="L837" i="1"/>
  <c r="AG837" i="1"/>
  <c r="M464" i="1"/>
  <c r="L464" i="1"/>
  <c r="J464" i="1" l="1"/>
  <c r="AG464" i="1"/>
  <c r="J837" i="1"/>
  <c r="J1325" i="1"/>
  <c r="J1256" i="1"/>
  <c r="J1083" i="1"/>
  <c r="J1082" i="1"/>
  <c r="J1104" i="1"/>
  <c r="I1249" i="1"/>
  <c r="AF1249" i="1"/>
  <c r="L463" i="1" l="1"/>
  <c r="M463" i="1"/>
  <c r="M1577" i="1"/>
  <c r="L1577" i="1"/>
  <c r="AG1577" i="1"/>
  <c r="M117" i="1"/>
  <c r="L117" i="1"/>
  <c r="M1293" i="1"/>
  <c r="M1353" i="1"/>
  <c r="M1354" i="1"/>
  <c r="M1355" i="1"/>
  <c r="M1356" i="1"/>
  <c r="M1357" i="1"/>
  <c r="M1358" i="1"/>
  <c r="M1359" i="1"/>
  <c r="M1360" i="1"/>
  <c r="M1361" i="1"/>
  <c r="M1364" i="1"/>
  <c r="M1365" i="1"/>
  <c r="M1370" i="1"/>
  <c r="M1372" i="1"/>
  <c r="M1400" i="1"/>
  <c r="M1401" i="1"/>
  <c r="M1402" i="1"/>
  <c r="M1403" i="1"/>
  <c r="M1406" i="1"/>
  <c r="M1453" i="1"/>
  <c r="M1454" i="1"/>
  <c r="M1455" i="1"/>
  <c r="M1456" i="1"/>
  <c r="M1457" i="1"/>
  <c r="M1459" i="1"/>
  <c r="M1458" i="1"/>
  <c r="M1460" i="1"/>
  <c r="M1461" i="1"/>
  <c r="M1462" i="1"/>
  <c r="M1464" i="1"/>
  <c r="M1465" i="1"/>
  <c r="M1478" i="1"/>
  <c r="M1479" i="1"/>
  <c r="M1484" i="1"/>
  <c r="M1487" i="1"/>
  <c r="M1488" i="1"/>
  <c r="M1490" i="1"/>
  <c r="M1491" i="1"/>
  <c r="M1492" i="1"/>
  <c r="M1503" i="1"/>
  <c r="M1504" i="1"/>
  <c r="M1505" i="1"/>
  <c r="M1507" i="1"/>
  <c r="M1506" i="1"/>
  <c r="M1508" i="1"/>
  <c r="M1509" i="1"/>
  <c r="M1513" i="1"/>
  <c r="M1510" i="1"/>
  <c r="M1519" i="1"/>
  <c r="M1520" i="1"/>
  <c r="M1524" i="1"/>
  <c r="M1768" i="1"/>
  <c r="M1772" i="1"/>
  <c r="M1776" i="1"/>
  <c r="M1777" i="1"/>
  <c r="M1857" i="1"/>
  <c r="M1486" i="1"/>
  <c r="M1868" i="1"/>
  <c r="M1298" i="1"/>
  <c r="M1299" i="1"/>
  <c r="M1300" i="1"/>
  <c r="M1301" i="1"/>
  <c r="M1302" i="1"/>
  <c r="M1303" i="1"/>
  <c r="M1304" i="1"/>
  <c r="M1305" i="1"/>
  <c r="M1306" i="1"/>
  <c r="M1307" i="1"/>
  <c r="M1309" i="1"/>
  <c r="M1308" i="1"/>
  <c r="M1310" i="1"/>
  <c r="M1311" i="1"/>
  <c r="M1312" i="1"/>
  <c r="M1313" i="1"/>
  <c r="M1316" i="1"/>
  <c r="M1314" i="1"/>
  <c r="M1315" i="1"/>
  <c r="M1317" i="1"/>
  <c r="M1318" i="1"/>
  <c r="M1319" i="1"/>
  <c r="M1320" i="1"/>
  <c r="M1321" i="1"/>
  <c r="M1322" i="1"/>
  <c r="M1323" i="1"/>
  <c r="M1324" i="1"/>
  <c r="M1326" i="1"/>
  <c r="M1328" i="1"/>
  <c r="M1330" i="1"/>
  <c r="M1333" i="1"/>
  <c r="M1336" i="1"/>
  <c r="M1338" i="1"/>
  <c r="M1386" i="1"/>
  <c r="M1387" i="1"/>
  <c r="M1388" i="1"/>
  <c r="M1389" i="1"/>
  <c r="M1390" i="1"/>
  <c r="M1392" i="1"/>
  <c r="M1393" i="1"/>
  <c r="M1395" i="1"/>
  <c r="M1408" i="1"/>
  <c r="M1409" i="1"/>
  <c r="M1410" i="1"/>
  <c r="M1411" i="1"/>
  <c r="M1412" i="1"/>
  <c r="M1413" i="1"/>
  <c r="M1414" i="1"/>
  <c r="M1415" i="1"/>
  <c r="M1416" i="1"/>
  <c r="M1417" i="1"/>
  <c r="M1418" i="1"/>
  <c r="M1419" i="1"/>
  <c r="M1420" i="1"/>
  <c r="M1421" i="1"/>
  <c r="M1422" i="1"/>
  <c r="M1423" i="1"/>
  <c r="M1424" i="1"/>
  <c r="M1425" i="1"/>
  <c r="M1426" i="1"/>
  <c r="M1427" i="1"/>
  <c r="M1428" i="1"/>
  <c r="M1429" i="1"/>
  <c r="M1435" i="1"/>
  <c r="M1431" i="1"/>
  <c r="M1432" i="1"/>
  <c r="M1438" i="1"/>
  <c r="M1440" i="1"/>
  <c r="M1445" i="1"/>
  <c r="M1444" i="1"/>
  <c r="M1472" i="1"/>
  <c r="M1480" i="1"/>
  <c r="M1481" i="1"/>
  <c r="M1758" i="1"/>
  <c r="M1763" i="1"/>
  <c r="M1764" i="1"/>
  <c r="M1767" i="1"/>
  <c r="M1775" i="1"/>
  <c r="M1773" i="1"/>
  <c r="M1774" i="1"/>
  <c r="M1784" i="1"/>
  <c r="M1785" i="1"/>
  <c r="M1788" i="1"/>
  <c r="M1794" i="1"/>
  <c r="M1810" i="1"/>
  <c r="M1811" i="1"/>
  <c r="M1812" i="1"/>
  <c r="M1813" i="1"/>
  <c r="M1814" i="1"/>
  <c r="M1815" i="1"/>
  <c r="M1816" i="1"/>
  <c r="M1817" i="1"/>
  <c r="M1818" i="1"/>
  <c r="M1819" i="1"/>
  <c r="M1820" i="1"/>
  <c r="M1847" i="1"/>
  <c r="M1848" i="1"/>
  <c r="M1849" i="1"/>
  <c r="M1850" i="1"/>
  <c r="M1851" i="1"/>
  <c r="M1855" i="1"/>
  <c r="M1858" i="1"/>
  <c r="M1859" i="1"/>
  <c r="M21" i="1"/>
  <c r="M65" i="1"/>
  <c r="M66" i="1"/>
  <c r="M67" i="1"/>
  <c r="M19" i="1"/>
  <c r="M1860" i="1"/>
  <c r="M1861" i="1"/>
  <c r="M1862" i="1"/>
  <c r="M1863" i="1"/>
  <c r="M1864" i="1"/>
  <c r="M1705" i="1"/>
  <c r="M1769" i="1"/>
  <c r="M1770" i="1"/>
  <c r="M63" i="1"/>
  <c r="M71" i="1"/>
  <c r="M70" i="1"/>
  <c r="M112" i="1"/>
  <c r="M99" i="1"/>
  <c r="M102" i="1"/>
  <c r="M120" i="1"/>
  <c r="M92" i="1"/>
  <c r="M131" i="1"/>
  <c r="M93" i="1"/>
  <c r="M68" i="1"/>
  <c r="M77" i="1"/>
  <c r="M81" i="1"/>
  <c r="M82" i="1"/>
  <c r="M83" i="1"/>
  <c r="M85" i="1"/>
  <c r="M20" i="1"/>
  <c r="M47" i="1"/>
  <c r="M48" i="1"/>
  <c r="M49" i="1"/>
  <c r="M50" i="1"/>
  <c r="M51" i="1"/>
  <c r="M52" i="1"/>
  <c r="M53" i="1"/>
  <c r="M54" i="1"/>
  <c r="M55" i="1"/>
  <c r="M312" i="1"/>
  <c r="M313" i="1"/>
  <c r="M674" i="1"/>
  <c r="M673" i="1"/>
  <c r="M675" i="1"/>
  <c r="M632" i="1"/>
  <c r="M633" i="1"/>
  <c r="M2627" i="1"/>
  <c r="M2370" i="1"/>
  <c r="M2371" i="1"/>
  <c r="M2372" i="1"/>
  <c r="M2373" i="1"/>
  <c r="M2374" i="1"/>
  <c r="M2375" i="1"/>
  <c r="M2376" i="1"/>
  <c r="M2377" i="1"/>
  <c r="M2378" i="1"/>
  <c r="M2299" i="1"/>
  <c r="M2300" i="1"/>
  <c r="M2301" i="1"/>
  <c r="M770" i="1"/>
  <c r="M771" i="1"/>
  <c r="M1902" i="1"/>
  <c r="M1903" i="1"/>
  <c r="M1904" i="1"/>
  <c r="M1905" i="1"/>
  <c r="M1906" i="1"/>
  <c r="M2142" i="1"/>
  <c r="M2143" i="1"/>
  <c r="M2144" i="1"/>
  <c r="M2145" i="1"/>
  <c r="M2146" i="1"/>
  <c r="M2152" i="1"/>
  <c r="M2153" i="1"/>
  <c r="M2154" i="1"/>
  <c r="M2155" i="1"/>
  <c r="M2147" i="1"/>
  <c r="M2148" i="1"/>
  <c r="M2149" i="1"/>
  <c r="M2150" i="1"/>
  <c r="M2151" i="1"/>
  <c r="M2156" i="1"/>
  <c r="M2157" i="1"/>
  <c r="M581" i="1"/>
  <c r="M406" i="1"/>
  <c r="M12" i="1"/>
  <c r="M13" i="1"/>
  <c r="M14" i="1"/>
  <c r="M15" i="1"/>
  <c r="M1668" i="1"/>
  <c r="M1669" i="1"/>
  <c r="M1670" i="1"/>
  <c r="M1671" i="1"/>
  <c r="M1672" i="1"/>
  <c r="M1654" i="1"/>
  <c r="M1655" i="1"/>
  <c r="M1656" i="1"/>
  <c r="M1657" i="1"/>
  <c r="M1658" i="1"/>
  <c r="M1659" i="1"/>
  <c r="M1660" i="1"/>
  <c r="M1713" i="1"/>
  <c r="M1726" i="1"/>
  <c r="M1673" i="1"/>
  <c r="M1674" i="1"/>
  <c r="M1661" i="1"/>
  <c r="M1662" i="1"/>
  <c r="M1663" i="1"/>
  <c r="M1664" i="1"/>
  <c r="M615" i="1"/>
  <c r="M886" i="1"/>
  <c r="M885" i="1"/>
  <c r="M2628" i="1"/>
  <c r="M2629" i="1"/>
  <c r="M2630" i="1"/>
  <c r="M2631" i="1"/>
  <c r="M2633" i="1"/>
  <c r="M2634" i="1"/>
  <c r="M2635" i="1"/>
  <c r="M631" i="1"/>
  <c r="M213" i="1"/>
  <c r="M214" i="1"/>
  <c r="M215" i="1"/>
  <c r="M216" i="1"/>
  <c r="M217" i="1"/>
  <c r="M218" i="1"/>
  <c r="M888" i="1"/>
  <c r="M889" i="1"/>
  <c r="M665" i="1"/>
  <c r="M666" i="1"/>
  <c r="M661" i="1"/>
  <c r="M652" i="1"/>
  <c r="M669" i="1"/>
  <c r="M656" i="1"/>
  <c r="M586" i="1"/>
  <c r="M587" i="1"/>
  <c r="M1885" i="1"/>
  <c r="M1886" i="1"/>
  <c r="M1887" i="1"/>
  <c r="M1888" i="1"/>
  <c r="M1889" i="1"/>
  <c r="M1890" i="1"/>
  <c r="M762" i="1"/>
  <c r="M763" i="1"/>
  <c r="M490" i="1"/>
  <c r="M491" i="1"/>
  <c r="M492" i="1"/>
  <c r="M493" i="1"/>
  <c r="M494" i="1"/>
  <c r="M2610" i="1"/>
  <c r="M2609" i="1"/>
  <c r="M531" i="1"/>
  <c r="M533" i="1"/>
  <c r="M75" i="1"/>
  <c r="M74" i="1"/>
  <c r="M62" i="1"/>
  <c r="M91" i="1"/>
  <c r="M101" i="1"/>
  <c r="M72" i="1"/>
  <c r="M73" i="1"/>
  <c r="M76" i="1"/>
  <c r="M90" i="1"/>
  <c r="M106" i="1"/>
  <c r="M111" i="1"/>
  <c r="M129" i="1"/>
  <c r="M132" i="1"/>
  <c r="M69" i="1"/>
  <c r="M80" i="1"/>
  <c r="M103" i="1"/>
  <c r="M104" i="1"/>
  <c r="M105" i="1"/>
  <c r="M1846" i="1"/>
  <c r="M121" i="1"/>
  <c r="M123" i="1"/>
  <c r="M122" i="1"/>
  <c r="M124" i="1"/>
  <c r="M130" i="1"/>
  <c r="M134" i="1"/>
  <c r="M135" i="1"/>
  <c r="M138" i="1"/>
  <c r="M125" i="1"/>
  <c r="M126" i="1"/>
  <c r="M127" i="1"/>
  <c r="M128" i="1"/>
  <c r="M133" i="1"/>
  <c r="M137" i="1"/>
  <c r="M139" i="1"/>
  <c r="M140" i="1"/>
  <c r="M1845" i="1"/>
  <c r="M141" i="1"/>
  <c r="M142" i="1"/>
  <c r="M64"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2" i="1"/>
  <c r="M1563" i="1"/>
  <c r="M1564" i="1"/>
  <c r="M1561" i="1"/>
  <c r="M1565" i="1"/>
  <c r="M1566" i="1"/>
  <c r="M1567" i="1"/>
  <c r="M1568" i="1"/>
  <c r="M1569" i="1"/>
  <c r="M1570" i="1"/>
  <c r="M1571" i="1"/>
  <c r="M1572" i="1"/>
  <c r="M1575" i="1"/>
  <c r="M1573" i="1"/>
  <c r="M1574" i="1"/>
  <c r="M1578" i="1"/>
  <c r="M1576" i="1"/>
  <c r="M1581" i="1"/>
  <c r="M1582" i="1"/>
  <c r="M1584" i="1"/>
  <c r="M1586" i="1"/>
  <c r="M1587" i="1"/>
  <c r="M1588" i="1"/>
  <c r="M1589" i="1"/>
  <c r="M1590" i="1"/>
  <c r="M2141" i="1"/>
  <c r="M606" i="1"/>
  <c r="M607" i="1"/>
  <c r="M608" i="1"/>
  <c r="M609"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7" i="1"/>
  <c r="M1628" i="1"/>
  <c r="M1629" i="1"/>
  <c r="M1630" i="1"/>
  <c r="M1626" i="1"/>
  <c r="M1631" i="1"/>
  <c r="M1632" i="1"/>
  <c r="M1633" i="1"/>
  <c r="M1634" i="1"/>
  <c r="M1635" i="1"/>
  <c r="M1637" i="1"/>
  <c r="M1639" i="1"/>
  <c r="M1636" i="1"/>
  <c r="M1638" i="1"/>
  <c r="M1640" i="1"/>
  <c r="M1641" i="1"/>
  <c r="M1642" i="1"/>
  <c r="M1647" i="1"/>
  <c r="M1644" i="1"/>
  <c r="M1648" i="1"/>
  <c r="M1650" i="1"/>
  <c r="M2611" i="1"/>
  <c r="M532" i="1"/>
  <c r="M534" i="1"/>
  <c r="M535" i="1"/>
  <c r="M536" i="1"/>
  <c r="M537" i="1"/>
  <c r="M538" i="1"/>
  <c r="M1227" i="1"/>
  <c r="M1229" i="1"/>
  <c r="M36" i="1"/>
  <c r="M38" i="1"/>
  <c r="M34" i="1"/>
  <c r="M35" i="1"/>
  <c r="M37" i="1"/>
  <c r="M405" i="1"/>
  <c r="M404" i="1"/>
  <c r="M403" i="1"/>
  <c r="M212" i="1"/>
  <c r="M17" i="1"/>
  <c r="M18" i="1"/>
  <c r="M400" i="1"/>
  <c r="M401" i="1"/>
  <c r="M181" i="1"/>
  <c r="M136" i="1"/>
  <c r="M1795" i="1"/>
  <c r="M1525" i="1"/>
  <c r="M1526" i="1"/>
  <c r="M1744" i="1"/>
  <c r="M1745" i="1"/>
  <c r="M1746" i="1"/>
  <c r="M1748" i="1"/>
  <c r="M1747" i="1"/>
  <c r="M1749" i="1"/>
  <c r="M1751" i="1"/>
  <c r="M1750" i="1"/>
  <c r="M1752" i="1"/>
  <c r="M1753" i="1"/>
  <c r="M1708" i="1"/>
  <c r="M1709" i="1"/>
  <c r="M1710" i="1"/>
  <c r="M1493" i="1"/>
  <c r="M1494" i="1"/>
  <c r="M1495" i="1"/>
  <c r="M1496" i="1"/>
  <c r="M1497" i="1"/>
  <c r="M1498" i="1"/>
  <c r="M1500" i="1"/>
  <c r="M1501" i="1"/>
  <c r="M676" i="1"/>
  <c r="M677" i="1"/>
  <c r="M1892" i="1"/>
  <c r="M1893" i="1"/>
  <c r="M1727" i="1"/>
  <c r="M1728" i="1"/>
  <c r="M1715" i="1"/>
  <c r="M1716" i="1"/>
  <c r="M1714" i="1"/>
  <c r="M573" i="1"/>
  <c r="M729" i="1"/>
  <c r="M730" i="1"/>
  <c r="M740" i="1"/>
  <c r="M707" i="1"/>
  <c r="M314" i="1"/>
  <c r="M2613" i="1"/>
  <c r="M407" i="1"/>
  <c r="M588" i="1"/>
  <c r="M589"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76" i="1"/>
  <c r="M266"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3" i="1"/>
  <c r="M366" i="1"/>
  <c r="M1907" i="1"/>
  <c r="M1908" i="1"/>
  <c r="M1909" i="1"/>
  <c r="M1910" i="1"/>
  <c r="M1911" i="1"/>
  <c r="M1912" i="1"/>
  <c r="M1913" i="1"/>
  <c r="M2158" i="1"/>
  <c r="M2159" i="1"/>
  <c r="M2160" i="1"/>
  <c r="M2161" i="1"/>
  <c r="M2162" i="1"/>
  <c r="M2163" i="1"/>
  <c r="M2164" i="1"/>
  <c r="M2165" i="1"/>
  <c r="M2166" i="1"/>
  <c r="M2167" i="1"/>
  <c r="M2168" i="1"/>
  <c r="M2169" i="1"/>
  <c r="M2170" i="1"/>
  <c r="M2004" i="1"/>
  <c r="M2005" i="1"/>
  <c r="M2006" i="1"/>
  <c r="M2007" i="1"/>
  <c r="M2008" i="1"/>
  <c r="M2009" i="1"/>
  <c r="M2010" i="1"/>
  <c r="M2011" i="1"/>
  <c r="M2012" i="1"/>
  <c r="M2013" i="1"/>
  <c r="M2014" i="1"/>
  <c r="M2015" i="1"/>
  <c r="M2016" i="1"/>
  <c r="M2017" i="1"/>
  <c r="M2018" i="1"/>
  <c r="M2019" i="1"/>
  <c r="M2020" i="1"/>
  <c r="M2021" i="1"/>
  <c r="M2022" i="1"/>
  <c r="M2023" i="1"/>
  <c r="M2024" i="1"/>
  <c r="M2379" i="1"/>
  <c r="M2380" i="1"/>
  <c r="M2381" i="1"/>
  <c r="M2382" i="1"/>
  <c r="M2383" i="1"/>
  <c r="M2384" i="1"/>
  <c r="M2385" i="1"/>
  <c r="M2386" i="1"/>
  <c r="M2387" i="1"/>
  <c r="M2388" i="1"/>
  <c r="M2389" i="1"/>
  <c r="M2390" i="1"/>
  <c r="M2391" i="1"/>
  <c r="M2392" i="1"/>
  <c r="M2393" i="1"/>
  <c r="M2394" i="1"/>
  <c r="M2302" i="1"/>
  <c r="M2303" i="1"/>
  <c r="M2304" i="1"/>
  <c r="M2305" i="1"/>
  <c r="M2306" i="1"/>
  <c r="M2307" i="1"/>
  <c r="M2308" i="1"/>
  <c r="M2309" i="1"/>
  <c r="M2497" i="1"/>
  <c r="M2498" i="1"/>
  <c r="M2499" i="1"/>
  <c r="M2500" i="1"/>
  <c r="M2501" i="1"/>
  <c r="M2502" i="1"/>
  <c r="M2503" i="1"/>
  <c r="M2504" i="1"/>
  <c r="M2622" i="1"/>
  <c r="M2623" i="1"/>
  <c r="M2625" i="1"/>
  <c r="M2624" i="1"/>
  <c r="M2614" i="1"/>
  <c r="M2615" i="1"/>
  <c r="M2616" i="1"/>
  <c r="M2617" i="1"/>
  <c r="M618" i="1"/>
  <c r="M619" i="1"/>
  <c r="M620" i="1"/>
  <c r="M600" i="1"/>
  <c r="M590" i="1"/>
  <c r="M591" i="1"/>
  <c r="M592" i="1"/>
  <c r="M593" i="1"/>
  <c r="M595" i="1"/>
  <c r="M596" i="1"/>
  <c r="M597" i="1"/>
  <c r="M598" i="1"/>
  <c r="M599" i="1"/>
  <c r="M616" i="1"/>
  <c r="M617" i="1"/>
  <c r="M731" i="1"/>
  <c r="M732" i="1"/>
  <c r="M733" i="1"/>
  <c r="M734" i="1"/>
  <c r="M735" i="1"/>
  <c r="M737" i="1"/>
  <c r="M736" i="1"/>
  <c r="M708" i="1"/>
  <c r="M709" i="1"/>
  <c r="M710" i="1"/>
  <c r="M711" i="1"/>
  <c r="M712" i="1"/>
  <c r="M713" i="1"/>
  <c r="M714" i="1"/>
  <c r="M715" i="1"/>
  <c r="M741" i="1"/>
  <c r="M742" i="1"/>
  <c r="M743" i="1"/>
  <c r="M744" i="1"/>
  <c r="M745" i="1"/>
  <c r="M746" i="1"/>
  <c r="M1142" i="1"/>
  <c r="M1143" i="1"/>
  <c r="M1144" i="1"/>
  <c r="M1145" i="1"/>
  <c r="M1146" i="1"/>
  <c r="M1147" i="1"/>
  <c r="M1898" i="1"/>
  <c r="M1899" i="1"/>
  <c r="M457" i="1"/>
  <c r="M458" i="1"/>
  <c r="M459" i="1"/>
  <c r="M950" i="1"/>
  <c r="M951" i="1"/>
  <c r="M1112" i="1"/>
  <c r="M892" i="1"/>
  <c r="M570" i="1"/>
  <c r="M568" i="1"/>
  <c r="M1230" i="1"/>
  <c r="M1231" i="1"/>
  <c r="M1232" i="1"/>
  <c r="M1233" i="1"/>
  <c r="M1234" i="1"/>
  <c r="M1235" i="1"/>
  <c r="M1236" i="1"/>
  <c r="M1237" i="1"/>
  <c r="M1238" i="1"/>
  <c r="M1239" i="1"/>
  <c r="M1240" i="1"/>
  <c r="M1241" i="1"/>
  <c r="M1243" i="1"/>
  <c r="M1244" i="1"/>
  <c r="M1242" i="1"/>
  <c r="M1245" i="1"/>
  <c r="M1246" i="1"/>
  <c r="M1247" i="1"/>
  <c r="M1248" i="1"/>
  <c r="M1249" i="1"/>
  <c r="M1250" i="1"/>
  <c r="M1251" i="1"/>
  <c r="M1252" i="1"/>
  <c r="M1253" i="1"/>
  <c r="M1254" i="1"/>
  <c r="M1255" i="1"/>
  <c r="M1258" i="1"/>
  <c r="M1260" i="1"/>
  <c r="M1265" i="1"/>
  <c r="M1269" i="1"/>
  <c r="M1271" i="1"/>
  <c r="M1273" i="1"/>
  <c r="M1275" i="1"/>
  <c r="M1276" i="1"/>
  <c r="M1278" i="1"/>
  <c r="M1282" i="1"/>
  <c r="M1283" i="1"/>
  <c r="M1285" i="1"/>
  <c r="M1287" i="1"/>
  <c r="M1288" i="1"/>
  <c r="M1675" i="1"/>
  <c r="M1680" i="1"/>
  <c r="M1676" i="1"/>
  <c r="M1677" i="1"/>
  <c r="M1678" i="1"/>
  <c r="M1679" i="1"/>
  <c r="M1681" i="1"/>
  <c r="M1700" i="1"/>
  <c r="M1701" i="1"/>
  <c r="M1702" i="1"/>
  <c r="M1872" i="1"/>
  <c r="M1873" i="1"/>
  <c r="M1875" i="1"/>
  <c r="M1876" i="1"/>
  <c r="M1877" i="1"/>
  <c r="M1878" i="1"/>
  <c r="M1879" i="1"/>
  <c r="M1880" i="1"/>
  <c r="M1881" i="1"/>
  <c r="M1874" i="1"/>
  <c r="M772" i="1"/>
  <c r="M773" i="1"/>
  <c r="M774" i="1"/>
  <c r="M775" i="1"/>
  <c r="M776" i="1"/>
  <c r="M777" i="1"/>
  <c r="M1870" i="1"/>
  <c r="M1871" i="1"/>
  <c r="M2612" i="1"/>
  <c r="M402" i="1"/>
  <c r="M574" i="1"/>
  <c r="M575" i="1"/>
  <c r="M576" i="1"/>
  <c r="M577" i="1"/>
  <c r="M578" i="1"/>
  <c r="M1894" i="1"/>
  <c r="M1895" i="1"/>
  <c r="M1896" i="1"/>
  <c r="M1151" i="1"/>
  <c r="M2395" i="1"/>
  <c r="M2396" i="1"/>
  <c r="M2397" i="1"/>
  <c r="M2398" i="1"/>
  <c r="M2399" i="1"/>
  <c r="M2448" i="1"/>
  <c r="M2449" i="1"/>
  <c r="M2451" i="1"/>
  <c r="M2450" i="1"/>
  <c r="M2452" i="1"/>
  <c r="M2453" i="1"/>
  <c r="M2454" i="1"/>
  <c r="M2456" i="1"/>
  <c r="M2457" i="1"/>
  <c r="M2400" i="1"/>
  <c r="M2401" i="1"/>
  <c r="M2404" i="1"/>
  <c r="M2405" i="1"/>
  <c r="M2406" i="1"/>
  <c r="M2407" i="1"/>
  <c r="M2408" i="1"/>
  <c r="M2402" i="1"/>
  <c r="M2403" i="1"/>
  <c r="M2409" i="1"/>
  <c r="M2410" i="1"/>
  <c r="M2411" i="1"/>
  <c r="M2412" i="1"/>
  <c r="M2413" i="1"/>
  <c r="M778" i="1"/>
  <c r="M779" i="1"/>
  <c r="M780" i="1"/>
  <c r="M781" i="1"/>
  <c r="M782" i="1"/>
  <c r="M783" i="1"/>
  <c r="M784" i="1"/>
  <c r="M785" i="1"/>
  <c r="M786" i="1"/>
  <c r="M787" i="1"/>
  <c r="M788" i="1"/>
  <c r="M789" i="1"/>
  <c r="M2171" i="1"/>
  <c r="M2172" i="1"/>
  <c r="M2173" i="1"/>
  <c r="M2174" i="1"/>
  <c r="M2175" i="1"/>
  <c r="M2176" i="1"/>
  <c r="M2177" i="1"/>
  <c r="M2178" i="1"/>
  <c r="M2179" i="1"/>
  <c r="M2180" i="1"/>
  <c r="M2181" i="1"/>
  <c r="M2182" i="1"/>
  <c r="M2025" i="1"/>
  <c r="M2026" i="1"/>
  <c r="M2027" i="1"/>
  <c r="M2028" i="1"/>
  <c r="M2029" i="1"/>
  <c r="M2030" i="1"/>
  <c r="M2031" i="1"/>
  <c r="M2032" i="1"/>
  <c r="M2033" i="1"/>
  <c r="M2034" i="1"/>
  <c r="M2035" i="1"/>
  <c r="M2036" i="1"/>
  <c r="M2037" i="1"/>
  <c r="M2038" i="1"/>
  <c r="M2039" i="1"/>
  <c r="M2040" i="1"/>
  <c r="M2041" i="1"/>
  <c r="M2043" i="1"/>
  <c r="M2042" i="1"/>
  <c r="M2505" i="1"/>
  <c r="M2506" i="1"/>
  <c r="M2507" i="1"/>
  <c r="M2508" i="1"/>
  <c r="M2524" i="1"/>
  <c r="M2530" i="1"/>
  <c r="M2531" i="1"/>
  <c r="M2532" i="1"/>
  <c r="M2533" i="1"/>
  <c r="M2534" i="1"/>
  <c r="M2535" i="1"/>
  <c r="M2509" i="1"/>
  <c r="M2510" i="1"/>
  <c r="M2511" i="1"/>
  <c r="M2512" i="1"/>
  <c r="M2513" i="1"/>
  <c r="M2514" i="1"/>
  <c r="M2515" i="1"/>
  <c r="M2516" i="1"/>
  <c r="M2517" i="1"/>
  <c r="M2518" i="1"/>
  <c r="M2519" i="1"/>
  <c r="M143" i="1"/>
  <c r="M144" i="1"/>
  <c r="M147" i="1"/>
  <c r="M678" i="1"/>
  <c r="M679" i="1"/>
  <c r="M680" i="1"/>
  <c r="M681" i="1"/>
  <c r="M682" i="1"/>
  <c r="M683" i="1"/>
  <c r="M684" i="1"/>
  <c r="M685" i="1"/>
  <c r="M686" i="1"/>
  <c r="M687" i="1"/>
  <c r="M688" i="1"/>
  <c r="M689" i="1"/>
  <c r="M690" i="1"/>
  <c r="M691" i="1"/>
  <c r="M692" i="1"/>
  <c r="M113" i="1"/>
  <c r="M114" i="1"/>
  <c r="M118" i="1"/>
  <c r="M115" i="1"/>
  <c r="M116" i="1"/>
  <c r="M1148" i="1"/>
  <c r="M1149" i="1"/>
  <c r="M1150" i="1"/>
  <c r="M1152" i="1"/>
  <c r="M1153" i="1"/>
  <c r="M1154" i="1"/>
  <c r="M1155" i="1"/>
  <c r="M1156" i="1"/>
  <c r="M159" i="1"/>
  <c r="M161" i="1"/>
  <c r="M162" i="1"/>
  <c r="M158" i="1"/>
  <c r="M1226" i="1"/>
  <c r="M1228" i="1"/>
  <c r="M2310" i="1"/>
  <c r="M2311" i="1"/>
  <c r="M2312" i="1"/>
  <c r="M2313" i="1"/>
  <c r="M2314" i="1"/>
  <c r="M2315" i="1"/>
  <c r="M2316" i="1"/>
  <c r="M2317" i="1"/>
  <c r="M2318" i="1"/>
  <c r="M2319" i="1"/>
  <c r="M2320" i="1"/>
  <c r="M2321" i="1"/>
  <c r="M2322" i="1"/>
  <c r="M2323" i="1"/>
  <c r="M2183" i="1"/>
  <c r="M2184" i="1"/>
  <c r="M2185" i="1"/>
  <c r="M2186" i="1"/>
  <c r="M2187" i="1"/>
  <c r="M2188" i="1"/>
  <c r="M2189" i="1"/>
  <c r="M2190" i="1"/>
  <c r="M2191" i="1"/>
  <c r="M2192" i="1"/>
  <c r="M2193" i="1"/>
  <c r="M2194" i="1"/>
  <c r="M2195" i="1"/>
  <c r="M2196" i="1"/>
  <c r="M2197" i="1"/>
  <c r="M2198" i="1"/>
  <c r="M2199" i="1"/>
  <c r="M2200" i="1"/>
  <c r="M790" i="1"/>
  <c r="M791" i="1"/>
  <c r="M792" i="1"/>
  <c r="M793" i="1"/>
  <c r="M794" i="1"/>
  <c r="M795" i="1"/>
  <c r="M796" i="1"/>
  <c r="M797" i="1"/>
  <c r="M798" i="1"/>
  <c r="M799" i="1"/>
  <c r="M2044" i="1"/>
  <c r="M2045" i="1"/>
  <c r="M2046" i="1"/>
  <c r="M2047" i="1"/>
  <c r="M2048" i="1"/>
  <c r="M2049" i="1"/>
  <c r="M2050" i="1"/>
  <c r="M2051" i="1"/>
  <c r="M2052" i="1"/>
  <c r="M2053" i="1"/>
  <c r="M2054" i="1"/>
  <c r="M2055" i="1"/>
  <c r="M2056" i="1"/>
  <c r="M2057" i="1"/>
  <c r="M2058" i="1"/>
  <c r="M2059" i="1"/>
  <c r="M2060" i="1"/>
  <c r="M2520" i="1"/>
  <c r="M2521" i="1"/>
  <c r="M2522" i="1"/>
  <c r="M2414" i="1"/>
  <c r="M2415" i="1"/>
  <c r="M2416" i="1"/>
  <c r="M2417" i="1"/>
  <c r="M2418" i="1"/>
  <c r="M2419" i="1"/>
  <c r="M2420" i="1"/>
  <c r="M2421" i="1"/>
  <c r="M2422" i="1"/>
  <c r="M2423" i="1"/>
  <c r="M929" i="1"/>
  <c r="M930" i="1"/>
  <c r="M931" i="1"/>
  <c r="M932" i="1"/>
  <c r="M933" i="1"/>
  <c r="M934" i="1"/>
  <c r="M935" i="1"/>
  <c r="M936" i="1"/>
  <c r="M938" i="1"/>
  <c r="M937" i="1"/>
  <c r="M939" i="1"/>
  <c r="M940" i="1"/>
  <c r="M941" i="1"/>
  <c r="M942" i="1"/>
  <c r="M943" i="1"/>
  <c r="M1036" i="1"/>
  <c r="M1037" i="1"/>
  <c r="M1038" i="1"/>
  <c r="M1039" i="1"/>
  <c r="M1040" i="1"/>
  <c r="M1041" i="1"/>
  <c r="M1042" i="1"/>
  <c r="M1043" i="1"/>
  <c r="M1044" i="1"/>
  <c r="M1045" i="1"/>
  <c r="M1046" i="1"/>
  <c r="M1048" i="1"/>
  <c r="M1050" i="1"/>
  <c r="M1049" i="1"/>
  <c r="M1051" i="1"/>
  <c r="M1053" i="1"/>
  <c r="M1052" i="1"/>
  <c r="M1069" i="1"/>
  <c r="M1070" i="1"/>
  <c r="M1071" i="1"/>
  <c r="M1072" i="1"/>
  <c r="M1073" i="1"/>
  <c r="M1074" i="1"/>
  <c r="M1075" i="1"/>
  <c r="M1076" i="1"/>
  <c r="M1077" i="1"/>
  <c r="M1078" i="1"/>
  <c r="M1086" i="1"/>
  <c r="M1079" i="1"/>
  <c r="M1080" i="1"/>
  <c r="M1081" i="1"/>
  <c r="M1085" i="1"/>
  <c r="M1087" i="1"/>
  <c r="M1088" i="1"/>
  <c r="M893" i="1"/>
  <c r="M894" i="1"/>
  <c r="M896" i="1"/>
  <c r="M895" i="1"/>
  <c r="M897" i="1"/>
  <c r="M898" i="1"/>
  <c r="M899" i="1"/>
  <c r="M900" i="1"/>
  <c r="M901" i="1"/>
  <c r="M902" i="1"/>
  <c r="M903" i="1"/>
  <c r="M904" i="1"/>
  <c r="M905" i="1"/>
  <c r="M906" i="1"/>
  <c r="M907" i="1"/>
  <c r="M908" i="1"/>
  <c r="M909" i="1"/>
  <c r="M910" i="1"/>
  <c r="M911" i="1"/>
  <c r="M912" i="1"/>
  <c r="M913" i="1"/>
  <c r="M914" i="1"/>
  <c r="M915" i="1"/>
  <c r="M928" i="1"/>
  <c r="M944" i="1"/>
  <c r="M949" i="1"/>
  <c r="M945" i="1"/>
  <c r="M946" i="1"/>
  <c r="M947" i="1"/>
  <c r="M948" i="1"/>
  <c r="M952" i="1"/>
  <c r="M953" i="1"/>
  <c r="M954" i="1"/>
  <c r="M955" i="1"/>
  <c r="M956" i="1"/>
  <c r="M957" i="1"/>
  <c r="M960" i="1"/>
  <c r="M961" i="1"/>
  <c r="M962" i="1"/>
  <c r="M963" i="1"/>
  <c r="M965" i="1"/>
  <c r="M959" i="1"/>
  <c r="M964" i="1"/>
  <c r="M966" i="1"/>
  <c r="M967" i="1"/>
  <c r="M968" i="1"/>
  <c r="M969" i="1"/>
  <c r="M970" i="1"/>
  <c r="M971" i="1"/>
  <c r="M972" i="1"/>
  <c r="M973" i="1"/>
  <c r="M978" i="1"/>
  <c r="M1089" i="1"/>
  <c r="M1090" i="1"/>
  <c r="M1091" i="1"/>
  <c r="M1092" i="1"/>
  <c r="M1093" i="1"/>
  <c r="M1094" i="1"/>
  <c r="M1095" i="1"/>
  <c r="M1096" i="1"/>
  <c r="M1111" i="1"/>
  <c r="M1097" i="1"/>
  <c r="M1098" i="1"/>
  <c r="M1099" i="1"/>
  <c r="M1100" i="1"/>
  <c r="M1101" i="1"/>
  <c r="M1102" i="1"/>
  <c r="M1103" i="1"/>
  <c r="M1110" i="1"/>
  <c r="M1113" i="1"/>
  <c r="M1114" i="1"/>
  <c r="M1115" i="1"/>
  <c r="M1116" i="1"/>
  <c r="M1117" i="1"/>
  <c r="M1118" i="1"/>
  <c r="M1119" i="1"/>
  <c r="M1120" i="1"/>
  <c r="M1123" i="1"/>
  <c r="M1122" i="1"/>
  <c r="M1124" i="1"/>
  <c r="M1125" i="1"/>
  <c r="M1126" i="1"/>
  <c r="M1127" i="1"/>
  <c r="M1140" i="1"/>
  <c r="M1128" i="1"/>
  <c r="M1129" i="1"/>
  <c r="M1130" i="1"/>
  <c r="M1141" i="1"/>
  <c r="M1134" i="1"/>
  <c r="M979" i="1"/>
  <c r="M980" i="1"/>
  <c r="M981" i="1"/>
  <c r="M982" i="1"/>
  <c r="M983" i="1"/>
  <c r="M984" i="1"/>
  <c r="M985" i="1"/>
  <c r="M987" i="1"/>
  <c r="M986" i="1"/>
  <c r="M988" i="1"/>
  <c r="M989" i="1"/>
  <c r="M990" i="1"/>
  <c r="M991" i="1"/>
  <c r="M992" i="1"/>
  <c r="M993" i="1"/>
  <c r="M994" i="1"/>
  <c r="M995" i="1"/>
  <c r="M996" i="1"/>
  <c r="M997" i="1"/>
  <c r="M998" i="1"/>
  <c r="M999" i="1"/>
  <c r="M1000" i="1"/>
  <c r="M1001" i="1"/>
  <c r="M1002" i="1"/>
  <c r="M1003" i="1"/>
  <c r="M1012" i="1"/>
  <c r="M1014" i="1"/>
  <c r="M1015" i="1"/>
  <c r="M1016" i="1"/>
  <c r="M1023" i="1"/>
  <c r="M1017" i="1"/>
  <c r="M1018" i="1"/>
  <c r="M1019" i="1"/>
  <c r="M1022" i="1"/>
  <c r="M1024" i="1"/>
  <c r="M1025" i="1"/>
  <c r="M1026" i="1"/>
  <c r="M1027" i="1"/>
  <c r="M1028" i="1"/>
  <c r="M1029" i="1"/>
  <c r="M1030" i="1"/>
  <c r="M1031" i="1"/>
  <c r="M1032" i="1"/>
  <c r="M1033" i="1"/>
  <c r="M1034" i="1"/>
  <c r="M1035" i="1"/>
  <c r="M1054" i="1"/>
  <c r="M1056" i="1"/>
  <c r="M1057" i="1"/>
  <c r="M1058" i="1"/>
  <c r="M1059" i="1"/>
  <c r="M1060" i="1"/>
  <c r="M1055" i="1"/>
  <c r="M1063" i="1"/>
  <c r="M1064" i="1"/>
  <c r="M1065" i="1"/>
  <c r="M1066" i="1"/>
  <c r="M1067" i="1"/>
  <c r="M1068" i="1"/>
  <c r="M1796" i="1"/>
  <c r="M1797" i="1"/>
  <c r="M1798" i="1"/>
  <c r="M1799" i="1"/>
  <c r="M1800" i="1"/>
  <c r="M1801" i="1"/>
  <c r="M1802" i="1"/>
  <c r="M1803" i="1"/>
  <c r="M1806" i="1"/>
  <c r="M1729" i="1"/>
  <c r="M1721" i="1"/>
  <c r="M1725" i="1"/>
  <c r="M2061" i="1"/>
  <c r="M2062" i="1"/>
  <c r="M2063" i="1"/>
  <c r="M2064" i="1"/>
  <c r="M2065" i="1"/>
  <c r="M2066" i="1"/>
  <c r="M2424" i="1"/>
  <c r="M2425" i="1"/>
  <c r="M2324" i="1"/>
  <c r="M2325" i="1"/>
  <c r="M2326" i="1"/>
  <c r="M2327" i="1"/>
  <c r="M2328" i="1"/>
  <c r="M2329" i="1"/>
  <c r="M2330" i="1"/>
  <c r="M2331" i="1"/>
  <c r="M1900" i="1"/>
  <c r="M1901" i="1"/>
  <c r="M670" i="1"/>
  <c r="M671" i="1"/>
  <c r="M1717" i="1"/>
  <c r="M657" i="1"/>
  <c r="M658" i="1"/>
  <c r="M659" i="1"/>
  <c r="M662" i="1"/>
  <c r="M663" i="1"/>
  <c r="M653" i="1"/>
  <c r="M654" i="1"/>
  <c r="M667" i="1"/>
  <c r="M1914" i="1"/>
  <c r="M1915" i="1"/>
  <c r="M1916" i="1"/>
  <c r="M1917" i="1"/>
  <c r="M1918" i="1"/>
  <c r="M890" i="1"/>
  <c r="M887" i="1"/>
  <c r="M891" i="1"/>
  <c r="M579" i="1"/>
  <c r="M580" i="1"/>
  <c r="M1897" i="1"/>
  <c r="M145" i="1"/>
  <c r="M1891" i="1"/>
  <c r="M2201" i="1"/>
  <c r="M2523" i="1"/>
  <c r="M2525" i="1"/>
  <c r="M2526" i="1"/>
  <c r="M1919" i="1"/>
  <c r="M1921" i="1"/>
  <c r="M1922" i="1"/>
  <c r="M1923" i="1"/>
  <c r="M1924" i="1"/>
  <c r="M800" i="1"/>
  <c r="M801" i="1"/>
  <c r="M802" i="1"/>
  <c r="M803" i="1"/>
  <c r="M804" i="1"/>
  <c r="M805" i="1"/>
  <c r="M806" i="1"/>
  <c r="M2067" i="1"/>
  <c r="M2068" i="1"/>
  <c r="M2069" i="1"/>
  <c r="M2071" i="1"/>
  <c r="M2070" i="1"/>
  <c r="M1731" i="1"/>
  <c r="M1730" i="1"/>
  <c r="M1732" i="1"/>
  <c r="M1733" i="1"/>
  <c r="M655" i="1"/>
  <c r="M660" i="1"/>
  <c r="M664" i="1"/>
  <c r="M668" i="1"/>
  <c r="M672" i="1"/>
  <c r="M1920" i="1"/>
  <c r="M821" i="1"/>
  <c r="M2338" i="1"/>
  <c r="M2339" i="1"/>
  <c r="M739" i="1"/>
  <c r="M706" i="1"/>
  <c r="M1665" i="1"/>
  <c r="M1594" i="1"/>
  <c r="M1595" i="1"/>
  <c r="M1771" i="1"/>
  <c r="M1734" i="1"/>
  <c r="M1735" i="1"/>
  <c r="M1736" i="1"/>
  <c r="M1737" i="1"/>
  <c r="M1738" i="1"/>
  <c r="M1739" i="1"/>
  <c r="M183" i="1"/>
  <c r="M184" i="1"/>
  <c r="M211" i="1"/>
  <c r="M210" i="1"/>
  <c r="M186" i="1"/>
  <c r="M185" i="1"/>
  <c r="M188" i="1"/>
  <c r="M187" i="1"/>
  <c r="M196" i="1"/>
  <c r="M195" i="1"/>
  <c r="M207" i="1"/>
  <c r="M206" i="1"/>
  <c r="M209" i="1"/>
  <c r="M208" i="1"/>
  <c r="M190" i="1"/>
  <c r="M1666" i="1"/>
  <c r="M807" i="1"/>
  <c r="M808" i="1"/>
  <c r="M809" i="1"/>
  <c r="M810" i="1"/>
  <c r="M812" i="1"/>
  <c r="M813" i="1"/>
  <c r="M811" i="1"/>
  <c r="M814" i="1"/>
  <c r="M815" i="1"/>
  <c r="M1925" i="1"/>
  <c r="M1926" i="1"/>
  <c r="M1927" i="1"/>
  <c r="M1928" i="1"/>
  <c r="M1929" i="1"/>
  <c r="M1930" i="1"/>
  <c r="M1932" i="1"/>
  <c r="M2072" i="1"/>
  <c r="M2073" i="1"/>
  <c r="M2074" i="1"/>
  <c r="M2075" i="1"/>
  <c r="M2076" i="1"/>
  <c r="M1931" i="1"/>
  <c r="M1933" i="1"/>
  <c r="M1934" i="1"/>
  <c r="M1936" i="1"/>
  <c r="M1935" i="1"/>
  <c r="M2077" i="1"/>
  <c r="M2202" i="1"/>
  <c r="M2203" i="1"/>
  <c r="M2204" i="1"/>
  <c r="M2205" i="1"/>
  <c r="M2078" i="1"/>
  <c r="M2079" i="1"/>
  <c r="M2080" i="1"/>
  <c r="M2081" i="1"/>
  <c r="M2082" i="1"/>
  <c r="M2083" i="1"/>
  <c r="M2084" i="1"/>
  <c r="M2206" i="1"/>
  <c r="M2207" i="1"/>
  <c r="M2208" i="1"/>
  <c r="M2209" i="1"/>
  <c r="M2210" i="1"/>
  <c r="M2211" i="1"/>
  <c r="M2212" i="1"/>
  <c r="M2213" i="1"/>
  <c r="M2214" i="1"/>
  <c r="M2215" i="1"/>
  <c r="M2216" i="1"/>
  <c r="M2332" i="1"/>
  <c r="M2333" i="1"/>
  <c r="M2334" i="1"/>
  <c r="M2335" i="1"/>
  <c r="M2336" i="1"/>
  <c r="M2337" i="1"/>
  <c r="M2426" i="1"/>
  <c r="M2427" i="1"/>
  <c r="M2428" i="1"/>
  <c r="M2429" i="1"/>
  <c r="M2430" i="1"/>
  <c r="M2431" i="1"/>
  <c r="M2432" i="1"/>
  <c r="M2433" i="1"/>
  <c r="M2434" i="1"/>
  <c r="M2435" i="1"/>
  <c r="M2436" i="1"/>
  <c r="M2437" i="1"/>
  <c r="M2438" i="1"/>
  <c r="M2439" i="1"/>
  <c r="M2440" i="1"/>
  <c r="M2441" i="1"/>
  <c r="M2527" i="1"/>
  <c r="M2528" i="1"/>
  <c r="M2529" i="1"/>
  <c r="M107" i="1"/>
  <c r="M110" i="1"/>
  <c r="M1482" i="1"/>
  <c r="M1473" i="1"/>
  <c r="M636" i="1"/>
  <c r="M634" i="1"/>
  <c r="M635" i="1"/>
  <c r="M637" i="1"/>
  <c r="M638" i="1"/>
  <c r="M640" i="1"/>
  <c r="M639" i="1"/>
  <c r="M641" i="1"/>
  <c r="M642" i="1"/>
  <c r="M643" i="1"/>
  <c r="M644" i="1"/>
  <c r="M645" i="1"/>
  <c r="M646" i="1"/>
  <c r="M647" i="1"/>
  <c r="M648" i="1"/>
  <c r="M649" i="1"/>
  <c r="M650" i="1"/>
  <c r="M651" i="1"/>
  <c r="M94" i="1"/>
  <c r="M98" i="1"/>
  <c r="M601" i="1"/>
  <c r="M622" i="1"/>
  <c r="M623" i="1"/>
  <c r="M624" i="1"/>
  <c r="M625" i="1"/>
  <c r="M628" i="1"/>
  <c r="M630" i="1"/>
  <c r="M621" i="1"/>
  <c r="M22" i="1"/>
  <c r="M30" i="1"/>
  <c r="M61" i="1"/>
  <c r="M40" i="1"/>
  <c r="M39" i="1"/>
  <c r="M764" i="1"/>
  <c r="M765" i="1"/>
  <c r="M1807" i="1"/>
  <c r="M1808" i="1"/>
  <c r="M1809" i="1"/>
  <c r="M816" i="1"/>
  <c r="M817" i="1"/>
  <c r="M818" i="1"/>
  <c r="M819" i="1"/>
  <c r="M820" i="1"/>
  <c r="M395" i="1"/>
  <c r="M399" i="1"/>
  <c r="M146" i="1"/>
  <c r="M2217" i="1"/>
  <c r="M2218" i="1"/>
  <c r="M2219" i="1"/>
  <c r="M2220" i="1"/>
  <c r="M2340" i="1"/>
  <c r="M2341" i="1"/>
  <c r="M2342" i="1"/>
  <c r="M2343" i="1"/>
  <c r="M2536" i="1"/>
  <c r="M2537" i="1"/>
  <c r="M822" i="1"/>
  <c r="M823" i="1"/>
  <c r="M824" i="1"/>
  <c r="M278" i="1"/>
  <c r="M280" i="1"/>
  <c r="M281" i="1"/>
  <c r="M285" i="1"/>
  <c r="M310" i="1"/>
  <c r="M311" i="1"/>
  <c r="M766" i="1"/>
  <c r="M767" i="1"/>
  <c r="M2221" i="1"/>
  <c r="M2222" i="1"/>
  <c r="M2223" i="1"/>
  <c r="M2224" i="1"/>
  <c r="M2225" i="1"/>
  <c r="M2226" i="1"/>
  <c r="M2227" i="1"/>
  <c r="M2228" i="1"/>
  <c r="M2229" i="1"/>
  <c r="M2230" i="1"/>
  <c r="M2231" i="1"/>
  <c r="M2232" i="1"/>
  <c r="M2233" i="1"/>
  <c r="M2234" i="1"/>
  <c r="M2235" i="1"/>
  <c r="M2236" i="1"/>
  <c r="M2237" i="1"/>
  <c r="M2238" i="1"/>
  <c r="M2239" i="1"/>
  <c r="M2240" i="1"/>
  <c r="M2241" i="1"/>
  <c r="M2244" i="1"/>
  <c r="M2245" i="1"/>
  <c r="M2085" i="1"/>
  <c r="M2086" i="1"/>
  <c r="M2087" i="1"/>
  <c r="M2088" i="1"/>
  <c r="M2089" i="1"/>
  <c r="M2090" i="1"/>
  <c r="M2091" i="1"/>
  <c r="M2092" i="1"/>
  <c r="M2093" i="1"/>
  <c r="M2094" i="1"/>
  <c r="M2096" i="1"/>
  <c r="M2097" i="1"/>
  <c r="M2095" i="1"/>
  <c r="M2098" i="1"/>
  <c r="M2099" i="1"/>
  <c r="M2100" i="1"/>
  <c r="M2101" i="1"/>
  <c r="M2102" i="1"/>
  <c r="M2103" i="1"/>
  <c r="M2105" i="1"/>
  <c r="M2344" i="1"/>
  <c r="M2442" i="1"/>
  <c r="M2443" i="1"/>
  <c r="M2444" i="1"/>
  <c r="M2445" i="1"/>
  <c r="M2446" i="1"/>
  <c r="M2538" i="1"/>
  <c r="M747" i="1"/>
  <c r="M748" i="1"/>
  <c r="M749" i="1"/>
  <c r="M825" i="1"/>
  <c r="M826" i="1"/>
  <c r="M827" i="1"/>
  <c r="M1937" i="1"/>
  <c r="M1938" i="1"/>
  <c r="M1939" i="1"/>
  <c r="M1940" i="1"/>
  <c r="M1941" i="1"/>
  <c r="M1942" i="1"/>
  <c r="M1943" i="1"/>
  <c r="M1945" i="1"/>
  <c r="M1946" i="1"/>
  <c r="M1947" i="1"/>
  <c r="M1948" i="1"/>
  <c r="M1949" i="1"/>
  <c r="M1950" i="1"/>
  <c r="M1951" i="1"/>
  <c r="M1952" i="1"/>
  <c r="M1953" i="1"/>
  <c r="M1954" i="1"/>
  <c r="M1955" i="1"/>
  <c r="M1956" i="1"/>
  <c r="M1957" i="1"/>
  <c r="M1958" i="1"/>
  <c r="M1959" i="1"/>
  <c r="M1960" i="1"/>
  <c r="M2539" i="1"/>
  <c r="M2540" i="1"/>
  <c r="M2541" i="1"/>
  <c r="M2542" i="1"/>
  <c r="M2543" i="1"/>
  <c r="M2544" i="1"/>
  <c r="M2545" i="1"/>
  <c r="M2546" i="1"/>
  <c r="M2547" i="1"/>
  <c r="M2548" i="1"/>
  <c r="M2549" i="1"/>
  <c r="M2550" i="1"/>
  <c r="M2551" i="1"/>
  <c r="M2345" i="1"/>
  <c r="M2346" i="1"/>
  <c r="M2347" i="1"/>
  <c r="M2348" i="1"/>
  <c r="M2349" i="1"/>
  <c r="M2350" i="1"/>
  <c r="M2351" i="1"/>
  <c r="M2352" i="1"/>
  <c r="M2353" i="1"/>
  <c r="M2354" i="1"/>
  <c r="M2355" i="1"/>
  <c r="M2356" i="1"/>
  <c r="M2357" i="1"/>
  <c r="M2358" i="1"/>
  <c r="M828" i="1"/>
  <c r="M829" i="1"/>
  <c r="M830" i="1"/>
  <c r="M831" i="1"/>
  <c r="M832" i="1"/>
  <c r="M833" i="1"/>
  <c r="M834" i="1"/>
  <c r="M835" i="1"/>
  <c r="M716" i="1"/>
  <c r="M717" i="1"/>
  <c r="M718" i="1"/>
  <c r="M719" i="1"/>
  <c r="M721" i="1"/>
  <c r="M610" i="1"/>
  <c r="M594" i="1"/>
  <c r="M626" i="1"/>
  <c r="M627" i="1"/>
  <c r="M1190" i="1"/>
  <c r="M1191" i="1"/>
  <c r="M1158" i="1"/>
  <c r="M1168" i="1"/>
  <c r="M539" i="1"/>
  <c r="M540" i="1"/>
  <c r="M541" i="1"/>
  <c r="M1174" i="1"/>
  <c r="M1192" i="1"/>
  <c r="M1193" i="1"/>
  <c r="M429" i="1"/>
  <c r="M430" i="1"/>
  <c r="M460" i="1"/>
  <c r="M461" i="1"/>
  <c r="M462" i="1"/>
  <c r="M836" i="1"/>
  <c r="M840" i="1"/>
  <c r="M843" i="1"/>
  <c r="M845" i="1"/>
  <c r="M769" i="1"/>
  <c r="M603" i="1"/>
  <c r="M629" i="1"/>
  <c r="M267" i="1"/>
  <c r="M1213" i="1"/>
  <c r="M1216" i="1"/>
  <c r="M78" i="1"/>
  <c r="M79" i="1"/>
  <c r="M150" i="1"/>
  <c r="M569" i="1"/>
  <c r="M572" i="1"/>
  <c r="M1882" i="1"/>
  <c r="M409" i="1"/>
  <c r="M418" i="1"/>
  <c r="M496" i="1"/>
  <c r="M515" i="1"/>
  <c r="M738" i="1"/>
  <c r="M1884" i="1"/>
  <c r="M148" i="1"/>
  <c r="M1962" i="1"/>
  <c r="M1967" i="1"/>
  <c r="M1968" i="1"/>
  <c r="M2106" i="1"/>
  <c r="M2107" i="1"/>
  <c r="M2108" i="1"/>
  <c r="M2110" i="1"/>
  <c r="M2248" i="1"/>
  <c r="M2249" i="1"/>
  <c r="M2253" i="1"/>
  <c r="M2359" i="1"/>
  <c r="M2361" i="1"/>
  <c r="M2458" i="1"/>
  <c r="M2461" i="1"/>
  <c r="M2569" i="1"/>
  <c r="M2572" i="1"/>
  <c r="M368" i="1"/>
  <c r="M847" i="1"/>
  <c r="M848" i="1"/>
  <c r="M850" i="1"/>
  <c r="M852" i="1"/>
  <c r="M2552" i="1"/>
  <c r="M2553" i="1"/>
  <c r="M2554" i="1"/>
  <c r="M2555" i="1"/>
  <c r="M2556" i="1"/>
  <c r="M2557" i="1"/>
  <c r="M2558" i="1"/>
  <c r="M2559" i="1"/>
  <c r="M2560" i="1"/>
  <c r="M2561" i="1"/>
  <c r="M2562" i="1"/>
  <c r="M2565" i="1"/>
  <c r="M2566" i="1"/>
  <c r="AE2565" i="1"/>
  <c r="AD2565" i="1"/>
  <c r="L2565" i="1"/>
  <c r="AE2562" i="1"/>
  <c r="AD2562" i="1"/>
  <c r="L2562" i="1"/>
  <c r="I2562" i="1"/>
  <c r="AG2562" i="1"/>
  <c r="L2244" i="1"/>
  <c r="L2241" i="1"/>
  <c r="L1959" i="1"/>
  <c r="AG1959" i="1"/>
  <c r="J2565" i="1" l="1"/>
  <c r="AG2565" i="1"/>
  <c r="J117" i="1"/>
  <c r="AG117" i="1"/>
  <c r="J463" i="1"/>
  <c r="AG463" i="1"/>
  <c r="J2241" i="1"/>
  <c r="AG2241" i="1"/>
  <c r="J2244" i="1"/>
  <c r="AG2244" i="1"/>
  <c r="J2562" i="1"/>
  <c r="J1959" i="1"/>
  <c r="J1577" i="1"/>
  <c r="L462" i="1" l="1"/>
  <c r="AG462" i="1"/>
  <c r="L1081" i="1"/>
  <c r="AG1081" i="1"/>
  <c r="S1103" i="1"/>
  <c r="L1103" i="1"/>
  <c r="L1709" i="1"/>
  <c r="L1324" i="1"/>
  <c r="L1361" i="1"/>
  <c r="AG1361" i="1"/>
  <c r="L1390" i="1"/>
  <c r="AG1390" i="1"/>
  <c r="I1120" i="1"/>
  <c r="L1119" i="1"/>
  <c r="J1119" i="1"/>
  <c r="S1102" i="1"/>
  <c r="L1102" i="1"/>
  <c r="L915" i="1"/>
  <c r="J915" i="1"/>
  <c r="I1679" i="1"/>
  <c r="AF1679" i="1"/>
  <c r="AF116" i="1"/>
  <c r="AF115" i="1"/>
  <c r="L146" i="1"/>
  <c r="AG1213" i="1"/>
  <c r="AG1216" i="1"/>
  <c r="AG78" i="1"/>
  <c r="AG79" i="1"/>
  <c r="AG572" i="1"/>
  <c r="AG1882" i="1"/>
  <c r="AG409" i="1"/>
  <c r="AG418" i="1"/>
  <c r="AG496" i="1"/>
  <c r="AG515" i="1"/>
  <c r="AG738" i="1"/>
  <c r="AG148" i="1"/>
  <c r="AG1962" i="1"/>
  <c r="I1957" i="1"/>
  <c r="L1956" i="1"/>
  <c r="L461" i="1"/>
  <c r="J1324" i="1" l="1"/>
  <c r="AG1324" i="1"/>
  <c r="J461" i="1"/>
  <c r="AG461" i="1"/>
  <c r="J1709" i="1"/>
  <c r="AG1709" i="1"/>
  <c r="J146" i="1"/>
  <c r="AG146" i="1"/>
  <c r="J1102" i="1"/>
  <c r="AG1102" i="1"/>
  <c r="J1956" i="1"/>
  <c r="AG1956" i="1"/>
  <c r="J1103" i="1"/>
  <c r="AG1103" i="1"/>
  <c r="J1962" i="1"/>
  <c r="J1390" i="1"/>
  <c r="J1361" i="1"/>
  <c r="J462" i="1"/>
  <c r="J1081" i="1"/>
  <c r="S1081" i="1"/>
  <c r="S659" i="1" l="1"/>
  <c r="S38" i="1"/>
  <c r="L38" i="1"/>
  <c r="AF35" i="1"/>
  <c r="AF34" i="1"/>
  <c r="L54" i="1"/>
  <c r="J54" i="1" l="1"/>
  <c r="AG54" i="1"/>
  <c r="J38" i="1"/>
  <c r="AG38" i="1"/>
  <c r="L1141" i="1"/>
  <c r="AG1141" i="1"/>
  <c r="L973" i="1"/>
  <c r="S973" i="1"/>
  <c r="S1019" i="1"/>
  <c r="AG1019" i="1"/>
  <c r="L1019" i="1"/>
  <c r="L914" i="1"/>
  <c r="L928" i="1"/>
  <c r="J914" i="1"/>
  <c r="L1003" i="1"/>
  <c r="S1003" i="1"/>
  <c r="AG1003" i="1"/>
  <c r="L1118" i="1"/>
  <c r="L1120" i="1"/>
  <c r="J1118" i="1"/>
  <c r="L1101" i="1"/>
  <c r="S1101" i="1"/>
  <c r="AG1101" i="1"/>
  <c r="L1250" i="1"/>
  <c r="AG1254" i="1"/>
  <c r="L1254" i="1"/>
  <c r="AG1444" i="1"/>
  <c r="L1444" i="1"/>
  <c r="L107" i="1"/>
  <c r="J973" i="1" l="1"/>
  <c r="AG973" i="1"/>
  <c r="J1444" i="1"/>
  <c r="J1254" i="1"/>
  <c r="J1019" i="1"/>
  <c r="J1003" i="1"/>
  <c r="J1101" i="1"/>
  <c r="J1141" i="1"/>
  <c r="S1055" i="1"/>
  <c r="L1055" i="1"/>
  <c r="L1638" i="1"/>
  <c r="AG1638" i="1"/>
  <c r="I1574" i="1"/>
  <c r="L1573" i="1"/>
  <c r="L1293" i="1"/>
  <c r="L1353" i="1"/>
  <c r="L1354" i="1"/>
  <c r="L1355" i="1"/>
  <c r="L1356" i="1"/>
  <c r="L1357" i="1"/>
  <c r="L1358" i="1"/>
  <c r="L1359" i="1"/>
  <c r="L1360" i="1"/>
  <c r="L1364" i="1"/>
  <c r="L1365" i="1"/>
  <c r="L1370" i="1"/>
  <c r="L1371" i="1"/>
  <c r="L1372" i="1"/>
  <c r="L1400" i="1"/>
  <c r="L1401" i="1"/>
  <c r="L1402" i="1"/>
  <c r="L1453" i="1"/>
  <c r="L1454" i="1"/>
  <c r="L1455" i="1"/>
  <c r="L1456" i="1"/>
  <c r="L1457" i="1"/>
  <c r="L1459" i="1"/>
  <c r="L1458" i="1"/>
  <c r="L1460" i="1"/>
  <c r="L1461" i="1"/>
  <c r="L1462" i="1"/>
  <c r="L1464" i="1"/>
  <c r="L1465" i="1"/>
  <c r="L1478" i="1"/>
  <c r="L1479" i="1"/>
  <c r="L1484" i="1"/>
  <c r="L1487" i="1"/>
  <c r="L1488" i="1"/>
  <c r="L1490" i="1"/>
  <c r="L1491" i="1"/>
  <c r="L1492" i="1"/>
  <c r="L1503" i="1"/>
  <c r="L1504" i="1"/>
  <c r="L1505" i="1"/>
  <c r="L1507" i="1"/>
  <c r="L1506" i="1"/>
  <c r="L1508" i="1"/>
  <c r="L1509" i="1"/>
  <c r="L1513" i="1"/>
  <c r="L1510" i="1"/>
  <c r="L1519" i="1"/>
  <c r="L1520" i="1"/>
  <c r="L1524" i="1"/>
  <c r="L1768" i="1"/>
  <c r="L1772" i="1"/>
  <c r="L1776" i="1"/>
  <c r="L1777" i="1"/>
  <c r="L1857" i="1"/>
  <c r="L1486" i="1"/>
  <c r="L1868" i="1"/>
  <c r="L1298" i="1"/>
  <c r="L1299" i="1"/>
  <c r="L1300" i="1"/>
  <c r="L1301" i="1"/>
  <c r="L1302" i="1"/>
  <c r="L1303" i="1"/>
  <c r="L1304" i="1"/>
  <c r="L1305" i="1"/>
  <c r="L1306" i="1"/>
  <c r="L1307" i="1"/>
  <c r="L1309" i="1"/>
  <c r="L1308" i="1"/>
  <c r="L1310" i="1"/>
  <c r="L1311" i="1"/>
  <c r="L1312" i="1"/>
  <c r="L1313" i="1"/>
  <c r="L1316" i="1"/>
  <c r="L1314" i="1"/>
  <c r="L1315" i="1"/>
  <c r="L1317" i="1"/>
  <c r="L1318" i="1"/>
  <c r="L1319" i="1"/>
  <c r="L1320" i="1"/>
  <c r="L1321" i="1"/>
  <c r="L1322" i="1"/>
  <c r="L1323" i="1"/>
  <c r="L1326" i="1"/>
  <c r="L1328" i="1"/>
  <c r="L1330" i="1"/>
  <c r="L1333" i="1"/>
  <c r="L1336" i="1"/>
  <c r="L1338" i="1"/>
  <c r="L1386" i="1"/>
  <c r="L1387" i="1"/>
  <c r="L1388" i="1"/>
  <c r="L1389" i="1"/>
  <c r="L1392" i="1"/>
  <c r="L1393" i="1"/>
  <c r="L1395" i="1"/>
  <c r="L1408" i="1"/>
  <c r="L1409" i="1"/>
  <c r="L1410" i="1"/>
  <c r="L1411" i="1"/>
  <c r="L1412" i="1"/>
  <c r="L1413" i="1"/>
  <c r="L1414" i="1"/>
  <c r="L1415" i="1"/>
  <c r="L1416" i="1"/>
  <c r="L1417" i="1"/>
  <c r="L1418" i="1"/>
  <c r="L1419" i="1"/>
  <c r="L1420" i="1"/>
  <c r="L1421" i="1"/>
  <c r="L1422" i="1"/>
  <c r="L1423" i="1"/>
  <c r="L1424" i="1"/>
  <c r="L1425" i="1"/>
  <c r="L1426" i="1"/>
  <c r="L1427" i="1"/>
  <c r="L1428" i="1"/>
  <c r="L1429" i="1"/>
  <c r="L1435" i="1"/>
  <c r="L1431" i="1"/>
  <c r="L1432" i="1"/>
  <c r="L1438" i="1"/>
  <c r="L1440" i="1"/>
  <c r="L1445" i="1"/>
  <c r="L1472" i="1"/>
  <c r="L1480" i="1"/>
  <c r="L1481" i="1"/>
  <c r="L1758" i="1"/>
  <c r="L1763" i="1"/>
  <c r="L1764" i="1"/>
  <c r="L1767" i="1"/>
  <c r="L1775" i="1"/>
  <c r="L1773" i="1"/>
  <c r="L1774" i="1"/>
  <c r="L1784" i="1"/>
  <c r="L1785" i="1"/>
  <c r="L1788" i="1"/>
  <c r="L1794" i="1"/>
  <c r="L1810" i="1"/>
  <c r="L1811" i="1"/>
  <c r="L1812" i="1"/>
  <c r="L1813" i="1"/>
  <c r="L1814" i="1"/>
  <c r="L1815" i="1"/>
  <c r="L1816" i="1"/>
  <c r="L1817" i="1"/>
  <c r="L1818" i="1"/>
  <c r="L1819" i="1"/>
  <c r="L1820" i="1"/>
  <c r="L1847" i="1"/>
  <c r="L1848" i="1"/>
  <c r="L1849" i="1"/>
  <c r="L1850" i="1"/>
  <c r="L1851" i="1"/>
  <c r="L1855" i="1"/>
  <c r="L1858" i="1"/>
  <c r="L1859" i="1"/>
  <c r="L21" i="1"/>
  <c r="L65" i="1"/>
  <c r="L66" i="1"/>
  <c r="L67" i="1"/>
  <c r="L1860" i="1"/>
  <c r="L1861" i="1"/>
  <c r="L1862" i="1"/>
  <c r="L1863" i="1"/>
  <c r="L1864" i="1"/>
  <c r="L1705" i="1"/>
  <c r="L1769" i="1"/>
  <c r="L1770" i="1"/>
  <c r="L63" i="1"/>
  <c r="L71" i="1"/>
  <c r="L70" i="1"/>
  <c r="L112" i="1"/>
  <c r="L99" i="1"/>
  <c r="L102" i="1"/>
  <c r="L120" i="1"/>
  <c r="L92" i="1"/>
  <c r="L131" i="1"/>
  <c r="L93" i="1"/>
  <c r="L68" i="1"/>
  <c r="L77" i="1"/>
  <c r="L81" i="1"/>
  <c r="L82" i="1"/>
  <c r="L83" i="1"/>
  <c r="L85" i="1"/>
  <c r="L20" i="1"/>
  <c r="L47" i="1"/>
  <c r="L48" i="1"/>
  <c r="L49" i="1"/>
  <c r="L50" i="1"/>
  <c r="L51" i="1"/>
  <c r="L52" i="1"/>
  <c r="L53" i="1"/>
  <c r="L55" i="1"/>
  <c r="L312" i="1"/>
  <c r="L313" i="1"/>
  <c r="L674" i="1"/>
  <c r="L673" i="1"/>
  <c r="L675" i="1"/>
  <c r="L632" i="1"/>
  <c r="L633" i="1"/>
  <c r="L2627" i="1"/>
  <c r="L2370" i="1"/>
  <c r="L2371" i="1"/>
  <c r="L2372" i="1"/>
  <c r="L2373" i="1"/>
  <c r="L2374" i="1"/>
  <c r="L2375" i="1"/>
  <c r="L2376" i="1"/>
  <c r="L2377" i="1"/>
  <c r="L2378" i="1"/>
  <c r="L2299" i="1"/>
  <c r="L2300" i="1"/>
  <c r="L2301" i="1"/>
  <c r="L770" i="1"/>
  <c r="L771" i="1"/>
  <c r="L1902" i="1"/>
  <c r="L1903" i="1"/>
  <c r="L1904" i="1"/>
  <c r="L1905" i="1"/>
  <c r="L1906" i="1"/>
  <c r="L2142" i="1"/>
  <c r="L2143" i="1"/>
  <c r="L2144" i="1"/>
  <c r="L2145" i="1"/>
  <c r="L2146" i="1"/>
  <c r="L2152" i="1"/>
  <c r="L2153" i="1"/>
  <c r="L2154" i="1"/>
  <c r="L2155" i="1"/>
  <c r="L2147" i="1"/>
  <c r="L2148" i="1"/>
  <c r="L2149" i="1"/>
  <c r="L2150" i="1"/>
  <c r="L2151" i="1"/>
  <c r="L2156" i="1"/>
  <c r="L2157" i="1"/>
  <c r="L581" i="1"/>
  <c r="L406" i="1"/>
  <c r="L12" i="1"/>
  <c r="L13" i="1"/>
  <c r="L14" i="1"/>
  <c r="L15" i="1"/>
  <c r="L1668" i="1"/>
  <c r="L1669" i="1"/>
  <c r="L1670" i="1"/>
  <c r="L1671" i="1"/>
  <c r="L1672" i="1"/>
  <c r="L1654" i="1"/>
  <c r="L1655" i="1"/>
  <c r="L1656" i="1"/>
  <c r="L1657" i="1"/>
  <c r="L1658" i="1"/>
  <c r="L1659" i="1"/>
  <c r="L1660" i="1"/>
  <c r="L1713" i="1"/>
  <c r="L1726" i="1"/>
  <c r="L1673" i="1"/>
  <c r="L1674" i="1"/>
  <c r="L1661" i="1"/>
  <c r="L1662" i="1"/>
  <c r="L1663" i="1"/>
  <c r="L1664" i="1"/>
  <c r="L615" i="1"/>
  <c r="L886" i="1"/>
  <c r="L885" i="1"/>
  <c r="L2628" i="1"/>
  <c r="L2629" i="1"/>
  <c r="L2630" i="1"/>
  <c r="L2631" i="1"/>
  <c r="L2633" i="1"/>
  <c r="L2634" i="1"/>
  <c r="L2635" i="1"/>
  <c r="L631" i="1"/>
  <c r="L213" i="1"/>
  <c r="L214" i="1"/>
  <c r="L215" i="1"/>
  <c r="L216" i="1"/>
  <c r="L217" i="1"/>
  <c r="L218" i="1"/>
  <c r="L888" i="1"/>
  <c r="L889" i="1"/>
  <c r="L665" i="1"/>
  <c r="L666" i="1"/>
  <c r="L661" i="1"/>
  <c r="L652" i="1"/>
  <c r="L669" i="1"/>
  <c r="L656" i="1"/>
  <c r="L586" i="1"/>
  <c r="L587" i="1"/>
  <c r="L1885" i="1"/>
  <c r="L1886" i="1"/>
  <c r="L1887" i="1"/>
  <c r="L1888" i="1"/>
  <c r="L1889" i="1"/>
  <c r="L1890" i="1"/>
  <c r="L762" i="1"/>
  <c r="L763" i="1"/>
  <c r="L490" i="1"/>
  <c r="L491" i="1"/>
  <c r="L492" i="1"/>
  <c r="L493" i="1"/>
  <c r="L494" i="1"/>
  <c r="L2610" i="1"/>
  <c r="L2609" i="1"/>
  <c r="L531" i="1"/>
  <c r="L533" i="1"/>
  <c r="L75" i="1"/>
  <c r="L74" i="1"/>
  <c r="L62" i="1"/>
  <c r="L91" i="1"/>
  <c r="L101" i="1"/>
  <c r="L72" i="1"/>
  <c r="L73" i="1"/>
  <c r="L76" i="1"/>
  <c r="L90" i="1"/>
  <c r="L106" i="1"/>
  <c r="L111" i="1"/>
  <c r="L129" i="1"/>
  <c r="L132" i="1"/>
  <c r="L69" i="1"/>
  <c r="L80" i="1"/>
  <c r="L103" i="1"/>
  <c r="L104" i="1"/>
  <c r="L105" i="1"/>
  <c r="L1846" i="1"/>
  <c r="L121" i="1"/>
  <c r="L123" i="1"/>
  <c r="L122" i="1"/>
  <c r="L124" i="1"/>
  <c r="L130" i="1"/>
  <c r="L134" i="1"/>
  <c r="L135" i="1"/>
  <c r="L138" i="1"/>
  <c r="L125" i="1"/>
  <c r="L126" i="1"/>
  <c r="L127" i="1"/>
  <c r="L128" i="1"/>
  <c r="L133" i="1"/>
  <c r="L137" i="1"/>
  <c r="L139" i="1"/>
  <c r="L140" i="1"/>
  <c r="L1845" i="1"/>
  <c r="L141" i="1"/>
  <c r="L142" i="1"/>
  <c r="L64"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2" i="1"/>
  <c r="L1563" i="1"/>
  <c r="L1564" i="1"/>
  <c r="L1561" i="1"/>
  <c r="L1565" i="1"/>
  <c r="L1566" i="1"/>
  <c r="L1567" i="1"/>
  <c r="L1568" i="1"/>
  <c r="L1569" i="1"/>
  <c r="L1570" i="1"/>
  <c r="L1571" i="1"/>
  <c r="L1572" i="1"/>
  <c r="L1575" i="1"/>
  <c r="L1574" i="1"/>
  <c r="L1578" i="1"/>
  <c r="L1576" i="1"/>
  <c r="L1581" i="1"/>
  <c r="L1582" i="1"/>
  <c r="L1583" i="1"/>
  <c r="L1586" i="1"/>
  <c r="L1587" i="1"/>
  <c r="L1588" i="1"/>
  <c r="L1589" i="1"/>
  <c r="L1590" i="1"/>
  <c r="L2141" i="1"/>
  <c r="L606" i="1"/>
  <c r="L607" i="1"/>
  <c r="L608" i="1"/>
  <c r="L609"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7" i="1"/>
  <c r="L1628" i="1"/>
  <c r="L1629" i="1"/>
  <c r="L1630" i="1"/>
  <c r="L1626" i="1"/>
  <c r="L1631" i="1"/>
  <c r="L1632" i="1"/>
  <c r="L1633" i="1"/>
  <c r="L1634" i="1"/>
  <c r="L1635" i="1"/>
  <c r="L1637" i="1"/>
  <c r="L1639" i="1"/>
  <c r="L1636" i="1"/>
  <c r="L1640" i="1"/>
  <c r="L1641" i="1"/>
  <c r="L1642" i="1"/>
  <c r="L1647" i="1"/>
  <c r="L1644" i="1"/>
  <c r="L1648" i="1"/>
  <c r="L1650" i="1"/>
  <c r="L2611" i="1"/>
  <c r="L532" i="1"/>
  <c r="L534" i="1"/>
  <c r="L535" i="1"/>
  <c r="L536" i="1"/>
  <c r="L537" i="1"/>
  <c r="L538" i="1"/>
  <c r="L1227" i="1"/>
  <c r="L1229" i="1"/>
  <c r="L36" i="1"/>
  <c r="L34" i="1"/>
  <c r="L35" i="1"/>
  <c r="L37" i="1"/>
  <c r="L405" i="1"/>
  <c r="L404" i="1"/>
  <c r="L403" i="1"/>
  <c r="L212" i="1"/>
  <c r="L17" i="1"/>
  <c r="L18" i="1"/>
  <c r="L400" i="1"/>
  <c r="L401" i="1"/>
  <c r="L181" i="1"/>
  <c r="L136" i="1"/>
  <c r="L1795" i="1"/>
  <c r="L1525" i="1"/>
  <c r="L1526" i="1"/>
  <c r="L1744" i="1"/>
  <c r="L1745" i="1"/>
  <c r="L1746" i="1"/>
  <c r="L1748" i="1"/>
  <c r="L1747" i="1"/>
  <c r="L1749" i="1"/>
  <c r="L1751" i="1"/>
  <c r="L1750" i="1"/>
  <c r="L1752" i="1"/>
  <c r="L1753" i="1"/>
  <c r="L1708" i="1"/>
  <c r="L1710" i="1"/>
  <c r="L1493" i="1"/>
  <c r="L1494" i="1"/>
  <c r="L1495" i="1"/>
  <c r="L1496" i="1"/>
  <c r="L1497" i="1"/>
  <c r="L1498" i="1"/>
  <c r="L1500" i="1"/>
  <c r="L1501" i="1"/>
  <c r="L676" i="1"/>
  <c r="L677" i="1"/>
  <c r="L1892" i="1"/>
  <c r="L1893" i="1"/>
  <c r="L1727" i="1"/>
  <c r="L1728" i="1"/>
  <c r="L1715" i="1"/>
  <c r="L1716" i="1"/>
  <c r="L1714" i="1"/>
  <c r="L573" i="1"/>
  <c r="L729" i="1"/>
  <c r="L730" i="1"/>
  <c r="L740" i="1"/>
  <c r="L707" i="1"/>
  <c r="L314" i="1"/>
  <c r="L2613" i="1"/>
  <c r="L407" i="1"/>
  <c r="L588" i="1"/>
  <c r="L589"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76" i="1"/>
  <c r="L266"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3" i="1"/>
  <c r="L366" i="1"/>
  <c r="L1907" i="1"/>
  <c r="L1908" i="1"/>
  <c r="L1909" i="1"/>
  <c r="L1910" i="1"/>
  <c r="L1911" i="1"/>
  <c r="L1912" i="1"/>
  <c r="L1913" i="1"/>
  <c r="L2158" i="1"/>
  <c r="L2159" i="1"/>
  <c r="L2160" i="1"/>
  <c r="L2161" i="1"/>
  <c r="L2162" i="1"/>
  <c r="L2163" i="1"/>
  <c r="L2164" i="1"/>
  <c r="L2165" i="1"/>
  <c r="L2166" i="1"/>
  <c r="L2167" i="1"/>
  <c r="L2168" i="1"/>
  <c r="L2169" i="1"/>
  <c r="L2170" i="1"/>
  <c r="L2004" i="1"/>
  <c r="L2005" i="1"/>
  <c r="L2006" i="1"/>
  <c r="L2007" i="1"/>
  <c r="L2008" i="1"/>
  <c r="L2009" i="1"/>
  <c r="L2010" i="1"/>
  <c r="L2011" i="1"/>
  <c r="L2012" i="1"/>
  <c r="L2013" i="1"/>
  <c r="L2014" i="1"/>
  <c r="L2015" i="1"/>
  <c r="L2016" i="1"/>
  <c r="L2017" i="1"/>
  <c r="L2018" i="1"/>
  <c r="L2019" i="1"/>
  <c r="L2020" i="1"/>
  <c r="L2021" i="1"/>
  <c r="L2022" i="1"/>
  <c r="L2023" i="1"/>
  <c r="L2024" i="1"/>
  <c r="L2379" i="1"/>
  <c r="L2380" i="1"/>
  <c r="L2381" i="1"/>
  <c r="L2382" i="1"/>
  <c r="L2383" i="1"/>
  <c r="L2384" i="1"/>
  <c r="L2385" i="1"/>
  <c r="L2386" i="1"/>
  <c r="L2387" i="1"/>
  <c r="L2388" i="1"/>
  <c r="L2389" i="1"/>
  <c r="L2390" i="1"/>
  <c r="L2391" i="1"/>
  <c r="L2392" i="1"/>
  <c r="L2393" i="1"/>
  <c r="L2394" i="1"/>
  <c r="L2302" i="1"/>
  <c r="L2303" i="1"/>
  <c r="L2304" i="1"/>
  <c r="L2305" i="1"/>
  <c r="L2306" i="1"/>
  <c r="L2307" i="1"/>
  <c r="L2308" i="1"/>
  <c r="L2309" i="1"/>
  <c r="L2497" i="1"/>
  <c r="L2498" i="1"/>
  <c r="L2499" i="1"/>
  <c r="L2500" i="1"/>
  <c r="L2501" i="1"/>
  <c r="L2502" i="1"/>
  <c r="L2503" i="1"/>
  <c r="L2504" i="1"/>
  <c r="L2622" i="1"/>
  <c r="L2623" i="1"/>
  <c r="L2625" i="1"/>
  <c r="L2624" i="1"/>
  <c r="L2614" i="1"/>
  <c r="L2615" i="1"/>
  <c r="L2616" i="1"/>
  <c r="L2617" i="1"/>
  <c r="L618" i="1"/>
  <c r="L619" i="1"/>
  <c r="L620" i="1"/>
  <c r="L600" i="1"/>
  <c r="L590" i="1"/>
  <c r="L591" i="1"/>
  <c r="L592" i="1"/>
  <c r="L593" i="1"/>
  <c r="L595" i="1"/>
  <c r="L596" i="1"/>
  <c r="L597" i="1"/>
  <c r="L598" i="1"/>
  <c r="L599" i="1"/>
  <c r="L616" i="1"/>
  <c r="L617" i="1"/>
  <c r="L731" i="1"/>
  <c r="L732" i="1"/>
  <c r="L733" i="1"/>
  <c r="L734" i="1"/>
  <c r="L735" i="1"/>
  <c r="L737" i="1"/>
  <c r="L736" i="1"/>
  <c r="L708" i="1"/>
  <c r="L709" i="1"/>
  <c r="L710" i="1"/>
  <c r="L711" i="1"/>
  <c r="L712" i="1"/>
  <c r="L713" i="1"/>
  <c r="L714" i="1"/>
  <c r="L715" i="1"/>
  <c r="L741" i="1"/>
  <c r="L742" i="1"/>
  <c r="L743" i="1"/>
  <c r="L744" i="1"/>
  <c r="L745" i="1"/>
  <c r="L746" i="1"/>
  <c r="L1142" i="1"/>
  <c r="L1143" i="1"/>
  <c r="L1144" i="1"/>
  <c r="L1145" i="1"/>
  <c r="L1146" i="1"/>
  <c r="L1147" i="1"/>
  <c r="L1898" i="1"/>
  <c r="L1899" i="1"/>
  <c r="L457" i="1"/>
  <c r="L458" i="1"/>
  <c r="L459" i="1"/>
  <c r="L950" i="1"/>
  <c r="L951" i="1"/>
  <c r="L1112" i="1"/>
  <c r="L892" i="1"/>
  <c r="L570" i="1"/>
  <c r="L568" i="1"/>
  <c r="L1230" i="1"/>
  <c r="L1231" i="1"/>
  <c r="L1232" i="1"/>
  <c r="L1233" i="1"/>
  <c r="L1234" i="1"/>
  <c r="L1235" i="1"/>
  <c r="L1236" i="1"/>
  <c r="L1237" i="1"/>
  <c r="L1238" i="1"/>
  <c r="L1239" i="1"/>
  <c r="L1240" i="1"/>
  <c r="L1241" i="1"/>
  <c r="L1243" i="1"/>
  <c r="L1244" i="1"/>
  <c r="L1242" i="1"/>
  <c r="L1245" i="1"/>
  <c r="L1246" i="1"/>
  <c r="L1247" i="1"/>
  <c r="L1248" i="1"/>
  <c r="L1249" i="1"/>
  <c r="L1251" i="1"/>
  <c r="L1252" i="1"/>
  <c r="L1253" i="1"/>
  <c r="L1255" i="1"/>
  <c r="L1258" i="1"/>
  <c r="L1260" i="1"/>
  <c r="L1265" i="1"/>
  <c r="L1269" i="1"/>
  <c r="L1271" i="1"/>
  <c r="L1273" i="1"/>
  <c r="L1275" i="1"/>
  <c r="L1276" i="1"/>
  <c r="L1278" i="1"/>
  <c r="L1282" i="1"/>
  <c r="L1283" i="1"/>
  <c r="L1285" i="1"/>
  <c r="L1287" i="1"/>
  <c r="L1288" i="1"/>
  <c r="L1675" i="1"/>
  <c r="L1680" i="1"/>
  <c r="L1676" i="1"/>
  <c r="L1677" i="1"/>
  <c r="L1678" i="1"/>
  <c r="L1679" i="1"/>
  <c r="L1681" i="1"/>
  <c r="L1700" i="1"/>
  <c r="L1701" i="1"/>
  <c r="L1702" i="1"/>
  <c r="L1872" i="1"/>
  <c r="L1873" i="1"/>
  <c r="L1875" i="1"/>
  <c r="L1876" i="1"/>
  <c r="L1877" i="1"/>
  <c r="L1878" i="1"/>
  <c r="L1879" i="1"/>
  <c r="L1880" i="1"/>
  <c r="L1881" i="1"/>
  <c r="L1874" i="1"/>
  <c r="L772" i="1"/>
  <c r="L773" i="1"/>
  <c r="L774" i="1"/>
  <c r="L775" i="1"/>
  <c r="L776" i="1"/>
  <c r="L777" i="1"/>
  <c r="L1870" i="1"/>
  <c r="L1871" i="1"/>
  <c r="L2612" i="1"/>
  <c r="L402" i="1"/>
  <c r="L574" i="1"/>
  <c r="L575" i="1"/>
  <c r="L576" i="1"/>
  <c r="L577" i="1"/>
  <c r="L578" i="1"/>
  <c r="L1894" i="1"/>
  <c r="L1895" i="1"/>
  <c r="L1896" i="1"/>
  <c r="L1151" i="1"/>
  <c r="L2395" i="1"/>
  <c r="L2396" i="1"/>
  <c r="L2397" i="1"/>
  <c r="L2398" i="1"/>
  <c r="L2399" i="1"/>
  <c r="L2448" i="1"/>
  <c r="L2449" i="1"/>
  <c r="L2451" i="1"/>
  <c r="L2450" i="1"/>
  <c r="L2452" i="1"/>
  <c r="L2453" i="1"/>
  <c r="L2454" i="1"/>
  <c r="L2456" i="1"/>
  <c r="L2457" i="1"/>
  <c r="L2400" i="1"/>
  <c r="L2401" i="1"/>
  <c r="L2404" i="1"/>
  <c r="L2405" i="1"/>
  <c r="L2406" i="1"/>
  <c r="L2407" i="1"/>
  <c r="L2408" i="1"/>
  <c r="L2402" i="1"/>
  <c r="L2403" i="1"/>
  <c r="L2409" i="1"/>
  <c r="L2410" i="1"/>
  <c r="L2411" i="1"/>
  <c r="L2412" i="1"/>
  <c r="L2413" i="1"/>
  <c r="L778" i="1"/>
  <c r="L779" i="1"/>
  <c r="L780" i="1"/>
  <c r="L781" i="1"/>
  <c r="L782" i="1"/>
  <c r="L783" i="1"/>
  <c r="L784" i="1"/>
  <c r="L785" i="1"/>
  <c r="L786" i="1"/>
  <c r="L787" i="1"/>
  <c r="L788" i="1"/>
  <c r="L789" i="1"/>
  <c r="L2171" i="1"/>
  <c r="L2172" i="1"/>
  <c r="L2173" i="1"/>
  <c r="L2174" i="1"/>
  <c r="L2175" i="1"/>
  <c r="L2176" i="1"/>
  <c r="L2177" i="1"/>
  <c r="L2178" i="1"/>
  <c r="L2179" i="1"/>
  <c r="L2180" i="1"/>
  <c r="L2181" i="1"/>
  <c r="L2182" i="1"/>
  <c r="L2025" i="1"/>
  <c r="L2026" i="1"/>
  <c r="L2027" i="1"/>
  <c r="L2028" i="1"/>
  <c r="L2029" i="1"/>
  <c r="L2030" i="1"/>
  <c r="L2031" i="1"/>
  <c r="L2032" i="1"/>
  <c r="L2033" i="1"/>
  <c r="L2034" i="1"/>
  <c r="L2035" i="1"/>
  <c r="L2036" i="1"/>
  <c r="L2037" i="1"/>
  <c r="L2038" i="1"/>
  <c r="L2039" i="1"/>
  <c r="L2040" i="1"/>
  <c r="L2041" i="1"/>
  <c r="L2043" i="1"/>
  <c r="L2042" i="1"/>
  <c r="L2505" i="1"/>
  <c r="L2506" i="1"/>
  <c r="L2507" i="1"/>
  <c r="L2508" i="1"/>
  <c r="L2524" i="1"/>
  <c r="L2530" i="1"/>
  <c r="L2531" i="1"/>
  <c r="L2532" i="1"/>
  <c r="L2533" i="1"/>
  <c r="L2534" i="1"/>
  <c r="L2535" i="1"/>
  <c r="L2509" i="1"/>
  <c r="L2510" i="1"/>
  <c r="L2511" i="1"/>
  <c r="L2512" i="1"/>
  <c r="L2513" i="1"/>
  <c r="L2514" i="1"/>
  <c r="L2515" i="1"/>
  <c r="L2516" i="1"/>
  <c r="L2517" i="1"/>
  <c r="L2518" i="1"/>
  <c r="L2519" i="1"/>
  <c r="L143" i="1"/>
  <c r="L144" i="1"/>
  <c r="L147" i="1"/>
  <c r="L678" i="1"/>
  <c r="L679" i="1"/>
  <c r="L680" i="1"/>
  <c r="L681" i="1"/>
  <c r="L682" i="1"/>
  <c r="L683" i="1"/>
  <c r="L684" i="1"/>
  <c r="L685" i="1"/>
  <c r="L686" i="1"/>
  <c r="L687" i="1"/>
  <c r="L688" i="1"/>
  <c r="L689" i="1"/>
  <c r="L690" i="1"/>
  <c r="L691" i="1"/>
  <c r="L692" i="1"/>
  <c r="L113" i="1"/>
  <c r="L114" i="1"/>
  <c r="L118" i="1"/>
  <c r="L115" i="1"/>
  <c r="L116" i="1"/>
  <c r="L1148" i="1"/>
  <c r="L1149" i="1"/>
  <c r="L1150" i="1"/>
  <c r="L1152" i="1"/>
  <c r="L1153" i="1"/>
  <c r="L1154" i="1"/>
  <c r="L1155" i="1"/>
  <c r="L1156" i="1"/>
  <c r="L159" i="1"/>
  <c r="L161" i="1"/>
  <c r="L162" i="1"/>
  <c r="L158" i="1"/>
  <c r="L1226" i="1"/>
  <c r="L1228" i="1"/>
  <c r="L2310" i="1"/>
  <c r="L2311" i="1"/>
  <c r="L2312" i="1"/>
  <c r="L2313" i="1"/>
  <c r="L2314" i="1"/>
  <c r="L2315" i="1"/>
  <c r="L2316" i="1"/>
  <c r="L2317" i="1"/>
  <c r="L2318" i="1"/>
  <c r="L2319" i="1"/>
  <c r="L2320" i="1"/>
  <c r="L2321" i="1"/>
  <c r="L2322" i="1"/>
  <c r="L2323" i="1"/>
  <c r="L2183" i="1"/>
  <c r="L2184" i="1"/>
  <c r="L2185" i="1"/>
  <c r="L2186" i="1"/>
  <c r="L2187" i="1"/>
  <c r="L2188" i="1"/>
  <c r="L2189" i="1"/>
  <c r="L2190" i="1"/>
  <c r="L2191" i="1"/>
  <c r="L2192" i="1"/>
  <c r="L2193" i="1"/>
  <c r="L2194" i="1"/>
  <c r="L2195" i="1"/>
  <c r="L2196" i="1"/>
  <c r="L2197" i="1"/>
  <c r="L2198" i="1"/>
  <c r="L2199" i="1"/>
  <c r="L2200" i="1"/>
  <c r="L790" i="1"/>
  <c r="L791" i="1"/>
  <c r="L792" i="1"/>
  <c r="L793" i="1"/>
  <c r="L794" i="1"/>
  <c r="L795" i="1"/>
  <c r="L796" i="1"/>
  <c r="L797" i="1"/>
  <c r="L798" i="1"/>
  <c r="L799" i="1"/>
  <c r="L2044" i="1"/>
  <c r="L2045" i="1"/>
  <c r="L2046" i="1"/>
  <c r="L2047" i="1"/>
  <c r="L2048" i="1"/>
  <c r="L2049" i="1"/>
  <c r="L2050" i="1"/>
  <c r="L2051" i="1"/>
  <c r="L2052" i="1"/>
  <c r="L2053" i="1"/>
  <c r="L2054" i="1"/>
  <c r="L2055" i="1"/>
  <c r="L2056" i="1"/>
  <c r="L2057" i="1"/>
  <c r="L2058" i="1"/>
  <c r="L2059" i="1"/>
  <c r="L2060" i="1"/>
  <c r="L2520" i="1"/>
  <c r="L2521" i="1"/>
  <c r="L2522" i="1"/>
  <c r="L2414" i="1"/>
  <c r="L2415" i="1"/>
  <c r="L2416" i="1"/>
  <c r="L2417" i="1"/>
  <c r="L2418" i="1"/>
  <c r="L2419" i="1"/>
  <c r="L2420" i="1"/>
  <c r="L2421" i="1"/>
  <c r="L2422" i="1"/>
  <c r="L2423" i="1"/>
  <c r="L929" i="1"/>
  <c r="L930" i="1"/>
  <c r="L931" i="1"/>
  <c r="L932" i="1"/>
  <c r="L933" i="1"/>
  <c r="L934" i="1"/>
  <c r="L935" i="1"/>
  <c r="L936" i="1"/>
  <c r="L938" i="1"/>
  <c r="L937" i="1"/>
  <c r="L939" i="1"/>
  <c r="L940" i="1"/>
  <c r="L941" i="1"/>
  <c r="L942" i="1"/>
  <c r="L943" i="1"/>
  <c r="L1036" i="1"/>
  <c r="L1037" i="1"/>
  <c r="L1038" i="1"/>
  <c r="L1039" i="1"/>
  <c r="L1040" i="1"/>
  <c r="L1041" i="1"/>
  <c r="L1042" i="1"/>
  <c r="L1043" i="1"/>
  <c r="L1044" i="1"/>
  <c r="L1045" i="1"/>
  <c r="L1046" i="1"/>
  <c r="L1048" i="1"/>
  <c r="L1050" i="1"/>
  <c r="L1049" i="1"/>
  <c r="L1051" i="1"/>
  <c r="L1053" i="1"/>
  <c r="L1052" i="1"/>
  <c r="L1069" i="1"/>
  <c r="L1070" i="1"/>
  <c r="L1071" i="1"/>
  <c r="L1072" i="1"/>
  <c r="L1073" i="1"/>
  <c r="L1074" i="1"/>
  <c r="L1075" i="1"/>
  <c r="L1076" i="1"/>
  <c r="L1077" i="1"/>
  <c r="L1078" i="1"/>
  <c r="L1086" i="1"/>
  <c r="L1079" i="1"/>
  <c r="L1080" i="1"/>
  <c r="L1085" i="1"/>
  <c r="L1087" i="1"/>
  <c r="L1088" i="1"/>
  <c r="L893" i="1"/>
  <c r="L894" i="1"/>
  <c r="L896" i="1"/>
  <c r="L895" i="1"/>
  <c r="L897" i="1"/>
  <c r="L898" i="1"/>
  <c r="L899" i="1"/>
  <c r="L900" i="1"/>
  <c r="L901" i="1"/>
  <c r="L902" i="1"/>
  <c r="L903" i="1"/>
  <c r="L904" i="1"/>
  <c r="L905" i="1"/>
  <c r="L906" i="1"/>
  <c r="L907" i="1"/>
  <c r="L908" i="1"/>
  <c r="L909" i="1"/>
  <c r="L910" i="1"/>
  <c r="L911" i="1"/>
  <c r="L912" i="1"/>
  <c r="L913" i="1"/>
  <c r="L944" i="1"/>
  <c r="L949" i="1"/>
  <c r="L945" i="1"/>
  <c r="L946" i="1"/>
  <c r="L947" i="1"/>
  <c r="L948" i="1"/>
  <c r="L952" i="1"/>
  <c r="L953" i="1"/>
  <c r="L954" i="1"/>
  <c r="L955" i="1"/>
  <c r="L956" i="1"/>
  <c r="L957" i="1"/>
  <c r="L960" i="1"/>
  <c r="L961" i="1"/>
  <c r="L962" i="1"/>
  <c r="L963" i="1"/>
  <c r="L965" i="1"/>
  <c r="L959" i="1"/>
  <c r="L964" i="1"/>
  <c r="L966" i="1"/>
  <c r="L967" i="1"/>
  <c r="L968" i="1"/>
  <c r="L969" i="1"/>
  <c r="L970" i="1"/>
  <c r="L971" i="1"/>
  <c r="L972" i="1"/>
  <c r="L978" i="1"/>
  <c r="L1089" i="1"/>
  <c r="L1090" i="1"/>
  <c r="L1091" i="1"/>
  <c r="L1092" i="1"/>
  <c r="L1093" i="1"/>
  <c r="L1094" i="1"/>
  <c r="L1095" i="1"/>
  <c r="L1096" i="1"/>
  <c r="L1111" i="1"/>
  <c r="L1097" i="1"/>
  <c r="L1098" i="1"/>
  <c r="L1099" i="1"/>
  <c r="L1100" i="1"/>
  <c r="L1110" i="1"/>
  <c r="L1113" i="1"/>
  <c r="L1114" i="1"/>
  <c r="L1115" i="1"/>
  <c r="L1116" i="1"/>
  <c r="L1117" i="1"/>
  <c r="L1123" i="1"/>
  <c r="L1122" i="1"/>
  <c r="L1124" i="1"/>
  <c r="L1125" i="1"/>
  <c r="L1126" i="1"/>
  <c r="L1127" i="1"/>
  <c r="L1140" i="1"/>
  <c r="L1128" i="1"/>
  <c r="L1129" i="1"/>
  <c r="L1130" i="1"/>
  <c r="L1134" i="1"/>
  <c r="L979" i="1"/>
  <c r="L980" i="1"/>
  <c r="L981" i="1"/>
  <c r="L982" i="1"/>
  <c r="L983" i="1"/>
  <c r="L984" i="1"/>
  <c r="L985" i="1"/>
  <c r="L987" i="1"/>
  <c r="L986" i="1"/>
  <c r="L988" i="1"/>
  <c r="L989" i="1"/>
  <c r="L990" i="1"/>
  <c r="L991" i="1"/>
  <c r="L992" i="1"/>
  <c r="L993" i="1"/>
  <c r="L994" i="1"/>
  <c r="L995" i="1"/>
  <c r="L996" i="1"/>
  <c r="L997" i="1"/>
  <c r="L998" i="1"/>
  <c r="L999" i="1"/>
  <c r="L1000" i="1"/>
  <c r="L1001" i="1"/>
  <c r="L1002" i="1"/>
  <c r="L1012" i="1"/>
  <c r="L1014" i="1"/>
  <c r="L1015" i="1"/>
  <c r="L1016" i="1"/>
  <c r="L1023" i="1"/>
  <c r="L1017" i="1"/>
  <c r="L1018" i="1"/>
  <c r="L1022" i="1"/>
  <c r="L1024" i="1"/>
  <c r="L1025" i="1"/>
  <c r="L1026" i="1"/>
  <c r="L1027" i="1"/>
  <c r="L1028" i="1"/>
  <c r="L1029" i="1"/>
  <c r="L1030" i="1"/>
  <c r="L1031" i="1"/>
  <c r="L1032" i="1"/>
  <c r="L1033" i="1"/>
  <c r="L1034" i="1"/>
  <c r="L1035" i="1"/>
  <c r="L1054" i="1"/>
  <c r="L1056" i="1"/>
  <c r="L1057" i="1"/>
  <c r="L1058" i="1"/>
  <c r="L1059" i="1"/>
  <c r="L1060" i="1"/>
  <c r="L1063" i="1"/>
  <c r="L1064" i="1"/>
  <c r="L1065" i="1"/>
  <c r="L1066" i="1"/>
  <c r="L1067" i="1"/>
  <c r="L1068" i="1"/>
  <c r="L1796" i="1"/>
  <c r="L1797" i="1"/>
  <c r="L1798" i="1"/>
  <c r="L1799" i="1"/>
  <c r="L1800" i="1"/>
  <c r="L1801" i="1"/>
  <c r="L1802" i="1"/>
  <c r="L1803" i="1"/>
  <c r="L1806" i="1"/>
  <c r="L1729" i="1"/>
  <c r="L1721" i="1"/>
  <c r="L1725" i="1"/>
  <c r="L2061" i="1"/>
  <c r="L2062" i="1"/>
  <c r="L2063" i="1"/>
  <c r="L2064" i="1"/>
  <c r="L2065" i="1"/>
  <c r="L2066" i="1"/>
  <c r="L2424" i="1"/>
  <c r="L2425" i="1"/>
  <c r="L2324" i="1"/>
  <c r="L2325" i="1"/>
  <c r="L2326" i="1"/>
  <c r="L2327" i="1"/>
  <c r="L2328" i="1"/>
  <c r="L2329" i="1"/>
  <c r="L2330" i="1"/>
  <c r="L2331" i="1"/>
  <c r="L1900" i="1"/>
  <c r="L1901" i="1"/>
  <c r="L670" i="1"/>
  <c r="L671" i="1"/>
  <c r="L1717" i="1"/>
  <c r="L657" i="1"/>
  <c r="L658" i="1"/>
  <c r="L659" i="1"/>
  <c r="L662" i="1"/>
  <c r="L663" i="1"/>
  <c r="L653" i="1"/>
  <c r="L654" i="1"/>
  <c r="L667" i="1"/>
  <c r="L1914" i="1"/>
  <c r="L1915" i="1"/>
  <c r="L1916" i="1"/>
  <c r="L1917" i="1"/>
  <c r="L1918" i="1"/>
  <c r="L890" i="1"/>
  <c r="L887" i="1"/>
  <c r="L891" i="1"/>
  <c r="L579" i="1"/>
  <c r="L580" i="1"/>
  <c r="L1897" i="1"/>
  <c r="L145" i="1"/>
  <c r="L1891" i="1"/>
  <c r="L2201" i="1"/>
  <c r="L2523" i="1"/>
  <c r="L2525" i="1"/>
  <c r="L2526" i="1"/>
  <c r="L1919" i="1"/>
  <c r="L1921" i="1"/>
  <c r="L1922" i="1"/>
  <c r="L1923" i="1"/>
  <c r="L1924" i="1"/>
  <c r="L800" i="1"/>
  <c r="L801" i="1"/>
  <c r="L802" i="1"/>
  <c r="L803" i="1"/>
  <c r="L804" i="1"/>
  <c r="L805" i="1"/>
  <c r="L806" i="1"/>
  <c r="L2067" i="1"/>
  <c r="L2068" i="1"/>
  <c r="L2069" i="1"/>
  <c r="L2071" i="1"/>
  <c r="L2070" i="1"/>
  <c r="L1731" i="1"/>
  <c r="L1730" i="1"/>
  <c r="L1732" i="1"/>
  <c r="L1733" i="1"/>
  <c r="L655" i="1"/>
  <c r="L660" i="1"/>
  <c r="L664" i="1"/>
  <c r="L668" i="1"/>
  <c r="L672" i="1"/>
  <c r="L1920" i="1"/>
  <c r="L821" i="1"/>
  <c r="L2338" i="1"/>
  <c r="L2339" i="1"/>
  <c r="L739" i="1"/>
  <c r="L706" i="1"/>
  <c r="L1665" i="1"/>
  <c r="L1594" i="1"/>
  <c r="L1595" i="1"/>
  <c r="L1771" i="1"/>
  <c r="L1734" i="1"/>
  <c r="L1735" i="1"/>
  <c r="L1736" i="1"/>
  <c r="L1737" i="1"/>
  <c r="L1738" i="1"/>
  <c r="L1739" i="1"/>
  <c r="L183" i="1"/>
  <c r="L184" i="1"/>
  <c r="L211" i="1"/>
  <c r="L210" i="1"/>
  <c r="L186" i="1"/>
  <c r="L185" i="1"/>
  <c r="L188" i="1"/>
  <c r="L187" i="1"/>
  <c r="L196" i="1"/>
  <c r="L195" i="1"/>
  <c r="L207" i="1"/>
  <c r="L206" i="1"/>
  <c r="L209" i="1"/>
  <c r="L208" i="1"/>
  <c r="L190" i="1"/>
  <c r="L1666" i="1"/>
  <c r="L807" i="1"/>
  <c r="L808" i="1"/>
  <c r="L809" i="1"/>
  <c r="L810" i="1"/>
  <c r="L812" i="1"/>
  <c r="L813" i="1"/>
  <c r="L811" i="1"/>
  <c r="L814" i="1"/>
  <c r="L815" i="1"/>
  <c r="L1925" i="1"/>
  <c r="L1926" i="1"/>
  <c r="L1927" i="1"/>
  <c r="L1928" i="1"/>
  <c r="L1929" i="1"/>
  <c r="L1930" i="1"/>
  <c r="L1932" i="1"/>
  <c r="L2072" i="1"/>
  <c r="L2073" i="1"/>
  <c r="L2074" i="1"/>
  <c r="L2075" i="1"/>
  <c r="L2076" i="1"/>
  <c r="L1931" i="1"/>
  <c r="L1933" i="1"/>
  <c r="L1934" i="1"/>
  <c r="L1936" i="1"/>
  <c r="L1935" i="1"/>
  <c r="L2077" i="1"/>
  <c r="L2202" i="1"/>
  <c r="L2203" i="1"/>
  <c r="L2204" i="1"/>
  <c r="L2205" i="1"/>
  <c r="L2078" i="1"/>
  <c r="L2079" i="1"/>
  <c r="L2080" i="1"/>
  <c r="L2081" i="1"/>
  <c r="L2082" i="1"/>
  <c r="L2083" i="1"/>
  <c r="L2084" i="1"/>
  <c r="L2206" i="1"/>
  <c r="L2207" i="1"/>
  <c r="L2208" i="1"/>
  <c r="L2209" i="1"/>
  <c r="L2210" i="1"/>
  <c r="L2211" i="1"/>
  <c r="L2212" i="1"/>
  <c r="L2213" i="1"/>
  <c r="L2214" i="1"/>
  <c r="L2215" i="1"/>
  <c r="L2216" i="1"/>
  <c r="L2332" i="1"/>
  <c r="L2333" i="1"/>
  <c r="L2334" i="1"/>
  <c r="L2335" i="1"/>
  <c r="L2336" i="1"/>
  <c r="L2337" i="1"/>
  <c r="L2426" i="1"/>
  <c r="L2427" i="1"/>
  <c r="L2428" i="1"/>
  <c r="L2429" i="1"/>
  <c r="L2430" i="1"/>
  <c r="L2431" i="1"/>
  <c r="L2432" i="1"/>
  <c r="L2433" i="1"/>
  <c r="L2434" i="1"/>
  <c r="L2435" i="1"/>
  <c r="L2436" i="1"/>
  <c r="L2437" i="1"/>
  <c r="L2438" i="1"/>
  <c r="L2439" i="1"/>
  <c r="L2440" i="1"/>
  <c r="L2441" i="1"/>
  <c r="L2527" i="1"/>
  <c r="L2528" i="1"/>
  <c r="L2529" i="1"/>
  <c r="L110" i="1"/>
  <c r="L1482" i="1"/>
  <c r="L1473" i="1"/>
  <c r="L636" i="1"/>
  <c r="L634" i="1"/>
  <c r="L635" i="1"/>
  <c r="L637" i="1"/>
  <c r="L638" i="1"/>
  <c r="L640" i="1"/>
  <c r="L639" i="1"/>
  <c r="L641" i="1"/>
  <c r="L642" i="1"/>
  <c r="L643" i="1"/>
  <c r="L644" i="1"/>
  <c r="L645" i="1"/>
  <c r="L646" i="1"/>
  <c r="L647" i="1"/>
  <c r="L648" i="1"/>
  <c r="L649" i="1"/>
  <c r="L650" i="1"/>
  <c r="L651" i="1"/>
  <c r="L94" i="1"/>
  <c r="L98" i="1"/>
  <c r="L601" i="1"/>
  <c r="L622" i="1"/>
  <c r="L623" i="1"/>
  <c r="L624" i="1"/>
  <c r="L625" i="1"/>
  <c r="L628" i="1"/>
  <c r="L630" i="1"/>
  <c r="L621" i="1"/>
  <c r="L22" i="1"/>
  <c r="L30" i="1"/>
  <c r="L61" i="1"/>
  <c r="L40" i="1"/>
  <c r="L39" i="1"/>
  <c r="L764" i="1"/>
  <c r="L765" i="1"/>
  <c r="L1807" i="1"/>
  <c r="L1808" i="1"/>
  <c r="L1809" i="1"/>
  <c r="L816" i="1"/>
  <c r="L817" i="1"/>
  <c r="L818" i="1"/>
  <c r="L819" i="1"/>
  <c r="L820" i="1"/>
  <c r="L395" i="1"/>
  <c r="L399" i="1"/>
  <c r="L2217" i="1"/>
  <c r="L2218" i="1"/>
  <c r="L2219" i="1"/>
  <c r="L2220" i="1"/>
  <c r="L2340" i="1"/>
  <c r="L2341" i="1"/>
  <c r="L2342" i="1"/>
  <c r="L2343" i="1"/>
  <c r="L2536" i="1"/>
  <c r="L2537" i="1"/>
  <c r="L822" i="1"/>
  <c r="L823" i="1"/>
  <c r="L824" i="1"/>
  <c r="L278" i="1"/>
  <c r="L280" i="1"/>
  <c r="L281" i="1"/>
  <c r="L285" i="1"/>
  <c r="L310" i="1"/>
  <c r="L311" i="1"/>
  <c r="L766" i="1"/>
  <c r="L767" i="1"/>
  <c r="L2221" i="1"/>
  <c r="L2222" i="1"/>
  <c r="L2223" i="1"/>
  <c r="L2224" i="1"/>
  <c r="L2225" i="1"/>
  <c r="L2226" i="1"/>
  <c r="L2227" i="1"/>
  <c r="L2228" i="1"/>
  <c r="L2229" i="1"/>
  <c r="L2230" i="1"/>
  <c r="L2231" i="1"/>
  <c r="L2232" i="1"/>
  <c r="L2233" i="1"/>
  <c r="L2234" i="1"/>
  <c r="L2235" i="1"/>
  <c r="L2236" i="1"/>
  <c r="L2237" i="1"/>
  <c r="L2238" i="1"/>
  <c r="L2239" i="1"/>
  <c r="L2240" i="1"/>
  <c r="L2245" i="1"/>
  <c r="L2085" i="1"/>
  <c r="L2086" i="1"/>
  <c r="L2087" i="1"/>
  <c r="L2088" i="1"/>
  <c r="L2089" i="1"/>
  <c r="L2090" i="1"/>
  <c r="L2091" i="1"/>
  <c r="L2092" i="1"/>
  <c r="L2093" i="1"/>
  <c r="L2094" i="1"/>
  <c r="L2096" i="1"/>
  <c r="L2097" i="1"/>
  <c r="L2095" i="1"/>
  <c r="L2098" i="1"/>
  <c r="L2099" i="1"/>
  <c r="L2100" i="1"/>
  <c r="L2101" i="1"/>
  <c r="L2102" i="1"/>
  <c r="L2103" i="1"/>
  <c r="L2105" i="1"/>
  <c r="L2344" i="1"/>
  <c r="L2442" i="1"/>
  <c r="L2443" i="1"/>
  <c r="L2444" i="1"/>
  <c r="L2445" i="1"/>
  <c r="L2446" i="1"/>
  <c r="L2538" i="1"/>
  <c r="L747" i="1"/>
  <c r="L748" i="1"/>
  <c r="L749" i="1"/>
  <c r="L825" i="1"/>
  <c r="L826" i="1"/>
  <c r="L827" i="1"/>
  <c r="L1937" i="1"/>
  <c r="L1938" i="1"/>
  <c r="L1939" i="1"/>
  <c r="L1940" i="1"/>
  <c r="L1941" i="1"/>
  <c r="L1942" i="1"/>
  <c r="L1943" i="1"/>
  <c r="L1945" i="1"/>
  <c r="L1946" i="1"/>
  <c r="L1947" i="1"/>
  <c r="L1948" i="1"/>
  <c r="L1949" i="1"/>
  <c r="L1950" i="1"/>
  <c r="L1951" i="1"/>
  <c r="L1952" i="1"/>
  <c r="L1953" i="1"/>
  <c r="L1954" i="1"/>
  <c r="L1955" i="1"/>
  <c r="L1957" i="1"/>
  <c r="L1958" i="1"/>
  <c r="L1960" i="1"/>
  <c r="L2539" i="1"/>
  <c r="L2540" i="1"/>
  <c r="L2541" i="1"/>
  <c r="L2542" i="1"/>
  <c r="L2543" i="1"/>
  <c r="L2544" i="1"/>
  <c r="L2545" i="1"/>
  <c r="L2546" i="1"/>
  <c r="L2547" i="1"/>
  <c r="L2548" i="1"/>
  <c r="L2549" i="1"/>
  <c r="L2550" i="1"/>
  <c r="L2551" i="1"/>
  <c r="L2345" i="1"/>
  <c r="L2346" i="1"/>
  <c r="L2347" i="1"/>
  <c r="L2348" i="1"/>
  <c r="L2349" i="1"/>
  <c r="L2350" i="1"/>
  <c r="L2351" i="1"/>
  <c r="L2352" i="1"/>
  <c r="L2353" i="1"/>
  <c r="L2354" i="1"/>
  <c r="L2355" i="1"/>
  <c r="L2356" i="1"/>
  <c r="L2357" i="1"/>
  <c r="L2358" i="1"/>
  <c r="L828" i="1"/>
  <c r="L829" i="1"/>
  <c r="L830" i="1"/>
  <c r="L831" i="1"/>
  <c r="L832" i="1"/>
  <c r="L833" i="1"/>
  <c r="L834" i="1"/>
  <c r="L835" i="1"/>
  <c r="L716" i="1"/>
  <c r="L717" i="1"/>
  <c r="L718" i="1"/>
  <c r="L719" i="1"/>
  <c r="L721" i="1"/>
  <c r="L610" i="1"/>
  <c r="L594" i="1"/>
  <c r="L626" i="1"/>
  <c r="L627" i="1"/>
  <c r="L1190" i="1"/>
  <c r="L1191" i="1"/>
  <c r="L1158" i="1"/>
  <c r="L1168" i="1"/>
  <c r="L539" i="1"/>
  <c r="L540" i="1"/>
  <c r="L541" i="1"/>
  <c r="L1174" i="1"/>
  <c r="L1192" i="1"/>
  <c r="L1193" i="1"/>
  <c r="L429" i="1"/>
  <c r="L430" i="1"/>
  <c r="L460" i="1"/>
  <c r="L836" i="1"/>
  <c r="L840" i="1"/>
  <c r="L843" i="1"/>
  <c r="L845" i="1"/>
  <c r="L769" i="1"/>
  <c r="L603" i="1"/>
  <c r="L629" i="1"/>
  <c r="L267" i="1"/>
  <c r="L1213" i="1"/>
  <c r="L1216" i="1"/>
  <c r="L78" i="1"/>
  <c r="L79" i="1"/>
  <c r="L150" i="1"/>
  <c r="L569" i="1"/>
  <c r="L572" i="1"/>
  <c r="L1882" i="1"/>
  <c r="L409" i="1"/>
  <c r="L418" i="1"/>
  <c r="L496" i="1"/>
  <c r="L515" i="1"/>
  <c r="L738" i="1"/>
  <c r="L1884" i="1"/>
  <c r="L148" i="1"/>
  <c r="L1962" i="1"/>
  <c r="L1967" i="1"/>
  <c r="L1968" i="1"/>
  <c r="L2106" i="1"/>
  <c r="L2107" i="1"/>
  <c r="L2108" i="1"/>
  <c r="L2110" i="1"/>
  <c r="L2248" i="1"/>
  <c r="L2249" i="1"/>
  <c r="L2253" i="1"/>
  <c r="L2359" i="1"/>
  <c r="L2361" i="1"/>
  <c r="L2458" i="1"/>
  <c r="L2461" i="1"/>
  <c r="L2569" i="1"/>
  <c r="L2572" i="1"/>
  <c r="L368" i="1"/>
  <c r="L847" i="1"/>
  <c r="L848" i="1"/>
  <c r="L850" i="1"/>
  <c r="L852" i="1"/>
  <c r="L2552" i="1"/>
  <c r="L2553" i="1"/>
  <c r="L2554" i="1"/>
  <c r="L2555" i="1"/>
  <c r="L2556" i="1"/>
  <c r="L2557" i="1"/>
  <c r="L2558" i="1"/>
  <c r="L2559" i="1"/>
  <c r="L2560" i="1"/>
  <c r="L2561" i="1"/>
  <c r="L2566" i="1"/>
  <c r="J1573" i="1" l="1"/>
  <c r="AG1573" i="1"/>
  <c r="J1055" i="1"/>
  <c r="AG1055" i="1"/>
  <c r="J1011" i="1"/>
  <c r="S1011" i="1"/>
  <c r="J1010" i="1"/>
  <c r="S1010" i="1"/>
  <c r="J1638" i="1"/>
  <c r="AE2561" i="1" l="1"/>
  <c r="AD2561" i="1"/>
  <c r="I2454" i="1"/>
  <c r="AG2453" i="1"/>
  <c r="I2102" i="1"/>
  <c r="AG1636" i="1"/>
  <c r="S1060" i="1"/>
  <c r="AG1060" i="1"/>
  <c r="S1018" i="1"/>
  <c r="J913" i="1"/>
  <c r="J2561" i="1" l="1"/>
  <c r="AG2561" i="1"/>
  <c r="J2101" i="1"/>
  <c r="AG2101" i="1"/>
  <c r="J1018" i="1"/>
  <c r="AG1018" i="1"/>
  <c r="J2453" i="1"/>
  <c r="J1636" i="1"/>
  <c r="J1060" i="1"/>
  <c r="AF2451" i="1" l="1"/>
  <c r="AF2449" i="1"/>
  <c r="AE2560" i="1" l="1"/>
  <c r="AD2560" i="1"/>
  <c r="J2450" i="1" l="1"/>
  <c r="AG2450" i="1"/>
  <c r="J2560" i="1"/>
  <c r="AG2560" i="1"/>
  <c r="I83" i="1"/>
  <c r="J82" i="1" l="1"/>
  <c r="AG82" i="1"/>
  <c r="S1044" i="1"/>
  <c r="S1045" i="1"/>
  <c r="AG1045" i="1"/>
  <c r="S1100" i="1"/>
  <c r="S972" i="1"/>
  <c r="S1030" i="1"/>
  <c r="S912" i="1"/>
  <c r="J912" i="1"/>
  <c r="J1130" i="1" l="1"/>
  <c r="AG1130" i="1"/>
  <c r="J1030" i="1"/>
  <c r="AG1030" i="1"/>
  <c r="J972" i="1"/>
  <c r="AG972" i="1"/>
  <c r="J1100" i="1"/>
  <c r="AG1100" i="1"/>
  <c r="J1045" i="1"/>
  <c r="J1639" i="1" l="1"/>
  <c r="AG1639" i="1"/>
  <c r="J1880" i="1"/>
  <c r="AG1880" i="1"/>
  <c r="J81" i="1"/>
  <c r="AG81" i="1"/>
  <c r="I2558" i="1"/>
  <c r="AE2557" i="1"/>
  <c r="AD2557" i="1"/>
  <c r="J2557" i="1" l="1"/>
  <c r="AG2557" i="1"/>
  <c r="I1955" i="1"/>
  <c r="AG1954" i="1"/>
  <c r="AG2451" i="1"/>
  <c r="J2451" i="1" l="1"/>
  <c r="J429" i="1"/>
  <c r="J1954" i="1"/>
  <c r="S1002" i="1" l="1"/>
  <c r="J1117" i="1"/>
  <c r="J911" i="1"/>
  <c r="S1099" i="1"/>
  <c r="J1002" i="1" l="1"/>
  <c r="AG1002" i="1"/>
  <c r="J1099" i="1"/>
  <c r="AG1099" i="1"/>
  <c r="AF1251" i="1"/>
  <c r="AF1250" i="1"/>
  <c r="AG267" i="1" l="1"/>
  <c r="AG836" i="1"/>
  <c r="I2099" i="1"/>
  <c r="I2237" i="1"/>
  <c r="AG2448" i="1"/>
  <c r="AE2556" i="1"/>
  <c r="AD2556" i="1"/>
  <c r="J1953" i="1" l="1"/>
  <c r="AG1953" i="1"/>
  <c r="J2240" i="1"/>
  <c r="AG2240" i="1"/>
  <c r="J2236" i="1"/>
  <c r="AG2236" i="1"/>
  <c r="J2456" i="1"/>
  <c r="AG2456" i="1"/>
  <c r="J2556" i="1"/>
  <c r="AG2556" i="1"/>
  <c r="J2098" i="1"/>
  <c r="AG2098" i="1"/>
  <c r="J2103" i="1"/>
  <c r="AG2103" i="1"/>
  <c r="J836" i="1"/>
  <c r="J2448" i="1"/>
  <c r="AE2566" i="1" l="1"/>
  <c r="AD2566" i="1"/>
  <c r="AE2559" i="1"/>
  <c r="AD2559" i="1"/>
  <c r="AE2558" i="1"/>
  <c r="AD2558" i="1"/>
  <c r="AE2555" i="1"/>
  <c r="AD2555" i="1"/>
  <c r="I2555" i="1"/>
  <c r="AG2555" i="1"/>
  <c r="AG2454" i="1"/>
  <c r="AG2452" i="1"/>
  <c r="AG2449" i="1"/>
  <c r="AG2245" i="1"/>
  <c r="AG2239" i="1"/>
  <c r="AG2238" i="1"/>
  <c r="AG2237" i="1"/>
  <c r="I2235" i="1"/>
  <c r="AG2235" i="1"/>
  <c r="AG2105" i="1"/>
  <c r="AG2100" i="1"/>
  <c r="AG1958" i="1"/>
  <c r="AG1957" i="1"/>
  <c r="AG1955" i="1"/>
  <c r="AG1952" i="1"/>
  <c r="I1951" i="1"/>
  <c r="AG1951" i="1"/>
  <c r="AG540" i="1"/>
  <c r="S1098" i="1"/>
  <c r="S1110" i="1"/>
  <c r="AG1098" i="1"/>
  <c r="AG1525" i="1"/>
  <c r="I1635" i="1"/>
  <c r="AG1634" i="1"/>
  <c r="AG1879" i="1"/>
  <c r="J2099" i="1" l="1"/>
  <c r="AG2099" i="1"/>
  <c r="J2559" i="1"/>
  <c r="AG2559" i="1"/>
  <c r="J2457" i="1"/>
  <c r="AG2457" i="1"/>
  <c r="J2558" i="1"/>
  <c r="AG2558" i="1"/>
  <c r="J2566" i="1"/>
  <c r="AG2566" i="1"/>
  <c r="J2102" i="1"/>
  <c r="AG2102" i="1"/>
  <c r="J1575" i="1"/>
  <c r="AG1575" i="1"/>
  <c r="J1957" i="1"/>
  <c r="J1958" i="1"/>
  <c r="J1955" i="1"/>
  <c r="J1952" i="1"/>
  <c r="J2555" i="1"/>
  <c r="J2449" i="1"/>
  <c r="J2454" i="1"/>
  <c r="J2452" i="1"/>
  <c r="J2235" i="1"/>
  <c r="J2237" i="1"/>
  <c r="J2239" i="1"/>
  <c r="J2245" i="1"/>
  <c r="J2238" i="1"/>
  <c r="J2100" i="1"/>
  <c r="J2105" i="1"/>
  <c r="J1951" i="1"/>
  <c r="J540" i="1"/>
  <c r="J1525" i="1"/>
  <c r="J1098" i="1"/>
  <c r="J1634" i="1"/>
  <c r="J1879" i="1"/>
  <c r="AG1255" i="1"/>
  <c r="AG1129" i="1"/>
  <c r="S971" i="1"/>
  <c r="J1116" i="1"/>
  <c r="S1001" i="1"/>
  <c r="AG1001" i="1"/>
  <c r="S942" i="1"/>
  <c r="I943" i="1"/>
  <c r="I1012" i="1" s="1"/>
  <c r="AG942" i="1"/>
  <c r="I835" i="1"/>
  <c r="J910" i="1"/>
  <c r="I1752" i="1"/>
  <c r="AG834" i="1"/>
  <c r="AG2096" i="1"/>
  <c r="AG1323" i="1"/>
  <c r="AF1752" i="1"/>
  <c r="J1360" i="1" l="1"/>
  <c r="AG1360" i="1"/>
  <c r="J1044" i="1"/>
  <c r="AG1044" i="1"/>
  <c r="J1402" i="1"/>
  <c r="AG1402" i="1"/>
  <c r="J2234" i="1"/>
  <c r="AG2234" i="1"/>
  <c r="J971" i="1"/>
  <c r="AG971" i="1"/>
  <c r="J1323" i="1"/>
  <c r="J834" i="1"/>
  <c r="J942" i="1"/>
  <c r="J1001" i="1"/>
  <c r="J1129" i="1"/>
  <c r="J1255" i="1"/>
  <c r="J2096" i="1"/>
  <c r="AE2554" i="1"/>
  <c r="AD2554" i="1"/>
  <c r="I1572" i="1"/>
  <c r="AG1571" i="1"/>
  <c r="J2554" i="1" l="1"/>
  <c r="AG2554" i="1"/>
  <c r="J539" i="1"/>
  <c r="AG539" i="1"/>
  <c r="J1571" i="1"/>
  <c r="I1193" i="1" l="1"/>
  <c r="I2358" i="1"/>
  <c r="AG1950" i="1"/>
  <c r="AE2553" i="1"/>
  <c r="AD2553" i="1"/>
  <c r="AG1487" i="1"/>
  <c r="I1569" i="1"/>
  <c r="J2357" i="1" l="1"/>
  <c r="AG2357" i="1"/>
  <c r="J1568" i="1"/>
  <c r="AG1568" i="1"/>
  <c r="J2356" i="1"/>
  <c r="AG2356" i="1"/>
  <c r="J51" i="1"/>
  <c r="AG51" i="1"/>
  <c r="J1192" i="1"/>
  <c r="AG1192" i="1"/>
  <c r="J2553" i="1"/>
  <c r="AG2553" i="1"/>
  <c r="J1570" i="1"/>
  <c r="AG1570" i="1"/>
  <c r="J1950" i="1"/>
  <c r="J1487" i="1"/>
  <c r="AG1949" i="1" l="1"/>
  <c r="AE2552" i="1"/>
  <c r="AD2552" i="1"/>
  <c r="J2355" i="1" l="1"/>
  <c r="AG2355" i="1"/>
  <c r="J2552" i="1"/>
  <c r="AG2552" i="1"/>
  <c r="J1949" i="1"/>
  <c r="I660" i="1" l="1"/>
  <c r="I2551" i="1" l="1"/>
  <c r="I2354" i="1"/>
  <c r="I1948" i="1"/>
  <c r="AG1948" i="1"/>
  <c r="I1947" i="1"/>
  <c r="J2353" i="1" l="1"/>
  <c r="AG2353" i="1"/>
  <c r="J2550" i="1"/>
  <c r="AG2550" i="1"/>
  <c r="J1948" i="1"/>
  <c r="AG627" i="1" l="1"/>
  <c r="AG719" i="1"/>
  <c r="S1000" i="1"/>
  <c r="S970" i="1"/>
  <c r="S1043" i="1"/>
  <c r="AG110" i="1"/>
  <c r="AG98" i="1"/>
  <c r="I2094" i="1"/>
  <c r="J970" i="1" l="1"/>
  <c r="AG970" i="1"/>
  <c r="J2095" i="1"/>
  <c r="AG2095" i="1"/>
  <c r="J2548" i="1"/>
  <c r="AG2548" i="1"/>
  <c r="J116" i="1"/>
  <c r="AG116" i="1"/>
  <c r="J1650" i="1"/>
  <c r="AG1650" i="1"/>
  <c r="J1524" i="1"/>
  <c r="AG1524" i="1"/>
  <c r="J1648" i="1"/>
  <c r="AG1648" i="1"/>
  <c r="J718" i="1"/>
  <c r="AG718" i="1"/>
  <c r="J1000" i="1"/>
  <c r="AG1000" i="1"/>
  <c r="J2549" i="1"/>
  <c r="AG2549" i="1"/>
  <c r="J2233" i="1"/>
  <c r="AG2233" i="1"/>
  <c r="J85" i="1"/>
  <c r="AG85" i="1"/>
  <c r="J1708" i="1"/>
  <c r="AG1708" i="1"/>
  <c r="J2093" i="1"/>
  <c r="AG2093" i="1"/>
  <c r="J1322" i="1"/>
  <c r="AG1322" i="1"/>
  <c r="J1863" i="1"/>
  <c r="AG1863" i="1"/>
  <c r="J2352" i="1"/>
  <c r="AG2352" i="1"/>
  <c r="J1043" i="1"/>
  <c r="AG1043" i="1"/>
  <c r="J1501" i="1"/>
  <c r="AG1501" i="1"/>
  <c r="J98" i="1"/>
  <c r="J110" i="1"/>
  <c r="J627" i="1"/>
  <c r="J719" i="1"/>
  <c r="AF67" i="1" l="1"/>
  <c r="AF65" i="1"/>
  <c r="Q1738" i="1"/>
  <c r="AG1737" i="1"/>
  <c r="Q1737" i="1"/>
  <c r="I1878" i="1"/>
  <c r="AG1877" i="1"/>
  <c r="AG1288" i="1" l="1"/>
  <c r="J1265" i="1"/>
  <c r="AG1265" i="1"/>
  <c r="J1738" i="1"/>
  <c r="AG1738" i="1"/>
  <c r="J1752" i="1"/>
  <c r="AG1752" i="1"/>
  <c r="J1269" i="1"/>
  <c r="AG1269" i="1"/>
  <c r="J1338" i="1"/>
  <c r="AG1338" i="1"/>
  <c r="J626" i="1"/>
  <c r="AG626" i="1"/>
  <c r="J1737" i="1"/>
  <c r="J1877" i="1"/>
  <c r="AG691" i="1" l="1"/>
  <c r="AG1190" i="1"/>
  <c r="AG1191" i="1"/>
  <c r="AG1158" i="1"/>
  <c r="AG1168" i="1"/>
  <c r="AG541" i="1"/>
  <c r="AG1193" i="1"/>
  <c r="AG430" i="1"/>
  <c r="AG840" i="1"/>
  <c r="AG843" i="1"/>
  <c r="AG845" i="1"/>
  <c r="AG769" i="1"/>
  <c r="AG629" i="1"/>
  <c r="J267" i="1"/>
  <c r="J1213" i="1"/>
  <c r="J1216" i="1"/>
  <c r="J78" i="1"/>
  <c r="J79" i="1"/>
  <c r="J572" i="1"/>
  <c r="J1882" i="1"/>
  <c r="J409" i="1"/>
  <c r="J418" i="1"/>
  <c r="J496" i="1"/>
  <c r="J515" i="1"/>
  <c r="J738" i="1"/>
  <c r="J1884" i="1"/>
  <c r="J148" i="1"/>
  <c r="J1174" i="1" l="1"/>
  <c r="AG1174" i="1"/>
  <c r="J603" i="1"/>
  <c r="AG603" i="1"/>
  <c r="J594" i="1"/>
  <c r="AG594" i="1"/>
  <c r="J610" i="1"/>
  <c r="AG610" i="1"/>
  <c r="J2232" i="1"/>
  <c r="AG2232" i="1"/>
  <c r="J692" i="1"/>
  <c r="AG692" i="1"/>
  <c r="J769" i="1"/>
  <c r="J1168" i="1"/>
  <c r="J845" i="1"/>
  <c r="J843" i="1"/>
  <c r="J840" i="1"/>
  <c r="J1158" i="1"/>
  <c r="J629" i="1"/>
  <c r="J430" i="1"/>
  <c r="J460" i="1"/>
  <c r="J541" i="1"/>
  <c r="J1193" i="1"/>
  <c r="J1191" i="1"/>
  <c r="J1190" i="1"/>
  <c r="J691" i="1"/>
  <c r="I2231" i="1" l="1"/>
  <c r="J2230" i="1" l="1"/>
  <c r="AG2230" i="1"/>
  <c r="J2446" i="1"/>
  <c r="AG2446" i="1"/>
  <c r="J1251" i="1"/>
  <c r="AG1251" i="1"/>
  <c r="I2445" i="1"/>
  <c r="I2351" i="1"/>
  <c r="J2444" i="1" l="1"/>
  <c r="AG2444" i="1"/>
  <c r="J833" i="1"/>
  <c r="AG833" i="1"/>
  <c r="J2350" i="1"/>
  <c r="AG2350" i="1"/>
  <c r="J2229" i="1"/>
  <c r="AG2229" i="1"/>
  <c r="I2228" i="1"/>
  <c r="I832" i="1"/>
  <c r="AG832" i="1"/>
  <c r="J832" i="1" l="1"/>
  <c r="I717" i="1" l="1"/>
  <c r="AG717" i="1"/>
  <c r="J717" i="1" l="1"/>
  <c r="AG2608" i="1"/>
  <c r="AG1320" i="1" l="1"/>
  <c r="J1435" i="1" l="1"/>
  <c r="AG1435" i="1"/>
  <c r="J1509" i="1"/>
  <c r="AG1509" i="1"/>
  <c r="J1498" i="1"/>
  <c r="AG1498" i="1"/>
  <c r="J1359" i="1"/>
  <c r="AG1359" i="1"/>
  <c r="J1320" i="1"/>
  <c r="Q1736" i="1"/>
  <c r="J2349" i="1" l="1"/>
  <c r="AG2349" i="1"/>
  <c r="J831" i="1"/>
  <c r="AG831" i="1"/>
  <c r="J1736" i="1"/>
  <c r="AG1736" i="1"/>
  <c r="J1876" i="1"/>
  <c r="AG1876" i="1"/>
  <c r="J2227" i="1"/>
  <c r="AG2227" i="1"/>
  <c r="I748" i="1"/>
  <c r="AG748" i="1"/>
  <c r="J748" i="1" l="1"/>
  <c r="S1042" i="1" l="1"/>
  <c r="S1080" i="1"/>
  <c r="J1042" i="1" l="1"/>
  <c r="AG1042" i="1"/>
  <c r="J1080" i="1"/>
  <c r="AG1080" i="1"/>
  <c r="I2348" i="1" l="1"/>
  <c r="I2547" i="1"/>
  <c r="J830" i="1" l="1"/>
  <c r="AG830" i="1"/>
  <c r="J1946" i="1"/>
  <c r="AG1946" i="1"/>
  <c r="J2347" i="1"/>
  <c r="AG2347" i="1"/>
  <c r="J2546" i="1"/>
  <c r="AG2546" i="1"/>
  <c r="J2443" i="1"/>
  <c r="AG2443" i="1"/>
  <c r="J2354" i="1" l="1"/>
  <c r="AG2354" i="1"/>
  <c r="J2097" i="1"/>
  <c r="AG2097" i="1"/>
  <c r="J1794" i="1"/>
  <c r="AG1794" i="1"/>
  <c r="J1784" i="1"/>
  <c r="AG1784" i="1"/>
  <c r="J2547" i="1"/>
  <c r="AG2547" i="1"/>
  <c r="J1788" i="1"/>
  <c r="AG1788" i="1"/>
  <c r="J1785" i="1"/>
  <c r="AG1785" i="1"/>
  <c r="I668" i="1"/>
  <c r="I2545" i="1" l="1"/>
  <c r="AG829" i="1"/>
  <c r="AG828" i="1"/>
  <c r="J2544" i="1" l="1"/>
  <c r="AG2544" i="1"/>
  <c r="J2091" i="1"/>
  <c r="AG2091" i="1"/>
  <c r="J1440" i="1"/>
  <c r="AG1440" i="1"/>
  <c r="J1633" i="1"/>
  <c r="AG1633" i="1"/>
  <c r="J829" i="1"/>
  <c r="J828" i="1"/>
  <c r="S1097" i="1" l="1"/>
  <c r="S909" i="1"/>
  <c r="S1079" i="1"/>
  <c r="S941" i="1"/>
  <c r="AG941" i="1"/>
  <c r="I1068" i="1"/>
  <c r="S1067" i="1"/>
  <c r="S999" i="1"/>
  <c r="S1017" i="1"/>
  <c r="S1059" i="1"/>
  <c r="J909" i="1"/>
  <c r="J999" i="1" l="1"/>
  <c r="AG999" i="1"/>
  <c r="J1128" i="1"/>
  <c r="AG1128" i="1"/>
  <c r="J1079" i="1"/>
  <c r="AG1079" i="1"/>
  <c r="J1097" i="1"/>
  <c r="AG1097" i="1"/>
  <c r="J1067" i="1"/>
  <c r="AG1067" i="1"/>
  <c r="J1059" i="1"/>
  <c r="AG1059" i="1"/>
  <c r="J1017" i="1"/>
  <c r="AG1017" i="1"/>
  <c r="J941" i="1"/>
  <c r="J2088" i="1" l="1"/>
  <c r="AG2088" i="1"/>
  <c r="AG1635" i="1"/>
  <c r="Q1735" i="1"/>
  <c r="I1358" i="1"/>
  <c r="AG1357" i="1"/>
  <c r="I1774" i="1"/>
  <c r="I1319" i="1"/>
  <c r="J1318" i="1" l="1"/>
  <c r="AG1318" i="1"/>
  <c r="J1631" i="1"/>
  <c r="AG1631" i="1"/>
  <c r="J1461" i="1"/>
  <c r="AG1461" i="1"/>
  <c r="J1632" i="1"/>
  <c r="AG1632" i="1"/>
  <c r="J1773" i="1"/>
  <c r="AG1773" i="1"/>
  <c r="J1735" i="1"/>
  <c r="AG1735" i="1"/>
  <c r="J1635" i="1"/>
  <c r="J1357" i="1"/>
  <c r="J638" i="1" l="1"/>
  <c r="AG638" i="1"/>
  <c r="J716" i="1"/>
  <c r="AG716" i="1"/>
  <c r="AG2545" i="1"/>
  <c r="I2543" i="1"/>
  <c r="AG2543" i="1"/>
  <c r="AG2445" i="1"/>
  <c r="AG2442" i="1"/>
  <c r="AG2351" i="1"/>
  <c r="AG2348" i="1"/>
  <c r="I2346" i="1"/>
  <c r="AG2346" i="1"/>
  <c r="AG2231" i="1"/>
  <c r="AG2226" i="1"/>
  <c r="AG2094" i="1"/>
  <c r="AG2092" i="1"/>
  <c r="AG2090" i="1"/>
  <c r="AG1947" i="1"/>
  <c r="AG1945" i="1"/>
  <c r="S1086" i="1"/>
  <c r="AG1086" i="1"/>
  <c r="S969" i="1"/>
  <c r="AG969" i="1"/>
  <c r="S1111" i="1"/>
  <c r="AG1111" i="1"/>
  <c r="S1027" i="1"/>
  <c r="S1028" i="1"/>
  <c r="S1029" i="1"/>
  <c r="I1031" i="1"/>
  <c r="AG1029" i="1"/>
  <c r="J2089" i="1" l="1"/>
  <c r="AG2089" i="1"/>
  <c r="J1140" i="1"/>
  <c r="AG1140" i="1"/>
  <c r="J2228" i="1"/>
  <c r="AG2228" i="1"/>
  <c r="J1947" i="1"/>
  <c r="J2094" i="1"/>
  <c r="J2351" i="1"/>
  <c r="J2092" i="1"/>
  <c r="J2543" i="1"/>
  <c r="J2545" i="1"/>
  <c r="J2445" i="1"/>
  <c r="J2442" i="1"/>
  <c r="J2346" i="1"/>
  <c r="J2348" i="1"/>
  <c r="J2231" i="1"/>
  <c r="J2226" i="1"/>
  <c r="J2090" i="1"/>
  <c r="J1945" i="1"/>
  <c r="J1086" i="1"/>
  <c r="J969" i="1"/>
  <c r="J1111" i="1"/>
  <c r="J1029" i="1"/>
  <c r="S1023" i="1"/>
  <c r="AG1023" i="1"/>
  <c r="J1023" i="1" l="1"/>
  <c r="S998" i="1"/>
  <c r="AG998" i="1"/>
  <c r="AG1566" i="1"/>
  <c r="AG2542" i="1"/>
  <c r="I1250" i="1"/>
  <c r="AG1249" i="1"/>
  <c r="J998" i="1" l="1"/>
  <c r="J908" i="1"/>
  <c r="J1566" i="1"/>
  <c r="J2542" i="1"/>
  <c r="J1249" i="1"/>
  <c r="AG1248" i="1" l="1"/>
  <c r="J1248" i="1" l="1"/>
  <c r="AD1293" i="1" l="1"/>
  <c r="AE1293" i="1"/>
  <c r="I767" i="1"/>
  <c r="I1943" i="1" l="1"/>
  <c r="J907" i="1" l="1"/>
  <c r="J1115" i="1"/>
  <c r="S1096" i="1"/>
  <c r="AG1096" i="1"/>
  <c r="AG1028" i="1"/>
  <c r="S1016" i="1"/>
  <c r="AG1016" i="1"/>
  <c r="S968" i="1"/>
  <c r="AG968" i="1"/>
  <c r="AG1127" i="1"/>
  <c r="S1078" i="1"/>
  <c r="AG1078" i="1"/>
  <c r="S1041" i="1"/>
  <c r="AG1041" i="1"/>
  <c r="AG1941" i="1"/>
  <c r="J1495" i="1" l="1"/>
  <c r="AG1495" i="1"/>
  <c r="J1940" i="1"/>
  <c r="AG1940" i="1"/>
  <c r="J1016" i="1"/>
  <c r="J1096" i="1"/>
  <c r="J1028" i="1"/>
  <c r="J968" i="1"/>
  <c r="J1127" i="1"/>
  <c r="J1078" i="1"/>
  <c r="J1041" i="1"/>
  <c r="J1941" i="1"/>
  <c r="AG1356" i="1"/>
  <c r="AG1878" i="1"/>
  <c r="S737" i="1"/>
  <c r="AG737" i="1"/>
  <c r="AG2541" i="1"/>
  <c r="J2086" i="1" l="1"/>
  <c r="AG2086" i="1"/>
  <c r="J1938" i="1"/>
  <c r="AG1938" i="1"/>
  <c r="J1356" i="1"/>
  <c r="J1460" i="1"/>
  <c r="J1878" i="1"/>
  <c r="J737" i="1"/>
  <c r="J2541" i="1"/>
  <c r="AG1406" i="1" l="1"/>
  <c r="AG1488" i="1"/>
  <c r="J1406" i="1" l="1"/>
  <c r="J1488" i="1"/>
  <c r="AG2539" i="1" l="1"/>
  <c r="AG2540" i="1"/>
  <c r="AG2225" i="1"/>
  <c r="I2224" i="1"/>
  <c r="AG2224" i="1"/>
  <c r="J2539" i="1" l="1"/>
  <c r="J2540" i="1"/>
  <c r="J2225" i="1"/>
  <c r="J2224" i="1"/>
  <c r="AG1590" i="1" l="1"/>
  <c r="AG1588" i="1"/>
  <c r="AG1565" i="1"/>
  <c r="AG1513" i="1"/>
  <c r="AG1432" i="1"/>
  <c r="AG1393" i="1"/>
  <c r="AG1365" i="1"/>
  <c r="AG1370" i="1"/>
  <c r="AG1371" i="1"/>
  <c r="AG1283" i="1"/>
  <c r="AG1282" i="1"/>
  <c r="AG1285" i="1"/>
  <c r="J2358" i="1" l="1"/>
  <c r="AG2358" i="1"/>
  <c r="J2551" i="1"/>
  <c r="AG2551" i="1"/>
  <c r="J1589" i="1"/>
  <c r="J1590" i="1"/>
  <c r="J1588" i="1"/>
  <c r="J1565" i="1"/>
  <c r="J1513" i="1"/>
  <c r="J1432" i="1"/>
  <c r="J1393" i="1"/>
  <c r="J1365" i="1"/>
  <c r="J1370" i="1"/>
  <c r="J1371" i="1"/>
  <c r="J1283" i="1"/>
  <c r="J1282" i="1"/>
  <c r="I2441" i="1"/>
  <c r="AG2440" i="1"/>
  <c r="I2223" i="1"/>
  <c r="AG2223" i="1"/>
  <c r="I2222" i="1"/>
  <c r="AF736" i="1"/>
  <c r="I957" i="1"/>
  <c r="AG956" i="1"/>
  <c r="AG115" i="1"/>
  <c r="AG2439" i="1"/>
  <c r="I826" i="1"/>
  <c r="J2221" i="1" l="1"/>
  <c r="AG2221" i="1"/>
  <c r="J1937" i="1"/>
  <c r="AG1937" i="1"/>
  <c r="J825" i="1"/>
  <c r="AG825" i="1"/>
  <c r="J2440" i="1"/>
  <c r="J2223" i="1"/>
  <c r="J956" i="1"/>
  <c r="J115" i="1"/>
  <c r="J2439" i="1"/>
  <c r="S1040" i="1" l="1"/>
  <c r="S1077" i="1"/>
  <c r="AG1058" i="1"/>
  <c r="S1058" i="1"/>
  <c r="AG1015" i="1"/>
  <c r="S1015" i="1"/>
  <c r="S1095" i="1"/>
  <c r="AG1095" i="1"/>
  <c r="I949" i="1"/>
  <c r="AG949" i="1"/>
  <c r="AG997" i="1"/>
  <c r="S997" i="1"/>
  <c r="J906" i="1"/>
  <c r="AG1317" i="1"/>
  <c r="AG1355" i="1"/>
  <c r="AG1246" i="1"/>
  <c r="AG1818" i="1"/>
  <c r="AG190" i="1"/>
  <c r="AG2342" i="1"/>
  <c r="J1077" i="1" l="1"/>
  <c r="AG1077" i="1"/>
  <c r="J1040" i="1"/>
  <c r="AG1040" i="1"/>
  <c r="S949" i="1"/>
  <c r="J949" i="1"/>
  <c r="J1317" i="1"/>
  <c r="J997" i="1"/>
  <c r="J1818" i="1"/>
  <c r="J1015" i="1"/>
  <c r="J1246" i="1"/>
  <c r="J1095" i="1"/>
  <c r="J1058" i="1"/>
  <c r="J1355" i="1"/>
  <c r="J2342" i="1"/>
  <c r="AG2341" i="1" l="1"/>
  <c r="J2341" i="1" l="1"/>
  <c r="AF1727" i="1"/>
  <c r="AF898" i="1"/>
  <c r="AG898" i="1" s="1"/>
  <c r="AF1035" i="1"/>
  <c r="I1014" i="1"/>
  <c r="AF1014" i="1"/>
  <c r="S1039" i="1"/>
  <c r="AG1039" i="1"/>
  <c r="S1076" i="1"/>
  <c r="AG1076" i="1"/>
  <c r="AG1125" i="1"/>
  <c r="S967" i="1"/>
  <c r="AG967" i="1"/>
  <c r="AF685" i="1"/>
  <c r="S1094" i="1"/>
  <c r="AG1094" i="1"/>
  <c r="AG1401" i="1"/>
  <c r="AG1508" i="1"/>
  <c r="J921" i="1" l="1"/>
  <c r="J919" i="1"/>
  <c r="J898" i="1"/>
  <c r="J1076" i="1"/>
  <c r="J1039" i="1"/>
  <c r="J1125" i="1"/>
  <c r="J967" i="1"/>
  <c r="J1094" i="1"/>
  <c r="J1401" i="1"/>
  <c r="J1508" i="1"/>
  <c r="AG1333" i="1" l="1"/>
  <c r="AG1328" i="1"/>
  <c r="AG1326" i="1"/>
  <c r="S1093" i="1"/>
  <c r="AG1093" i="1"/>
  <c r="J905" i="1"/>
  <c r="S1057" i="1"/>
  <c r="AG1057" i="1"/>
  <c r="S996" i="1"/>
  <c r="AG996" i="1"/>
  <c r="S995" i="1"/>
  <c r="AG995" i="1"/>
  <c r="J1114" i="1"/>
  <c r="J904" i="1"/>
  <c r="S1056" i="1"/>
  <c r="AG1056" i="1"/>
  <c r="AG1245" i="1"/>
  <c r="AG1314" i="1"/>
  <c r="S1038" i="1"/>
  <c r="AG1038" i="1"/>
  <c r="AG1124" i="1"/>
  <c r="AG1126" i="1"/>
  <c r="S966" i="1"/>
  <c r="AG966" i="1"/>
  <c r="AF2334" i="1"/>
  <c r="J1429" i="1" l="1"/>
  <c r="AG1429" i="1"/>
  <c r="J1507" i="1"/>
  <c r="AG1507" i="1"/>
  <c r="J1438" i="1"/>
  <c r="AG1438" i="1"/>
  <c r="J1333" i="1"/>
  <c r="J1328" i="1"/>
  <c r="J1326" i="1"/>
  <c r="J1093" i="1"/>
  <c r="J1057" i="1"/>
  <c r="J996" i="1"/>
  <c r="J995" i="1"/>
  <c r="J1056" i="1"/>
  <c r="J1245" i="1"/>
  <c r="J1314" i="1"/>
  <c r="J1038" i="1"/>
  <c r="J1124" i="1"/>
  <c r="J1126" i="1"/>
  <c r="J966" i="1"/>
  <c r="I1817" i="1" l="1"/>
  <c r="AG1816" i="1"/>
  <c r="AG1458" i="1"/>
  <c r="J1816" i="1" l="1"/>
  <c r="J1458" i="1"/>
  <c r="AG1750" i="1" l="1"/>
  <c r="J1750" i="1" l="1"/>
  <c r="AG764" i="1" l="1"/>
  <c r="J764" i="1" l="1"/>
  <c r="AG1075" i="1" l="1"/>
  <c r="S1075" i="1"/>
  <c r="S1037" i="1"/>
  <c r="AG1037" i="1"/>
  <c r="AG2083" i="1"/>
  <c r="AG822" i="1"/>
  <c r="I2220" i="1"/>
  <c r="I2219" i="1"/>
  <c r="AG2219" i="1"/>
  <c r="I2218" i="1"/>
  <c r="S1066" i="1"/>
  <c r="AG1066" i="1"/>
  <c r="S1034" i="1"/>
  <c r="AG1034" i="1"/>
  <c r="S1091" i="1"/>
  <c r="S1092" i="1"/>
  <c r="AG1092" i="1"/>
  <c r="S36" i="1"/>
  <c r="S993" i="1"/>
  <c r="S994" i="1"/>
  <c r="AG994" i="1"/>
  <c r="J36" i="1" l="1"/>
  <c r="AG36" i="1"/>
  <c r="J1075" i="1"/>
  <c r="J1037" i="1"/>
  <c r="J2083" i="1"/>
  <c r="J822" i="1"/>
  <c r="J2219" i="1"/>
  <c r="J1066" i="1"/>
  <c r="J1034" i="1"/>
  <c r="J1092" i="1"/>
  <c r="J994" i="1"/>
  <c r="J903" i="1"/>
  <c r="S1036" i="1" l="1"/>
  <c r="AG1036" i="1"/>
  <c r="S959" i="1"/>
  <c r="S964" i="1"/>
  <c r="AG964" i="1"/>
  <c r="AG959" i="1"/>
  <c r="AG1819" i="1"/>
  <c r="AG1817" i="1"/>
  <c r="J1036" i="1" l="1"/>
  <c r="J964" i="1"/>
  <c r="J959" i="1"/>
  <c r="J1817" i="1"/>
  <c r="J1819" i="1"/>
  <c r="AG1316" i="1" l="1"/>
  <c r="AG206" i="1"/>
  <c r="AG184" i="1"/>
  <c r="J1316" i="1" l="1"/>
  <c r="J18" i="1" l="1"/>
  <c r="AG18" i="1"/>
  <c r="J17" i="1"/>
  <c r="AG17" i="1"/>
  <c r="AG278" i="1"/>
  <c r="AG280" i="1"/>
  <c r="AG285" i="1"/>
  <c r="AG310" i="1"/>
  <c r="AG311" i="1"/>
  <c r="J14" i="10"/>
  <c r="K14" i="10"/>
  <c r="L14" i="10"/>
  <c r="M14" i="10"/>
  <c r="J13" i="10"/>
  <c r="K13" i="10"/>
  <c r="L13" i="10"/>
  <c r="M13" i="10"/>
  <c r="G11" i="10"/>
  <c r="H11" i="10"/>
  <c r="I11" i="10"/>
  <c r="J11" i="10"/>
  <c r="K11" i="10"/>
  <c r="L11" i="10"/>
  <c r="M11" i="10"/>
  <c r="G10" i="10"/>
  <c r="H10" i="10"/>
  <c r="I10" i="10"/>
  <c r="J10" i="10"/>
  <c r="K10" i="10"/>
  <c r="L10" i="10"/>
  <c r="M10" i="10"/>
  <c r="F11" i="10"/>
  <c r="F10" i="10"/>
  <c r="J281" i="1" l="1"/>
  <c r="AG281" i="1"/>
  <c r="J311" i="1"/>
  <c r="J310" i="1"/>
  <c r="J285" i="1"/>
  <c r="J280" i="1"/>
  <c r="J278" i="1"/>
  <c r="AG690" i="1"/>
  <c r="J1091" i="1" l="1"/>
  <c r="AG1091" i="1"/>
  <c r="J690" i="1"/>
  <c r="AG1050" i="1" l="1"/>
  <c r="S1050" i="1"/>
  <c r="AG993" i="1"/>
  <c r="J902" i="1"/>
  <c r="J1050" i="1" l="1"/>
  <c r="J993" i="1"/>
  <c r="AG2218" i="1" l="1"/>
  <c r="S1048" i="1"/>
  <c r="S963" i="1"/>
  <c r="AG963" i="1"/>
  <c r="AG1122" i="1"/>
  <c r="S1074" i="1"/>
  <c r="S1014" i="1"/>
  <c r="S1065" i="1"/>
  <c r="AG1065" i="1"/>
  <c r="S1054" i="1"/>
  <c r="S1089" i="1"/>
  <c r="S1090" i="1"/>
  <c r="S991" i="1"/>
  <c r="S992" i="1"/>
  <c r="J901" i="1"/>
  <c r="S2427" i="1"/>
  <c r="S2334" i="1"/>
  <c r="S2204" i="1"/>
  <c r="S2073" i="1"/>
  <c r="S2074" i="1"/>
  <c r="S1928" i="1"/>
  <c r="S1926" i="1"/>
  <c r="S809" i="1"/>
  <c r="S183" i="1"/>
  <c r="S184" i="1"/>
  <c r="S211" i="1"/>
  <c r="S210" i="1"/>
  <c r="S186" i="1"/>
  <c r="S185" i="1"/>
  <c r="S188" i="1"/>
  <c r="S187" i="1"/>
  <c r="S196" i="1"/>
  <c r="S195" i="1"/>
  <c r="S207" i="1"/>
  <c r="S206" i="1"/>
  <c r="S209" i="1"/>
  <c r="S208" i="1"/>
  <c r="S190" i="1"/>
  <c r="S1594" i="1"/>
  <c r="S1595" i="1"/>
  <c r="S739" i="1"/>
  <c r="S706" i="1"/>
  <c r="S580" i="1"/>
  <c r="S1915" i="1"/>
  <c r="S1901" i="1"/>
  <c r="S2325" i="1"/>
  <c r="S2326" i="1"/>
  <c r="S2327" i="1"/>
  <c r="S2328" i="1"/>
  <c r="S2066" i="1"/>
  <c r="S2063" i="1"/>
  <c r="S2064" i="1"/>
  <c r="S2061" i="1"/>
  <c r="S1134" i="1"/>
  <c r="S979" i="1"/>
  <c r="S980" i="1"/>
  <c r="S981" i="1"/>
  <c r="S982" i="1"/>
  <c r="S983" i="1"/>
  <c r="S984" i="1"/>
  <c r="S985" i="1"/>
  <c r="S987" i="1"/>
  <c r="S986" i="1"/>
  <c r="S988" i="1"/>
  <c r="S989" i="1"/>
  <c r="S990" i="1"/>
  <c r="S1024" i="1"/>
  <c r="S1025" i="1"/>
  <c r="S1026" i="1"/>
  <c r="S1032" i="1"/>
  <c r="S1033" i="1"/>
  <c r="S1064" i="1"/>
  <c r="S960" i="1"/>
  <c r="S961" i="1"/>
  <c r="S962" i="1"/>
  <c r="S944" i="1"/>
  <c r="S945" i="1"/>
  <c r="S946" i="1"/>
  <c r="S947" i="1"/>
  <c r="S929" i="1"/>
  <c r="S930" i="1"/>
  <c r="S931" i="1"/>
  <c r="S932" i="1"/>
  <c r="S933" i="1"/>
  <c r="S934" i="1"/>
  <c r="S935" i="1"/>
  <c r="S936" i="1"/>
  <c r="S938" i="1"/>
  <c r="S937" i="1"/>
  <c r="S939" i="1"/>
  <c r="S940" i="1"/>
  <c r="S1046" i="1"/>
  <c r="S1049" i="1"/>
  <c r="S1051" i="1"/>
  <c r="S1053" i="1"/>
  <c r="S1052" i="1"/>
  <c r="S1069" i="1"/>
  <c r="S1070" i="1"/>
  <c r="S1071" i="1"/>
  <c r="S1073" i="1"/>
  <c r="S1087" i="1"/>
  <c r="S1088" i="1"/>
  <c r="S2422" i="1"/>
  <c r="S2419" i="1"/>
  <c r="S2417" i="1"/>
  <c r="S2415" i="1"/>
  <c r="S2059" i="1"/>
  <c r="S2057" i="1"/>
  <c r="S2053" i="1"/>
  <c r="S2054" i="1"/>
  <c r="S2051" i="1"/>
  <c r="S2049" i="1"/>
  <c r="S2047" i="1"/>
  <c r="S2197" i="1"/>
  <c r="S2198" i="1"/>
  <c r="S2195" i="1"/>
  <c r="S2193" i="1"/>
  <c r="S2190" i="1"/>
  <c r="S2188" i="1"/>
  <c r="S2186" i="1"/>
  <c r="S2322" i="1"/>
  <c r="S2320" i="1"/>
  <c r="S2317" i="1"/>
  <c r="S2318" i="1"/>
  <c r="S2314" i="1"/>
  <c r="S2315" i="1"/>
  <c r="S2311" i="1"/>
  <c r="S2312" i="1"/>
  <c r="S1153" i="1"/>
  <c r="S1154" i="1"/>
  <c r="S1155" i="1"/>
  <c r="S1156" i="1"/>
  <c r="S1148" i="1"/>
  <c r="S1149" i="1"/>
  <c r="S1150" i="1"/>
  <c r="S684" i="1"/>
  <c r="S681" i="1"/>
  <c r="S682" i="1"/>
  <c r="S679" i="1"/>
  <c r="S144" i="1"/>
  <c r="S2518" i="1"/>
  <c r="S2519" i="1"/>
  <c r="S2516" i="1"/>
  <c r="S2514" i="1"/>
  <c r="S2511" i="1"/>
  <c r="S2507" i="1"/>
  <c r="S2508" i="1"/>
  <c r="S2041" i="1"/>
  <c r="S2043" i="1"/>
  <c r="S2042" i="1"/>
  <c r="S2038" i="1"/>
  <c r="S2034" i="1"/>
  <c r="S2035" i="1"/>
  <c r="S2031" i="1"/>
  <c r="S2032" i="1"/>
  <c r="S2028" i="1"/>
  <c r="S2029" i="1"/>
  <c r="S2026" i="1"/>
  <c r="S2181" i="1"/>
  <c r="S2177" i="1"/>
  <c r="S2178" i="1"/>
  <c r="S2175" i="1"/>
  <c r="S2413" i="1"/>
  <c r="S2410" i="1"/>
  <c r="S2411" i="1"/>
  <c r="S2403" i="1"/>
  <c r="S2408" i="1"/>
  <c r="S2405" i="1"/>
  <c r="S2406" i="1"/>
  <c r="S2401" i="1"/>
  <c r="S2398" i="1"/>
  <c r="S2399" i="1"/>
  <c r="S2396" i="1"/>
  <c r="S1895" i="1"/>
  <c r="S1896" i="1"/>
  <c r="S575" i="1"/>
  <c r="S576" i="1"/>
  <c r="S577" i="1"/>
  <c r="S578" i="1"/>
  <c r="S1870" i="1"/>
  <c r="S1871" i="1"/>
  <c r="S951" i="1"/>
  <c r="S2394" i="1"/>
  <c r="S2024" i="1"/>
  <c r="S401" i="1"/>
  <c r="S1623" i="1"/>
  <c r="S1621" i="1"/>
  <c r="S1619" i="1"/>
  <c r="S1617" i="1"/>
  <c r="S1614" i="1"/>
  <c r="S1609" i="1"/>
  <c r="S1610" i="1"/>
  <c r="S1611" i="1"/>
  <c r="S1551" i="1"/>
  <c r="S1552" i="1"/>
  <c r="S1553" i="1"/>
  <c r="S1549" i="1"/>
  <c r="S1545" i="1"/>
  <c r="S1546" i="1"/>
  <c r="S1542" i="1"/>
  <c r="S1543" i="1"/>
  <c r="S1538" i="1"/>
  <c r="S1539" i="1"/>
  <c r="S1540" i="1"/>
  <c r="S1536" i="1"/>
  <c r="S666" i="1"/>
  <c r="S1662" i="1"/>
  <c r="S1663" i="1"/>
  <c r="S1664" i="1"/>
  <c r="S1674" i="1"/>
  <c r="S1659" i="1"/>
  <c r="S1660" i="1"/>
  <c r="S1655" i="1"/>
  <c r="S1672" i="1"/>
  <c r="S581" i="1"/>
  <c r="S673" i="1"/>
  <c r="S48" i="1"/>
  <c r="S49" i="1"/>
  <c r="S93" i="1"/>
  <c r="S1410" i="1"/>
  <c r="S1299" i="1"/>
  <c r="S1300" i="1"/>
  <c r="S1301" i="1"/>
  <c r="S1302" i="1"/>
  <c r="S1303" i="1"/>
  <c r="S1304" i="1"/>
  <c r="S1305" i="1"/>
  <c r="S1306" i="1"/>
  <c r="I1874" i="1"/>
  <c r="AG1881" i="1"/>
  <c r="J1054" i="1" l="1"/>
  <c r="AG1054" i="1"/>
  <c r="J992" i="1"/>
  <c r="AG992" i="1"/>
  <c r="J1014" i="1"/>
  <c r="AG1014" i="1"/>
  <c r="J1048" i="1"/>
  <c r="AG1048" i="1"/>
  <c r="J1090" i="1"/>
  <c r="AG1090" i="1"/>
  <c r="J1074" i="1"/>
  <c r="AG1074" i="1"/>
  <c r="J1122" i="1"/>
  <c r="J2218" i="1"/>
  <c r="S1063" i="1"/>
  <c r="S1022" i="1"/>
  <c r="S978" i="1"/>
  <c r="J963" i="1"/>
  <c r="J1065" i="1"/>
  <c r="J1881" i="1"/>
  <c r="AG676" i="1"/>
  <c r="AG685" i="1"/>
  <c r="AG2215" i="1"/>
  <c r="J2215" i="1" l="1"/>
  <c r="I2535" i="1" l="1"/>
  <c r="AF714" i="1"/>
  <c r="I1242" i="1"/>
  <c r="I1244" i="1"/>
  <c r="S948" i="1" l="1"/>
  <c r="AF820" i="1"/>
  <c r="I820" i="1"/>
  <c r="I819" i="1"/>
  <c r="AG819" i="1"/>
  <c r="AG818" i="1"/>
  <c r="I2533" i="1"/>
  <c r="AG2533" i="1"/>
  <c r="AG2534" i="1"/>
  <c r="I2214" i="1"/>
  <c r="I2213" i="1"/>
  <c r="AG2213" i="1"/>
  <c r="I2212" i="1"/>
  <c r="AG2211" i="1"/>
  <c r="AG1630" i="1"/>
  <c r="AG1564" i="1"/>
  <c r="J819" i="1" l="1"/>
  <c r="J818" i="1"/>
  <c r="J2533" i="1"/>
  <c r="J2534" i="1"/>
  <c r="J2213" i="1"/>
  <c r="J2211" i="1"/>
  <c r="J1630" i="1"/>
  <c r="J1564" i="1"/>
  <c r="AG1089" i="1"/>
  <c r="AG955" i="1"/>
  <c r="J1113" i="1"/>
  <c r="S1068" i="1"/>
  <c r="AG1064" i="1"/>
  <c r="AG1033" i="1"/>
  <c r="S1035" i="1" l="1"/>
  <c r="J955" i="1"/>
  <c r="J1064" i="1"/>
  <c r="J1089" i="1"/>
  <c r="J1033" i="1"/>
  <c r="AG991" i="1" l="1"/>
  <c r="S1085" i="1"/>
  <c r="AG1073" i="1"/>
  <c r="AG961" i="1"/>
  <c r="AG962" i="1"/>
  <c r="AG965" i="1"/>
  <c r="S965" i="1" l="1"/>
  <c r="S1012" i="1"/>
  <c r="J991" i="1"/>
  <c r="J900" i="1"/>
  <c r="J1073" i="1"/>
  <c r="J961" i="1"/>
  <c r="J962" i="1"/>
  <c r="J965" i="1"/>
  <c r="J1864" i="1" l="1"/>
  <c r="AG1864" i="1"/>
  <c r="AG1567" i="1"/>
  <c r="AG1497" i="1"/>
  <c r="AG1464" i="1"/>
  <c r="AG1431" i="1"/>
  <c r="AG1403" i="1"/>
  <c r="AG1389" i="1"/>
  <c r="AG1392" i="1"/>
  <c r="AG1364" i="1"/>
  <c r="AG1358" i="1"/>
  <c r="I2532" i="1"/>
  <c r="AG2532" i="1"/>
  <c r="J1496" i="1" l="1"/>
  <c r="AG1496" i="1"/>
  <c r="J1494" i="1"/>
  <c r="AG1494" i="1"/>
  <c r="J1567" i="1"/>
  <c r="J1497" i="1"/>
  <c r="J1464" i="1"/>
  <c r="J1431" i="1"/>
  <c r="J1403" i="1"/>
  <c r="J1358" i="1"/>
  <c r="J1389" i="1"/>
  <c r="J1364" i="1"/>
  <c r="J1392" i="1"/>
  <c r="J1330" i="1"/>
  <c r="J2532" i="1"/>
  <c r="I2435" i="1" l="1"/>
  <c r="AG2437" i="1"/>
  <c r="J2437" i="1" l="1"/>
  <c r="AG2438" i="1" l="1"/>
  <c r="J1629" i="1" l="1"/>
  <c r="AG1629" i="1"/>
  <c r="J1563" i="1"/>
  <c r="AG1563" i="1"/>
  <c r="J2082" i="1"/>
  <c r="AG2082" i="1"/>
  <c r="J2438" i="1"/>
  <c r="AG1243" i="1" l="1"/>
  <c r="J1802" i="1" l="1"/>
  <c r="AG1802" i="1"/>
  <c r="J1243" i="1"/>
  <c r="J1627" i="1" l="1"/>
  <c r="AG1627" i="1"/>
  <c r="AF1232" i="1"/>
  <c r="AF1231" i="1"/>
  <c r="AF1562" i="1" l="1"/>
  <c r="J899" i="1"/>
  <c r="AG2535" i="1"/>
  <c r="AG2436" i="1"/>
  <c r="AG2081" i="1"/>
  <c r="AG954" i="1"/>
  <c r="AG1027" i="1"/>
  <c r="AG1032" i="1"/>
  <c r="AG816" i="1"/>
  <c r="AG2435" i="1"/>
  <c r="I1936" i="1"/>
  <c r="AG1936" i="1"/>
  <c r="J990" i="1" l="1"/>
  <c r="AG990" i="1"/>
  <c r="J1562" i="1"/>
  <c r="AG1562" i="1"/>
  <c r="S1031" i="1"/>
  <c r="J2436" i="1"/>
  <c r="J2081" i="1"/>
  <c r="J2535" i="1"/>
  <c r="J954" i="1"/>
  <c r="J1027" i="1"/>
  <c r="J1032" i="1"/>
  <c r="J816" i="1"/>
  <c r="J2435" i="1"/>
  <c r="J1936" i="1"/>
  <c r="AG887" i="1" l="1"/>
  <c r="AG1764" i="1"/>
  <c r="AG1758" i="1"/>
  <c r="AG136" i="1"/>
  <c r="J1486" i="1" l="1"/>
  <c r="AG1486" i="1"/>
  <c r="J887" i="1"/>
  <c r="J1764" i="1"/>
  <c r="J1758" i="1"/>
  <c r="J136" i="1"/>
  <c r="AG2080" i="1" l="1"/>
  <c r="AG2210" i="1"/>
  <c r="J1934" i="1" l="1"/>
  <c r="AG1934" i="1"/>
  <c r="J2080" i="1"/>
  <c r="J2210" i="1"/>
  <c r="AG1595" i="1"/>
  <c r="AG1457" i="1"/>
  <c r="I1814" i="1"/>
  <c r="AG1814" i="1"/>
  <c r="AG1241" i="1"/>
  <c r="I1677" i="1"/>
  <c r="I1312" i="1"/>
  <c r="I1560" i="1"/>
  <c r="AG1560" i="1"/>
  <c r="AG1751" i="1"/>
  <c r="AG1801" i="1"/>
  <c r="AF1800" i="1"/>
  <c r="J363" i="1" l="1"/>
  <c r="AG363" i="1"/>
  <c r="J1595" i="1"/>
  <c r="J1457" i="1"/>
  <c r="J1241" i="1"/>
  <c r="J1814" i="1"/>
  <c r="J1560" i="1"/>
  <c r="J1751" i="1"/>
  <c r="J1801" i="1"/>
  <c r="AF1746" i="1"/>
  <c r="J1558" i="1" l="1"/>
  <c r="AG1558" i="1"/>
  <c r="AG399" i="1"/>
  <c r="AG395" i="1"/>
  <c r="AG940" i="1"/>
  <c r="AG989" i="1"/>
  <c r="AG947" i="1"/>
  <c r="AG1025" i="1"/>
  <c r="AG1026" i="1"/>
  <c r="AG953" i="1"/>
  <c r="AG359" i="1"/>
  <c r="S943" i="1" l="1"/>
  <c r="J940" i="1"/>
  <c r="J989" i="1"/>
  <c r="J947" i="1"/>
  <c r="J1025" i="1"/>
  <c r="J1026" i="1"/>
  <c r="J953" i="1"/>
  <c r="J359" i="1"/>
  <c r="I1311" i="1" l="1"/>
  <c r="AG1311" i="1"/>
  <c r="AG1493" i="1"/>
  <c r="AG1123" i="1"/>
  <c r="AG960" i="1"/>
  <c r="J118" i="1" l="1"/>
  <c r="AG118" i="1"/>
  <c r="J1311" i="1"/>
  <c r="J1493" i="1"/>
  <c r="J1123" i="1"/>
  <c r="J960" i="1"/>
  <c r="I1812" i="1" l="1"/>
  <c r="AG2079" i="1"/>
  <c r="I2209" i="1"/>
  <c r="AG2209" i="1"/>
  <c r="AG2434" i="1"/>
  <c r="J765" i="1" l="1"/>
  <c r="AG765" i="1"/>
  <c r="J2209" i="1"/>
  <c r="J2079" i="1"/>
  <c r="J2434" i="1"/>
  <c r="AG1749" i="1" l="1"/>
  <c r="AG1813" i="1"/>
  <c r="AG2617" i="1"/>
  <c r="J2617" i="1" l="1"/>
  <c r="J1813" i="1"/>
  <c r="J1749" i="1"/>
  <c r="I1239" i="1"/>
  <c r="AG1239" i="1"/>
  <c r="AG1811" i="1"/>
  <c r="AG1798" i="1"/>
  <c r="J1239" i="1" l="1"/>
  <c r="J1811" i="1"/>
  <c r="J1798" i="1"/>
  <c r="AG662" i="1" l="1"/>
  <c r="AG670" i="1"/>
  <c r="AG653" i="1"/>
  <c r="J662" i="1" l="1"/>
  <c r="J670" i="1"/>
  <c r="J653" i="1"/>
  <c r="AG1870" i="1" l="1"/>
  <c r="AG1625" i="1"/>
  <c r="AG1850" i="1"/>
  <c r="AG1775" i="1"/>
  <c r="J1870" i="1" l="1"/>
  <c r="J1625" i="1"/>
  <c r="J1850" i="1"/>
  <c r="J1775" i="1"/>
  <c r="I1072" i="1"/>
  <c r="AG1072" i="1"/>
  <c r="AG1071" i="1"/>
  <c r="S1072" i="1" l="1"/>
  <c r="J1072" i="1"/>
  <c r="J1071" i="1"/>
  <c r="J897" i="1"/>
  <c r="AG943" i="1" l="1"/>
  <c r="AG939" i="1"/>
  <c r="J939" i="1" l="1"/>
  <c r="J943" i="1"/>
  <c r="AG659" i="1" l="1"/>
  <c r="AG658" i="1"/>
  <c r="AG1748" i="1"/>
  <c r="AG1744" i="1"/>
  <c r="J659" i="1" l="1"/>
  <c r="J658" i="1"/>
  <c r="J1748" i="1"/>
  <c r="J1744" i="1"/>
  <c r="AG1862" i="1" l="1"/>
  <c r="AG948" i="1"/>
  <c r="AG1308" i="1"/>
  <c r="J1799" i="1" l="1"/>
  <c r="AG1799" i="1"/>
  <c r="J948" i="1"/>
  <c r="J1862" i="1"/>
  <c r="J1308" i="1"/>
  <c r="AG601" i="1" l="1"/>
  <c r="AG114" i="1"/>
  <c r="AG113" i="1"/>
  <c r="AG952" i="1"/>
  <c r="AG1012" i="1"/>
  <c r="AG988" i="1"/>
  <c r="AG1024" i="1"/>
  <c r="J988" i="1" l="1"/>
  <c r="J601" i="1"/>
  <c r="J114" i="1"/>
  <c r="J113" i="1"/>
  <c r="J952" i="1"/>
  <c r="J1012" i="1"/>
  <c r="J1024" i="1"/>
  <c r="AG1747" i="1" l="1"/>
  <c r="AG1456" i="1"/>
  <c r="AG2338" i="1"/>
  <c r="AG2078" i="1"/>
  <c r="AG1931" i="1"/>
  <c r="AG814" i="1"/>
  <c r="J1456" i="1" l="1"/>
  <c r="J2078" i="1"/>
  <c r="J1747" i="1"/>
  <c r="J2338" i="1"/>
  <c r="J1931" i="1"/>
  <c r="J814" i="1"/>
  <c r="J675" i="1" l="1"/>
  <c r="AG675" i="1"/>
  <c r="AG674" i="1"/>
  <c r="J673" i="1" l="1"/>
  <c r="AG673" i="1"/>
  <c r="J674" i="1"/>
  <c r="J763" i="1" l="1"/>
  <c r="AG763" i="1"/>
  <c r="J1559" i="1" l="1"/>
  <c r="AG1559" i="1"/>
  <c r="AG2531" i="1"/>
  <c r="AG2530" i="1"/>
  <c r="AG2524" i="1"/>
  <c r="AG2433" i="1"/>
  <c r="AG2216" i="1"/>
  <c r="AG2214" i="1"/>
  <c r="AG2212" i="1"/>
  <c r="AG2208" i="1"/>
  <c r="AG2084" i="1"/>
  <c r="AG1935" i="1"/>
  <c r="AG1933" i="1"/>
  <c r="AG713" i="1"/>
  <c r="J622" i="1" l="1"/>
  <c r="AG622" i="1"/>
  <c r="J2524" i="1"/>
  <c r="J2531" i="1"/>
  <c r="J2530" i="1"/>
  <c r="J2433" i="1"/>
  <c r="J2212" i="1"/>
  <c r="J2084" i="1"/>
  <c r="J2208" i="1"/>
  <c r="J2216" i="1"/>
  <c r="J2214" i="1"/>
  <c r="J1935" i="1"/>
  <c r="J1933" i="1"/>
  <c r="J713" i="1"/>
  <c r="AG945" i="1"/>
  <c r="AG987" i="1"/>
  <c r="J896" i="1"/>
  <c r="AG938" i="1"/>
  <c r="AG1053" i="1"/>
  <c r="J945" i="1" l="1"/>
  <c r="J987" i="1"/>
  <c r="J938" i="1"/>
  <c r="J1053" i="1"/>
  <c r="AG944" i="1" l="1"/>
  <c r="J2432" i="1" l="1"/>
  <c r="AG2432" i="1"/>
  <c r="J813" i="1"/>
  <c r="AG813" i="1"/>
  <c r="J944" i="1"/>
  <c r="AG1454" i="1"/>
  <c r="AG1677" i="1"/>
  <c r="AG2206" i="1"/>
  <c r="AG2430" i="1"/>
  <c r="AG811" i="1"/>
  <c r="J1236" i="1" l="1"/>
  <c r="AG1236" i="1"/>
  <c r="J1679" i="1"/>
  <c r="AG1679" i="1"/>
  <c r="J1677" i="1"/>
  <c r="J1454" i="1"/>
  <c r="J2206" i="1"/>
  <c r="J2430" i="1"/>
  <c r="J811" i="1"/>
  <c r="AF2077" i="1" l="1"/>
  <c r="AG2074" i="1" l="1"/>
  <c r="J2074" i="1" l="1"/>
  <c r="AG2429" i="1" l="1"/>
  <c r="AG809" i="1"/>
  <c r="J2429" i="1" l="1"/>
  <c r="J809" i="1"/>
  <c r="AG2077" i="1"/>
  <c r="AG712" i="1"/>
  <c r="AG714" i="1"/>
  <c r="AG715" i="1"/>
  <c r="J1928" i="1" l="1"/>
  <c r="AG1928" i="1"/>
  <c r="J2077" i="1"/>
  <c r="AG264" i="1"/>
  <c r="AG651" i="1"/>
  <c r="AG650" i="1"/>
  <c r="AG649" i="1"/>
  <c r="AG648" i="1"/>
  <c r="AG647" i="1"/>
  <c r="AG646" i="1"/>
  <c r="AG645" i="1"/>
  <c r="AG644" i="1"/>
  <c r="AG643" i="1"/>
  <c r="AG642" i="1"/>
  <c r="AG641" i="1"/>
  <c r="AG639" i="1"/>
  <c r="AG640" i="1"/>
  <c r="AG637" i="1"/>
  <c r="AG634" i="1"/>
  <c r="AG2628" i="1"/>
  <c r="AG2634" i="1"/>
  <c r="J2629" i="1" l="1"/>
  <c r="AG2629" i="1"/>
  <c r="J276" i="1"/>
  <c r="AG276" i="1"/>
  <c r="J266" i="1"/>
  <c r="AG266" i="1"/>
  <c r="J2635" i="1"/>
  <c r="AG2635" i="1"/>
  <c r="J265" i="1"/>
  <c r="AG265" i="1"/>
  <c r="J2633" i="1"/>
  <c r="AG2633" i="1"/>
  <c r="J635" i="1"/>
  <c r="AG635" i="1"/>
  <c r="J2631" i="1"/>
  <c r="AG2631" i="1"/>
  <c r="J2630" i="1"/>
  <c r="AG2630" i="1"/>
  <c r="J639" i="1"/>
  <c r="J641" i="1"/>
  <c r="J643" i="1"/>
  <c r="J644" i="1"/>
  <c r="J645" i="1"/>
  <c r="J646" i="1"/>
  <c r="J647" i="1"/>
  <c r="J648" i="1"/>
  <c r="J649" i="1"/>
  <c r="J650" i="1"/>
  <c r="J651" i="1"/>
  <c r="J264" i="1"/>
  <c r="J642" i="1"/>
  <c r="J637" i="1"/>
  <c r="J634" i="1"/>
  <c r="J640" i="1"/>
  <c r="J2628" i="1"/>
  <c r="J2634" i="1"/>
  <c r="AG1052" i="1"/>
  <c r="AG937" i="1"/>
  <c r="J666" i="1" l="1"/>
  <c r="AG666" i="1"/>
  <c r="J1052" i="1"/>
  <c r="J895" i="1"/>
  <c r="J937" i="1"/>
  <c r="AG735" i="1" l="1"/>
  <c r="J1746" i="1" l="1"/>
  <c r="AG1746" i="1"/>
  <c r="J1753" i="1"/>
  <c r="AG1753" i="1"/>
  <c r="J1771" i="1"/>
  <c r="AG1771" i="1"/>
  <c r="AG630" i="1"/>
  <c r="AG628" i="1"/>
  <c r="AG625" i="1"/>
  <c r="AG624" i="1"/>
  <c r="AG623" i="1"/>
  <c r="AG2625" i="1"/>
  <c r="J636" i="1" l="1"/>
  <c r="AG636" i="1"/>
  <c r="J623" i="1"/>
  <c r="J624" i="1"/>
  <c r="J625" i="1"/>
  <c r="J628" i="1"/>
  <c r="J630" i="1"/>
  <c r="J2625" i="1"/>
  <c r="AG1234" i="1" l="1"/>
  <c r="J1234" i="1" l="1"/>
  <c r="AG1861" i="1" l="1"/>
  <c r="AG1855" i="1"/>
  <c r="AG1676" i="1"/>
  <c r="AG1587" i="1"/>
  <c r="AG1584" i="1"/>
  <c r="AG1583" i="1"/>
  <c r="AG1582" i="1"/>
  <c r="AG1581" i="1"/>
  <c r="AG1576" i="1"/>
  <c r="AG1465" i="1"/>
  <c r="AG1462" i="1"/>
  <c r="AG1459" i="1"/>
  <c r="AG1336" i="1"/>
  <c r="AG1321" i="1"/>
  <c r="AG1310" i="1"/>
  <c r="AG1278" i="1"/>
  <c r="AG1276" i="1"/>
  <c r="AG39" i="1"/>
  <c r="AG1809" i="1"/>
  <c r="AG1808" i="1"/>
  <c r="AG1807" i="1"/>
  <c r="AG22" i="1"/>
  <c r="AG30" i="1"/>
  <c r="AG61" i="1"/>
  <c r="AG40" i="1"/>
  <c r="AG94" i="1"/>
  <c r="AG817" i="1"/>
  <c r="AG820" i="1"/>
  <c r="AG2217" i="1"/>
  <c r="AG2220" i="1"/>
  <c r="AG2340" i="1"/>
  <c r="AG2343" i="1"/>
  <c r="AG2536" i="1"/>
  <c r="AG2537" i="1"/>
  <c r="AG823" i="1"/>
  <c r="AG824" i="1"/>
  <c r="AG767" i="1"/>
  <c r="AG2222" i="1"/>
  <c r="AG2085" i="1"/>
  <c r="AG2538" i="1"/>
  <c r="AG749" i="1"/>
  <c r="AG826" i="1"/>
  <c r="AG827" i="1"/>
  <c r="AG1939" i="1"/>
  <c r="AG1943" i="1"/>
  <c r="AG1960" i="1"/>
  <c r="AG835" i="1"/>
  <c r="AG721" i="1"/>
  <c r="AG34" i="1"/>
  <c r="AG37" i="1"/>
  <c r="AG706" i="1"/>
  <c r="AG2526" i="1"/>
  <c r="AG2427" i="1"/>
  <c r="AG2204" i="1"/>
  <c r="AG2334" i="1"/>
  <c r="AG1926" i="1"/>
  <c r="I890" i="1"/>
  <c r="AG890" i="1"/>
  <c r="AG687" i="1"/>
  <c r="AG1070" i="1"/>
  <c r="AG986" i="1"/>
  <c r="AG936" i="1"/>
  <c r="AG1235" i="1"/>
  <c r="AG686" i="1"/>
  <c r="AG112" i="1"/>
  <c r="AG263" i="1"/>
  <c r="AG1624" i="1"/>
  <c r="AF1554" i="1"/>
  <c r="AG1553" i="1"/>
  <c r="AG1088" i="1"/>
  <c r="G27" i="10"/>
  <c r="G13" i="10" s="1"/>
  <c r="H27" i="10"/>
  <c r="H13" i="10" s="1"/>
  <c r="I27" i="10"/>
  <c r="I13" i="10" s="1"/>
  <c r="G28" i="10"/>
  <c r="G14" i="10" s="1"/>
  <c r="H28" i="10"/>
  <c r="H14" i="10" s="1"/>
  <c r="I28" i="10"/>
  <c r="I14" i="10" s="1"/>
  <c r="F28" i="10"/>
  <c r="F14" i="10" s="1"/>
  <c r="F68" i="10"/>
  <c r="G68" i="10"/>
  <c r="H68" i="10"/>
  <c r="I68" i="10"/>
  <c r="F27" i="10"/>
  <c r="F13" i="10" s="1"/>
  <c r="F42" i="10"/>
  <c r="G42" i="10"/>
  <c r="H42" i="10"/>
  <c r="I42" i="10"/>
  <c r="F55" i="10"/>
  <c r="G55" i="10"/>
  <c r="H55" i="10"/>
  <c r="I55" i="10"/>
  <c r="N63" i="10"/>
  <c r="O63" i="10"/>
  <c r="N64" i="10"/>
  <c r="O64" i="10"/>
  <c r="F65" i="10"/>
  <c r="G65" i="10"/>
  <c r="H65" i="10"/>
  <c r="I65" i="10"/>
  <c r="N66" i="10"/>
  <c r="O66" i="10"/>
  <c r="N67" i="10"/>
  <c r="O67" i="10"/>
  <c r="B68" i="10"/>
  <c r="C68" i="10"/>
  <c r="D68" i="10"/>
  <c r="E68" i="10"/>
  <c r="N50" i="10"/>
  <c r="O50" i="10"/>
  <c r="N51" i="10"/>
  <c r="O51" i="10"/>
  <c r="F52" i="10"/>
  <c r="G52" i="10"/>
  <c r="H52" i="10"/>
  <c r="I52" i="10"/>
  <c r="N53" i="10"/>
  <c r="O53" i="10"/>
  <c r="N54" i="10"/>
  <c r="O54" i="10"/>
  <c r="B55" i="10"/>
  <c r="C55" i="10"/>
  <c r="D55" i="10"/>
  <c r="E55" i="10"/>
  <c r="N37" i="10"/>
  <c r="O37" i="10"/>
  <c r="N38" i="10"/>
  <c r="O38" i="10"/>
  <c r="F39" i="10"/>
  <c r="G39" i="10"/>
  <c r="H39" i="10"/>
  <c r="I39" i="10"/>
  <c r="N40" i="10"/>
  <c r="O40" i="10"/>
  <c r="N41" i="10"/>
  <c r="O41" i="10"/>
  <c r="B42" i="10"/>
  <c r="C42" i="10"/>
  <c r="D42" i="10"/>
  <c r="E42" i="10"/>
  <c r="N24" i="10"/>
  <c r="O24" i="10"/>
  <c r="N25" i="10"/>
  <c r="O25" i="10"/>
  <c r="F26" i="10"/>
  <c r="G26" i="10"/>
  <c r="H26" i="10"/>
  <c r="I26" i="10"/>
  <c r="B29" i="10"/>
  <c r="C29" i="10"/>
  <c r="D29" i="10"/>
  <c r="E29" i="10"/>
  <c r="AG1552" i="1"/>
  <c r="AG805" i="1"/>
  <c r="AG1551" i="1"/>
  <c r="AG933" i="1"/>
  <c r="AG983" i="1"/>
  <c r="AF1618" i="1"/>
  <c r="AG1426" i="1"/>
  <c r="AF600" i="1"/>
  <c r="AG1306" i="1"/>
  <c r="AG1674" i="1"/>
  <c r="AG1231" i="1"/>
  <c r="Q1739" i="1"/>
  <c r="AG1739" i="1"/>
  <c r="AG1312" i="1"/>
  <c r="AG1628" i="1"/>
  <c r="AG1425" i="1"/>
  <c r="AG1250" i="1"/>
  <c r="AG1423" i="1"/>
  <c r="AG801" i="1"/>
  <c r="AG144" i="1"/>
  <c r="AG806" i="1"/>
  <c r="AG1304" i="1"/>
  <c r="AF1662" i="1"/>
  <c r="AG1424" i="1"/>
  <c r="AF1672" i="1"/>
  <c r="AG930" i="1"/>
  <c r="AG980" i="1"/>
  <c r="AG1492" i="1"/>
  <c r="F12" i="10"/>
  <c r="G12" i="10"/>
  <c r="H12" i="10"/>
  <c r="O10" i="10"/>
  <c r="N10" i="10"/>
  <c r="I12" i="10"/>
  <c r="B16" i="10"/>
  <c r="C16" i="10"/>
  <c r="D16" i="10"/>
  <c r="E16" i="10"/>
  <c r="AG668" i="1"/>
  <c r="I1298" i="1"/>
  <c r="AG2201" i="1"/>
  <c r="AG2068" i="1"/>
  <c r="AG1922" i="1"/>
  <c r="AG357" i="1"/>
  <c r="AG580" i="1"/>
  <c r="AF259" i="1"/>
  <c r="AF356" i="1"/>
  <c r="AG355" i="1"/>
  <c r="AG684" i="1"/>
  <c r="AG1614" i="1"/>
  <c r="AG1303" i="1"/>
  <c r="AF1547" i="1"/>
  <c r="AG1672" i="1" l="1"/>
  <c r="J1233" i="1"/>
  <c r="AG1233" i="1"/>
  <c r="J1621" i="1"/>
  <c r="AG1621" i="1"/>
  <c r="J982" i="1"/>
  <c r="AG982" i="1"/>
  <c r="J803" i="1"/>
  <c r="AG803" i="1"/>
  <c r="J1561" i="1"/>
  <c r="AG1561" i="1"/>
  <c r="J951" i="1"/>
  <c r="AG951" i="1"/>
  <c r="J1924" i="1"/>
  <c r="AG1924" i="1"/>
  <c r="J1923" i="1"/>
  <c r="AG1923" i="1"/>
  <c r="J2067" i="1"/>
  <c r="AG2067" i="1"/>
  <c r="J981" i="1"/>
  <c r="AG981" i="1"/>
  <c r="J261" i="1"/>
  <c r="AG261" i="1"/>
  <c r="J1555" i="1"/>
  <c r="AG1555" i="1"/>
  <c r="J1428" i="1"/>
  <c r="AG1428" i="1"/>
  <c r="J2073" i="1"/>
  <c r="AG2073" i="1"/>
  <c r="J1767" i="1"/>
  <c r="AG1767" i="1"/>
  <c r="J1554" i="1"/>
  <c r="AG1554" i="1"/>
  <c r="J1354" i="1"/>
  <c r="AG1354" i="1"/>
  <c r="J932" i="1"/>
  <c r="AG932" i="1"/>
  <c r="J1309" i="1"/>
  <c r="AG1309" i="1"/>
  <c r="J1623" i="1"/>
  <c r="AG1623" i="1"/>
  <c r="J984" i="1"/>
  <c r="AG984" i="1"/>
  <c r="J985" i="1"/>
  <c r="AG985" i="1"/>
  <c r="J1680" i="1"/>
  <c r="AG1680" i="1"/>
  <c r="J1305" i="1"/>
  <c r="AG1305" i="1"/>
  <c r="J2523" i="1"/>
  <c r="AG2523" i="1"/>
  <c r="J1617" i="1"/>
  <c r="AG1617" i="1"/>
  <c r="J804" i="1"/>
  <c r="AG804" i="1"/>
  <c r="J934" i="1"/>
  <c r="AG934" i="1"/>
  <c r="J935" i="1"/>
  <c r="AG935" i="1"/>
  <c r="J1556" i="1"/>
  <c r="AG1556" i="1"/>
  <c r="J20" i="1"/>
  <c r="AG20" i="1"/>
  <c r="J744" i="1"/>
  <c r="AG744" i="1"/>
  <c r="J1873" i="1"/>
  <c r="AG1873" i="1"/>
  <c r="J1510" i="1"/>
  <c r="AG1510" i="1"/>
  <c r="J1806" i="1"/>
  <c r="AG1806" i="1"/>
  <c r="J931" i="1"/>
  <c r="AG931" i="1"/>
  <c r="J258" i="1"/>
  <c r="AG258" i="1"/>
  <c r="J1921" i="1"/>
  <c r="AG1921" i="1"/>
  <c r="J2066" i="1"/>
  <c r="AG2066" i="1"/>
  <c r="J2071" i="1"/>
  <c r="AG2071" i="1"/>
  <c r="J802" i="1"/>
  <c r="AG802" i="1"/>
  <c r="J1915" i="1"/>
  <c r="AG1915" i="1"/>
  <c r="J1619" i="1"/>
  <c r="AG1619" i="1"/>
  <c r="J1520" i="1"/>
  <c r="AG1520" i="1"/>
  <c r="J35" i="1"/>
  <c r="AG35" i="1"/>
  <c r="J2344" i="1"/>
  <c r="AG2344" i="1"/>
  <c r="J2328" i="1"/>
  <c r="AG2328" i="1"/>
  <c r="J2069" i="1"/>
  <c r="AG2069" i="1"/>
  <c r="J800" i="1"/>
  <c r="AG800" i="1"/>
  <c r="J1663" i="1"/>
  <c r="AG1663" i="1"/>
  <c r="J1664" i="1"/>
  <c r="AG1664" i="1"/>
  <c r="J1734" i="1"/>
  <c r="AG1734" i="1"/>
  <c r="J1427" i="1"/>
  <c r="AG1427" i="1"/>
  <c r="J2087" i="1"/>
  <c r="AG2087" i="1"/>
  <c r="J40" i="1"/>
  <c r="J61" i="1"/>
  <c r="J22" i="1"/>
  <c r="J1960" i="1"/>
  <c r="I16" i="10"/>
  <c r="J721" i="1"/>
  <c r="J835" i="1"/>
  <c r="O42" i="10"/>
  <c r="O68" i="10"/>
  <c r="O65" i="10"/>
  <c r="N26" i="10"/>
  <c r="N52" i="10"/>
  <c r="O26" i="10"/>
  <c r="O13" i="10"/>
  <c r="O39" i="10"/>
  <c r="N42" i="10"/>
  <c r="N68" i="10"/>
  <c r="H16" i="10"/>
  <c r="H29" i="10"/>
  <c r="G16" i="10"/>
  <c r="I29" i="10"/>
  <c r="N39" i="10"/>
  <c r="N55" i="10"/>
  <c r="O52" i="10"/>
  <c r="G29" i="10"/>
  <c r="N65" i="10"/>
  <c r="N14" i="10"/>
  <c r="N13" i="10"/>
  <c r="O27" i="10"/>
  <c r="O55" i="10"/>
  <c r="O28" i="10"/>
  <c r="F16" i="10"/>
  <c r="O14" i="10"/>
  <c r="F29" i="10"/>
  <c r="N27" i="10"/>
  <c r="N28" i="10"/>
  <c r="J767" i="1"/>
  <c r="J686" i="1"/>
  <c r="J684" i="1"/>
  <c r="J687" i="1"/>
  <c r="J399" i="1"/>
  <c r="J2217" i="1"/>
  <c r="J395" i="1"/>
  <c r="J1235" i="1"/>
  <c r="J1861" i="1"/>
  <c r="J1855" i="1"/>
  <c r="J1676" i="1"/>
  <c r="J1587" i="1"/>
  <c r="J1584" i="1"/>
  <c r="J1583" i="1"/>
  <c r="J1582" i="1"/>
  <c r="J1581" i="1"/>
  <c r="J1576" i="1"/>
  <c r="J1465" i="1"/>
  <c r="J1462" i="1"/>
  <c r="J1459" i="1"/>
  <c r="J1336" i="1"/>
  <c r="J1321" i="1"/>
  <c r="J1310" i="1"/>
  <c r="J1278" i="1"/>
  <c r="J1276" i="1"/>
  <c r="J824" i="1"/>
  <c r="J826" i="1"/>
  <c r="J2538" i="1"/>
  <c r="J2222" i="1"/>
  <c r="J2340" i="1"/>
  <c r="J2537" i="1"/>
  <c r="J1943" i="1"/>
  <c r="J823" i="1"/>
  <c r="J2536" i="1"/>
  <c r="J1939" i="1"/>
  <c r="J820" i="1"/>
  <c r="J39" i="1"/>
  <c r="J827" i="1"/>
  <c r="J2085" i="1"/>
  <c r="J2343" i="1"/>
  <c r="J817" i="1"/>
  <c r="J749" i="1"/>
  <c r="J2220" i="1"/>
  <c r="J1809" i="1"/>
  <c r="J1808" i="1"/>
  <c r="J1807" i="1"/>
  <c r="J30" i="1"/>
  <c r="J706" i="1"/>
  <c r="J2526" i="1"/>
  <c r="J2427" i="1"/>
  <c r="J2204" i="1"/>
  <c r="J2334" i="1"/>
  <c r="J1926" i="1"/>
  <c r="J890" i="1"/>
  <c r="J894" i="1"/>
  <c r="J986" i="1"/>
  <c r="J936" i="1"/>
  <c r="J263" i="1"/>
  <c r="J1553" i="1"/>
  <c r="J1070" i="1"/>
  <c r="J1624" i="1"/>
  <c r="J1088" i="1"/>
  <c r="J1552" i="1"/>
  <c r="J1426" i="1"/>
  <c r="J805" i="1"/>
  <c r="J983" i="1"/>
  <c r="J933" i="1"/>
  <c r="J1551" i="1"/>
  <c r="J1674" i="1"/>
  <c r="J1306" i="1"/>
  <c r="J1231" i="1"/>
  <c r="J1425" i="1"/>
  <c r="J806" i="1"/>
  <c r="J1312" i="1"/>
  <c r="J1423" i="1"/>
  <c r="J1250" i="1"/>
  <c r="J1672" i="1"/>
  <c r="J144" i="1"/>
  <c r="J801" i="1"/>
  <c r="J1628" i="1"/>
  <c r="J1304" i="1"/>
  <c r="J980" i="1"/>
  <c r="J2201" i="1"/>
  <c r="J1492" i="1"/>
  <c r="J1424" i="1"/>
  <c r="J580" i="1"/>
  <c r="J930" i="1"/>
  <c r="J357" i="1"/>
  <c r="J1922" i="1"/>
  <c r="J2068" i="1"/>
  <c r="J355" i="1"/>
  <c r="J1614" i="1"/>
  <c r="J1303"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57" i="1"/>
  <c r="AG1569" i="1"/>
  <c r="AG1572" i="1"/>
  <c r="AG1574" i="1"/>
  <c r="AG1578" i="1"/>
  <c r="AG1586" i="1"/>
  <c r="AG1527" i="1"/>
  <c r="AG1647" i="1"/>
  <c r="AG1644" i="1"/>
  <c r="AG1642" i="1"/>
  <c r="AG1618" i="1"/>
  <c r="AG1620" i="1"/>
  <c r="AG1615" i="1"/>
  <c r="AG1611" i="1"/>
  <c r="AG1302" i="1"/>
  <c r="AG257" i="1"/>
  <c r="AG2327" i="1"/>
  <c r="AG354" i="1"/>
  <c r="AG2064" i="1"/>
  <c r="AG2063" i="1"/>
  <c r="AG2326" i="1"/>
  <c r="AG2318" i="1"/>
  <c r="AG256" i="1"/>
  <c r="AG352" i="1"/>
  <c r="AG1610" i="1"/>
  <c r="AG2043" i="1"/>
  <c r="AG351" i="1"/>
  <c r="AF2062" i="1"/>
  <c r="AG2061" i="1"/>
  <c r="AF1307" i="1"/>
  <c r="AF1301" i="1"/>
  <c r="AF2060" i="1"/>
  <c r="AG2059" i="1"/>
  <c r="AG255" i="1"/>
  <c r="AG350" i="1"/>
  <c r="L37" i="16"/>
  <c r="L36" i="16"/>
  <c r="L15" i="16"/>
  <c r="L13" i="16"/>
  <c r="AF1549" i="1"/>
  <c r="AF1550" i="1"/>
  <c r="AG2057" i="1"/>
  <c r="AG349" i="1"/>
  <c r="AG1421" i="1"/>
  <c r="AG2054" i="1"/>
  <c r="AF348" i="1"/>
  <c r="AG347" i="1"/>
  <c r="AG2053" i="1"/>
  <c r="AG346" i="1"/>
  <c r="AG1662" i="1"/>
  <c r="AG2413" i="1"/>
  <c r="AG254" i="1"/>
  <c r="AG2325" i="1"/>
  <c r="AG1300" i="1"/>
  <c r="AG1420" i="1"/>
  <c r="AG345" i="1"/>
  <c r="AG48" i="1"/>
  <c r="AG49" i="1"/>
  <c r="AG344" i="1"/>
  <c r="AF253" i="1"/>
  <c r="AG252" i="1"/>
  <c r="AG2322" i="1"/>
  <c r="AF1609" i="1"/>
  <c r="AG1601" i="1"/>
  <c r="AG608" i="1"/>
  <c r="AG609" i="1"/>
  <c r="AG343" i="1"/>
  <c r="AG251" i="1"/>
  <c r="AG2200" i="1"/>
  <c r="AG1777" i="1"/>
  <c r="AG1860" i="1"/>
  <c r="AG250" i="1"/>
  <c r="AG1901" i="1"/>
  <c r="AG2320" i="1"/>
  <c r="AG2198" i="1"/>
  <c r="AG342" i="1"/>
  <c r="AG682" i="1"/>
  <c r="AG249" i="1"/>
  <c r="AG104" i="1"/>
  <c r="AG93" i="1"/>
  <c r="AG340" i="1"/>
  <c r="AG2197" i="1"/>
  <c r="AG2317" i="1"/>
  <c r="S1661" i="1" l="1"/>
  <c r="S1665" i="1"/>
  <c r="S1667" i="1"/>
  <c r="S1654" i="1"/>
  <c r="S1657" i="1"/>
  <c r="S1658" i="1"/>
  <c r="S1656" i="1"/>
  <c r="S1666" i="1"/>
  <c r="S1668" i="1"/>
  <c r="S1673" i="1"/>
  <c r="S1671" i="1"/>
  <c r="S1669" i="1"/>
  <c r="S1670" i="1"/>
  <c r="S1527" i="1"/>
  <c r="S1533" i="1"/>
  <c r="S1574" i="1"/>
  <c r="S1562" i="1"/>
  <c r="S1570" i="1"/>
  <c r="S1580" i="1"/>
  <c r="S1557" i="1"/>
  <c r="S1568" i="1"/>
  <c r="S1588" i="1"/>
  <c r="S1530" i="1"/>
  <c r="S1529" i="1"/>
  <c r="S1535" i="1"/>
  <c r="S1556" i="1"/>
  <c r="S1587" i="1"/>
  <c r="S1584" i="1"/>
  <c r="S1559" i="1"/>
  <c r="S1532" i="1"/>
  <c r="S1534" i="1"/>
  <c r="S1578" i="1"/>
  <c r="S1564" i="1"/>
  <c r="S1573" i="1"/>
  <c r="S1561" i="1"/>
  <c r="S1581" i="1"/>
  <c r="S1575" i="1"/>
  <c r="S1566" i="1"/>
  <c r="S1548" i="1"/>
  <c r="S1560" i="1"/>
  <c r="S1572" i="1"/>
  <c r="S1537" i="1"/>
  <c r="S1567" i="1"/>
  <c r="S1585" i="1"/>
  <c r="S1544" i="1"/>
  <c r="S1582" i="1"/>
  <c r="S1555" i="1"/>
  <c r="S1541" i="1"/>
  <c r="S1554" i="1"/>
  <c r="S1569" i="1"/>
  <c r="S1547" i="1"/>
  <c r="S1591" i="1"/>
  <c r="S1528" i="1"/>
  <c r="S1590" i="1"/>
  <c r="S1550" i="1"/>
  <c r="S1565" i="1"/>
  <c r="S1558" i="1"/>
  <c r="S1592" i="1"/>
  <c r="S1589" i="1"/>
  <c r="S1577" i="1"/>
  <c r="S1593" i="1"/>
  <c r="S1576" i="1"/>
  <c r="S1586" i="1"/>
  <c r="S1583" i="1"/>
  <c r="S1563" i="1"/>
  <c r="S1531" i="1"/>
  <c r="S1571" i="1"/>
  <c r="S1750" i="1"/>
  <c r="S1648" i="1"/>
  <c r="S1749" i="1"/>
  <c r="S1622" i="1"/>
  <c r="S1626" i="1"/>
  <c r="S1649" i="1"/>
  <c r="S1618" i="1"/>
  <c r="S1631" i="1"/>
  <c r="S1642" i="1"/>
  <c r="S1616" i="1"/>
  <c r="S1606" i="1"/>
  <c r="S1602" i="1"/>
  <c r="S1747" i="1"/>
  <c r="S1612" i="1"/>
  <c r="S1613" i="1"/>
  <c r="S1650" i="1"/>
  <c r="S1600" i="1"/>
  <c r="S1633" i="1"/>
  <c r="S1627" i="1"/>
  <c r="S1638" i="1"/>
  <c r="S1601" i="1"/>
  <c r="S1615" i="1"/>
  <c r="S1625" i="1"/>
  <c r="S1624" i="1"/>
  <c r="S1640" i="1"/>
  <c r="S1643" i="1"/>
  <c r="S1651" i="1"/>
  <c r="S1636" i="1"/>
  <c r="S1607" i="1"/>
  <c r="S1644" i="1"/>
  <c r="S1652" i="1"/>
  <c r="S1608" i="1"/>
  <c r="S1641" i="1"/>
  <c r="S1653" i="1"/>
  <c r="S1634" i="1"/>
  <c r="S1628" i="1"/>
  <c r="S1632" i="1"/>
  <c r="S1604" i="1"/>
  <c r="S1637" i="1"/>
  <c r="S1620" i="1"/>
  <c r="S1647" i="1"/>
  <c r="S1629" i="1"/>
  <c r="S1599" i="1"/>
  <c r="S1597" i="1"/>
  <c r="S1630" i="1"/>
  <c r="S1598" i="1"/>
  <c r="S1751" i="1"/>
  <c r="S1603" i="1"/>
  <c r="S1635" i="1"/>
  <c r="S1645" i="1"/>
  <c r="S1639" i="1"/>
  <c r="S1605" i="1"/>
  <c r="AG348" i="1"/>
  <c r="AG1549" i="1"/>
  <c r="AG1301" i="1"/>
  <c r="AG1550" i="1"/>
  <c r="J1453" i="1"/>
  <c r="AG1453" i="1"/>
  <c r="J1400" i="1"/>
  <c r="AG1400" i="1"/>
  <c r="J1372" i="1"/>
  <c r="AG1372" i="1"/>
  <c r="J1353" i="1"/>
  <c r="AG1353" i="1"/>
  <c r="J1613" i="1"/>
  <c r="AG1613" i="1"/>
  <c r="O16" i="10"/>
  <c r="N16" i="10"/>
  <c r="O29" i="10"/>
  <c r="N29" i="10"/>
  <c r="J348" i="1"/>
  <c r="J2317" i="1"/>
  <c r="J2197" i="1"/>
  <c r="J340" i="1"/>
  <c r="J93" i="1"/>
  <c r="J104" i="1"/>
  <c r="J249" i="1"/>
  <c r="J682" i="1"/>
  <c r="J342" i="1"/>
  <c r="J2198" i="1"/>
  <c r="J2320" i="1"/>
  <c r="J1901" i="1"/>
  <c r="J250" i="1"/>
  <c r="J1860" i="1"/>
  <c r="J1777" i="1"/>
  <c r="J2200" i="1"/>
  <c r="J251" i="1"/>
  <c r="J343" i="1"/>
  <c r="J609" i="1"/>
  <c r="J608" i="1"/>
  <c r="J1601" i="1"/>
  <c r="J2322" i="1"/>
  <c r="J252" i="1"/>
  <c r="J344" i="1"/>
  <c r="J49" i="1"/>
  <c r="J48" i="1"/>
  <c r="J345" i="1"/>
  <c r="J1420" i="1"/>
  <c r="J1300" i="1"/>
  <c r="J2325" i="1"/>
  <c r="J254" i="1"/>
  <c r="J2413" i="1"/>
  <c r="J1662" i="1"/>
  <c r="J346" i="1"/>
  <c r="J2053" i="1"/>
  <c r="J347" i="1"/>
  <c r="J2054" i="1"/>
  <c r="J1421" i="1"/>
  <c r="J349" i="1"/>
  <c r="J2057" i="1"/>
  <c r="J350" i="1"/>
  <c r="J255" i="1"/>
  <c r="J2059" i="1"/>
  <c r="J1301" i="1"/>
  <c r="J2061" i="1"/>
  <c r="J351" i="1"/>
  <c r="J2043" i="1"/>
  <c r="J1610" i="1"/>
  <c r="J352" i="1"/>
  <c r="J256" i="1"/>
  <c r="J2318" i="1"/>
  <c r="J2326" i="1"/>
  <c r="J2063" i="1"/>
  <c r="J2064" i="1"/>
  <c r="J354" i="1"/>
  <c r="J2327" i="1"/>
  <c r="J257" i="1"/>
  <c r="J1302" i="1"/>
  <c r="J1611" i="1"/>
  <c r="J1615" i="1"/>
  <c r="J1620" i="1"/>
  <c r="J1618" i="1"/>
  <c r="J1642" i="1"/>
  <c r="J1644" i="1"/>
  <c r="J1647" i="1"/>
  <c r="J1549" i="1"/>
  <c r="J1548" i="1"/>
  <c r="AG339" i="1"/>
  <c r="AG248" i="1"/>
  <c r="AG338" i="1"/>
  <c r="AG247" i="1"/>
  <c r="AG2195" i="1"/>
  <c r="AG2315" i="1"/>
  <c r="J2315" i="1" l="1"/>
  <c r="J2195" i="1"/>
  <c r="J247" i="1"/>
  <c r="J338" i="1"/>
  <c r="J248" i="1"/>
  <c r="J339" i="1"/>
  <c r="AG2314" i="1"/>
  <c r="J1546" i="1"/>
  <c r="AF2194" i="1"/>
  <c r="AG2193" i="1"/>
  <c r="AG337" i="1"/>
  <c r="AG246" i="1"/>
  <c r="AG2422" i="1"/>
  <c r="AG2190" i="1"/>
  <c r="AG2312" i="1"/>
  <c r="AG245" i="1"/>
  <c r="AG336" i="1"/>
  <c r="AG218" i="1"/>
  <c r="AG681" i="1"/>
  <c r="AG335" i="1"/>
  <c r="AG244" i="1"/>
  <c r="J2500" i="1"/>
  <c r="AG799" i="1"/>
  <c r="AG243" i="1"/>
  <c r="J1545" i="1"/>
  <c r="AG241" i="1"/>
  <c r="J241" i="1" l="1"/>
  <c r="J243" i="1"/>
  <c r="J799" i="1"/>
  <c r="J244" i="1"/>
  <c r="J335" i="1"/>
  <c r="J681" i="1"/>
  <c r="J218" i="1"/>
  <c r="J336" i="1"/>
  <c r="J245" i="1"/>
  <c r="J2312" i="1"/>
  <c r="J2190" i="1"/>
  <c r="J2422" i="1"/>
  <c r="J246" i="1"/>
  <c r="J337" i="1"/>
  <c r="J2193" i="1"/>
  <c r="J2314" i="1"/>
  <c r="AG2519" i="1"/>
  <c r="AG798" i="1"/>
  <c r="AG2311" i="1"/>
  <c r="AG240" i="1"/>
  <c r="AG1244" i="1"/>
  <c r="AG1238" i="1"/>
  <c r="J1238" i="1" l="1"/>
  <c r="J1244" i="1"/>
  <c r="J1445" i="1"/>
  <c r="J240" i="1"/>
  <c r="J2311" i="1"/>
  <c r="J798" i="1"/>
  <c r="J2519" i="1"/>
  <c r="AG1418" i="1"/>
  <c r="AF797" i="1"/>
  <c r="AG797" i="1" s="1"/>
  <c r="AG796" i="1"/>
  <c r="AG1299" i="1"/>
  <c r="AG2419" i="1"/>
  <c r="J1543" i="1"/>
  <c r="AG795" i="1"/>
  <c r="J795" i="1" l="1"/>
  <c r="J2419" i="1"/>
  <c r="J1299" i="1"/>
  <c r="J796" i="1"/>
  <c r="J1418" i="1"/>
  <c r="AG1416" i="1"/>
  <c r="AG2051" i="1"/>
  <c r="AG793" i="1"/>
  <c r="J793" i="1" l="1"/>
  <c r="J2051" i="1"/>
  <c r="J1416" i="1"/>
  <c r="AG792" i="1"/>
  <c r="AG2049" i="1"/>
  <c r="AG2047" i="1"/>
  <c r="AG1800" i="1"/>
  <c r="AG2417" i="1"/>
  <c r="AG2518" i="1"/>
  <c r="AG1156" i="1"/>
  <c r="AG1609" i="1"/>
  <c r="AG2415" i="1"/>
  <c r="AG2188" i="1"/>
  <c r="AG1155" i="1"/>
  <c r="J1803" i="1" l="1"/>
  <c r="AG1803" i="1"/>
  <c r="J1155" i="1"/>
  <c r="J2188" i="1"/>
  <c r="J2415" i="1"/>
  <c r="J1609" i="1"/>
  <c r="J1156" i="1"/>
  <c r="J2518" i="1"/>
  <c r="J2417" i="1"/>
  <c r="J1800" i="1"/>
  <c r="J2047" i="1"/>
  <c r="J2049" i="1"/>
  <c r="J792" i="1"/>
  <c r="AG1655" i="1"/>
  <c r="J1655" i="1" l="1"/>
  <c r="AG1660" i="1"/>
  <c r="AG1154" i="1"/>
  <c r="AG333" i="1"/>
  <c r="AG2186" i="1"/>
  <c r="AG239" i="1"/>
  <c r="J239" i="1" l="1"/>
  <c r="J2186" i="1"/>
  <c r="J333" i="1"/>
  <c r="J1154" i="1"/>
  <c r="J1660" i="1"/>
  <c r="AG332" i="1"/>
  <c r="AG238" i="1"/>
  <c r="AG2042" i="1"/>
  <c r="AG2041" i="1"/>
  <c r="AG2411" i="1"/>
  <c r="AG1153" i="1"/>
  <c r="J1153" i="1" l="1"/>
  <c r="J2411" i="1"/>
  <c r="J2041" i="1"/>
  <c r="J2042" i="1"/>
  <c r="J238" i="1"/>
  <c r="J332" i="1"/>
  <c r="AG732" i="1"/>
  <c r="J732" i="1" l="1"/>
  <c r="AG2410" i="1"/>
  <c r="AG2181" i="1"/>
  <c r="AG2038" i="1"/>
  <c r="AG237" i="1"/>
  <c r="AG331" i="1"/>
  <c r="AG1659" i="1"/>
  <c r="AG1658" i="1"/>
  <c r="AG2403" i="1"/>
  <c r="J2403" i="1" l="1"/>
  <c r="J1658" i="1"/>
  <c r="J1659" i="1"/>
  <c r="J331" i="1"/>
  <c r="J237" i="1"/>
  <c r="J2038" i="1"/>
  <c r="J2181" i="1"/>
  <c r="J2410" i="1"/>
  <c r="AG1419" i="1"/>
  <c r="AG1388" i="1"/>
  <c r="AG1150" i="1"/>
  <c r="AG235" i="1"/>
  <c r="AG356" i="1"/>
  <c r="AG341" i="1"/>
  <c r="AG259" i="1"/>
  <c r="AG242" i="1"/>
  <c r="AG2414" i="1"/>
  <c r="AG330" i="1"/>
  <c r="AG233" i="1"/>
  <c r="AG2192" i="1"/>
  <c r="AG2194" i="1"/>
  <c r="AG731" i="1"/>
  <c r="AG1414" i="1"/>
  <c r="AG232" i="1"/>
  <c r="AG328" i="1"/>
  <c r="AG2178" i="1"/>
  <c r="AG2408" i="1"/>
  <c r="AG1149" i="1"/>
  <c r="AG1666" i="1"/>
  <c r="AG667" i="1"/>
  <c r="AG2184" i="1"/>
  <c r="AG2185" i="1"/>
  <c r="AG2187" i="1"/>
  <c r="AG2189" i="1"/>
  <c r="AG2191" i="1"/>
  <c r="AG2196" i="1"/>
  <c r="AG2199" i="1"/>
  <c r="AG790" i="1"/>
  <c r="AG791" i="1"/>
  <c r="AG794" i="1"/>
  <c r="AG2044" i="1"/>
  <c r="AG2045" i="1"/>
  <c r="AG2046" i="1"/>
  <c r="AG2048" i="1"/>
  <c r="AG2050" i="1"/>
  <c r="AG2052" i="1"/>
  <c r="AG2055" i="1"/>
  <c r="AG2056" i="1"/>
  <c r="AG2058" i="1"/>
  <c r="AG2060" i="1"/>
  <c r="AG2520" i="1"/>
  <c r="AG2521" i="1"/>
  <c r="AG2522" i="1"/>
  <c r="AG2416" i="1"/>
  <c r="AG2418" i="1"/>
  <c r="AG2420" i="1"/>
  <c r="AG2421" i="1"/>
  <c r="AG2423" i="1"/>
  <c r="AG929" i="1"/>
  <c r="AG2183" i="1"/>
  <c r="AG2321" i="1"/>
  <c r="AG2323" i="1"/>
  <c r="AG327" i="1"/>
  <c r="AG231" i="1"/>
  <c r="AG2406" i="1"/>
  <c r="AG2177" i="1"/>
  <c r="AG2310" i="1"/>
  <c r="AG2313" i="1"/>
  <c r="J2313" i="1" l="1"/>
  <c r="J2310" i="1"/>
  <c r="J2177" i="1"/>
  <c r="J2406" i="1"/>
  <c r="J231" i="1"/>
  <c r="J327" i="1"/>
  <c r="J2323" i="1"/>
  <c r="J2321" i="1"/>
  <c r="J2183" i="1"/>
  <c r="J2521" i="1"/>
  <c r="J2520" i="1"/>
  <c r="J2060" i="1"/>
  <c r="J2058" i="1"/>
  <c r="J2056" i="1"/>
  <c r="J2055" i="1"/>
  <c r="J2052" i="1"/>
  <c r="J2050" i="1"/>
  <c r="J2048" i="1"/>
  <c r="J2046" i="1"/>
  <c r="J2045" i="1"/>
  <c r="J2044" i="1"/>
  <c r="J797" i="1"/>
  <c r="J794" i="1"/>
  <c r="J791" i="1"/>
  <c r="J790" i="1"/>
  <c r="J2199" i="1"/>
  <c r="J2196" i="1"/>
  <c r="J2191" i="1"/>
  <c r="J2189" i="1"/>
  <c r="J2187" i="1"/>
  <c r="J2185" i="1"/>
  <c r="J2184" i="1"/>
  <c r="J1149" i="1"/>
  <c r="J2408" i="1"/>
  <c r="J2178" i="1"/>
  <c r="J328" i="1"/>
  <c r="J232" i="1"/>
  <c r="J1414" i="1"/>
  <c r="J731" i="1"/>
  <c r="J2194" i="1"/>
  <c r="J2192" i="1"/>
  <c r="J233" i="1"/>
  <c r="J330" i="1"/>
  <c r="J2414" i="1"/>
  <c r="J242" i="1"/>
  <c r="J259" i="1"/>
  <c r="J341" i="1"/>
  <c r="J356" i="1"/>
  <c r="J235" i="1"/>
  <c r="J1150" i="1"/>
  <c r="J1388" i="1"/>
  <c r="J1419" i="1"/>
  <c r="AG1148" i="1"/>
  <c r="AG230" i="1"/>
  <c r="AG326" i="1"/>
  <c r="AG2175" i="1"/>
  <c r="AG2516" i="1"/>
  <c r="J1542" i="1"/>
  <c r="AG2514" i="1"/>
  <c r="AG325" i="1"/>
  <c r="AG229" i="1"/>
  <c r="J229" i="1" l="1"/>
  <c r="J325" i="1"/>
  <c r="J2514" i="1"/>
  <c r="J2516" i="1"/>
  <c r="J2175" i="1"/>
  <c r="J326" i="1"/>
  <c r="J230" i="1"/>
  <c r="J1148" i="1"/>
  <c r="AG679" i="1"/>
  <c r="AG324" i="1"/>
  <c r="AG2035" i="1"/>
  <c r="AG2511" i="1"/>
  <c r="AG228" i="1"/>
  <c r="AG226" i="1"/>
  <c r="J226" i="1" l="1"/>
  <c r="J228" i="1"/>
  <c r="J2511" i="1"/>
  <c r="J2035" i="1"/>
  <c r="J324" i="1"/>
  <c r="J679" i="1"/>
  <c r="AG2508" i="1"/>
  <c r="AG1896" i="1"/>
  <c r="AG578" i="1"/>
  <c r="AG225" i="1"/>
  <c r="J1540" i="1"/>
  <c r="J225" i="1" l="1"/>
  <c r="J578" i="1"/>
  <c r="J1896" i="1"/>
  <c r="J2508" i="1"/>
  <c r="AG2034" i="1"/>
  <c r="AG2405" i="1"/>
  <c r="AG2507" i="1"/>
  <c r="AG787" i="1"/>
  <c r="J787" i="1" l="1"/>
  <c r="J2507" i="1"/>
  <c r="J2405" i="1"/>
  <c r="J2034" i="1"/>
  <c r="AG223" i="1"/>
  <c r="AG224" i="1"/>
  <c r="AG2032" i="1"/>
  <c r="AG1895" i="1"/>
  <c r="AG577" i="1"/>
  <c r="AG786" i="1"/>
  <c r="AG1472" i="1"/>
  <c r="AG1417" i="1"/>
  <c r="J1417" i="1" l="1"/>
  <c r="J1472" i="1"/>
  <c r="J786" i="1"/>
  <c r="J577" i="1"/>
  <c r="J1895" i="1"/>
  <c r="J2032" i="1"/>
  <c r="J224" i="1"/>
  <c r="J223" i="1"/>
  <c r="J34" i="1"/>
  <c r="AG576" i="1"/>
  <c r="AG222" i="1"/>
  <c r="AG2031" i="1"/>
  <c r="AG784" i="1"/>
  <c r="J1539" i="1"/>
  <c r="AG1413" i="1"/>
  <c r="AG323" i="1"/>
  <c r="AG221" i="1"/>
  <c r="AG575" i="1"/>
  <c r="J575" i="1" l="1"/>
  <c r="J221" i="1"/>
  <c r="J323" i="1"/>
  <c r="J1413" i="1"/>
  <c r="J784" i="1"/>
  <c r="J2031" i="1"/>
  <c r="J222" i="1"/>
  <c r="J576" i="1"/>
  <c r="AG2029" i="1"/>
  <c r="AG745" i="1"/>
  <c r="AG746" i="1"/>
  <c r="AG743" i="1"/>
  <c r="J743" i="1" l="1"/>
  <c r="J746" i="1"/>
  <c r="J745" i="1"/>
  <c r="J2029" i="1"/>
  <c r="AG1151" i="1"/>
  <c r="J1538" i="1"/>
  <c r="AG322" i="1"/>
  <c r="AG2028" i="1"/>
  <c r="AG2401" i="1"/>
  <c r="AG1412" i="1"/>
  <c r="AG1410" i="1"/>
  <c r="AG321" i="1"/>
  <c r="AG2399" i="1"/>
  <c r="J2399" i="1" l="1"/>
  <c r="J321" i="1"/>
  <c r="J1410" i="1"/>
  <c r="J1412" i="1"/>
  <c r="J2401" i="1"/>
  <c r="J2028" i="1"/>
  <c r="J322" i="1"/>
  <c r="AG2398" i="1"/>
  <c r="AG2024" i="1"/>
  <c r="AG2026" i="1"/>
  <c r="J1536" i="1"/>
  <c r="AG2396" i="1"/>
  <c r="AG2394" i="1"/>
  <c r="AG401" i="1"/>
  <c r="AG1293" i="1"/>
  <c r="AG2023" i="1"/>
  <c r="AG1671" i="1"/>
  <c r="J1671" i="1" l="1"/>
  <c r="J2023" i="1"/>
  <c r="J401" i="1"/>
  <c r="J2394" i="1"/>
  <c r="J2396" i="1"/>
  <c r="J2026" i="1"/>
  <c r="J2024" i="1"/>
  <c r="J2398" i="1"/>
  <c r="AG781" i="1"/>
  <c r="J1535" i="1"/>
  <c r="J781" i="1" l="1"/>
  <c r="AG777" i="1"/>
  <c r="AG2021" i="1"/>
  <c r="AG2170" i="1"/>
  <c r="J1534" i="1"/>
  <c r="AG683" i="1"/>
  <c r="AG688" i="1"/>
  <c r="AG689" i="1"/>
  <c r="AG680" i="1"/>
  <c r="AG741" i="1"/>
  <c r="AG708" i="1"/>
  <c r="AG617" i="1"/>
  <c r="J617" i="1" l="1"/>
  <c r="J708" i="1"/>
  <c r="J741" i="1"/>
  <c r="J680" i="1"/>
  <c r="J689" i="1"/>
  <c r="J688" i="1"/>
  <c r="J685" i="1"/>
  <c r="J683" i="1"/>
  <c r="J2170" i="1"/>
  <c r="J2021" i="1"/>
  <c r="J777" i="1"/>
  <c r="AG1894" i="1"/>
  <c r="AG574" i="1"/>
  <c r="AG1774" i="1"/>
  <c r="J1774" i="1" l="1"/>
  <c r="AG1415" i="1"/>
  <c r="AG2020" i="1"/>
  <c r="AG494" i="1"/>
  <c r="J494" i="1" l="1"/>
  <c r="J2020" i="1"/>
  <c r="J1415" i="1"/>
  <c r="AG2018" i="1"/>
  <c r="AG2168" i="1"/>
  <c r="J1532" i="1"/>
  <c r="J892" i="1" l="1"/>
  <c r="J1112" i="1"/>
  <c r="J2168" i="1"/>
  <c r="J2018" i="1"/>
  <c r="AG1657" i="1"/>
  <c r="AG2166" i="1"/>
  <c r="AG2392" i="1"/>
  <c r="AG2388" i="1"/>
  <c r="AG2016" i="1"/>
  <c r="AG1716" i="1"/>
  <c r="AG1607" i="1"/>
  <c r="J1607" i="1" l="1"/>
  <c r="J1716" i="1"/>
  <c r="J2016" i="1"/>
  <c r="J2388" i="1"/>
  <c r="J2392" i="1"/>
  <c r="J2166" i="1"/>
  <c r="J1657" i="1"/>
  <c r="AG329" i="1"/>
  <c r="AG234" i="1"/>
  <c r="AG227" i="1"/>
  <c r="AG2163" i="1"/>
  <c r="AG788" i="1"/>
  <c r="AG783" i="1"/>
  <c r="AG780" i="1"/>
  <c r="AG778" i="1"/>
  <c r="AG2515" i="1"/>
  <c r="AG2512" i="1"/>
  <c r="AG2509" i="1"/>
  <c r="AG2505" i="1"/>
  <c r="AG2180" i="1"/>
  <c r="AG2176" i="1"/>
  <c r="AG2173" i="1"/>
  <c r="AG2171" i="1"/>
  <c r="AG2039" i="1"/>
  <c r="AG2025" i="1"/>
  <c r="AG67" i="1"/>
  <c r="AG459" i="1"/>
  <c r="AG2036" i="1"/>
  <c r="AG2030" i="1"/>
  <c r="AG2409" i="1"/>
  <c r="AG2407" i="1"/>
  <c r="AG2400" i="1"/>
  <c r="AG2397" i="1"/>
  <c r="AG2014" i="1"/>
  <c r="AG458" i="1"/>
  <c r="AG1899" i="1"/>
  <c r="AG1275" i="1"/>
  <c r="AG1287" i="1"/>
  <c r="J1275" i="1" l="1"/>
  <c r="J1899" i="1"/>
  <c r="J458" i="1"/>
  <c r="J2014" i="1"/>
  <c r="J2397" i="1"/>
  <c r="J2400" i="1"/>
  <c r="J2407" i="1"/>
  <c r="J2409" i="1"/>
  <c r="J2030" i="1"/>
  <c r="J2036" i="1"/>
  <c r="J459" i="1"/>
  <c r="J67" i="1"/>
  <c r="J2025" i="1"/>
  <c r="J2039" i="1"/>
  <c r="J2171" i="1"/>
  <c r="J2173" i="1"/>
  <c r="J2176" i="1"/>
  <c r="J2180" i="1"/>
  <c r="J2505" i="1"/>
  <c r="J2509" i="1"/>
  <c r="J2512" i="1"/>
  <c r="J2515" i="1"/>
  <c r="J778" i="1"/>
  <c r="J780" i="1"/>
  <c r="J783" i="1"/>
  <c r="J788" i="1"/>
  <c r="J2163" i="1"/>
  <c r="J227" i="1"/>
  <c r="J234" i="1"/>
  <c r="J329" i="1"/>
  <c r="AG607" i="1"/>
  <c r="AG2013" i="1"/>
  <c r="AG774" i="1"/>
  <c r="AG2387" i="1"/>
  <c r="AG776" i="1"/>
  <c r="AG773" i="1"/>
  <c r="AG2011" i="1"/>
  <c r="AG1605" i="1"/>
  <c r="AG2504" i="1"/>
  <c r="AG2010" i="1"/>
  <c r="J2010" i="1" l="1"/>
  <c r="J2504" i="1"/>
  <c r="J1605" i="1"/>
  <c r="J2011" i="1"/>
  <c r="J773" i="1"/>
  <c r="J776" i="1"/>
  <c r="J2387" i="1"/>
  <c r="J774" i="1"/>
  <c r="J2013" i="1"/>
  <c r="J607" i="1"/>
  <c r="AG2008" i="1"/>
  <c r="AG1319" i="1"/>
  <c r="AG1307" i="1"/>
  <c r="J1307" i="1" l="1"/>
  <c r="J1319" i="1"/>
  <c r="J2008" i="1"/>
  <c r="AG1911" i="1"/>
  <c r="AG2007" i="1"/>
  <c r="AG1271" i="1"/>
  <c r="AG1273" i="1"/>
  <c r="AG1604" i="1"/>
  <c r="AG589" i="1"/>
  <c r="AG1871" i="1"/>
  <c r="J2612" i="1"/>
  <c r="AG2005" i="1"/>
  <c r="AG1909" i="1"/>
  <c r="AG2162" i="1"/>
  <c r="AG1147" i="1"/>
  <c r="AG1409" i="1"/>
  <c r="AG1411" i="1"/>
  <c r="AG1769" i="1"/>
  <c r="AG2383" i="1"/>
  <c r="AG2385" i="1"/>
  <c r="AG1603" i="1"/>
  <c r="AG319" i="1"/>
  <c r="J319" i="1" l="1"/>
  <c r="J1603" i="1"/>
  <c r="J2385" i="1"/>
  <c r="J2383" i="1"/>
  <c r="J1769" i="1"/>
  <c r="J1411" i="1"/>
  <c r="J1409" i="1"/>
  <c r="J1147" i="1"/>
  <c r="J2162" i="1"/>
  <c r="J1909" i="1"/>
  <c r="J2005" i="1"/>
  <c r="J589" i="1"/>
  <c r="J1604" i="1"/>
  <c r="J1273" i="1"/>
  <c r="J1271" i="1"/>
  <c r="J2007" i="1"/>
  <c r="J1911" i="1"/>
  <c r="AG217" i="1"/>
  <c r="AG1600" i="1"/>
  <c r="AG1670" i="1"/>
  <c r="AG318" i="1"/>
  <c r="AG2622" i="1"/>
  <c r="J2622" i="1" l="1"/>
  <c r="J318" i="1"/>
  <c r="J1670" i="1"/>
  <c r="J1600" i="1"/>
  <c r="J217" i="1"/>
  <c r="AG2614" i="1"/>
  <c r="AG2615" i="1"/>
  <c r="J2614" i="1" l="1"/>
  <c r="AG1145" i="1"/>
  <c r="AG317" i="1"/>
  <c r="AG216" i="1"/>
  <c r="J216" i="1" l="1"/>
  <c r="J317" i="1"/>
  <c r="J1145" i="1"/>
  <c r="AG2380" i="1"/>
  <c r="AG2381" i="1"/>
  <c r="AG1143" i="1"/>
  <c r="AG1144" i="1"/>
  <c r="AG587" i="1"/>
  <c r="AG1815" i="1"/>
  <c r="AG1820" i="1"/>
  <c r="AG1770" i="1"/>
  <c r="AG1701" i="1"/>
  <c r="AG1702" i="1"/>
  <c r="AG1313" i="1"/>
  <c r="AG1315" i="1"/>
  <c r="AG1253" i="1"/>
  <c r="AG1258" i="1"/>
  <c r="AG1242" i="1"/>
  <c r="AG1247" i="1"/>
  <c r="AG1252" i="1"/>
  <c r="AG1714" i="1"/>
  <c r="AG1872" i="1"/>
  <c r="AG1728" i="1"/>
  <c r="J1531" i="1"/>
  <c r="AG219" i="1"/>
  <c r="AG1504" i="1"/>
  <c r="AG1505" i="1"/>
  <c r="AG1506" i="1"/>
  <c r="AG1490" i="1"/>
  <c r="AG66" i="1"/>
  <c r="AG538" i="1"/>
  <c r="AG537" i="1"/>
  <c r="AG536" i="1"/>
  <c r="AG535" i="1"/>
  <c r="J535" i="1" l="1"/>
  <c r="J536" i="1"/>
  <c r="J537" i="1"/>
  <c r="J538" i="1"/>
  <c r="J66" i="1"/>
  <c r="J1490" i="1"/>
  <c r="J1506" i="1"/>
  <c r="J1505" i="1"/>
  <c r="J1504" i="1"/>
  <c r="J219" i="1"/>
  <c r="J1728" i="1"/>
  <c r="J1872" i="1"/>
  <c r="J1714" i="1"/>
  <c r="J1252" i="1"/>
  <c r="J1247" i="1"/>
  <c r="J1242" i="1"/>
  <c r="J1258" i="1"/>
  <c r="J1253" i="1"/>
  <c r="J53" i="1"/>
  <c r="J1315" i="1"/>
  <c r="J1313" i="1"/>
  <c r="J1702" i="1"/>
  <c r="J1701" i="1"/>
  <c r="J1770" i="1"/>
  <c r="J1820" i="1"/>
  <c r="J1815" i="1"/>
  <c r="J587" i="1"/>
  <c r="J1144" i="1"/>
  <c r="J1143" i="1"/>
  <c r="J2381" i="1"/>
  <c r="J2380" i="1"/>
  <c r="AG534" i="1"/>
  <c r="AG493" i="1"/>
  <c r="J493" i="1" l="1"/>
  <c r="J534" i="1"/>
  <c r="AG533" i="1"/>
  <c r="AG492" i="1"/>
  <c r="AG491" i="1"/>
  <c r="AG1906" i="1"/>
  <c r="J1529" i="1"/>
  <c r="AG1481" i="1"/>
  <c r="AG2149" i="1"/>
  <c r="J2306" i="1"/>
  <c r="AG632" i="1"/>
  <c r="AG1142" i="1"/>
  <c r="AG1479" i="1"/>
  <c r="AG742" i="1"/>
  <c r="J1293" i="1"/>
  <c r="AG1455" i="1"/>
  <c r="AG1478" i="1"/>
  <c r="AG1484" i="1"/>
  <c r="AG1491" i="1"/>
  <c r="AG1503" i="1"/>
  <c r="AG1519" i="1"/>
  <c r="AG1523" i="1"/>
  <c r="AG1768" i="1"/>
  <c r="AG1772" i="1"/>
  <c r="AG1776" i="1"/>
  <c r="AG1857" i="1"/>
  <c r="AG1868" i="1"/>
  <c r="AG1298" i="1"/>
  <c r="AG1386" i="1"/>
  <c r="AG1387" i="1"/>
  <c r="AG1395" i="1"/>
  <c r="AG1408" i="1"/>
  <c r="AG1422" i="1"/>
  <c r="AG1480" i="1"/>
  <c r="AG1763" i="1"/>
  <c r="AG1812" i="1"/>
  <c r="AG1847" i="1"/>
  <c r="AG1848" i="1"/>
  <c r="AG1849" i="1"/>
  <c r="AG1851" i="1"/>
  <c r="AG1858" i="1"/>
  <c r="AG1859" i="1"/>
  <c r="AG65" i="1"/>
  <c r="AG1705" i="1"/>
  <c r="AG63" i="1"/>
  <c r="AG71" i="1"/>
  <c r="AG99" i="1"/>
  <c r="AG102" i="1"/>
  <c r="AG120" i="1"/>
  <c r="AG92" i="1"/>
  <c r="AG131" i="1"/>
  <c r="AG68" i="1"/>
  <c r="AG77" i="1"/>
  <c r="AG83" i="1"/>
  <c r="AG47" i="1"/>
  <c r="AG50" i="1"/>
  <c r="AG52" i="1"/>
  <c r="AG55" i="1"/>
  <c r="AG312" i="1"/>
  <c r="AG313" i="1"/>
  <c r="AG633" i="1"/>
  <c r="AG2627" i="1"/>
  <c r="AG2370" i="1"/>
  <c r="AG2371" i="1"/>
  <c r="AG2372" i="1"/>
  <c r="AG2373" i="1"/>
  <c r="AG2374" i="1"/>
  <c r="AG2375" i="1"/>
  <c r="AG2376" i="1"/>
  <c r="AG2377" i="1"/>
  <c r="AG2378" i="1"/>
  <c r="AG2299" i="1"/>
  <c r="AG2300" i="1"/>
  <c r="AG2301" i="1"/>
  <c r="AG770" i="1"/>
  <c r="AG771" i="1"/>
  <c r="AG1902" i="1"/>
  <c r="AG1903" i="1"/>
  <c r="AG1904" i="1"/>
  <c r="AG1905" i="1"/>
  <c r="AG2142" i="1"/>
  <c r="AG2143" i="1"/>
  <c r="AG2144" i="1"/>
  <c r="AG2145" i="1"/>
  <c r="AG2146" i="1"/>
  <c r="AG2152" i="1"/>
  <c r="AG2153" i="1"/>
  <c r="AG2154" i="1"/>
  <c r="AG2155" i="1"/>
  <c r="AG2147" i="1"/>
  <c r="AG2148" i="1"/>
  <c r="AG2150" i="1"/>
  <c r="AG2151" i="1"/>
  <c r="AG2156" i="1"/>
  <c r="AG2157" i="1"/>
  <c r="AG581" i="1"/>
  <c r="AG406" i="1"/>
  <c r="AG12" i="1"/>
  <c r="AG13" i="1"/>
  <c r="AG14" i="1"/>
  <c r="AG15" i="1"/>
  <c r="AG1668" i="1"/>
  <c r="AG1669" i="1"/>
  <c r="AG1654" i="1"/>
  <c r="AG1656" i="1"/>
  <c r="AG1713" i="1"/>
  <c r="AG1726" i="1"/>
  <c r="AG1673" i="1"/>
  <c r="AG1661" i="1"/>
  <c r="AG615" i="1"/>
  <c r="AG886" i="1"/>
  <c r="AG885" i="1"/>
  <c r="AG631" i="1"/>
  <c r="AG213" i="1"/>
  <c r="AG214" i="1"/>
  <c r="AG215" i="1"/>
  <c r="AG888" i="1"/>
  <c r="AG889" i="1"/>
  <c r="AG665" i="1"/>
  <c r="AG661" i="1"/>
  <c r="AG652" i="1"/>
  <c r="AG669" i="1"/>
  <c r="AG656" i="1"/>
  <c r="AG586" i="1"/>
  <c r="AG762" i="1"/>
  <c r="AG490" i="1"/>
  <c r="AG2609" i="1"/>
  <c r="AG531" i="1"/>
  <c r="AG75" i="1"/>
  <c r="AG74" i="1"/>
  <c r="AG62" i="1"/>
  <c r="AG91" i="1"/>
  <c r="AG101" i="1"/>
  <c r="AG72" i="1"/>
  <c r="AG73" i="1"/>
  <c r="AG76" i="1"/>
  <c r="AG90" i="1"/>
  <c r="AG106" i="1"/>
  <c r="AG111" i="1"/>
  <c r="AG129" i="1"/>
  <c r="AG132" i="1"/>
  <c r="AG69" i="1"/>
  <c r="AG80" i="1"/>
  <c r="AG103" i="1"/>
  <c r="AG105" i="1"/>
  <c r="AG1846" i="1"/>
  <c r="AG121" i="1"/>
  <c r="AG123" i="1"/>
  <c r="AG122" i="1"/>
  <c r="AG124" i="1"/>
  <c r="AG130" i="1"/>
  <c r="AG134" i="1"/>
  <c r="AG135" i="1"/>
  <c r="AG138" i="1"/>
  <c r="AG125" i="1"/>
  <c r="AG126" i="1"/>
  <c r="AG127" i="1"/>
  <c r="AG128" i="1"/>
  <c r="AG133" i="1"/>
  <c r="AG137" i="1"/>
  <c r="AG139" i="1"/>
  <c r="AG140" i="1"/>
  <c r="AG1845" i="1"/>
  <c r="AG141" i="1"/>
  <c r="AG142" i="1"/>
  <c r="AG64" i="1"/>
  <c r="J1527" i="1"/>
  <c r="J1528" i="1"/>
  <c r="J1530" i="1"/>
  <c r="J1533" i="1"/>
  <c r="J1537" i="1"/>
  <c r="J1541" i="1"/>
  <c r="J1544" i="1"/>
  <c r="J1547" i="1"/>
  <c r="J1550" i="1"/>
  <c r="J1557" i="1"/>
  <c r="J1569" i="1"/>
  <c r="J1572" i="1"/>
  <c r="J1574" i="1"/>
  <c r="J1578" i="1"/>
  <c r="J1586" i="1"/>
  <c r="AG2141" i="1"/>
  <c r="AG606" i="1"/>
  <c r="AG1597" i="1"/>
  <c r="AG1598" i="1"/>
  <c r="AG1599" i="1"/>
  <c r="AG1602" i="1"/>
  <c r="AG1606" i="1"/>
  <c r="AG1608" i="1"/>
  <c r="AG1612" i="1"/>
  <c r="AG1616" i="1"/>
  <c r="AG1622" i="1"/>
  <c r="AG1626" i="1"/>
  <c r="AG1637" i="1"/>
  <c r="AG1640" i="1"/>
  <c r="AG1641" i="1"/>
  <c r="AG2611" i="1"/>
  <c r="AG532" i="1"/>
  <c r="AG1227" i="1"/>
  <c r="AG1229" i="1"/>
  <c r="AG405" i="1"/>
  <c r="AG404" i="1"/>
  <c r="AG403" i="1"/>
  <c r="AG212" i="1"/>
  <c r="AG400" i="1"/>
  <c r="AG1795" i="1"/>
  <c r="AG1526" i="1"/>
  <c r="AG1745" i="1"/>
  <c r="AG1710" i="1"/>
  <c r="AG1500" i="1"/>
  <c r="AG677" i="1"/>
  <c r="AG1892" i="1"/>
  <c r="AG1893" i="1"/>
  <c r="AG1727" i="1"/>
  <c r="AG1715" i="1"/>
  <c r="AG573" i="1"/>
  <c r="AG729" i="1"/>
  <c r="AG730" i="1"/>
  <c r="AG740" i="1"/>
  <c r="J707" i="1"/>
  <c r="AG314" i="1"/>
  <c r="AG2613" i="1"/>
  <c r="AG407" i="1"/>
  <c r="AG588" i="1"/>
  <c r="AG220" i="1"/>
  <c r="AG236" i="1"/>
  <c r="AG253" i="1"/>
  <c r="AG260" i="1"/>
  <c r="AG262" i="1"/>
  <c r="AG315" i="1"/>
  <c r="AG316" i="1"/>
  <c r="AG320" i="1"/>
  <c r="AG334" i="1"/>
  <c r="AG353" i="1"/>
  <c r="AG358" i="1"/>
  <c r="AG366" i="1"/>
  <c r="J1907" i="1"/>
  <c r="AG1908" i="1"/>
  <c r="AG1910" i="1"/>
  <c r="AG1912" i="1"/>
  <c r="AG1913" i="1"/>
  <c r="J2158" i="1"/>
  <c r="J2159" i="1"/>
  <c r="J2160" i="1"/>
  <c r="J2161" i="1"/>
  <c r="J2164" i="1"/>
  <c r="J2165" i="1"/>
  <c r="J2167" i="1"/>
  <c r="J2169" i="1"/>
  <c r="J2004" i="1"/>
  <c r="J2006" i="1"/>
  <c r="J2009" i="1"/>
  <c r="J2012" i="1"/>
  <c r="J2015" i="1"/>
  <c r="J2017" i="1"/>
  <c r="J2019" i="1"/>
  <c r="J2022" i="1"/>
  <c r="J2379" i="1"/>
  <c r="J2382" i="1"/>
  <c r="J2384" i="1"/>
  <c r="J2386" i="1"/>
  <c r="J2389" i="1"/>
  <c r="J2390" i="1"/>
  <c r="J2391" i="1"/>
  <c r="J2393" i="1"/>
  <c r="J2302" i="1"/>
  <c r="J2303" i="1"/>
  <c r="J2304" i="1"/>
  <c r="J2305" i="1"/>
  <c r="J2307" i="1"/>
  <c r="J2308" i="1"/>
  <c r="J2309" i="1"/>
  <c r="J2497" i="1"/>
  <c r="J2498" i="1"/>
  <c r="J2499" i="1"/>
  <c r="J2501" i="1"/>
  <c r="J2502" i="1"/>
  <c r="J2503" i="1"/>
  <c r="AG2623" i="1"/>
  <c r="AG2624" i="1"/>
  <c r="J2615" i="1"/>
  <c r="AG2616" i="1"/>
  <c r="AG618" i="1"/>
  <c r="AG619" i="1"/>
  <c r="AG620" i="1"/>
  <c r="AG600" i="1"/>
  <c r="AG590" i="1"/>
  <c r="AG591" i="1"/>
  <c r="AG592" i="1"/>
  <c r="AG593" i="1"/>
  <c r="AG595" i="1"/>
  <c r="AG596" i="1"/>
  <c r="AG597" i="1"/>
  <c r="AG598" i="1"/>
  <c r="AG599" i="1"/>
  <c r="AG616" i="1"/>
  <c r="AG736" i="1"/>
  <c r="AG709" i="1"/>
  <c r="AG710" i="1"/>
  <c r="AG711" i="1"/>
  <c r="AG1146" i="1"/>
  <c r="AG1898" i="1"/>
  <c r="AG457" i="1"/>
  <c r="AG950" i="1"/>
  <c r="AG570" i="1"/>
  <c r="AG568" i="1"/>
  <c r="AG1230" i="1"/>
  <c r="AG1232" i="1"/>
  <c r="AG1237" i="1"/>
  <c r="AG1240" i="1"/>
  <c r="AG1260" i="1"/>
  <c r="AG1675" i="1"/>
  <c r="AG1678" i="1"/>
  <c r="AG1681" i="1"/>
  <c r="AG1700" i="1"/>
  <c r="AG1874" i="1"/>
  <c r="AG772" i="1"/>
  <c r="AG775" i="1"/>
  <c r="J1871" i="1"/>
  <c r="AG402" i="1"/>
  <c r="J574" i="1"/>
  <c r="J1894" i="1"/>
  <c r="J1151" i="1"/>
  <c r="AG2395" i="1"/>
  <c r="AG2404" i="1"/>
  <c r="AG2402" i="1"/>
  <c r="AG2412" i="1"/>
  <c r="AG779" i="1"/>
  <c r="AG782" i="1"/>
  <c r="AG785" i="1"/>
  <c r="AG789" i="1"/>
  <c r="AG2172" i="1"/>
  <c r="AG2174" i="1"/>
  <c r="AG2179" i="1"/>
  <c r="AG2182" i="1"/>
  <c r="AG2027" i="1"/>
  <c r="AG2033" i="1"/>
  <c r="AG2037" i="1"/>
  <c r="AG2040" i="1"/>
  <c r="AG2510" i="1"/>
  <c r="AG2513" i="1"/>
  <c r="AG2517" i="1"/>
  <c r="AG143" i="1"/>
  <c r="AG147" i="1"/>
  <c r="AG678" i="1"/>
  <c r="AG1152" i="1"/>
  <c r="AG159" i="1"/>
  <c r="AG161" i="1"/>
  <c r="AG162" i="1"/>
  <c r="AG158" i="1"/>
  <c r="AG1226" i="1"/>
  <c r="AG1228" i="1"/>
  <c r="AG2316" i="1"/>
  <c r="AG2319" i="1"/>
  <c r="J2522" i="1"/>
  <c r="J2416" i="1"/>
  <c r="J2418" i="1"/>
  <c r="J2420" i="1"/>
  <c r="J2421" i="1"/>
  <c r="J2423" i="1"/>
  <c r="J929" i="1"/>
  <c r="AG1046" i="1"/>
  <c r="AG1049" i="1"/>
  <c r="AG1051" i="1"/>
  <c r="AG1069" i="1"/>
  <c r="AG1085" i="1"/>
  <c r="AG1087" i="1"/>
  <c r="AG946" i="1"/>
  <c r="AG957" i="1"/>
  <c r="AG978" i="1"/>
  <c r="AG1110" i="1"/>
  <c r="AG979" i="1"/>
  <c r="AG1022" i="1"/>
  <c r="AG1031" i="1"/>
  <c r="AG1035" i="1"/>
  <c r="AG1063" i="1"/>
  <c r="AG1068" i="1"/>
  <c r="AG1796" i="1"/>
  <c r="AG1797" i="1"/>
  <c r="AG1729" i="1"/>
  <c r="AG1721" i="1"/>
  <c r="AG1725" i="1"/>
  <c r="AG2062" i="1"/>
  <c r="AG2065" i="1"/>
  <c r="AG2424" i="1"/>
  <c r="AG2425" i="1"/>
  <c r="AG2324" i="1"/>
  <c r="AG2329" i="1"/>
  <c r="AG2330" i="1"/>
  <c r="AG2331" i="1"/>
  <c r="AG671" i="1"/>
  <c r="AG1717" i="1"/>
  <c r="AG657" i="1"/>
  <c r="AG663" i="1"/>
  <c r="AG654" i="1"/>
  <c r="J667" i="1"/>
  <c r="AG1914" i="1"/>
  <c r="AG1916" i="1"/>
  <c r="AG1917" i="1"/>
  <c r="AG1918" i="1"/>
  <c r="AG891" i="1"/>
  <c r="AG579" i="1"/>
  <c r="AG1897" i="1"/>
  <c r="AG145" i="1"/>
  <c r="J1891" i="1"/>
  <c r="AG2525" i="1"/>
  <c r="AG1919" i="1"/>
  <c r="AG2070" i="1"/>
  <c r="AG1731" i="1"/>
  <c r="AG1730" i="1"/>
  <c r="AG1732" i="1"/>
  <c r="AG1733" i="1"/>
  <c r="AG655" i="1"/>
  <c r="AG660" i="1"/>
  <c r="AG664" i="1"/>
  <c r="AG672" i="1"/>
  <c r="AG1920" i="1"/>
  <c r="AG821" i="1"/>
  <c r="AG2339" i="1"/>
  <c r="AG739" i="1"/>
  <c r="AG1665" i="1"/>
  <c r="AG1594" i="1"/>
  <c r="J1739" i="1"/>
  <c r="AG211" i="1"/>
  <c r="AG210" i="1"/>
  <c r="AG186" i="1"/>
  <c r="AG185" i="1"/>
  <c r="AG188" i="1"/>
  <c r="AG187" i="1"/>
  <c r="AG196" i="1"/>
  <c r="AG195" i="1"/>
  <c r="AG209" i="1"/>
  <c r="AG208" i="1"/>
  <c r="J1666" i="1"/>
  <c r="AG807" i="1"/>
  <c r="AG808" i="1"/>
  <c r="AG810" i="1"/>
  <c r="AG812" i="1"/>
  <c r="AG815" i="1"/>
  <c r="AG1925" i="1"/>
  <c r="AG1927" i="1"/>
  <c r="AG1929" i="1"/>
  <c r="AG1930" i="1"/>
  <c r="AG1932" i="1"/>
  <c r="AG2072" i="1"/>
  <c r="AG2075" i="1"/>
  <c r="AG2076" i="1"/>
  <c r="AG2202" i="1"/>
  <c r="AG2203" i="1"/>
  <c r="AG2205" i="1"/>
  <c r="AG2207" i="1"/>
  <c r="AG2332" i="1"/>
  <c r="AG2333" i="1"/>
  <c r="AG2335" i="1"/>
  <c r="AG2336" i="1"/>
  <c r="AG2337" i="1"/>
  <c r="AG2426" i="1"/>
  <c r="AG2428" i="1"/>
  <c r="AG2431" i="1"/>
  <c r="AG2441" i="1"/>
  <c r="AG2527" i="1"/>
  <c r="AG2528" i="1"/>
  <c r="AG2529" i="1"/>
  <c r="AG107" i="1"/>
  <c r="AG1482" i="1"/>
  <c r="AG1473" i="1"/>
  <c r="AG621" i="1"/>
  <c r="J19" i="1" l="1"/>
  <c r="AG19" i="1"/>
  <c r="J2506" i="1"/>
  <c r="AG2506" i="1"/>
  <c r="J21" i="1"/>
  <c r="AG21" i="1"/>
  <c r="J1134" i="1"/>
  <c r="AG1134" i="1"/>
  <c r="J1745" i="1"/>
  <c r="J621" i="1"/>
  <c r="J94" i="1"/>
  <c r="J1473" i="1"/>
  <c r="J1482" i="1"/>
  <c r="J107" i="1"/>
  <c r="J2529" i="1"/>
  <c r="J2528" i="1"/>
  <c r="J2527" i="1"/>
  <c r="J2441" i="1"/>
  <c r="J2431" i="1"/>
  <c r="J2428" i="1"/>
  <c r="J2426" i="1"/>
  <c r="J2337" i="1"/>
  <c r="J2336" i="1"/>
  <c r="J2335" i="1"/>
  <c r="J2333" i="1"/>
  <c r="J2332" i="1"/>
  <c r="J2207" i="1"/>
  <c r="J2205" i="1"/>
  <c r="J2203" i="1"/>
  <c r="J2202" i="1"/>
  <c r="J2076" i="1"/>
  <c r="J2075" i="1"/>
  <c r="J2072" i="1"/>
  <c r="J1932" i="1"/>
  <c r="J1930" i="1"/>
  <c r="J1929" i="1"/>
  <c r="J1927" i="1"/>
  <c r="J1925" i="1"/>
  <c r="J815" i="1"/>
  <c r="J812" i="1"/>
  <c r="J810" i="1"/>
  <c r="J808" i="1"/>
  <c r="J807" i="1"/>
  <c r="J190" i="1"/>
  <c r="J208" i="1"/>
  <c r="J209" i="1"/>
  <c r="J206" i="1"/>
  <c r="J207" i="1"/>
  <c r="J195" i="1"/>
  <c r="J196" i="1"/>
  <c r="J187" i="1"/>
  <c r="J188" i="1"/>
  <c r="J185" i="1"/>
  <c r="J186" i="1"/>
  <c r="J210" i="1"/>
  <c r="J211" i="1"/>
  <c r="J184" i="1"/>
  <c r="J183" i="1"/>
  <c r="J1594" i="1"/>
  <c r="J1665" i="1"/>
  <c r="J739" i="1"/>
  <c r="J2339" i="1"/>
  <c r="J821" i="1"/>
  <c r="J1920" i="1"/>
  <c r="J672" i="1"/>
  <c r="J668" i="1"/>
  <c r="J664" i="1"/>
  <c r="J660" i="1"/>
  <c r="J655" i="1"/>
  <c r="J1733" i="1"/>
  <c r="J1732" i="1"/>
  <c r="J1730" i="1"/>
  <c r="J1731" i="1"/>
  <c r="J2070" i="1"/>
  <c r="J1919" i="1"/>
  <c r="J2525" i="1"/>
  <c r="J145" i="1"/>
  <c r="J1897" i="1"/>
  <c r="J579" i="1"/>
  <c r="J891" i="1"/>
  <c r="J1918" i="1"/>
  <c r="J1917" i="1"/>
  <c r="J1916" i="1"/>
  <c r="J1914" i="1"/>
  <c r="J654" i="1"/>
  <c r="J663" i="1"/>
  <c r="J657" i="1"/>
  <c r="J1717" i="1"/>
  <c r="J671" i="1"/>
  <c r="J1900" i="1"/>
  <c r="J2331" i="1"/>
  <c r="J2330" i="1"/>
  <c r="J2329" i="1"/>
  <c r="J2324" i="1"/>
  <c r="J2425" i="1"/>
  <c r="J2424" i="1"/>
  <c r="J2065" i="1"/>
  <c r="J2062" i="1"/>
  <c r="J1725" i="1"/>
  <c r="J1721" i="1"/>
  <c r="J1729" i="1"/>
  <c r="J1797" i="1"/>
  <c r="J1796" i="1"/>
  <c r="J1068" i="1"/>
  <c r="J1063" i="1"/>
  <c r="J1035" i="1"/>
  <c r="J1031" i="1"/>
  <c r="J1022" i="1"/>
  <c r="J979" i="1"/>
  <c r="J1120" i="1"/>
  <c r="J1110" i="1"/>
  <c r="J978" i="1"/>
  <c r="J957" i="1"/>
  <c r="J946" i="1"/>
  <c r="J893" i="1"/>
  <c r="J1087" i="1"/>
  <c r="J1085" i="1"/>
  <c r="J1069" i="1"/>
  <c r="J1051" i="1"/>
  <c r="J1049" i="1"/>
  <c r="J1046" i="1"/>
  <c r="J2319" i="1"/>
  <c r="J2316" i="1"/>
  <c r="J1228" i="1"/>
  <c r="J1226" i="1"/>
  <c r="J158" i="1"/>
  <c r="J162" i="1"/>
  <c r="J161" i="1"/>
  <c r="J159" i="1"/>
  <c r="J1152" i="1"/>
  <c r="J678" i="1"/>
  <c r="J147" i="1"/>
  <c r="J143" i="1"/>
  <c r="J2517" i="1"/>
  <c r="J2513" i="1"/>
  <c r="J2510" i="1"/>
  <c r="J2040" i="1"/>
  <c r="J2037" i="1"/>
  <c r="J2033" i="1"/>
  <c r="J2027" i="1"/>
  <c r="J2182" i="1"/>
  <c r="J2179" i="1"/>
  <c r="J2174" i="1"/>
  <c r="J2172" i="1"/>
  <c r="J789" i="1"/>
  <c r="J785" i="1"/>
  <c r="J782" i="1"/>
  <c r="J779" i="1"/>
  <c r="J2412" i="1"/>
  <c r="J2402" i="1"/>
  <c r="J2404" i="1"/>
  <c r="J2395" i="1"/>
  <c r="J402" i="1"/>
  <c r="J775" i="1"/>
  <c r="J772" i="1"/>
  <c r="J1874" i="1"/>
  <c r="J1700" i="1"/>
  <c r="J1681" i="1"/>
  <c r="J1678" i="1"/>
  <c r="J1675" i="1"/>
  <c r="J1260" i="1"/>
  <c r="J1240" i="1"/>
  <c r="J1237" i="1"/>
  <c r="J1232" i="1"/>
  <c r="J1230" i="1"/>
  <c r="J568" i="1"/>
  <c r="J570" i="1"/>
  <c r="J950" i="1"/>
  <c r="J457" i="1"/>
  <c r="J1898" i="1"/>
  <c r="J1146" i="1"/>
  <c r="J715" i="1"/>
  <c r="J714" i="1"/>
  <c r="J712" i="1"/>
  <c r="J711" i="1"/>
  <c r="J710" i="1"/>
  <c r="J709" i="1"/>
  <c r="J736" i="1"/>
  <c r="J735" i="1"/>
  <c r="J734" i="1"/>
  <c r="J733" i="1"/>
  <c r="J616" i="1"/>
  <c r="J599" i="1"/>
  <c r="J598" i="1"/>
  <c r="J597" i="1"/>
  <c r="J596" i="1"/>
  <c r="J595" i="1"/>
  <c r="J593" i="1"/>
  <c r="J592" i="1"/>
  <c r="J591" i="1"/>
  <c r="J590" i="1"/>
  <c r="J600" i="1"/>
  <c r="J620" i="1"/>
  <c r="J619" i="1"/>
  <c r="J618" i="1"/>
  <c r="J2616" i="1"/>
  <c r="J2624" i="1"/>
  <c r="J2623" i="1"/>
  <c r="J1913" i="1"/>
  <c r="J1912" i="1"/>
  <c r="J1910" i="1"/>
  <c r="J1908" i="1"/>
  <c r="J366" i="1"/>
  <c r="J358" i="1"/>
  <c r="J353" i="1"/>
  <c r="J334" i="1"/>
  <c r="J320" i="1"/>
  <c r="J316" i="1"/>
  <c r="J315" i="1"/>
  <c r="J262" i="1"/>
  <c r="J260" i="1"/>
  <c r="J253" i="1"/>
  <c r="J236" i="1"/>
  <c r="J220" i="1"/>
  <c r="J588" i="1"/>
  <c r="J2613" i="1"/>
  <c r="J314" i="1"/>
  <c r="J740" i="1"/>
  <c r="J730" i="1"/>
  <c r="J729" i="1"/>
  <c r="J573" i="1"/>
  <c r="J1715" i="1"/>
  <c r="J1727" i="1"/>
  <c r="J1893" i="1"/>
  <c r="J1892" i="1"/>
  <c r="J677" i="1"/>
  <c r="J676" i="1"/>
  <c r="J1500" i="1"/>
  <c r="J1710" i="1"/>
  <c r="J1526" i="1"/>
  <c r="J1795" i="1"/>
  <c r="J181" i="1"/>
  <c r="J400" i="1"/>
  <c r="J212" i="1"/>
  <c r="J403" i="1"/>
  <c r="J404" i="1"/>
  <c r="J405" i="1"/>
  <c r="J37" i="1"/>
  <c r="J1229" i="1"/>
  <c r="J1227" i="1"/>
  <c r="J532" i="1"/>
  <c r="J2611" i="1"/>
  <c r="J1641" i="1"/>
  <c r="J1640" i="1"/>
  <c r="J1637" i="1"/>
  <c r="J1626" i="1"/>
  <c r="J1622" i="1"/>
  <c r="J1616" i="1"/>
  <c r="J1612" i="1"/>
  <c r="J1608" i="1"/>
  <c r="J1606" i="1"/>
  <c r="J1602" i="1"/>
  <c r="J1599" i="1"/>
  <c r="J1598" i="1"/>
  <c r="J1597" i="1"/>
  <c r="J606" i="1"/>
  <c r="J2141" i="1"/>
  <c r="J64" i="1"/>
  <c r="J142" i="1"/>
  <c r="J141" i="1"/>
  <c r="J1845" i="1"/>
  <c r="J140" i="1"/>
  <c r="J139" i="1"/>
  <c r="J137" i="1"/>
  <c r="J133" i="1"/>
  <c r="J128" i="1"/>
  <c r="J127" i="1"/>
  <c r="J126" i="1"/>
  <c r="J125" i="1"/>
  <c r="J138" i="1"/>
  <c r="J135" i="1"/>
  <c r="J134" i="1"/>
  <c r="J130" i="1"/>
  <c r="J124" i="1"/>
  <c r="J122" i="1"/>
  <c r="J123" i="1"/>
  <c r="J121" i="1"/>
  <c r="J1846" i="1"/>
  <c r="J105" i="1"/>
  <c r="J103" i="1"/>
  <c r="J80" i="1"/>
  <c r="J69" i="1"/>
  <c r="J132" i="1"/>
  <c r="J129" i="1"/>
  <c r="J111" i="1"/>
  <c r="J106" i="1"/>
  <c r="J90" i="1"/>
  <c r="J76" i="1"/>
  <c r="J73" i="1"/>
  <c r="J72" i="1"/>
  <c r="J101" i="1"/>
  <c r="J91" i="1"/>
  <c r="J62" i="1"/>
  <c r="J74" i="1"/>
  <c r="J75" i="1"/>
  <c r="J531" i="1"/>
  <c r="J2609" i="1"/>
  <c r="J490" i="1"/>
  <c r="J762" i="1"/>
  <c r="J1887" i="1"/>
  <c r="J1886" i="1"/>
  <c r="J1885" i="1"/>
  <c r="J586" i="1"/>
  <c r="J656" i="1"/>
  <c r="J669" i="1"/>
  <c r="J652" i="1"/>
  <c r="J661" i="1"/>
  <c r="J665" i="1"/>
  <c r="J889" i="1"/>
  <c r="J888" i="1"/>
  <c r="J215" i="1"/>
  <c r="J214" i="1"/>
  <c r="J213" i="1"/>
  <c r="J631" i="1"/>
  <c r="J885" i="1"/>
  <c r="J886" i="1"/>
  <c r="J615" i="1"/>
  <c r="J1661" i="1"/>
  <c r="J1673" i="1"/>
  <c r="J1726" i="1"/>
  <c r="J1713" i="1"/>
  <c r="J1656" i="1"/>
  <c r="J1654" i="1"/>
  <c r="J1669" i="1"/>
  <c r="J1668" i="1"/>
  <c r="J15" i="1"/>
  <c r="J14" i="1"/>
  <c r="J13" i="1"/>
  <c r="J12" i="1"/>
  <c r="J406" i="1"/>
  <c r="J581" i="1"/>
  <c r="J2157" i="1"/>
  <c r="J2156" i="1"/>
  <c r="J2151" i="1"/>
  <c r="J2150" i="1"/>
  <c r="J2148" i="1"/>
  <c r="J2147" i="1"/>
  <c r="J2155" i="1"/>
  <c r="J2154" i="1"/>
  <c r="J2153" i="1"/>
  <c r="J2152" i="1"/>
  <c r="J2146" i="1"/>
  <c r="J2145" i="1"/>
  <c r="J2144" i="1"/>
  <c r="J2143" i="1"/>
  <c r="J2142" i="1"/>
  <c r="J1905" i="1"/>
  <c r="J1904" i="1"/>
  <c r="J1903" i="1"/>
  <c r="J1902" i="1"/>
  <c r="J771" i="1"/>
  <c r="J770" i="1"/>
  <c r="J2301" i="1"/>
  <c r="J2300" i="1"/>
  <c r="J2299" i="1"/>
  <c r="J2378" i="1"/>
  <c r="J2377" i="1"/>
  <c r="J2376" i="1"/>
  <c r="J2375" i="1"/>
  <c r="J2374" i="1"/>
  <c r="J2373" i="1"/>
  <c r="J2372" i="1"/>
  <c r="J2371" i="1"/>
  <c r="J2370" i="1"/>
  <c r="J2627" i="1"/>
  <c r="J633" i="1"/>
  <c r="J313" i="1"/>
  <c r="J312" i="1"/>
  <c r="J55" i="1"/>
  <c r="J52" i="1"/>
  <c r="J50" i="1"/>
  <c r="J47" i="1"/>
  <c r="J83" i="1"/>
  <c r="J77" i="1"/>
  <c r="J68" i="1"/>
  <c r="J131" i="1"/>
  <c r="J92" i="1"/>
  <c r="J120" i="1"/>
  <c r="J102" i="1"/>
  <c r="J99" i="1"/>
  <c r="J112" i="1"/>
  <c r="J70" i="1"/>
  <c r="J71" i="1"/>
  <c r="J63" i="1"/>
  <c r="J1705" i="1"/>
  <c r="J65" i="1"/>
  <c r="J1859" i="1"/>
  <c r="J1858" i="1"/>
  <c r="J1851" i="1"/>
  <c r="J1849" i="1"/>
  <c r="J1848" i="1"/>
  <c r="J1847" i="1"/>
  <c r="J1812" i="1"/>
  <c r="J1810" i="1"/>
  <c r="J1763" i="1"/>
  <c r="J1480" i="1"/>
  <c r="J1422" i="1"/>
  <c r="J1408" i="1"/>
  <c r="J1395" i="1"/>
  <c r="J1387" i="1"/>
  <c r="J1386" i="1"/>
  <c r="J1298" i="1"/>
  <c r="J1868" i="1"/>
  <c r="J1857" i="1"/>
  <c r="J1776" i="1"/>
  <c r="J1772" i="1"/>
  <c r="J1768" i="1"/>
  <c r="J1523" i="1"/>
  <c r="J1519" i="1"/>
  <c r="J1503" i="1"/>
  <c r="J1491" i="1"/>
  <c r="J1484" i="1"/>
  <c r="J1478" i="1"/>
  <c r="J1455" i="1"/>
  <c r="J1888" i="1"/>
  <c r="J742" i="1"/>
  <c r="J1479" i="1"/>
  <c r="J1142" i="1"/>
  <c r="J1889" i="1"/>
  <c r="J1890" i="1"/>
  <c r="J632" i="1"/>
  <c r="J2149" i="1"/>
  <c r="J1481" i="1"/>
  <c r="J1906" i="1"/>
  <c r="J491" i="1"/>
  <c r="J492" i="1"/>
  <c r="J533" i="1"/>
  <c r="G15" i="10" l="1"/>
  <c r="F15" i="10"/>
  <c r="N15" i="10" l="1"/>
  <c r="O15" i="10" s="1"/>
  <c r="O11" i="10"/>
  <c r="O12" i="10" s="1"/>
  <c r="N11" i="10"/>
  <c r="N12" i="10" s="1"/>
  <c r="J9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tc={540067DC-56DA-4B80-AD02-9A1B7C4140E0}</author>
    <author>Madalina Stan</author>
    <author>tc={094CD207-FEB7-4AD0-BF44-A23040AFBA07}</author>
    <author>tc={B050F460-A172-4EF2-AB23-469CCFE5DA0F}</author>
    <author>tc={A6421FD5-8581-46C4-87A7-0E32ED724680}</author>
    <author>tc={A72E0ED8-9004-48BB-87C0-324C07AEA7B6}</author>
    <author>tc={459EA671-B699-4457-8450-3BD1B74A92F2}</author>
    <author>tc={C4C78147-7E1C-4993-ACC1-0625A9B79653}</author>
    <author>tc={8CFD3DE7-4F99-46B6-8725-A143E56011AF}</author>
    <author>tc={816C1245-D96B-4E30-A0F6-76ED81EE8A19}</author>
    <author>tc={F13B1092-BF61-4206-B8D7-F7D378FB7E74}</author>
    <author>Elena</author>
    <author>Daniel Popa</author>
    <author>tc={7E8C66A0-E646-48DF-B6C7-5F1642DE6DEE}</author>
    <author>tc={EDCB1CB2-10DE-4035-BFE6-BE3F12013BE7}</author>
    <author>tc={DD75415C-4AA7-4D85-A3D5-A2E3A1DFB1DC}</author>
    <author>tc={F05AD53D-E84A-42C2-BFF2-9C5A0107E205}</author>
    <author>tc={10FF74E7-ECD4-487A-8476-03CEBB4D6ADE}</author>
    <author>tc={E199439B-E5AF-48B5-9ED3-2F350A3756EB}</author>
    <author>tc={B1635F02-B495-4A49-A7AA-66C9E6E51182}</author>
    <author>tc={30B0D5ED-7AD7-4C68-BFFF-2726E8688F09}</author>
    <author>tc={F6C936C7-373B-4DCF-A0BA-E5CCB6CB31E8}</author>
    <author>tc={0FEA590D-DDD3-4097-A83F-07724DD5B118}</author>
    <author>tc={3C3EE42B-ABFD-4591-A91B-2594EC9E9126}</author>
    <author>tc={D04333F4-8B67-47CA-A7A1-6B0A3338F9AB}</author>
    <author>tc={6EC70D2C-13EC-4188-AB51-6D42B3261445}</author>
    <author>tc={6D111395-3670-419D-827C-970D2521ED5E}</author>
    <author>tc={48A697C3-180F-494D-A206-C22798D1BD2B}</author>
    <author>tc={3DB58560-389E-4BBA-95E2-2C6A135394A5}</author>
    <author>tc={F2CD92C9-7646-4CF2-9417-B7986C78551F}</author>
    <author>tc={19D86B1D-BCD7-4802-A3A1-D473B0C8982C}</author>
    <author>tc={A2AC4837-40B9-422B-8205-50C719FA2D1A}</author>
    <author>tc={15C9C78F-D6CE-43FD-87A3-1E35D3E34D3B}</author>
    <author>tc={51EF6C05-4B42-4A81-8918-DD559731014B}</author>
    <author>tc={BA238130-FB13-44AB-9646-D09F37BD160B}</author>
    <author>tc={EC0B3B1F-1960-42E0-BF46-883285B69545}</author>
    <author>tc={8B325CA6-BF42-4E61-BA8F-0FBF34376A20}</author>
    <author>tc={9D406243-1103-402E-A138-B1DD66457956}</author>
    <author>tc={654E4DC2-F8F9-400D-9B24-89F15E1F49B7}</author>
    <author>tc={49D9E2BE-B1E5-40D8-93BC-4E0F4EE875E0}</author>
    <author>tc={46D570B3-BBE3-4364-AA36-F4B34070E29A}</author>
    <author>tc={E57B9BA8-EE8B-41FF-B370-F452E261DA8C}</author>
    <author>tc={FF14C6B7-A31D-48A9-9617-C4A8732943FC}</author>
    <author>tc={F5FDF4D8-47F6-4222-80AC-2E09E14016E5}</author>
    <author>tc={978FFC18-A6C3-4E9C-A22C-A0D91CC510A9}</author>
    <author>tc={BEA10C06-CFB5-4652-BCA0-F1A669EE177E}</author>
    <author>tc={0147938B-C6F1-448E-8213-7C2565673A22}</author>
    <author>tc={BB06DB24-49D3-4D13-802D-7D7E17583E2A}</author>
    <author>tc={81A7C896-BF74-4D7F-B9A1-0494566A834C}</author>
    <author>tc={B8526B71-9802-4015-AC3D-14E527277443}</author>
    <author>tc={146BBC1B-0FC6-4DBC-A086-CC762F96612F}</author>
    <author>tc={026F0007-F3C8-4C6D-8375-48B8641786C7}</author>
    <author>tc={37B29DBF-FB34-4BB3-9A08-2B96D5D605EE}</author>
    <author>tc={49C8C875-4267-4FB0-B027-6E78C6699262}</author>
    <author>tc={B0987B7F-B93B-4084-A3CE-BC9F567146AA}</author>
    <author>tc={5FD3B38A-268F-4AE3-8E6F-813B546B738F}</author>
    <author>tc={703A5FA2-9E15-47F0-8DD7-B17FAA07BFA8}</author>
    <author>tc={2D062182-DB69-445D-85B7-E8BAB56FF3C2}</author>
    <author>tc={40529A04-D642-48C5-A5FC-87E1BD44719C}</author>
    <author>tc={8F94911C-1017-4CA4-8F13-C04044843034}</author>
    <author>tc={B47B2924-9649-45FA-BEC1-A6AE4EF71740}</author>
    <author>tc={4EDA10EC-A549-4B01-922D-8D4ED2A449AF}</author>
    <author>tc={037CF85D-544A-47E9-8DAC-D262271A9E03}</author>
    <author>tc={91232D8A-2360-4D45-ADC4-6238FF117523}</author>
    <author>tc={0766E946-D92A-40FF-8B52-9D2719253ADF}</author>
    <author>tc={BAFEBDDF-BC06-4E5B-9203-10E962C18B9A}</author>
    <author>tc={F3E8444C-4D93-499D-8A09-9226FE910032}</author>
    <author>tc={A2CB9687-C5BB-4DD3-BF91-6AE916ED23C8}</author>
  </authors>
  <commentList>
    <comment ref="O9" authorId="0" shapeId="0" xr:uid="{B5EFB5DC-00A8-4792-BC49-EE8D7BD3B443}">
      <text>
        <r>
          <rPr>
            <b/>
            <sz val="14"/>
            <color indexed="81"/>
            <rFont val="Calibri"/>
            <family val="2"/>
            <scheme val="minor"/>
          </rPr>
          <t>pick from Drop_list</t>
        </r>
      </text>
    </comment>
    <comment ref="C11" authorId="1" shapeId="0" xr:uid="{540067DC-56DA-4B80-AD02-9A1B7C4140E0}">
      <text>
        <t>[Threaded comment]
Your version of Excel allows you to read this threaded comment; however, any edits to it will get removed if the file is opened in a newer version of Excel. Learn more: https://go.microsoft.com/fwlink/?linkid=870924
Comment:
    cda 7000968979 s-a transf *923 cf mail Kaitar</t>
      </text>
    </comment>
    <comment ref="Z20" authorId="2" shapeId="0" xr:uid="{1321DD9E-6E55-48EF-A670-0ACF62949EA1}">
      <text>
        <r>
          <rPr>
            <sz val="11"/>
            <color theme="1"/>
            <rFont val="Calibri"/>
            <family val="2"/>
            <charset val="238"/>
            <scheme val="minor"/>
          </rPr>
          <t>Madalina Stan:
comanda interna pt rework</t>
        </r>
      </text>
    </comment>
    <comment ref="I21" authorId="2" shapeId="0" xr:uid="{714ACE37-CFD9-4809-BCC2-CCD5B6FB2AC2}">
      <text>
        <r>
          <rPr>
            <sz val="11"/>
            <color theme="1"/>
            <rFont val="Calibri"/>
            <family val="2"/>
            <charset val="238"/>
            <scheme val="minor"/>
          </rPr>
          <t xml:space="preserve">Madalina Stan: cant. noua: 0 buc
</t>
        </r>
      </text>
    </comment>
    <comment ref="K159" authorId="2" shapeId="0" xr:uid="{E747DA6A-A088-4504-9016-A5AAA4ADCF4E}">
      <text>
        <r>
          <rPr>
            <sz val="11"/>
            <color theme="1"/>
            <rFont val="Calibri"/>
            <family val="2"/>
            <charset val="238"/>
            <scheme val="minor"/>
          </rPr>
          <t>Madalina Stan:
Asteptam Termen de livrare de la ALex Itu</t>
        </r>
      </text>
    </comment>
    <comment ref="C395" authorId="3" shapeId="0" xr:uid="{094CD207-FEB7-4AD0-BF44-A23040AFBA07}">
      <text>
        <t>[Threaded comment]
Your version of Excel allows you to read this threaded comment; however, any edits to it will get removed if the file is opened in a newer version of Excel. Learn more: https://go.microsoft.com/fwlink/?linkid=870924
Comment:
    nu cred ca este buna</t>
      </text>
    </comment>
    <comment ref="AB401" authorId="4" shapeId="0" xr:uid="{B050F460-A172-4EF2-AB23-469CCFE5DA0F}">
      <text>
        <t>[Threaded comment]
Your version of Excel allows you to read this threaded comment; however, any edits to it will get removed if the file is opened in a newer version of Excel. Learn more: https://go.microsoft.com/fwlink/?linkid=870924
Comment:
    Avizul este facut in data de 11.06.2024</t>
      </text>
    </comment>
    <comment ref="I439" authorId="5" shapeId="0" xr:uid="{A6421FD5-8581-46C4-87A7-0E32ED724680}">
      <text>
        <t xml:space="preserve">[Threaded comment]
Your version of Excel allows you to read this threaded comment; however, any edits to it will get removed if the file is opened in a newer version of Excel. Learn more: https://go.microsoft.com/fwlink/?linkid=870924
Comment:
    de suplimentat cda cu 20 buc
</t>
      </text>
    </comment>
    <comment ref="I514" authorId="6" shapeId="0" xr:uid="{A72E0ED8-9004-48BB-87C0-324C07AEA7B6}">
      <text>
        <t>[Threaded comment]
Your version of Excel allows you to read this threaded comment; however, any edits to it will get removed if the file is opened in a newer version of Excel. Learn more: https://go.microsoft.com/fwlink/?linkid=870924
Comment:
    34 NOK,inchidem asa</t>
      </text>
    </comment>
    <comment ref="W539" authorId="7" shapeId="0" xr:uid="{459EA671-B699-4457-8450-3BD1B74A92F2}">
      <text>
        <t>[Threaded comment]
Your version of Excel allows you to read this threaded comment; however, any edits to it will get removed if the file is opened in a newer version of Excel. Learn more: https://go.microsoft.com/fwlink/?linkid=870924
Comment:
    Received 12.02.2025, 455pcs</t>
      </text>
    </comment>
    <comment ref="W540" authorId="8" shapeId="0" xr:uid="{C4C78147-7E1C-4993-ACC1-0625A9B79653}">
      <text>
        <t>[Threaded comment]
Your version of Excel allows you to read this threaded comment; however, any edits to it will get removed if the file is opened in a newer version of Excel. Learn more: https://go.microsoft.com/fwlink/?linkid=870924
Comment:
    Received 12.02.2025, 455pcs</t>
      </text>
    </comment>
    <comment ref="W541" authorId="9" shapeId="0" xr:uid="{8CFD3DE7-4F99-46B6-8725-A143E56011AF}">
      <text>
        <t>[Threaded comment]
Your version of Excel allows you to read this threaded comment; however, any edits to it will get removed if the file is opened in a newer version of Excel. Learn more: https://go.microsoft.com/fwlink/?linkid=870924
Comment:
    Received 26.02, 30pcs</t>
      </text>
    </comment>
    <comment ref="I569" authorId="10" shapeId="0" xr:uid="{816C1245-D96B-4E30-A0F6-76ED81EE8A19}">
      <text>
        <t>[Threaded comment]
Your version of Excel allows you to read this threaded comment; however, any edits to it will get removed if the file is opened in a newer version of Excel. Learn more: https://go.microsoft.com/fwlink/?linkid=870924
Comment:
    astept cda modificata</t>
      </text>
    </comment>
    <comment ref="I572" authorId="11" shapeId="0" xr:uid="{F13B1092-BF61-4206-B8D7-F7D378FB7E74}">
      <text>
        <t>[Threaded comment]
Your version of Excel allows you to read this threaded comment; however, any edits to it will get removed if the file is opened in a newer version of Excel. Learn more: https://go.microsoft.com/fwlink/?linkid=870924
Comment:
    de refacut comanda doar 29 buc</t>
      </text>
    </comment>
    <comment ref="AF615" authorId="12" shapeId="0" xr:uid="{CB0D5E35-E64E-4645-BBB3-9043449BFF64}">
      <text>
        <r>
          <rPr>
            <b/>
            <sz val="9"/>
            <color indexed="81"/>
            <rFont val="Tahoma"/>
            <family val="2"/>
          </rPr>
          <t>Elena:</t>
        </r>
        <r>
          <rPr>
            <sz val="9"/>
            <color indexed="81"/>
            <rFont val="Tahoma"/>
            <family val="2"/>
          </rPr>
          <t xml:space="preserve">
piesele au fost livrate pe diferite categorii</t>
        </r>
      </text>
    </comment>
    <comment ref="M685" authorId="13" shapeId="0" xr:uid="{0F0A4518-78B3-48A0-B095-758CE29A35AA}">
      <text>
        <r>
          <rPr>
            <sz val="11"/>
            <color theme="1"/>
            <rFont val="Calibri"/>
            <family val="2"/>
            <charset val="238"/>
            <scheme val="minor"/>
          </rPr>
          <t>estimat maaterial intrare in 16.09</t>
        </r>
      </text>
    </comment>
    <comment ref="C694" authorId="14" shapeId="0" xr:uid="{7E8C66A0-E646-48DF-B6C7-5F1642DE6DEE}">
      <text>
        <t>[Threaded comment]
Your version of Excel allows you to read this threaded comment; however, any edits to it will get removed if the file is opened in a newer version of Excel. Learn more: https://go.microsoft.com/fwlink/?linkid=870924
Comment:
    cda</t>
      </text>
    </comment>
    <comment ref="C697" authorId="15" shapeId="0" xr:uid="{EDCB1CB2-10DE-4035-BFE6-BE3F12013BE7}">
      <text>
        <t>[Threaded comment]
Your version of Excel allows you to read this threaded comment; however, any edits to it will get removed if the file is opened in a newer version of Excel. Learn more: https://go.microsoft.com/fwlink/?linkid=870924
Comment:
    pe cda aceasta vom livra</t>
      </text>
    </comment>
    <comment ref="C698" authorId="16" shapeId="0" xr:uid="{DD75415C-4AA7-4D85-A3D5-A2E3A1DFB1DC}">
      <text>
        <t>[Threaded comment]
Your version of Excel allows you to read this threaded comment; however, any edits to it will get removed if the file is opened in a newer version of Excel. Learn more: https://go.microsoft.com/fwlink/?linkid=870924
Comment:
    pe cda aceasta vom livra</t>
      </text>
    </comment>
    <comment ref="C701" authorId="17" shapeId="0" xr:uid="{F05AD53D-E84A-42C2-BFF2-9C5A0107E205}">
      <text>
        <t>[Threaded comment]
Your version of Excel allows you to read this threaded comment; however, any edits to it will get removed if the file is opened in a newer version of Excel. Learn more: https://go.microsoft.com/fwlink/?linkid=870924
Comment:
    pe cda aceasta vom livra</t>
      </text>
    </comment>
    <comment ref="C702" authorId="18" shapeId="0" xr:uid="{10FF74E7-ECD4-487A-8476-03CEBB4D6ADE}">
      <text>
        <t>[Threaded comment]
Your version of Excel allows you to read this threaded comment; however, any edits to it will get removed if the file is opened in a newer version of Excel. Learn more: https://go.microsoft.com/fwlink/?linkid=870924
Comment:
    pe cda aceasta vom livra</t>
      </text>
    </comment>
    <comment ref="C703" authorId="19" shapeId="0" xr:uid="{E199439B-E5AF-48B5-9ED3-2F350A3756EB}">
      <text>
        <t>[Threaded comment]
Your version of Excel allows you to read this threaded comment; however, any edits to it will get removed if the file is opened in a newer version of Excel. Learn more: https://go.microsoft.com/fwlink/?linkid=870924
Comment:
    pe cda aceasta vom livra</t>
      </text>
    </comment>
    <comment ref="C704" authorId="20" shapeId="0" xr:uid="{B1635F02-B495-4A49-A7AA-66C9E6E51182}">
      <text>
        <t>[Threaded comment]
Your version of Excel allows you to read this threaded comment; however, any edits to it will get removed if the file is opened in a newer version of Excel. Learn more: https://go.microsoft.com/fwlink/?linkid=870924
Comment:
    pe cda aceasta vom livra</t>
      </text>
    </comment>
    <comment ref="C705" authorId="21" shapeId="0" xr:uid="{30B0D5ED-7AD7-4C68-BFFF-2726E8688F09}">
      <text>
        <t>[Threaded comment]
Your version of Excel allows you to read this threaded comment; however, any edits to it will get removed if the file is opened in a newer version of Excel. Learn more: https://go.microsoft.com/fwlink/?linkid=870924
Comment:
    pe cda aceasta vom livra</t>
      </text>
    </comment>
    <comment ref="C723" authorId="22" shapeId="0" xr:uid="{F6C936C7-373B-4DCF-A0BA-E5CCB6CB31E8}">
      <text>
        <t>[Threaded comment]
Your version of Excel allows you to read this threaded comment; however, any edits to it will get removed if the file is opened in a newer version of Excel. Learn more: https://go.microsoft.com/fwlink/?linkid=870924
Comment:
    cda de adaugat</t>
      </text>
    </comment>
    <comment ref="AF762" authorId="12" shapeId="0" xr:uid="{8D5EE798-02D1-4116-A7C6-40B6C4E38BC0}">
      <text>
        <r>
          <rPr>
            <b/>
            <sz val="9"/>
            <color indexed="81"/>
            <rFont val="Tahoma"/>
            <family val="2"/>
          </rPr>
          <t>Elena:</t>
        </r>
        <r>
          <rPr>
            <sz val="9"/>
            <color indexed="81"/>
            <rFont val="Tahoma"/>
            <family val="2"/>
          </rPr>
          <t xml:space="preserve">
din care 7 pcs cu derogare
</t>
        </r>
      </text>
    </comment>
    <comment ref="AF763" authorId="12" shapeId="0" xr:uid="{C695CB72-1523-436A-89A6-A673287C7D53}">
      <text>
        <r>
          <rPr>
            <b/>
            <sz val="9"/>
            <color indexed="81"/>
            <rFont val="Tahoma"/>
            <family val="2"/>
          </rPr>
          <t>Elena:</t>
        </r>
        <r>
          <rPr>
            <sz val="9"/>
            <color indexed="81"/>
            <rFont val="Tahoma"/>
            <family val="2"/>
          </rPr>
          <t xml:space="preserve">
din care 4 pcs sunt de validare</t>
        </r>
      </text>
    </comment>
    <comment ref="K766" authorId="23" shapeId="0" xr:uid="{0FEA590D-DDD3-4097-A83F-07724DD5B118}">
      <text>
        <t>[Threaded comment]
Your version of Excel allows you to read this threaded comment; however, any edits to it will get removed if the file is opened in a newer version of Excel. Learn more: https://go.microsoft.com/fwlink/?linkid=870924
Comment:
    Update ETA wk 02/2025</t>
      </text>
    </comment>
    <comment ref="K767" authorId="24" shapeId="0" xr:uid="{3C3EE42B-ABFD-4591-A91B-2594EC9E9126}">
      <text>
        <t>[Threaded comment]
Your version of Excel allows you to read this threaded comment; however, any edits to it will get removed if the file is opened in a newer version of Excel. Learn more: https://go.microsoft.com/fwlink/?linkid=870924
Comment:
    Update ETA wk 02/2025</t>
      </text>
    </comment>
    <comment ref="C876" authorId="25" shapeId="0" xr:uid="{D04333F4-8B67-47CA-A7A1-6B0A3338F9AB}">
      <text>
        <t>[Threaded comment]
Your version of Excel allows you to read this threaded comment; however, any edits to it will get removed if the file is opened in a newer version of Excel. Learn more: https://go.microsoft.com/fwlink/?linkid=870924
Comment:
    Cred ca e gresita</t>
      </text>
    </comment>
    <comment ref="M893" authorId="13" shapeId="0" xr:uid="{CFBDCD8D-E1F1-4CFE-AFBB-EA4A3CF6F13D}">
      <text>
        <r>
          <rPr>
            <sz val="11"/>
            <color theme="1"/>
            <rFont val="Calibri"/>
            <family val="2"/>
            <charset val="238"/>
            <scheme val="minor"/>
          </rPr>
          <t xml:space="preserve">w35   300
w36  1000
w37  1000
w38  1000
w39  1000
w40  1000
w41  1000
w42   700
</t>
        </r>
      </text>
    </comment>
    <comment ref="I928" authorId="2" shapeId="0" xr:uid="{149058EE-A31D-45B6-9C4A-DDCCD8E4757D}">
      <text>
        <r>
          <rPr>
            <sz val="11"/>
            <color theme="1"/>
            <rFont val="Calibri"/>
            <family val="2"/>
            <charset val="238"/>
            <scheme val="minor"/>
          </rPr>
          <t xml:space="preserve">Madalina Stan:
35 intoarse
</t>
        </r>
      </text>
    </comment>
    <comment ref="M979" authorId="13" shapeId="0" xr:uid="{B6E1E883-726B-4096-9881-E33351DD04CC}">
      <text>
        <r>
          <rPr>
            <sz val="11"/>
            <color theme="1"/>
            <rFont val="Calibri"/>
            <family val="2"/>
            <charset val="238"/>
            <scheme val="minor"/>
          </rPr>
          <t xml:space="preserve">08/23    1000
w35      500
w36      1000
w37      1000
w38      1500
w39      1000
w40      1500
w41      1000
w42      1500
w43      1500
</t>
        </r>
      </text>
    </comment>
    <comment ref="I1006" authorId="2" shapeId="0" xr:uid="{1B2BCDDC-ADFD-48C9-B9F2-1D42D3628F06}">
      <text>
        <r>
          <rPr>
            <sz val="11"/>
            <color theme="1"/>
            <rFont val="Calibri"/>
            <family val="2"/>
            <charset val="238"/>
            <scheme val="minor"/>
          </rPr>
          <t>Madalina Stan:
stornate pana la data de 08.04.2025 ---&gt; 5253 pcs</t>
        </r>
      </text>
    </comment>
    <comment ref="I1012" authorId="2" shapeId="0" xr:uid="{601DE1D2-5E65-40CC-A8C9-ABDBB4536180}">
      <text>
        <r>
          <rPr>
            <sz val="11"/>
            <color theme="1"/>
            <rFont val="Calibri"/>
            <family val="2"/>
            <charset val="238"/>
            <scheme val="minor"/>
          </rPr>
          <t>Madalina Stan:
stornate pana la data de 08.04.2025 ---&gt; 5253 pcs</t>
        </r>
      </text>
    </comment>
    <comment ref="I1030" authorId="26" shapeId="0" xr:uid="{6EC70D2C-13EC-4188-AB51-6D42B3261445}">
      <text>
        <t>[Threaded comment]
Your version of Excel allows you to read this threaded comment; however, any edits to it will get removed if the file is opened in a newer version of Excel. Learn more: https://go.microsoft.com/fwlink/?linkid=870924
Comment:
    suplimentar</t>
      </text>
    </comment>
    <comment ref="M1067" authorId="13" shapeId="0" xr:uid="{0AE29441-46AB-4598-AE33-C8A7FD7C838D}">
      <text>
        <r>
          <rPr>
            <sz val="11"/>
            <color theme="1"/>
            <rFont val="Calibri"/>
            <family val="2"/>
            <charset val="238"/>
            <scheme val="minor"/>
          </rPr>
          <t xml:space="preserve">Daniel Popa:
Yasda ? 500buc/sapt pana in 30.09
</t>
        </r>
      </text>
    </comment>
    <comment ref="M1068" authorId="13" shapeId="0" xr:uid="{BA8E6747-8B80-4AE2-B3CB-5139A8ADBB3B}">
      <text>
        <r>
          <rPr>
            <sz val="11"/>
            <color theme="1"/>
            <rFont val="Calibri"/>
            <family val="2"/>
            <charset val="238"/>
            <scheme val="minor"/>
          </rPr>
          <t xml:space="preserve">Daniel Popa:
Yasda ? 500buc/sapt pana in 30.09
</t>
        </r>
      </text>
    </comment>
    <comment ref="W1158" authorId="27" shapeId="0" xr:uid="{6D111395-3670-419D-827C-970D2521ED5E}">
      <text>
        <t>[Threaded comment]
Your version of Excel allows you to read this threaded comment; however, any edits to it will get removed if the file is opened in a newer version of Excel. Learn more: https://go.microsoft.com/fwlink/?linkid=870924
Comment:
    Received  5buc 13.02.2025</t>
      </text>
    </comment>
    <comment ref="W1159" authorId="28" shapeId="0" xr:uid="{48A697C3-180F-494D-A206-C22798D1BD2B}">
      <text>
        <t>[Threaded comment]
Your version of Excel allows you to read this threaded comment; however, any edits to it will get removed if the file is opened in a newer version of Excel. Learn more: https://go.microsoft.com/fwlink/?linkid=870924
Comment:
    Received  1515buc 13.02.2025</t>
      </text>
    </comment>
    <comment ref="W1160" authorId="29" shapeId="0" xr:uid="{3DB58560-389E-4BBA-95E2-2C6A135394A5}">
      <text>
        <t>[Threaded comment]
Your version of Excel allows you to read this threaded comment; however, any edits to it will get removed if the file is opened in a newer version of Excel. Learn more: https://go.microsoft.com/fwlink/?linkid=870924
Comment:
    Received  1515buc 13.02.2025</t>
      </text>
    </comment>
    <comment ref="W1161" authorId="30" shapeId="0" xr:uid="{F2CD92C9-7646-4CF2-9417-B7986C78551F}">
      <text>
        <t>[Threaded comment]
Your version of Excel allows you to read this threaded comment; however, any edits to it will get removed if the file is opened in a newer version of Excel. Learn more: https://go.microsoft.com/fwlink/?linkid=870924
Comment:
    Received  1515buc 13.02.2025</t>
      </text>
    </comment>
    <comment ref="W1162" authorId="31" shapeId="0" xr:uid="{19D86B1D-BCD7-4802-A3A1-D473B0C8982C}">
      <text>
        <t>[Threaded comment]
Your version of Excel allows you to read this threaded comment; however, any edits to it will get removed if the file is opened in a newer version of Excel. Learn more: https://go.microsoft.com/fwlink/?linkid=870924
Comment:
    Received  1515buc 13.02.2025</t>
      </text>
    </comment>
    <comment ref="W1166" authorId="32" shapeId="0" xr:uid="{A2AC4837-40B9-422B-8205-50C719FA2D1A}">
      <text>
        <t>[Threaded comment]
Your version of Excel allows you to read this threaded comment; however, any edits to it will get removed if the file is opened in a newer version of Excel. Learn more: https://go.microsoft.com/fwlink/?linkid=870924
Comment:
    Received  1515buc 13.02.2025</t>
      </text>
    </comment>
    <comment ref="W1167" authorId="33" shapeId="0" xr:uid="{15C9C78F-D6CE-43FD-87A3-1E35D3E34D3B}">
      <text>
        <t>[Threaded comment]
Your version of Excel allows you to read this threaded comment; however, any edits to it will get removed if the file is opened in a newer version of Excel. Learn more: https://go.microsoft.com/fwlink/?linkid=870924
Comment:
    Received  1515buc 13.02.2025</t>
      </text>
    </comment>
    <comment ref="W1168" authorId="34" shapeId="0" xr:uid="{51EF6C05-4B42-4A81-8918-DD559731014B}">
      <text>
        <t>[Threaded comment]
Your version of Excel allows you to read this threaded comment; however, any edits to it will get removed if the file is opened in a newer version of Excel. Learn more: https://go.microsoft.com/fwlink/?linkid=870924
Comment:
    Received  1515buc 13.02.2025</t>
      </text>
    </comment>
    <comment ref="AB1188" authorId="35" shapeId="0" xr:uid="{BA238130-FB13-44AB-9646-D09F37BD160B}">
      <text>
        <t>[Threaded comment]
Your version of Excel allows you to read this threaded comment; however, any edits to it will get removed if the file is opened in a newer version of Excel. Learn more: https://go.microsoft.com/fwlink/?linkid=870924
Comment:
    02.10</t>
      </text>
    </comment>
    <comment ref="W1190" authorId="36" shapeId="0" xr:uid="{EC0B3B1F-1960-42E0-BF46-883285B69545}">
      <text>
        <t>[Threaded comment]
Your version of Excel allows you to read this threaded comment; however, any edits to it will get removed if the file is opened in a newer version of Excel. Learn more: https://go.microsoft.com/fwlink/?linkid=870924
Comment:
    Rec 10.02</t>
      </text>
    </comment>
    <comment ref="W1191" authorId="37" shapeId="0" xr:uid="{8B325CA6-BF42-4E61-BA8F-0FBF34376A20}">
      <text>
        <t>[Threaded comment]
Your version of Excel allows you to read this threaded comment; however, any edits to it will get removed if the file is opened in a newer version of Excel. Learn more: https://go.microsoft.com/fwlink/?linkid=870924
Comment:
    Rec 10.02</t>
      </text>
    </comment>
    <comment ref="K1230" authorId="38" shapeId="0" xr:uid="{9D406243-1103-402E-A138-B1DD66457956}">
      <text>
        <t>[Threaded comment]
Your version of Excel allows you to read this threaded comment; however, any edits to it will get removed if the file is opened in a newer version of Excel. Learn more: https://go.microsoft.com/fwlink/?linkid=870924
Comment:
    21.06 vechi</t>
      </text>
    </comment>
    <comment ref="AC1269" authorId="39" shapeId="0" xr:uid="{654E4DC2-F8F9-400D-9B24-89F15E1F49B7}">
      <text>
        <t>[Threaded comment]
Your version of Excel allows you to read this threaded comment; however, any edits to it will get removed if the file is opened in a newer version of Excel. Learn more: https://go.microsoft.com/fwlink/?linkid=870924
Comment:
    livrare 04.08.2025</t>
      </text>
    </comment>
    <comment ref="AC1270" authorId="40" shapeId="0" xr:uid="{49D9E2BE-B1E5-40D8-93BC-4E0F4EE875E0}">
      <text>
        <t>[Threaded comment]
Your version of Excel allows you to read this threaded comment; however, any edits to it will get removed if the file is opened in a newer version of Excel. Learn more: https://go.microsoft.com/fwlink/?linkid=870924
Comment:
    livrare 04.08.2025</t>
      </text>
    </comment>
    <comment ref="Z1298" authorId="2" shapeId="0" xr:uid="{28CC825F-50A8-4A3A-8528-DC1A8D3C318D}">
      <text>
        <r>
          <rPr>
            <sz val="11"/>
            <color theme="1"/>
            <rFont val="Calibri"/>
            <family val="2"/>
            <charset val="238"/>
            <scheme val="minor"/>
          </rPr>
          <t>Madalina Stan:
200 buc</t>
        </r>
      </text>
    </comment>
    <comment ref="K1353" authorId="2" shapeId="0" xr:uid="{20105C21-30D6-42CB-8420-01BB254ADB2F}">
      <text>
        <r>
          <rPr>
            <sz val="11"/>
            <color theme="1"/>
            <rFont val="Calibri"/>
            <family val="2"/>
            <charset val="238"/>
            <scheme val="minor"/>
          </rPr>
          <t>Madalina Stan:
28/2/2024</t>
        </r>
      </text>
    </comment>
    <comment ref="AC1370" authorId="41" shapeId="0" xr:uid="{46D570B3-BBE3-4364-AA36-F4B34070E29A}">
      <text>
        <t>[Threaded comment]
Your version of Excel allows you to read this threaded comment; however, any edits to it will get removed if the file is opened in a newer version of Excel. Learn more: https://go.microsoft.com/fwlink/?linkid=870924
Comment:
    livrare 04.08.2025</t>
      </text>
    </comment>
    <comment ref="AC1371" authorId="42" shapeId="0" xr:uid="{E57B9BA8-EE8B-41FF-B370-F452E261DA8C}">
      <text>
        <t>[Threaded comment]
Your version of Excel allows you to read this threaded comment; however, any edits to it will get removed if the file is opened in a newer version of Excel. Learn more: https://go.microsoft.com/fwlink/?linkid=870924
Comment:
    livrare 04.08.2025</t>
      </text>
    </comment>
    <comment ref="I1386" authorId="2" shapeId="0" xr:uid="{F7BA2377-E220-4A42-83CC-844CB69CDCA5}">
      <text>
        <r>
          <rPr>
            <sz val="11"/>
            <color theme="1"/>
            <rFont val="Calibri"/>
            <family val="2"/>
            <charset val="238"/>
            <scheme val="minor"/>
          </rPr>
          <t>Madalina Stan:
old qty: 28</t>
        </r>
      </text>
    </comment>
    <comment ref="I1409" authorId="2" shapeId="0" xr:uid="{5B084F5A-50BD-49C6-962C-B09B5FC0A20E}">
      <text>
        <r>
          <rPr>
            <sz val="11"/>
            <color theme="1"/>
            <rFont val="Calibri"/>
            <family val="2"/>
            <charset val="238"/>
            <scheme val="minor"/>
          </rPr>
          <t>Madalina Stan:
old: 30</t>
        </r>
      </text>
    </comment>
    <comment ref="I1411" authorId="2" shapeId="0" xr:uid="{0221F69C-52DB-4CA6-803D-441FECC14345}">
      <text>
        <r>
          <rPr>
            <sz val="11"/>
            <color theme="1"/>
            <rFont val="Calibri"/>
            <family val="2"/>
            <charset val="238"/>
            <scheme val="minor"/>
          </rPr>
          <t>Madalina Stan:
old: 150</t>
        </r>
      </text>
    </comment>
    <comment ref="AC1443" authorId="43" shapeId="0" xr:uid="{FF14C6B7-A31D-48A9-9617-C4A8732943FC}">
      <text>
        <t>[Threaded comment]
Your version of Excel allows you to read this threaded comment; however, any edits to it will get removed if the file is opened in a newer version of Excel. Learn more: https://go.microsoft.com/fwlink/?linkid=870924
Comment:
    livrare 04.08.2025</t>
      </text>
    </comment>
    <comment ref="AC1466" authorId="44" shapeId="0" xr:uid="{F5FDF4D8-47F6-4222-80AC-2E09E14016E5}">
      <text>
        <t>[Threaded comment]
Your version of Excel allows you to read this threaded comment; however, any edits to it will get removed if the file is opened in a newer version of Excel. Learn more: https://go.microsoft.com/fwlink/?linkid=870924
Comment:
    livrare 04.08.2025</t>
      </text>
    </comment>
    <comment ref="I1486" authorId="45" shapeId="0" xr:uid="{978FFC18-A6C3-4E9C-A22C-A0D91CC510A9}">
      <text>
        <t>[Threaded comment]
Your version of Excel allows you to read this threaded comment; however, any edits to it will get removed if the file is opened in a newer version of Excel. Learn more: https://go.microsoft.com/fwlink/?linkid=870924
Comment:
    Mai suplimentam cda cu 1 buc?</t>
      </text>
    </comment>
    <comment ref="I1502" authorId="46" shapeId="0" xr:uid="{BEA10C06-CFB5-4652-BCA0-F1A669EE177E}">
      <text>
        <t>[Threaded comment]
Your version of Excel allows you to read this threaded comment; however, any edits to it will get removed if the file is opened in a newer version of Excel. Learn more: https://go.microsoft.com/fwlink/?linkid=870924
Comment:
    De adaugat in cda 4 buc</t>
      </text>
    </comment>
    <comment ref="C1520" authorId="47" shapeId="0" xr:uid="{0147938B-C6F1-448E-8213-7C2565673A22}">
      <text>
        <t>[Threaded comment]
Your version of Excel allows you to read this threaded comment; however, any edits to it will get removed if the file is opened in a newer version of Excel. Learn more: https://go.microsoft.com/fwlink/?linkid=870924
Comment:
    cda</t>
      </text>
    </comment>
    <comment ref="C1521" authorId="48" shapeId="0" xr:uid="{BB06DB24-49D3-4D13-802D-7D7E17583E2A}">
      <text>
        <t xml:space="preserve">[Threaded comment]
Your version of Excel allows you to read this threaded comment; however, any edits to it will get removed if the file is opened in a newer version of Excel. Learn more: https://go.microsoft.com/fwlink/?linkid=870924
Comment:
    de adaugat cda
</t>
      </text>
    </comment>
    <comment ref="C1522" authorId="49" shapeId="0" xr:uid="{81A7C896-BF74-4D7F-B9A1-0494566A834C}">
      <text>
        <t>[Threaded comment]
Your version of Excel allows you to read this threaded comment; however, any edits to it will get removed if the file is opened in a newer version of Excel. Learn more: https://go.microsoft.com/fwlink/?linkid=870924
Comment:
    cda</t>
      </text>
    </comment>
    <comment ref="E1524" authorId="50" shapeId="0" xr:uid="{B8526B71-9802-4015-AC3D-14E527277443}">
      <text>
        <t xml:space="preserve">[Threaded comment]
Your version of Excel allows you to read this threaded comment; however, any edits to it will get removed if the file is opened in a newer version of Excel. Learn more: https://go.microsoft.com/fwlink/?linkid=870924
Comment:
    suplimentare cda
</t>
      </text>
    </comment>
    <comment ref="AB1584" authorId="51" shapeId="0" xr:uid="{146BBC1B-0FC6-4DBC-A086-CC762F96612F}">
      <text>
        <t>[Threaded comment]
Your version of Excel allows you to read this threaded comment; however, any edits to it will get removed if the file is opened in a newer version of Excel. Learn more: https://go.microsoft.com/fwlink/?linkid=870924
Comment:
    04.08.2025 s-a livrat</t>
      </text>
    </comment>
    <comment ref="K1606" authorId="2" shapeId="0" xr:uid="{4D8B095B-9CCB-4EC6-AB2F-719420056B83}">
      <text>
        <r>
          <rPr>
            <sz val="11"/>
            <color theme="1"/>
            <rFont val="Calibri"/>
            <family val="2"/>
            <charset val="238"/>
            <scheme val="minor"/>
          </rPr>
          <t>Madalina Stan:
data veche: 17.05</t>
        </r>
      </text>
    </comment>
    <comment ref="I1613" authorId="52" shapeId="0" xr:uid="{026F0007-F3C8-4C6D-8375-48B8641786C7}">
      <text>
        <t xml:space="preserve">[Threaded comment]
Your version of Excel allows you to read this threaded comment; however, any edits to it will get removed if the file is opened in a newer version of Excel. Learn more: https://go.microsoft.com/fwlink/?linkid=870924
Comment:
    rand livrare noua
</t>
      </text>
    </comment>
    <comment ref="AB1642" authorId="53" shapeId="0" xr:uid="{37B29DBF-FB34-4BB3-9A08-2B96D5D605EE}">
      <text>
        <t>[Threaded comment]
Your version of Excel allows you to read this threaded comment; however, any edits to it will get removed if the file is opened in a newer version of Excel. Learn more: https://go.microsoft.com/fwlink/?linkid=870924
Comment:
    04.08.2025</t>
      </text>
    </comment>
    <comment ref="A1644" authorId="54" shapeId="0" xr:uid="{49C8C875-4267-4FB0-B027-6E78C6699262}">
      <text>
        <t>[Threaded comment]
Your version of Excel allows you to read this threaded comment; however, any edits to it will get removed if the file is opened in a newer version of Excel. Learn more: https://go.microsoft.com/fwlink/?linkid=870924
Comment:
    Anulate de Antonia</t>
      </text>
    </comment>
    <comment ref="AC1656" authorId="55" shapeId="0" xr:uid="{B0987B7F-B93B-4084-A3CE-BC9F567146AA}">
      <text>
        <t>[Threaded comment]
Your version of Excel allows you to read this threaded comment; however, any edits to it will get removed if the file is opened in a newer version of Excel. Learn more: https://go.microsoft.com/fwlink/?linkid=870924
Comment:
    Aviz pt ASN</t>
      </text>
    </comment>
    <comment ref="AI1714" authorId="56" shapeId="0" xr:uid="{5FD3B38A-268F-4AE3-8E6F-813B546B738F}">
      <text>
        <t xml:space="preserve">[Threaded comment]
Your version of Excel allows you to read this threaded comment; however, any edits to it will get removed if the file is opened in a newer version of Excel. Learn more: https://go.microsoft.com/fwlink/?linkid=870924
Comment:
    Trebuie sa setam maximul de scrap, si ulterior dupa prelcurare sa solicitam catre BOSCH sa modifice Comanda
</t>
      </text>
    </comment>
    <comment ref="AI1725" authorId="57" shapeId="0" xr:uid="{703A5FA2-9E15-47F0-8DD7-B17FAA07BFA8}">
      <text>
        <t xml:space="preserve">[Threaded comment]
Your version of Excel allows you to read this threaded comment; however, any edits to it will get removed if the file is opened in a newer version of Excel. Learn more: https://go.microsoft.com/fwlink/?linkid=870924
Comment:
    Trebuie sa setam maximul de scrap, si ulterior dupa prelcurare sa solicitam catre BOSCH sa modifice Comanda
</t>
      </text>
    </comment>
    <comment ref="AC1741" authorId="58" shapeId="0" xr:uid="{2D062182-DB69-445D-85B7-E8BAB56FF3C2}">
      <text>
        <t>[Threaded comment]
Your version of Excel allows you to read this threaded comment; however, any edits to it will get removed if the file is opened in a newer version of Excel. Learn more: https://go.microsoft.com/fwlink/?linkid=870924
Comment:
    livrata 04.08</t>
      </text>
    </comment>
    <comment ref="C1742" authorId="59" shapeId="0" xr:uid="{40529A04-D642-48C5-A5FC-87E1BD44719C}">
      <text>
        <t>[Threaded comment]
Your version of Excel allows you to read this threaded comment; however, any edits to it will get removed if the file is opened in a newer version of Excel. Learn more: https://go.microsoft.com/fwlink/?linkid=870924
Comment:
    asn?</t>
      </text>
    </comment>
    <comment ref="C1761" authorId="60" shapeId="0" xr:uid="{8F94911C-1017-4CA4-8F13-C04044843034}">
      <text>
        <t>[Threaded comment]
Your version of Excel allows you to read this threaded comment; however, any edits to it will get removed if the file is opened in a newer version of Excel. Learn more: https://go.microsoft.com/fwlink/?linkid=870924
Comment:
    de adaugat cda</t>
      </text>
    </comment>
    <comment ref="I1776" authorId="2" shapeId="0" xr:uid="{333ED936-ACCF-481B-9614-626145F2F8DE}">
      <text>
        <r>
          <rPr>
            <sz val="11"/>
            <color theme="1"/>
            <rFont val="Calibri"/>
            <family val="2"/>
            <charset val="238"/>
            <scheme val="minor"/>
          </rPr>
          <t>Madalina Stan:
old qty: 20</t>
        </r>
      </text>
    </comment>
    <comment ref="AC1785" authorId="61" shapeId="0" xr:uid="{B47B2924-9649-45FA-BEC1-A6AE4EF71740}">
      <text>
        <t>[Threaded comment]
Your version of Excel allows you to read this threaded comment; however, any edits to it will get removed if the file is opened in a newer version of Excel. Learn more: https://go.microsoft.com/fwlink/?linkid=870924
Comment:
    livrare 04.08.2025</t>
      </text>
    </comment>
    <comment ref="AC1786" authorId="62" shapeId="0" xr:uid="{4EDA10EC-A549-4B01-922D-8D4ED2A449AF}">
      <text>
        <t>[Threaded comment]
Your version of Excel allows you to read this threaded comment; however, any edits to it will get removed if the file is opened in a newer version of Excel. Learn more: https://go.microsoft.com/fwlink/?linkid=870924
Comment:
    livrare 04.08.2025</t>
      </text>
    </comment>
    <comment ref="AC1831" authorId="63" shapeId="0" xr:uid="{037CF85D-544A-47E9-8DAC-D262271A9E03}">
      <text>
        <t>[Threaded comment]
Your version of Excel allows you to read this threaded comment; however, any edits to it will get removed if the file is opened in a newer version of Excel. Learn more: https://go.microsoft.com/fwlink/?linkid=870924
Comment:
    livrare 04.08.2025</t>
      </text>
    </comment>
    <comment ref="I1866" authorId="64" shapeId="0" xr:uid="{91232D8A-2360-4D45-ADC4-6238FF117523}">
      <text>
        <t>[Threaded comment]
Your version of Excel allows you to read this threaded comment; however, any edits to it will get removed if the file is opened in a newer version of Excel. Learn more: https://go.microsoft.com/fwlink/?linkid=870924
Comment:
    De suplimentat cda cu 4 buc</t>
      </text>
    </comment>
    <comment ref="C1869" authorId="65" shapeId="0" xr:uid="{0766E946-D92A-40FF-8B52-9D2719253ADF}">
      <text>
        <t>[Threaded comment]
Your version of Excel allows you to read this threaded comment; however, any edits to it will get removed if the file is opened in a newer version of Excel. Learn more: https://go.microsoft.com/fwlink/?linkid=870924
Comment:
    de adaugat cda
Reply:
    si scazut cele livrate</t>
      </text>
    </comment>
    <comment ref="Z1885" authorId="2" shapeId="0" xr:uid="{14AAFCBF-763C-4780-9DBC-C2C3C6BB4393}">
      <text>
        <r>
          <rPr>
            <sz val="11"/>
            <color theme="1"/>
            <rFont val="Calibri"/>
            <family val="2"/>
            <charset val="238"/>
            <scheme val="minor"/>
          </rPr>
          <t>Madalina Stan:
1500 buc routing</t>
        </r>
      </text>
    </comment>
    <comment ref="I1992" authorId="66" shapeId="0" xr:uid="{BAFEBDDF-BC06-4E5B-9203-10E962C18B9A}">
      <text>
        <t>[Threaded comment]
Your version of Excel allows you to read this threaded comment; however, any edits to it will get removed if the file is opened in a newer version of Excel. Learn more: https://go.microsoft.com/fwlink/?linkid=870924
Comment:
    Ne-am aliniat cu Simona</t>
      </text>
    </comment>
    <comment ref="Z2448" authorId="2" shapeId="0" xr:uid="{B459906D-2593-4FF3-A92D-C6166755F0B5}">
      <text>
        <r>
          <rPr>
            <sz val="11"/>
            <color theme="1"/>
            <rFont val="Calibri"/>
            <family val="2"/>
            <charset val="238"/>
            <scheme val="minor"/>
          </rPr>
          <t>Madalina Stan:
routing validare</t>
        </r>
      </text>
    </comment>
    <comment ref="Z2449" authorId="2" shapeId="0" xr:uid="{942206A7-D981-4CEC-B25D-4C89291B6C70}">
      <text>
        <r>
          <rPr>
            <sz val="11"/>
            <color theme="1"/>
            <rFont val="Calibri"/>
            <family val="2"/>
            <charset val="238"/>
            <scheme val="minor"/>
          </rPr>
          <t>Madalina Stan:
routing validare</t>
        </r>
      </text>
    </comment>
    <comment ref="Z2450" authorId="2" shapeId="0" xr:uid="{A2F01E71-862B-48BB-8365-581E63CFCBDE}">
      <text>
        <r>
          <rPr>
            <sz val="11"/>
            <color theme="1"/>
            <rFont val="Calibri"/>
            <family val="2"/>
            <charset val="238"/>
            <scheme val="minor"/>
          </rPr>
          <t>Madalina Stan:
routing validare</t>
        </r>
      </text>
    </comment>
    <comment ref="Z2451" authorId="2" shapeId="0" xr:uid="{C36B5FB8-2AB0-4CAE-84BC-F03D59E6DDB8}">
      <text>
        <r>
          <rPr>
            <sz val="11"/>
            <color theme="1"/>
            <rFont val="Calibri"/>
            <family val="2"/>
            <charset val="238"/>
            <scheme val="minor"/>
          </rPr>
          <t>Madalina Stan:
routing validare</t>
        </r>
      </text>
    </comment>
    <comment ref="Z2452" authorId="2" shapeId="0" xr:uid="{4411DEAC-FAEC-4B70-BE59-BB0BCBC9DEE3}">
      <text>
        <r>
          <rPr>
            <sz val="11"/>
            <color theme="1"/>
            <rFont val="Calibri"/>
            <family val="2"/>
            <charset val="238"/>
            <scheme val="minor"/>
          </rPr>
          <t>Madalina Stan:
routing validare</t>
        </r>
      </text>
    </comment>
    <comment ref="Z2453" authorId="2" shapeId="0" xr:uid="{D645A656-1317-4576-838A-678A0C6493A6}">
      <text>
        <r>
          <rPr>
            <sz val="11"/>
            <color theme="1"/>
            <rFont val="Calibri"/>
            <family val="2"/>
            <charset val="238"/>
            <scheme val="minor"/>
          </rPr>
          <t>Madalina Stan:
routing validare</t>
        </r>
      </text>
    </comment>
    <comment ref="Z2454" authorId="2" shapeId="0" xr:uid="{44A1EAA7-1823-4049-B95A-DF6AFD7EA2CB}">
      <text>
        <r>
          <rPr>
            <sz val="11"/>
            <color theme="1"/>
            <rFont val="Calibri"/>
            <family val="2"/>
            <charset val="238"/>
            <scheme val="minor"/>
          </rPr>
          <t>Madalina Stan:
routing validare</t>
        </r>
      </text>
    </comment>
    <comment ref="Z2455" authorId="2" shapeId="0" xr:uid="{259D7491-94F0-497C-B727-3C062A3E0AC1}">
      <text>
        <r>
          <rPr>
            <sz val="11"/>
            <color theme="1"/>
            <rFont val="Calibri"/>
            <family val="2"/>
            <charset val="238"/>
            <scheme val="minor"/>
          </rPr>
          <t>Madalina Stan:
routing validare</t>
        </r>
      </text>
    </comment>
    <comment ref="Z2456" authorId="2" shapeId="0" xr:uid="{EEA1A732-0531-4F5F-BC7E-3BCBFA2C8F0D}">
      <text>
        <r>
          <rPr>
            <sz val="11"/>
            <color theme="1"/>
            <rFont val="Calibri"/>
            <family val="2"/>
            <charset val="238"/>
            <scheme val="minor"/>
          </rPr>
          <t>Madalina Stan:
routing validare</t>
        </r>
      </text>
    </comment>
    <comment ref="Z2457" authorId="2" shapeId="0" xr:uid="{1818B0F3-734D-4283-BD37-707CD9532B12}">
      <text>
        <r>
          <rPr>
            <sz val="11"/>
            <color theme="1"/>
            <rFont val="Calibri"/>
            <family val="2"/>
            <charset val="238"/>
            <scheme val="minor"/>
          </rPr>
          <t>Madalina Stan:
routing validare</t>
        </r>
      </text>
    </comment>
    <comment ref="Z2524" authorId="2" shapeId="0" xr:uid="{4585DF25-9D5A-444F-A31C-444E6F139636}">
      <text>
        <r>
          <rPr>
            <sz val="11"/>
            <color theme="1"/>
            <rFont val="Calibri"/>
            <family val="2"/>
            <charset val="238"/>
            <scheme val="minor"/>
          </rPr>
          <t>Madalina Stan:
routing pt validare</t>
        </r>
      </text>
    </comment>
    <comment ref="C2621" authorId="67" shapeId="0" xr:uid="{F3E8444C-4D93-499D-8A09-9226FE910032}">
      <text>
        <t>[Threaded comment]
Your version of Excel allows you to read this threaded comment; however, any edits to it will get removed if the file is opened in a newer version of Excel. Learn more: https://go.microsoft.com/fwlink/?linkid=870924
Comment:
    de adaugat cda</t>
      </text>
    </comment>
    <comment ref="C2626" authorId="68" shapeId="0" xr:uid="{A2CB9687-C5BB-4DD3-BF91-6AE916ED23C8}">
      <text>
        <t xml:space="preserve">[Threaded comment]
Your version of Excel allows you to read this threaded comment; however, any edits to it will get removed if the file is opened in a newer version of Excel. Learn more: https://go.microsoft.com/fwlink/?linkid=870924
Comment:
    de adaugat comanda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48" authorId="0" shapeId="0" xr:uid="{D4844A2B-A6EB-430B-A348-FCAEBC1355DF}">
      <text>
        <r>
          <rPr>
            <b/>
            <sz val="9"/>
            <color indexed="81"/>
            <rFont val="Tahoma"/>
            <family val="2"/>
          </rPr>
          <t>Author:</t>
        </r>
        <r>
          <rPr>
            <sz val="9"/>
            <color indexed="81"/>
            <rFont val="Tahoma"/>
            <family val="2"/>
          </rPr>
          <t xml:space="preserve">
43,24 lei</t>
        </r>
      </text>
    </comment>
    <comment ref="D248" authorId="0" shapeId="0" xr:uid="{D7BE866D-FF65-423F-A065-C871E235BCEE}">
      <text>
        <r>
          <rPr>
            <b/>
            <sz val="9"/>
            <color indexed="81"/>
            <rFont val="Tahoma"/>
            <family val="2"/>
          </rPr>
          <t>Author:</t>
        </r>
        <r>
          <rPr>
            <sz val="9"/>
            <color indexed="81"/>
            <rFont val="Tahoma"/>
            <family val="2"/>
          </rPr>
          <t xml:space="preserve">
43,24 lei</t>
        </r>
      </text>
    </comment>
    <comment ref="E248" authorId="0" shapeId="0" xr:uid="{CA92C7BA-B2D3-4444-961F-C60782AF3071}">
      <text>
        <r>
          <rPr>
            <b/>
            <sz val="9"/>
            <color indexed="81"/>
            <rFont val="Tahoma"/>
            <family val="2"/>
          </rPr>
          <t>Author:</t>
        </r>
        <r>
          <rPr>
            <sz val="9"/>
            <color indexed="81"/>
            <rFont val="Tahoma"/>
            <family val="2"/>
          </rPr>
          <t xml:space="preserve">
43,24 lei</t>
        </r>
      </text>
    </comment>
    <comment ref="F248" authorId="0" shapeId="0" xr:uid="{4AD620DE-1377-4C75-BA4F-0B35E05C3088}">
      <text>
        <r>
          <rPr>
            <b/>
            <sz val="9"/>
            <color indexed="81"/>
            <rFont val="Tahoma"/>
            <family val="2"/>
          </rPr>
          <t>Author:</t>
        </r>
        <r>
          <rPr>
            <sz val="9"/>
            <color indexed="81"/>
            <rFont val="Tahoma"/>
            <family val="2"/>
          </rPr>
          <t xml:space="preserve">
43,24 lei</t>
        </r>
      </text>
    </comment>
    <comment ref="C249" authorId="0" shapeId="0" xr:uid="{2A05626F-0247-456F-B33B-B34787D1B9DE}">
      <text>
        <r>
          <rPr>
            <b/>
            <sz val="9"/>
            <color indexed="81"/>
            <rFont val="Tahoma"/>
            <family val="2"/>
          </rPr>
          <t>Author:</t>
        </r>
        <r>
          <rPr>
            <sz val="9"/>
            <color indexed="81"/>
            <rFont val="Tahoma"/>
            <family val="2"/>
          </rPr>
          <t xml:space="preserve">
43,24 lei</t>
        </r>
      </text>
    </comment>
    <comment ref="D249" authorId="0" shapeId="0" xr:uid="{C561446B-1074-4DA5-A755-80F55194D255}">
      <text>
        <r>
          <rPr>
            <b/>
            <sz val="9"/>
            <color indexed="81"/>
            <rFont val="Tahoma"/>
            <family val="2"/>
          </rPr>
          <t>Author:</t>
        </r>
        <r>
          <rPr>
            <sz val="9"/>
            <color indexed="81"/>
            <rFont val="Tahoma"/>
            <family val="2"/>
          </rPr>
          <t xml:space="preserve">
43,24 lei</t>
        </r>
      </text>
    </comment>
    <comment ref="E249" authorId="0" shapeId="0" xr:uid="{1F702755-B6C3-44C6-8792-1278EA0D37C1}">
      <text>
        <r>
          <rPr>
            <b/>
            <sz val="9"/>
            <color indexed="81"/>
            <rFont val="Tahoma"/>
            <family val="2"/>
          </rPr>
          <t>Author:</t>
        </r>
        <r>
          <rPr>
            <sz val="9"/>
            <color indexed="81"/>
            <rFont val="Tahoma"/>
            <family val="2"/>
          </rPr>
          <t xml:space="preserve">
43,24 lei</t>
        </r>
      </text>
    </comment>
    <comment ref="F249" authorId="0" shapeId="0" xr:uid="{B2EF0B1B-7B43-4980-9750-19CE13DF1343}">
      <text>
        <r>
          <rPr>
            <b/>
            <sz val="9"/>
            <color indexed="81"/>
            <rFont val="Tahoma"/>
            <family val="2"/>
          </rPr>
          <t>Author:</t>
        </r>
        <r>
          <rPr>
            <sz val="9"/>
            <color indexed="81"/>
            <rFont val="Tahoma"/>
            <family val="2"/>
          </rPr>
          <t xml:space="preserve">
43,24 lei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Madalina Stan</author>
    <author>tc={7558C82C-4B24-470D-B2C6-4052C417BC86}</author>
  </authors>
  <commentList>
    <comment ref="M18" authorId="0" shapeId="0" xr:uid="{6124B688-13F0-43E3-8186-A687C188372D}">
      <text>
        <r>
          <rPr>
            <sz val="11"/>
            <color theme="1"/>
            <rFont val="Calibri"/>
            <family val="2"/>
            <charset val="238"/>
            <scheme val="minor"/>
          </rPr>
          <t>Madalina Stan:
lustruire?</t>
        </r>
      </text>
    </comment>
    <comment ref="M173" authorId="0" shapeId="0" xr:uid="{CD8FE911-1485-422E-A0A6-7E313CD0D389}">
      <text>
        <r>
          <rPr>
            <sz val="11"/>
            <color theme="1"/>
            <rFont val="Calibri"/>
            <family val="2"/>
            <charset val="238"/>
            <scheme val="minor"/>
          </rPr>
          <t>Madalina Stan:
componentele au TT</t>
        </r>
      </text>
    </comment>
    <comment ref="M174" authorId="0" shapeId="0" xr:uid="{4D0BC64F-EDC0-45E8-924A-DB6AC9CD8EAC}">
      <text>
        <r>
          <rPr>
            <sz val="11"/>
            <color theme="1"/>
            <rFont val="Calibri"/>
            <family val="2"/>
            <charset val="238"/>
            <scheme val="minor"/>
          </rPr>
          <t>Madalina Stan:
componentele au TT</t>
        </r>
      </text>
    </comment>
    <comment ref="J279" authorId="1" shapeId="0" xr:uid="{7558C82C-4B24-470D-B2C6-4052C417BC86}">
      <text>
        <t xml:space="preserve">[Threaded comment]
Your version of Excel allows you to read this threaded comment; however, any edits to it will get removed if the file is opened in a newer version of Excel. Learn more: https://go.microsoft.com/fwlink/?linkid=870924
Comment:
    aprobat conditionat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<sst xmlns="http://schemas.openxmlformats.org/spreadsheetml/2006/main" count="23951" uniqueCount="4490">
  <si>
    <t>Order Type</t>
  </si>
  <si>
    <t>(All)</t>
  </si>
  <si>
    <t>Order Finished
YES/NO</t>
  </si>
  <si>
    <t>No</t>
  </si>
  <si>
    <t>Quarters (ETA
As requested
dd.mm.yyyy)</t>
  </si>
  <si>
    <t>Years</t>
  </si>
  <si>
    <t xml:space="preserve">Months </t>
  </si>
  <si>
    <t>ETA</t>
  </si>
  <si>
    <t>Values</t>
  </si>
  <si>
    <t>2024</t>
  </si>
  <si>
    <t>2025</t>
  </si>
  <si>
    <t xml:space="preserve">Total Quantity </t>
  </si>
  <si>
    <t xml:space="preserve">Total  Price/Order </t>
  </si>
  <si>
    <t>Mar</t>
  </si>
  <si>
    <t>Jul</t>
  </si>
  <si>
    <t>Aug</t>
  </si>
  <si>
    <t>Sep</t>
  </si>
  <si>
    <t>Oct</t>
  </si>
  <si>
    <t>Nov</t>
  </si>
  <si>
    <t>Dec</t>
  </si>
  <si>
    <t>CUSTOMER</t>
  </si>
  <si>
    <t>Product Family</t>
  </si>
  <si>
    <t>Part Number</t>
  </si>
  <si>
    <t xml:space="preserve">Quantity </t>
  </si>
  <si>
    <t xml:space="preserve"> Price/Order </t>
  </si>
  <si>
    <t>BOSCH Blaj</t>
  </si>
  <si>
    <t>BOSCH Homburg</t>
  </si>
  <si>
    <t>BOSCH Lohr</t>
  </si>
  <si>
    <t>CONSOLE</t>
  </si>
  <si>
    <t>R900823749</t>
  </si>
  <si>
    <t>Cover</t>
  </si>
  <si>
    <t>R901238578</t>
  </si>
  <si>
    <t>DBD.10</t>
  </si>
  <si>
    <t>R900305228</t>
  </si>
  <si>
    <t>R900305231</t>
  </si>
  <si>
    <t>R901190153</t>
  </si>
  <si>
    <t>R901469358</t>
  </si>
  <si>
    <t>DBD.15</t>
  </si>
  <si>
    <t>R900305233</t>
  </si>
  <si>
    <t>DBD.20</t>
  </si>
  <si>
    <t>R900305236</t>
  </si>
  <si>
    <t>R900305240</t>
  </si>
  <si>
    <t>R900320551</t>
  </si>
  <si>
    <t>R901469362</t>
  </si>
  <si>
    <t>R901469363</t>
  </si>
  <si>
    <t>DBD.25</t>
  </si>
  <si>
    <t>R900305241</t>
  </si>
  <si>
    <t>DBD.30</t>
  </si>
  <si>
    <t>R900305247</t>
  </si>
  <si>
    <t>R901157145</t>
  </si>
  <si>
    <t>DBD.8</t>
  </si>
  <si>
    <t>R900305223</t>
  </si>
  <si>
    <t>PLATE</t>
  </si>
  <si>
    <t>R900172405</t>
  </si>
  <si>
    <t>R900699249</t>
  </si>
  <si>
    <t>R901279760</t>
  </si>
  <si>
    <t>R901321450</t>
  </si>
  <si>
    <t>Elbit</t>
  </si>
  <si>
    <t>IGW</t>
  </si>
  <si>
    <t>Orbit</t>
  </si>
  <si>
    <t>ADAPTER RF BOX PLATE DESERT SAND #30315</t>
  </si>
  <si>
    <t>ANT SUPPORT PLATE DESERT SAND 30315</t>
  </si>
  <si>
    <t>RIGHT ARM (DRIVING), AL-4018-1RF #30315</t>
  </si>
  <si>
    <t>39-0142</t>
  </si>
  <si>
    <t>LEFT ARM (DRIVEN) AL-4018-1RF #30315</t>
  </si>
  <si>
    <t>39-0143</t>
  </si>
  <si>
    <t>AZIMUTH HOUSING, AL-4018-1RF #30315</t>
  </si>
  <si>
    <t>39-0214</t>
  </si>
  <si>
    <t>AZIMUTH TURNTABLE, AL-4018-1RF</t>
  </si>
  <si>
    <t>39-0387</t>
  </si>
  <si>
    <t>EL. DRIVE (RIGHT) TURNTABLE, AL-4018-1RF</t>
  </si>
  <si>
    <t>39-0388</t>
  </si>
  <si>
    <t xml:space="preserve"> EL. DRIVEN (LEFT) TURNTABLE, AL-4018-1RF</t>
  </si>
  <si>
    <t>39-0389</t>
  </si>
  <si>
    <t>PANEL ACCESS ELEVATION, AL-4018-1RF #30315</t>
  </si>
  <si>
    <t>39-0208</t>
  </si>
  <si>
    <t>AXIS STEPPER DRIVER - COVER DRIP TYPE</t>
  </si>
  <si>
    <t>40-0087</t>
  </si>
  <si>
    <t>MPT30VGX EL SHAFT MOTOR SIDE C.o.O</t>
  </si>
  <si>
    <t>MPT30VGX EL SHAFT BUC SIDE C.o.O</t>
  </si>
  <si>
    <t>BOTTOM COVER VGX KPSU</t>
  </si>
  <si>
    <t>44-0493</t>
  </si>
  <si>
    <t>Schaeffler DE</t>
  </si>
  <si>
    <t>Schaeffler RO</t>
  </si>
  <si>
    <t>Alama</t>
  </si>
  <si>
    <t>FAG KUH.6312-M-3001</t>
  </si>
  <si>
    <t>EDP KUH.6317-A-M-3001 004</t>
  </si>
  <si>
    <t>EDP KUH.6220-A-M-3001 004</t>
  </si>
  <si>
    <t>EDP KUH.6316-A-M-3001 004</t>
  </si>
  <si>
    <t>EDP KUH.6217-B-M-3001 004_</t>
  </si>
  <si>
    <t>Atlanta rectificare</t>
  </si>
  <si>
    <t>F-552668.01-0012</t>
  </si>
  <si>
    <t>F-552669-0022</t>
  </si>
  <si>
    <t>F-552668-0022</t>
  </si>
  <si>
    <t>Dummy guideway</t>
  </si>
  <si>
    <t>MSX.RWU25-E-0251-WW1</t>
  </si>
  <si>
    <t>Ghidaje</t>
  </si>
  <si>
    <t>F-607694-1038.TK.KWVE20BNL-ISB-WW1</t>
  </si>
  <si>
    <t>TK.KWSE20-A-0038-WW1</t>
  </si>
  <si>
    <t>TK.KWVE15-B-A-ESC-0038-WW1</t>
  </si>
  <si>
    <t>TK.KWVE20-B-A-L-0038-WW1</t>
  </si>
  <si>
    <t>TK.KWVE30-B-A-H-0038-WW1</t>
  </si>
  <si>
    <t>TK.KWVE30-B-A-S-0038-WW1</t>
  </si>
  <si>
    <t>TK.KWVE30-B-A-SL-0038-WW1</t>
  </si>
  <si>
    <t>TK.KWVE35-B-A-L-0038-WW1</t>
  </si>
  <si>
    <t>Strunjire moale</t>
  </si>
  <si>
    <t>F-229209-12-WW1</t>
  </si>
  <si>
    <t>Strunjite</t>
  </si>
  <si>
    <t>AU.KB2045-B-0208-DRE</t>
  </si>
  <si>
    <t>AU.KB3068-B-0208-DRE</t>
  </si>
  <si>
    <t>AU.KB4080B-0208-ISB-WW1</t>
  </si>
  <si>
    <t>Grand Total</t>
  </si>
  <si>
    <t>Sum of Quantity</t>
  </si>
  <si>
    <t>CUSTOMER PO#</t>
  </si>
  <si>
    <t>Years )</t>
  </si>
  <si>
    <t xml:space="preserve">ETA </t>
  </si>
  <si>
    <t>Feb</t>
  </si>
  <si>
    <t>Apr</t>
  </si>
  <si>
    <t>May</t>
  </si>
  <si>
    <t>Jun</t>
  </si>
  <si>
    <t>2025 Total</t>
  </si>
  <si>
    <t>Yes</t>
  </si>
  <si>
    <t>Months (ETA
As requested
dd.mm.yyyy)</t>
  </si>
  <si>
    <t>Years (ETA
As requested
dd.mm.yyyy)</t>
  </si>
  <si>
    <t>Date PO
 dd.mm.yyyy</t>
  </si>
  <si>
    <t>Months</t>
  </si>
  <si>
    <t>Days</t>
  </si>
  <si>
    <t>Total Sum of OK</t>
  </si>
  <si>
    <t>Total Sum of Sales</t>
  </si>
  <si>
    <t>Sum of OK</t>
  </si>
  <si>
    <t>Sum of Sales</t>
  </si>
  <si>
    <t>PAS Technologies</t>
  </si>
  <si>
    <t>Walterscheid</t>
  </si>
  <si>
    <t>Zeiss</t>
  </si>
  <si>
    <t>Nr.comanda interna</t>
  </si>
  <si>
    <t>Data routing</t>
  </si>
  <si>
    <t>Ora</t>
  </si>
  <si>
    <t>Utilaj</t>
  </si>
  <si>
    <t>Reper</t>
  </si>
  <si>
    <t>Sarja</t>
  </si>
  <si>
    <t>Cantitate</t>
  </si>
  <si>
    <t>PBE 1400062752</t>
  </si>
  <si>
    <t>10 bucati</t>
  </si>
  <si>
    <t>KUH 6036</t>
  </si>
  <si>
    <t>42 calupi</t>
  </si>
  <si>
    <t>RKDK ZL</t>
  </si>
  <si>
    <t>924 bucati</t>
  </si>
  <si>
    <t>EDS F-607694-1038-ISB 000 AB</t>
  </si>
  <si>
    <t>298 bucati</t>
  </si>
  <si>
    <t>RKDK N222</t>
  </si>
  <si>
    <t>22 calupi</t>
  </si>
  <si>
    <t>RB00690513 (1535100044)</t>
  </si>
  <si>
    <t>240208/1</t>
  </si>
  <si>
    <t>192 bucati</t>
  </si>
  <si>
    <t>KUH 6036 capete</t>
  </si>
  <si>
    <t>210 bucati = 42 calupi</t>
  </si>
  <si>
    <t>AUKB 2045B</t>
  </si>
  <si>
    <t>6 bare</t>
  </si>
  <si>
    <t>KUH.6317</t>
  </si>
  <si>
    <t>36 calupi</t>
  </si>
  <si>
    <t>R901469360/R900126765</t>
  </si>
  <si>
    <t>RKDK.N317-EA-M3-0042</t>
  </si>
  <si>
    <t>48 calupi = 672 bucati</t>
  </si>
  <si>
    <t>B8C000021</t>
  </si>
  <si>
    <t>1 bara</t>
  </si>
  <si>
    <t>KWVE 30 BAS</t>
  </si>
  <si>
    <t>650 bucati</t>
  </si>
  <si>
    <t>capete</t>
  </si>
  <si>
    <t>150 bucati</t>
  </si>
  <si>
    <t>F 586360</t>
  </si>
  <si>
    <t>35 bucati</t>
  </si>
  <si>
    <t>AUKB 3068</t>
  </si>
  <si>
    <t>5 + 5 bare (22.01)</t>
  </si>
  <si>
    <t>15 bare</t>
  </si>
  <si>
    <t>KUH 6215</t>
  </si>
  <si>
    <t>R900145251</t>
  </si>
  <si>
    <t>105 bucati</t>
  </si>
  <si>
    <t>R900692452</t>
  </si>
  <si>
    <t>1 bucati</t>
  </si>
  <si>
    <t>R900305232</t>
  </si>
  <si>
    <t>40 bucati</t>
  </si>
  <si>
    <t>3 bucati</t>
  </si>
  <si>
    <t>8 + 32 bucati</t>
  </si>
  <si>
    <t>KWVE 30 BAH</t>
  </si>
  <si>
    <t>250 bucati</t>
  </si>
  <si>
    <t>R900628302</t>
  </si>
  <si>
    <t>100 bucati</t>
  </si>
  <si>
    <t>15 bare = 450 piese</t>
  </si>
  <si>
    <t>144 bucati</t>
  </si>
  <si>
    <t>RA60190295 / R900172405</t>
  </si>
  <si>
    <t>CDA 4508720546</t>
  </si>
  <si>
    <t>B85300050</t>
  </si>
  <si>
    <t>14 bare = 420 piese</t>
  </si>
  <si>
    <t>B8C000023</t>
  </si>
  <si>
    <t>RKDK N222 capete</t>
  </si>
  <si>
    <t>22 capete</t>
  </si>
  <si>
    <t>R 900145251</t>
  </si>
  <si>
    <t>nu are</t>
  </si>
  <si>
    <t>140 bucati</t>
  </si>
  <si>
    <t>KWSE 20</t>
  </si>
  <si>
    <t>500 bucati</t>
  </si>
  <si>
    <t>F - 556440</t>
  </si>
  <si>
    <t>R900601576</t>
  </si>
  <si>
    <t>F 235905</t>
  </si>
  <si>
    <t>S4673-08BAA</t>
  </si>
  <si>
    <t>25 bucati</t>
  </si>
  <si>
    <t>27 bare</t>
  </si>
  <si>
    <t>64 bucati</t>
  </si>
  <si>
    <t>R 900305232</t>
  </si>
  <si>
    <t>20 bucati</t>
  </si>
  <si>
    <t>Iacob</t>
  </si>
  <si>
    <t>F-625593.03</t>
  </si>
  <si>
    <t>R 900305231</t>
  </si>
  <si>
    <t>30 bucati</t>
  </si>
  <si>
    <t>KUH 6217</t>
  </si>
  <si>
    <t>1010 bucati</t>
  </si>
  <si>
    <t>1250 bucati</t>
  </si>
  <si>
    <t>Valentina</t>
  </si>
  <si>
    <t>5 bucati</t>
  </si>
  <si>
    <t>Radu</t>
  </si>
  <si>
    <t>R900147181</t>
  </si>
  <si>
    <t>lipsa numar sarja</t>
  </si>
  <si>
    <t>96 bucati</t>
  </si>
  <si>
    <t>28388TC</t>
  </si>
  <si>
    <t>KUH 6315</t>
  </si>
  <si>
    <t>762 piese</t>
  </si>
  <si>
    <t>62 bucati</t>
  </si>
  <si>
    <t>26 bucati</t>
  </si>
  <si>
    <t>R900601678</t>
  </si>
  <si>
    <t>706 bucati</t>
  </si>
  <si>
    <t>240701/1</t>
  </si>
  <si>
    <t>240701/2</t>
  </si>
  <si>
    <t>240701/3</t>
  </si>
  <si>
    <t>240702/1</t>
  </si>
  <si>
    <t>240702/2</t>
  </si>
  <si>
    <t>240702/3</t>
  </si>
  <si>
    <t>240702/4</t>
  </si>
  <si>
    <t>240703/1</t>
  </si>
  <si>
    <t>240703/2</t>
  </si>
  <si>
    <t>240703/3</t>
  </si>
  <si>
    <t>240703/4</t>
  </si>
  <si>
    <t>v1</t>
  </si>
  <si>
    <t>R900688220</t>
  </si>
  <si>
    <t>F-552668.01-0012-ISB 004</t>
  </si>
  <si>
    <t>R 90086575</t>
  </si>
  <si>
    <t>KWVE 20 BAL</t>
  </si>
  <si>
    <t>240726/1</t>
  </si>
  <si>
    <t>f 556440</t>
  </si>
  <si>
    <t>520 piese</t>
  </si>
  <si>
    <t>240728/1</t>
  </si>
  <si>
    <t>KUK.QJ218</t>
  </si>
  <si>
    <t>240729/1</t>
  </si>
  <si>
    <t>240729/2</t>
  </si>
  <si>
    <t>v2</t>
  </si>
  <si>
    <t>KUH.6312</t>
  </si>
  <si>
    <t>240802/1</t>
  </si>
  <si>
    <t>240802/2</t>
  </si>
  <si>
    <t>F-235905-0013</t>
  </si>
  <si>
    <t>validare</t>
  </si>
  <si>
    <t>240618/1</t>
  </si>
  <si>
    <t>F-229209-0022</t>
  </si>
  <si>
    <t>R900865757</t>
  </si>
  <si>
    <t>240902/1</t>
  </si>
  <si>
    <t>240903/1</t>
  </si>
  <si>
    <t>RKDK.ZL</t>
  </si>
  <si>
    <t>RKDK ZL capete</t>
  </si>
  <si>
    <t>241002/1</t>
  </si>
  <si>
    <t>241007/1</t>
  </si>
  <si>
    <t>R900320551/R900126850</t>
  </si>
  <si>
    <t>rework</t>
  </si>
  <si>
    <t>241011/1</t>
  </si>
  <si>
    <t>241101/1</t>
  </si>
  <si>
    <t>241102/1</t>
  </si>
  <si>
    <t>EDS F-552668.01-0012 005</t>
  </si>
  <si>
    <t>F-155077-43-WW1</t>
  </si>
  <si>
    <t>241105/1</t>
  </si>
  <si>
    <t>RKDK.N222</t>
  </si>
  <si>
    <t>241106/1</t>
  </si>
  <si>
    <t>241106/2</t>
  </si>
  <si>
    <t>241102/2</t>
  </si>
  <si>
    <t>R900865758 - R900145252</t>
  </si>
  <si>
    <t>241102/3</t>
  </si>
  <si>
    <t>241101/2</t>
  </si>
  <si>
    <t>241105/2</t>
  </si>
  <si>
    <t>241101/3</t>
  </si>
  <si>
    <t>241105/3</t>
  </si>
  <si>
    <t>241102/4</t>
  </si>
  <si>
    <t>15.03.2024 - sambata</t>
  </si>
  <si>
    <t>241105/4</t>
  </si>
  <si>
    <t>K12</t>
  </si>
  <si>
    <t>241201/1</t>
  </si>
  <si>
    <t>dat</t>
  </si>
  <si>
    <t>241202/1</t>
  </si>
  <si>
    <t>nu a fost dat</t>
  </si>
  <si>
    <t>241202/2</t>
  </si>
  <si>
    <t>241203/1</t>
  </si>
  <si>
    <t>241203/2</t>
  </si>
  <si>
    <t xml:space="preserve"> dat</t>
  </si>
  <si>
    <t>241204/1</t>
  </si>
  <si>
    <t>241204/2</t>
  </si>
  <si>
    <t>F-229461</t>
  </si>
  <si>
    <t>XU160260</t>
  </si>
  <si>
    <t>R900126853/*146</t>
  </si>
  <si>
    <t>scos de Maricel</t>
  </si>
  <si>
    <t>EDP F-801631-1031.RKKM.ZL</t>
  </si>
  <si>
    <t>EDP F-801632-1031.RKKM.ZL</t>
  </si>
  <si>
    <t>3EJD000001-7112</t>
  </si>
  <si>
    <t>CZR0003076</t>
  </si>
  <si>
    <t>R901469362/R900126850</t>
  </si>
  <si>
    <t>R900865758</t>
  </si>
  <si>
    <t>PPAP</t>
  </si>
  <si>
    <t>EDS F-229461-12-ISB 004-AH</t>
  </si>
  <si>
    <t>s-a lucrat pe un routing vechi</t>
  </si>
  <si>
    <t>A559</t>
  </si>
  <si>
    <t>F-155077-13-WW1</t>
  </si>
  <si>
    <t>asamblare</t>
  </si>
  <si>
    <t>X-111127-01</t>
  </si>
  <si>
    <t>RKDK.N316-EA-M3-0042 001</t>
  </si>
  <si>
    <t>F-23905-0042</t>
  </si>
  <si>
    <t>scos de catre sefii de schimb fara acord - am dus alt routing</t>
  </si>
  <si>
    <t>R901531786</t>
  </si>
  <si>
    <t>F3…</t>
  </si>
  <si>
    <t>X-275071-01</t>
  </si>
  <si>
    <t>EDS F-625593.03-0005 A01 AB</t>
  </si>
  <si>
    <t>kw15</t>
  </si>
  <si>
    <t>kw15-16</t>
  </si>
  <si>
    <t>F-556440-0013.AU.XU-WW1</t>
  </si>
  <si>
    <t>R900305223 - R900126865/R900126758</t>
  </si>
  <si>
    <t>KUH.6315</t>
  </si>
  <si>
    <t>R900126853</t>
  </si>
  <si>
    <t>R900305236/R900126850</t>
  </si>
  <si>
    <t>cantitate aprilie finala</t>
  </si>
  <si>
    <t>rectificare</t>
  </si>
  <si>
    <t>85 capete</t>
  </si>
  <si>
    <t>F-55268-0024</t>
  </si>
  <si>
    <t>inca nu</t>
  </si>
  <si>
    <t>F-552668-0044</t>
  </si>
  <si>
    <t>R901469358 ansamblu</t>
  </si>
  <si>
    <t>EDS_F-552668-0024</t>
  </si>
  <si>
    <t>F-552668.01-0014</t>
  </si>
  <si>
    <t>F-229209-12</t>
  </si>
  <si>
    <t>KWVE15B-A-ESC</t>
  </si>
  <si>
    <t>neutilizat</t>
  </si>
  <si>
    <t>reclamatia</t>
  </si>
  <si>
    <t>R900303232</t>
  </si>
  <si>
    <t>CZR0015562</t>
  </si>
  <si>
    <t>XR100548</t>
  </si>
  <si>
    <t>F-235905-0042-WW1</t>
  </si>
  <si>
    <t>Diana</t>
  </si>
  <si>
    <t>Diana - se lucreaza in plus pana se face tehnologia la 15BAESC</t>
  </si>
  <si>
    <t>R900687550</t>
  </si>
  <si>
    <t>R900126850</t>
  </si>
  <si>
    <t>EDS KWVE30B-A-SL-0038-ISB 000</t>
  </si>
  <si>
    <t>EDS F-553668-0044-ISB 004</t>
  </si>
  <si>
    <t>F-625593.03-0005 A01 AB</t>
  </si>
  <si>
    <t xml:space="preserve">R900687550 </t>
  </si>
  <si>
    <t>XR100456</t>
  </si>
  <si>
    <t>pentru 204</t>
  </si>
  <si>
    <t>strunjire</t>
  </si>
  <si>
    <t>piese din zona de sortare</t>
  </si>
  <si>
    <t>EDP PLLFDL52B-0011 000</t>
  </si>
  <si>
    <t>R900865757 - R900147181 V</t>
  </si>
  <si>
    <t>R900628301 -(R901580817)</t>
  </si>
  <si>
    <t>EDS F-229461-12-ISB 004-DOSAR-AI</t>
  </si>
  <si>
    <t>pentru 205</t>
  </si>
  <si>
    <t>R900305240 / R900126766</t>
  </si>
  <si>
    <t>22/36079</t>
  </si>
  <si>
    <t>EDP F-320745 -1401.BZ.ACT 000</t>
  </si>
  <si>
    <t>prima pagina</t>
  </si>
  <si>
    <t>EDP F-320745-0321.APL.ACT 000</t>
  </si>
  <si>
    <t>EDP PL.LFDL52-B-0021 000</t>
  </si>
  <si>
    <t>EDP F-320745-9001.VSHR.ACT 000 AB</t>
  </si>
  <si>
    <t>CL007</t>
  </si>
  <si>
    <t>EDP F-320745-1701.HUE.ACT 000</t>
  </si>
  <si>
    <t>EDP F-320745-1901.DL.ACT15 000  AA</t>
  </si>
  <si>
    <t>RUCC + desen A3</t>
  </si>
  <si>
    <t>EDP F-668038.02-0311.W.WE A00</t>
  </si>
  <si>
    <t>EDP F-668038.02-0111.W.WE A00</t>
  </si>
  <si>
    <t>EDP F-668040.02-0211.W.WE A00</t>
  </si>
  <si>
    <t>EDS XU080264-43-ISB_004_AC_IR</t>
  </si>
  <si>
    <t>EDS_XU080264-10-2-ISB_004_AD</t>
  </si>
  <si>
    <t>capete - nu este routing</t>
  </si>
  <si>
    <t>RKDK.N217-E-Y3-1042</t>
  </si>
  <si>
    <t>R901157146</t>
  </si>
  <si>
    <t>EDS F-552668.01-0012-ISB 004</t>
  </si>
  <si>
    <t>R901157146/R900126853</t>
  </si>
  <si>
    <t>EDS F-235905-0013</t>
  </si>
  <si>
    <t>scos de Marius</t>
  </si>
  <si>
    <t>R900324165</t>
  </si>
  <si>
    <t>R901190149</t>
  </si>
  <si>
    <t>duplicat - pierdut routing vechi</t>
  </si>
  <si>
    <t>Elena</t>
  </si>
  <si>
    <t>de scos</t>
  </si>
  <si>
    <t>AUKB 2045</t>
  </si>
  <si>
    <t>initial 450</t>
  </si>
  <si>
    <t>KWVE 15 BAESC</t>
  </si>
  <si>
    <t>21/33357</t>
  </si>
  <si>
    <t>R900305248</t>
  </si>
  <si>
    <t>R901469368</t>
  </si>
  <si>
    <t>F-229461-12</t>
  </si>
  <si>
    <t>inca unul dat cu bulina verde - acelasi nr.</t>
  </si>
  <si>
    <t>F-688038.02-0311 W WE</t>
  </si>
  <si>
    <t>F-552668-0024</t>
  </si>
  <si>
    <t>XU160260ZT-43-WW1</t>
  </si>
  <si>
    <t>C1479/99358</t>
  </si>
  <si>
    <t>KWVE 30 B-A-S</t>
  </si>
  <si>
    <t>cantitate reala 200 bucati</t>
  </si>
  <si>
    <t>AUKB2045</t>
  </si>
  <si>
    <t>F-552668-0024-DRE</t>
  </si>
  <si>
    <t>AUKB30</t>
  </si>
  <si>
    <t>clientul a retras comenzile</t>
  </si>
  <si>
    <t>F-552668.01-0014-DRE</t>
  </si>
  <si>
    <t>completare routing vechi</t>
  </si>
  <si>
    <t>XU160260ZT-10-2-WW1</t>
  </si>
  <si>
    <t>F-688038-02-0421</t>
  </si>
  <si>
    <t>23/39823</t>
  </si>
  <si>
    <t>320 bucati = 1600 piese</t>
  </si>
  <si>
    <t>nu este routing</t>
  </si>
  <si>
    <t>A74401057</t>
  </si>
  <si>
    <t>R900324165/R900685922</t>
  </si>
  <si>
    <t>229209-12</t>
  </si>
  <si>
    <t>23905-0013</t>
  </si>
  <si>
    <t>02-0121</t>
  </si>
  <si>
    <t>KWVE30BAH</t>
  </si>
  <si>
    <t>sch de</t>
  </si>
  <si>
    <t>KWSE20</t>
  </si>
  <si>
    <t>EDS.RKDK.N222-EA-M3-0042</t>
  </si>
  <si>
    <t xml:space="preserve">F-552668-0024-DRE </t>
  </si>
  <si>
    <t>R900804015</t>
  </si>
  <si>
    <t>R…239</t>
  </si>
  <si>
    <t>Kwve 30 b-a-h</t>
  </si>
  <si>
    <t>F-688038.02-0111.W.WE36</t>
  </si>
  <si>
    <t>F-607694 (BNL)</t>
  </si>
  <si>
    <t>*661</t>
  </si>
  <si>
    <t>R901279760/RA50061115</t>
  </si>
  <si>
    <t>inca 50 23.10.2024</t>
  </si>
  <si>
    <t>F-625593.03-Bara</t>
  </si>
  <si>
    <t>KWVE 30 BAL</t>
  </si>
  <si>
    <t>F-688038.02- 0111</t>
  </si>
  <si>
    <t>EDP F320745.19.01 DL ACT15.000AA</t>
  </si>
  <si>
    <t>EDP F-320745-1701.HUE.ACT 000  AA</t>
  </si>
  <si>
    <t>EDP F-320745-0321.APL.ACT 000 AB</t>
  </si>
  <si>
    <t>EDP F-320745-1401.BZ.ACT 000 AC</t>
  </si>
  <si>
    <t>F-688038.02-0721.SHB.WE36</t>
  </si>
  <si>
    <t>F-688038.02-0211.W.WE36</t>
  </si>
  <si>
    <t>7028-1111-20</t>
  </si>
  <si>
    <t>XU080264-43-DRE</t>
  </si>
  <si>
    <t>F-688038.02-0831.SHB.WE36</t>
  </si>
  <si>
    <t>um7028-1151-00</t>
  </si>
  <si>
    <t>BASL</t>
  </si>
  <si>
    <t>BAH</t>
  </si>
  <si>
    <t>*228</t>
  </si>
  <si>
    <t>x</t>
  </si>
  <si>
    <t>F-320745-1701</t>
  </si>
  <si>
    <t>F-320745-0321</t>
  </si>
  <si>
    <t>F-320745-1401</t>
  </si>
  <si>
    <t>F-699038.02-0731</t>
  </si>
  <si>
    <t>F-552668-0024-DRE_v1</t>
  </si>
  <si>
    <t>*547</t>
  </si>
  <si>
    <t>*358</t>
  </si>
  <si>
    <t>*149</t>
  </si>
  <si>
    <t>*0045</t>
  </si>
  <si>
    <t>*362</t>
  </si>
  <si>
    <t>*551</t>
  </si>
  <si>
    <t>*167</t>
  </si>
  <si>
    <t>nu avem routing</t>
  </si>
  <si>
    <t>*233</t>
  </si>
  <si>
    <t>R900601676</t>
  </si>
  <si>
    <t>Xu..10-2</t>
  </si>
  <si>
    <t xml:space="preserve">BAS </t>
  </si>
  <si>
    <t>F-688038.02-0111</t>
  </si>
  <si>
    <t>F-235905-0013-WW1</t>
  </si>
  <si>
    <t>6 PPAP</t>
  </si>
  <si>
    <t>F-235905-0013-WW2</t>
  </si>
  <si>
    <t>BAL</t>
  </si>
  <si>
    <t>7028-1601-00</t>
  </si>
  <si>
    <t>BAESC</t>
  </si>
  <si>
    <t>F-688038.02-0311_W_WE36</t>
  </si>
  <si>
    <t>7028-1151</t>
  </si>
  <si>
    <t>7028-1111</t>
  </si>
  <si>
    <t>F-688038.02-0621.GEH.WE36</t>
  </si>
  <si>
    <t>anulat</t>
  </si>
  <si>
    <t>F-625593.03-0007</t>
  </si>
  <si>
    <t>F-625593.01-0007.01.WW1</t>
  </si>
  <si>
    <t>R901162946</t>
  </si>
  <si>
    <t>R900305247/R900126767</t>
  </si>
  <si>
    <t>F-688038.02-0411.WH.WE36</t>
  </si>
  <si>
    <t>Diana - draft nu este routing</t>
  </si>
  <si>
    <t>de modificat</t>
  </si>
  <si>
    <t>*231</t>
  </si>
  <si>
    <t>PPAP Diana</t>
  </si>
  <si>
    <t>F-688038.02-0821.GEH.WE36</t>
  </si>
  <si>
    <t>f-552663-0011</t>
  </si>
  <si>
    <t>10 PPAP</t>
  </si>
  <si>
    <t>f-552663-0041</t>
  </si>
  <si>
    <t>BAS</t>
  </si>
  <si>
    <t>15B-A-ESC</t>
  </si>
  <si>
    <t>KWVE20BAL</t>
  </si>
  <si>
    <t>F-688038.02-0611.GEH.WE36</t>
  </si>
  <si>
    <t>din 650</t>
  </si>
  <si>
    <t>F-688038.02-0911.BZ.WE</t>
  </si>
  <si>
    <t>*676</t>
  </si>
  <si>
    <t>*kwse20</t>
  </si>
  <si>
    <t>*danfoss</t>
  </si>
  <si>
    <t>*411</t>
  </si>
  <si>
    <t>229209-022</t>
  </si>
  <si>
    <t>229209-012</t>
  </si>
  <si>
    <t>*421</t>
  </si>
  <si>
    <t>*611</t>
  </si>
  <si>
    <t>*0111</t>
  </si>
  <si>
    <t>235905-13</t>
  </si>
  <si>
    <t>F-688038.02-0631.GEH.WE36</t>
  </si>
  <si>
    <t>kwse20</t>
  </si>
  <si>
    <t>*239</t>
  </si>
  <si>
    <t>f-552668-044</t>
  </si>
  <si>
    <t>F-688040.02-0211</t>
  </si>
  <si>
    <t>*0811</t>
  </si>
  <si>
    <t>*0211</t>
  </si>
  <si>
    <t>*0411</t>
  </si>
  <si>
    <t>KWVE30BAS</t>
  </si>
  <si>
    <t>*821</t>
  </si>
  <si>
    <t>7028-1603-00</t>
  </si>
  <si>
    <t>kwve20bal</t>
  </si>
  <si>
    <t>inele atlanta 0024</t>
  </si>
  <si>
    <t>inele atlanta 0014</t>
  </si>
  <si>
    <t>F-688040.02-0321</t>
  </si>
  <si>
    <t>basl</t>
  </si>
  <si>
    <t xml:space="preserve">F-688038.02-0111.W.WE36 </t>
  </si>
  <si>
    <t>F-688040.02-0111.W.WE36</t>
  </si>
  <si>
    <t>*711</t>
  </si>
  <si>
    <t>KWVE20bAL</t>
  </si>
  <si>
    <t>KWVE30BASL</t>
  </si>
  <si>
    <t>*811</t>
  </si>
  <si>
    <t>*231 bosch</t>
  </si>
  <si>
    <t>f-235905-0013</t>
  </si>
  <si>
    <t>7028-1152-00</t>
  </si>
  <si>
    <t>kwve 30 bas</t>
  </si>
  <si>
    <t>7028-1153</t>
  </si>
  <si>
    <t>4 PPAP</t>
  </si>
  <si>
    <t>*321 (bosch)</t>
  </si>
  <si>
    <t>22.nov</t>
  </si>
  <si>
    <t>F-688038.02-0421.GEH.WE36</t>
  </si>
  <si>
    <t>R900126773 // R900305228</t>
  </si>
  <si>
    <t>25.nov</t>
  </si>
  <si>
    <t>1603 - elbit</t>
  </si>
  <si>
    <t>26.nov</t>
  </si>
  <si>
    <t>F-688038.02-0711.BZ.WE</t>
  </si>
  <si>
    <t xml:space="preserve"> 7028-1153-00</t>
  </si>
  <si>
    <t>27.nov</t>
  </si>
  <si>
    <t>7028-1601</t>
  </si>
  <si>
    <t>28.nov</t>
  </si>
  <si>
    <t>29.nov</t>
  </si>
  <si>
    <t>*550</t>
  </si>
  <si>
    <t>30.nov</t>
  </si>
  <si>
    <t>F- 552668.01-0012</t>
  </si>
  <si>
    <r>
      <t xml:space="preserve">Livrari-Delivery 
</t>
    </r>
    <r>
      <rPr>
        <b/>
        <sz val="18"/>
        <color rgb="FF808080"/>
        <rFont val="Calibri"/>
        <family val="2"/>
      </rPr>
      <t xml:space="preserve"> </t>
    </r>
    <r>
      <rPr>
        <sz val="12"/>
        <color rgb="FF808080"/>
        <rFont val="Calibri"/>
        <family val="2"/>
      </rPr>
      <t>Data Analysis</t>
    </r>
  </si>
  <si>
    <t>F_Q_300 REV.00-21/01/21</t>
  </si>
  <si>
    <t>KPI 5</t>
  </si>
  <si>
    <t>KPI - Livrari - OTD = On Time Delivery TOTAL</t>
  </si>
  <si>
    <t>January</t>
  </si>
  <si>
    <t>February</t>
  </si>
  <si>
    <t>March</t>
  </si>
  <si>
    <t>April</t>
  </si>
  <si>
    <t>June</t>
  </si>
  <si>
    <t>July</t>
  </si>
  <si>
    <t>August</t>
  </si>
  <si>
    <t>September</t>
  </si>
  <si>
    <t>October</t>
  </si>
  <si>
    <t>November</t>
  </si>
  <si>
    <t>December</t>
  </si>
  <si>
    <t>TOTAL</t>
  </si>
  <si>
    <t>Media</t>
  </si>
  <si>
    <t>Ianuarie</t>
  </si>
  <si>
    <t>Februarie</t>
  </si>
  <si>
    <t>Martie</t>
  </si>
  <si>
    <t>Aprilie</t>
  </si>
  <si>
    <t>Mai</t>
  </si>
  <si>
    <t>Iunie</t>
  </si>
  <si>
    <t>Iulie</t>
  </si>
  <si>
    <t>Agust</t>
  </si>
  <si>
    <t>Septembrie</t>
  </si>
  <si>
    <t>Octombrie</t>
  </si>
  <si>
    <t>Noiembrie</t>
  </si>
  <si>
    <t>Decembrie</t>
  </si>
  <si>
    <t>nr. de livrari</t>
  </si>
  <si>
    <t>nr. de livrari la timp</t>
  </si>
  <si>
    <t>OTD Cda %</t>
  </si>
  <si>
    <t>nr. de piese comandate</t>
  </si>
  <si>
    <t>Nr piese expediate</t>
  </si>
  <si>
    <t>% de rebut</t>
  </si>
  <si>
    <t>OTD Qty %</t>
  </si>
  <si>
    <t>Target &gt;80%</t>
  </si>
  <si>
    <t>KPI - Livrari - OTD= On Time Delivery BOSCH</t>
  </si>
  <si>
    <t>KPI - Livrari - OTD= On Time Delivery BOSCH Lohr</t>
  </si>
  <si>
    <t>KPI - Livrari - OTD= On Time Delivery BOSCH Blaj</t>
  </si>
  <si>
    <t>KPI - Livrari - OTD= On Time Delivery BOSCH Homburg</t>
  </si>
  <si>
    <t>LOP SUPPLY CHAIN</t>
  </si>
  <si>
    <t>Data</t>
  </si>
  <si>
    <t>Client</t>
  </si>
  <si>
    <t>Prio</t>
  </si>
  <si>
    <t>Produs</t>
  </si>
  <si>
    <t>Problema</t>
  </si>
  <si>
    <t>Termen</t>
  </si>
  <si>
    <t>Cine</t>
  </si>
  <si>
    <t>Status</t>
  </si>
  <si>
    <t xml:space="preserve">Schaeffler RO </t>
  </si>
  <si>
    <t>EDS F-801632-1031.RKKM.ZL-M3A 000</t>
  </si>
  <si>
    <t>Inchis cda cu clientul</t>
  </si>
  <si>
    <t>F-801632-1042.D140.RKDK.ZL-M3AA</t>
  </si>
  <si>
    <t>material de client in w36!</t>
  </si>
  <si>
    <t>Danfoss_NEW</t>
  </si>
  <si>
    <t>Proiect nou &gt; cda, PPAP, etc</t>
  </si>
  <si>
    <t>Popa</t>
  </si>
  <si>
    <t>material de achizitionat!</t>
  </si>
  <si>
    <t>inchidere cda</t>
  </si>
  <si>
    <t>Madalina</t>
  </si>
  <si>
    <t>F-320745-1701.HUE.ACT</t>
  </si>
  <si>
    <t>MP de achizitionat</t>
  </si>
  <si>
    <t>comandat</t>
  </si>
  <si>
    <t>F-320745-9001.VSHR.ACT</t>
  </si>
  <si>
    <t>Livrari Sept Ghidaje din stoc</t>
  </si>
  <si>
    <t>Bosch Lohr</t>
  </si>
  <si>
    <t>Plate</t>
  </si>
  <si>
    <t>Inventar + cda materiale</t>
  </si>
  <si>
    <t>Popa/Madalina</t>
  </si>
  <si>
    <t>HEC204 &gt; capacitate disponibila w39
Ce se transfera? Housing Schaeffler de pe Matsura? DBD-uri?</t>
  </si>
  <si>
    <t>Operatori Rectificare</t>
  </si>
  <si>
    <t>REGISTRU UNIC
FURNIZORI</t>
  </si>
  <si>
    <t>din aceste date obtinem 
KPI 7</t>
  </si>
  <si>
    <t>NR CRT</t>
  </si>
  <si>
    <t>PART NUMBER</t>
  </si>
  <si>
    <t>RAW MATERIAL</t>
  </si>
  <si>
    <t>DIMENSIONS             (mm)</t>
  </si>
  <si>
    <t xml:space="preserve">FAMILY </t>
  </si>
  <si>
    <t>SUPPLIER</t>
  </si>
  <si>
    <t>OBS</t>
  </si>
  <si>
    <t>Edwards</t>
  </si>
  <si>
    <t>AlSiMgMn T6</t>
  </si>
  <si>
    <t>Ø140x15x160</t>
  </si>
  <si>
    <t>Teava</t>
  </si>
  <si>
    <t>Tehnodistcom</t>
  </si>
  <si>
    <t>3 piese</t>
  </si>
  <si>
    <t>16/20MnCr5 laminat</t>
  </si>
  <si>
    <t>Ø105 (+6) x 100</t>
  </si>
  <si>
    <t>Bara</t>
  </si>
  <si>
    <t xml:space="preserve">Dimensiune dupa debitare </t>
  </si>
  <si>
    <t>EN-GJS-400-15C</t>
  </si>
  <si>
    <t>130x90x1575</t>
  </si>
  <si>
    <t>ACO Guss Gmbh</t>
  </si>
  <si>
    <t>Debitare la 184 - Vectra</t>
  </si>
  <si>
    <t>R900305244</t>
  </si>
  <si>
    <t>R901469366</t>
  </si>
  <si>
    <t>Bosch Homburg</t>
  </si>
  <si>
    <t>100Cr6</t>
  </si>
  <si>
    <t>Ø16x3000</t>
  </si>
  <si>
    <t>Liebherr</t>
  </si>
  <si>
    <t>39267-13</t>
  </si>
  <si>
    <t xml:space="preserve">Aluminiu (T351 25.4X) </t>
  </si>
  <si>
    <t>130x80x25.4</t>
  </si>
  <si>
    <t>Tabla</t>
  </si>
  <si>
    <t>Gilinox</t>
  </si>
  <si>
    <t>Al 2024</t>
  </si>
  <si>
    <t xml:space="preserve">130x80x25 </t>
  </si>
  <si>
    <t>Placa debitata</t>
  </si>
  <si>
    <t>11SMn30+C</t>
  </si>
  <si>
    <t>80x60x2900</t>
  </si>
  <si>
    <t>Heine + 
Beisswenger</t>
  </si>
  <si>
    <t>Debitare la 104 - Vectra</t>
  </si>
  <si>
    <t>100x70x2900</t>
  </si>
  <si>
    <t>Debitare la 139 - Vectra</t>
  </si>
  <si>
    <t>R900305239</t>
  </si>
  <si>
    <t>R900324167</t>
  </si>
  <si>
    <t>S4673-08BA</t>
  </si>
  <si>
    <t>Inox W1.4</t>
  </si>
  <si>
    <t>Customer</t>
  </si>
  <si>
    <t>Subcontractare</t>
  </si>
  <si>
    <t>tip</t>
  </si>
  <si>
    <t>yes</t>
  </si>
  <si>
    <t>approved</t>
  </si>
  <si>
    <t>no</t>
  </si>
  <si>
    <t>project</t>
  </si>
  <si>
    <t>Alfons Haar</t>
  </si>
  <si>
    <t>EDP KUH.6214-A-M-3001 004</t>
  </si>
  <si>
    <t>Item Name</t>
  </si>
  <si>
    <t>Links</t>
  </si>
  <si>
    <t>OK/NOK</t>
  </si>
  <si>
    <t>Spalte1</t>
  </si>
  <si>
    <t>EDP KU7208-B-MP-0031 000</t>
  </si>
  <si>
    <t>\\192.168.0.252\4.productie\CLIENTI\SCHAEFFLER\01_Alama\EDP KU7208-B-MP-0031 000</t>
  </si>
  <si>
    <t>SCHAEFFLER</t>
  </si>
  <si>
    <t>EDP KU7220-B-MP-0031 000</t>
  </si>
  <si>
    <t>\\192.168.0.252\4.productie\CLIENTI\SCHAEFFLER\01_Alama\EDP KU7220-B-MP-0031 000</t>
  </si>
  <si>
    <t>EDP KUH.6030-M-3001 004</t>
  </si>
  <si>
    <t>\\192.168.0.252\4.productie\CLIENTI\SCHAEFFLER\01_Alama\EDP KUH.6030-M-3001 004</t>
  </si>
  <si>
    <t>EDP KUH.6036-A-M-3001B</t>
  </si>
  <si>
    <t>\\192.168.0.252\4.productie\CLIENTI\SCHAEFFLER\01_Alama\EDP KUH.6036-A-M-3001B</t>
  </si>
  <si>
    <t>\\192.168.0.252\4.productie\CLIENTI\SCHAEFFLER\01_Alama\EDP KUH.6214-A-M-3001 004</t>
  </si>
  <si>
    <t>EDP KUH.6215-A-M-3001 004</t>
  </si>
  <si>
    <t>\\192.168.0.252\4.productie\CLIENTI\SCHAEFFLER\01_Alama\EDP KUH.6215-A-M-3001 004</t>
  </si>
  <si>
    <t>EDP KUH.6217-B-M-3001 004</t>
  </si>
  <si>
    <t>\\192.168.0.252\4.productie\CLIENTI\SCHAEFFLER\01_Alama\EDP KUH.6217-B-M-3001 004</t>
  </si>
  <si>
    <t>\\192.168.0.252\4.productie\CLIENTI\SCHAEFFLER\01_Alama\EDP KUH.6220-A-M-3001 004</t>
  </si>
  <si>
    <t>OK</t>
  </si>
  <si>
    <t>EDP KUH.6222-A-M-3001B</t>
  </si>
  <si>
    <t>\\192.168.0.252\4.productie\CLIENTI\SCHAEFFLER\01_Alama\EDP KUH.6222-A-M-3001B</t>
  </si>
  <si>
    <t>EDP KUH.6312-M-3001 004</t>
  </si>
  <si>
    <t>\\192.168.0.252\4.productie\CLIENTI\SCHAEFFLER\01_Alama\EDP KUH.6312-M-3001 004</t>
  </si>
  <si>
    <t>B853000050</t>
  </si>
  <si>
    <t>EDP KUH.6315-A-M-3001 004</t>
  </si>
  <si>
    <t>\\192.168.0.252\4.productie\CLIENTI\SCHAEFFLER\01_Alama\EDP KUH.6315-A-M-3001 004</t>
  </si>
  <si>
    <t>\\192.168.0.252\4.productie\CLIENTI\SCHAEFFLER\01_Alama\EDP KUH.6316-A-M-3001 004</t>
  </si>
  <si>
    <t>\\192.168.0.252\4.productie\CLIENTI\SCHAEFFLER\01_Alama\EDP KUH.6317-A-M-3001 004</t>
  </si>
  <si>
    <t>XR100546</t>
  </si>
  <si>
    <t>EDP KUH.6326-M-3001 004</t>
  </si>
  <si>
    <t>\\192.168.0.252\4.productie\CLIENTI\SCHAEFFLER\01_Alama\EDP KUH.6326-M-3001 004</t>
  </si>
  <si>
    <t>EDP KUK.QJ205-C-MPA-3001 004</t>
  </si>
  <si>
    <t>\\192.168.0.252\4.productie\CLIENTI\SCHAEFFLER\01_Alama\EDP KUK.QJ205-C-MPA-3001 004</t>
  </si>
  <si>
    <t>EDP KUK.QJ206-C-MPA-3001 004</t>
  </si>
  <si>
    <t>\\192.168.0.252\4.productie\CLIENTI\SCHAEFFLER\01_Alama\EDP KUK.QJ206-C-MPA-3001 004</t>
  </si>
  <si>
    <t>EDP KUK.QJ207-C-MPA-3001 004</t>
  </si>
  <si>
    <t>\\192.168.0.252\4.productie\CLIENTI\SCHAEFFLER\01_Alama\EDP KUK.QJ207-C-MPA-3001 004</t>
  </si>
  <si>
    <t>EDP KUK.QJ212-C-MPA-0031 000</t>
  </si>
  <si>
    <t>\\192.168.0.252\4.productie\CLIENTI\SCHAEFFLER\01_Alama\EDP KUK.QJ212-C-MPA-0031 000</t>
  </si>
  <si>
    <t>EDP KUK.QJ213-CA-MPA-3001</t>
  </si>
  <si>
    <t>\\192.168.0.252\4.productie\CLIENTI\SCHAEFFLER\01_Alama\EDP KUK.QJ213-CA-MPA-3001</t>
  </si>
  <si>
    <t>EDP KUK.QJ218-C-MPA-3001</t>
  </si>
  <si>
    <t>\\192.168.0.252\4.productie\CLIENTI\SCHAEFFLER\01_Alama\EDP KUK.QJ218-C-MPA-3001</t>
  </si>
  <si>
    <t>EDP KUQJ213-CA-MPA-0031 000</t>
  </si>
  <si>
    <t>\\192.168.0.252\4.productie\CLIENTI\SCHAEFFLER\01_Alama\EDP KUQJ213-CA-MPA-0031 000</t>
  </si>
  <si>
    <t>EDP KUQJ308-C-MPA-0031-000</t>
  </si>
  <si>
    <t>\\192.168.0.252\4.productie\CLIENTI\SCHAEFFLER\01_Alama\EDP KUQJ308-C-MPA-0031-000</t>
  </si>
  <si>
    <t>EDP RKKM.N2220-EB-M3-0031 000</t>
  </si>
  <si>
    <t>\\192.168.0.252\4.productie\CLIENTI\SCHAEFFLER\01_Alama\EDP RKKM.N2220-EB-M3-0031 000</t>
  </si>
  <si>
    <t>EDP RKKM.N416-M3-1031 000</t>
  </si>
  <si>
    <t>\\192.168.0.252\4.productie\CLIENTI\SCHAEFFLER\01_Alama\EDP RKKM.N416-M3-1031 000</t>
  </si>
  <si>
    <t>EDS F-801631-1032.RKKM.ZL-M3A</t>
  </si>
  <si>
    <t>\\192.168.0.252\4.productie\CLIENTI\SCHAEFFLER\01_Alama\EDS F-801631-1032.RKKM.ZL-M3A</t>
  </si>
  <si>
    <t>EDS KUH.6030-M-3001</t>
  </si>
  <si>
    <t>\\192.168.0.252\4.productie\CLIENTI\SCHAEFFLER\01_Alama\EDS KUH.6030-M-3001</t>
  </si>
  <si>
    <t>EDS KUK.QJ205-C-MPA-3002 004</t>
  </si>
  <si>
    <t>\\192.168.0.252\4.productie\CLIENTI\SCHAEFFLER\01_Alama\EDS KUK.QJ205-C-MPA-3002 004</t>
  </si>
  <si>
    <t>EDS KUK.QJ215-C-MPA-3001B</t>
  </si>
  <si>
    <t>\\192.168.0.252\4.productie\CLIENTI\SCHAEFFLER\01_Alama\EDS KUK.QJ215-C-MPA-3001B</t>
  </si>
  <si>
    <t>EDS KUK.QJ215-C-MPA-3002 004</t>
  </si>
  <si>
    <t>\\192.168.0.252\4.productie\CLIENTI\SCHAEFFLER\01_Alama\EDS KUK.QJ215-C-MPA-3002 004</t>
  </si>
  <si>
    <t>EDS_F-801632-1032_RKKM_ZL-M3A_000_AC</t>
  </si>
  <si>
    <t>\\192.168.0.252\4.productie\CLIENTI\SCHAEFFLER\01_Alama\EDS_F-801632-1032_RKKM_ZL-M3A_000_AC</t>
  </si>
  <si>
    <t>EDS_RKDK_N217-E-Y3-1042_000_AA</t>
  </si>
  <si>
    <t>\\192.168.0.252\4.productie\CLIENTI\SCHAEFFLER\01_Alama\EDS_RKDK_N217-E-Y3-1042_000_AA</t>
  </si>
  <si>
    <t>F-801632-0042.D140.RKDK.ZL-M3AA</t>
  </si>
  <si>
    <t>\\192.168.0.252\4.productie\CLIENTI\SCHAEFFLER\01_Alama\F-801632-0042.D140.RKDK.ZL-M3AA</t>
  </si>
  <si>
    <t>RKDK.N222-EA-M3-0042</t>
  </si>
  <si>
    <t>\\192.168.0.252\4.productie\CLIENTI\SCHAEFFLER\01_Alama\RKDK.N222-EA-M3-0042</t>
  </si>
  <si>
    <t>RKDK.N316-EA-M3-0042</t>
  </si>
  <si>
    <t>\\192.168.0.252\4.productie\CLIENTI\SCHAEFFLER\01_Alama\RKDK.N316-EA-M3-0042</t>
  </si>
  <si>
    <t>\\192.168.0.252\4.productie\CLIENTI\SCHAEFFLER\01_Alama\RKDK.N317-EA-M3-0042</t>
  </si>
  <si>
    <t>EDP_KUH_6015-A-M-3001_004_AD</t>
  </si>
  <si>
    <t>\\192.168.0.252\4.productie\CLIENTI\SCHAEFFLER\01_Alama\COLIVII ALAMA\EDP_KUH_6015-A-M-3001_004_AD</t>
  </si>
  <si>
    <t>EDP_RKKM_N1012-M3-1031_000_AC</t>
  </si>
  <si>
    <t>\\192.168.0.252\4.productie\CLIENTI\SCHAEFFLER\01_Alama\COLIVII ALAMA\EDP_RKKM_N1012-M3-1031_000_AC</t>
  </si>
  <si>
    <t>EDP_RKKM_N1014-M3-1031_000_AE</t>
  </si>
  <si>
    <t>\\192.168.0.252\4.productie\CLIENTI\SCHAEFFLER\01_Alama\COLIVII ALAMA\EDP_RKKM_N1014-M3-1031_000_AE</t>
  </si>
  <si>
    <t>EDP_RKKM_N214-EA-M3-1031_000_AD</t>
  </si>
  <si>
    <t>\\192.168.0.252\4.productie\CLIENTI\SCHAEFFLER\01_Alama\COLIVII ALAMA\EDP_RKKM_N214-EA-M3-1031_000_AD</t>
  </si>
  <si>
    <t>EDP_RKKM_N215-E-M3-1031_000_AE</t>
  </si>
  <si>
    <t>\\192.168.0.252\4.productie\CLIENTI\SCHAEFFLER\01_Alama\COLIVII ALAMA\EDP_RKKM_N215-E-M3-1031_000_AE</t>
  </si>
  <si>
    <t>EDP_RKKM_N312-EA-M3-1031_000_AH</t>
  </si>
  <si>
    <t>\\192.168.0.252\4.productie\CLIENTI\SCHAEFFLER\01_Alama\COLIVII ALAMA\EDP_RKKM_N312-EA-M3-1031_000_AH</t>
  </si>
  <si>
    <t>F-625620-3001_RK_N-MPBX_31_04</t>
  </si>
  <si>
    <t>\\192.168.0.252\4.productie\CLIENTI\SCHAEFFLER\01_Alama\COLIVII ALAMA\F-625620-3001_RK_N-MPBX_31_04</t>
  </si>
  <si>
    <t>KU7220-B-MP-0031_000_AC</t>
  </si>
  <si>
    <t>\\192.168.0.252\4.productie\CLIENTI\SCHAEFFLER\01_Alama\COLIVII ALAMA\KU7220-B-MP-0031_000_AC</t>
  </si>
  <si>
    <t>EDS_1C304695-350L_000_AH</t>
  </si>
  <si>
    <t>\\192.168.0.252\4.productie\CLIENTI\SCHAEFFLER\02_Ghidaje_Liniare\EDS_1C304695-350L_000_AH</t>
  </si>
  <si>
    <t>EDS_F-319149_01-0038-ISB_000_00</t>
  </si>
  <si>
    <t>\\192.168.0.252\4.productie\CLIENTI\SCHAEFFLER\02_Ghidaje_Liniare\EDS_F-319149_01-0038-ISB_000_00</t>
  </si>
  <si>
    <t>EDS_F-607694-1038-ISB_000_AA</t>
  </si>
  <si>
    <t>\\192.168.0.252\4.productie\CLIENTI\SCHAEFFLER\02_Ghidaje_Liniare\EDS_F-607694-1038-ISB_000_AA</t>
  </si>
  <si>
    <t>EDS_KWSE20-A-0038-ISB_000_AA</t>
  </si>
  <si>
    <t>\\192.168.0.252\4.productie\CLIENTI\SCHAEFFLER\02_Ghidaje_Liniare\EDS_KWSE20-A-0038-ISB_000_AA</t>
  </si>
  <si>
    <t>EDS_KWSE25-A-H-0038-ISB_000_AA</t>
  </si>
  <si>
    <t>\\192.168.0.252\4.productie\CLIENTI\SCHAEFFLER\02_Ghidaje_Liniare\EDS_KWSE25-A-H-0038-ISB_000_AA</t>
  </si>
  <si>
    <t>EDS_KWSE25-A-L-0038-ISB_000_AA</t>
  </si>
  <si>
    <t>\\192.168.0.252\4.productie\CLIENTI\SCHAEFFLER\02_Ghidaje_Liniare\EDS_KWSE25-A-L-0038-ISB_000_AA</t>
  </si>
  <si>
    <t>EDS_KWVE15B-A-ESC-0038-ISB_000_00</t>
  </si>
  <si>
    <t>\\192.168.0.252\4.productie\CLIENTI\SCHAEFFLER\02_Ghidaje_Liniare\EDS_KWVE15B-A-ESC-0038-ISB_000_00</t>
  </si>
  <si>
    <t>EDS_KWVE15B-A-H-0038-ISB_000_00</t>
  </si>
  <si>
    <t>\\192.168.0.252\4.productie\CLIENTI\SCHAEFFLER\02_Ghidaje_Liniare\EDS_KWVE15B-A-H-0038-ISB_000_00</t>
  </si>
  <si>
    <t>EDS_KWVE20B-A-L-0038-ISB_000_AA</t>
  </si>
  <si>
    <t>\\192.168.0.252\4.productie\CLIENTI\SCHAEFFLER\02_Ghidaje_Liniare\EDS_KWVE20B-A-L-0038-ISB_000_AA</t>
  </si>
  <si>
    <t>EDS_KWVE20B-A-NL-0038-ISB_000_AA</t>
  </si>
  <si>
    <t>\\192.168.0.252\4.productie\CLIENTI\SCHAEFFLER\02_Ghidaje_Liniare\EDS_KWVE20B-A-NL-0038-ISB_000_AA</t>
  </si>
  <si>
    <t>EDS_KWVE30B-A-H-0038-ISB_000_00</t>
  </si>
  <si>
    <t>\\192.168.0.252\4.productie\CLIENTI\SCHAEFFLER\02_Ghidaje_Liniare\EDS_KWVE30B-A-H-0038-ISB_000_00</t>
  </si>
  <si>
    <t>SW</t>
  </si>
  <si>
    <t>\\192.168.0.252\4.productie\CLIENTI\SCHAEFFLER\02_Ghidaje_Liniare\EDS_KWVE30B-A-S-0038-ISB_000_00</t>
  </si>
  <si>
    <t>\\192.168.0.252\4.productie\CLIENTI\SCHAEFFLER\02_Ghidaje_Liniare\EDS_KWVE30B-A-SL-0038-ISB_000_00</t>
  </si>
  <si>
    <t>EDS AU.KB2045B-0208-ISB 000</t>
  </si>
  <si>
    <t>\\192.168.0.252\4.productie\CLIENTI\SCHAEFFLER\03_AUKB\EDS AU.KB2045B-0208-ISB 000</t>
  </si>
  <si>
    <t>EDS_AU_KB1232B-0208-ISB_000_00</t>
  </si>
  <si>
    <t>\\192.168.0.252\4.productie\CLIENTI\SCHAEFFLER\03_AUKB\EDS_AU_KB1232B-0208-ISB_000_00</t>
  </si>
  <si>
    <t>EDS_AU_KB1636B-0208-ISB_000_00</t>
  </si>
  <si>
    <t>\\192.168.0.252\4.productie\CLIENTI\SCHAEFFLER\03_AUKB\EDS_AU_KB1636B-0208-ISB_000_00</t>
  </si>
  <si>
    <t>EDS_AU_KB2558B-0208-ISB_000_00</t>
  </si>
  <si>
    <t>\\192.168.0.252\4.productie\CLIENTI\SCHAEFFLER\03_AUKB\EDS_AU_KB2558B-0208-ISB_000_00</t>
  </si>
  <si>
    <t>EDS_AU_KB3068B-0208-ISB_000_00</t>
  </si>
  <si>
    <t>\\192.168.0.252\4.productie\CLIENTI\SCHAEFFLER\03_AUKB\EDS_AU_KB3068B-0208-ISB_000_00</t>
  </si>
  <si>
    <t>EDS_KB4080B-0208_000_AC</t>
  </si>
  <si>
    <t>\\192.168.0.252\4.productie\CLIENTI\SCHAEFFLER\03_AUKB\EDS_KB4080B-0208_000_AC</t>
  </si>
  <si>
    <t>EDS_KB50100B-0208_000_AE</t>
  </si>
  <si>
    <t>\\192.168.0.252\4.productie\CLIENTI\SCHAEFFLER\03_AUKB\EDS_KB50100B-0208_000_AE</t>
  </si>
  <si>
    <t>EDP F-586360-0191 A00</t>
  </si>
  <si>
    <t>\\192.168.0.252\4.productie\CLIENTI\SCHAEFFLER\04_Inele\EDP F-586360-0191 A00</t>
  </si>
  <si>
    <t>EDP F-625593.03</t>
  </si>
  <si>
    <t>\\192.168.0.252\4.productie\CLIENTI\SCHAEFFLER\04_Inele\EDP F-625593.03</t>
  </si>
  <si>
    <t>EDS AU.XU120222-12-ISB 004</t>
  </si>
  <si>
    <t>\\192.168.0.252\4.productie\CLIENTI\SCHAEFFLER\04_Inele\EDS AU.XU120222-12-ISB 004</t>
  </si>
  <si>
    <t>\\192.168.0.252\4.productie\CLIENTI\SCHAEFFLER\04_Inele\EDS F-552668.01-0012-ISB 004</t>
  </si>
  <si>
    <t>EDS F-556440-0012-ISB 004 AA</t>
  </si>
  <si>
    <t>\\192.168.0.252\4.productie\CLIENTI\SCHAEFFLER\04_Inele\EDS F-556440-0012-ISB 004 AA</t>
  </si>
  <si>
    <t>EDS F-556440-0043.IR.XU-WW1</t>
  </si>
  <si>
    <t>\\192.168.0.252\4.productie\CLIENTI\SCHAEFFLER\04_Inele\EDS F-556440-0043.IR.XU-WW1</t>
  </si>
  <si>
    <t>EDS F-674222-0151GHRGSPG-3006</t>
  </si>
  <si>
    <t>\\192.168.0.252\4.productie\CLIENTI\SCHAEFFLER\04_Inele\EDS F-674222-0151GHRGSPG-3006</t>
  </si>
  <si>
    <t>EDS F-674222-0261.GHTSPG-3006</t>
  </si>
  <si>
    <t>\\192.168.0.252\4.productie\CLIENTI\SCHAEFFLER\04_Inele\EDS F-674222-0261.GHTSPG-3006</t>
  </si>
  <si>
    <t>EDS F-674366-0151GHRGSPG-3006</t>
  </si>
  <si>
    <t>\\192.168.0.252\4.productie\CLIENTI\SCHAEFFLER\04_Inele\EDS F-674366-0151GHRGSPG-3006</t>
  </si>
  <si>
    <t>EDS F-674366-0261</t>
  </si>
  <si>
    <t>\\192.168.0.252\4.productie\CLIENTI\SCHAEFFLER\04_Inele\EDS F-674366-0261</t>
  </si>
  <si>
    <t>EDS F-674366-0261.GHTSPG-3006</t>
  </si>
  <si>
    <t>\\192.168.0.252\4.productie\CLIENTI\SCHAEFFLER\04_Inele\EDS F-674366-0261.GHTSPG-3006</t>
  </si>
  <si>
    <t>EDS F-78739-13-ISB 004_AA</t>
  </si>
  <si>
    <t>\\192.168.0.252\4.productie\CLIENTI\SCHAEFFLER\04_Inele\EDS F-78739-13-ISB 004_AA</t>
  </si>
  <si>
    <t>EDS F-78739-42-ISB 004</t>
  </si>
  <si>
    <t>\\192.168.0.252\4.productie\CLIENTI\SCHAEFFLER\04_Inele\EDS F-78739-42-ISB 004</t>
  </si>
  <si>
    <t>EDS XSU080188-42-ISB 004</t>
  </si>
  <si>
    <t>\\192.168.0.252\4.productie\CLIENTI\SCHAEFFLER\04_Inele\EDS XSU080188-42-ISB 004</t>
  </si>
  <si>
    <t>EDS XU080264-10-2-ISB_004_AD AU</t>
  </si>
  <si>
    <t>\\192.168.0.252\4.productie\CLIENTI\SCHAEFFLER\04_Inele\EDS XU080264-10-2-ISB_004_AD AU</t>
  </si>
  <si>
    <t>\\192.168.0.252\4.productie\CLIENTI\SCHAEFFLER\04_Inele\EDS XU080264-43-ISB_004_AC_IR</t>
  </si>
  <si>
    <t>EDS XU120179-12-ISB 004</t>
  </si>
  <si>
    <t>\\192.168.0.252\4.productie\CLIENTI\SCHAEFFLER\04_Inele\EDS XU120179-12-ISB 004</t>
  </si>
  <si>
    <t>EDS_F-552663-0042-ISB_004_AB</t>
  </si>
  <si>
    <t>\\192.168.0.252\4.productie\CLIENTI\SCHAEFFLER\04_Inele\EDS_F-552663-0042-ISB_004_AB</t>
  </si>
  <si>
    <t>EDS_F-636560-3003_IR_TR-E_A3_004_00</t>
  </si>
  <si>
    <t>\\192.168.0.252\4.productie\CLIENTI\SCHAEFFLER\04_Inele\EDS_F-636560-3003_IR_TR-E_A3_004_00</t>
  </si>
  <si>
    <t>F-153924-12-WW1</t>
  </si>
  <si>
    <t>\\192.168.0.252\4.productie\CLIENTI\SCHAEFFLER\04_Inele\F-153924-12-WW1</t>
  </si>
  <si>
    <t>\\192.168.0.252\4.productie\CLIENTI\SCHAEFFLER\04_Inele\F-155077-13-WW1</t>
  </si>
  <si>
    <t>\\192.168.0.252\4.productie\CLIENTI\SCHAEFFLER\04_Inele\F-155077-43-WW1</t>
  </si>
  <si>
    <t>F-229209-0022-WW1</t>
  </si>
  <si>
    <t>\\192.168.0.252\4.productie\CLIENTI\SCHAEFFLER\04_Inele\F-229209-0022-WW1</t>
  </si>
  <si>
    <t>\\192.168.0.252\4.productie\CLIENTI\SCHAEFFLER\04_Inele\F-229209-12-WW1</t>
  </si>
  <si>
    <t>F-229461-12-WW1</t>
  </si>
  <si>
    <t>\\192.168.0.252\4.productie\CLIENTI\SCHAEFFLER\04_Inele\F-229461-12-WW1</t>
  </si>
  <si>
    <t>\\192.168.0.252\4.productie\CLIENTI\SCHAEFFLER\04_Inele\F-235905-0013-WW1</t>
  </si>
  <si>
    <t>\\192.168.0.252\4.productie\CLIENTI\SCHAEFFLER\04_Inele\F-235905-0042-WW1</t>
  </si>
  <si>
    <t>GS</t>
  </si>
  <si>
    <t>F-552663-0012.AU.VU</t>
  </si>
  <si>
    <t>\\192.168.0.252\4.productie\CLIENTI\SCHAEFFLER\04_Inele\F-552663-0012.AU.VU</t>
  </si>
  <si>
    <t>\\192.168.0.252\4.productie\CLIENTI\SCHAEFFLER\04_Inele\F-552668-0024</t>
  </si>
  <si>
    <t>\\192.168.0.252\4.productie\CLIENTI\SCHAEFFLER\04_Inele\F-552668-0044</t>
  </si>
  <si>
    <t>\\192.168.0.252\4.productie\CLIENTI\SCHAEFFLER\04_Inele\F-552668.01-0014</t>
  </si>
  <si>
    <t>F-552669-0023-ISB-HEAT</t>
  </si>
  <si>
    <t>\\192.168.0.252\4.productie\CLIENTI\SCHAEFFLER\04_Inele\F-552669-0023-ISB-HEAT</t>
  </si>
  <si>
    <t>\\192.168.0.252\4.productie\CLIENTI\SCHAEFFLER\04_Inele\F-556440-0013.AU.XU-WW1</t>
  </si>
  <si>
    <t>\\192.168.0.252\4.productie\CLIENTI\SCHAEFFLER\04_Inele\XU160260ZT-43-WW1</t>
  </si>
  <si>
    <t>19.F-556440-0010.AU.XU- strunjire dura</t>
  </si>
  <si>
    <t>\\192.168.0.252\4.productie\CLIENTI\SCHAEFFLER\05_Strunjire _Dura\19.F-556440-0010.AU.XU- strunjire dura</t>
  </si>
  <si>
    <t>\\192.168.0.252\4.productie\CLIENTI\BOSCH GERMANIA\1535100044</t>
  </si>
  <si>
    <t>BOSCH GERMANIA</t>
  </si>
  <si>
    <t>\\192.168.0.252\4.productie\CLIENTI\BOSCH GERMANIA\1535100045</t>
  </si>
  <si>
    <t>\\192.168.0.252\4.productie\CLIENTI\BOSCH GERMANIA\1535100046</t>
  </si>
  <si>
    <t>\\192.168.0.252\4.productie\CLIENTI\BOSCH GERMANIA\1810326006</t>
  </si>
  <si>
    <t>\\192.168.0.252\4.productie\CLIENTI\BOSCH GERMANIA\1813218040</t>
  </si>
  <si>
    <t>\\192.168.0.252\4.productie\CLIENTI\BOSCH GERMANIA\1813218042</t>
  </si>
  <si>
    <t>\\192.168.0.252\4.productie\CLIENTI\BOSCH GERMANIA\1813218044</t>
  </si>
  <si>
    <t>\\192.168.0.252\4.productie\CLIENTI\BOSCH GERMANIA\1813218046</t>
  </si>
  <si>
    <t>\\192.168.0.252\4.productie\CLIENTI\BOSCH GERMANIA\1813218050</t>
  </si>
  <si>
    <t>\\192.168.0.252\4.productie\CLIENTI\BOSCH GERMANIA\1813218081</t>
  </si>
  <si>
    <t>\\192.168.0.252\4.productie\CLIENTI\BOSCH GERMANIA\1818509087</t>
  </si>
  <si>
    <t>\\192.168.0.252\4.productie\CLIENTI\BOSCH GERMANIA\1818509091</t>
  </si>
  <si>
    <t>\\192.168.0.252\4.productie\CLIENTI\BOSCH GERMANIA\1818509133</t>
  </si>
  <si>
    <t>\\192.168.0.252\4.productie\CLIENTI\BOSCH GERMANIA\1818509138</t>
  </si>
  <si>
    <t>\\192.168.0.252\4.productie\CLIENTI\BOSCH GERMANIA\1818509164</t>
  </si>
  <si>
    <t>\\192.168.0.252\4.productie\CLIENTI\BOSCH GERMANIA\1818509172</t>
  </si>
  <si>
    <t>\\192.168.0.252\4.productie\CLIENTI\BOSCH GERMANIA\1818509193</t>
  </si>
  <si>
    <t>\\192.168.0.252\4.productie\CLIENTI\BOSCH GERMANIA\1818509251</t>
  </si>
  <si>
    <t>\\192.168.0.252\4.productie\CLIENTI\BOSCH GERMANIA\1818509259</t>
  </si>
  <si>
    <t>\\192.168.0.252\4.productie\CLIENTI\BOSCH GERMANIA\1818509265</t>
  </si>
  <si>
    <t>\\192.168.0.252\4.productie\CLIENTI\BOSCH GERMANIA\1818509276</t>
  </si>
  <si>
    <t>\\192.168.0.252\4.productie\CLIENTI\BOSCH GERMANIA\1818509284</t>
  </si>
  <si>
    <t>\\192.168.0.252\4.productie\CLIENTI\BOSCH GERMANIA\1818509289</t>
  </si>
  <si>
    <t>\\192.168.0.252\4.productie\CLIENTI\BOSCH GERMANIA\1818509439</t>
  </si>
  <si>
    <t>\\192.168.0.252\4.productie\CLIENTI\BOSCH GERMANIA\1818509497</t>
  </si>
  <si>
    <t>\\192.168.0.252\4.productie\CLIENTI\BOSCH GERMANIA\1818509503</t>
  </si>
  <si>
    <t>\\192.168.0.252\4.productie\CLIENTI\BOSCH GERMANIA\1818509508</t>
  </si>
  <si>
    <t>\\192.168.0.252\4.productie\CLIENTI\BOSCH GERMANIA\1818509512</t>
  </si>
  <si>
    <t>\\192.168.0.252\4.productie\CLIENTI\BOSCH GERMANIA\1818509516</t>
  </si>
  <si>
    <t>\\192.168.0.252\4.productie\CLIENTI\BOSCH GERMANIA\1818509519</t>
  </si>
  <si>
    <t>\\192.168.0.252\4.productie\CLIENTI\BOSCH GERMANIA\1818509554</t>
  </si>
  <si>
    <t>\\192.168.0.252\4.productie\CLIENTI\BOSCH GERMANIA\1818509555</t>
  </si>
  <si>
    <t>\\192.168.0.252\4.productie\CLIENTI\BOSCH GERMANIA\1818509563</t>
  </si>
  <si>
    <t>\\192.168.0.252\4.productie\CLIENTI\BOSCH GERMANIA\1818509618</t>
  </si>
  <si>
    <t>\\192.168.0.252\4.productie\CLIENTI\BOSCH GERMANIA\1818509634</t>
  </si>
  <si>
    <t>\\192.168.0.252\4.productie\CLIENTI\BOSCH GERMANIA\1818509661</t>
  </si>
  <si>
    <t>\\192.168.0.252\4.productie\CLIENTI\BOSCH GERMANIA\1818509665</t>
  </si>
  <si>
    <t>\\192.168.0.252\4.productie\CLIENTI\BOSCH GERMANIA\1818509670</t>
  </si>
  <si>
    <t>\\192.168.0.252\4.productie\CLIENTI\BOSCH GERMANIA\1818509704</t>
  </si>
  <si>
    <t>\\192.168.0.252\4.productie\CLIENTI\BOSCH GERMANIA\1818509725</t>
  </si>
  <si>
    <t>\\192.168.0.252\4.productie\CLIENTI\BOSCH GERMANIA\1818509748</t>
  </si>
  <si>
    <t>\\192.168.0.252\4.productie\CLIENTI\BOSCH GERMANIA\3842528304</t>
  </si>
  <si>
    <t>R900022484</t>
  </si>
  <si>
    <t>\\192.168.0.252\4.productie\CLIENTI\BOSCH GERMANIA\R900022484</t>
  </si>
  <si>
    <t>\\192.168.0.252\4.productie\CLIENTI\BOSCH GERMANIA\R900172405</t>
  </si>
  <si>
    <t>R900240734</t>
  </si>
  <si>
    <t>\\192.168.0.252\4.productie\CLIENTI\BOSCH GERMANIA\R900240734</t>
  </si>
  <si>
    <t>R900240898</t>
  </si>
  <si>
    <t>\\192.168.0.252\4.productie\CLIENTI\BOSCH GERMANIA\R900240898</t>
  </si>
  <si>
    <t>R900241406</t>
  </si>
  <si>
    <t>\\192.168.0.252\4.productie\CLIENTI\BOSCH GERMANIA\R900241406</t>
  </si>
  <si>
    <t>R900241407</t>
  </si>
  <si>
    <t>\\192.168.0.252\4.productie\CLIENTI\BOSCH GERMANIA\R900241407</t>
  </si>
  <si>
    <t>\\192.168.0.252\4.productie\CLIENTI\BOSCH GERMANIA\R900305223</t>
  </si>
  <si>
    <t>\\192.168.0.252\4.productie\CLIENTI\BOSCH GERMANIA\R900305228</t>
  </si>
  <si>
    <t>\\192.168.0.252\4.productie\CLIENTI\BOSCH GERMANIA\R900305231</t>
  </si>
  <si>
    <t>\\192.168.0.252\4.productie\CLIENTI\BOSCH GERMANIA\R900305232</t>
  </si>
  <si>
    <t>\\192.168.0.252\4.productie\CLIENTI\BOSCH GERMANIA\R900305233</t>
  </si>
  <si>
    <t>\\192.168.0.252\4.productie\CLIENTI\BOSCH GERMANIA\R900305236</t>
  </si>
  <si>
    <t>\\192.168.0.252\4.productie\CLIENTI\BOSCH GERMANIA\R900305239</t>
  </si>
  <si>
    <t>\\192.168.0.252\4.productie\CLIENTI\BOSCH GERMANIA\R900305240</t>
  </si>
  <si>
    <t>\\192.168.0.252\4.productie\CLIENTI\BOSCH GERMANIA\R900305241</t>
  </si>
  <si>
    <t>\\192.168.0.252\4.productie\CLIENTI\BOSCH GERMANIA\R900305244</t>
  </si>
  <si>
    <t>\\192.168.0.252\4.productie\CLIENTI\BOSCH GERMANIA\R900305247</t>
  </si>
  <si>
    <t>\\192.168.0.252\4.productie\CLIENTI\BOSCH GERMANIA\R900305248</t>
  </si>
  <si>
    <t>R900320547</t>
  </si>
  <si>
    <t>\\192.168.0.252\4.productie\CLIENTI\BOSCH GERMANIA\R900320547</t>
  </si>
  <si>
    <t>\\192.168.0.252\4.productie\CLIENTI\BOSCH GERMANIA\R900320551</t>
  </si>
  <si>
    <t>R900323003</t>
  </si>
  <si>
    <t>\\192.168.0.252\4.productie\CLIENTI\BOSCH GERMANIA\R900323003</t>
  </si>
  <si>
    <t>\\192.168.0.252\4.productie\CLIENTI\BOSCH GERMANIA\R900324165</t>
  </si>
  <si>
    <t>\\192.168.0.252\4.productie\CLIENTI\BOSCH GERMANIA\R900324167</t>
  </si>
  <si>
    <t>R900327320</t>
  </si>
  <si>
    <t>\\192.168.0.252\4.productie\CLIENTI\BOSCH GERMANIA\R900327320</t>
  </si>
  <si>
    <t>R900624384</t>
  </si>
  <si>
    <t>\\192.168.0.252\4.productie\CLIENTI\BOSCH GERMANIA\R900624384</t>
  </si>
  <si>
    <t>\\192.168.0.252\4.productie\CLIENTI\BOSCH GERMANIA\R900687550</t>
  </si>
  <si>
    <t>\\192.168.0.252\4.productie\CLIENTI\BOSCH GERMANIA\R900688220</t>
  </si>
  <si>
    <t>\\192.168.0.252\4.productie\CLIENTI\BOSCH GERMANIA\R900699249</t>
  </si>
  <si>
    <t>\\192.168.0.252\4.productie\CLIENTI\BOSCH GERMANIA\R900823749</t>
  </si>
  <si>
    <t>R900831492</t>
  </si>
  <si>
    <t>\\192.168.0.252\4.productie\CLIENTI\BOSCH GERMANIA\R900831492</t>
  </si>
  <si>
    <t>R900864537</t>
  </si>
  <si>
    <t>\\192.168.0.252\4.productie\CLIENTI\BOSCH GERMANIA\R900864537</t>
  </si>
  <si>
    <t>R900890229</t>
  </si>
  <si>
    <t>\\192.168.0.252\4.productie\CLIENTI\BOSCH GERMANIA\R900890229</t>
  </si>
  <si>
    <t>R900891815</t>
  </si>
  <si>
    <t>\\192.168.0.252\4.productie\CLIENTI\BOSCH GERMANIA\R900891815</t>
  </si>
  <si>
    <t>R900891816</t>
  </si>
  <si>
    <t>\\192.168.0.252\4.productie\CLIENTI\BOSCH GERMANIA\R900891816</t>
  </si>
  <si>
    <t>R900898744</t>
  </si>
  <si>
    <t>\\192.168.0.252\4.productie\CLIENTI\BOSCH GERMANIA\R900898744</t>
  </si>
  <si>
    <t>R901075698</t>
  </si>
  <si>
    <t>\\192.168.0.252\4.productie\CLIENTI\BOSCH GERMANIA\R901075698</t>
  </si>
  <si>
    <t>\\192.168.0.252\4.productie\CLIENTI\BOSCH GERMANIA\R901157145</t>
  </si>
  <si>
    <t>\\192.168.0.252\4.productie\CLIENTI\BOSCH GERMANIA\R901157146</t>
  </si>
  <si>
    <t>R901162947</t>
  </si>
  <si>
    <t>\\192.168.0.252\4.productie\CLIENTI\BOSCH GERMANIA\R901162947</t>
  </si>
  <si>
    <t>R901189983</t>
  </si>
  <si>
    <t>\\192.168.0.252\4.productie\CLIENTI\BOSCH GERMANIA\R901189983</t>
  </si>
  <si>
    <t>R901190147</t>
  </si>
  <si>
    <t>\\192.168.0.252\4.productie\CLIENTI\BOSCH GERMANIA\R901190147</t>
  </si>
  <si>
    <t>\\192.168.0.252\4.productie\CLIENTI\BOSCH GERMANIA\R901190149</t>
  </si>
  <si>
    <t>\\192.168.0.252\4.productie\CLIENTI\BOSCH GERMANIA\R901190153</t>
  </si>
  <si>
    <t>R901201287</t>
  </si>
  <si>
    <t>\\192.168.0.252\4.productie\CLIENTI\BOSCH GERMANIA\R901201287</t>
  </si>
  <si>
    <t>\\192.168.0.252\4.productie\CLIENTI\BOSCH GERMANIA\R901238578</t>
  </si>
  <si>
    <t>R901263676</t>
  </si>
  <si>
    <t>\\192.168.0.252\4.productie\CLIENTI\BOSCH GERMANIA\R901263676</t>
  </si>
  <si>
    <t>R901273204</t>
  </si>
  <si>
    <t>\\192.168.0.252\4.productie\CLIENTI\BOSCH GERMANIA\R901273204</t>
  </si>
  <si>
    <t>\\192.168.0.252\4.productie\CLIENTI\BOSCH GERMANIA\R901279760</t>
  </si>
  <si>
    <t>\\192.168.0.252\4.productie\CLIENTI\BOSCH GERMANIA\R901321450</t>
  </si>
  <si>
    <t>R901433139</t>
  </si>
  <si>
    <t>\\192.168.0.252\4.productie\CLIENTI\BOSCH GERMANIA\R901433139</t>
  </si>
  <si>
    <t>R901434515</t>
  </si>
  <si>
    <t>\\192.168.0.252\4.productie\CLIENTI\BOSCH GERMANIA\R901434515</t>
  </si>
  <si>
    <t>R901434564</t>
  </si>
  <si>
    <t>\\192.168.0.252\4.productie\CLIENTI\BOSCH GERMANIA\R901434564</t>
  </si>
  <si>
    <t>R901434566</t>
  </si>
  <si>
    <t>\\192.168.0.252\4.productie\CLIENTI\BOSCH GERMANIA\R901434566</t>
  </si>
  <si>
    <t>R901434569</t>
  </si>
  <si>
    <t>\\192.168.0.252\4.productie\CLIENTI\BOSCH GERMANIA\R901434569</t>
  </si>
  <si>
    <t>R901434571</t>
  </si>
  <si>
    <t>\\192.168.0.252\4.productie\CLIENTI\BOSCH GERMANIA\R901434571</t>
  </si>
  <si>
    <t>R901434574</t>
  </si>
  <si>
    <t>\\192.168.0.252\4.productie\CLIENTI\BOSCH GERMANIA\R901434574</t>
  </si>
  <si>
    <t>R901440569</t>
  </si>
  <si>
    <t>\\192.168.0.252\4.productie\CLIENTI\BOSCH GERMANIA\R901440569</t>
  </si>
  <si>
    <t>R901462942</t>
  </si>
  <si>
    <t>\\192.168.0.252\4.productie\CLIENTI\BOSCH GERMANIA\R901462942</t>
  </si>
  <si>
    <t>R901463406</t>
  </si>
  <si>
    <t>\\192.168.0.252\4.productie\CLIENTI\BOSCH GERMANIA\R901463406</t>
  </si>
  <si>
    <t>R901465008</t>
  </si>
  <si>
    <t>\\192.168.0.252\4.productie\CLIENTI\BOSCH GERMANIA\R901465008</t>
  </si>
  <si>
    <t>\\192.168.0.252\4.productie\CLIENTI\BOSCH GERMANIA\R901469358</t>
  </si>
  <si>
    <t>R901469360</t>
  </si>
  <si>
    <t>\\192.168.0.252\4.productie\CLIENTI\BOSCH GERMANIA\R901469360</t>
  </si>
  <si>
    <t>\\192.168.0.252\4.productie\CLIENTI\BOSCH GERMANIA\R901469362</t>
  </si>
  <si>
    <t>\\192.168.0.252\4.productie\CLIENTI\BOSCH GERMANIA\R901469363</t>
  </si>
  <si>
    <t>R901469364</t>
  </si>
  <si>
    <t>\\192.168.0.252\4.productie\CLIENTI\BOSCH GERMANIA\R901469364</t>
  </si>
  <si>
    <t>R901469365</t>
  </si>
  <si>
    <t>\\192.168.0.252\4.productie\CLIENTI\BOSCH GERMANIA\R901469365</t>
  </si>
  <si>
    <t>\\192.168.0.252\4.productie\CLIENTI\BOSCH GERMANIA\R901469366</t>
  </si>
  <si>
    <t>\\192.168.0.252\4.productie\CLIENTI\BOSCH GERMANIA\R901469368</t>
  </si>
  <si>
    <t>R901469369</t>
  </si>
  <si>
    <t>\\192.168.0.252\4.productie\CLIENTI\BOSCH GERMANIA\R901469369</t>
  </si>
  <si>
    <t>RA96959225</t>
  </si>
  <si>
    <t>\\192.168.0.252\4.productie\CLIENTI\BOSCH GERMANIA\RA96959225</t>
  </si>
  <si>
    <t>R9000323180</t>
  </si>
  <si>
    <t>\\192.168.0.252\4.productie\CLIENTI\BOSCH\R9000323180</t>
  </si>
  <si>
    <t>BOSCH</t>
  </si>
  <si>
    <t>\\192.168.0.252\4.productie\CLIENTI\BOSCH\R900145251</t>
  </si>
  <si>
    <t>R900145620</t>
  </si>
  <si>
    <t>\\192.168.0.252\4.productie\CLIENTI\BOSCH\R900145620</t>
  </si>
  <si>
    <t>\\192.168.0.252\4.productie\CLIENTI\BOSCH\R900147181</t>
  </si>
  <si>
    <t>R900148055</t>
  </si>
  <si>
    <t>\\192.168.0.252\4.productie\CLIENTI\BOSCH\R900148055</t>
  </si>
  <si>
    <t>R900542742</t>
  </si>
  <si>
    <t>\\192.168.0.252\4.productie\CLIENTI\BOSCH\R900542742</t>
  </si>
  <si>
    <t>R900601576 - 519</t>
  </si>
  <si>
    <t>\\192.168.0.252\4.productie\CLIENTI\BOSCH\R900601576 - 519</t>
  </si>
  <si>
    <t>R900601676 - 535</t>
  </si>
  <si>
    <t>\\192.168.0.252\4.productie\CLIENTI\BOSCH\R900601676 - 535</t>
  </si>
  <si>
    <t>\\192.168.0.252\4.productie\CLIENTI\BOSCH\R900601678</t>
  </si>
  <si>
    <t>R900628301</t>
  </si>
  <si>
    <t>\\192.168.0.252\4.productie\CLIENTI\BOSCH\R900628301</t>
  </si>
  <si>
    <t>R900693050 - A FOST IN TESTE</t>
  </si>
  <si>
    <t>\\192.168.0.252\4.productie\CLIENTI\BOSCH\R900693050 - A FOST IN TESTE</t>
  </si>
  <si>
    <t>R900802386</t>
  </si>
  <si>
    <t>\\192.168.0.252\4.productie\CLIENTI\BOSCH\R900802386</t>
  </si>
  <si>
    <t>\\192.168.0.252\4.productie\CLIENTI\BOSCH\R900804015</t>
  </si>
  <si>
    <t>R900827909</t>
  </si>
  <si>
    <t>\\192.168.0.252\4.productie\CLIENTI\BOSCH\R900827909</t>
  </si>
  <si>
    <t>\\192.168.0.252\4.productie\CLIENTI\BOSCH\R900865757 - R900147181 V</t>
  </si>
  <si>
    <t>R900865758 - R900145251 V</t>
  </si>
  <si>
    <t>\\192.168.0.252\4.productie\CLIENTI\BOSCH\R900865758 - R900145251 V</t>
  </si>
  <si>
    <t>R900866091</t>
  </si>
  <si>
    <t>\\192.168.0.252\4.productie\CLIENTI\BOSCH\R900866091</t>
  </si>
  <si>
    <t>R900866092</t>
  </si>
  <si>
    <t>\\192.168.0.252\4.productie\CLIENTI\BOSCH\R900866092</t>
  </si>
  <si>
    <t>R900866093</t>
  </si>
  <si>
    <t>\\192.168.0.252\4.productie\CLIENTI\BOSCH\R900866093</t>
  </si>
  <si>
    <t>R901035906</t>
  </si>
  <si>
    <t>\\192.168.0.252\4.productie\CLIENTI\BOSCH\R901035906</t>
  </si>
  <si>
    <t>\\192.168.0.252\4.productie\CLIENTI\BOSCH\R901162946</t>
  </si>
  <si>
    <t>R901163150</t>
  </si>
  <si>
    <t>\\192.168.0.252\4.productie\CLIENTI\BOSCH\R901163150</t>
  </si>
  <si>
    <t>R901269565</t>
  </si>
  <si>
    <t>\\192.168.0.252\4.productie\CLIENTI\BOSCH\R901269565</t>
  </si>
  <si>
    <t>R901415693</t>
  </si>
  <si>
    <t>\\192.168.0.252\4.productie\CLIENTI\BOSCH\R901415693</t>
  </si>
  <si>
    <t>R901531769</t>
  </si>
  <si>
    <t>\\192.168.0.252\4.productie\CLIENTI\BOSCH\R901531769</t>
  </si>
  <si>
    <t>\\192.168.0.252\4.productie\CLIENTI\BOSCH\R901531786</t>
  </si>
  <si>
    <t>R901531808</t>
  </si>
  <si>
    <t>\\192.168.0.252\4.productie\CLIENTI\BOSCH\R901531808</t>
  </si>
  <si>
    <t>R901531920</t>
  </si>
  <si>
    <t>\\192.168.0.252\4.productie\CLIENTI\BOSCH\R901531920</t>
  </si>
  <si>
    <t>R901550996_BOLT</t>
  </si>
  <si>
    <t>\\192.168.0.252\4.productie\CLIENTI\BOSCH\R901550996_BOLT</t>
  </si>
  <si>
    <t>\\192.168.0.252\4.productie\CLIENTI\IGW ROMANIA\1092327401</t>
  </si>
  <si>
    <t>\\192.168.0.252\4.productie\CLIENTI\IGW ROMANIA\1092519100</t>
  </si>
  <si>
    <t>\\192.168.0.252\4.productie\CLIENTI\IGW ROMANIA\1604738603</t>
  </si>
  <si>
    <t>\\192.168.0.252\4.productie\CLIENTI\IGW ROMANIA\1626027403</t>
  </si>
  <si>
    <t>\\192.168.0.252\4.productie\CLIENTI\IGW ROMANIA\1638215901</t>
  </si>
  <si>
    <t>\\192.168.0.252\4.productie\CLIENTI\IGW ROMANIA\1650135120</t>
  </si>
  <si>
    <t>\\192.168.0.252\4.productie\CLIENTI\IGW ROMANIA\28043501</t>
  </si>
  <si>
    <t>\\192.168.0.252\4.productie\CLIENTI\IGW ROMANIA\28443501</t>
  </si>
  <si>
    <t>\\192.168.0.252\4.productie\CLIENTI\IGW ROMANIA\32340009</t>
  </si>
  <si>
    <t>\\192.168.0.252\4.productie\CLIENTI\IGW ROMANIA\32643530</t>
  </si>
  <si>
    <t>3EJD0000017112</t>
  </si>
  <si>
    <t>\\192.168.0.252\4.productie\CLIENTI\IGW ROMANIA\3EJD0000017112</t>
  </si>
  <si>
    <t>\\192.168.0.252\4.productie\CLIENTI\IGW ROMANIA\67763193</t>
  </si>
  <si>
    <t>ANALIZA STRUNJIRE DURA</t>
  </si>
  <si>
    <t>\\192.168.0.252\4.productie\CLIENTI\IGW ROMANIA\ANALIZA STRUNJIRE DURA</t>
  </si>
  <si>
    <t>AXE</t>
  </si>
  <si>
    <t>\\192.168.0.252\4.productie\CLIENTI\IGW ROMANIA\AXE</t>
  </si>
  <si>
    <t>C165</t>
  </si>
  <si>
    <t>\\192.168.0.252\4.productie\CLIENTI\IGW ROMANIA\C165</t>
  </si>
  <si>
    <t>czr0000418</t>
  </si>
  <si>
    <t>\\192.168.0.252\4.productie\CLIENTI\IGW ROMANIA\czr0000418</t>
  </si>
  <si>
    <t>czr0001206</t>
  </si>
  <si>
    <t>\\192.168.0.252\4.productie\CLIENTI\IGW ROMANIA\czr0001206</t>
  </si>
  <si>
    <t>czr0001265</t>
  </si>
  <si>
    <t>\\192.168.0.252\4.productie\CLIENTI\IGW ROMANIA\czr0001265</t>
  </si>
  <si>
    <t>czr0003076</t>
  </si>
  <si>
    <t>\\192.168.0.252\4.productie\CLIENTI\IGW ROMANIA\czr0003076</t>
  </si>
  <si>
    <t>czr0005789</t>
  </si>
  <si>
    <t>\\192.168.0.252\4.productie\CLIENTI\IGW ROMANIA\czr0005789</t>
  </si>
  <si>
    <t>czr0008650</t>
  </si>
  <si>
    <t>\\192.168.0.252\4.productie\CLIENTI\IGW ROMANIA\czr0008650</t>
  </si>
  <si>
    <t>czr0011387</t>
  </si>
  <si>
    <t>\\192.168.0.252\4.productie\CLIENTI\IGW ROMANIA\czr0011387</t>
  </si>
  <si>
    <t>czr0011507</t>
  </si>
  <si>
    <t>\\192.168.0.252\4.productie\CLIENTI\IGW ROMANIA\czr0011507</t>
  </si>
  <si>
    <t>czr0012900</t>
  </si>
  <si>
    <t>\\192.168.0.252\4.productie\CLIENTI\IGW ROMANIA\czr0012900</t>
  </si>
  <si>
    <t>czr0013100</t>
  </si>
  <si>
    <t>\\192.168.0.252\4.productie\CLIENTI\IGW ROMANIA\czr0013100</t>
  </si>
  <si>
    <t>czr0020700</t>
  </si>
  <si>
    <t>\\192.168.0.252\4.productie\CLIENTI\IGW ROMANIA\czr0020700</t>
  </si>
  <si>
    <t>D483</t>
  </si>
  <si>
    <t>\\192.168.0.252\4.productie\CLIENTI\IGW ROMANIA\D483</t>
  </si>
  <si>
    <t>GENERAL</t>
  </si>
  <si>
    <t>\\192.168.0.252\4.productie\CLIENTI\IGW ROMANIA\GENERAL</t>
  </si>
  <si>
    <t>K56</t>
  </si>
  <si>
    <t>\\192.168.0.252\4.productie\CLIENTI\IGW ROMANIA\K56</t>
  </si>
  <si>
    <t>MEFIN</t>
  </si>
  <si>
    <t>\\192.168.0.252\4.productie\CLIENTI\IGW ROMANIA\MEFIN</t>
  </si>
  <si>
    <t>PBE-14-00062752</t>
  </si>
  <si>
    <t>\\192.168.0.252\4.productie\CLIENTI\IGW ROMANIA\PBE-14-00062752</t>
  </si>
  <si>
    <t>POLYGON</t>
  </si>
  <si>
    <t>\\192.168.0.252\4.productie\CLIENTI\IGW ROMANIA\POLYGON</t>
  </si>
  <si>
    <t>ROTI</t>
  </si>
  <si>
    <t>\\192.168.0.252\4.productie\CLIENTI\IGW ROMANIA\ROTI</t>
  </si>
  <si>
    <t>AU.KB50100B-0208-ISB-WW1</t>
  </si>
  <si>
    <t>REGISTRU UNIC DE LIVRARI
la CLIENTI</t>
  </si>
  <si>
    <t>din aceste date obtinem 
KPI 5</t>
  </si>
  <si>
    <t>SO DATA</t>
  </si>
  <si>
    <t>SC INPUT</t>
  </si>
  <si>
    <t>DATABASE FINISHED GOODS</t>
  </si>
  <si>
    <t>DELIVERY INPUT</t>
  </si>
  <si>
    <t>ACCOUNTING</t>
  </si>
  <si>
    <r>
      <rPr>
        <b/>
        <sz val="12"/>
        <color rgb="FF000000"/>
        <rFont val="Calibri"/>
        <family val="2"/>
        <scheme val="minor"/>
      </rPr>
      <t xml:space="preserve">Date PO
 </t>
    </r>
    <r>
      <rPr>
        <i/>
        <sz val="12"/>
        <color rgb="FF000000"/>
        <rFont val="Calibri"/>
        <family val="2"/>
        <scheme val="minor"/>
      </rPr>
      <t>dd.mm.yyyy</t>
    </r>
  </si>
  <si>
    <t>Part Description</t>
  </si>
  <si>
    <t>Drawing 
Revision</t>
  </si>
  <si>
    <r>
      <t xml:space="preserve">Price/Unit
</t>
    </r>
    <r>
      <rPr>
        <i/>
        <sz val="12"/>
        <color theme="1"/>
        <rFont val="Calibri"/>
        <family val="2"/>
        <scheme val="minor"/>
      </rPr>
      <t>EUR</t>
    </r>
  </si>
  <si>
    <t>Quantity</t>
  </si>
  <si>
    <t>Price/Order</t>
  </si>
  <si>
    <r>
      <rPr>
        <b/>
        <sz val="12"/>
        <color rgb="FF000000"/>
        <rFont val="Calibri"/>
        <family val="2"/>
        <scheme val="minor"/>
      </rPr>
      <t xml:space="preserve">ETA
As requested
</t>
    </r>
    <r>
      <rPr>
        <i/>
        <sz val="12"/>
        <color rgb="FF000000"/>
        <rFont val="Calibri"/>
        <family val="2"/>
        <scheme val="minor"/>
      </rPr>
      <t>dd.mm.yyyy</t>
    </r>
  </si>
  <si>
    <r>
      <rPr>
        <b/>
        <sz val="12"/>
        <color theme="1"/>
        <rFont val="Calibri"/>
        <family val="2"/>
        <scheme val="minor"/>
      </rPr>
      <t xml:space="preserve">ETA
Confirmed
</t>
    </r>
    <r>
      <rPr>
        <i/>
        <sz val="12"/>
        <color theme="1"/>
        <rFont val="Calibri"/>
        <family val="2"/>
        <scheme val="minor"/>
      </rPr>
      <t>dd.mm.yyyy</t>
    </r>
  </si>
  <si>
    <r>
      <t xml:space="preserve">ETA
Planned
</t>
    </r>
    <r>
      <rPr>
        <i/>
        <sz val="12"/>
        <color theme="1"/>
        <rFont val="Calibri"/>
        <family val="2"/>
        <scheme val="minor"/>
      </rPr>
      <t>dd.mm.yyyy</t>
    </r>
  </si>
  <si>
    <r>
      <rPr>
        <b/>
        <sz val="12"/>
        <color theme="1"/>
        <rFont val="Calibri"/>
        <family val="2"/>
        <scheme val="minor"/>
      </rPr>
      <t xml:space="preserve">Leadtime Contract
</t>
    </r>
    <r>
      <rPr>
        <i/>
        <sz val="12"/>
        <color theme="1"/>
        <rFont val="Calibri"/>
        <family val="2"/>
        <scheme val="minor"/>
      </rPr>
      <t>days</t>
    </r>
  </si>
  <si>
    <r>
      <rPr>
        <b/>
        <sz val="12"/>
        <color theme="1"/>
        <rFont val="Calibri"/>
        <family val="2"/>
        <scheme val="minor"/>
      </rPr>
      <t xml:space="preserve">MOQ
</t>
    </r>
    <r>
      <rPr>
        <i/>
        <sz val="12"/>
        <color theme="1"/>
        <rFont val="Calibri"/>
        <family val="2"/>
        <scheme val="minor"/>
      </rPr>
      <t>pcs</t>
    </r>
  </si>
  <si>
    <r>
      <rPr>
        <b/>
        <sz val="12"/>
        <color theme="1"/>
        <rFont val="Calibri"/>
        <family val="2"/>
        <scheme val="minor"/>
      </rPr>
      <t xml:space="preserve">Frozen Zone
</t>
    </r>
    <r>
      <rPr>
        <i/>
        <sz val="12"/>
        <color theme="1"/>
        <rFont val="Calibri"/>
        <family val="2"/>
        <scheme val="minor"/>
      </rPr>
      <t>days</t>
    </r>
  </si>
  <si>
    <r>
      <t xml:space="preserve">Status PPAP
</t>
    </r>
    <r>
      <rPr>
        <i/>
        <sz val="12"/>
        <color theme="1"/>
        <rFont val="Calibri"/>
        <family val="2"/>
        <scheme val="minor"/>
      </rPr>
      <t>(approved/project)</t>
    </r>
  </si>
  <si>
    <r>
      <rPr>
        <b/>
        <sz val="12"/>
        <color theme="1"/>
        <rFont val="Calibri"/>
        <family val="2"/>
        <scheme val="minor"/>
      </rPr>
      <t xml:space="preserve">Mfg Lead Time
</t>
    </r>
    <r>
      <rPr>
        <i/>
        <sz val="12"/>
        <color theme="1"/>
        <rFont val="Calibri"/>
        <family val="2"/>
        <scheme val="minor"/>
      </rPr>
      <t>days</t>
    </r>
  </si>
  <si>
    <t>Subcontract</t>
  </si>
  <si>
    <r>
      <t xml:space="preserve">Stock Warehouse
</t>
    </r>
    <r>
      <rPr>
        <i/>
        <sz val="12"/>
        <color theme="1"/>
        <rFont val="Calibri"/>
        <family val="2"/>
        <scheme val="minor"/>
      </rPr>
      <t>pcs</t>
    </r>
  </si>
  <si>
    <t>Scrap Rate</t>
  </si>
  <si>
    <t>Raw Material Status</t>
  </si>
  <si>
    <t>Incomming Date</t>
  </si>
  <si>
    <r>
      <rPr>
        <b/>
        <sz val="12"/>
        <color theme="1"/>
        <rFont val="Calibri"/>
        <family val="2"/>
        <scheme val="minor"/>
      </rPr>
      <t xml:space="preserve">Planned
</t>
    </r>
    <r>
      <rPr>
        <i/>
        <sz val="12"/>
        <color theme="1"/>
        <rFont val="Calibri"/>
        <family val="2"/>
        <scheme val="minor"/>
      </rPr>
      <t>YES/NO</t>
    </r>
  </si>
  <si>
    <t>Work Order</t>
  </si>
  <si>
    <r>
      <rPr>
        <b/>
        <sz val="12"/>
        <color theme="1"/>
        <rFont val="Calibri"/>
        <family val="2"/>
        <scheme val="minor"/>
      </rPr>
      <t xml:space="preserve">Order Finished
</t>
    </r>
    <r>
      <rPr>
        <i/>
        <sz val="12"/>
        <color theme="1"/>
        <rFont val="Calibri"/>
        <family val="2"/>
        <scheme val="minor"/>
      </rPr>
      <t>YES/NO</t>
    </r>
  </si>
  <si>
    <t>Dată de livrare</t>
  </si>
  <si>
    <t>AVIZ OLSTRAL</t>
  </si>
  <si>
    <t>COMANDĂ</t>
  </si>
  <si>
    <t>REPER</t>
  </si>
  <si>
    <t>Sales</t>
  </si>
  <si>
    <t>NOK</t>
  </si>
  <si>
    <t>Observații</t>
  </si>
  <si>
    <t>Factură/Serie</t>
  </si>
  <si>
    <t>OTD</t>
  </si>
  <si>
    <t>Month</t>
  </si>
  <si>
    <t>YEAR</t>
  </si>
  <si>
    <t>Column1</t>
  </si>
  <si>
    <t>firm</t>
  </si>
  <si>
    <t>Proiect Anulat</t>
  </si>
  <si>
    <t>AB</t>
  </si>
  <si>
    <t>R901408969</t>
  </si>
  <si>
    <t>old order 2022</t>
  </si>
  <si>
    <t>PLATE              4WRPF 10/ ADAPTER</t>
  </si>
  <si>
    <t>AA</t>
  </si>
  <si>
    <t>OIL FEED NUT AO</t>
  </si>
  <si>
    <t>P1 A0 CMSD CLAMP NUT</t>
  </si>
  <si>
    <t>Crank sleeve</t>
  </si>
  <si>
    <t>livrata toata comanda, comanda inchisa in supplyon</t>
  </si>
  <si>
    <t>AI</t>
  </si>
  <si>
    <t>20240386-16.04.2024</t>
  </si>
  <si>
    <t>20240415-19.04.2024</t>
  </si>
  <si>
    <t>20240466-25.04.2024</t>
  </si>
  <si>
    <t>HOUSING            DBD.10G1X/</t>
  </si>
  <si>
    <t>AE</t>
  </si>
  <si>
    <t>240816/241405/242801</t>
  </si>
  <si>
    <t>inlocuire reclamatie / STORNARE+REFCATURARE</t>
  </si>
  <si>
    <t>20240856/20240857/20240858</t>
  </si>
  <si>
    <t>20240884/20240885-12.07.2024</t>
  </si>
  <si>
    <r>
      <t>20241055-14.08.2024/</t>
    </r>
    <r>
      <rPr>
        <sz val="12"/>
        <color rgb="FFFF0000"/>
        <rFont val="Calibri"/>
        <family val="2"/>
        <scheme val="minor"/>
      </rPr>
      <t>20241054-14.08.2024</t>
    </r>
  </si>
  <si>
    <r>
      <t>20241057-14.08.2024/</t>
    </r>
    <r>
      <rPr>
        <sz val="12"/>
        <color rgb="FFFF0000"/>
        <rFont val="Calibri"/>
        <family val="2"/>
        <scheme val="minor"/>
      </rPr>
      <t>20241056-14.08.2024</t>
    </r>
  </si>
  <si>
    <r>
      <t>20241060-14.08.2024/</t>
    </r>
    <r>
      <rPr>
        <sz val="12"/>
        <color rgb="FFFF0000"/>
        <rFont val="Calibri"/>
        <family val="2"/>
        <scheme val="minor"/>
      </rPr>
      <t>20241059-14.08.2024</t>
    </r>
  </si>
  <si>
    <r>
      <t>20241090-21.08.2024/</t>
    </r>
    <r>
      <rPr>
        <sz val="12"/>
        <color rgb="FFFF0000"/>
        <rFont val="Calibri"/>
        <family val="2"/>
        <scheme val="minor"/>
      </rPr>
      <t>20241091-21.08.2024</t>
    </r>
  </si>
  <si>
    <t>20241112/20241113/20241115/20241116-29.08.2024</t>
  </si>
  <si>
    <r>
      <t>20231145-06.10.2023/</t>
    </r>
    <r>
      <rPr>
        <sz val="12"/>
        <color rgb="FFFF0000"/>
        <rFont val="Calibri"/>
        <family val="2"/>
        <scheme val="minor"/>
      </rPr>
      <t>20241156-06.09.2024</t>
    </r>
    <r>
      <rPr>
        <sz val="12"/>
        <color theme="1"/>
        <rFont val="Calibri"/>
        <family val="2"/>
        <scheme val="minor"/>
      </rPr>
      <t>/20241157-06.09.2024</t>
    </r>
  </si>
  <si>
    <r>
      <rPr>
        <sz val="12"/>
        <color rgb="FFFF0000"/>
        <rFont val="Calibri"/>
        <family val="2"/>
        <scheme val="minor"/>
      </rPr>
      <t>20241174</t>
    </r>
    <r>
      <rPr>
        <sz val="12"/>
        <color theme="1"/>
        <rFont val="Calibri"/>
        <family val="2"/>
        <scheme val="minor"/>
      </rPr>
      <t>/20241175-13.09.2024</t>
    </r>
  </si>
  <si>
    <t>20240337-04.04.2024</t>
  </si>
  <si>
    <t>20240480-29.04.2024</t>
  </si>
  <si>
    <t>20240640-31.05.2024</t>
  </si>
  <si>
    <t>VALIDARE</t>
  </si>
  <si>
    <t>20240467-26.04.2024</t>
  </si>
  <si>
    <t>HOUSING            DBD.10P1X/</t>
  </si>
  <si>
    <t>AH</t>
  </si>
  <si>
    <t>240603 / 240604/ 241609</t>
  </si>
  <si>
    <t>20240477-28.04.2024</t>
  </si>
  <si>
    <t>240710/242706</t>
  </si>
  <si>
    <t>20240328-29.03.2024</t>
  </si>
  <si>
    <t>20240336-04.04.2024</t>
  </si>
  <si>
    <t>20240524-10.05.2024</t>
  </si>
  <si>
    <t>2024630-10.06.2024</t>
  </si>
  <si>
    <t>20241108-27.08.2024</t>
  </si>
  <si>
    <t>f</t>
  </si>
  <si>
    <t>20240340-04.04.2024</t>
  </si>
  <si>
    <t>240624/241709</t>
  </si>
  <si>
    <t>20240387-16.04.2024</t>
  </si>
  <si>
    <t>20240525-10.05.2024</t>
  </si>
  <si>
    <t>20240834-05.07.2024</t>
  </si>
  <si>
    <t>AG</t>
  </si>
  <si>
    <t>241205 / 241316</t>
  </si>
  <si>
    <t>5 - validare</t>
  </si>
  <si>
    <t>20240321-01.04.2024</t>
  </si>
  <si>
    <t>240718/242012</t>
  </si>
  <si>
    <r>
      <rPr>
        <sz val="12"/>
        <color rgb="FF000000"/>
        <rFont val="Calibri"/>
        <family val="2"/>
      </rPr>
      <t>20240416-19.04.2024</t>
    </r>
    <r>
      <rPr>
        <sz val="12"/>
        <color rgb="FFFF0000"/>
        <rFont val="Calibri"/>
        <family val="2"/>
      </rPr>
      <t>/</t>
    </r>
    <r>
      <rPr>
        <b/>
        <sz val="12"/>
        <color rgb="FFFF0000"/>
        <rFont val="Calibri"/>
        <family val="2"/>
      </rPr>
      <t>20250155-17.02.2025</t>
    </r>
  </si>
  <si>
    <t>20240650-04.06.2024</t>
  </si>
  <si>
    <t>20240670-06.06.2024</t>
  </si>
  <si>
    <t>20240675-11.06.2024</t>
  </si>
  <si>
    <t>20240478-29.04.2024</t>
  </si>
  <si>
    <r>
      <rPr>
        <sz val="12"/>
        <color rgb="FF000000"/>
        <rFont val="Calibri"/>
        <family val="2"/>
        <scheme val="minor"/>
      </rPr>
      <t>20240615-28.05.2024/</t>
    </r>
    <r>
      <rPr>
        <sz val="12"/>
        <color rgb="FFFF0000"/>
        <rFont val="Calibri"/>
        <family val="2"/>
        <scheme val="minor"/>
      </rPr>
      <t>20250154-17.02.202</t>
    </r>
    <r>
      <rPr>
        <sz val="12"/>
        <color rgb="FF000000"/>
        <rFont val="Calibri"/>
        <family val="2"/>
        <scheme val="minor"/>
      </rPr>
      <t>5</t>
    </r>
  </si>
  <si>
    <t>EDS F-801631-1031.RKKM.ZL-M3A</t>
  </si>
  <si>
    <t>AC</t>
  </si>
  <si>
    <t>20240378-15.04.2024</t>
  </si>
  <si>
    <t>20240956-25.07.2024</t>
  </si>
  <si>
    <t>096213981-0000</t>
  </si>
  <si>
    <t>241206</t>
  </si>
  <si>
    <t>20240398-10.04.2024</t>
  </si>
  <si>
    <t>F-552668-0044-DRE</t>
  </si>
  <si>
    <t>097122211-0000</t>
  </si>
  <si>
    <t>241607/ 241911</t>
  </si>
  <si>
    <t>20240601-16.05.2024</t>
  </si>
  <si>
    <t>VALVE BODY         .</t>
  </si>
  <si>
    <t>241514/242711</t>
  </si>
  <si>
    <t>56 returnate</t>
  </si>
  <si>
    <t>20240831-04.07.2024</t>
  </si>
  <si>
    <t>20240626-30.05.2024</t>
  </si>
  <si>
    <t>20240656-06.06.2024</t>
  </si>
  <si>
    <t>20240995-05.08.2024</t>
  </si>
  <si>
    <t>piese de inlocuire</t>
  </si>
  <si>
    <r>
      <t>20241058-14.08.2024/</t>
    </r>
    <r>
      <rPr>
        <sz val="12"/>
        <color rgb="FFFF0000"/>
        <rFont val="Calibri"/>
        <family val="2"/>
        <scheme val="minor"/>
      </rPr>
      <t>20241031-09.08.2024</t>
    </r>
  </si>
  <si>
    <t>RA118470</t>
  </si>
  <si>
    <t>EJD0000017112</t>
  </si>
  <si>
    <t>241304</t>
  </si>
  <si>
    <t>241306</t>
  </si>
  <si>
    <t>20240314-29.03.2024</t>
  </si>
  <si>
    <t>054830877-8011</t>
  </si>
  <si>
    <t>20240326-29.03.2024</t>
  </si>
  <si>
    <t>00</t>
  </si>
  <si>
    <t>241314</t>
  </si>
  <si>
    <t>20240325-01.04.2024</t>
  </si>
  <si>
    <t>20240323-01.04.2024</t>
  </si>
  <si>
    <t>241315</t>
  </si>
  <si>
    <t>20240322-01.04.2024</t>
  </si>
  <si>
    <t>094290032-0000</t>
  </si>
  <si>
    <t>241305</t>
  </si>
  <si>
    <t>20240324-01.04.2024</t>
  </si>
  <si>
    <t>241402</t>
  </si>
  <si>
    <t>20240350-09.04.2024</t>
  </si>
  <si>
    <t>D</t>
  </si>
  <si>
    <t>241311</t>
  </si>
  <si>
    <t>20240315-29.03.2024</t>
  </si>
  <si>
    <t xml:space="preserve">GEHAEUSE Z2S 16 .-5X/ </t>
  </si>
  <si>
    <t>241310</t>
  </si>
  <si>
    <t>20240316-29.03.2024</t>
  </si>
  <si>
    <t>20240330-04.04.2024</t>
  </si>
  <si>
    <t>20240331-04.04.2024</t>
  </si>
  <si>
    <t>20240332-04.04.2024</t>
  </si>
  <si>
    <t>241404 / 241614</t>
  </si>
  <si>
    <t>20240410-18.04.2024</t>
  </si>
  <si>
    <t>5 PCS VALIDARE</t>
  </si>
  <si>
    <t>20240493-30.04.2024</t>
  </si>
  <si>
    <t>241709/ 241805</t>
  </si>
  <si>
    <t>20240542-14.05.2024</t>
  </si>
  <si>
    <t>20240560 - 17.05.2024</t>
  </si>
  <si>
    <t>20240583-22.05.2024</t>
  </si>
  <si>
    <t>RM 280pcs send by Rxroth, customer PO must be changed acc RM conf</t>
  </si>
  <si>
    <t>20240636-29.05.2024</t>
  </si>
  <si>
    <t>20240558-17.05.2024</t>
  </si>
  <si>
    <t>20240780-25.06.2024</t>
  </si>
  <si>
    <t>241407</t>
  </si>
  <si>
    <t>20240334-04.04.2024</t>
  </si>
  <si>
    <t>241411</t>
  </si>
  <si>
    <t>20240333-04.04.2024</t>
  </si>
  <si>
    <t>20240349-09.04.2024</t>
  </si>
  <si>
    <t>300921586-8011</t>
  </si>
  <si>
    <t>241416</t>
  </si>
  <si>
    <t>2024324-09.04.2024</t>
  </si>
  <si>
    <t>241506</t>
  </si>
  <si>
    <t>20240351-09.04.2024</t>
  </si>
  <si>
    <t>20240367-11.04.2024</t>
  </si>
  <si>
    <t>20240389-16.04.2024</t>
  </si>
  <si>
    <t>AD</t>
  </si>
  <si>
    <t>242717</t>
  </si>
  <si>
    <t>20240401-17.04.2024</t>
  </si>
  <si>
    <t>240609</t>
  </si>
  <si>
    <t>20240425-22.04.2025</t>
  </si>
  <si>
    <t xml:space="preserve">080814913-8011 </t>
  </si>
  <si>
    <t>241407 / 241505</t>
  </si>
  <si>
    <t>20240366-11.04.2024</t>
  </si>
  <si>
    <t>241507</t>
  </si>
  <si>
    <t>20240368-11.04.2024</t>
  </si>
  <si>
    <t>20240372-12.04.2024</t>
  </si>
  <si>
    <t>20240453-25.04.2024</t>
  </si>
  <si>
    <t>20240375-12.04.2024</t>
  </si>
  <si>
    <t>20240377-15.04.2024</t>
  </si>
  <si>
    <t>AF</t>
  </si>
  <si>
    <t>241508/ 241605</t>
  </si>
  <si>
    <t>7 - CU DEROGARE</t>
  </si>
  <si>
    <t>20240385-16.04.2024</t>
  </si>
  <si>
    <t>2024400/ 2024401</t>
  </si>
  <si>
    <t>2024464/2024465-25.04.2024</t>
  </si>
  <si>
    <t>241601/ 242114</t>
  </si>
  <si>
    <t>20240479-29.04.2024</t>
  </si>
  <si>
    <t>4 pcs de validare</t>
  </si>
  <si>
    <t>20240492-30.04.2024</t>
  </si>
  <si>
    <t>20240635-29.05.2024</t>
  </si>
  <si>
    <t>241603 /241511</t>
  </si>
  <si>
    <t>20240707-17.06.2024</t>
  </si>
  <si>
    <t>20240708-18.06.2024</t>
  </si>
  <si>
    <t>20240734-21.06.2024</t>
  </si>
  <si>
    <t>PASRO20240101</t>
  </si>
  <si>
    <t>20240338-04.04.2024</t>
  </si>
  <si>
    <t>PASRO20240104</t>
  </si>
  <si>
    <t>20240348-09.04.2024</t>
  </si>
  <si>
    <t>g</t>
  </si>
  <si>
    <t>20240396-11.04.2024</t>
  </si>
  <si>
    <t>096486538-0000</t>
  </si>
  <si>
    <t>20240454-25.04.2024</t>
  </si>
  <si>
    <t>DIN PIESELE TRIMISE LA ANALIZA</t>
  </si>
  <si>
    <t>20240461-25.04.2024</t>
  </si>
  <si>
    <t>20240456-26.04.2024</t>
  </si>
  <si>
    <t>20240457-26.04.2024</t>
  </si>
  <si>
    <t>20240459-26.04.2024</t>
  </si>
  <si>
    <t>20240462-26.04.2024</t>
  </si>
  <si>
    <t>20240463-27.04.2024</t>
  </si>
  <si>
    <t>din total 6 piese de validare</t>
  </si>
  <si>
    <t>241613/241710</t>
  </si>
  <si>
    <t>20240577-21.05.2024</t>
  </si>
  <si>
    <t>5 buc revalidare</t>
  </si>
  <si>
    <t>20240594-24.05.2024</t>
  </si>
  <si>
    <t>241317 / 241403/ 241708</t>
  </si>
  <si>
    <t>20240395-11.04.2024</t>
  </si>
  <si>
    <t>059018879-8011</t>
  </si>
  <si>
    <t>241301</t>
  </si>
  <si>
    <t>20240370-12.04.2024</t>
  </si>
  <si>
    <t>241516</t>
  </si>
  <si>
    <t>20240373-12.04.2024</t>
  </si>
  <si>
    <t>241505</t>
  </si>
  <si>
    <t>20240392-16.04.2024</t>
  </si>
  <si>
    <t>20240400-17.04.2024</t>
  </si>
  <si>
    <t>20240390-16.04.2024</t>
  </si>
  <si>
    <t>241519</t>
  </si>
  <si>
    <t>20240391-16.04.2024</t>
  </si>
  <si>
    <t>241515</t>
  </si>
  <si>
    <t>20240404-20.04.2024</t>
  </si>
  <si>
    <t>20240402-18.04.2024</t>
  </si>
  <si>
    <t>20240403-20.04.2024</t>
  </si>
  <si>
    <t>20240431-19.04.2024</t>
  </si>
  <si>
    <t>096458526-0000</t>
  </si>
  <si>
    <t>241513/241604</t>
  </si>
  <si>
    <t>20240442-24.04.2024</t>
  </si>
  <si>
    <t>20240449-25.04.2024</t>
  </si>
  <si>
    <t>20240455-26.04.2024</t>
  </si>
  <si>
    <t>20240458-26.04.2024</t>
  </si>
  <si>
    <t>RA118782</t>
  </si>
  <si>
    <t>20240541-14.05.2024</t>
  </si>
  <si>
    <t>5 VALIDARE</t>
  </si>
  <si>
    <t>20240619-29.05.2024</t>
  </si>
  <si>
    <t>096403993-0000</t>
  </si>
  <si>
    <t>20240369-11.04.2024</t>
  </si>
  <si>
    <t>241406/241715</t>
  </si>
  <si>
    <t>20240376-12.04.2024</t>
  </si>
  <si>
    <t>20240374-12.04.2024</t>
  </si>
  <si>
    <t>20240394-16.04.2024</t>
  </si>
  <si>
    <t>20240399-17.04.2024</t>
  </si>
  <si>
    <t>20240406-18.04.2024</t>
  </si>
  <si>
    <t>20240438-23.04.2024</t>
  </si>
  <si>
    <t>20240443-24.04.2024</t>
  </si>
  <si>
    <t>20240448-25.04.2024</t>
  </si>
  <si>
    <t>20240371-12.04.2024</t>
  </si>
  <si>
    <t>20240388-16.04.2024</t>
  </si>
  <si>
    <t>A</t>
  </si>
  <si>
    <t>241010 / 241412</t>
  </si>
  <si>
    <t>241520</t>
  </si>
  <si>
    <t>20240432-19.04.2024</t>
  </si>
  <si>
    <t>20240439-23.04.2024</t>
  </si>
  <si>
    <t>20240440-23.04.2024</t>
  </si>
  <si>
    <t>20240441-23.04.2024</t>
  </si>
  <si>
    <t>20240452-25.04.2024</t>
  </si>
  <si>
    <t>20240555-17.05.2024</t>
  </si>
  <si>
    <t>241706</t>
  </si>
  <si>
    <t>20240450-25.04.2024</t>
  </si>
  <si>
    <t>HOUSING            DBD.8G13/</t>
  </si>
  <si>
    <t>h</t>
  </si>
  <si>
    <t>241510 / 241712</t>
  </si>
  <si>
    <t>20240476-28.04.2024</t>
  </si>
  <si>
    <t>241317 / 241403/ 241709</t>
  </si>
  <si>
    <t>TRANSPORT 84 EUR</t>
  </si>
  <si>
    <t>20240445-24.04.2024</t>
  </si>
  <si>
    <t>20240779-26.06.2024</t>
  </si>
  <si>
    <t>20240883-12.07.2024</t>
  </si>
  <si>
    <t>HOUSING Z2S 16 .-5X/</t>
  </si>
  <si>
    <t>241901</t>
  </si>
  <si>
    <t>20240241-11.03.2024</t>
  </si>
  <si>
    <t>20240289-20.03.2024</t>
  </si>
  <si>
    <t>20240393-16.04.2024</t>
  </si>
  <si>
    <t>20240414-18.04.2024</t>
  </si>
  <si>
    <t>20240490-30.04.2024</t>
  </si>
  <si>
    <t>raman la noi pt imperechere</t>
  </si>
  <si>
    <t>20240638-30.05.2024</t>
  </si>
  <si>
    <t>3 NOK</t>
  </si>
  <si>
    <t>20240697-14.06.2024</t>
  </si>
  <si>
    <t>20240716-17.06.2024</t>
  </si>
  <si>
    <t>20240791-28.06.2024</t>
  </si>
  <si>
    <t>20240832-05.07.2024</t>
  </si>
  <si>
    <t>096999411-0000</t>
  </si>
  <si>
    <t>242212</t>
  </si>
  <si>
    <t>2 buc de PPAP</t>
  </si>
  <si>
    <t>20240828-03.07.2024</t>
  </si>
  <si>
    <t>F-320745-0321.APL.ACT</t>
  </si>
  <si>
    <t>242208</t>
  </si>
  <si>
    <t>2 PCS VALIDARE</t>
  </si>
  <si>
    <t>20240827-03.07.2024</t>
  </si>
  <si>
    <t>096999276-0000</t>
  </si>
  <si>
    <t>242211</t>
  </si>
  <si>
    <t>2 buc. de PPAP</t>
  </si>
  <si>
    <t>20240829-03.07.2024</t>
  </si>
  <si>
    <t>F-320745-1401.BZ.ACT</t>
  </si>
  <si>
    <t>096999438-0000</t>
  </si>
  <si>
    <t>242006</t>
  </si>
  <si>
    <t>20240830-04.07.2024</t>
  </si>
  <si>
    <t>F-320745-1901.DL.ACT15</t>
  </si>
  <si>
    <t>096999497-0000</t>
  </si>
  <si>
    <t>242213/242301</t>
  </si>
  <si>
    <t>2 buc PPAP</t>
  </si>
  <si>
    <t>20240958-24.07.2024</t>
  </si>
  <si>
    <t>20241293-12.10.2024</t>
  </si>
  <si>
    <t>241806</t>
  </si>
  <si>
    <t>20240491-30.04.2024</t>
  </si>
  <si>
    <t>20240487-30.04.2024</t>
  </si>
  <si>
    <t>241703 /241803</t>
  </si>
  <si>
    <t>2024432-30.04.2024</t>
  </si>
  <si>
    <t>20240486-30.04.2024</t>
  </si>
  <si>
    <t>20240510-09.05.2024</t>
  </si>
  <si>
    <t>20240488-30.04.2024</t>
  </si>
  <si>
    <t>20240512-09.05.2024</t>
  </si>
  <si>
    <t>20240513-09.05.2024</t>
  </si>
  <si>
    <t>20240523-09.05.2024</t>
  </si>
  <si>
    <t>20240515-09.05.2024</t>
  </si>
  <si>
    <t>20240521-10.05.2024</t>
  </si>
  <si>
    <t>20240530-14.05.2024</t>
  </si>
  <si>
    <t>20240529-14.05.2024</t>
  </si>
  <si>
    <t>20240544-15.05.2024</t>
  </si>
  <si>
    <t>20240553-16.05.2024</t>
  </si>
  <si>
    <t>20240551-16.05.2024</t>
  </si>
  <si>
    <t>3 DIN CELE 74 SUNT CU DEROGARE</t>
  </si>
  <si>
    <t>20240566-17.05.2024</t>
  </si>
  <si>
    <t>20240561-20.05.2024</t>
  </si>
  <si>
    <t xml:space="preserve">pcs test </t>
  </si>
  <si>
    <t>20240788-26.06.2024</t>
  </si>
  <si>
    <t>20240904-18.07.2024</t>
  </si>
  <si>
    <t>F-688038.02-0311.W.WE36</t>
  </si>
  <si>
    <t>20241064-16.08.2024</t>
  </si>
  <si>
    <t>F-688040.02-0211.W.WE36</t>
  </si>
  <si>
    <t>livrate sub denumirea reperului cu 0311</t>
  </si>
  <si>
    <t>20241065-16.08.2024</t>
  </si>
  <si>
    <t>HOUSING            DBD.30G1X/V        BG</t>
  </si>
  <si>
    <t>20250633-19.05.2025</t>
  </si>
  <si>
    <t>241719/241906</t>
  </si>
  <si>
    <t>20240485-30.04.2024</t>
  </si>
  <si>
    <t>20240494-08.05.2024</t>
  </si>
  <si>
    <t>20240511-09.05.2024</t>
  </si>
  <si>
    <t>20240522-10.05.2024</t>
  </si>
  <si>
    <t>242501/241808</t>
  </si>
  <si>
    <t>fara comanda / de cerut comanda</t>
  </si>
  <si>
    <t>20240484-30.04.2024</t>
  </si>
  <si>
    <t>20240520-09.05.2024</t>
  </si>
  <si>
    <t>20240514-09.05.2024</t>
  </si>
  <si>
    <t>20240516-09.05.2024</t>
  </si>
  <si>
    <t>20240517-09.05.2024</t>
  </si>
  <si>
    <t>20240537-14.05.2024</t>
  </si>
  <si>
    <t>20240549-16.05.2024</t>
  </si>
  <si>
    <t>20240554-16.05.2024</t>
  </si>
  <si>
    <t>20240563-20.05.2024</t>
  </si>
  <si>
    <t>20240562-20.05.2024</t>
  </si>
  <si>
    <t>20240572-21.05.2024</t>
  </si>
  <si>
    <t>241709 / 241805</t>
  </si>
  <si>
    <t>20240637-29.05.2024</t>
  </si>
  <si>
    <t>RA119068</t>
  </si>
  <si>
    <t>C</t>
  </si>
  <si>
    <t>20240592-23.05.2024</t>
  </si>
  <si>
    <t>20240518-09.05.2024</t>
  </si>
  <si>
    <t>20240534-14.05.2024</t>
  </si>
  <si>
    <t>20240536-14.05.2024</t>
  </si>
  <si>
    <t>20240550 / 16.05.2024</t>
  </si>
  <si>
    <t>20240548-16.05.2024</t>
  </si>
  <si>
    <t>20240564-20.05.2024</t>
  </si>
  <si>
    <t>20240573-21.05.2024</t>
  </si>
  <si>
    <t>20240574-21.05.2024</t>
  </si>
  <si>
    <t>20240579-22.05.2024</t>
  </si>
  <si>
    <t>20240588-23.05.2024</t>
  </si>
  <si>
    <t>20240519-09.05.2024</t>
  </si>
  <si>
    <t>20240535-14.05.2024</t>
  </si>
  <si>
    <t>20240547-16.05.2024</t>
  </si>
  <si>
    <t>20240565-20.05.2024</t>
  </si>
  <si>
    <t>20240575-21.05.2024</t>
  </si>
  <si>
    <t>20240598-24.05.2024</t>
  </si>
  <si>
    <t>20240597-24.05.2024</t>
  </si>
  <si>
    <t>20240606-27.05.2024</t>
  </si>
  <si>
    <t>20240610-28.05.2024</t>
  </si>
  <si>
    <t>20240612-28.05.2024</t>
  </si>
  <si>
    <t>20240614-28.05.2024</t>
  </si>
  <si>
    <t>20240622-29.05.2024</t>
  </si>
  <si>
    <t>241413 / 241509/ 241708</t>
  </si>
  <si>
    <t>20240446-24.04.2024</t>
  </si>
  <si>
    <t>TRANSPORT 86 EUR</t>
  </si>
  <si>
    <t>20240447-25.04.2024</t>
  </si>
  <si>
    <t>20240531-14.05.2024</t>
  </si>
  <si>
    <t>20240576-21.05.2024</t>
  </si>
  <si>
    <t>20240580-22.05.2024</t>
  </si>
  <si>
    <t>20240590-23.05.2024</t>
  </si>
  <si>
    <t>20240611-28.05.2024</t>
  </si>
  <si>
    <t>20240613-28.05.2024</t>
  </si>
  <si>
    <t>20240621-29.05.2024</t>
  </si>
  <si>
    <t>20240623-29.05.2024</t>
  </si>
  <si>
    <t>HOUSING            DBD.20G1X/V</t>
  </si>
  <si>
    <t>G</t>
  </si>
  <si>
    <t>240910 / 241009</t>
  </si>
  <si>
    <t>20240571-17.05.2024</t>
  </si>
  <si>
    <t>HOUSING            DBD.20G1X/</t>
  </si>
  <si>
    <t>241518 / 241702</t>
  </si>
  <si>
    <t>20240559-17.05.2024</t>
  </si>
  <si>
    <t>20240532-14.05.2024</t>
  </si>
  <si>
    <t>242004/242109</t>
  </si>
  <si>
    <t>20240581-22.05.2024</t>
  </si>
  <si>
    <t>20240591-23.05.2024</t>
  </si>
  <si>
    <t>20240596-24.05.2024</t>
  </si>
  <si>
    <t>20240620-29.05.2024</t>
  </si>
  <si>
    <t>20240624-29.05.2024</t>
  </si>
  <si>
    <t>20240628-30.05.2024</t>
  </si>
  <si>
    <t>20240630-30.05.2024</t>
  </si>
  <si>
    <t>20240633-31.05.2024</t>
  </si>
  <si>
    <t>20240543-15.05.2024</t>
  </si>
  <si>
    <t>20240552-16.05.2024</t>
  </si>
  <si>
    <t>241908/242102</t>
  </si>
  <si>
    <t>20240599-24.05.2024</t>
  </si>
  <si>
    <t>20240605-27.05.2024</t>
  </si>
  <si>
    <t>20240607-28.05.2024</t>
  </si>
  <si>
    <t>20240771-27.06.2024</t>
  </si>
  <si>
    <t>20240781-28.06.2024</t>
  </si>
  <si>
    <t>20240799-01.07.2024</t>
  </si>
  <si>
    <t>20240545/ 15.05.2024</t>
  </si>
  <si>
    <t>20240600-24.05.2024</t>
  </si>
  <si>
    <t>241908/242118</t>
  </si>
  <si>
    <t>20240595-24.05.2024</t>
  </si>
  <si>
    <t>6 NOK</t>
  </si>
  <si>
    <t>20240604-27.05.2024</t>
  </si>
  <si>
    <t>241903/242209</t>
  </si>
  <si>
    <t>20240642-31.05.2024</t>
  </si>
  <si>
    <t>20240533-14.05.2024</t>
  </si>
  <si>
    <t>20240582-22.05.2024</t>
  </si>
  <si>
    <t>20240589-23.05.2024</t>
  </si>
  <si>
    <t>20240625-29.05.2024</t>
  </si>
  <si>
    <t>20240629-30.05.2024</t>
  </si>
  <si>
    <t>20240627-30.05.2024</t>
  </si>
  <si>
    <t>20240632-31.05.2024</t>
  </si>
  <si>
    <t>20240643-31.05.2024</t>
  </si>
  <si>
    <t>20240645-31.05.2024</t>
  </si>
  <si>
    <t>20240662-05.06.2024</t>
  </si>
  <si>
    <t>20240652-05.06.2024</t>
  </si>
  <si>
    <t>20240672-11.06.2024</t>
  </si>
  <si>
    <t>20240578-22.05.2024</t>
  </si>
  <si>
    <t>20240631-30.05.2024</t>
  </si>
  <si>
    <t>20240634-31.05.2024</t>
  </si>
  <si>
    <t>20240644-31.05.2024</t>
  </si>
  <si>
    <t>20240646-04.06.2024</t>
  </si>
  <si>
    <t>20240663-05.06.2024</t>
  </si>
  <si>
    <t>20240664-07.06.2024</t>
  </si>
  <si>
    <t>20240673-11.06.2024</t>
  </si>
  <si>
    <t>20240679-12.06.2024</t>
  </si>
  <si>
    <t>20240647-04.06.2024</t>
  </si>
  <si>
    <t>241511 / 242103</t>
  </si>
  <si>
    <t>20240906-17.07.2024</t>
  </si>
  <si>
    <t>20240924-22.07.2024</t>
  </si>
  <si>
    <t>005084350-0000</t>
  </si>
  <si>
    <t>5 pcs validare</t>
  </si>
  <si>
    <t>20240851-05.07.2024</t>
  </si>
  <si>
    <t>005152879-0000</t>
  </si>
  <si>
    <t>5 de PPAP</t>
  </si>
  <si>
    <t>20241166-11.09.2024</t>
  </si>
  <si>
    <t>20240648-04.06.2024</t>
  </si>
  <si>
    <t>20240649-04.06.2024</t>
  </si>
  <si>
    <t>20240653-05.06.2024</t>
  </si>
  <si>
    <t>20240651-05.06.2024</t>
  </si>
  <si>
    <t>20240657-06.06.2024</t>
  </si>
  <si>
    <t>20240668-10.06.2024</t>
  </si>
  <si>
    <t>20240669-10.06.2024</t>
  </si>
  <si>
    <t>20240674-11.06.2024</t>
  </si>
  <si>
    <t>20240681-12.06.2024</t>
  </si>
  <si>
    <t>20240687-13.06.2024</t>
  </si>
  <si>
    <t>70 PCS CU DEROGARE</t>
  </si>
  <si>
    <t>20240699-14.06.2024</t>
  </si>
  <si>
    <t>20240702-17.06.2024</t>
  </si>
  <si>
    <t>20240700-17.06.2024</t>
  </si>
  <si>
    <t>20240714-18.06.2024</t>
  </si>
  <si>
    <t>20240723-19.06.2024</t>
  </si>
  <si>
    <t>20240724-19.06.2024</t>
  </si>
  <si>
    <t>20240721-19.06.2024</t>
  </si>
  <si>
    <t>2024703-21.06.2024</t>
  </si>
  <si>
    <t>20240739-21.06.2024</t>
  </si>
  <si>
    <t>20240753-25.06.2024</t>
  </si>
  <si>
    <t>20240754-26.06.2024</t>
  </si>
  <si>
    <t>20240763-27.06.2024</t>
  </si>
  <si>
    <t>20240765-28.06.2024</t>
  </si>
  <si>
    <t>20240783-28.06.2024</t>
  </si>
  <si>
    <t>242201/242401</t>
  </si>
  <si>
    <t>20240654-06.06.2024</t>
  </si>
  <si>
    <t>20240658-06.06.2024</t>
  </si>
  <si>
    <t>20240682-12.06.2024</t>
  </si>
  <si>
    <t>20240685-13.06.2024</t>
  </si>
  <si>
    <t>20240688-13.06.2024</t>
  </si>
  <si>
    <t>20240698-14.06.2024</t>
  </si>
  <si>
    <t>20240703-17.06.2024</t>
  </si>
  <si>
    <t>080817246-8011</t>
  </si>
  <si>
    <t>20240727-20.06.2024</t>
  </si>
  <si>
    <t>FIRM</t>
  </si>
  <si>
    <t>20240737-21.06.2024</t>
  </si>
  <si>
    <t>3 buc cu derogare</t>
  </si>
  <si>
    <r>
      <t>20240762-27.06.2024/</t>
    </r>
    <r>
      <rPr>
        <sz val="12"/>
        <color rgb="FFFF0000"/>
        <rFont val="Calibri"/>
        <family val="2"/>
        <scheme val="minor"/>
      </rPr>
      <t>20241170-16.09.2024</t>
    </r>
  </si>
  <si>
    <t>242404</t>
  </si>
  <si>
    <t>20240790-28.06.2024</t>
  </si>
  <si>
    <t>302086811-0000</t>
  </si>
  <si>
    <t>20240849-05.07.2024</t>
  </si>
  <si>
    <t>XU080264-10/2-DRE</t>
  </si>
  <si>
    <t xml:space="preserve">302086803-0000 </t>
  </si>
  <si>
    <t>20240930-23.07.2024</t>
  </si>
  <si>
    <t>din 17 livrate 5 sunt cu derogare</t>
  </si>
  <si>
    <t>20240655-06.06.2024</t>
  </si>
  <si>
    <t>20240666-07.06.2024</t>
  </si>
  <si>
    <t>20240665-07.06.2024</t>
  </si>
  <si>
    <t>20240684-13.06.2024</t>
  </si>
  <si>
    <t>20240696-14.06.2024</t>
  </si>
  <si>
    <t>20240704-17.06.2024</t>
  </si>
  <si>
    <t>20240713-18.06.2024</t>
  </si>
  <si>
    <t>20240722-19.06.2024</t>
  </si>
  <si>
    <t>20240738-21.06.2024</t>
  </si>
  <si>
    <t>20240749-25.06.2024</t>
  </si>
  <si>
    <t>20240750-26.06.2024</t>
  </si>
  <si>
    <t>20240764-27.06.2024</t>
  </si>
  <si>
    <t>20240766-27.06.2024</t>
  </si>
  <si>
    <t>20240782-28.06.2024</t>
  </si>
  <si>
    <t>20240784-28.06.2024</t>
  </si>
  <si>
    <t>20240787-28.06.2024</t>
  </si>
  <si>
    <t>20240793-28.06.2024</t>
  </si>
  <si>
    <t>20240795-01.07.2024</t>
  </si>
  <si>
    <t>20240797-1.07.2024</t>
  </si>
  <si>
    <t>20240809-02.07.2024</t>
  </si>
  <si>
    <t>20240811-03.07.2024</t>
  </si>
  <si>
    <t>20240824-04.07.2024</t>
  </si>
  <si>
    <t>EDS RKDK.N217-E-Y3-1042 000 AA</t>
  </si>
  <si>
    <t>300784627-0000</t>
  </si>
  <si>
    <t>242309/242505</t>
  </si>
  <si>
    <t>20240695-14.06.2024</t>
  </si>
  <si>
    <t>20240705-17.06.2024</t>
  </si>
  <si>
    <t>20240709-18.06.2024</t>
  </si>
  <si>
    <t>20240726-19.06.2024</t>
  </si>
  <si>
    <t>20240735-21.06.2024</t>
  </si>
  <si>
    <t>20240659-4.06.2024</t>
  </si>
  <si>
    <t>20240667-10.06.2024</t>
  </si>
  <si>
    <t>20240678-12.06.2024</t>
  </si>
  <si>
    <t>20240680-12.06.2024</t>
  </si>
  <si>
    <t>20240711-18.06.2024</t>
  </si>
  <si>
    <t>20240728-22.06.2024</t>
  </si>
  <si>
    <t>20240729-21.06.2024</t>
  </si>
  <si>
    <t>20240747-25.06.2024</t>
  </si>
  <si>
    <t>20240751-25.06.2024</t>
  </si>
  <si>
    <t>20240759-26.06.2024</t>
  </si>
  <si>
    <t>20240768-27.06.2024</t>
  </si>
  <si>
    <t>242310/242506</t>
  </si>
  <si>
    <t>20240710-18.06.2024</t>
  </si>
  <si>
    <t>20240725-19.06.2024</t>
  </si>
  <si>
    <t>20240736-21.06.2024</t>
  </si>
  <si>
    <t>20241046-12.08.2024</t>
  </si>
  <si>
    <t>Ei au receptionate cu 6 bucati mai mult</t>
  </si>
  <si>
    <t>20240686-13.06.2024</t>
  </si>
  <si>
    <t>20240712-18.06.2024</t>
  </si>
  <si>
    <t>20240748-25.06.2024</t>
  </si>
  <si>
    <t>20240760-26.06.2024</t>
  </si>
  <si>
    <t>20240767-27.06.2024</t>
  </si>
  <si>
    <t>20240769-27.06.2024</t>
  </si>
  <si>
    <t>20240785-28.06.2024</t>
  </si>
  <si>
    <t>20230794-01.07.2024</t>
  </si>
  <si>
    <t>20240701-17.06.2024</t>
  </si>
  <si>
    <t>20240755-25.06.2024</t>
  </si>
  <si>
    <t>HOUSING            DBD.10P1X/V</t>
  </si>
  <si>
    <t>F</t>
  </si>
  <si>
    <t>20240778-26.06.2024</t>
  </si>
  <si>
    <t>20240720-19.06.2024</t>
  </si>
  <si>
    <t>20240730-20.06.2024</t>
  </si>
  <si>
    <t>20240752-25.06.2024</t>
  </si>
  <si>
    <t>20240756-26.06.2024</t>
  </si>
  <si>
    <t>20240806-02.07.2024</t>
  </si>
  <si>
    <t>20240875-09.07.2024</t>
  </si>
  <si>
    <t>20240717-14.06.2024</t>
  </si>
  <si>
    <t>20240694-14.06.2024</t>
  </si>
  <si>
    <t>20240715-17.06.2024</t>
  </si>
  <si>
    <t>HOUSING            DBD.20P1X/V</t>
  </si>
  <si>
    <t>20240777-26.06.2024</t>
  </si>
  <si>
    <t>20240801-28.06.2024</t>
  </si>
  <si>
    <t>20240789-28.06.2024</t>
  </si>
  <si>
    <t>20240800-01.07.2024</t>
  </si>
  <si>
    <t>20240810-03.07.2024</t>
  </si>
  <si>
    <t>20240836-04.07.2024</t>
  </si>
  <si>
    <t>20240837-05.07.2024</t>
  </si>
  <si>
    <t>20240843-08.07.2024</t>
  </si>
  <si>
    <t>20240757-26.06.2024</t>
  </si>
  <si>
    <t>20240758-26.06.2024</t>
  </si>
  <si>
    <t>242217/242605</t>
  </si>
  <si>
    <t>20240786-28.06.2024</t>
  </si>
  <si>
    <t>20240798-1.07.2024</t>
  </si>
  <si>
    <t>20240804-02.07.2024</t>
  </si>
  <si>
    <t>20240805-02.07.2024</t>
  </si>
  <si>
    <t>20240807-02.07.2024</t>
  </si>
  <si>
    <t>20240817-03.07.2024</t>
  </si>
  <si>
    <t>20240731-20.06.2024</t>
  </si>
  <si>
    <t>242503/242603</t>
  </si>
  <si>
    <t>20240814-03.07.2024</t>
  </si>
  <si>
    <t>20240819-04.07.2024</t>
  </si>
  <si>
    <t>20240891-15.07.2024</t>
  </si>
  <si>
    <t>20240893-16.07.2024</t>
  </si>
  <si>
    <t>20241021-07.08.2024</t>
  </si>
  <si>
    <t>B8C000055</t>
  </si>
  <si>
    <t>test</t>
  </si>
  <si>
    <t>6773-0811</t>
  </si>
  <si>
    <t>poligrat:260025</t>
  </si>
  <si>
    <t>20250839-30.06.2025</t>
  </si>
  <si>
    <t>F-688040.02-0321.WH.WE</t>
  </si>
  <si>
    <t>aviz poligrat:260025</t>
  </si>
  <si>
    <t>20240497-30.04.2024</t>
  </si>
  <si>
    <t>20240903-18.07.2024</t>
  </si>
  <si>
    <t>ETA 28oct</t>
  </si>
  <si>
    <t>CDA ANULATA</t>
  </si>
  <si>
    <t>20240815-03.07.2024</t>
  </si>
  <si>
    <t>20240823-04.07.2024</t>
  </si>
  <si>
    <t>20240826-04.07.2024</t>
  </si>
  <si>
    <t>20240820-04.07.2024</t>
  </si>
  <si>
    <t>20240842-05.07.2024</t>
  </si>
  <si>
    <t>20240870-10.07.2024</t>
  </si>
  <si>
    <t>20240887-15.07.2024</t>
  </si>
  <si>
    <t>20240889-15.07.2024</t>
  </si>
  <si>
    <t>20240909-19.07.2024</t>
  </si>
  <si>
    <t>20240822-04.07.2024</t>
  </si>
  <si>
    <t>20240892-16.07.2024</t>
  </si>
  <si>
    <t>20240978-05.08.2024</t>
  </si>
  <si>
    <t>110 PCS CU DEROGARE</t>
  </si>
  <si>
    <t>20240808-02.07.2024</t>
  </si>
  <si>
    <t>20240813-03.07.2024</t>
  </si>
  <si>
    <t>20240818-04.07.2024</t>
  </si>
  <si>
    <t>20240825-04.07.2024</t>
  </si>
  <si>
    <t>kw36</t>
  </si>
  <si>
    <t>20240854-05.07.2024</t>
  </si>
  <si>
    <t>20240853-05.07.2024</t>
  </si>
  <si>
    <t>20240838-05.07.2024</t>
  </si>
  <si>
    <t>20240845-08.07.2024</t>
  </si>
  <si>
    <t>242712/242713</t>
  </si>
  <si>
    <t>20240847-08.07.2024</t>
  </si>
  <si>
    <t>20240865-09.07.2024</t>
  </si>
  <si>
    <t>20240866-10.07.2024</t>
  </si>
  <si>
    <t>20240886-15.07.2024</t>
  </si>
  <si>
    <t>20240896-16.07.2024</t>
  </si>
  <si>
    <t>20240901-18.07.2024</t>
  </si>
  <si>
    <t>20240908-19.07.2024</t>
  </si>
  <si>
    <t>20240920-22.07.2024</t>
  </si>
  <si>
    <t>20240922-22.07.2024</t>
  </si>
  <si>
    <t>20240928-23.07.2024</t>
  </si>
  <si>
    <t>20240925-23.07.2024</t>
  </si>
  <si>
    <t>20240943-24.07.2024</t>
  </si>
  <si>
    <t>20240953-25.07.2024</t>
  </si>
  <si>
    <t>20240960-26.07.2024</t>
  </si>
  <si>
    <t>20240860-10.07.2024</t>
  </si>
  <si>
    <t>initial 348 - intoarse  de catre client pt finalizare 245</t>
  </si>
  <si>
    <r>
      <t>20240924-22.07.2024/</t>
    </r>
    <r>
      <rPr>
        <sz val="12"/>
        <color rgb="FFFF0000"/>
        <rFont val="Calibri"/>
        <family val="2"/>
        <scheme val="minor"/>
      </rPr>
      <t>20241048-14.08.2024</t>
    </r>
  </si>
  <si>
    <t>20240962-29.07.2024</t>
  </si>
  <si>
    <t>22 cu derogare</t>
  </si>
  <si>
    <t>20240833-05.07.2024</t>
  </si>
  <si>
    <t>20240816-03.07.2024</t>
  </si>
  <si>
    <t>20240821-04.07.2024</t>
  </si>
  <si>
    <t>20240839-05.07.2024</t>
  </si>
  <si>
    <t>20240846-08.07.2024</t>
  </si>
  <si>
    <t>20240844-08.07.2024</t>
  </si>
  <si>
    <t>241903/242710</t>
  </si>
  <si>
    <t>20240859-09.07.2024</t>
  </si>
  <si>
    <t>20240867-10.07.2024</t>
  </si>
  <si>
    <t>20240868-10.07.2024</t>
  </si>
  <si>
    <t>20240873-12.07.2024</t>
  </si>
  <si>
    <t>20240871-12.07.2024</t>
  </si>
  <si>
    <t>20240894-16.07.2024</t>
  </si>
  <si>
    <t>20240946-24.07.2024</t>
  </si>
  <si>
    <t>20240955-25.07.2024</t>
  </si>
  <si>
    <t>20240950-25.07.2024</t>
  </si>
  <si>
    <t>20240964-26.07.2024</t>
  </si>
  <si>
    <t>20241009-06.08.2024</t>
  </si>
  <si>
    <t>20240973-30.07.2024</t>
  </si>
  <si>
    <t>20240976-02.08.2024</t>
  </si>
  <si>
    <t>20240982-05.08.2024</t>
  </si>
  <si>
    <t>20240986-05.08.2024</t>
  </si>
  <si>
    <t>20241028-08.08.2024</t>
  </si>
  <si>
    <t>20240840-05.07.2024</t>
  </si>
  <si>
    <t>20240862-09.07.2024</t>
  </si>
  <si>
    <t>20240861-10.07.2024</t>
  </si>
  <si>
    <t>F-625593.03-0005.PKO-WW1</t>
  </si>
  <si>
    <t>301277508-8011</t>
  </si>
  <si>
    <t>242</t>
  </si>
  <si>
    <t>20240869-10.07.2024</t>
  </si>
  <si>
    <t>242009</t>
  </si>
  <si>
    <t>pcs de validare</t>
  </si>
  <si>
    <t>20240890-15.07.2024</t>
  </si>
  <si>
    <t>20240888-15.07.2024</t>
  </si>
  <si>
    <t>20240896--16.07.2024</t>
  </si>
  <si>
    <t>20240898-17.07.2024</t>
  </si>
  <si>
    <t>20240897-17.07.2024</t>
  </si>
  <si>
    <t>20240907-19.07.2024</t>
  </si>
  <si>
    <t>20240919-22.07.2024</t>
  </si>
  <si>
    <t>20240966-26.07.2024</t>
  </si>
  <si>
    <t>241804</t>
  </si>
  <si>
    <t>20240929-23.07.2024</t>
  </si>
  <si>
    <t>20241041-09.08.2024</t>
  </si>
  <si>
    <t>20241050-13.08.2024</t>
  </si>
  <si>
    <t>20241066-16.08.2024</t>
  </si>
  <si>
    <t>20240841-05.07.2024</t>
  </si>
  <si>
    <t>20240863-09.07.2024</t>
  </si>
  <si>
    <t>20240874-12.07.2024</t>
  </si>
  <si>
    <t>20240895-16.07.2024</t>
  </si>
  <si>
    <t>20240902-18.07.2024</t>
  </si>
  <si>
    <t>20240910-19.07.2024</t>
  </si>
  <si>
    <t>20241011-06.08.2024</t>
  </si>
  <si>
    <t>20240972-30.07.2024</t>
  </si>
  <si>
    <t>20240864-10.07.2024</t>
  </si>
  <si>
    <t>20240983-05.08.2024</t>
  </si>
  <si>
    <t>20240987-05.08.2024</t>
  </si>
  <si>
    <t>20240981-05.08.2024</t>
  </si>
  <si>
    <t>242902</t>
  </si>
  <si>
    <t>20240948-25.07.2024</t>
  </si>
  <si>
    <t>20240882-12.07.2024</t>
  </si>
  <si>
    <t>20240911-19.07.2024</t>
  </si>
  <si>
    <t>20240921-22.07.2024</t>
  </si>
  <si>
    <t>20240984-05.08.2024</t>
  </si>
  <si>
    <t>242008 + 242207</t>
  </si>
  <si>
    <t>20240835-05.07.2024</t>
  </si>
  <si>
    <t>20240989-05.08.2024/20241104/20241105-29.08.2024</t>
  </si>
  <si>
    <t>242706</t>
  </si>
  <si>
    <t>20241109-27.08.2024</t>
  </si>
  <si>
    <t>20241107-29.08.2024</t>
  </si>
  <si>
    <t>20241217-20.09.2024</t>
  </si>
  <si>
    <t>20240742-21.06.2024</t>
  </si>
  <si>
    <t>20240926-23.07.2024</t>
  </si>
  <si>
    <t>20240961-26.07.2024</t>
  </si>
  <si>
    <t>20241013-06.08.2024</t>
  </si>
  <si>
    <t>20241131-31.08.2024</t>
  </si>
  <si>
    <t>20240949-25.07.2024</t>
  </si>
  <si>
    <t>20240968-26.07.2024</t>
  </si>
  <si>
    <t>E</t>
  </si>
  <si>
    <t>20241292-11.10.2024</t>
  </si>
  <si>
    <t>20240927-23.07.2024</t>
  </si>
  <si>
    <t>20240942-24.07.2024</t>
  </si>
  <si>
    <t>20240952-25.07.2024</t>
  </si>
  <si>
    <t>20240967-26.07.2024</t>
  </si>
  <si>
    <t>20241008-06.08.2024</t>
  </si>
  <si>
    <t>20240974-02.08.2024</t>
  </si>
  <si>
    <t>20240985-05.08.2024</t>
  </si>
  <si>
    <t>20240988-05.08.2024</t>
  </si>
  <si>
    <t>20241012-06.08.2024</t>
  </si>
  <si>
    <t>20241017-06.08.2024</t>
  </si>
  <si>
    <t>20241023-07.08.2024</t>
  </si>
  <si>
    <t>20241025-08.08.2024</t>
  </si>
  <si>
    <t>20240944-25.07.2024</t>
  </si>
  <si>
    <t>20240951-25.07.2024</t>
  </si>
  <si>
    <t>20240965-26.07.2024</t>
  </si>
  <si>
    <t>20241014-06.08.2024</t>
  </si>
  <si>
    <t>20241018-06.08.2024</t>
  </si>
  <si>
    <t>20240872-12.07.2024</t>
  </si>
  <si>
    <t>20240905-19.07.2024</t>
  </si>
  <si>
    <t>20240963-26.07.2024</t>
  </si>
  <si>
    <t>09.08.2024</t>
  </si>
  <si>
    <t>20241007-06.08.2024</t>
  </si>
  <si>
    <t>20240979-05.08.2024</t>
  </si>
  <si>
    <t>20241020-07.08.2024</t>
  </si>
  <si>
    <t>20241051-13.08.2024</t>
  </si>
  <si>
    <t>20241076-19.08.2024</t>
  </si>
  <si>
    <t>20240993-05.08.2024</t>
  </si>
  <si>
    <t>20240980-05.08.2024</t>
  </si>
  <si>
    <t>HOUSING            DBD.15G1X/./12</t>
  </si>
  <si>
    <t>20240996-05.08.2024</t>
  </si>
  <si>
    <t>20240990-05.08.2024</t>
  </si>
  <si>
    <t>20240977-02.08.2024</t>
  </si>
  <si>
    <t>20240975-02.08.2024</t>
  </si>
  <si>
    <t>20241019-06.08.2024</t>
  </si>
  <si>
    <t>20241015-06.08.2024</t>
  </si>
  <si>
    <t>20241016-06.08.2024</t>
  </si>
  <si>
    <t>20241022-07.08.2024</t>
  </si>
  <si>
    <t>20241027-08.08.2024</t>
  </si>
  <si>
    <t>20241026-08.08.2024</t>
  </si>
  <si>
    <t>20241029-08.08.2024</t>
  </si>
  <si>
    <t>20241039-09.08.2024</t>
  </si>
  <si>
    <t>20241038-09.08.2024</t>
  </si>
  <si>
    <t>20241040-09.08.2024</t>
  </si>
  <si>
    <t>20241080-19.08.2024</t>
  </si>
  <si>
    <t>20241078-19.08.2024</t>
  </si>
  <si>
    <t>20241070-19.08.2024</t>
  </si>
  <si>
    <t>20241127-31.08.2024</t>
  </si>
  <si>
    <t>20241030-08.08.2024</t>
  </si>
  <si>
    <t>THROTTLE SCREW 2FRM 10 -3X/</t>
  </si>
  <si>
    <t>se pot planifica</t>
  </si>
  <si>
    <t>20241411-08.11.2024</t>
  </si>
  <si>
    <t>HOUSING            DBD.30P1X/V</t>
  </si>
  <si>
    <t>20240991-05.08.2024</t>
  </si>
  <si>
    <t>20241036-09.08.2024</t>
  </si>
  <si>
    <t>20241047-13.08.2024</t>
  </si>
  <si>
    <t>20241081-16.08.2024</t>
  </si>
  <si>
    <t>R901580817</t>
  </si>
  <si>
    <t>PLATE ZDR 6 DP0-45/.W80 AS</t>
  </si>
  <si>
    <t>20241044-09.08.2024</t>
  </si>
  <si>
    <t>25 carcase NOK (pistoane OK)</t>
  </si>
  <si>
    <t>20241117-30.08.2024</t>
  </si>
  <si>
    <t>am returnat 14 pistoane</t>
  </si>
  <si>
    <t>20241118-30.08.2024</t>
  </si>
  <si>
    <t>BVOLS2570</t>
  </si>
  <si>
    <t>20250074-27.01.2025</t>
  </si>
  <si>
    <t>20241024-08.08.2024</t>
  </si>
  <si>
    <t>20241075-19.08.2024</t>
  </si>
  <si>
    <t>20240959-26.07.2024</t>
  </si>
  <si>
    <t>20240994-05.08.2024</t>
  </si>
  <si>
    <t>20240992-05.08.2024</t>
  </si>
  <si>
    <t>20241035-09.08.2024</t>
  </si>
  <si>
    <t>20241037-09.08.2024</t>
  </si>
  <si>
    <t>20241079-19.08.2024</t>
  </si>
  <si>
    <t>20241069-19.08.2024</t>
  </si>
  <si>
    <t>20241071-19.08.2024</t>
  </si>
  <si>
    <t>20241085-20.08.2024</t>
  </si>
  <si>
    <t>20241128-31.08.2024</t>
  </si>
  <si>
    <t>BUSHING            M26X1,0X48,0 SW32 Z2&amp;</t>
  </si>
  <si>
    <t>B</t>
  </si>
  <si>
    <r>
      <t>20241207-18.09.2024/</t>
    </r>
    <r>
      <rPr>
        <sz val="12"/>
        <color rgb="FFFF0000"/>
        <rFont val="Calibri"/>
        <family val="2"/>
        <scheme val="minor"/>
      </rPr>
      <t>20241255-02.10.2024</t>
    </r>
  </si>
  <si>
    <t>retur</t>
  </si>
  <si>
    <t>RETUR 96 BUC</t>
  </si>
  <si>
    <r>
      <t>20241270-08.10.2024/</t>
    </r>
    <r>
      <rPr>
        <sz val="12"/>
        <color rgb="FFFF0000"/>
        <rFont val="Calibri"/>
        <family val="2"/>
        <scheme val="minor"/>
      </rPr>
      <t>20241369-31.10.2024</t>
    </r>
    <r>
      <rPr>
        <sz val="12"/>
        <color theme="1"/>
        <rFont val="Calibri"/>
        <family val="2"/>
        <scheme val="minor"/>
      </rPr>
      <t>/20241388-06.11.2024</t>
    </r>
  </si>
  <si>
    <t>20241370-28.10.2024</t>
  </si>
  <si>
    <t>ETA TBC</t>
  </si>
  <si>
    <t>rework &amp; assembly</t>
  </si>
  <si>
    <t>ETA Asap</t>
  </si>
  <si>
    <t>20241398-06.11.2024</t>
  </si>
  <si>
    <t>20241402-08.11.2024</t>
  </si>
  <si>
    <t>20241545-11.12.2024</t>
  </si>
  <si>
    <t>20250133-10.02.2025</t>
  </si>
  <si>
    <t>20241089-21.08.2024</t>
  </si>
  <si>
    <t>F-688038.02-0121.SHB.WE36</t>
  </si>
  <si>
    <t>pt PPAP</t>
  </si>
  <si>
    <t>20241067-16.08.2024</t>
  </si>
  <si>
    <t>20241068-16.08.2024</t>
  </si>
  <si>
    <t>20241096-26.08.2024</t>
  </si>
  <si>
    <t>returnate</t>
  </si>
  <si>
    <r>
      <t>20241096-26.08.2024/</t>
    </r>
    <r>
      <rPr>
        <sz val="12"/>
        <color rgb="FFFF0000"/>
        <rFont val="Calibri"/>
        <family val="2"/>
        <scheme val="minor"/>
      </rPr>
      <t>20241220-26.09.2024</t>
    </r>
  </si>
  <si>
    <t>20241119-31.08.2024</t>
  </si>
  <si>
    <r>
      <t>20241119-31.08.2024/</t>
    </r>
    <r>
      <rPr>
        <sz val="12"/>
        <color rgb="FFFF0000"/>
        <rFont val="Calibri"/>
        <family val="2"/>
        <scheme val="minor"/>
      </rPr>
      <t>20241221-26.09.2024</t>
    </r>
  </si>
  <si>
    <t>20241150-07.09.2024</t>
  </si>
  <si>
    <r>
      <t>20241150-07.09.2024/</t>
    </r>
    <r>
      <rPr>
        <sz val="12"/>
        <color rgb="FFFF0000"/>
        <rFont val="Calibri"/>
        <family val="2"/>
        <scheme val="minor"/>
      </rPr>
      <t>20241222-26.09.2024</t>
    </r>
  </si>
  <si>
    <t>20241179-13.09.2024</t>
  </si>
  <si>
    <t>096215194-0000</t>
  </si>
  <si>
    <t>20241173-13.09.2024</t>
  </si>
  <si>
    <t>20241169-14.09.2024</t>
  </si>
  <si>
    <t>20241213-21.09.2024</t>
  </si>
  <si>
    <r>
      <t>20241213-21.09.2024/</t>
    </r>
    <r>
      <rPr>
        <sz val="12"/>
        <color rgb="FFFF0000"/>
        <rFont val="Calibri"/>
        <family val="2"/>
        <scheme val="minor"/>
      </rPr>
      <t>20241420-14.11.2024</t>
    </r>
  </si>
  <si>
    <t>5 pcs NOK for TEST</t>
  </si>
  <si>
    <t>20241233-28.09.2024</t>
  </si>
  <si>
    <t>20241264-05.10.2024</t>
  </si>
  <si>
    <t>5 PPAP</t>
  </si>
  <si>
    <t>20241299-12.10.2024</t>
  </si>
  <si>
    <t>20241300-12.10.2024</t>
  </si>
  <si>
    <t>20241327-19.10.2024</t>
  </si>
  <si>
    <t>nok 20 venite retur 07.04.2025</t>
  </si>
  <si>
    <r>
      <t>20241327-19.10.2024/</t>
    </r>
    <r>
      <rPr>
        <sz val="11"/>
        <color rgb="FFFF0000"/>
        <rFont val="Calibri"/>
        <family val="2"/>
        <scheme val="minor"/>
      </rPr>
      <t>20250460-08.04.2025</t>
    </r>
  </si>
  <si>
    <t>20241326-19.10.2024</t>
  </si>
  <si>
    <t>20241355-28.10.2024</t>
  </si>
  <si>
    <t>20241353-28.10.2024</t>
  </si>
  <si>
    <t>20241357-28.10.2024</t>
  </si>
  <si>
    <r>
      <rPr>
        <sz val="12"/>
        <color rgb="FF000000"/>
        <rFont val="Calibri"/>
        <family val="2"/>
        <scheme val="minor"/>
      </rPr>
      <t xml:space="preserve">initial 1320, </t>
    </r>
    <r>
      <rPr>
        <sz val="12"/>
        <color rgb="FFFF0000"/>
        <rFont val="Calibri"/>
        <family val="2"/>
        <scheme val="minor"/>
      </rPr>
      <t xml:space="preserve">stornate 264 </t>
    </r>
  </si>
  <si>
    <r>
      <rPr>
        <sz val="12"/>
        <color rgb="FF000000"/>
        <rFont val="Calibri"/>
        <family val="2"/>
        <scheme val="minor"/>
      </rPr>
      <t xml:space="preserve">20241352-28.10.2024 / </t>
    </r>
    <r>
      <rPr>
        <sz val="12"/>
        <color rgb="FFFF0000"/>
        <rFont val="Calibri"/>
        <family val="2"/>
        <scheme val="minor"/>
      </rPr>
      <t>20241564-17/12/2024</t>
    </r>
  </si>
  <si>
    <t>20241393-05.11.2024</t>
  </si>
  <si>
    <t xml:space="preserve">20241396-05.11.2024 </t>
  </si>
  <si>
    <t>20241394-05.11.2024</t>
  </si>
  <si>
    <t>20241397-05.11.2024</t>
  </si>
  <si>
    <t>20241425-12.11.2024</t>
  </si>
  <si>
    <t>20241423-12.11.2024</t>
  </si>
  <si>
    <t>20241451-21.11.2024</t>
  </si>
  <si>
    <t xml:space="preserve">20241450-21.11.2024 </t>
  </si>
  <si>
    <t>20241450-21.11.2024</t>
  </si>
  <si>
    <t>20241486-26.11.2024</t>
  </si>
  <si>
    <t>20241485-26.11.2024</t>
  </si>
  <si>
    <t>20241505-03.12.2024</t>
  </si>
  <si>
    <t>20241507-03.12.2024</t>
  </si>
  <si>
    <t>20241532-06.12.2024</t>
  </si>
  <si>
    <t>20241531-06.12.2024</t>
  </si>
  <si>
    <t>20241577-14.12.2024</t>
  </si>
  <si>
    <t>20241578-14.12.2024</t>
  </si>
  <si>
    <t>20241583-14.12.2024</t>
  </si>
  <si>
    <t>20241582-14.12.2024</t>
  </si>
  <si>
    <t>27 returnate 07.04.2025</t>
  </si>
  <si>
    <r>
      <t>20241579-14.12.2024/</t>
    </r>
    <r>
      <rPr>
        <sz val="11"/>
        <color rgb="FFFF0000"/>
        <rFont val="Calibri"/>
        <family val="2"/>
        <scheme val="minor"/>
      </rPr>
      <t>20250461-08.04.2025</t>
    </r>
  </si>
  <si>
    <t>480 returnate 07.04.2025</t>
  </si>
  <si>
    <t>pe aviz 540, livrat 527 pcs =&gt; stornare diferenta</t>
  </si>
  <si>
    <r>
      <t>20241607-20.12.2024/</t>
    </r>
    <r>
      <rPr>
        <sz val="12"/>
        <color rgb="FFFF0000"/>
        <rFont val="Calibri"/>
        <family val="2"/>
        <scheme val="minor"/>
      </rPr>
      <t>20250021-13.01.2025</t>
    </r>
  </si>
  <si>
    <t>20241605-20.12.2024</t>
  </si>
  <si>
    <t>initial 280 pcs, livrate 140 pcs =&gt; stornare diferenta</t>
  </si>
  <si>
    <r>
      <t>20241603-20.12.2024/</t>
    </r>
    <r>
      <rPr>
        <sz val="12"/>
        <color rgb="FFFF0000"/>
        <rFont val="Calibri"/>
        <family val="2"/>
        <scheme val="minor"/>
      </rPr>
      <t>20250020-13.01.2025</t>
    </r>
  </si>
  <si>
    <t>20241608-20.12.2024</t>
  </si>
  <si>
    <t>20250008-10.01.2025</t>
  </si>
  <si>
    <t>BVOLS2558</t>
  </si>
  <si>
    <t>20250052-18.01.2025</t>
  </si>
  <si>
    <t>BVOLS2556</t>
  </si>
  <si>
    <t>20250050-18.01.2025</t>
  </si>
  <si>
    <t>BVOLS2557</t>
  </si>
  <si>
    <t>20250051-18.01.2025</t>
  </si>
  <si>
    <t>20250077-27.01.2025</t>
  </si>
  <si>
    <t>424 nok retur in 07.04.2025</t>
  </si>
  <si>
    <r>
      <t>20250077-27.01.2025/</t>
    </r>
    <r>
      <rPr>
        <sz val="11"/>
        <color rgb="FFFF0000"/>
        <rFont val="Calibri"/>
        <family val="2"/>
        <scheme val="minor"/>
      </rPr>
      <t>20250462-08.04.2025</t>
    </r>
  </si>
  <si>
    <t>BVOLS.25142</t>
  </si>
  <si>
    <t>20250111-31.01.2025</t>
  </si>
  <si>
    <t>BVOLS.25143</t>
  </si>
  <si>
    <t>20250110-31.01.2025</t>
  </si>
  <si>
    <t>BVOLS.25223</t>
  </si>
  <si>
    <t>aviz de mana: 20242060</t>
  </si>
  <si>
    <t>20250174-15.02.2025</t>
  </si>
  <si>
    <t>BVOLS.25293</t>
  </si>
  <si>
    <t>20250247-28.02.2025</t>
  </si>
  <si>
    <t>BVOLS.25294</t>
  </si>
  <si>
    <t>20250248-28.02.2025</t>
  </si>
  <si>
    <t>BVOLS.25291</t>
  </si>
  <si>
    <t>20250245-28.02.2025</t>
  </si>
  <si>
    <t>20250274-05.03.2025</t>
  </si>
  <si>
    <t>20250273-05.03.2025</t>
  </si>
  <si>
    <t>20250275-05.03.2025</t>
  </si>
  <si>
    <t>yes - 4400</t>
  </si>
  <si>
    <t>20250277-05.03.2025</t>
  </si>
  <si>
    <t>BVOLS.25347</t>
  </si>
  <si>
    <t>aviz de mana: 20242072</t>
  </si>
  <si>
    <t>20250295-08.03.2025</t>
  </si>
  <si>
    <t>BVOLS.25349</t>
  </si>
  <si>
    <t>20250294-08.03.2025</t>
  </si>
  <si>
    <t>20250309-12.03.2025</t>
  </si>
  <si>
    <t>20250310-12.03.2025</t>
  </si>
  <si>
    <t>BVOLS.25386</t>
  </si>
  <si>
    <t>aviz de mana: 20242080</t>
  </si>
  <si>
    <t>20250328-15.03.2025</t>
  </si>
  <si>
    <t>BVOLS.25384</t>
  </si>
  <si>
    <t>aviz de mana: 20242081</t>
  </si>
  <si>
    <t>20250327-15.03.2025</t>
  </si>
  <si>
    <t>BVOLS.25385</t>
  </si>
  <si>
    <t>20250326-15.03.2025</t>
  </si>
  <si>
    <t>aviz de mana: 20242081/192 nok returnate 07.04.2025</t>
  </si>
  <si>
    <r>
      <t>20250329-15.03.2025/</t>
    </r>
    <r>
      <rPr>
        <sz val="11"/>
        <color rgb="FFFF0000"/>
        <rFont val="Calibri"/>
        <family val="2"/>
        <scheme val="minor"/>
      </rPr>
      <t>20250463-08.04.2025</t>
    </r>
  </si>
  <si>
    <t>20250351-19.03.2025</t>
  </si>
  <si>
    <t>20250350-19.03.2025</t>
  </si>
  <si>
    <t>20250352-19.03.2025</t>
  </si>
  <si>
    <t>20250354-19.03.2025</t>
  </si>
  <si>
    <t>20250353-19.03.2025</t>
  </si>
  <si>
    <t>20250363-20.03.2025</t>
  </si>
  <si>
    <t>20250365-20.03.2025</t>
  </si>
  <si>
    <t>20250364-20.03.2025</t>
  </si>
  <si>
    <t>20250390-25.03.2025</t>
  </si>
  <si>
    <t>20250389-25.03.2025</t>
  </si>
  <si>
    <t>20250391-25.03.2025</t>
  </si>
  <si>
    <t>BVOLS.25520</t>
  </si>
  <si>
    <t>20250447-04.04.2025</t>
  </si>
  <si>
    <t>BVOLS.25519</t>
  </si>
  <si>
    <t>20250446-04.04.2025</t>
  </si>
  <si>
    <t>20250483-09.04.2025</t>
  </si>
  <si>
    <t>20250484-09.04.2025</t>
  </si>
  <si>
    <t>20250481-09.04.2025</t>
  </si>
  <si>
    <t>20250482-09.04.2025</t>
  </si>
  <si>
    <t>20250480-09.04.2025</t>
  </si>
  <si>
    <t>20250501-11.04.2025</t>
  </si>
  <si>
    <t>20250507-11.04.2025</t>
  </si>
  <si>
    <t>20250502-11.04.2025</t>
  </si>
  <si>
    <t>20250534-22.04.2025</t>
  </si>
  <si>
    <t>20250533-22.04.2025</t>
  </si>
  <si>
    <t>20250564-29.04.2025</t>
  </si>
  <si>
    <t>20250578-01.05.2025</t>
  </si>
  <si>
    <t>20250605-09.05.2025</t>
  </si>
  <si>
    <t>20250606-09.05.2025</t>
  </si>
  <si>
    <t>20250636-19.05.2025</t>
  </si>
  <si>
    <t>20250635-19.05.2025</t>
  </si>
  <si>
    <t>20250079-27.01.2025</t>
  </si>
  <si>
    <t>20241073-19.08.2024</t>
  </si>
  <si>
    <t>20241084-20.08.2024</t>
  </si>
  <si>
    <t>20241072-19.08.2024</t>
  </si>
  <si>
    <t>7 au fost cu derogare</t>
  </si>
  <si>
    <t>20241087-21.08.2024</t>
  </si>
  <si>
    <t>20241129-31.08.2024</t>
  </si>
  <si>
    <t>20241142-03.09.2024</t>
  </si>
  <si>
    <t>20241143-03.09.2024</t>
  </si>
  <si>
    <t>07.08.2024</t>
  </si>
  <si>
    <t>20241052-13.08.2024</t>
  </si>
  <si>
    <t>cu derogare</t>
  </si>
  <si>
    <t>20241097-23.08.2024</t>
  </si>
  <si>
    <t>20241082-16.08.2024</t>
  </si>
  <si>
    <t>20241077-19.08.2024</t>
  </si>
  <si>
    <t>20241083-19.08.2024</t>
  </si>
  <si>
    <t>20241086-21.08.2024</t>
  </si>
  <si>
    <t>20241180-13.09.2024</t>
  </si>
  <si>
    <t>20241181-16.09.2024</t>
  </si>
  <si>
    <t>20241206-18.09.2024</t>
  </si>
  <si>
    <t>20241214-20.09.2024</t>
  </si>
  <si>
    <t>20241074-19.08.2024</t>
  </si>
  <si>
    <t>20241130-31.08.2024</t>
  </si>
  <si>
    <t>RA119079</t>
  </si>
  <si>
    <t>10916528043501</t>
  </si>
  <si>
    <t>28043501 Plan2A</t>
  </si>
  <si>
    <t>20241133-31.08.2024</t>
  </si>
  <si>
    <t>20241145-05.09.2024</t>
  </si>
  <si>
    <t>F-688038-0711.SHB.WE36</t>
  </si>
  <si>
    <r>
      <t>20241212-21.09.2024/</t>
    </r>
    <r>
      <rPr>
        <sz val="12"/>
        <color rgb="FFFF0000"/>
        <rFont val="Calibri"/>
        <family val="2"/>
        <scheme val="minor"/>
      </rPr>
      <t>20250014-13.01.2025</t>
    </r>
    <r>
      <rPr>
        <sz val="12"/>
        <color theme="1"/>
        <rFont val="Calibri"/>
        <family val="2"/>
        <scheme val="minor"/>
      </rPr>
      <t>/20250015-13.01.2025</t>
    </r>
  </si>
  <si>
    <t>-</t>
  </si>
  <si>
    <t>20241234-28.09.2024</t>
  </si>
  <si>
    <t>20241265-04.10.2024</t>
  </si>
  <si>
    <t>F-688038.02-0731.SHB.WE36</t>
  </si>
  <si>
    <t>20241263-05.10.2024</t>
  </si>
  <si>
    <t>10916532340009</t>
  </si>
  <si>
    <t>20241289-09.10.2024</t>
  </si>
  <si>
    <t>20241301-12.10.2024</t>
  </si>
  <si>
    <t>VALVE BODY</t>
  </si>
  <si>
    <t>stornate 116</t>
  </si>
  <si>
    <r>
      <t>20241307-16.10.2024/</t>
    </r>
    <r>
      <rPr>
        <sz val="12"/>
        <color rgb="FFFF0000"/>
        <rFont val="Calibri"/>
        <family val="2"/>
        <scheme val="minor"/>
      </rPr>
      <t>20241525-09.12.2024</t>
    </r>
  </si>
  <si>
    <t>20241328-19.10.2024</t>
  </si>
  <si>
    <t>20241354-28.10.2024</t>
  </si>
  <si>
    <t>20241351-28.10.2024</t>
  </si>
  <si>
    <t>aviz poligrat: 202401312</t>
  </si>
  <si>
    <t>20241516 -9/12/2024</t>
  </si>
  <si>
    <t>20241395-05.11.2024</t>
  </si>
  <si>
    <t>aviz poligrat: 202401362</t>
  </si>
  <si>
    <t>20241517 - 9/12/2024</t>
  </si>
  <si>
    <t>ppap - aviz poligrat: 202401363</t>
  </si>
  <si>
    <t>20241518 - 9/12/2024</t>
  </si>
  <si>
    <t>20241424-12.11.2024</t>
  </si>
  <si>
    <t xml:space="preserve">20241424-12.11.2024 </t>
  </si>
  <si>
    <t>aviz poligrat: 202401414</t>
  </si>
  <si>
    <t>20241520 - 9/12/2024</t>
  </si>
  <si>
    <t>aviz poligrat: 202401413</t>
  </si>
  <si>
    <t>202415179 -9/12/2024</t>
  </si>
  <si>
    <t xml:space="preserve">20241452-21.11.2024 </t>
  </si>
  <si>
    <t>20241452-21.11.2024</t>
  </si>
  <si>
    <t>aviz poligrat: 202401444</t>
  </si>
  <si>
    <t>20241521 -9/12/2024</t>
  </si>
  <si>
    <t>aviz poligrat: 202401443</t>
  </si>
  <si>
    <t>20241522 -9/12/2024</t>
  </si>
  <si>
    <t>20241522 - 9/12/2024</t>
  </si>
  <si>
    <t>20241487-26.11.2024</t>
  </si>
  <si>
    <t>F-688038.02-0811.GEH.WE36</t>
  </si>
  <si>
    <t>20241489-29.11.2024</t>
  </si>
  <si>
    <t>aviz poligrat: 202401460</t>
  </si>
  <si>
    <t>20241524 - 9/12/2024</t>
  </si>
  <si>
    <t>ETA 30oct</t>
  </si>
  <si>
    <t>5 de ppap</t>
  </si>
  <si>
    <t>20241506-03.12.2024</t>
  </si>
  <si>
    <t>20241523 - 9/12/2024</t>
  </si>
  <si>
    <t>aviz poligrat: 202401489</t>
  </si>
  <si>
    <t>20241533-11.12.2024</t>
  </si>
  <si>
    <t>pcs for PPAP, aviz poligart: 202401489</t>
  </si>
  <si>
    <t>20241530-06.12.2024</t>
  </si>
  <si>
    <t>aviz omis</t>
  </si>
  <si>
    <t>20250319-14.03.2025</t>
  </si>
  <si>
    <t>aviz poligat: 202401541</t>
  </si>
  <si>
    <t>20241584-14.12.2024</t>
  </si>
  <si>
    <t>aviz poligrat: 202401540</t>
  </si>
  <si>
    <t>20241585-14.12.2024</t>
  </si>
  <si>
    <t>PPAP, aviz poligrat: 202401543</t>
  </si>
  <si>
    <t>20241586-14.12.2024</t>
  </si>
  <si>
    <t>aviz poligrat: 202401545</t>
  </si>
  <si>
    <t>20241587-14.12.2024</t>
  </si>
  <si>
    <t>20241580-14.12.2024</t>
  </si>
  <si>
    <t>20241581-14.12.2024</t>
  </si>
  <si>
    <t>aviz poligrat: 202401578</t>
  </si>
  <si>
    <t>20241597-18.12.2024</t>
  </si>
  <si>
    <t>aviz poligrat: 202401576</t>
  </si>
  <si>
    <t>202401577-18.12.2024</t>
  </si>
  <si>
    <t>aviz poligrat: 202401571</t>
  </si>
  <si>
    <t>20241594-18.12.2024</t>
  </si>
  <si>
    <t>aviz poligrat: 202401573</t>
  </si>
  <si>
    <t>20241595-18.12.2024</t>
  </si>
  <si>
    <t>20241604-20.12.2024</t>
  </si>
  <si>
    <t>20241606-20.12.2024</t>
  </si>
  <si>
    <t>BVOLS2501</t>
  </si>
  <si>
    <t>aviz poligrat: 20242033</t>
  </si>
  <si>
    <t>20250003-09.01.2025</t>
  </si>
  <si>
    <t>BVOLS2457</t>
  </si>
  <si>
    <t>aviz poligrat: BVOLS2546</t>
  </si>
  <si>
    <t>20250054-18.01.2025</t>
  </si>
  <si>
    <t>BVOLS2549</t>
  </si>
  <si>
    <t>aviz poligrat: BVOLS2548</t>
  </si>
  <si>
    <t>20250055-18.01.2025</t>
  </si>
  <si>
    <t>BVOLS2553</t>
  </si>
  <si>
    <t>aviz poligrat: BVOLS2552</t>
  </si>
  <si>
    <t>20250057-18.01.2025</t>
  </si>
  <si>
    <t>BVOLS2551</t>
  </si>
  <si>
    <t>aviz poligrat: BVOLS2550</t>
  </si>
  <si>
    <t>20250056-18.01.2025</t>
  </si>
  <si>
    <t>BVOLS2554</t>
  </si>
  <si>
    <t>20250048-18.01.2025</t>
  </si>
  <si>
    <t>BVOLS2555</t>
  </si>
  <si>
    <t>20250049-18.01.2025</t>
  </si>
  <si>
    <t>aviz poligrat: 20242047</t>
  </si>
  <si>
    <t>20250080-27.01.2025</t>
  </si>
  <si>
    <t>20250078-27.01.2025</t>
  </si>
  <si>
    <t>BVOLS.25141</t>
  </si>
  <si>
    <t>aviz poligrat: 20242050</t>
  </si>
  <si>
    <t>20250114-31.01.2025</t>
  </si>
  <si>
    <t>BVOLS.25140</t>
  </si>
  <si>
    <t>20250113-31.01.2025</t>
  </si>
  <si>
    <t>BVOLS.25144</t>
  </si>
  <si>
    <t>20250112-31.01.2025</t>
  </si>
  <si>
    <t>aviz Poligrat 25161</t>
  </si>
  <si>
    <t>20250143-10.02.2025</t>
  </si>
  <si>
    <t>BVOLS25162</t>
  </si>
  <si>
    <t>aviz poligrat BVOLS25160</t>
  </si>
  <si>
    <t>20250142-10.02.2025</t>
  </si>
  <si>
    <t>BVOLS.25219</t>
  </si>
  <si>
    <t>aviz poligrat: 20242061</t>
  </si>
  <si>
    <t>20250176-15.02.2025</t>
  </si>
  <si>
    <t>BVOLS.25220</t>
  </si>
  <si>
    <t>20250175-15.02.2025</t>
  </si>
  <si>
    <t>BVOLS.25287</t>
  </si>
  <si>
    <t>aviz poligrat: 25288</t>
  </si>
  <si>
    <t>20250249-28.02.2025</t>
  </si>
  <si>
    <t>BVOLS.25290</t>
  </si>
  <si>
    <t>aviz poligrat: 25289</t>
  </si>
  <si>
    <t>20250250-28.02.2025</t>
  </si>
  <si>
    <t>BVOLS.25292</t>
  </si>
  <si>
    <t>5 au fost de PPAP</t>
  </si>
  <si>
    <t>20250246-28.02.2025</t>
  </si>
  <si>
    <t>BVOLS.25351</t>
  </si>
  <si>
    <t>pcs for PPAP</t>
  </si>
  <si>
    <t>20250298-08.03.2025</t>
  </si>
  <si>
    <t>BVOLS.25350</t>
  </si>
  <si>
    <t>aviz poligrat: 20242073</t>
  </si>
  <si>
    <t>20250297-08.03.2025</t>
  </si>
  <si>
    <t>aviz poligrat:20242073</t>
  </si>
  <si>
    <t>BVOLS.25348</t>
  </si>
  <si>
    <t>20250296-08.03.2025</t>
  </si>
  <si>
    <t>20250311-12.03.2025</t>
  </si>
  <si>
    <t>yes + 165 rectif.</t>
  </si>
  <si>
    <t>20250312-12.03.2025</t>
  </si>
  <si>
    <t>BVOLS.25388</t>
  </si>
  <si>
    <t>aviz poligrat: 20242079</t>
  </si>
  <si>
    <t>20250330-15.03.2025</t>
  </si>
  <si>
    <t>BVOLS.25387</t>
  </si>
  <si>
    <t>20250325-15.03.2025</t>
  </si>
  <si>
    <t>aviz Poligrat 25411</t>
  </si>
  <si>
    <t>20250355-19.03.2025</t>
  </si>
  <si>
    <t>aviz Poligrat 25439</t>
  </si>
  <si>
    <t>20250366-20.03.2025</t>
  </si>
  <si>
    <t>aviz Poligrat 25440</t>
  </si>
  <si>
    <t>20250367-20.03.2025</t>
  </si>
  <si>
    <t>20250388-25.03.2025</t>
  </si>
  <si>
    <t>20250387-25.03.2025</t>
  </si>
  <si>
    <t>BVOLS.25521</t>
  </si>
  <si>
    <t>aviz poligrat: 25518</t>
  </si>
  <si>
    <t>20250448-04.04.2025</t>
  </si>
  <si>
    <t>yes -96</t>
  </si>
  <si>
    <t>aviz Poligrat 25551</t>
  </si>
  <si>
    <t>20250479-09.04.2025</t>
  </si>
  <si>
    <t>aviz Poligrat 25593</t>
  </si>
  <si>
    <t>20250506-11.04.2025</t>
  </si>
  <si>
    <t>20250503-11.04.2025</t>
  </si>
  <si>
    <t>20250504-11.04.2025</t>
  </si>
  <si>
    <t>20250505-11.04.2025</t>
  </si>
  <si>
    <t>aviz Poligrat: 25646</t>
  </si>
  <si>
    <t>20250535-22.04.2025</t>
  </si>
  <si>
    <t>20250532-22.04.2025</t>
  </si>
  <si>
    <t>poligrat: 25712</t>
  </si>
  <si>
    <t>20250577-01.05.2025</t>
  </si>
  <si>
    <t>poligrat:25746</t>
  </si>
  <si>
    <t>20250604-09.05.2025</t>
  </si>
  <si>
    <t>aviz poligrat: 25774</t>
  </si>
  <si>
    <t>20250639-19.05.2025</t>
  </si>
  <si>
    <t>aviz poligrat: 25795</t>
  </si>
  <si>
    <t>20250640-21.05.2025</t>
  </si>
  <si>
    <t>aviz poligrat: 25802</t>
  </si>
  <si>
    <t>20250648-23.05.2025</t>
  </si>
  <si>
    <t>20250082-27.01.2025</t>
  </si>
  <si>
    <t>20250081-27.01.2025</t>
  </si>
  <si>
    <t>5060250239-7751237</t>
  </si>
  <si>
    <t>302681-1031-000</t>
  </si>
  <si>
    <t>Schieber</t>
  </si>
  <si>
    <t>PPAP - pentru verificare/ teste</t>
  </si>
  <si>
    <t>NU SE FACTUREAZA</t>
  </si>
  <si>
    <t>302681-0360-000</t>
  </si>
  <si>
    <t>Flansch</t>
  </si>
  <si>
    <t>05</t>
  </si>
  <si>
    <t>302721-0405-000</t>
  </si>
  <si>
    <t>Hebel Exzenter</t>
  </si>
  <si>
    <t>302581-0860-000</t>
  </si>
  <si>
    <t>Welle A4</t>
  </si>
  <si>
    <t>20241125-31.08.2024</t>
  </si>
  <si>
    <t>20241126-31.08.2024</t>
  </si>
  <si>
    <t>20241138-03.09.2024</t>
  </si>
  <si>
    <t>20241141-03.09.2024</t>
  </si>
  <si>
    <t>20241139-03.09.2024</t>
  </si>
  <si>
    <t>20241149-05.09.2024</t>
  </si>
  <si>
    <t>08.08.2024</t>
  </si>
  <si>
    <t>20241088-21.08.2024</t>
  </si>
  <si>
    <t>20241205-18.09.2024</t>
  </si>
  <si>
    <t>20241098-27.08.2024</t>
  </si>
  <si>
    <r>
      <t>20241167-12.09.2024/</t>
    </r>
    <r>
      <rPr>
        <sz val="12"/>
        <color rgb="FFFF0000"/>
        <rFont val="Calibri"/>
        <family val="2"/>
        <scheme val="minor"/>
      </rPr>
      <t>20241421-14.11.2024</t>
    </r>
  </si>
  <si>
    <t>20240540-14.05.2024</t>
  </si>
  <si>
    <t>240706/240805</t>
  </si>
  <si>
    <t>20240538-14.05.2024</t>
  </si>
  <si>
    <t>240705/240803</t>
  </si>
  <si>
    <t>20240539-14.05.2024</t>
  </si>
  <si>
    <t>240704/240714</t>
  </si>
  <si>
    <t>Validare</t>
  </si>
  <si>
    <t>20240639-30.05.2024</t>
  </si>
  <si>
    <t>240309</t>
  </si>
  <si>
    <t>20240733-20.06.2024</t>
  </si>
  <si>
    <t>20240802-28.06.2024</t>
  </si>
  <si>
    <t>20240852-05.07.2024</t>
  </si>
  <si>
    <t>20240937-23.07.2024</t>
  </si>
  <si>
    <t>01</t>
  </si>
  <si>
    <t>20240939-23.07.2024</t>
  </si>
  <si>
    <t>240616/240623</t>
  </si>
  <si>
    <t>20241099-26.08.2024</t>
  </si>
  <si>
    <t>240617/240715/240724</t>
  </si>
  <si>
    <t>240207</t>
  </si>
  <si>
    <t>240708/241207</t>
  </si>
  <si>
    <t>20241132-31.08.2024</t>
  </si>
  <si>
    <t>240906</t>
  </si>
  <si>
    <r>
      <t>20230611-12.05.2023/</t>
    </r>
    <r>
      <rPr>
        <sz val="12"/>
        <color rgb="FFFF0000"/>
        <rFont val="Calibri"/>
        <family val="2"/>
        <scheme val="minor"/>
      </rPr>
      <t>20241159-09.09.2024</t>
    </r>
    <r>
      <rPr>
        <sz val="12"/>
        <color theme="1"/>
        <rFont val="Calibri"/>
        <family val="2"/>
        <scheme val="minor"/>
      </rPr>
      <t>/20241155-06.09.2024</t>
    </r>
  </si>
  <si>
    <t>20241155-06.09.2024</t>
  </si>
  <si>
    <t>240812/240905</t>
  </si>
  <si>
    <t>241211</t>
  </si>
  <si>
    <t>20241224-23-09-2024</t>
  </si>
  <si>
    <t xml:space="preserve">   </t>
  </si>
  <si>
    <t>20241223 23.09.2024</t>
  </si>
  <si>
    <t>20241258-03.10.2024</t>
  </si>
  <si>
    <t>240412</t>
  </si>
  <si>
    <t>20241325-18.10.2024</t>
  </si>
  <si>
    <t>20241378-04.11.2024</t>
  </si>
  <si>
    <t>Ventilkoerper</t>
  </si>
  <si>
    <t>20251276-01.10.2025</t>
  </si>
  <si>
    <t>20250553-23.04.2025</t>
  </si>
  <si>
    <r>
      <t>20250553-23.04.2025/</t>
    </r>
    <r>
      <rPr>
        <sz val="11"/>
        <color rgb="FFFF0000"/>
        <rFont val="Calibri"/>
        <family val="2"/>
        <scheme val="minor"/>
      </rPr>
      <t>20251274-01.10.2025</t>
    </r>
  </si>
  <si>
    <r>
      <t>20221265-20.12.2022/</t>
    </r>
    <r>
      <rPr>
        <sz val="11"/>
        <color rgb="FFFF0000"/>
        <rFont val="Calibri"/>
        <family val="2"/>
        <scheme val="minor"/>
      </rPr>
      <t>20251275-01.10.2025/</t>
    </r>
    <r>
      <rPr>
        <sz val="11"/>
        <color theme="1"/>
        <rFont val="Calibri"/>
        <family val="2"/>
        <charset val="238"/>
        <scheme val="minor"/>
      </rPr>
      <t>20251279-01.10.2025</t>
    </r>
  </si>
  <si>
    <r>
      <t>20251273-30.09.2025/</t>
    </r>
    <r>
      <rPr>
        <sz val="11"/>
        <color rgb="FFFF0000"/>
        <rFont val="Calibri"/>
        <family val="2"/>
        <scheme val="minor"/>
      </rPr>
      <t>20251277-01.10.2025</t>
    </r>
    <r>
      <rPr>
        <sz val="11"/>
        <color theme="1"/>
        <rFont val="Calibri"/>
        <family val="2"/>
        <charset val="238"/>
        <scheme val="minor"/>
      </rPr>
      <t>/20251278-01.10.2025</t>
    </r>
  </si>
  <si>
    <t>COZAC LUCIAN</t>
  </si>
  <si>
    <t>stornate*NU SE FACTUREAZA*</t>
  </si>
  <si>
    <t>20240941-23.07.2024/20241042-13.08.2024</t>
  </si>
  <si>
    <t>20240940-23.07.2024/20241043-13.08.2024</t>
  </si>
  <si>
    <t>20241165-10.09.2024</t>
  </si>
  <si>
    <t>20241164-10.09.2024</t>
  </si>
  <si>
    <t>20241163-10.09.2024</t>
  </si>
  <si>
    <t>20241168-12.09.2024</t>
  </si>
  <si>
    <t>20241232-27.09.2024</t>
  </si>
  <si>
    <t>20241266-04.10.2024</t>
  </si>
  <si>
    <t>20241323-18.10.2024</t>
  </si>
  <si>
    <t>20241152-06.09.2024</t>
  </si>
  <si>
    <t>20241154-06.09.2024</t>
  </si>
  <si>
    <t>20241151-06.09.2024</t>
  </si>
  <si>
    <t>20241178-13.09.2024</t>
  </si>
  <si>
    <t>20241136-03.09.2024</t>
  </si>
  <si>
    <t>20241137-03.09.2024</t>
  </si>
  <si>
    <t>20241215-20.09.2024</t>
  </si>
  <si>
    <t>20241186-17.09.2024</t>
  </si>
  <si>
    <t>20241187-17.09.2024</t>
  </si>
  <si>
    <t>20241188-17.09.2024</t>
  </si>
  <si>
    <t>20241379-04.11.2024</t>
  </si>
  <si>
    <t>F-552668-0043-MIL</t>
  </si>
  <si>
    <t>F-552668.01-0013.AU.VA-MIL</t>
  </si>
  <si>
    <t>20241176-13.09.2024</t>
  </si>
  <si>
    <t>20241290-10.10.2024</t>
  </si>
  <si>
    <t>20241216-20.09.2024</t>
  </si>
  <si>
    <t>242311</t>
  </si>
  <si>
    <t>20241211-20.09.2024</t>
  </si>
  <si>
    <t>20241259-03.10.2024</t>
  </si>
  <si>
    <t>in stock</t>
  </si>
  <si>
    <t>yes - pe 108</t>
  </si>
  <si>
    <t>20250162-14.02.2025</t>
  </si>
  <si>
    <t>RA119846</t>
  </si>
  <si>
    <t>~KW34</t>
  </si>
  <si>
    <t>20241219-23.09.2024</t>
  </si>
  <si>
    <t>20241230-27.09.2024</t>
  </si>
  <si>
    <t>20241231-27.09.2024</t>
  </si>
  <si>
    <t>20241237-30.09.2024</t>
  </si>
  <si>
    <t>20241257-02.10.2024</t>
  </si>
  <si>
    <t>20241431-14.11.2024</t>
  </si>
  <si>
    <t>20241140-03.09.2024</t>
  </si>
  <si>
    <t>20241252-30.09.2024</t>
  </si>
  <si>
    <t>20241246-30.09.2024</t>
  </si>
  <si>
    <t>48 returnate</t>
  </si>
  <si>
    <r>
      <t>20241238-30.09.2024/</t>
    </r>
    <r>
      <rPr>
        <sz val="12"/>
        <color rgb="FFFF0000"/>
        <rFont val="Calibri"/>
        <family val="2"/>
        <scheme val="minor"/>
      </rPr>
      <t>20241566-18.12.2024</t>
    </r>
  </si>
  <si>
    <t>20241241-30.09.2024</t>
  </si>
  <si>
    <t>20241245-30.09.2024</t>
  </si>
  <si>
    <t>20241242-30.09.2024</t>
  </si>
  <si>
    <t>20241243-30.09.2024</t>
  </si>
  <si>
    <t>20241253-30.09.2024</t>
  </si>
  <si>
    <t>20241248-30.09.2024</t>
  </si>
  <si>
    <t>20241250-30.09.2024</t>
  </si>
  <si>
    <t>20241260-03.10.2024</t>
  </si>
  <si>
    <t>20241281-08.10.2024</t>
  </si>
  <si>
    <t>20241272-08.10.2024</t>
  </si>
  <si>
    <t>BVOLS2534</t>
  </si>
  <si>
    <t>20250042-17.01.2025</t>
  </si>
  <si>
    <t>20241226-27.09.2024</t>
  </si>
  <si>
    <t>20250092-29.01.2025</t>
  </si>
  <si>
    <t>20241295-12.10.2024</t>
  </si>
  <si>
    <t>20241296-12.10.2024</t>
  </si>
  <si>
    <t>20241297-12.10.2024</t>
  </si>
  <si>
    <t>096999527-0000</t>
  </si>
  <si>
    <t>20241298-12.10.2024</t>
  </si>
  <si>
    <t>20241294-12.10.2024</t>
  </si>
  <si>
    <t>20241356-28.10.2024</t>
  </si>
  <si>
    <t>need asap</t>
  </si>
  <si>
    <t>BVOLS.25221</t>
  </si>
  <si>
    <t>aviz de mana: BVOLS.20242060</t>
  </si>
  <si>
    <t>20250172-15.02.2025</t>
  </si>
  <si>
    <t>BVOLS.25222</t>
  </si>
  <si>
    <t>20250173-15.02.2025</t>
  </si>
  <si>
    <t>20250276-05.03.2025</t>
  </si>
  <si>
    <t>20250536-22.04.2025</t>
  </si>
  <si>
    <t>20241162-10.09.2024</t>
  </si>
  <si>
    <t>20241177-13.09.2024</t>
  </si>
  <si>
    <t>20241228-27.09.2024</t>
  </si>
  <si>
    <t>piese reclamate pt vopsea - nu a fost documentata vopsirea (nu aparea nicaieri ca se vopseste)</t>
  </si>
  <si>
    <t>20241347-28.10.2024</t>
  </si>
  <si>
    <t>20241244-30.09.2024</t>
  </si>
  <si>
    <t>20241247-30.09.2024</t>
  </si>
  <si>
    <t>20241249-30.09.2024</t>
  </si>
  <si>
    <t>20241251-30.09.2024</t>
  </si>
  <si>
    <t>20241280-08.10.2024</t>
  </si>
  <si>
    <t>20241282-08.10.2024</t>
  </si>
  <si>
    <t>20241286-08.10.2024</t>
  </si>
  <si>
    <t>20241271-08.10.2024</t>
  </si>
  <si>
    <t>20241273-08.10.2024</t>
  </si>
  <si>
    <r>
      <t>20241277-08.10.2024/</t>
    </r>
    <r>
      <rPr>
        <sz val="12"/>
        <color rgb="FFFF0000"/>
        <rFont val="Calibri"/>
        <family val="2"/>
        <scheme val="minor"/>
      </rPr>
      <t>20241553-16.12.2024</t>
    </r>
  </si>
  <si>
    <t>20241308-15.10.2024</t>
  </si>
  <si>
    <t>20241313-16.10.2024</t>
  </si>
  <si>
    <t>20241311-16.10.2024</t>
  </si>
  <si>
    <t>20241315-16.10.2024</t>
  </si>
  <si>
    <t>20241225-27.09.2024</t>
  </si>
  <si>
    <t>20241254-30.09.2024</t>
  </si>
  <si>
    <t>20241267-04.10.2024</t>
  </si>
  <si>
    <t>20241322-18.10.2024</t>
  </si>
  <si>
    <t>20241235-27.09.2024</t>
  </si>
  <si>
    <t>ETA 23oct</t>
  </si>
  <si>
    <t>se pot planifica, 213pcs</t>
  </si>
  <si>
    <t>stornate 61 de buc</t>
  </si>
  <si>
    <r>
      <rPr>
        <sz val="12"/>
        <color rgb="FF000000"/>
        <rFont val="Calibri"/>
        <family val="2"/>
        <scheme val="minor"/>
      </rPr>
      <t xml:space="preserve">20241407-08.11.2024 / </t>
    </r>
    <r>
      <rPr>
        <sz val="12"/>
        <color rgb="FFFF0000"/>
        <rFont val="Calibri"/>
        <family val="2"/>
        <scheme val="minor"/>
      </rPr>
      <t>20250337-19.03.2025</t>
    </r>
  </si>
  <si>
    <t>forecast</t>
  </si>
  <si>
    <t>20241279-08.10.2024</t>
  </si>
  <si>
    <t>20241276-08.10.2024</t>
  </si>
  <si>
    <t>20241283-08.10.2024</t>
  </si>
  <si>
    <t>20241309-15.10.2024</t>
  </si>
  <si>
    <t>20241314-16.10.2024</t>
  </si>
  <si>
    <t>20241312-16.10.2024</t>
  </si>
  <si>
    <t>20241316-16.10.2024</t>
  </si>
  <si>
    <t>20241331-18.10.2024</t>
  </si>
  <si>
    <t>20241329-18.10.2024</t>
  </si>
  <si>
    <t>20241363-30.10.2024</t>
  </si>
  <si>
    <t>HOUSING            DBD.10G13/V</t>
  </si>
  <si>
    <t>blocate la client</t>
  </si>
  <si>
    <t>20241380-04.11.2024</t>
  </si>
  <si>
    <t>20241529-06.12.2024</t>
  </si>
  <si>
    <t>20241320-17.10.2024</t>
  </si>
  <si>
    <t>HOUSING            DBD.20P1X/</t>
  </si>
  <si>
    <t>20241324-18.10.2024</t>
  </si>
  <si>
    <t>20241348-28.10.2024</t>
  </si>
  <si>
    <t>20241410-08.11.2024</t>
  </si>
  <si>
    <t>20241236-27.09.2024</t>
  </si>
  <si>
    <r>
      <t>20250218-21.02.2025/</t>
    </r>
    <r>
      <rPr>
        <sz val="12"/>
        <color rgb="FFFF0000"/>
        <rFont val="Calibri"/>
        <family val="2"/>
        <scheme val="minor"/>
      </rPr>
      <t>20250428-31.02.2025</t>
    </r>
    <r>
      <rPr>
        <sz val="12"/>
        <color theme="1"/>
        <rFont val="Calibri"/>
        <family val="2"/>
        <scheme val="minor"/>
      </rPr>
      <t>/20250429-31.03.2025</t>
    </r>
  </si>
  <si>
    <t>20241153-06.09.2024</t>
  </si>
  <si>
    <t>20241321-17.10.2024</t>
  </si>
  <si>
    <t>INCLUDE TOOLING COST=3106 EUR</t>
  </si>
  <si>
    <t>20241336-22.10.2024</t>
  </si>
  <si>
    <t>20241368-31.10.2024</t>
  </si>
  <si>
    <t>cand se primeste material de la client</t>
  </si>
  <si>
    <t>20241490-29.11.2024</t>
  </si>
  <si>
    <t>BVOLS25123</t>
  </si>
  <si>
    <t>20250099-31.01.2025</t>
  </si>
  <si>
    <t>20250132-10.02.2025</t>
  </si>
  <si>
    <t>20250160-14.02.2025</t>
  </si>
  <si>
    <t>20250161-14.02.2025</t>
  </si>
  <si>
    <t>20250649-23.05.2025/20250768-23.06.2025</t>
  </si>
  <si>
    <t>20250924-15.07.2025</t>
  </si>
  <si>
    <t>20251253-30.09.2025</t>
  </si>
  <si>
    <t>20241278-08.10.2024</t>
  </si>
  <si>
    <t>20241275-08.10.2024</t>
  </si>
  <si>
    <t>20241285-08.10.2024</t>
  </si>
  <si>
    <t>20241310-15.10.2024</t>
  </si>
  <si>
    <t>20241318-17.10.2024</t>
  </si>
  <si>
    <t>20241332-18.10.2024</t>
  </si>
  <si>
    <t>20241330-18.10.2024</t>
  </si>
  <si>
    <t>20241337-22.10.2024</t>
  </si>
  <si>
    <t>20241343-25.10.2024</t>
  </si>
  <si>
    <t>20241359-29.10.2024</t>
  </si>
  <si>
    <t>20241335-22.10.2024</t>
  </si>
  <si>
    <t>20241406-08.11.2024</t>
  </si>
  <si>
    <t>12 cu derogare</t>
  </si>
  <si>
    <t>20241416-11.11.2024</t>
  </si>
  <si>
    <t>20241436-14.11.2024</t>
  </si>
  <si>
    <t>20241362-30.10.2024</t>
  </si>
  <si>
    <t>20241372-31.10.2024</t>
  </si>
  <si>
    <t>20241399-06.11.2024</t>
  </si>
  <si>
    <t>20241403-08.11.2024</t>
  </si>
  <si>
    <t>20241430-13.11.2024</t>
  </si>
  <si>
    <t>BVOLS 2569</t>
  </si>
  <si>
    <t>20250065-22.01.2025</t>
  </si>
  <si>
    <t>20241229-27.09.2024</t>
  </si>
  <si>
    <t>20241408-08.11.2024</t>
  </si>
  <si>
    <t>20241274-08.10.2024</t>
  </si>
  <si>
    <t>20241284-08.10.2024</t>
  </si>
  <si>
    <t>20241317-16.10.2024</t>
  </si>
  <si>
    <t>20241341-25.10.2024</t>
  </si>
  <si>
    <t>20241342-25.10.2024</t>
  </si>
  <si>
    <t>20241344-25.10.2024</t>
  </si>
  <si>
    <t>20241358-29.10.2024</t>
  </si>
  <si>
    <t>20250095-29.01.2025</t>
  </si>
  <si>
    <t>20241417-11.11.2024</t>
  </si>
  <si>
    <t>20241361-30.10.2024</t>
  </si>
  <si>
    <t>ready 1nov</t>
  </si>
  <si>
    <t>20241405-08.11.2024</t>
  </si>
  <si>
    <t xml:space="preserve">  </t>
  </si>
  <si>
    <t>20241404-08.11.2024</t>
  </si>
  <si>
    <t>mat rec 21.11 - 15bare fi38x3000</t>
  </si>
  <si>
    <t>5 pcs stornate</t>
  </si>
  <si>
    <r>
      <t>20250159-14.02.2025/</t>
    </r>
    <r>
      <rPr>
        <b/>
        <sz val="12"/>
        <color rgb="FFFF0000"/>
        <rFont val="Calibri"/>
        <family val="2"/>
        <scheme val="minor"/>
      </rPr>
      <t>20250211-25.02.2025</t>
    </r>
  </si>
  <si>
    <t>stornate 29 buc</t>
  </si>
  <si>
    <r>
      <rPr>
        <sz val="11"/>
        <color rgb="FF000000"/>
        <rFont val="Calibri"/>
        <family val="2"/>
        <scheme val="minor"/>
      </rPr>
      <t xml:space="preserve">20250254-28.02.2025/ </t>
    </r>
    <r>
      <rPr>
        <sz val="11"/>
        <color rgb="FFFF0000"/>
        <rFont val="Calibri"/>
        <family val="2"/>
        <scheme val="minor"/>
      </rPr>
      <t>20250725-16.06.2025</t>
    </r>
  </si>
  <si>
    <t>20241445-18.11.2024</t>
  </si>
  <si>
    <t>comenzi anulate</t>
  </si>
  <si>
    <t>20241471-27.11.2024</t>
  </si>
  <si>
    <t>20241345-25.10.2024</t>
  </si>
  <si>
    <t>20241373-31.10.2024</t>
  </si>
  <si>
    <t>20241375-31.10.2024</t>
  </si>
  <si>
    <t>20241400-05.11.2024</t>
  </si>
  <si>
    <t>20241412-08.11.2024</t>
  </si>
  <si>
    <t>20241414-08.11.2024</t>
  </si>
  <si>
    <t>20241434-12.11.2024</t>
  </si>
  <si>
    <t>20241432-12.11.2024</t>
  </si>
  <si>
    <t>ETA 20oct</t>
  </si>
  <si>
    <t>20241447-18.11.2024</t>
  </si>
  <si>
    <t>20241446-18.11.2024</t>
  </si>
  <si>
    <t>20241541-10.12.2024</t>
  </si>
  <si>
    <t>20241567-14.12.2024</t>
  </si>
  <si>
    <t>302926577-8011</t>
  </si>
  <si>
    <t>2025205l</t>
  </si>
  <si>
    <t>20251242-30.09.2025</t>
  </si>
  <si>
    <t>20241374-31.10.2024</t>
  </si>
  <si>
    <t>20241401-05.11.2024</t>
  </si>
  <si>
    <t>20241413-08.11.2024</t>
  </si>
  <si>
    <t>20241426-14.11.2024</t>
  </si>
  <si>
    <t>20241467-22.11.2024</t>
  </si>
  <si>
    <t>24.10.2024</t>
  </si>
  <si>
    <t>20241527-06.12.2024</t>
  </si>
  <si>
    <t>20241550-12.12.2024</t>
  </si>
  <si>
    <t>20241601-20.12.2024</t>
  </si>
  <si>
    <t>F-552663-0011.AU.VU</t>
  </si>
  <si>
    <t>096393580-0000</t>
  </si>
  <si>
    <t>ETA 25.10.2024</t>
  </si>
  <si>
    <t>produse 5 buc</t>
  </si>
  <si>
    <t>20241415-11.11.2024</t>
  </si>
  <si>
    <t>BVOLS25124</t>
  </si>
  <si>
    <t>20250100-31.01.2025</t>
  </si>
  <si>
    <t>F-552663-0041.IR.VU</t>
  </si>
  <si>
    <t>096403977-0000</t>
  </si>
  <si>
    <t>20241470-27.11.2024</t>
  </si>
  <si>
    <t>20241465-22.11.2024</t>
  </si>
  <si>
    <t>20241433-12.11.2024</t>
  </si>
  <si>
    <t>20241438-12.11.2024</t>
  </si>
  <si>
    <t>20241435-13.11.2024</t>
  </si>
  <si>
    <t>20241455-21.11.2024</t>
  </si>
  <si>
    <t>20241458-21.11.2024</t>
  </si>
  <si>
    <t>20241482-27.11.2024</t>
  </si>
  <si>
    <t>20241443-18.11.2024</t>
  </si>
  <si>
    <t>20241466-22.11.2024</t>
  </si>
  <si>
    <t>BVOLS2594</t>
  </si>
  <si>
    <t>20250075-27.01.2025</t>
  </si>
  <si>
    <t>20241457-21.11.2024</t>
  </si>
  <si>
    <t>20241453-21.11.2024</t>
  </si>
  <si>
    <t>20241569-14.12.2024</t>
  </si>
  <si>
    <t>20241602-20.12.2024</t>
  </si>
  <si>
    <t>facturate cu denumirea F-625593-Prestrunjire</t>
  </si>
  <si>
    <t>20241418-08.11.2024</t>
  </si>
  <si>
    <t>20241543-10.12.2024</t>
  </si>
  <si>
    <t>20241544-11.12.2024</t>
  </si>
  <si>
    <t>BVOLS2541</t>
  </si>
  <si>
    <t>20250044-18.01.2025</t>
  </si>
  <si>
    <t>F-625593.03-0005.PKO-WW1 - PPAP</t>
  </si>
  <si>
    <t>PPAP/se va emite fc de Prestari Servicii</t>
  </si>
  <si>
    <r>
      <t>20241268-08.10.2024/</t>
    </r>
    <r>
      <rPr>
        <sz val="12"/>
        <color rgb="FFFF0000"/>
        <rFont val="Calibri"/>
        <family val="2"/>
        <scheme val="minor"/>
      </rPr>
      <t>20241319-18.10.2024</t>
    </r>
  </si>
  <si>
    <t>20241427-14.11.2024</t>
  </si>
  <si>
    <t>20241528-06.12.2024</t>
  </si>
  <si>
    <t>ITU</t>
  </si>
  <si>
    <t>20241456-21.11.2024</t>
  </si>
  <si>
    <t>20241454-21.11.2024</t>
  </si>
  <si>
    <t>20241484-28.11.2024</t>
  </si>
  <si>
    <t>20241600-20.12.2024</t>
  </si>
  <si>
    <t>BVOLS2580</t>
  </si>
  <si>
    <t>20250071-27.01.2025</t>
  </si>
  <si>
    <t>20241479-25.11.2024</t>
  </si>
  <si>
    <t>20241478-25.11.2024</t>
  </si>
  <si>
    <t>20241502-03.12.2024</t>
  </si>
  <si>
    <t>20241515-05.12.2024</t>
  </si>
  <si>
    <t>Comenzi anulate</t>
  </si>
  <si>
    <t>Comanda anulata</t>
  </si>
  <si>
    <t>20241483-27.11.2024</t>
  </si>
  <si>
    <t>BVOLS2589</t>
  </si>
  <si>
    <t>50 pcs stornate</t>
  </si>
  <si>
    <r>
      <rPr>
        <sz val="12"/>
        <color rgb="FF000000"/>
        <rFont val="Calibri"/>
        <family val="2"/>
        <scheme val="minor"/>
      </rPr>
      <t>20250072-27.01.2025/</t>
    </r>
    <r>
      <rPr>
        <sz val="12"/>
        <color rgb="FFFF0000"/>
        <rFont val="Calibri"/>
        <family val="2"/>
        <scheme val="minor"/>
      </rPr>
      <t>20250361-20.03.2025</t>
    </r>
  </si>
  <si>
    <t>yes- la vopsit</t>
  </si>
  <si>
    <r>
      <t>20250144-12.02.2025/</t>
    </r>
    <r>
      <rPr>
        <sz val="12"/>
        <color rgb="FFFF0000"/>
        <rFont val="Calibri"/>
        <family val="2"/>
        <scheme val="minor"/>
      </rPr>
      <t>20250260-03.03.2025</t>
    </r>
  </si>
  <si>
    <t>20241548-12.12.2024</t>
  </si>
  <si>
    <t>BVOLS2595</t>
  </si>
  <si>
    <t>20250076-27.01.2025</t>
  </si>
  <si>
    <t>BVOLS25122</t>
  </si>
  <si>
    <t>20250098-31.01.2025</t>
  </si>
  <si>
    <t>20250379-25.03.2025</t>
  </si>
  <si>
    <t>20241497-03.12.2024</t>
  </si>
  <si>
    <t>la vopsit + planif.</t>
  </si>
  <si>
    <t>20241409-08.11.2024</t>
  </si>
  <si>
    <t>ppap</t>
  </si>
  <si>
    <t>20250715-06.06.2025</t>
  </si>
  <si>
    <t>20241499-03.12.2024</t>
  </si>
  <si>
    <t>20241498-03.12.2024</t>
  </si>
  <si>
    <t>20241500-03.12.2024</t>
  </si>
  <si>
    <t>20241542-10.12.2024</t>
  </si>
  <si>
    <t>20241539-10.12.2024</t>
  </si>
  <si>
    <t>w</t>
  </si>
  <si>
    <t>20241572-16.12.2024</t>
  </si>
  <si>
    <t>20241591-18.12.2024</t>
  </si>
  <si>
    <t>VALVE SPOOL Z2S 16</t>
  </si>
  <si>
    <t>20240381-10.04.2024</t>
  </si>
  <si>
    <t>VALVE SPOOL Z2S 22</t>
  </si>
  <si>
    <t>20241501-03.12.2024</t>
  </si>
  <si>
    <t>20241540-10.12.2024</t>
  </si>
  <si>
    <t>20241571-14.12.2024</t>
  </si>
  <si>
    <t>20241589-17.12.2024</t>
  </si>
  <si>
    <t>20241588-17.12.2024</t>
  </si>
  <si>
    <t>20241592-19.12.2024</t>
  </si>
  <si>
    <t>20250005-09.01.2025</t>
  </si>
  <si>
    <t>BVOLS2515</t>
  </si>
  <si>
    <t>20250013-10.01.2025</t>
  </si>
  <si>
    <t>BVOLS2520</t>
  </si>
  <si>
    <t>20250028-14.01.2025</t>
  </si>
  <si>
    <t>BVOLS2518</t>
  </si>
  <si>
    <t>20250026-14.01.2025</t>
  </si>
  <si>
    <t>BVOLS2533</t>
  </si>
  <si>
    <t>20250041-17.01.2025</t>
  </si>
  <si>
    <t>20241549-12.12.2024</t>
  </si>
  <si>
    <t>20241570-14.12.2024</t>
  </si>
  <si>
    <t>HOUSING            DBD.15G1X/</t>
  </si>
  <si>
    <t>20241551-12.12.2024</t>
  </si>
  <si>
    <t>de verificat stock fizic 773</t>
  </si>
  <si>
    <t>20241547-12.12.2024</t>
  </si>
  <si>
    <t>ned to be send at galvanic treatment  // EuroNarcis</t>
  </si>
  <si>
    <t>20241546-12.12.2024</t>
  </si>
  <si>
    <t>20241590-17.12.2024</t>
  </si>
  <si>
    <t>BVOLS2510</t>
  </si>
  <si>
    <t>41 pcs cu derogare</t>
  </si>
  <si>
    <t>20250009-10.01.2025</t>
  </si>
  <si>
    <t>BVOLS2529</t>
  </si>
  <si>
    <t>initial 152 pcs comandate, 76 returnate, aviz: 2511</t>
  </si>
  <si>
    <t>20250036-16.01.2025</t>
  </si>
  <si>
    <t>BVOLS2565</t>
  </si>
  <si>
    <t>20250062-21.01.2025</t>
  </si>
  <si>
    <t>BVOLS2566</t>
  </si>
  <si>
    <t>20250063-21.01.2025</t>
  </si>
  <si>
    <t>HOUSING DBD.30P1X/</t>
  </si>
  <si>
    <t>BVOLS2581</t>
  </si>
  <si>
    <t>20250073-27.01.2025</t>
  </si>
  <si>
    <t>20250006-09.01.2025</t>
  </si>
  <si>
    <t>20250004-09.01.2025</t>
  </si>
  <si>
    <t>20250007-09.01.2025</t>
  </si>
  <si>
    <t>BVOLS2514</t>
  </si>
  <si>
    <t>20250012-10.01.2025</t>
  </si>
  <si>
    <t>BVOLS2512</t>
  </si>
  <si>
    <t>20250010-10.01.2025</t>
  </si>
  <si>
    <t>BVOLS2513</t>
  </si>
  <si>
    <t>20250011-10.01.2025</t>
  </si>
  <si>
    <t>BVOLS2521</t>
  </si>
  <si>
    <t>20250029-14.01.2025</t>
  </si>
  <si>
    <t>BVOLS2519</t>
  </si>
  <si>
    <t>20250027-14.01.2025</t>
  </si>
  <si>
    <t>BVOLS2532</t>
  </si>
  <si>
    <t>20250040-17.01.2025</t>
  </si>
  <si>
    <t>BVOLS2531</t>
  </si>
  <si>
    <t>20250039-17.01.2025</t>
  </si>
  <si>
    <t>BVOLS2545</t>
  </si>
  <si>
    <t>20250059-20.11.2025</t>
  </si>
  <si>
    <t>20250808-30.06.2025</t>
  </si>
  <si>
    <t>20250876-09.07.2025</t>
  </si>
  <si>
    <t>BVOLS2540</t>
  </si>
  <si>
    <t>20250047-18.01.2025</t>
  </si>
  <si>
    <t>20250094-29.01.2025</t>
  </si>
  <si>
    <t>20250093-29.01.2025</t>
  </si>
  <si>
    <t>20250137-10.02.2025</t>
  </si>
  <si>
    <t>20250138-10.02.2025</t>
  </si>
  <si>
    <t>20241468-22.11.2024</t>
  </si>
  <si>
    <t>BVOLS2516</t>
  </si>
  <si>
    <t>20250024-14.01.2025</t>
  </si>
  <si>
    <t>BVOLS2523</t>
  </si>
  <si>
    <t>20250031-14.01.2025</t>
  </si>
  <si>
    <t>BVOLS2543</t>
  </si>
  <si>
    <t>20250046-18.01.2025</t>
  </si>
  <si>
    <t/>
  </si>
  <si>
    <t>BVOLS2561</t>
  </si>
  <si>
    <t>storno f20250734/17.06.2025</t>
  </si>
  <si>
    <r>
      <rPr>
        <sz val="11"/>
        <color rgb="FF000000"/>
        <rFont val="Calibri"/>
        <family val="2"/>
        <scheme val="minor"/>
      </rPr>
      <t>20250060-21.01.2025/</t>
    </r>
    <r>
      <rPr>
        <sz val="11"/>
        <color rgb="FFFF0000"/>
        <rFont val="Calibri"/>
        <family val="2"/>
        <scheme val="minor"/>
      </rPr>
      <t>20250734-17.06.2025</t>
    </r>
  </si>
  <si>
    <t>BVOLS2578</t>
  </si>
  <si>
    <t>20250067-23.01.2025</t>
  </si>
  <si>
    <t>BVOLS25129</t>
  </si>
  <si>
    <t>20250103-31.01.2025</t>
  </si>
  <si>
    <t>20250139-10.02.2025</t>
  </si>
  <si>
    <t>BVOLS2572</t>
  </si>
  <si>
    <t>20250064-22.01.2025</t>
  </si>
  <si>
    <t>BVOLS2590</t>
  </si>
  <si>
    <t>20250091-29.01.2025</t>
  </si>
  <si>
    <t>BVOLS25125</t>
  </si>
  <si>
    <t>20250101-31.01.2025</t>
  </si>
  <si>
    <t>20250102-31.01.2025</t>
  </si>
  <si>
    <t>20250134-10.02.2025</t>
  </si>
  <si>
    <t>la TT</t>
  </si>
  <si>
    <t>20250200-21.02.2025</t>
  </si>
  <si>
    <t>20250203-24.02.2025</t>
  </si>
  <si>
    <t>20250256-28.02.2025</t>
  </si>
  <si>
    <t>20250290-07.03.2025</t>
  </si>
  <si>
    <t>20250320-14.03.2025</t>
  </si>
  <si>
    <t>BVOLS2517</t>
  </si>
  <si>
    <r>
      <rPr>
        <sz val="12"/>
        <color rgb="FF000000"/>
        <rFont val="Calibri"/>
        <family val="2"/>
        <scheme val="minor"/>
      </rPr>
      <t xml:space="preserve">Stornare -&gt; Aviz BVOLS.2517 - </t>
    </r>
    <r>
      <rPr>
        <sz val="12"/>
        <color rgb="FFFF0000"/>
        <rFont val="Calibri"/>
        <family val="2"/>
        <scheme val="minor"/>
      </rPr>
      <t>cda trecuta gresit 38397720 (era pt BAH</t>
    </r>
    <r>
      <rPr>
        <sz val="12"/>
        <color rgb="FF000000"/>
        <rFont val="Calibri"/>
        <family val="2"/>
        <scheme val="minor"/>
      </rPr>
      <t>)</t>
    </r>
  </si>
  <si>
    <r>
      <t>20250025-14.01.2025/</t>
    </r>
    <r>
      <rPr>
        <sz val="12"/>
        <color rgb="FFFF0000"/>
        <rFont val="Calibri"/>
        <family val="2"/>
        <scheme val="minor"/>
      </rPr>
      <t>20250415-31.03.2025</t>
    </r>
    <r>
      <rPr>
        <sz val="12"/>
        <color theme="1"/>
        <rFont val="Calibri"/>
        <family val="2"/>
        <scheme val="minor"/>
      </rPr>
      <t>/20250416-31.03.2025</t>
    </r>
  </si>
  <si>
    <t>BVOLS2524</t>
  </si>
  <si>
    <t>20250032-14.01.2025</t>
  </si>
  <si>
    <t>BVOLS2522</t>
  </si>
  <si>
    <t>20250030-14.01.2025</t>
  </si>
  <si>
    <t>BVOLS2535</t>
  </si>
  <si>
    <t>20250043-17.01.2025</t>
  </si>
  <si>
    <t>BVOLS2544</t>
  </si>
  <si>
    <t>20250045-18.01.2025</t>
  </si>
  <si>
    <t>BVOLS2564</t>
  </si>
  <si>
    <t>20250061-21.01.2025</t>
  </si>
  <si>
    <t>BVOLS2592</t>
  </si>
  <si>
    <t>20250097-29.01.2025</t>
  </si>
  <si>
    <t>20250104-31.01.2025</t>
  </si>
  <si>
    <t>20250107-31.01.2025</t>
  </si>
  <si>
    <t>20250108-31.01.2025</t>
  </si>
  <si>
    <t>PASRO20250003</t>
  </si>
  <si>
    <t>X-111879-01 REV 02</t>
  </si>
  <si>
    <t>20250130-10.02.2025</t>
  </si>
  <si>
    <t>20250123-07.02.2025</t>
  </si>
  <si>
    <t>20250118-07.02.2025</t>
  </si>
  <si>
    <t>20250119-07.02.2025</t>
  </si>
  <si>
    <t>20250145-11.02.2025</t>
  </si>
  <si>
    <t>20241568-14.12.2024</t>
  </si>
  <si>
    <t>20250106-31.01.2025</t>
  </si>
  <si>
    <t>20250109-31.01.2025</t>
  </si>
  <si>
    <t>20250121-07.02.2025</t>
  </si>
  <si>
    <t>20250120-07.02.2025</t>
  </si>
  <si>
    <t>20250122-07.02.2025</t>
  </si>
  <si>
    <t>20250124-07.02.2025</t>
  </si>
  <si>
    <t>20250127-07.02.2025</t>
  </si>
  <si>
    <t>20250126-07.02.2025</t>
  </si>
  <si>
    <t>20250149-11.02.2025</t>
  </si>
  <si>
    <t>20250147-11.02.2025</t>
  </si>
  <si>
    <t>20250151-12.02.2025</t>
  </si>
  <si>
    <t>BVOLS.25235</t>
  </si>
  <si>
    <t>20250187-19.02.2025</t>
  </si>
  <si>
    <t>20250096-29.01.2025</t>
  </si>
  <si>
    <t>BVOLS25133</t>
  </si>
  <si>
    <t>20250105-31.01.2025</t>
  </si>
  <si>
    <t>20250125-07.02.2025</t>
  </si>
  <si>
    <t>20250212-25.02.2025</t>
  </si>
  <si>
    <t>20250255-28.02.2025</t>
  </si>
  <si>
    <t>?</t>
  </si>
  <si>
    <t>yes -250</t>
  </si>
  <si>
    <t>BVOLS.25224</t>
  </si>
  <si>
    <r>
      <rPr>
        <sz val="12"/>
        <color rgb="FF000000"/>
        <rFont val="Calibri"/>
        <family val="2"/>
        <scheme val="minor"/>
      </rPr>
      <t xml:space="preserve">aviz de mana: 20242059 </t>
    </r>
    <r>
      <rPr>
        <sz val="12"/>
        <color rgb="FFFF0000"/>
        <rFont val="Calibri"/>
        <family val="2"/>
        <scheme val="minor"/>
      </rPr>
      <t>- STORNATE</t>
    </r>
  </si>
  <si>
    <r>
      <rPr>
        <sz val="12"/>
        <color rgb="FF000000"/>
        <rFont val="Calibri"/>
        <family val="2"/>
        <scheme val="minor"/>
      </rPr>
      <t xml:space="preserve">20250170-15.02.2025 / </t>
    </r>
    <r>
      <rPr>
        <sz val="12"/>
        <color rgb="FFFF0000"/>
        <rFont val="Calibri"/>
        <family val="2"/>
        <scheme val="minor"/>
      </rPr>
      <t>20250336-17.03.2025</t>
    </r>
  </si>
  <si>
    <t>REWORKS</t>
  </si>
  <si>
    <t>20250357-20.03.2025</t>
  </si>
  <si>
    <t>20250148-11.02.2025</t>
  </si>
  <si>
    <t>20250150-12.02.2025</t>
  </si>
  <si>
    <t>20250153-13.02.2025</t>
  </si>
  <si>
    <t>20250152-12.02.2025</t>
  </si>
  <si>
    <t>6 pcs stornate</t>
  </si>
  <si>
    <r>
      <rPr>
        <sz val="11"/>
        <color rgb="FF000000"/>
        <rFont val="Calibri"/>
        <family val="2"/>
        <scheme val="minor"/>
      </rPr>
      <t xml:space="preserve">20250165-17.02.2025 / </t>
    </r>
    <r>
      <rPr>
        <sz val="11"/>
        <color rgb="FFFF0000"/>
        <rFont val="Calibri"/>
        <family val="2"/>
        <scheme val="minor"/>
      </rPr>
      <t>202507624-16.06.2025</t>
    </r>
  </si>
  <si>
    <t>20250166-17.02.2025</t>
  </si>
  <si>
    <t>20250164-17.02.2025</t>
  </si>
  <si>
    <t>20250184-18.02.2025</t>
  </si>
  <si>
    <t>BVOLS.25237</t>
  </si>
  <si>
    <t>20250189-19.02.2025</t>
  </si>
  <si>
    <t>300387164-0000</t>
  </si>
  <si>
    <t>20250190-19.02.2025</t>
  </si>
  <si>
    <t>20250197-20.02.2025</t>
  </si>
  <si>
    <t>20250196-20.02.2025</t>
  </si>
  <si>
    <t>20250207-21.02.2025</t>
  </si>
  <si>
    <t>20250206-21.02.2025</t>
  </si>
  <si>
    <t>20250209-24.02.2025</t>
  </si>
  <si>
    <t>ETA 25.02</t>
  </si>
  <si>
    <t>20250292-07.03.2025</t>
  </si>
  <si>
    <t>proiect neinceput, se adteapta update Lucian Coza</t>
  </si>
  <si>
    <t>20250288-07.03.2025</t>
  </si>
  <si>
    <t>20250313-13.03.2025</t>
  </si>
  <si>
    <t>20250487-10.04.2025</t>
  </si>
  <si>
    <t>BVOLS2591</t>
  </si>
  <si>
    <t>20250171-15.02.2025</t>
  </si>
  <si>
    <t>20250237-27.02.2025</t>
  </si>
  <si>
    <t>20250205-21.02.2025</t>
  </si>
  <si>
    <t>20250215-25.02.2025</t>
  </si>
  <si>
    <t>20250225-27.02.2025</t>
  </si>
  <si>
    <t>FAG KUH.6215-A-M-3001</t>
  </si>
  <si>
    <t>096287861-0000</t>
  </si>
  <si>
    <t>PPAP L2 // Reclamatia nr. 1200079227 piese nok</t>
  </si>
  <si>
    <t>20250243-28.02.2025</t>
  </si>
  <si>
    <t>20250395-26.03.2025</t>
  </si>
  <si>
    <t>20250402-27.03.2025</t>
  </si>
  <si>
    <t>PPAP L3 //  de trimis documentatia 24.03</t>
  </si>
  <si>
    <r>
      <t>20250413-28.03.2025/</t>
    </r>
    <r>
      <rPr>
        <sz val="12"/>
        <color rgb="FFFF0000"/>
        <rFont val="Calibri"/>
        <family val="2"/>
        <scheme val="minor"/>
      </rPr>
      <t>20250437-31.03.2025</t>
    </r>
    <r>
      <rPr>
        <sz val="12"/>
        <color theme="1"/>
        <rFont val="Calibri"/>
        <family val="2"/>
        <scheme val="minor"/>
      </rPr>
      <t>/20250438-31.03.2025</t>
    </r>
  </si>
  <si>
    <t>20250412-28.03.2025</t>
  </si>
  <si>
    <t>20250418-31.03.2025</t>
  </si>
  <si>
    <t>20250436-31.03.2025</t>
  </si>
  <si>
    <t>20250442-31.03.2025</t>
  </si>
  <si>
    <t>20250451-03.04.2025</t>
  </si>
  <si>
    <t>20250454-04.04.2025</t>
  </si>
  <si>
    <t>20250464-07.04.2025</t>
  </si>
  <si>
    <t>20250131-10.02.2025</t>
  </si>
  <si>
    <t>20250140-10.02.2025</t>
  </si>
  <si>
    <t>20250158-14.02.2025</t>
  </si>
  <si>
    <t>20250163-17.02.2025</t>
  </si>
  <si>
    <t>20250167-17.02.2025</t>
  </si>
  <si>
    <t>20250165-17.02.2025</t>
  </si>
  <si>
    <t>20250183-18.02.2025</t>
  </si>
  <si>
    <t>20250182-18.02.2025</t>
  </si>
  <si>
    <t>BVOLS.25236</t>
  </si>
  <si>
    <t>20250188-19.02.2025</t>
  </si>
  <si>
    <t>20250198-20.02.2025</t>
  </si>
  <si>
    <t>20250224-28.02.2025</t>
  </si>
  <si>
    <t>20250253-28.02.2025</t>
  </si>
  <si>
    <t>20250265-04.03.2025</t>
  </si>
  <si>
    <t>20250185-19.02.2025</t>
  </si>
  <si>
    <t>20250202-22.02.2025</t>
  </si>
  <si>
    <t>20250210-24.02.2025</t>
  </si>
  <si>
    <t>20250214-25.02.2025</t>
  </si>
  <si>
    <t>20250240-27.02.2025</t>
  </si>
  <si>
    <t>20250244-28.02.2025</t>
  </si>
  <si>
    <t>20250177-19.02.2025</t>
  </si>
  <si>
    <t>20250272-04.03.2025</t>
  </si>
  <si>
    <t>20250285-07.03.2025</t>
  </si>
  <si>
    <t>20250338-18.03.2025</t>
  </si>
  <si>
    <t>20250356-19.03.2025</t>
  </si>
  <si>
    <t>BVOLS.25423</t>
  </si>
  <si>
    <t>20250360-20.03.2025</t>
  </si>
  <si>
    <t>20250369-20.03.2025</t>
  </si>
  <si>
    <t>20250373-24.03.2025</t>
  </si>
  <si>
    <t>20250376-25.03.2025</t>
  </si>
  <si>
    <t>20250414-28.03.2025</t>
  </si>
  <si>
    <t>20250465-07.04.2025</t>
  </si>
  <si>
    <t>20250470-08.04.2025</t>
  </si>
  <si>
    <t>20250488-09.04.2025</t>
  </si>
  <si>
    <t>20250493-10.04.2025</t>
  </si>
  <si>
    <t>20250496-11.04.2025</t>
  </si>
  <si>
    <t>BVOLS.25603</t>
  </si>
  <si>
    <t>20250498-14.04.2025</t>
  </si>
  <si>
    <t>RETURNAT CAPETELE</t>
  </si>
  <si>
    <t>20250146-11.02.2025</t>
  </si>
  <si>
    <t>20250204-21.02.2025</t>
  </si>
  <si>
    <t>BVOLS.25258</t>
  </si>
  <si>
    <t>20250208-24.02.2025</t>
  </si>
  <si>
    <t>20250216-25.02.2025</t>
  </si>
  <si>
    <t>20250213-25.02.2025</t>
  </si>
  <si>
    <t>20250226-27.02.2025</t>
  </si>
  <si>
    <t>20250242-28.02.2025</t>
  </si>
  <si>
    <t>20250268-04.03.2025</t>
  </si>
  <si>
    <t xml:space="preserve">yes </t>
  </si>
  <si>
    <t>20250238-27.02.2025</t>
  </si>
  <si>
    <t>20250223-27.02.2025</t>
  </si>
  <si>
    <t>20250266-04.03.2025</t>
  </si>
  <si>
    <t>20250347-19.03.2025</t>
  </si>
  <si>
    <t>20250393-25.03.2025</t>
  </si>
  <si>
    <t>20250423-28.03.2025</t>
  </si>
  <si>
    <t>20250549-22.04.2025</t>
  </si>
  <si>
    <t>20250168-17.02.2025</t>
  </si>
  <si>
    <t>20250181-18.02.2025</t>
  </si>
  <si>
    <t>BVOLS.25285</t>
  </si>
  <si>
    <t>20250251-28.02.2025</t>
  </si>
  <si>
    <t>20250307-12.03.2025</t>
  </si>
  <si>
    <t>20250346-19.03.2025</t>
  </si>
  <si>
    <t>BVOLS.25443</t>
  </si>
  <si>
    <t>20250370-24.03.2025</t>
  </si>
  <si>
    <t>20250421-28.03.2025</t>
  </si>
  <si>
    <t xml:space="preserve">anulat, cantitate gresita </t>
  </si>
  <si>
    <t>20250422-28.03.2025/20250439-03.04.2025</t>
  </si>
  <si>
    <t>anulat, cantitate gresita</t>
  </si>
  <si>
    <t>20250440-03.04.2025</t>
  </si>
  <si>
    <t>20250801-37.06.2025</t>
  </si>
  <si>
    <t>20250302-11.03.2025</t>
  </si>
  <si>
    <t>20250662-27.05.2025</t>
  </si>
  <si>
    <t>20250264-04.03.2025</t>
  </si>
  <si>
    <t>20250269-04.03.2025</t>
  </si>
  <si>
    <t>20250270-04.03.2025</t>
  </si>
  <si>
    <t>20250267-04.03.2025</t>
  </si>
  <si>
    <t>20250271-04.03.2025</t>
  </si>
  <si>
    <t>20250263-04.03.2025</t>
  </si>
  <si>
    <r>
      <t>25331/</t>
    </r>
    <r>
      <rPr>
        <sz val="12"/>
        <color rgb="FFFF0000"/>
        <rFont val="Calibri"/>
        <family val="2"/>
        <scheme val="minor"/>
      </rPr>
      <t>25360</t>
    </r>
  </si>
  <si>
    <t>ANULAT</t>
  </si>
  <si>
    <r>
      <t>20250281-06.03.2025/</t>
    </r>
    <r>
      <rPr>
        <sz val="12"/>
        <color rgb="FFFF0000"/>
        <rFont val="Calibri"/>
        <family val="2"/>
        <scheme val="minor"/>
      </rPr>
      <t>20250299-10.03.2025</t>
    </r>
  </si>
  <si>
    <t>20250300-10.03.2025</t>
  </si>
  <si>
    <t>20250283-06.03.2025</t>
  </si>
  <si>
    <t>20250304-11.03.2025</t>
  </si>
  <si>
    <t>20250306-11.03.2025</t>
  </si>
  <si>
    <t>20250314-13.03.2025</t>
  </si>
  <si>
    <t>20250368-20.03.2025</t>
  </si>
  <si>
    <t>20250380-25.03.2025</t>
  </si>
  <si>
    <t>20250404-27.03.2025</t>
  </si>
  <si>
    <t>20250450-03.04.2025</t>
  </si>
  <si>
    <t>20242078 anulat // 25394 refacut</t>
  </si>
  <si>
    <t>20250324-15.03.2025</t>
  </si>
  <si>
    <t>20250372-24.03.2025</t>
  </si>
  <si>
    <t>20250394-25.03.2025</t>
  </si>
  <si>
    <t>20250425-28.03.2025</t>
  </si>
  <si>
    <t>20250548-22.04.2025</t>
  </si>
  <si>
    <t>20250576-01.05.2025</t>
  </si>
  <si>
    <t>20250258-28.02.2025</t>
  </si>
  <si>
    <t>20250289-07.03.2025</t>
  </si>
  <si>
    <t>20250291-07.03.2025</t>
  </si>
  <si>
    <t>20250486-09.04.2025</t>
  </si>
  <si>
    <t>20250282-06.03.2025</t>
  </si>
  <si>
    <t>20250305-11.03.2025</t>
  </si>
  <si>
    <t>20250303-11.03.2025</t>
  </si>
  <si>
    <t>20250315-13.03.2025</t>
  </si>
  <si>
    <t>20250453-04.04.2025</t>
  </si>
  <si>
    <t>20250558-29.04.2025</t>
  </si>
  <si>
    <t>20250308-12.03.2025</t>
  </si>
  <si>
    <t>BVOLS.25620</t>
  </si>
  <si>
    <t>20250519-16.04.2025</t>
  </si>
  <si>
    <t>20250524-22.04.2025</t>
  </si>
  <si>
    <t>PLATE              4WRSE10.-30/</t>
  </si>
  <si>
    <t>BVOLS.25286</t>
  </si>
  <si>
    <t>20250252-28.02.2025</t>
  </si>
  <si>
    <t>20250321-14.03.2025</t>
  </si>
  <si>
    <t>20250358-20.03.2025</t>
  </si>
  <si>
    <t>yes - 100</t>
  </si>
  <si>
    <t>20250500-11.04.2025</t>
  </si>
  <si>
    <t>bvols.25621</t>
  </si>
  <si>
    <t>20250520-16.04.2025</t>
  </si>
  <si>
    <t>20250610-13.05.2025</t>
  </si>
  <si>
    <t>2025221L</t>
  </si>
  <si>
    <t>ppap revalidare</t>
  </si>
  <si>
    <t>20251270-03.10.2025</t>
  </si>
  <si>
    <t>20250301-10.03.2025</t>
  </si>
  <si>
    <t>20250316-13.03.2025</t>
  </si>
  <si>
    <t>20250317-13.03.2025</t>
  </si>
  <si>
    <t>20250322-14.03.2025</t>
  </si>
  <si>
    <t>20250341-18.03.2025</t>
  </si>
  <si>
    <t>20250342-18.03.2025</t>
  </si>
  <si>
    <t>20250340-18.03.2025</t>
  </si>
  <si>
    <t>20250359-20.03.2025</t>
  </si>
  <si>
    <t>20250378-25.03.2025</t>
  </si>
  <si>
    <t>20250567-30.04.2025</t>
  </si>
  <si>
    <t>20250581-06.05.2025</t>
  </si>
  <si>
    <t>9F0001830</t>
  </si>
  <si>
    <t>20241511-04.12.2024</t>
  </si>
  <si>
    <t>20250136-10.02.2025</t>
  </si>
  <si>
    <t>20250348-19.03.2025</t>
  </si>
  <si>
    <t>20250371-24.03.2025</t>
  </si>
  <si>
    <t>20250392-25.03.2025</t>
  </si>
  <si>
    <t>KUH.6326-M-3001</t>
  </si>
  <si>
    <t>096458550-0000</t>
  </si>
  <si>
    <t>20250397-26.03.2025</t>
  </si>
  <si>
    <t>20250398-26.03.2025</t>
  </si>
  <si>
    <t>20250396-26.03.2025</t>
  </si>
  <si>
    <t>20250401-27.03.2025</t>
  </si>
  <si>
    <t>PPAP L3</t>
  </si>
  <si>
    <t>20250399-27.03.2025</t>
  </si>
  <si>
    <t>20250400-27.03.2025</t>
  </si>
  <si>
    <t>20250409-28.03.2025</t>
  </si>
  <si>
    <t>20250410-28.03.2025</t>
  </si>
  <si>
    <t>20250411-28.03.2025</t>
  </si>
  <si>
    <t>20250419-31.03.2025</t>
  </si>
  <si>
    <t>20250417-31.03.2025</t>
  </si>
  <si>
    <t>20250435-31.03.2025</t>
  </si>
  <si>
    <t>BVOLS.25522</t>
  </si>
  <si>
    <t>20250443-31.03.2025</t>
  </si>
  <si>
    <t>20250452-03.04.2025</t>
  </si>
  <si>
    <t>20250455-04.04.2025</t>
  </si>
  <si>
    <t>20250466-07.04.2025</t>
  </si>
  <si>
    <t>20250471-08.04.2025</t>
  </si>
  <si>
    <t>20250469-08.04.2025</t>
  </si>
  <si>
    <t>25618 + 25619</t>
  </si>
  <si>
    <t>MATERIAL RETURNAT + piese NOK</t>
  </si>
  <si>
    <t>20250518-16.04.2025</t>
  </si>
  <si>
    <t>20250349-19.03.2025</t>
  </si>
  <si>
    <t>20250538-22.04.2025</t>
  </si>
  <si>
    <t>20250339/20250343-18.03.2025</t>
  </si>
  <si>
    <t>20250377-25.03.2025</t>
  </si>
  <si>
    <t>20250403-27.03.2025</t>
  </si>
  <si>
    <t>la vopsit 133</t>
  </si>
  <si>
    <t>20250656-23.05.2025</t>
  </si>
  <si>
    <t>20250424-28.03.2025</t>
  </si>
  <si>
    <t>081046383-8011</t>
  </si>
  <si>
    <t>20250468-07.04.2025</t>
  </si>
  <si>
    <t>20250551-24.04.2025</t>
  </si>
  <si>
    <t>.</t>
  </si>
  <si>
    <t>20250676-30.05.2025</t>
  </si>
  <si>
    <t>20250701-03.06.2025</t>
  </si>
  <si>
    <t>20250707-05.06.2025</t>
  </si>
  <si>
    <t>20250575-01.05.2025</t>
  </si>
  <si>
    <t>7028-1151-00</t>
  </si>
  <si>
    <t>7028-1262-00</t>
  </si>
  <si>
    <t>7028-1602-00</t>
  </si>
  <si>
    <t>7028-1153-00</t>
  </si>
  <si>
    <t>20250540-24.04.2025</t>
  </si>
  <si>
    <t>BVOLS&gt;25512</t>
  </si>
  <si>
    <t>20250433-31.03.2025</t>
  </si>
  <si>
    <t>BVOLS.25509</t>
  </si>
  <si>
    <t>20250430-31.03.2025</t>
  </si>
  <si>
    <t>BVOLS.25510</t>
  </si>
  <si>
    <t>20250431-31.03.2025</t>
  </si>
  <si>
    <t>BVOLS.25507</t>
  </si>
  <si>
    <t>20250426-31.03.2025</t>
  </si>
  <si>
    <t> </t>
  </si>
  <si>
    <t>PPAP - mat furnizor diferit -&gt; stornare 4 buc din 5</t>
  </si>
  <si>
    <r>
      <rPr>
        <sz val="11"/>
        <color rgb="FF000000"/>
        <rFont val="Calibri"/>
        <family val="2"/>
        <scheme val="minor"/>
      </rPr>
      <t xml:space="preserve">20250473-08.04.2025 // </t>
    </r>
    <r>
      <rPr>
        <sz val="11"/>
        <color rgb="FFFF0000"/>
        <rFont val="Calibri"/>
        <family val="2"/>
        <scheme val="minor"/>
      </rPr>
      <t>20250556-29.04.2025</t>
    </r>
  </si>
  <si>
    <t>20250568-30.04.2025</t>
  </si>
  <si>
    <t xml:space="preserve">PPAP  </t>
  </si>
  <si>
    <t>20250591-08.05.2025</t>
  </si>
  <si>
    <t>20250474-08.04.2025</t>
  </si>
  <si>
    <t>20250475-08.04.2025</t>
  </si>
  <si>
    <t>20250489-09.04.2025</t>
  </si>
  <si>
    <t>20250494-10.04.2025</t>
  </si>
  <si>
    <t>20250510-15.04.2025</t>
  </si>
  <si>
    <t>20250513-15.04.2025</t>
  </si>
  <si>
    <t>20250522-22.04.2025</t>
  </si>
  <si>
    <t>20250525-22.04.2025</t>
  </si>
  <si>
    <t>20250527-22.04.2025</t>
  </si>
  <si>
    <t>20250526-22.04.2025</t>
  </si>
  <si>
    <t>20250542-24.04.2025</t>
  </si>
  <si>
    <t>20250543-24.04.2025</t>
  </si>
  <si>
    <t>BVOLS.25513</t>
  </si>
  <si>
    <t>20250434-31.03.2025</t>
  </si>
  <si>
    <t>BVOLS.25508</t>
  </si>
  <si>
    <t>20250427-31.03.2025</t>
  </si>
  <si>
    <t>BVOLS.25511</t>
  </si>
  <si>
    <t>20250432-31.03.2025</t>
  </si>
  <si>
    <t>20250449-03.04.2025</t>
  </si>
  <si>
    <t>20250472-08.04.2025</t>
  </si>
  <si>
    <t>20250495-11.04.2025</t>
  </si>
  <si>
    <t>20250509-15.04.2025</t>
  </si>
  <si>
    <t>20250552-24.04.2025</t>
  </si>
  <si>
    <t>Atentie, nu am inchis comanda rpincipala din carescadem!</t>
  </si>
  <si>
    <t>20250771-20.06.2025</t>
  </si>
  <si>
    <r>
      <t>20250512-15.04.2025/</t>
    </r>
    <r>
      <rPr>
        <sz val="11"/>
        <color rgb="FFFF0000"/>
        <rFont val="Calibri"/>
        <family val="2"/>
        <scheme val="minor"/>
      </rPr>
      <t>20250976-25.07.2025</t>
    </r>
  </si>
  <si>
    <t>20250550-22.04.2025</t>
  </si>
  <si>
    <t>20250544-24.04.2025</t>
  </si>
  <si>
    <t>20250557-29.04.2025</t>
  </si>
  <si>
    <t>20250574-01.05.2025</t>
  </si>
  <si>
    <t>20250284-06.03.2025</t>
  </si>
  <si>
    <t>BVOLS.25600</t>
  </si>
  <si>
    <t>20250499-14.04.2025</t>
  </si>
  <si>
    <t>20250521-22.04.2025</t>
  </si>
  <si>
    <t>20250528-22.04.2025</t>
  </si>
  <si>
    <t>20250623-15.05.2025</t>
  </si>
  <si>
    <t>20250485-09.04.2025</t>
  </si>
  <si>
    <t>20250539-22.04.2025</t>
  </si>
  <si>
    <t>EDP KUH.6036-A-M-3001B _</t>
  </si>
  <si>
    <t>300343426-0000</t>
  </si>
  <si>
    <t>20250546-24.04.2025</t>
  </si>
  <si>
    <t>20250547-24.04.2025</t>
  </si>
  <si>
    <t>20250562-29.04.2025</t>
  </si>
  <si>
    <t>20250597-08.05.2025</t>
  </si>
  <si>
    <t>20250598-09.05.2025</t>
  </si>
  <si>
    <t>20250608-12.05.2025</t>
  </si>
  <si>
    <t>20250617-13.05.2025</t>
  </si>
  <si>
    <t>20250620-13.05.2025</t>
  </si>
  <si>
    <t>20250611-13.05.2025</t>
  </si>
  <si>
    <t>20250625-15.05.2025</t>
  </si>
  <si>
    <t>20250622-16.05.2025</t>
  </si>
  <si>
    <t>20250638-20.05.2025</t>
  </si>
  <si>
    <t>20250641-21.05.2025</t>
  </si>
  <si>
    <t>20250651-23.05.2025</t>
  </si>
  <si>
    <t>20250658-26.05.2025</t>
  </si>
  <si>
    <t>20250666-27.05.2025</t>
  </si>
  <si>
    <t>20250663-27.05.2025</t>
  </si>
  <si>
    <t>20250770-20.06.2025</t>
  </si>
  <si>
    <t>20250881-10.07.2025</t>
  </si>
  <si>
    <t>20250909-14.07.2025</t>
  </si>
  <si>
    <t>20250964-24.07.2025</t>
  </si>
  <si>
    <t>20250555-25.04.2025</t>
  </si>
  <si>
    <t>20250508-15.04.2025</t>
  </si>
  <si>
    <t>096287888-0000</t>
  </si>
  <si>
    <t>aproved</t>
  </si>
  <si>
    <t>20250516-15.04.2025</t>
  </si>
  <si>
    <t>20250511-15.04.2025</t>
  </si>
  <si>
    <t>2 piese reclamate 1200097322</t>
  </si>
  <si>
    <r>
      <t>20250511-15.04.2025/</t>
    </r>
    <r>
      <rPr>
        <sz val="11"/>
        <color rgb="FFFF0000"/>
        <rFont val="Calibri"/>
        <family val="2"/>
        <scheme val="minor"/>
      </rPr>
      <t>20250579-06.05.2025</t>
    </r>
  </si>
  <si>
    <t>20250517-16.04.2025</t>
  </si>
  <si>
    <t>20250523-22.04.2025</t>
  </si>
  <si>
    <t>20250541-24.04.2025</t>
  </si>
  <si>
    <t>20250566-30.04.2025</t>
  </si>
  <si>
    <t>20250594-08.05.2025</t>
  </si>
  <si>
    <t>20250599-09.05.2025</t>
  </si>
  <si>
    <t>20250600-09.05.2025</t>
  </si>
  <si>
    <t>20250607-12.05.2025</t>
  </si>
  <si>
    <t>20250615-13.05.2025</t>
  </si>
  <si>
    <t>20250529-22.04.2025</t>
  </si>
  <si>
    <t>20250537-23.04.2025</t>
  </si>
  <si>
    <t>20250545-24.04.2025</t>
  </si>
  <si>
    <t>20250554-25.04.2025</t>
  </si>
  <si>
    <t>20250618-13.05.2025</t>
  </si>
  <si>
    <t>20250619-13.05.2025</t>
  </si>
  <si>
    <t>20250650-23.05.2025</t>
  </si>
  <si>
    <t>20250565-29.04.2025</t>
  </si>
  <si>
    <t>20250665-27.05.2025</t>
  </si>
  <si>
    <t>BVOLS.25601</t>
  </si>
  <si>
    <t>20250497-14.04.2025</t>
  </si>
  <si>
    <t>20250655-23.05.2025</t>
  </si>
  <si>
    <t>20250669-28.05.2025</t>
  </si>
  <si>
    <t>neasamblate si nevopsite</t>
  </si>
  <si>
    <t>20250561-28.04.2025</t>
  </si>
  <si>
    <t>20250630-19.05.2025</t>
  </si>
  <si>
    <t>20250634-19.05.2025</t>
  </si>
  <si>
    <t>20251004-29.07.2025</t>
  </si>
  <si>
    <t>20251022/31.07.2025</t>
  </si>
  <si>
    <t>Eva Roth</t>
  </si>
  <si>
    <t>20251013/31.07.2025</t>
  </si>
  <si>
    <t>20250582-06.05.2025</t>
  </si>
  <si>
    <t>20250587-06.05.2025</t>
  </si>
  <si>
    <t>20250580-06.05.2025</t>
  </si>
  <si>
    <t>20250584-06.05.2025</t>
  </si>
  <si>
    <t>20250586-06.05.2025</t>
  </si>
  <si>
    <t>20250585-06.05.2025</t>
  </si>
  <si>
    <t>20250588-06.05.2025</t>
  </si>
  <si>
    <t>20250589-06.05.2025</t>
  </si>
  <si>
    <t>20250592-08.05.2025</t>
  </si>
  <si>
    <t>20250624-15.05.2025</t>
  </si>
  <si>
    <t>20250694-30.05.2025</t>
  </si>
  <si>
    <t>20250851-02.07.2025</t>
  </si>
  <si>
    <t>20250846-02.07.2025</t>
  </si>
  <si>
    <t>HOUSING            DBD.20G1X/./12</t>
  </si>
  <si>
    <t>20250687-30.05.2025</t>
  </si>
  <si>
    <t>20250746-17.06.2025</t>
  </si>
  <si>
    <t>20250609-12.05.2025</t>
  </si>
  <si>
    <t>20250653-23.05.2025</t>
  </si>
  <si>
    <t>20250664-27.05.2025</t>
  </si>
  <si>
    <t>20250674-29.05.2025</t>
  </si>
  <si>
    <t>20250686-30.05.2025</t>
  </si>
  <si>
    <t>20250696-02.06.2025</t>
  </si>
  <si>
    <t>20250702-04.06.2025</t>
  </si>
  <si>
    <t>20250704-04.06.2025</t>
  </si>
  <si>
    <t>25882 + 25883</t>
  </si>
  <si>
    <t>46 capete + 46   NOK</t>
  </si>
  <si>
    <t>20250706-05.06.2025</t>
  </si>
  <si>
    <t>5 piese livrate pt teste cu avizul 25908 din data de 11.06.2025</t>
  </si>
  <si>
    <t>20250739-13.06.2025</t>
  </si>
  <si>
    <t>4 SUNT CU DEROGARE</t>
  </si>
  <si>
    <t>20250751-17.06.2025</t>
  </si>
  <si>
    <t>20250583-06.05.2025</t>
  </si>
  <si>
    <t>20250595-08.05.2025</t>
  </si>
  <si>
    <t>20250745-17.06.2025</t>
  </si>
  <si>
    <t>20250834-30.06.2025</t>
  </si>
  <si>
    <t>20250593-08.05.2025</t>
  </si>
  <si>
    <t>20250612-13.05.2025</t>
  </si>
  <si>
    <t>20250643-22.05.2025</t>
  </si>
  <si>
    <t>20250644-22.05.2025</t>
  </si>
  <si>
    <t>20250661-27.05.2025</t>
  </si>
  <si>
    <t>20250668-27.05.2025</t>
  </si>
  <si>
    <t>20250667-27.05.2025</t>
  </si>
  <si>
    <t>produse</t>
  </si>
  <si>
    <t>20250699-03.06.2025</t>
  </si>
  <si>
    <t>20250709-05.06.2025</t>
  </si>
  <si>
    <t>20250719-10.06.2025</t>
  </si>
  <si>
    <t>20250756-17.06.2025</t>
  </si>
  <si>
    <t>20250754-17.06.2025</t>
  </si>
  <si>
    <t>20250762-19.06.2025</t>
  </si>
  <si>
    <t>20250760-19.06.2025</t>
  </si>
  <si>
    <t>20250775-20.06.2025</t>
  </si>
  <si>
    <t>20250765-20.06.2025</t>
  </si>
  <si>
    <t>20250847-02.07.2025</t>
  </si>
  <si>
    <t>20250631-19.05.2025</t>
  </si>
  <si>
    <t>20250652-23.05.2025</t>
  </si>
  <si>
    <t>20250590-08.05.2025</t>
  </si>
  <si>
    <t>20250614-13.05.2025</t>
  </si>
  <si>
    <t>20250621-15.05.2025</t>
  </si>
  <si>
    <t>20250779-24.06.2025</t>
  </si>
  <si>
    <t>20250856-02.07.2025</t>
  </si>
  <si>
    <t>20250863-04.07.2025</t>
  </si>
  <si>
    <t>20250864-04.07.2025</t>
  </si>
  <si>
    <t>20250563-29.04.2025</t>
  </si>
  <si>
    <t>20250684-30.05.2025</t>
  </si>
  <si>
    <t>20250713-06.05.2025</t>
  </si>
  <si>
    <t>10916532643530</t>
  </si>
  <si>
    <t>1 buc PPAP</t>
  </si>
  <si>
    <t>20250749-17.06.2025</t>
  </si>
  <si>
    <t>20251144-29.08.2025</t>
  </si>
  <si>
    <t>20250613-13.05.2025</t>
  </si>
  <si>
    <t>20250637-20.05.2025</t>
  </si>
  <si>
    <t>20250642-22.05.2025</t>
  </si>
  <si>
    <t>20250675-29.05.2025</t>
  </si>
  <si>
    <t>20251127-29.08.2025</t>
  </si>
  <si>
    <t>20250685-30.05.2025</t>
  </si>
  <si>
    <t>20250812-30.06.202storno/20251231-26.09.2025</t>
  </si>
  <si>
    <t>20250880-09.07.2025</t>
  </si>
  <si>
    <t>20250906-14.07.2025</t>
  </si>
  <si>
    <t>20250956-24.07.2025</t>
  </si>
  <si>
    <t>20250693-30.05.2025</t>
  </si>
  <si>
    <t>20250683-30.05.2025</t>
  </si>
  <si>
    <t>20250833-30.06.2025</t>
  </si>
  <si>
    <t>20250872-09.07.2025</t>
  </si>
  <si>
    <t>20250874-09.07.2025</t>
  </si>
  <si>
    <t>20250809-30.06.2025</t>
  </si>
  <si>
    <t>20250849-02.07.2025</t>
  </si>
  <si>
    <t>20250879-09.07.2025</t>
  </si>
  <si>
    <t>20250962-24.07.2025</t>
  </si>
  <si>
    <t>20251001-28.07.2025</t>
  </si>
  <si>
    <t>20250700-03.06.2025</t>
  </si>
  <si>
    <t>20250747-17.06.2025</t>
  </si>
  <si>
    <t>20250778-24.06.2025</t>
  </si>
  <si>
    <t>20250823-30.06.2025</t>
  </si>
  <si>
    <t>20250821-30.06.2025</t>
  </si>
  <si>
    <t>20250825-30.06.2025</t>
  </si>
  <si>
    <t>20250873-09.07.2025</t>
  </si>
  <si>
    <t>20250862-04.07.2025</t>
  </si>
  <si>
    <t>20250967-24.07.2025</t>
  </si>
  <si>
    <t>20250966-24.07.2025</t>
  </si>
  <si>
    <t>20250657-23.05.2025</t>
  </si>
  <si>
    <t>20250710-05.06.2025</t>
  </si>
  <si>
    <t>20250759-19.06.2025</t>
  </si>
  <si>
    <t>20250792-26.06.2025</t>
  </si>
  <si>
    <t>20250794-27.06.2025</t>
  </si>
  <si>
    <t>20250820-30.06.2025</t>
  </si>
  <si>
    <t>20250867-07.07.2025</t>
  </si>
  <si>
    <t>20250886-08.07.2025</t>
  </si>
  <si>
    <t>202503L</t>
  </si>
  <si>
    <t>20250890-09.07.2025</t>
  </si>
  <si>
    <t>202537L</t>
  </si>
  <si>
    <t>20250949-21.07.2025</t>
  </si>
  <si>
    <t>20250632-19.05.2025</t>
  </si>
  <si>
    <t>20250730-12.06.2025</t>
  </si>
  <si>
    <t>20250819-30.06.2025</t>
  </si>
  <si>
    <t>202523L</t>
  </si>
  <si>
    <t>20250920-15.07.2025</t>
  </si>
  <si>
    <t>20250703-04.06.2025</t>
  </si>
  <si>
    <t>20250711-05.06.2025</t>
  </si>
  <si>
    <t>20250712-05.06.2025</t>
  </si>
  <si>
    <t>20250717-06.06.2025</t>
  </si>
  <si>
    <t>20250720-10.06.2025</t>
  </si>
  <si>
    <t>20250723-11.06.2025</t>
  </si>
  <si>
    <t>20250731-12.06.2025</t>
  </si>
  <si>
    <t>20250733-12.06.2025</t>
  </si>
  <si>
    <t>20250736-13.06.2025</t>
  </si>
  <si>
    <t>20250740-16.06.2025</t>
  </si>
  <si>
    <t>20250753-17.06.2025</t>
  </si>
  <si>
    <t>20250750-17.06.2025</t>
  </si>
  <si>
    <t>20250758-18.06.2025</t>
  </si>
  <si>
    <t>20250763-19.06.2025</t>
  </si>
  <si>
    <t>COVER              ZDC 10.-25/</t>
  </si>
  <si>
    <t>20250774-20.06.2025</t>
  </si>
  <si>
    <t>20250905-14.07.2025</t>
  </si>
  <si>
    <t>20250887-08.07.2025</t>
  </si>
  <si>
    <t>20250893-10.07.2025</t>
  </si>
  <si>
    <t>202505L</t>
  </si>
  <si>
    <t>20250883-09.07.2025</t>
  </si>
  <si>
    <t>202501L</t>
  </si>
  <si>
    <t>20250888-09.07.2025</t>
  </si>
  <si>
    <t>20251068-08.08.2025</t>
  </si>
  <si>
    <t>20251188-15.09.2025</t>
  </si>
  <si>
    <t>20250766-20.06.2025</t>
  </si>
  <si>
    <t>202521L</t>
  </si>
  <si>
    <t>20250918-15.07.2025</t>
  </si>
  <si>
    <t>202531L</t>
  </si>
  <si>
    <t>20250936-17.07.2025</t>
  </si>
  <si>
    <t>20251186-15.09.2025</t>
  </si>
  <si>
    <t>20250755-17.06.2025</t>
  </si>
  <si>
    <t>20250761-19.06.2025</t>
  </si>
  <si>
    <t>20250793-26.06.2025</t>
  </si>
  <si>
    <t>20250795-27.06.2025</t>
  </si>
  <si>
    <t>STORNO</t>
  </si>
  <si>
    <t>20250865-07.07.2025/20250882-09.07.2025</t>
  </si>
  <si>
    <t>202509L</t>
  </si>
  <si>
    <t>20250898-10.07.2025</t>
  </si>
  <si>
    <t>202515L</t>
  </si>
  <si>
    <t>20250902-11.07.2025</t>
  </si>
  <si>
    <t>202517L</t>
  </si>
  <si>
    <t>20250915-14.07.2025</t>
  </si>
  <si>
    <t>202571L</t>
  </si>
  <si>
    <t>20251006/31.07.2025</t>
  </si>
  <si>
    <t>20250732-12.06.2025</t>
  </si>
  <si>
    <t>20250738-13.06.2025</t>
  </si>
  <si>
    <t>20250741-16.06.2025</t>
  </si>
  <si>
    <t>20250752-17.06.2025</t>
  </si>
  <si>
    <t>20250757-18.06.2025</t>
  </si>
  <si>
    <t>20250764-19.06.2025</t>
  </si>
  <si>
    <t>20250767-20.06.2025</t>
  </si>
  <si>
    <t>20251115-26.08.2025</t>
  </si>
  <si>
    <t>ASTEPTAM CDA PTR DIF DE 20</t>
  </si>
  <si>
    <t>20250776-23.06.2025</t>
  </si>
  <si>
    <t>202508L</t>
  </si>
  <si>
    <t>20250897-10.07.2025</t>
  </si>
  <si>
    <t>202514L</t>
  </si>
  <si>
    <t>20250903-11.07.2025</t>
  </si>
  <si>
    <t>20250981-25.07.2025</t>
  </si>
  <si>
    <t>20250695-30.05.2025</t>
  </si>
  <si>
    <t>20250728-12.06.2025</t>
  </si>
  <si>
    <t>20250735-13.06.2025</t>
  </si>
  <si>
    <t>20250777-24.06.2025</t>
  </si>
  <si>
    <t>completare cu aviz 251052</t>
  </si>
  <si>
    <t>20250877-09.07.2025/20250892-10.07.2025</t>
  </si>
  <si>
    <t>202528L</t>
  </si>
  <si>
    <t>20250933-17.07.2025</t>
  </si>
  <si>
    <t>202559L</t>
  </si>
  <si>
    <t>20250992-28.07.2025</t>
  </si>
  <si>
    <t>202564L</t>
  </si>
  <si>
    <t>20250998/29.07</t>
  </si>
  <si>
    <t>202572L</t>
  </si>
  <si>
    <t>20251008/30.07.2025</t>
  </si>
  <si>
    <t>202573L</t>
  </si>
  <si>
    <t>20251011/31.07.2025</t>
  </si>
  <si>
    <t>5 pcs PPAP(AVIZ 25982)</t>
  </si>
  <si>
    <t>BVOLS20250830/30.06.2025</t>
  </si>
  <si>
    <t>20250787-26.06.2025</t>
  </si>
  <si>
    <t>BVOLS20250780/24.06.2025</t>
  </si>
  <si>
    <t>20250829-30.06.2025</t>
  </si>
  <si>
    <t>202516L</t>
  </si>
  <si>
    <t>20250914-14.07.2025</t>
  </si>
  <si>
    <t>202520L</t>
  </si>
  <si>
    <t>20250917-15.07.2025</t>
  </si>
  <si>
    <t>202526L</t>
  </si>
  <si>
    <t>20250930-16.07.2025</t>
  </si>
  <si>
    <t>202529L</t>
  </si>
  <si>
    <t>20250934-17.07.2025</t>
  </si>
  <si>
    <t>202533L</t>
  </si>
  <si>
    <t>20250951-18.07.2025</t>
  </si>
  <si>
    <t>20250714-05.06.2025</t>
  </si>
  <si>
    <t>20250716-06.06.2025</t>
  </si>
  <si>
    <t>20250721-10.06.2025</t>
  </si>
  <si>
    <t>20250722-11.06.2025</t>
  </si>
  <si>
    <t>097122220-0000</t>
  </si>
  <si>
    <t>20250729-12.06.2025</t>
  </si>
  <si>
    <t>20250737-13.06.2025</t>
  </si>
  <si>
    <t>20250781-24.06.2025</t>
  </si>
  <si>
    <t>pentru PPAP</t>
  </si>
  <si>
    <t>20250789-26.06.2025</t>
  </si>
  <si>
    <t>25985/202527L</t>
  </si>
  <si>
    <t>sunt piesele intoarse</t>
  </si>
  <si>
    <r>
      <t>20250824-30.06.2025/</t>
    </r>
    <r>
      <rPr>
        <sz val="11"/>
        <color rgb="FFFF0000"/>
        <rFont val="Calibri"/>
        <family val="2"/>
        <scheme val="minor"/>
      </rPr>
      <t>20250940-18.07.2025/</t>
    </r>
    <r>
      <rPr>
        <sz val="11"/>
        <rFont val="Calibri"/>
        <family val="2"/>
        <scheme val="minor"/>
      </rPr>
      <t>20250941-18.07.2025</t>
    </r>
  </si>
  <si>
    <t>20250797-27.06.2025</t>
  </si>
  <si>
    <t>20250800-27.06.2025</t>
  </si>
  <si>
    <t>25995/202527L</t>
  </si>
  <si>
    <t>20250790-26.06.2025/20250939-18.07.2025/20250941-18.07.2025</t>
  </si>
  <si>
    <t>20250804-27.06.2025</t>
  </si>
  <si>
    <t>154805.6-101 </t>
  </si>
  <si>
    <t>20250828-30.06.2025</t>
  </si>
  <si>
    <t>20250826-30.06.2025</t>
  </si>
  <si>
    <t>20250802-27.06.2025</t>
  </si>
  <si>
    <t>20250803-27.06.2025</t>
  </si>
  <si>
    <t>20250815-30.06.2025</t>
  </si>
  <si>
    <t>20250822-30.06.2025</t>
  </si>
  <si>
    <t>20250818-30.06.2025</t>
  </si>
  <si>
    <t>20250850-02.07.2025</t>
  </si>
  <si>
    <t>20250845-02.07.2025</t>
  </si>
  <si>
    <t>20250852-02.07.2025</t>
  </si>
  <si>
    <t xml:space="preserve">A fost avizul cu 144 (dat de depozit cant) si s-a facut corectie cu 84 </t>
  </si>
  <si>
    <r>
      <t>20250854-02.07.2025/</t>
    </r>
    <r>
      <rPr>
        <sz val="11"/>
        <color rgb="FFFF0000"/>
        <rFont val="Calibri"/>
        <family val="2"/>
        <scheme val="minor"/>
      </rPr>
      <t>20250901-11.07.2025/</t>
    </r>
    <r>
      <rPr>
        <sz val="11"/>
        <color theme="1"/>
        <rFont val="Calibri"/>
        <family val="2"/>
        <scheme val="minor"/>
      </rPr>
      <t>20250900-11.07.2025</t>
    </r>
  </si>
  <si>
    <t>20250858-04.07.2025</t>
  </si>
  <si>
    <t>PIESE PTR PPAP</t>
  </si>
  <si>
    <t>20250869-07.07.2025</t>
  </si>
  <si>
    <t>20250884-08.07.2025</t>
  </si>
  <si>
    <t>202524L</t>
  </si>
  <si>
    <t>20250921-15.07.2025</t>
  </si>
  <si>
    <t>202562L+61L</t>
  </si>
  <si>
    <t>2 BUC AU FOST PE CDA 39007963</t>
  </si>
  <si>
    <t>20250995-28.07.2025 / 20250994-28.07.2025</t>
  </si>
  <si>
    <t>de verificat cele 2 c-zi si adaugat+scazut</t>
  </si>
  <si>
    <t>20251185-11.09.205</t>
  </si>
  <si>
    <t>202580L</t>
  </si>
  <si>
    <t>20251029-06.08.2025</t>
  </si>
  <si>
    <t>202587L</t>
  </si>
  <si>
    <t>20251042-07.08.2025</t>
  </si>
  <si>
    <t>202511L</t>
  </si>
  <si>
    <t>20250899-10.07.2025</t>
  </si>
  <si>
    <t>20250814-30.06.2025</t>
  </si>
  <si>
    <t>20251000-28.07.2025</t>
  </si>
  <si>
    <t>la vopsit 254</t>
  </si>
  <si>
    <t>20251017/31.07.2025</t>
  </si>
  <si>
    <t>20250870-07.07.2025</t>
  </si>
  <si>
    <t>20250857-04.07.2025</t>
  </si>
  <si>
    <t>202522L</t>
  </si>
  <si>
    <t>20250919-15.07.2025</t>
  </si>
  <si>
    <t>Retur</t>
  </si>
  <si>
    <r>
      <t>20250963-24.07.2025/</t>
    </r>
    <r>
      <rPr>
        <sz val="11"/>
        <color rgb="FFFF0000"/>
        <rFont val="Calibri"/>
        <family val="2"/>
        <scheme val="minor"/>
      </rPr>
      <t>20251099-14.08.2025</t>
    </r>
  </si>
  <si>
    <t>202543L</t>
  </si>
  <si>
    <t>20250971-22.07.2025</t>
  </si>
  <si>
    <t>202546L</t>
  </si>
  <si>
    <t>20250972-23.07.2025</t>
  </si>
  <si>
    <t>20251108/20.08.2025</t>
  </si>
  <si>
    <t>20250853-02.07.2025</t>
  </si>
  <si>
    <t>202512L</t>
  </si>
  <si>
    <t>20250952-18.07.2025</t>
  </si>
  <si>
    <t>20250257-28.02.2025</t>
  </si>
  <si>
    <t>20251118-26.08.2025</t>
  </si>
  <si>
    <t>20250855-02.07.2025</t>
  </si>
  <si>
    <t>202504L</t>
  </si>
  <si>
    <t>20250891-09.07.2025</t>
  </si>
  <si>
    <t>20250866-07.07.2025</t>
  </si>
  <si>
    <t>20250885-08.07.2025</t>
  </si>
  <si>
    <t>20250923-14.07.2025</t>
  </si>
  <si>
    <t>20251003-28.07.2025</t>
  </si>
  <si>
    <t>20251020/31.07.2025</t>
  </si>
  <si>
    <t>202539L</t>
  </si>
  <si>
    <t>20250950-21.07.2025</t>
  </si>
  <si>
    <t>2025122L</t>
  </si>
  <si>
    <t>20251088-19.08.2025</t>
  </si>
  <si>
    <t>202506L</t>
  </si>
  <si>
    <t>20250895-10.07.2025</t>
  </si>
  <si>
    <t>202532L</t>
  </si>
  <si>
    <t>20250931-18.07.2025</t>
  </si>
  <si>
    <t>202540L</t>
  </si>
  <si>
    <t>20250968-21.07.2025</t>
  </si>
  <si>
    <t>20250983-25.07.2025</t>
  </si>
  <si>
    <t>202557L</t>
  </si>
  <si>
    <t>20250990-25.07.2025</t>
  </si>
  <si>
    <t>202560L</t>
  </si>
  <si>
    <t>20250993-28.07.2025</t>
  </si>
  <si>
    <t>202566L</t>
  </si>
  <si>
    <t>20250997/29.07</t>
  </si>
  <si>
    <t>202584L</t>
  </si>
  <si>
    <t>20251032-06.08.2025</t>
  </si>
  <si>
    <t>202502L</t>
  </si>
  <si>
    <t>20250889-09.07.2025</t>
  </si>
  <si>
    <t>202507L</t>
  </si>
  <si>
    <t>20250896-10.07.2025</t>
  </si>
  <si>
    <t>202579L</t>
  </si>
  <si>
    <t>20251028-06.08.2025</t>
  </si>
  <si>
    <t>202598L</t>
  </si>
  <si>
    <t>20251056-14.08.2025</t>
  </si>
  <si>
    <t>2025103L</t>
  </si>
  <si>
    <t>20251062-14.08.2025</t>
  </si>
  <si>
    <t>202542L</t>
  </si>
  <si>
    <t>20250970-22.07.2025</t>
  </si>
  <si>
    <t>20251187-15.09.2025</t>
  </si>
  <si>
    <t>20251223-24.09.2025</t>
  </si>
  <si>
    <t>2025116/26.08.2025</t>
  </si>
  <si>
    <t>20250908-14.07.2025</t>
  </si>
  <si>
    <t>20250958-24.07.2025</t>
  </si>
  <si>
    <t>25480 &amp; 25486</t>
  </si>
  <si>
    <t>20250420-28.03.2025</t>
  </si>
  <si>
    <t>20250441-03.04.2025</t>
  </si>
  <si>
    <t>202544L</t>
  </si>
  <si>
    <t>20250973-23.07.2025</t>
  </si>
  <si>
    <t>20250907-14.07.2025</t>
  </si>
  <si>
    <t>yes- doar 120</t>
  </si>
  <si>
    <t>20251015/32.07.2025</t>
  </si>
  <si>
    <t>202513L</t>
  </si>
  <si>
    <t>20250904-11.07.2025</t>
  </si>
  <si>
    <t>202510L</t>
  </si>
  <si>
    <t>20250913-14.07.2025</t>
  </si>
  <si>
    <t>202519L</t>
  </si>
  <si>
    <t>20250916-15.07.2025</t>
  </si>
  <si>
    <t>202525L</t>
  </si>
  <si>
    <t>20250929-16.07.2025</t>
  </si>
  <si>
    <t>202530L</t>
  </si>
  <si>
    <t>20250935-17.07.2025</t>
  </si>
  <si>
    <t>202535L</t>
  </si>
  <si>
    <t>20250947-18.07.2025</t>
  </si>
  <si>
    <t>202536L</t>
  </si>
  <si>
    <t>20250948-21.07.2025</t>
  </si>
  <si>
    <t>202541L</t>
  </si>
  <si>
    <t>20250969-22.07.2025</t>
  </si>
  <si>
    <t>202545L</t>
  </si>
  <si>
    <t>20250974-23.07.2025</t>
  </si>
  <si>
    <t>20250985-25.07.2025</t>
  </si>
  <si>
    <t>20250986-25.07.2025</t>
  </si>
  <si>
    <t>20250984-25.07.2025</t>
  </si>
  <si>
    <t>20250982-25.07.2025</t>
  </si>
  <si>
    <t>20250989-25.07.2025</t>
  </si>
  <si>
    <t>20250987-25.07.2025</t>
  </si>
  <si>
    <t>202558L</t>
  </si>
  <si>
    <t>20250991-28.07.2025</t>
  </si>
  <si>
    <t>202563L</t>
  </si>
  <si>
    <t>20250996/29.07</t>
  </si>
  <si>
    <t>202568L</t>
  </si>
  <si>
    <t>20251009/30.07.2025</t>
  </si>
  <si>
    <t>202575L</t>
  </si>
  <si>
    <t>20251010/31.07.2025</t>
  </si>
  <si>
    <t>202576L</t>
  </si>
  <si>
    <t>20251024-06.08.2025</t>
  </si>
  <si>
    <t>202581L</t>
  </si>
  <si>
    <t>20251025-06.08.2025</t>
  </si>
  <si>
    <t>202582L</t>
  </si>
  <si>
    <t>20251030-06.08.2025</t>
  </si>
  <si>
    <t>202589L</t>
  </si>
  <si>
    <t>20251044-07.08.2025</t>
  </si>
  <si>
    <t>202592L</t>
  </si>
  <si>
    <t>20251045-08.08.2025</t>
  </si>
  <si>
    <t>20250959-24.07.2025</t>
  </si>
  <si>
    <t>20251021/31.07.2025</t>
  </si>
  <si>
    <t>20251224-24.09.2025</t>
  </si>
  <si>
    <t>20251243-30.09.2025</t>
  </si>
  <si>
    <t>20251225-24.09.2025</t>
  </si>
  <si>
    <t>20251117-26.08.2025</t>
  </si>
  <si>
    <t>2025116L</t>
  </si>
  <si>
    <t>20251063-14.08.2025</t>
  </si>
  <si>
    <t>2025125L</t>
  </si>
  <si>
    <t>20251091-20.08.2025</t>
  </si>
  <si>
    <t>2025149L</t>
  </si>
  <si>
    <t>20251135-01.09.2025</t>
  </si>
  <si>
    <r>
      <t>20251016/31.07.2025*</t>
    </r>
    <r>
      <rPr>
        <sz val="11"/>
        <color rgb="FFFF0000"/>
        <rFont val="Calibri"/>
        <family val="2"/>
        <scheme val="minor"/>
      </rPr>
      <t>20251052-18.08.2025</t>
    </r>
    <r>
      <rPr>
        <sz val="11"/>
        <color theme="1"/>
        <rFont val="Calibri"/>
        <family val="2"/>
        <scheme val="minor"/>
      </rPr>
      <t>*20251053-18.08.2025</t>
    </r>
  </si>
  <si>
    <t>202586L</t>
  </si>
  <si>
    <t>20251041-07.08.2025</t>
  </si>
  <si>
    <t>202595L</t>
  </si>
  <si>
    <t>20251048-08.08.2025</t>
  </si>
  <si>
    <t>202569L</t>
  </si>
  <si>
    <t>20251007/30.07.2025</t>
  </si>
  <si>
    <t>202574L</t>
  </si>
  <si>
    <t>20251012/31.07.2025</t>
  </si>
  <si>
    <t>20250955-24.07.2025</t>
  </si>
  <si>
    <t>20251147-03.09.2025</t>
  </si>
  <si>
    <t>202594L</t>
  </si>
  <si>
    <t>20251047-08.08.2025</t>
  </si>
  <si>
    <t>20251055-14.08.2025</t>
  </si>
  <si>
    <t>2025108L</t>
  </si>
  <si>
    <t>20251073-14.08.2025</t>
  </si>
  <si>
    <t xml:space="preserve"> </t>
  </si>
  <si>
    <t>2025118L</t>
  </si>
  <si>
    <t>20251084-18.08.2025</t>
  </si>
  <si>
    <t>2025121L</t>
  </si>
  <si>
    <t>20251087-19.08.2025</t>
  </si>
  <si>
    <t>2025124L</t>
  </si>
  <si>
    <t>20251090-20.08.2025</t>
  </si>
  <si>
    <t>2025128L</t>
  </si>
  <si>
    <t>20251106-22.08.2025</t>
  </si>
  <si>
    <t>202588L</t>
  </si>
  <si>
    <t>20251043-07.08.2025</t>
  </si>
  <si>
    <t>20250980-25.07.2025</t>
  </si>
  <si>
    <t>20250988-25.07.2025</t>
  </si>
  <si>
    <t>202565L</t>
  </si>
  <si>
    <t>20250999/29.07</t>
  </si>
  <si>
    <t>202570L</t>
  </si>
  <si>
    <t>20251005/31.07.2025</t>
  </si>
  <si>
    <t>202577L</t>
  </si>
  <si>
    <t>20251026-06.08.2025</t>
  </si>
  <si>
    <t>202578L</t>
  </si>
  <si>
    <t>20251027-06.08.2025</t>
  </si>
  <si>
    <t>202585L</t>
  </si>
  <si>
    <t>20251040-07.08.2025</t>
  </si>
  <si>
    <t>2025100L</t>
  </si>
  <si>
    <t>20251058-14.08.2025</t>
  </si>
  <si>
    <t>2025102L</t>
  </si>
  <si>
    <t>20251061-14.08.2025</t>
  </si>
  <si>
    <t>2025107L</t>
  </si>
  <si>
    <t>20251074-14.08.2025</t>
  </si>
  <si>
    <t>2025106L</t>
  </si>
  <si>
    <t>20251075-14.08.2025</t>
  </si>
  <si>
    <t>2025113L</t>
  </si>
  <si>
    <t>20251066-14.08.2025</t>
  </si>
  <si>
    <t>2025117L</t>
  </si>
  <si>
    <t>20251083-18.08.2025</t>
  </si>
  <si>
    <t>2025119L</t>
  </si>
  <si>
    <t>20251085-19.08.2025</t>
  </si>
  <si>
    <t>2025126l</t>
  </si>
  <si>
    <t>20251092-21.08.2025</t>
  </si>
  <si>
    <t>2025131L</t>
  </si>
  <si>
    <t>20251111-26.08.2025</t>
  </si>
  <si>
    <t>2025134L</t>
  </si>
  <si>
    <t>20251119-27.08.2025</t>
  </si>
  <si>
    <t>2025138L</t>
  </si>
  <si>
    <t>20251123-28.08.2025</t>
  </si>
  <si>
    <t>2025144L</t>
  </si>
  <si>
    <t>20251129-29.08.2025</t>
  </si>
  <si>
    <t>2025145L</t>
  </si>
  <si>
    <t>20251131-31.08.2025</t>
  </si>
  <si>
    <t>2025140L</t>
  </si>
  <si>
    <t>20251125-28.08.2025</t>
  </si>
  <si>
    <r>
      <t>20241428/20241429-13.11.2024/</t>
    </r>
    <r>
      <rPr>
        <sz val="12"/>
        <color rgb="FFFF0000"/>
        <rFont val="Calibri"/>
        <family val="2"/>
        <scheme val="minor"/>
      </rPr>
      <t>20241512-20241513</t>
    </r>
    <r>
      <rPr>
        <sz val="12"/>
        <color theme="1"/>
        <rFont val="Calibri"/>
        <family val="2"/>
        <scheme val="minor"/>
      </rPr>
      <t>/20241514-06.12.2024</t>
    </r>
  </si>
  <si>
    <t>20241510-04.12.2024</t>
  </si>
  <si>
    <t>20241573-17.12.2024</t>
  </si>
  <si>
    <t>20241610-20.12.2024</t>
  </si>
  <si>
    <t>20241609-20.12.2024</t>
  </si>
  <si>
    <t>de PPAP</t>
  </si>
  <si>
    <t>20250038 -17.01.2025</t>
  </si>
  <si>
    <t>20251054-14.08.2025</t>
  </si>
  <si>
    <t>2025143L</t>
  </si>
  <si>
    <t>20251128-29.08.2025</t>
  </si>
  <si>
    <t>20251015/31.07.2025</t>
  </si>
  <si>
    <t>2025133L</t>
  </si>
  <si>
    <t>20251113-26.08.2025</t>
  </si>
  <si>
    <t>2025135L</t>
  </si>
  <si>
    <t>20251120-27.08.2025</t>
  </si>
  <si>
    <t>2025141L</t>
  </si>
  <si>
    <t>20251126-28.08.2025</t>
  </si>
  <si>
    <t>2025142L</t>
  </si>
  <si>
    <t>20251130-29.08.2025</t>
  </si>
  <si>
    <t>2025146L</t>
  </si>
  <si>
    <t>20251132-31.08.2025</t>
  </si>
  <si>
    <t xml:space="preserve">Nulate de Antonia. </t>
  </si>
  <si>
    <t>202583L</t>
  </si>
  <si>
    <t>20251031-06.08.2025</t>
  </si>
  <si>
    <t>2025127L</t>
  </si>
  <si>
    <t>20251105-22.08.2025</t>
  </si>
  <si>
    <t>2025129L</t>
  </si>
  <si>
    <t>20251109-25.08.2025</t>
  </si>
  <si>
    <t>2025132L</t>
  </si>
  <si>
    <t>20251112-26.08.2025</t>
  </si>
  <si>
    <t>2025139L</t>
  </si>
  <si>
    <t>20251124-28.08.2025</t>
  </si>
  <si>
    <t>2025101L</t>
  </si>
  <si>
    <t>20251059-14.08.2025</t>
  </si>
  <si>
    <t>2025109L</t>
  </si>
  <si>
    <t>20251072-14.08.2025</t>
  </si>
  <si>
    <t>2025115L</t>
  </si>
  <si>
    <t>20251064-14.08.2025</t>
  </si>
  <si>
    <t>20251184-15.09.2025</t>
  </si>
  <si>
    <t>2025154L</t>
  </si>
  <si>
    <t>20251138-01.09.2025</t>
  </si>
  <si>
    <t>20250961-24.07.2025</t>
  </si>
  <si>
    <t>2025147L</t>
  </si>
  <si>
    <t>20251133-01.09.2025</t>
  </si>
  <si>
    <t>20251143-29.08.2025</t>
  </si>
  <si>
    <t>2025156L</t>
  </si>
  <si>
    <t>2025162L</t>
  </si>
  <si>
    <t>20251153-05.09.2025</t>
  </si>
  <si>
    <t>2025163L</t>
  </si>
  <si>
    <t>20251154-05.09.2025</t>
  </si>
  <si>
    <t>2025170l</t>
  </si>
  <si>
    <t>20251169-11.09.2025</t>
  </si>
  <si>
    <t>225173L</t>
  </si>
  <si>
    <t>20251170/12.09</t>
  </si>
  <si>
    <t>202593L</t>
  </si>
  <si>
    <t>20251046-08.08.2025</t>
  </si>
  <si>
    <t>202599L</t>
  </si>
  <si>
    <t>20251057-14.08.2025</t>
  </si>
  <si>
    <t>2025105L</t>
  </si>
  <si>
    <t>20251060-14.08.2025</t>
  </si>
  <si>
    <t>2025110L</t>
  </si>
  <si>
    <t>20251071-14.08.2025</t>
  </si>
  <si>
    <t>2025114L</t>
  </si>
  <si>
    <t>20251065-14.08.2025</t>
  </si>
  <si>
    <t>2025120L</t>
  </si>
  <si>
    <t>20251086-19.08.2025</t>
  </si>
  <si>
    <t>2025123L</t>
  </si>
  <si>
    <t>20251089-20.08.2025</t>
  </si>
  <si>
    <t>20250878-09.07.2025</t>
  </si>
  <si>
    <t>2025160L</t>
  </si>
  <si>
    <t>20251150-04.09.2025</t>
  </si>
  <si>
    <t>2025165L</t>
  </si>
  <si>
    <t>20251156-05.09.2025</t>
  </si>
  <si>
    <t>20251280-30.09.2025</t>
  </si>
  <si>
    <t>20251245-30.09.2025</t>
  </si>
  <si>
    <t>DA - RETUR DE LA CLIENT</t>
  </si>
  <si>
    <t>20250965-24.07.2025</t>
  </si>
  <si>
    <t>20251144-30.08.2025</t>
  </si>
  <si>
    <t>20251002-28.07.2025</t>
  </si>
  <si>
    <t>2025112l</t>
  </si>
  <si>
    <t>20251067-14.08.2025</t>
  </si>
  <si>
    <t>2025152L</t>
  </si>
  <si>
    <t>20251137-01.09.2025</t>
  </si>
  <si>
    <t>Comanda Anulata</t>
  </si>
  <si>
    <t>20251157-09.09.2025</t>
  </si>
  <si>
    <t>2025175L</t>
  </si>
  <si>
    <t>20251179-15.09.2025</t>
  </si>
  <si>
    <t>20251216-23.09.2025</t>
  </si>
  <si>
    <t>9F0002312</t>
  </si>
  <si>
    <t>7028-1101-00</t>
  </si>
  <si>
    <t>7028-1211-00</t>
  </si>
  <si>
    <t>7028-1211-10</t>
  </si>
  <si>
    <t>7028-1212-10</t>
  </si>
  <si>
    <t>7028-1212-30</t>
  </si>
  <si>
    <t>7028-1316-00</t>
  </si>
  <si>
    <t>7028-1332-30</t>
  </si>
  <si>
    <t>7028-1333-30</t>
  </si>
  <si>
    <t>7028-1331-30</t>
  </si>
  <si>
    <t>7028-1335-30</t>
  </si>
  <si>
    <t>7028-1336-30</t>
  </si>
  <si>
    <t>7028-1334-30</t>
  </si>
  <si>
    <t>7028-1339-30</t>
  </si>
  <si>
    <t>7028-1338-30</t>
  </si>
  <si>
    <t>2025151L</t>
  </si>
  <si>
    <t>20251136-01.09.2025</t>
  </si>
  <si>
    <t>2025161L</t>
  </si>
  <si>
    <t>20251151-04.09.2025</t>
  </si>
  <si>
    <t>2025148L</t>
  </si>
  <si>
    <t>20251134-01.09.2025</t>
  </si>
  <si>
    <t>2025155L</t>
  </si>
  <si>
    <t>20251145-02.09.2025</t>
  </si>
  <si>
    <t>2025159L</t>
  </si>
  <si>
    <t>20251149-04.09.2025</t>
  </si>
  <si>
    <t>20251281-30.09.2025</t>
  </si>
  <si>
    <t>2025164L</t>
  </si>
  <si>
    <t>20251155-05.09.2025</t>
  </si>
  <si>
    <t>20251158-09.09.2025</t>
  </si>
  <si>
    <t>REBUTURI</t>
  </si>
  <si>
    <t>2025169l</t>
  </si>
  <si>
    <t>20251168-10.09.2025</t>
  </si>
  <si>
    <t>2025171L</t>
  </si>
  <si>
    <t>20251175/15.09.2025</t>
  </si>
  <si>
    <t>2025179L</t>
  </si>
  <si>
    <t>20251192-18.09.2025</t>
  </si>
  <si>
    <t>2025178L</t>
  </si>
  <si>
    <t>20251191-18.09.2025</t>
  </si>
  <si>
    <t>2025184L</t>
  </si>
  <si>
    <t>20251197-19.09.2025</t>
  </si>
  <si>
    <t>20251212-22.09.2025</t>
  </si>
  <si>
    <t>20250654-26.05.2025</t>
  </si>
  <si>
    <t>2025168l</t>
  </si>
  <si>
    <t>20251167-10.09.2025</t>
  </si>
  <si>
    <t>20251211-22.09.2025</t>
  </si>
  <si>
    <t>20251196-19.09.2025</t>
  </si>
  <si>
    <t>20251222-24.09.2025</t>
  </si>
  <si>
    <t>2025193L</t>
  </si>
  <si>
    <t>20251218-23.09.2025</t>
  </si>
  <si>
    <t>2025130L</t>
  </si>
  <si>
    <t>20251110-25.08.2025</t>
  </si>
  <si>
    <t>2025136L</t>
  </si>
  <si>
    <t>20251121-27.08.2025</t>
  </si>
  <si>
    <t>2025137L</t>
  </si>
  <si>
    <t>20251122-28.08.2025</t>
  </si>
  <si>
    <t>2025158L</t>
  </si>
  <si>
    <t>20251148-03.09.2025</t>
  </si>
  <si>
    <t>2025172L</t>
  </si>
  <si>
    <t>20251172/12.09.2025</t>
  </si>
  <si>
    <t>2025176L</t>
  </si>
  <si>
    <t>20251190-16.09.2025</t>
  </si>
  <si>
    <t>2025177L</t>
  </si>
  <si>
    <t>20251189-17.09.2025</t>
  </si>
  <si>
    <t>2025181L</t>
  </si>
  <si>
    <t>20251194-18.09.2025</t>
  </si>
  <si>
    <t>2025180L</t>
  </si>
  <si>
    <t>20251193-18.09.2025</t>
  </si>
  <si>
    <t>2025185L</t>
  </si>
  <si>
    <t>20251198-19.09.2025</t>
  </si>
  <si>
    <t>2025182L</t>
  </si>
  <si>
    <t>20251195-19.09.2025</t>
  </si>
  <si>
    <t>2025189L</t>
  </si>
  <si>
    <t>20251214-23.09.2025</t>
  </si>
  <si>
    <t>2025190L</t>
  </si>
  <si>
    <t>20251215-23.09.2025</t>
  </si>
  <si>
    <t>2025192L</t>
  </si>
  <si>
    <t>20251217-23.09.2025</t>
  </si>
  <si>
    <t>20251220-24.09.2025</t>
  </si>
  <si>
    <t>20251227-25.09.2025</t>
  </si>
  <si>
    <t>2025199L</t>
  </si>
  <si>
    <t>20251234-26.09.2025</t>
  </si>
  <si>
    <t>2025202L</t>
  </si>
  <si>
    <t>20251239-29.09.2025</t>
  </si>
  <si>
    <t>2025203L</t>
  </si>
  <si>
    <t>20251240-30.09.2025</t>
  </si>
  <si>
    <t>2025206L</t>
  </si>
  <si>
    <t>20251254-30.09.2025</t>
  </si>
  <si>
    <t>2025217L</t>
  </si>
  <si>
    <t>20251261-30.09.2025</t>
  </si>
  <si>
    <t>2025219L</t>
  </si>
  <si>
    <t>20251268-30.09.2025</t>
  </si>
  <si>
    <t>20251219-24.09.2025</t>
  </si>
  <si>
    <t>2025200L</t>
  </si>
  <si>
    <t>20251235-26.09.2025</t>
  </si>
  <si>
    <t>2025201L</t>
  </si>
  <si>
    <t>20251238-29.09.2025</t>
  </si>
  <si>
    <t>2025204L</t>
  </si>
  <si>
    <t>20251241-30.09.2025</t>
  </si>
  <si>
    <t>2025207L</t>
  </si>
  <si>
    <t>20251255-30.09.2025</t>
  </si>
  <si>
    <t>2025215L</t>
  </si>
  <si>
    <t>20251260-30.09.2025</t>
  </si>
  <si>
    <t>2025220L</t>
  </si>
  <si>
    <t>20251269-30.09.2025</t>
  </si>
  <si>
    <t>2025224L</t>
  </si>
  <si>
    <t>20251288-07.10.2025</t>
  </si>
  <si>
    <t>2025232L</t>
  </si>
  <si>
    <t>20251296-09.10.2025</t>
  </si>
  <si>
    <t>20251226-25.09.2025</t>
  </si>
  <si>
    <t>2025208L</t>
  </si>
  <si>
    <t>20251256-30.09.2025</t>
  </si>
  <si>
    <t>20251246-30.09.2025</t>
  </si>
  <si>
    <t>2025153L</t>
  </si>
  <si>
    <t>20251139-01.09.2025</t>
  </si>
  <si>
    <t>2025210L</t>
  </si>
  <si>
    <t>20251263-02.10.2025</t>
  </si>
  <si>
    <t>2025214L</t>
  </si>
  <si>
    <t>20251266-02.10.2025</t>
  </si>
  <si>
    <t>20251213-22.09.2025</t>
  </si>
  <si>
    <t>2025209L</t>
  </si>
  <si>
    <t>20251257-01.10.2025</t>
  </si>
  <si>
    <t>2025211L</t>
  </si>
  <si>
    <t>20251264-02.10.2025</t>
  </si>
  <si>
    <t>2025223L</t>
  </si>
  <si>
    <t>20251272-03.10.2025</t>
  </si>
  <si>
    <t>2025225L</t>
  </si>
  <si>
    <t>20251289-07.10.2025</t>
  </si>
  <si>
    <t>2025229L</t>
  </si>
  <si>
    <t>20251293-09.10.2025</t>
  </si>
  <si>
    <t>20251221-24.09.2025</t>
  </si>
  <si>
    <t>20251262-30.09.2025</t>
  </si>
  <si>
    <t>2025228L</t>
  </si>
  <si>
    <t>20251292-07.10.2025</t>
  </si>
  <si>
    <t>20250692-30.05.2025</t>
  </si>
  <si>
    <t>2025213L</t>
  </si>
  <si>
    <t>20251265-02.10.2025</t>
  </si>
  <si>
    <t>20251290-07.10.2025</t>
  </si>
  <si>
    <t>20251297-09.10.2025</t>
  </si>
  <si>
    <t>20251298-09.10.2025</t>
  </si>
  <si>
    <t>2025222L</t>
  </si>
  <si>
    <t>20251271-03.10.2025</t>
  </si>
  <si>
    <t>20251271-07.10.2025</t>
  </si>
  <si>
    <t>2025216L</t>
  </si>
  <si>
    <t>20251267-02.10.2025</t>
  </si>
  <si>
    <t>2025231L</t>
  </si>
  <si>
    <t>20251295-09.10.2025</t>
  </si>
  <si>
    <t>20251014/31.07.2025</t>
  </si>
  <si>
    <t>20251291-07.10.2025</t>
  </si>
  <si>
    <t>2025230L</t>
  </si>
  <si>
    <t>20251294-09.10.2025</t>
  </si>
  <si>
    <t>20251182-15.09.2025</t>
  </si>
  <si>
    <t>HOUSING            DBD.30G1X/</t>
  </si>
  <si>
    <t xml:space="preserve">Piese vopsite </t>
  </si>
  <si>
    <t>20251181-15.09.2025</t>
  </si>
  <si>
    <t>20251244-30.09.2025</t>
  </si>
  <si>
    <t>20251114-26.08.2025</t>
  </si>
  <si>
    <t>20250960-24.07.2025</t>
  </si>
  <si>
    <t>COVER</t>
  </si>
  <si>
    <t>contract</t>
  </si>
  <si>
    <t>Count of Quantity</t>
  </si>
  <si>
    <t>Column Labels</t>
  </si>
  <si>
    <t>Row Labels</t>
  </si>
  <si>
    <t>Late</t>
  </si>
  <si>
    <t>On Time</t>
  </si>
  <si>
    <t>2022</t>
  </si>
  <si>
    <t>2023</t>
  </si>
  <si>
    <t>2026</t>
  </si>
  <si>
    <t>2027</t>
  </si>
  <si>
    <t>2028</t>
  </si>
  <si>
    <t>2025 Pret Alex Itu</t>
  </si>
  <si>
    <t xml:space="preserve">Schaeffler Inele Strunjire </t>
  </si>
  <si>
    <t>XU120179-12-WW1</t>
  </si>
  <si>
    <t>Schaeffler Alama</t>
  </si>
  <si>
    <t>preturi confirmare Alex Itu 07.02.2025</t>
  </si>
  <si>
    <t>Eur/buc.</t>
  </si>
  <si>
    <t>050511742-0000</t>
  </si>
  <si>
    <t>KUH.6030-M-3001</t>
  </si>
  <si>
    <t>050513575-0000</t>
  </si>
  <si>
    <t>KUH.6036-A-M-3001</t>
  </si>
  <si>
    <t>050511750-0000</t>
  </si>
  <si>
    <t>KUH.6214-A-M-3001</t>
  </si>
  <si>
    <t>3,18</t>
  </si>
  <si>
    <t>050512315-0000</t>
  </si>
  <si>
    <t>KUH.6215-A-M-3001</t>
  </si>
  <si>
    <t>4,42</t>
  </si>
  <si>
    <t>051498022-0000</t>
  </si>
  <si>
    <t>KUH.6217-B-M-3001</t>
  </si>
  <si>
    <t>4,51</t>
  </si>
  <si>
    <t>EDP KUH.6220-A-M-3001 004_</t>
  </si>
  <si>
    <t>050511807-0000</t>
  </si>
  <si>
    <t>KUH.6220-A-M-3001</t>
  </si>
  <si>
    <t>4,78</t>
  </si>
  <si>
    <t>050513478-0000</t>
  </si>
  <si>
    <t>KUH.6312-M-3001</t>
  </si>
  <si>
    <t>4,5</t>
  </si>
  <si>
    <t>050512056-0000</t>
  </si>
  <si>
    <t>KUH.6315-A-M-3001</t>
  </si>
  <si>
    <t>4,92</t>
  </si>
  <si>
    <t>050512072-0000</t>
  </si>
  <si>
    <t>KUH.6316-A-M-3001</t>
  </si>
  <si>
    <t>3,44</t>
  </si>
  <si>
    <t>050512064-0000</t>
  </si>
  <si>
    <t>KUH.6317-A-M-3001</t>
  </si>
  <si>
    <t>RKKM.N416-M3-0031</t>
  </si>
  <si>
    <t>050619357-0000</t>
  </si>
  <si>
    <t>9,04</t>
  </si>
  <si>
    <t>051499878-0000</t>
  </si>
  <si>
    <t>KUK.7220-B-MP-3001</t>
  </si>
  <si>
    <t>4,38</t>
  </si>
  <si>
    <t>FAG KUH.6036-A-M-3001</t>
  </si>
  <si>
    <t>050630300-0000</t>
  </si>
  <si>
    <t>KUK.QJ218-C-MPA-3001</t>
  </si>
  <si>
    <t>4,25</t>
  </si>
  <si>
    <t>KUK.QJ308-C-MPA-3001</t>
  </si>
  <si>
    <t>KUK.7208-B-MP-3001</t>
  </si>
  <si>
    <t>Schaeffler AUKB</t>
  </si>
  <si>
    <t>Schaeffler Danfoss</t>
  </si>
  <si>
    <t>Schaeffler Locking piece</t>
  </si>
  <si>
    <t>Schaeffler Inele Rectificare</t>
  </si>
  <si>
    <t>F-552668-0042-ISB 004</t>
  </si>
  <si>
    <t xml:space="preserve"> F-552669.01-0021 </t>
  </si>
  <si>
    <t>F-552668.01-0013</t>
  </si>
  <si>
    <t>Schaeffler Ghidaje liniare</t>
  </si>
  <si>
    <t>TK.KWVE15-B-A-H-0031-BS</t>
  </si>
  <si>
    <t>TK.KWVE35-B-A-0031-BS</t>
  </si>
  <si>
    <t>TK.KWVE35-B-A-H-0031-BS</t>
  </si>
  <si>
    <t>TK.KWVE35-B-A-HL-0031-BS</t>
  </si>
  <si>
    <t>TK.KWVE35-B-A-S-0031-BS</t>
  </si>
  <si>
    <t>TK.KWVE35-B-A-SL-0031-BS</t>
  </si>
  <si>
    <t>TK.KWVE45-B-A-0031-BS</t>
  </si>
  <si>
    <t>TK.KWVE45-B-A-L-0031-BS</t>
  </si>
  <si>
    <t xml:space="preserve">Bosch Germania + Romania </t>
  </si>
  <si>
    <t>18.00</t>
  </si>
  <si>
    <t>R900122535</t>
  </si>
  <si>
    <t>R900120773</t>
  </si>
  <si>
    <t>R900126765</t>
  </si>
  <si>
    <t>R900161210</t>
  </si>
  <si>
    <t>R900161224</t>
  </si>
  <si>
    <t>R901405577</t>
  </si>
  <si>
    <t>R901406632</t>
  </si>
  <si>
    <t>R901463884</t>
  </si>
  <si>
    <t>Walter</t>
  </si>
  <si>
    <t>C65</t>
  </si>
  <si>
    <t>CZR0001265</t>
  </si>
  <si>
    <t>67763193</t>
  </si>
  <si>
    <t>PBE1400062752</t>
  </si>
  <si>
    <t>1604738603</t>
  </si>
  <si>
    <t>1092327401</t>
  </si>
  <si>
    <t>1626027403</t>
  </si>
  <si>
    <t>1638215901</t>
  </si>
  <si>
    <t>1092519100</t>
  </si>
  <si>
    <t>CZR 0011387</t>
  </si>
  <si>
    <t>Thonab</t>
  </si>
  <si>
    <t>51631-01 B_Sample</t>
  </si>
  <si>
    <t>51757-01 A_Sample</t>
  </si>
  <si>
    <t>51019-01_Sample</t>
  </si>
  <si>
    <t>51019-01 C</t>
  </si>
  <si>
    <t>51757-01 A</t>
  </si>
  <si>
    <t xml:space="preserve">51631-01 B </t>
  </si>
  <si>
    <t>Haru</t>
  </si>
  <si>
    <t>R900984660_Sample</t>
  </si>
  <si>
    <t>52965411_Sample</t>
  </si>
  <si>
    <t>R900984660</t>
  </si>
  <si>
    <t xml:space="preserve">Picanol </t>
  </si>
  <si>
    <t>BA249856_Sample</t>
  </si>
  <si>
    <t>BA249753_Sample</t>
  </si>
  <si>
    <t>A74401077_Sample</t>
  </si>
  <si>
    <t>B8C000023_Sample</t>
  </si>
  <si>
    <t>B8C000021_Sample</t>
  </si>
  <si>
    <t>B85300050_Sample</t>
  </si>
  <si>
    <t>A74401077</t>
  </si>
  <si>
    <t>Timken</t>
  </si>
  <si>
    <t>XC28103B</t>
  </si>
  <si>
    <t>WALTERSCHEID</t>
  </si>
  <si>
    <t>PASTehnologies</t>
  </si>
  <si>
    <t>X-11127-01</t>
  </si>
  <si>
    <t>M-9250-B30A-2</t>
  </si>
  <si>
    <t>A-1122-003A-3</t>
  </si>
  <si>
    <t>S-4059-003A-2</t>
  </si>
  <si>
    <t>Schaeffler De</t>
  </si>
  <si>
    <t>Bosch Ro</t>
  </si>
  <si>
    <t>Schaeffler</t>
  </si>
  <si>
    <t>Item</t>
  </si>
  <si>
    <t>Price / EUR [2025]</t>
  </si>
  <si>
    <t>Descriere reper</t>
  </si>
  <si>
    <t>Prices 2025 EUR / pcs</t>
  </si>
  <si>
    <t>HOUSING            DBD,8G13/</t>
  </si>
  <si>
    <t>HOUSING            DBD,10G1X/</t>
  </si>
  <si>
    <t>HOUSING            DBD,10P1X/</t>
  </si>
  <si>
    <t>HOUSING            DBD,10P1X/V</t>
  </si>
  <si>
    <t>HOUSING            DBD,15G1X/</t>
  </si>
  <si>
    <t>HOUSING            DBD,20G1X/</t>
  </si>
  <si>
    <t>HOUSING            DBD,20P1X/</t>
  </si>
  <si>
    <t>HOUSING            DBD,20P1X/V</t>
  </si>
  <si>
    <t>HOUSING            DBD,25G1X/         BG</t>
  </si>
  <si>
    <t>HOUSING            DBD,30G1X/         BG</t>
  </si>
  <si>
    <t>HOUSING            DBD,30P1X/</t>
  </si>
  <si>
    <t>HOUSING            DBD,30P1X/V</t>
  </si>
  <si>
    <t>HOUSING            DBD,10G13/V</t>
  </si>
  <si>
    <t>HOUSING            DBD,20G1X/V</t>
  </si>
  <si>
    <t>HOUSING            DBD,10G13/,/12</t>
  </si>
  <si>
    <t>HOUSING            DBD,15G1X/,/12</t>
  </si>
  <si>
    <t>HOUSING            DBD,20G1X/,/12</t>
  </si>
  <si>
    <t>HOUSING            DBD,10P1X/V/12</t>
  </si>
  <si>
    <t>HOUSING            DBD,20P(1 5/16"-12UN)</t>
  </si>
  <si>
    <t>CONSOLE            4WRGE-1X/ VORSTEUERV&amp;</t>
  </si>
  <si>
    <t>PLATE              4WRSE10,-30/</t>
  </si>
  <si>
    <t>COVER              ZDC 16,-2X/NEUE AUSFG</t>
  </si>
  <si>
    <t>HOUSING            DBD,30G1X/V        BG</t>
  </si>
  <si>
    <t>HOUSING            DBD,25G1X/V        BG</t>
  </si>
  <si>
    <t>HOUSING            DBD,10 G1X/,/12 BG S&amp;</t>
  </si>
  <si>
    <t>HOUSING            DBD,10 P1X/,/N BG SO&amp;</t>
  </si>
  <si>
    <t>HOUSING            DBD,10 P1X/,/V BG SO&amp;</t>
  </si>
  <si>
    <t>HOUSING            DBD,10 G1X/,BG SO292</t>
  </si>
  <si>
    <t>COVER              LFA25D19-70/450</t>
  </si>
  <si>
    <t>COVER              ZDC 10,-25/</t>
  </si>
  <si>
    <t>COVER              ZDC 25,-2X/ *BG</t>
  </si>
  <si>
    <t>PLATE              STW0360/ ADAPTER (NG&amp;</t>
  </si>
  <si>
    <t>PLATE              4WRPN 6/ ADAPTER (NG&amp;</t>
  </si>
  <si>
    <t>PLATE              4WRPF 10/ ADAPTER</t>
  </si>
  <si>
    <t>COVER              ZDC 16,-2X/ J3 VD</t>
  </si>
  <si>
    <t>COVER              ZDC 10,-2X/ J3 VD</t>
  </si>
  <si>
    <t>HOUSING            DBD,10G1X/J3       BG</t>
  </si>
  <si>
    <t>HOUSING            DBD,10P1X/J3       BG</t>
  </si>
  <si>
    <t>HOUSING            DBD,20G1X/J3       BG</t>
  </si>
  <si>
    <t>HOUSING            DBD,20G1X/VJ3      BG</t>
  </si>
  <si>
    <t>HOUSING            DBD,20P1X/J3       BG</t>
  </si>
  <si>
    <t>HOUSING            DBD,20P1X/VJ3      BG</t>
  </si>
  <si>
    <t>HOUSING            DBD,30G1X/J3       BG</t>
  </si>
  <si>
    <t>HOUSING            DBD,30P1X/J3       BG</t>
  </si>
  <si>
    <t>HOUSING            DBD,30P1X/VJ3      BG</t>
  </si>
  <si>
    <t>1818509668</t>
  </si>
  <si>
    <t>1818509669</t>
  </si>
  <si>
    <t>1818509670</t>
  </si>
  <si>
    <t>1818509678</t>
  </si>
  <si>
    <t>1818509680</t>
  </si>
  <si>
    <t>1818509681</t>
  </si>
  <si>
    <t>1818509682</t>
  </si>
  <si>
    <t>1818509684</t>
  </si>
  <si>
    <t>1818509690</t>
  </si>
  <si>
    <t>1818509718</t>
  </si>
  <si>
    <t>1818509752</t>
  </si>
  <si>
    <t>1818509763</t>
  </si>
  <si>
    <t>1818509790</t>
  </si>
  <si>
    <t>1818509812</t>
  </si>
  <si>
    <t>1818509817</t>
  </si>
  <si>
    <t>1818509822</t>
  </si>
  <si>
    <t>1818509826</t>
  </si>
  <si>
    <t>1818509830</t>
  </si>
  <si>
    <t>1818509834</t>
  </si>
  <si>
    <t>1818509838</t>
  </si>
  <si>
    <t>1535100046</t>
  </si>
  <si>
    <t>1813218046</t>
  </si>
  <si>
    <t>1813218040</t>
  </si>
  <si>
    <t>1813218042</t>
  </si>
  <si>
    <t>1813218044</t>
  </si>
  <si>
    <t>1813218050</t>
  </si>
  <si>
    <t>1818509087</t>
  </si>
  <si>
    <t>1818509091</t>
  </si>
  <si>
    <t>1818509259</t>
  </si>
  <si>
    <t>1818509133</t>
  </si>
  <si>
    <t>1818509138</t>
  </si>
  <si>
    <t>1818509193</t>
  </si>
  <si>
    <t>1818509251</t>
  </si>
  <si>
    <t>1818509265</t>
  </si>
  <si>
    <t>1818509276</t>
  </si>
  <si>
    <t>1818509289</t>
  </si>
  <si>
    <t>1818509497</t>
  </si>
  <si>
    <t>1818509503</t>
  </si>
  <si>
    <t>1818509508</t>
  </si>
  <si>
    <t>1818509512</t>
  </si>
  <si>
    <t>1818509516</t>
  </si>
  <si>
    <t>1818509519</t>
  </si>
  <si>
    <t>1818509554</t>
  </si>
  <si>
    <t>1818509555</t>
  </si>
  <si>
    <t>1818509563</t>
  </si>
  <si>
    <t>1818509618</t>
  </si>
  <si>
    <t>1818509665</t>
  </si>
  <si>
    <t>1818509704</t>
  </si>
  <si>
    <t>1818509725</t>
  </si>
  <si>
    <t>1818509748</t>
  </si>
  <si>
    <t>1818509172</t>
  </si>
  <si>
    <t>1818509164</t>
  </si>
  <si>
    <t>1818509510</t>
  </si>
  <si>
    <t>1818509509</t>
  </si>
  <si>
    <t>1535100044</t>
  </si>
  <si>
    <t>1535100045</t>
  </si>
  <si>
    <t>1810326006</t>
  </si>
  <si>
    <t>1813218081</t>
  </si>
  <si>
    <t>1818509634</t>
  </si>
  <si>
    <t>1818509661</t>
  </si>
  <si>
    <t>1818509751</t>
  </si>
  <si>
    <t>1818509765</t>
  </si>
  <si>
    <t>1818509439</t>
  </si>
  <si>
    <t>Owner</t>
  </si>
  <si>
    <t>Supply Chain</t>
  </si>
  <si>
    <t>Quality</t>
  </si>
  <si>
    <t>Explanations</t>
  </si>
  <si>
    <t>Valid at the moment fo TODAY</t>
  </si>
  <si>
    <t>Family type set by SC with Customer</t>
  </si>
  <si>
    <t>Agreed MOQ in Contract</t>
  </si>
  <si>
    <t>Agreed LeadTime in Contract</t>
  </si>
  <si>
    <t>Days of Frozen zone agreed in Contract</t>
  </si>
  <si>
    <t>status of Part Number as PPAP (validation)</t>
  </si>
  <si>
    <t>Unitate de ambalare</t>
  </si>
  <si>
    <t>Leadtime of SC Olstral (Supply+Mfg+SUB)</t>
  </si>
  <si>
    <t>If Subcontract in SC</t>
  </si>
  <si>
    <t>Part number</t>
  </si>
  <si>
    <t>Drawing
 Revision</t>
  </si>
  <si>
    <t>MOQ furnizor</t>
  </si>
  <si>
    <t>LeadTime</t>
  </si>
  <si>
    <t>Frozen zone</t>
  </si>
  <si>
    <t>Status PPAP
(approved/project)</t>
  </si>
  <si>
    <t>Unitate de ambalare client</t>
  </si>
  <si>
    <t>Manufacturing lead time</t>
  </si>
  <si>
    <t>Subcontracting Leadtime2</t>
  </si>
  <si>
    <t>SC Total Leadtime</t>
  </si>
  <si>
    <t>snap lock</t>
  </si>
  <si>
    <t>distributor</t>
  </si>
  <si>
    <t>ejector</t>
  </si>
  <si>
    <t>e</t>
  </si>
  <si>
    <t>Z2S 16</t>
  </si>
  <si>
    <t>REDUCING SOCKET M28/M14X1,5-51,5 SW32</t>
  </si>
  <si>
    <t xml:space="preserve">d </t>
  </si>
  <si>
    <t>SOCKET</t>
  </si>
  <si>
    <t>d</t>
  </si>
  <si>
    <t>Z2S 22</t>
  </si>
  <si>
    <t>THROTTLE SCREW FRM 5 15Q</t>
  </si>
  <si>
    <t>Drosselboltzen</t>
  </si>
  <si>
    <t>BUSHING</t>
  </si>
  <si>
    <t>THROTTLE SCREW     2FRM 10-3X/</t>
  </si>
  <si>
    <t>THROTTLE SCREW     2FRM 16-3X/</t>
  </si>
  <si>
    <t>KOLBEN ZDR 6 DP.-45/W80</t>
  </si>
  <si>
    <t>ZDR 6</t>
  </si>
  <si>
    <t>R900693050</t>
  </si>
  <si>
    <t>GEHAEUSE SV/SL 10 G..-4X/.../12</t>
  </si>
  <si>
    <t>SV/SL 10</t>
  </si>
  <si>
    <t>SCREW PLUG M26X1,0x48,0 Z2FS10</t>
  </si>
  <si>
    <t>11/b</t>
  </si>
  <si>
    <t>SCREW</t>
  </si>
  <si>
    <t>RING 11.2/ 17,0X&amp;</t>
  </si>
  <si>
    <t>RING</t>
  </si>
  <si>
    <t>RING SED10.1X/315C</t>
  </si>
  <si>
    <t>GEHAEUSE Z2S 22 -.-50/</t>
  </si>
  <si>
    <t>KOLBEN Z2S16..-5X So.60</t>
  </si>
  <si>
    <t>KOLBEN Z2S22.-5X So.60</t>
  </si>
  <si>
    <t>Z2S22</t>
  </si>
  <si>
    <t>BUSHING            M26X1,0X48,0 SW3</t>
  </si>
  <si>
    <t>Bushing RV NG6 P</t>
  </si>
  <si>
    <t>CONE RV 0,0/6,3x3,75</t>
  </si>
  <si>
    <t>CONE</t>
  </si>
  <si>
    <t>RING               6,37/11X3,6 Z9,3</t>
  </si>
  <si>
    <t>REDUCING SOCKET</t>
  </si>
  <si>
    <t>THROTTLE DCREW 2FRM 5 10Q VD-TEIL</t>
  </si>
  <si>
    <t>THROTTLE SCREW     2FRM 5   3Q VD-T</t>
  </si>
  <si>
    <t>THROTTLE SCREW 2FRM 5 1,2Q VD-TEIL</t>
  </si>
  <si>
    <t>THROTTLE SCREW 2FRM 5 0,2Q VD-TEIL</t>
  </si>
  <si>
    <t>BOLT ZDR 6 DA.-46/</t>
  </si>
  <si>
    <t>BOLT ZDR</t>
  </si>
  <si>
    <t>HOUSING Z2S 22.-5X/</t>
  </si>
  <si>
    <t xml:space="preserve">VALVE BODY        </t>
  </si>
  <si>
    <t>THROTTLE SPOOL DBT 1X</t>
  </si>
  <si>
    <t>valve body</t>
  </si>
  <si>
    <t xml:space="preserve">VALVE BODY </t>
  </si>
  <si>
    <t>VALVE_INSERT_3WRCBH_50_VF750M_1X_</t>
  </si>
  <si>
    <t>Ventileinsatz</t>
  </si>
  <si>
    <t>PISTON_ROD_D25X96</t>
  </si>
  <si>
    <t>PISTON</t>
  </si>
  <si>
    <t>EINSATZ DBE-3X/500 -183              *BG</t>
  </si>
  <si>
    <t>a</t>
  </si>
  <si>
    <t>Ventileisatz</t>
  </si>
  <si>
    <t>VALVE_INSERT_3WRCBEE_25_VF190M_1X_</t>
  </si>
  <si>
    <t>VALVE_INSERT_3WRCBH_25_V190M_1X</t>
  </si>
  <si>
    <t>VALVE_INSERT_3WRCBEE_32_VF380M_1X_</t>
  </si>
  <si>
    <t>VALVE_INSERT_3WRCB_32</t>
  </si>
  <si>
    <t>VALVE_INSERT_DAU_32_P_A_X20_Z_</t>
  </si>
  <si>
    <t>VALVE_INSERT_3WRC_32</t>
  </si>
  <si>
    <t>VALVE_INSERT_3WRCB</t>
  </si>
  <si>
    <t>VALVE_INSERT_NG32_STUFE</t>
  </si>
  <si>
    <t>VALVE_INSERT_DAU_50_A_T_X20_A_</t>
  </si>
  <si>
    <t>VALVE_INSERT_DAU_50_P_A_X20_Z3_2_</t>
  </si>
  <si>
    <t>VALVE_INSERT_3WRCBH_25_VF65M_1X_Z</t>
  </si>
  <si>
    <t>VALVE_INSERT_LR32DR40D6X_074</t>
  </si>
  <si>
    <t>VALVE_INSERT_LR40ST00D1X_</t>
  </si>
  <si>
    <t>VALVE_INSERT_NG25_STUFE</t>
  </si>
  <si>
    <t>VALVE_INSERT_NG32</t>
  </si>
  <si>
    <t>VALVE_INSERT_NG40_STUFE</t>
  </si>
  <si>
    <t>VALVE_INSERT_LR16DB_SO18</t>
  </si>
  <si>
    <t>VALVE_INSERT_NG40</t>
  </si>
  <si>
    <t>VALVE_INSERT_NG50</t>
  </si>
  <si>
    <t>VALVE_INSERT_NG25</t>
  </si>
  <si>
    <t>PLATE_TS_HC_LEER</t>
  </si>
  <si>
    <t>PLATE_4WRD_25_5X_</t>
  </si>
  <si>
    <t>PLATE_TS_MC_AXIAL_MOT_115X</t>
  </si>
  <si>
    <t>PLATE_TS_MC_ZYL_BEF_80X45X</t>
  </si>
  <si>
    <t>PLATE_TS_HC_2_X_SV6PB1_3F</t>
  </si>
  <si>
    <t>H</t>
  </si>
  <si>
    <t>HOUSING            DBD.25G1X/</t>
  </si>
  <si>
    <t>HOUSING DBD.10G13/./12</t>
  </si>
  <si>
    <t>HOUSING DBD.10P1X/V/12</t>
  </si>
  <si>
    <t>HOUSING DBD.20P(1 5/16"-12UN)</t>
  </si>
  <si>
    <t>AB/AF</t>
  </si>
  <si>
    <t>PLATE_4WRD_32_5X_</t>
  </si>
  <si>
    <t>CONSOLE            4WRGE-1X/ VORSTE</t>
  </si>
  <si>
    <t>PLATE_TS_MC_DFM_115X80X25</t>
  </si>
  <si>
    <t>PLATTE HPF-H22</t>
  </si>
  <si>
    <t>PLATTE</t>
  </si>
  <si>
    <t>PLATTE HPF-H25</t>
  </si>
  <si>
    <t>PLATTE HPF-H26</t>
  </si>
  <si>
    <t>COVER              ZDC 16.-2X/NEUE</t>
  </si>
  <si>
    <t>HOUSING            DBD.25G1X/V</t>
  </si>
  <si>
    <t>BUSHING RV NG6T</t>
  </si>
  <si>
    <t>b</t>
  </si>
  <si>
    <t>HOUSING DBD.10 G1X/./12 BG S&amp;</t>
  </si>
  <si>
    <t>HOUSING DBD.10 P1X/./N BG SO&amp;</t>
  </si>
  <si>
    <t>HOUSING            DBD.10 P1X/./V B</t>
  </si>
  <si>
    <t>HOUSING            DBD.10 G1X/.BG S</t>
  </si>
  <si>
    <t>COVER_LFA25D19_70_450</t>
  </si>
  <si>
    <t>COVER STW 0351-10/</t>
  </si>
  <si>
    <t>COVER ZDC 25.-2X/*BG</t>
  </si>
  <si>
    <t>j</t>
  </si>
  <si>
    <t>PLATE              STW0360/ ADAPTER</t>
  </si>
  <si>
    <t>PLATE              4WRPN 6/ ADAPTER</t>
  </si>
  <si>
    <t>COVER LFA25DBEM.-71/450</t>
  </si>
  <si>
    <t>PLATE_TS_HC_2/X_VTL_4F</t>
  </si>
  <si>
    <t>PLATE_TS_HC_2_X_DB6K1_2F</t>
  </si>
  <si>
    <t>PLATE_TS_HC_2_X_VERT_4F</t>
  </si>
  <si>
    <t>PLATE_TS_HC_2_X_VERT_4F_M</t>
  </si>
  <si>
    <t>LAGERBOCK          EHS3-001-02</t>
  </si>
  <si>
    <t>LAGERBOK</t>
  </si>
  <si>
    <t>COVER ZDC 25.-2X/ J3 VD *BG</t>
  </si>
  <si>
    <t>COVER ZDC 16.-2X/ J3 VD</t>
  </si>
  <si>
    <t>COVER ZDC 10.-2X/ J3 VD</t>
  </si>
  <si>
    <t>HOUSING            DBD.10G1X/J3</t>
  </si>
  <si>
    <t>HOUSING DBD.10P1X/J3 BG</t>
  </si>
  <si>
    <t>HOUSING            DBD.20G1X/J3</t>
  </si>
  <si>
    <t>HOUSING DBD.20G1X/VJ3 BG</t>
  </si>
  <si>
    <t>HOUSING DBD.20P1X/J3 BG</t>
  </si>
  <si>
    <t>HOUSING DBD.20P1X/VJ3 BG</t>
  </si>
  <si>
    <t>HOUSING            DBD.30G1X/J3       BG</t>
  </si>
  <si>
    <t>HOUSING            DBD.30P1X/J3</t>
  </si>
  <si>
    <t>HOUSING DBD.30P1X/VJ3 BG</t>
  </si>
  <si>
    <t>Stator Bridge milled 39.99</t>
  </si>
  <si>
    <t>Stator</t>
  </si>
  <si>
    <t>Main body</t>
  </si>
  <si>
    <t>NUT</t>
  </si>
  <si>
    <t>CLUMP NUT</t>
  </si>
  <si>
    <t>sleeve</t>
  </si>
  <si>
    <t>HV-ROTOR D8B PRE-MACHINED (6524466)</t>
  </si>
  <si>
    <t>A1</t>
  </si>
  <si>
    <t>Rotor</t>
  </si>
  <si>
    <t>HV-ROTOR D16B PRE-MACHINED (6524201)</t>
  </si>
  <si>
    <t>A0</t>
  </si>
  <si>
    <t>LEFT ROCKER</t>
  </si>
  <si>
    <t>Left Rocker</t>
  </si>
  <si>
    <t>Top Interface</t>
  </si>
  <si>
    <t>Right Rocker</t>
  </si>
  <si>
    <t>Right Rocker Lock Outer</t>
  </si>
  <si>
    <t>INSULATING BUSHING</t>
  </si>
  <si>
    <t xml:space="preserve"> INSULATING BUSHING</t>
  </si>
  <si>
    <t xml:space="preserve"> AZ BEARING HOLDER</t>
  </si>
  <si>
    <t>AZ BEARING TOP COVER</t>
  </si>
  <si>
    <t>RIGHT ROCKER LOCK INNER</t>
  </si>
  <si>
    <t>BALL</t>
  </si>
  <si>
    <t>MAIN BODY - FRONT</t>
  </si>
  <si>
    <t>MAIN BODY - REAR</t>
  </si>
  <si>
    <t>MAIN BODY - REAR AL</t>
  </si>
  <si>
    <t>02</t>
  </si>
  <si>
    <t>NUT M12X0.5</t>
  </si>
  <si>
    <t>CAMERA CLAMP</t>
  </si>
  <si>
    <t>YAW PLATE</t>
  </si>
  <si>
    <t>LINK FOR PITCH BOLT</t>
  </si>
  <si>
    <t>PITCH BOLT</t>
  </si>
  <si>
    <t>YAW BOLT</t>
  </si>
  <si>
    <t>PITCH AXLE</t>
  </si>
  <si>
    <t>BENCH ADAPTOR</t>
  </si>
  <si>
    <t>YAW PAD</t>
  </si>
  <si>
    <t>INTERMEDIATE SHAFT Z27</t>
  </si>
  <si>
    <t>SHAFT</t>
  </si>
  <si>
    <t>Pinion shaft 2nd step i4,4388</t>
  </si>
  <si>
    <t>Pinion</t>
  </si>
  <si>
    <t>Pinion conico (CAF) LEFT</t>
  </si>
  <si>
    <t xml:space="preserve">BEVEL GEAR PINION Z_21 </t>
  </si>
  <si>
    <t>Gear pinion</t>
  </si>
  <si>
    <t>sector</t>
  </si>
  <si>
    <t>32340009 P030</t>
  </si>
  <si>
    <t>BUTTERFLY ASSY</t>
  </si>
  <si>
    <t>BUTTERFLY</t>
  </si>
  <si>
    <t>EL. DRIVEN (LEFT) TURNTABLE, AL-4018-1RF</t>
  </si>
  <si>
    <t>Adapterplatte</t>
  </si>
  <si>
    <t>Sleeve</t>
  </si>
  <si>
    <t>Sealing screw</t>
  </si>
  <si>
    <t>Druckstuck</t>
  </si>
  <si>
    <t>shaft</t>
  </si>
  <si>
    <t>Bolts and washers</t>
  </si>
  <si>
    <t>Housings</t>
  </si>
  <si>
    <t>Colivie</t>
  </si>
  <si>
    <t xml:space="preserve">300343442-0000 </t>
  </si>
  <si>
    <t xml:space="preserve">300343434-0000 </t>
  </si>
  <si>
    <t>EDP KUH.6316-A-M-3001 004_</t>
  </si>
  <si>
    <t xml:space="preserve">300343205-0000 </t>
  </si>
  <si>
    <t>096458577-0000</t>
  </si>
  <si>
    <t>Colivie pieptene</t>
  </si>
  <si>
    <t xml:space="preserve">096353970-0000 </t>
  </si>
  <si>
    <t>096458585-0000</t>
  </si>
  <si>
    <t xml:space="preserve">096353961-0000 </t>
  </si>
  <si>
    <t xml:space="preserve">300786298-0000 </t>
  </si>
  <si>
    <t xml:space="preserve">300696787-0000 </t>
  </si>
  <si>
    <t xml:space="preserve">300697848-0000 </t>
  </si>
  <si>
    <t xml:space="preserve">300783892-0000 </t>
  </si>
  <si>
    <t xml:space="preserve">094290350-0000 </t>
  </si>
  <si>
    <t>Locking piece</t>
  </si>
  <si>
    <t>Danfoss</t>
  </si>
  <si>
    <t>inel exterior</t>
  </si>
  <si>
    <t>inele</t>
  </si>
  <si>
    <t>EDS F-556440-0012-ISB 004</t>
  </si>
  <si>
    <t>096100826-0000</t>
  </si>
  <si>
    <t>Inel degrosat pt lagar alunecator ISB</t>
  </si>
  <si>
    <t>Bucsi mari</t>
  </si>
  <si>
    <t>Inel degrosat pt disc de impingere ISB</t>
  </si>
  <si>
    <t>Discuri mari</t>
  </si>
  <si>
    <t>Inel degrosat pt. lagar alunecator ISB</t>
  </si>
  <si>
    <t>Bucsi mici</t>
  </si>
  <si>
    <t>Inel degrosat pt. disc de impingere ISB</t>
  </si>
  <si>
    <t>Discuri mici</t>
  </si>
  <si>
    <t>Inel interior</t>
  </si>
  <si>
    <t>050529854-0000</t>
  </si>
  <si>
    <t xml:space="preserve">300726902-0000 </t>
  </si>
  <si>
    <t>Strunjire dura</t>
  </si>
  <si>
    <t>096215445-0000</t>
  </si>
  <si>
    <t xml:space="preserve">096214309-0000 </t>
  </si>
  <si>
    <t xml:space="preserve">097204102-0000 </t>
  </si>
  <si>
    <t xml:space="preserve">096215143-0000 </t>
  </si>
  <si>
    <t xml:space="preserve">096215500-0000 </t>
  </si>
  <si>
    <t xml:space="preserve">096215283-0000 </t>
  </si>
  <si>
    <t xml:space="preserve">AH </t>
  </si>
  <si>
    <t>096215305-0000_x000D_</t>
  </si>
  <si>
    <t>050529846-0000</t>
  </si>
  <si>
    <t>Atlanta strunjire</t>
  </si>
  <si>
    <t xml:space="preserve">097122009-0000 </t>
  </si>
  <si>
    <t xml:space="preserve">093182490-0000 </t>
  </si>
  <si>
    <t xml:space="preserve">096311223-0000 </t>
  </si>
  <si>
    <t>Colivie ghidata pe diam. int.</t>
  </si>
  <si>
    <t xml:space="preserve">054380529-8011 </t>
  </si>
  <si>
    <t xml:space="preserve">094132526-8011 </t>
  </si>
  <si>
    <t>Inel gaurire</t>
  </si>
  <si>
    <t xml:space="preserve">074104748-8011 </t>
  </si>
  <si>
    <t>Rectificare</t>
  </si>
  <si>
    <t>bucsa</t>
  </si>
  <si>
    <t>Inel exterior</t>
  </si>
  <si>
    <t>ANLAUFSCHEIBE</t>
  </si>
  <si>
    <t>ZBA 807</t>
  </si>
  <si>
    <t>nelivrate</t>
  </si>
  <si>
    <t>20251300-08.10.2025</t>
  </si>
  <si>
    <t>20251299-08.10.2025</t>
  </si>
  <si>
    <t>PPAP il cere pe cda asta ptr livrarea din 30</t>
  </si>
  <si>
    <t xml:space="preserve">2025 Quantity </t>
  </si>
  <si>
    <t xml:space="preserve">2025  Price/Order </t>
  </si>
  <si>
    <t>EDP KUH.6218-B-M-3001 004</t>
  </si>
  <si>
    <t>2025239L</t>
  </si>
  <si>
    <t>2025236L</t>
  </si>
  <si>
    <t>2025237L</t>
  </si>
  <si>
    <t>2025235L</t>
  </si>
  <si>
    <t>2025234L</t>
  </si>
  <si>
    <t>21 AVIZ FICTIV</t>
  </si>
  <si>
    <t>F-154085.6-111 /108 </t>
  </si>
  <si>
    <t>20251301-14.10.2025</t>
  </si>
  <si>
    <t>20251302-14.10.2025</t>
  </si>
  <si>
    <t>20251303-14.10.2025</t>
  </si>
  <si>
    <t>20251304-14.10.2025</t>
  </si>
  <si>
    <t>20251305-14.10.2025</t>
  </si>
  <si>
    <t>20251306-14.10.2025</t>
  </si>
  <si>
    <t>20251146-02.09.2025/20251307-15.10.2025</t>
  </si>
  <si>
    <t>2025245L</t>
  </si>
  <si>
    <t>2025244L</t>
  </si>
  <si>
    <t>2025243L</t>
  </si>
  <si>
    <t>2025242L</t>
  </si>
  <si>
    <t>2025251L</t>
  </si>
  <si>
    <t>009692185-0000</t>
  </si>
  <si>
    <t>2025248L</t>
  </si>
  <si>
    <t>2025250L</t>
  </si>
  <si>
    <t>2025249L</t>
  </si>
  <si>
    <t>2025247L</t>
  </si>
  <si>
    <t>2025246L</t>
  </si>
  <si>
    <t>Aliniat cu Onofrei</t>
  </si>
  <si>
    <t>cda ptr sistemul lor</t>
  </si>
  <si>
    <t>20251312-15.10.2025</t>
  </si>
  <si>
    <t>20251311-15.10.2025</t>
  </si>
  <si>
    <t>20251310-15.10.2025</t>
  </si>
  <si>
    <t>20251313-16.10.2025</t>
  </si>
  <si>
    <t>2025241L</t>
  </si>
  <si>
    <t>20251315-16.10.2025</t>
  </si>
  <si>
    <t>20251316-16.10.2025</t>
  </si>
  <si>
    <t>20251317-16.10.2025</t>
  </si>
  <si>
    <t>20251319-17.10.2025</t>
  </si>
  <si>
    <t>20251320-17.10.2025</t>
  </si>
  <si>
    <t>20251321-17.10.2025</t>
  </si>
  <si>
    <t>20251322-17.10.2025</t>
  </si>
  <si>
    <t>20251323-17.10.2025</t>
  </si>
  <si>
    <t>2025251-17.10.2025</t>
  </si>
  <si>
    <t>20251325-17.10.2025</t>
  </si>
  <si>
    <t>20251318-16.10.2025</t>
  </si>
  <si>
    <t>2025255L</t>
  </si>
  <si>
    <t>2025256L</t>
  </si>
  <si>
    <t>2025254L</t>
  </si>
  <si>
    <t>2025253L</t>
  </si>
  <si>
    <t>Sadev</t>
  </si>
  <si>
    <t>F1410103</t>
  </si>
  <si>
    <t>F1520117</t>
  </si>
  <si>
    <t>F9037102</t>
  </si>
  <si>
    <t>ACH-57301</t>
  </si>
  <si>
    <t>20251340-21.10.2025</t>
  </si>
  <si>
    <t>20251339-21.10.2025</t>
  </si>
  <si>
    <t>20251338-21.10.2025</t>
  </si>
  <si>
    <t>20251337-22.10.2025</t>
  </si>
  <si>
    <t>20251336-22.10.2025</t>
  </si>
  <si>
    <t>20251335-22.10.2025</t>
  </si>
  <si>
    <r>
      <t>20241099-26.08.2024/</t>
    </r>
    <r>
      <rPr>
        <sz val="11"/>
        <color rgb="FFFF0000"/>
        <rFont val="Calibri"/>
        <family val="2"/>
        <scheme val="minor"/>
      </rPr>
      <t>20251334-22.10.2025</t>
    </r>
  </si>
  <si>
    <t>PPAP-respinse-reclamatie 201806690</t>
  </si>
  <si>
    <t>20251341-20.10.2025</t>
  </si>
  <si>
    <t>20251342-20.10.2025</t>
  </si>
  <si>
    <t>Jan</t>
  </si>
  <si>
    <t>2025257L</t>
  </si>
  <si>
    <t>2025258L</t>
  </si>
  <si>
    <t>2025259L</t>
  </si>
  <si>
    <t xml:space="preserve">2026 Quantity </t>
  </si>
  <si>
    <t xml:space="preserve">2026  Price/Order </t>
  </si>
  <si>
    <t>storno cele 15 buc facturate</t>
  </si>
  <si>
    <t>20251347-23.10.2025</t>
  </si>
  <si>
    <t>20251348-23.10.2025</t>
  </si>
  <si>
    <t>20251349-23.10.2025</t>
  </si>
  <si>
    <r>
      <t>20251309-15.10.2025/</t>
    </r>
    <r>
      <rPr>
        <sz val="11"/>
        <color rgb="FFFF0000"/>
        <rFont val="Calibri"/>
        <family val="2"/>
        <scheme val="minor"/>
      </rPr>
      <t>20251345-23.10.2025</t>
    </r>
  </si>
  <si>
    <t>20251346-23.10.2025</t>
  </si>
  <si>
    <t>2025 Sum of OK</t>
  </si>
  <si>
    <t>2025 Sum of Sales</t>
  </si>
  <si>
    <t>2025264L</t>
  </si>
  <si>
    <t>2025265L</t>
  </si>
  <si>
    <t>2025263L</t>
  </si>
  <si>
    <t>2025262L</t>
  </si>
  <si>
    <t>2025261L</t>
  </si>
  <si>
    <t>2025267L</t>
  </si>
  <si>
    <t>20251356-28.10.2025</t>
  </si>
  <si>
    <t>20251357-28.10.2025</t>
  </si>
  <si>
    <t>20251358-28.10.2025</t>
  </si>
  <si>
    <t>20251359-28.10.2025</t>
  </si>
  <si>
    <t>20251360-28.10.2025</t>
  </si>
  <si>
    <t>20251361-28.10.2025</t>
  </si>
  <si>
    <t>20251362-29.10.2025</t>
  </si>
  <si>
    <t>2025268L</t>
  </si>
  <si>
    <t>2025269L</t>
  </si>
  <si>
    <t>26-1341</t>
  </si>
  <si>
    <t>41-0140</t>
  </si>
  <si>
    <t>41-0137</t>
  </si>
  <si>
    <t>26-1397</t>
  </si>
  <si>
    <r>
      <t>20250807-30.06.2025/</t>
    </r>
    <r>
      <rPr>
        <sz val="11"/>
        <color rgb="FFFF0000"/>
        <rFont val="Calibri"/>
        <family val="2"/>
        <scheme val="minor"/>
      </rPr>
      <t>20251363</t>
    </r>
    <r>
      <rPr>
        <sz val="11"/>
        <color theme="1"/>
        <rFont val="Calibri"/>
        <family val="2"/>
        <charset val="238"/>
        <scheme val="minor"/>
      </rPr>
      <t>/20251364-30.10.2025</t>
    </r>
  </si>
  <si>
    <r>
      <t>20250808-30.06.2025/</t>
    </r>
    <r>
      <rPr>
        <sz val="11"/>
        <color rgb="FFFF0000"/>
        <rFont val="Calibri"/>
        <family val="2"/>
        <scheme val="minor"/>
      </rPr>
      <t>20251365/</t>
    </r>
    <r>
      <rPr>
        <sz val="11"/>
        <color theme="1"/>
        <rFont val="Calibri"/>
        <family val="2"/>
        <scheme val="minor"/>
      </rPr>
      <t>20251366-30.10.2025</t>
    </r>
  </si>
  <si>
    <r>
      <t>20250810-30.06.2025/</t>
    </r>
    <r>
      <rPr>
        <sz val="11"/>
        <color rgb="FFFF0000"/>
        <rFont val="Calibri"/>
        <family val="2"/>
        <scheme val="minor"/>
      </rPr>
      <t>20251367</t>
    </r>
    <r>
      <rPr>
        <sz val="11"/>
        <color theme="1"/>
        <rFont val="Calibri"/>
        <family val="2"/>
        <charset val="238"/>
        <scheme val="minor"/>
      </rPr>
      <t>/20251368-30.10.2025</t>
    </r>
  </si>
  <si>
    <r>
      <t>20250811-30.06.2025/</t>
    </r>
    <r>
      <rPr>
        <sz val="11"/>
        <color rgb="FFFF0000"/>
        <rFont val="Calibri"/>
        <family val="2"/>
        <scheme val="minor"/>
      </rPr>
      <t>20251369/20251370-30.10.2025</t>
    </r>
  </si>
  <si>
    <r>
      <t>20250813-30.06.2025/</t>
    </r>
    <r>
      <rPr>
        <sz val="11"/>
        <color rgb="FFFF0000"/>
        <rFont val="Calibri"/>
        <family val="2"/>
        <scheme val="minor"/>
      </rPr>
      <t>20251371/</t>
    </r>
    <r>
      <rPr>
        <sz val="11"/>
        <color theme="1"/>
        <rFont val="Calibri"/>
        <family val="2"/>
        <scheme val="minor"/>
      </rPr>
      <t>20251372-30.10.2025</t>
    </r>
  </si>
  <si>
    <t>20251013/31.07.2025/20251373/20251374-30.10.2025</t>
  </si>
  <si>
    <t>20251018/31.07.2025/20251375/20251376-30.10.2025</t>
  </si>
  <si>
    <t>20251019/31.07.2025/20251377/20251377/20251378-30.10.2025</t>
  </si>
  <si>
    <t>20251021/31.07.2025/20251379/20251380-30.10.2025</t>
  </si>
  <si>
    <t>2024 Total</t>
  </si>
  <si>
    <t>2025271L</t>
  </si>
  <si>
    <t>2025270L</t>
  </si>
  <si>
    <t>20251390-31.10.2025</t>
  </si>
  <si>
    <t>20251391-31.10.2025</t>
  </si>
  <si>
    <t>20251392-31.10.2025</t>
  </si>
  <si>
    <t>20251386-31.10.2025</t>
  </si>
  <si>
    <t>20251387-31.10.2025</t>
  </si>
  <si>
    <t>20251389-31.10.2025</t>
  </si>
  <si>
    <t>20251388-31.10.2025</t>
  </si>
  <si>
    <t>20251394-30.10.2025</t>
  </si>
  <si>
    <t>20251395-31.10.2025</t>
  </si>
  <si>
    <t>20251396-30.10.2025</t>
  </si>
  <si>
    <t>20251397-31.10.2025</t>
  </si>
  <si>
    <t>October Total</t>
  </si>
  <si>
    <t>2026 Total</t>
  </si>
  <si>
    <t>Cover Total</t>
  </si>
  <si>
    <t>2025278L</t>
  </si>
  <si>
    <t>2025277L</t>
  </si>
  <si>
    <t>2025276L</t>
  </si>
  <si>
    <t>2025275L</t>
  </si>
  <si>
    <t>2025274L</t>
  </si>
  <si>
    <t>2025273L</t>
  </si>
  <si>
    <t>251272L</t>
  </si>
  <si>
    <t>Orbit Total</t>
  </si>
  <si>
    <t>Elbit Total</t>
  </si>
  <si>
    <t>BOSCH Blaj Total</t>
  </si>
  <si>
    <t>20251401-31.10.2025</t>
  </si>
  <si>
    <t>20251400-31.10.2025</t>
  </si>
  <si>
    <t>Adapterplatte Total</t>
  </si>
  <si>
    <t>Druckstuck Total</t>
  </si>
  <si>
    <t>Sealing screw Total</t>
  </si>
  <si>
    <t>sleeve Total</t>
  </si>
  <si>
    <t>Schaeffler DE Total</t>
  </si>
  <si>
    <t>20251408-04.11.2025</t>
  </si>
  <si>
    <t>20251407-04.11.2025</t>
  </si>
  <si>
    <t>20251406-04.11.2025</t>
  </si>
  <si>
    <t>20251404-04.11.2025</t>
  </si>
  <si>
    <t>20251403-04.11.2025</t>
  </si>
  <si>
    <t>20251405-04.11.2025</t>
  </si>
  <si>
    <t>20251402-04.11.2025</t>
  </si>
  <si>
    <t>20251410-31.10.2025</t>
  </si>
  <si>
    <t>20251409-31.10.2025</t>
  </si>
  <si>
    <t>20251412-31.10.2025</t>
  </si>
  <si>
    <t>20251413-31.10.2025</t>
  </si>
  <si>
    <t>20251414-31.10.2025</t>
  </si>
  <si>
    <t>20251415-31.10.2025</t>
  </si>
  <si>
    <t>20251416-31.10.2025</t>
  </si>
  <si>
    <t>20251417-31.10.2025</t>
  </si>
  <si>
    <t>20251418-31.10.2025</t>
  </si>
  <si>
    <t>0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</si>
</sst>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 &quot;lei&quot;_-;\-* #,##0.00\ &quot;lei&quot;_-;_-* &quot;-&quot;??\ &quot;lei&quot;_-;_-@_-"/>
    <numFmt numFmtId="165" formatCode="0.0%"/>
    <numFmt numFmtId="166" formatCode="_([$€-2]\ * #,##0.00_);_([$€-2]\ * \(#,##0.00\);_([$€-2]\ * &quot;-&quot;??_);_(@_)"/>
    <numFmt numFmtId="167" formatCode="[$-409]d\-mmm\-yyyy;@"/>
    <numFmt numFmtId="168" formatCode="[$-409]d\-mmm\-yy;@"/>
    <numFmt numFmtId="169" formatCode="[$€-2]\ #,##0.00"/>
    <numFmt numFmtId="170" formatCode="mmmm"/>
    <numFmt numFmtId="171" formatCode="0.0"/>
  </numFmts>
  <fonts count="93">
    <font>
      <sz val="11"/>
      <color theme="1"/>
      <name val="Calibri"/>
      <family val="2"/>
      <charset val="23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238"/>
      <scheme val="minor"/>
    </font>
    <font>
      <sz val="11"/>
      <color theme="1"/>
      <name val="Calibri"/>
      <family val="2"/>
      <scheme val="minor"/>
    </font>
    <font>
      <sz val="11"/>
      <color rgb="FF006100"/>
      <name val="Calibri"/>
      <family val="2"/>
      <scheme val="minor"/>
    </font>
    <font>
      <sz val="10"/>
      <name val="Arial"/>
      <family val="2"/>
    </font>
    <font>
      <b/>
      <sz val="11"/>
      <color theme="1"/>
      <name val="Calibri"/>
      <family val="2"/>
      <scheme val="minor"/>
    </font>
    <font>
      <sz val="11"/>
      <color theme="1" tint="0.499984740745262"/>
      <name val="Calibri"/>
      <family val="2"/>
      <charset val="238"/>
      <scheme val="minor"/>
    </font>
    <font>
      <sz val="11"/>
      <color theme="1"/>
      <name val="Calibri"/>
      <family val="2"/>
      <charset val="238"/>
    </font>
    <font>
      <b/>
      <sz val="15"/>
      <color rgb="FF000000"/>
      <name val="Calibri"/>
      <family val="2"/>
    </font>
    <font>
      <b/>
      <sz val="18"/>
      <color rgb="FF000000"/>
      <name val="Calibri"/>
      <family val="2"/>
    </font>
    <font>
      <b/>
      <sz val="18"/>
      <color rgb="FF808080"/>
      <name val="Calibri"/>
      <family val="2"/>
    </font>
    <font>
      <sz val="12"/>
      <color rgb="FF808080"/>
      <name val="Calibri"/>
      <family val="2"/>
    </font>
    <font>
      <sz val="8"/>
      <color rgb="FF808080"/>
      <name val="Calibri"/>
      <family val="2"/>
      <charset val="238"/>
    </font>
    <font>
      <b/>
      <sz val="11"/>
      <color rgb="FF808080"/>
      <name val="Calibri"/>
      <family val="2"/>
    </font>
    <font>
      <sz val="11"/>
      <color rgb="FFFFFFFF"/>
      <name val="Calibri"/>
      <family val="2"/>
      <charset val="238"/>
    </font>
    <font>
      <sz val="8"/>
      <color rgb="FF000000"/>
      <name val="Calibri"/>
      <family val="2"/>
      <charset val="238"/>
    </font>
    <font>
      <b/>
      <sz val="9"/>
      <color rgb="FF000000"/>
      <name val="Calibri"/>
      <family val="2"/>
    </font>
    <font>
      <sz val="9"/>
      <color rgb="FF000000"/>
      <name val="Calibri"/>
      <family val="2"/>
      <charset val="238"/>
    </font>
    <font>
      <b/>
      <sz val="9"/>
      <color rgb="FFFFFFFF"/>
      <name val="Calibri"/>
      <family val="2"/>
    </font>
    <font>
      <b/>
      <sz val="11"/>
      <color rgb="FF000000"/>
      <name val="Calibri"/>
      <family val="2"/>
    </font>
    <font>
      <sz val="9"/>
      <color rgb="FF808080"/>
      <name val="Calibri"/>
      <family val="2"/>
      <charset val="238"/>
    </font>
    <font>
      <sz val="11"/>
      <color theme="1" tint="0.499984740745262"/>
      <name val="Calibri"/>
      <family val="2"/>
      <charset val="238"/>
    </font>
    <font>
      <sz val="8"/>
      <color theme="1" tint="0.499984740745262"/>
      <name val="Calibri"/>
      <family val="2"/>
      <charset val="238"/>
    </font>
    <font>
      <sz val="9"/>
      <color theme="1" tint="0.499984740745262"/>
      <name val="Calibri"/>
      <family val="2"/>
      <charset val="238"/>
    </font>
    <font>
      <b/>
      <sz val="21"/>
      <color theme="1"/>
      <name val="Calibri"/>
      <family val="2"/>
      <scheme val="minor"/>
    </font>
    <font>
      <b/>
      <sz val="15"/>
      <color theme="1"/>
      <name val="Calibri"/>
      <family val="2"/>
      <scheme val="minor"/>
    </font>
    <font>
      <b/>
      <sz val="21"/>
      <color theme="0"/>
      <name val="Calibri"/>
      <family val="2"/>
    </font>
    <font>
      <b/>
      <sz val="11"/>
      <color rgb="FFFF0000"/>
      <name val="Calibri"/>
      <family val="2"/>
    </font>
    <font>
      <sz val="11"/>
      <color theme="1"/>
      <name val="Calibri"/>
      <family val="2"/>
    </font>
    <font>
      <sz val="8"/>
      <name val="Calibri"/>
      <family val="2"/>
      <charset val="238"/>
      <scheme val="minor"/>
    </font>
    <font>
      <u/>
      <sz val="11"/>
      <color theme="10"/>
      <name val="Calibri"/>
      <family val="2"/>
      <charset val="238"/>
      <scheme val="minor"/>
    </font>
    <font>
      <b/>
      <i/>
      <sz val="14"/>
      <color theme="1"/>
      <name val="Calibri"/>
      <family val="2"/>
      <scheme val="minor"/>
    </font>
    <font>
      <b/>
      <i/>
      <sz val="12"/>
      <color theme="1"/>
      <name val="Calibri"/>
      <family val="2"/>
      <scheme val="minor"/>
    </font>
    <font>
      <b/>
      <sz val="14"/>
      <color indexed="81"/>
      <name val="Calibri"/>
      <family val="2"/>
      <scheme val="minor"/>
    </font>
    <font>
      <i/>
      <sz val="10"/>
      <color theme="1"/>
      <name val="Calibri"/>
      <family val="2"/>
      <scheme val="minor"/>
    </font>
    <font>
      <sz val="10"/>
      <color theme="1"/>
      <name val="Calibri"/>
      <family val="2"/>
      <scheme val="minor"/>
    </font>
    <font>
      <sz val="9"/>
      <color indexed="81"/>
      <name val="Tahoma"/>
      <family val="2"/>
    </font>
    <font>
      <b/>
      <sz val="9"/>
      <color indexed="81"/>
      <name val="Tahoma"/>
      <family val="2"/>
    </font>
    <font>
      <b/>
      <sz val="11"/>
      <color theme="1"/>
      <name val="Calibri"/>
      <family val="2"/>
      <charset val="238"/>
      <scheme val="minor"/>
    </font>
    <font>
      <sz val="11"/>
      <color rgb="FF000000"/>
      <name val="Calibri"/>
      <family val="2"/>
    </font>
    <font>
      <sz val="10"/>
      <color rgb="FF000000"/>
      <name val="Calibri"/>
      <family val="2"/>
    </font>
    <font>
      <u/>
      <sz val="11"/>
      <color theme="10"/>
      <name val="Calibri"/>
      <family val="2"/>
      <scheme val="minor"/>
    </font>
    <font>
      <sz val="11"/>
      <color theme="1"/>
      <name val="Aptos Narrow"/>
      <family val="2"/>
    </font>
    <font>
      <sz val="11"/>
      <color rgb="FFFF0000"/>
      <name val="Calibri"/>
      <family val="2"/>
      <charset val="238"/>
      <scheme val="minor"/>
    </font>
    <font>
      <sz val="11"/>
      <color rgb="FFFFFFFF"/>
      <name val="Calibri"/>
      <family val="2"/>
    </font>
    <font>
      <sz val="8"/>
      <color rgb="FF000000"/>
      <name val="Calibri"/>
      <family val="2"/>
    </font>
    <font>
      <sz val="9"/>
      <color rgb="FF000000"/>
      <name val="Calibri"/>
      <family val="2"/>
    </font>
    <font>
      <sz val="11"/>
      <color theme="1" tint="0.499984740745262"/>
      <name val="Calibri"/>
      <family val="2"/>
    </font>
    <font>
      <sz val="9"/>
      <color rgb="FF808080"/>
      <name val="Calibri"/>
      <family val="2"/>
    </font>
    <font>
      <sz val="8"/>
      <color theme="1" tint="0.499984740745262"/>
      <name val="Calibri"/>
      <family val="2"/>
    </font>
    <font>
      <sz val="8"/>
      <color rgb="FF808080"/>
      <name val="Calibri"/>
      <family val="2"/>
    </font>
    <font>
      <sz val="12"/>
      <color theme="1"/>
      <name val="Calibri"/>
      <family val="2"/>
      <scheme val="minor"/>
    </font>
    <font>
      <sz val="12"/>
      <color rgb="FFFF0000"/>
      <name val="Calibri"/>
      <family val="2"/>
      <scheme val="minor"/>
    </font>
    <font>
      <sz val="12"/>
      <color rgb="FF000000"/>
      <name val="Calibri"/>
      <family val="2"/>
      <scheme val="minor"/>
    </font>
    <font>
      <b/>
      <sz val="12"/>
      <color theme="1"/>
      <name val="Calibri"/>
      <family val="2"/>
      <scheme val="minor"/>
    </font>
    <font>
      <sz val="10"/>
      <color rgb="FF000000"/>
      <name val="Calibri"/>
      <family val="2"/>
      <scheme val="minor"/>
    </font>
    <font>
      <b/>
      <sz val="10"/>
      <color theme="1"/>
      <name val="Calibri"/>
      <family val="2"/>
      <scheme val="minor"/>
    </font>
    <font>
      <b/>
      <sz val="12"/>
      <color rgb="FFFF0000"/>
      <name val="Calibri"/>
      <family val="2"/>
      <scheme val="minor"/>
    </font>
    <font>
      <sz val="10"/>
      <color theme="1"/>
      <name val="Calibri"/>
      <family val="2"/>
      <charset val="238"/>
      <scheme val="minor"/>
    </font>
    <font>
      <sz val="9"/>
      <color rgb="FF000000"/>
      <name val="Aptos Narrow"/>
      <family val="2"/>
    </font>
    <font>
      <sz val="9"/>
      <color theme="1"/>
      <name val="Aptos"/>
      <family val="2"/>
    </font>
    <font>
      <sz val="12"/>
      <color rgb="FF000000"/>
      <name val="Calibri"/>
      <family val="2"/>
    </font>
    <font>
      <sz val="12"/>
      <color rgb="FFFF0000"/>
      <name val="Calibri"/>
      <family val="2"/>
    </font>
    <font>
      <b/>
      <sz val="12"/>
      <color rgb="FFFF0000"/>
      <name val="Calibri"/>
      <family val="2"/>
    </font>
    <font>
      <sz val="11"/>
      <color rgb="FFFF0000"/>
      <name val="Calibri"/>
      <family val="2"/>
      <scheme val="minor"/>
    </font>
    <font>
      <b/>
      <sz val="16"/>
      <color theme="1"/>
      <name val="Calibri"/>
      <family val="2"/>
      <scheme val="minor"/>
    </font>
    <font>
      <b/>
      <sz val="16"/>
      <color theme="1"/>
      <name val="Calibri"/>
      <family val="2"/>
      <charset val="238"/>
      <scheme val="minor"/>
    </font>
    <font>
      <sz val="10"/>
      <color rgb="FF000000"/>
      <name val="Arial"/>
      <family val="2"/>
    </font>
    <font>
      <i/>
      <sz val="12"/>
      <color theme="1"/>
      <name val="Calibri"/>
      <family val="2"/>
      <scheme val="minor"/>
    </font>
    <font>
      <sz val="11"/>
      <color rgb="FF000000"/>
      <name val="Calibri"/>
      <family val="2"/>
      <scheme val="minor"/>
    </font>
    <font>
      <b/>
      <sz val="12"/>
      <color rgb="FF000000"/>
      <name val="Calibri"/>
      <family val="2"/>
      <scheme val="minor"/>
    </font>
    <font>
      <i/>
      <sz val="12"/>
      <color rgb="FF000000"/>
      <name val="Calibri"/>
      <family val="2"/>
      <scheme val="minor"/>
    </font>
    <font>
      <sz val="11"/>
      <color rgb="FF242424"/>
      <name val="Aptos Narrow"/>
      <family val="2"/>
    </font>
    <font>
      <b/>
      <sz val="12"/>
      <color rgb="FF000000"/>
      <name val="Aptos"/>
      <family val="2"/>
      <charset val="1"/>
    </font>
    <font>
      <sz val="11"/>
      <color theme="1"/>
      <name val="Aptos"/>
      <family val="2"/>
      <charset val="1"/>
    </font>
    <font>
      <sz val="11"/>
      <color rgb="FF000000"/>
      <name val="Calibri"/>
      <family val="2"/>
      <charset val="238"/>
      <scheme val="minor"/>
    </font>
    <font>
      <sz val="11"/>
      <name val="Calibri"/>
      <family val="2"/>
      <charset val="238"/>
      <scheme val="minor"/>
    </font>
    <font>
      <sz val="11"/>
      <color rgb="FF000000"/>
      <name val="Aptos"/>
      <family val="2"/>
      <charset val="1"/>
    </font>
    <font>
      <sz val="11"/>
      <color rgb="FF000000"/>
      <name val="Aptos"/>
      <family val="2"/>
    </font>
    <font>
      <sz val="9"/>
      <color theme="1"/>
      <name val="Calibri"/>
      <family val="2"/>
      <charset val="238"/>
      <scheme val="minor"/>
    </font>
    <font>
      <sz val="11"/>
      <name val="Calibri"/>
      <family val="2"/>
      <scheme val="minor"/>
    </font>
    <font>
      <sz val="10"/>
      <color theme="1"/>
      <name val="Arial"/>
      <family val="2"/>
    </font>
    <font>
      <b/>
      <sz val="11"/>
      <color theme="1"/>
      <name val="Bosch Office Sans"/>
    </font>
    <font>
      <sz val="10"/>
      <color theme="1"/>
      <name val="Bosch Sans Global"/>
      <family val="2"/>
    </font>
    <font>
      <sz val="11"/>
      <color theme="1"/>
      <name val="Times New Roman"/>
      <family val="1"/>
    </font>
    <font>
      <sz val="11"/>
      <color rgb="FF000000"/>
      <name val="Times New Roman"/>
      <family val="1"/>
    </font>
    <font>
      <sz val="11"/>
      <color theme="1"/>
      <name val="Calibri Light"/>
      <family val="2"/>
      <scheme val="major"/>
    </font>
    <font>
      <b/>
      <sz val="10"/>
      <color rgb="FF000000"/>
      <name val="Calibri"/>
      <family val="2"/>
      <scheme val="minor"/>
    </font>
  </fonts>
  <fills count="28">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D9D9D9"/>
        <bgColor rgb="FF000000"/>
      </patternFill>
    </fill>
    <fill>
      <patternFill patternType="solid">
        <fgColor rgb="FF808080"/>
        <bgColor rgb="FF000000"/>
      </patternFill>
    </fill>
    <fill>
      <patternFill patternType="solid">
        <fgColor rgb="FFFCE4D6"/>
        <bgColor rgb="FF000000"/>
      </patternFill>
    </fill>
    <fill>
      <patternFill patternType="solid">
        <fgColor rgb="FFF4B084"/>
        <bgColor rgb="FF000000"/>
      </patternFill>
    </fill>
    <fill>
      <patternFill patternType="solid">
        <fgColor theme="5" tint="0.39997558519241921"/>
        <bgColor rgb="FF000000"/>
      </patternFill>
    </fill>
    <fill>
      <patternFill patternType="solid">
        <fgColor theme="0"/>
        <bgColor rgb="FF000000"/>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rgb="FFFFC000"/>
        <bgColor indexed="64"/>
      </patternFill>
    </fill>
    <fill>
      <patternFill patternType="solid">
        <fgColor rgb="FF00B0F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5"/>
        <bgColor indexed="64"/>
      </patternFill>
    </fill>
    <fill>
      <patternFill patternType="solid">
        <fgColor rgb="FF00B050"/>
        <bgColor indexed="64"/>
      </patternFill>
    </fill>
  </fills>
  <borders count="5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theme="4" tint="0.39997558519241921"/>
      </top>
      <bottom style="thin">
        <color theme="4" tint="0.39997558519241921"/>
      </bottom>
      <diagonal/>
    </border>
    <border>
      <left/>
      <right/>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right/>
      <top style="thin">
        <color indexed="64"/>
      </top>
      <bottom/>
      <diagonal/>
    </border>
    <border>
      <left style="thin">
        <color indexed="64"/>
      </left>
      <right/>
      <top style="thin">
        <color theme="6"/>
      </top>
      <bottom/>
      <diagonal/>
    </border>
    <border>
      <left style="thin">
        <color indexed="64"/>
      </left>
      <right/>
      <top style="thin">
        <color indexed="64"/>
      </top>
      <bottom style="thin">
        <color theme="1"/>
      </bottom>
      <diagonal/>
    </border>
    <border>
      <left style="thin">
        <color indexed="64"/>
      </left>
      <right style="thin">
        <color indexed="64"/>
      </right>
      <top style="thin">
        <color indexed="64"/>
      </top>
      <bottom style="thin">
        <color theme="1"/>
      </bottom>
      <diagonal/>
    </border>
    <border>
      <left style="thin">
        <color theme="6"/>
      </left>
      <right/>
      <top style="thin">
        <color theme="6"/>
      </top>
      <bottom/>
      <diagonal/>
    </border>
    <border>
      <left style="medium">
        <color indexed="64"/>
      </left>
      <right style="thin">
        <color indexed="64"/>
      </right>
      <top/>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indexed="64"/>
      </top>
      <bottom style="thin">
        <color indexed="64"/>
      </bottom>
      <diagonal/>
    </border>
    <border>
      <left style="thin">
        <color theme="6"/>
      </left>
      <right style="thin">
        <color theme="6"/>
      </right>
      <top style="thin">
        <color theme="6"/>
      </top>
      <bottom style="thin">
        <color theme="6"/>
      </bottom>
      <diagonal/>
    </border>
    <border>
      <left style="thin">
        <color indexed="64"/>
      </left>
      <right/>
      <top/>
      <bottom/>
      <diagonal/>
    </border>
  </borders>
  <cellStyleXfs count="16">
    <xf numFmtId="0" fontId="0" fillId="0" borderId="0"/>
    <xf numFmtId="0" fontId="7" fillId="0" borderId="0"/>
    <xf numFmtId="0" fontId="8" fillId="2" borderId="0" applyNumberFormat="0" applyBorder="0" applyAlignment="0" applyProtection="0"/>
    <xf numFmtId="0" fontId="9" fillId="0" borderId="0"/>
    <xf numFmtId="0" fontId="6" fillId="0" borderId="0"/>
    <xf numFmtId="0" fontId="7" fillId="0" borderId="0"/>
    <xf numFmtId="0" fontId="6" fillId="0" borderId="0"/>
    <xf numFmtId="164" fontId="7" fillId="0" borderId="0" applyFont="0" applyFill="0" applyBorder="0" applyAlignment="0" applyProtection="0"/>
    <xf numFmtId="9" fontId="7" fillId="0" borderId="0" applyFont="0" applyFill="0" applyBorder="0" applyAlignment="0" applyProtection="0"/>
    <xf numFmtId="0" fontId="6" fillId="0" borderId="0"/>
    <xf numFmtId="0" fontId="35" fillId="0" borderId="0" applyNumberFormat="0" applyFill="0" applyBorder="0" applyAlignment="0" applyProtection="0"/>
    <xf numFmtId="0" fontId="4" fillId="0" borderId="0"/>
    <xf numFmtId="0" fontId="46" fillId="0" borderId="0" applyNumberFormat="0" applyFill="0" applyBorder="0" applyAlignment="0" applyProtection="0"/>
    <xf numFmtId="0" fontId="3" fillId="0" borderId="0"/>
    <xf numFmtId="0" fontId="86" fillId="0" borderId="0"/>
    <xf numFmtId="0" fontId="3" fillId="0" borderId="0"/>
  </cellStyleXfs>
  <cellXfs count="405">
    <xf numFmtId="0" fontId="0" fillId="0" borderId="0" xfId="0"/>
    <xf numFmtId="0" fontId="0" fillId="7" borderId="0" xfId="0" applyFill="1" applyAlignment="1">
      <alignment horizontal="center"/>
    </xf>
    <xf numFmtId="0" fontId="0" fillId="0" borderId="0" xfId="0" applyAlignment="1">
      <alignment horizontal="center"/>
    </xf>
    <xf numFmtId="0" fontId="12" fillId="0" borderId="0" xfId="0" applyFont="1"/>
    <xf numFmtId="0" fontId="18" fillId="0" borderId="0" xfId="0" applyFont="1"/>
    <xf numFmtId="0" fontId="20" fillId="10" borderId="1" xfId="0" applyFont="1" applyFill="1" applyBorder="1" applyAlignment="1">
      <alignment horizontal="center" vertical="center" wrapText="1"/>
    </xf>
    <xf numFmtId="0" fontId="20" fillId="11"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12" fillId="0" borderId="1" xfId="0" applyFont="1" applyBorder="1" applyAlignment="1">
      <alignment horizontal="center" vertical="center" wrapText="1"/>
    </xf>
    <xf numFmtId="1" fontId="12" fillId="8" borderId="1" xfId="0" applyNumberFormat="1" applyFont="1" applyFill="1" applyBorder="1" applyAlignment="1">
      <alignment horizontal="center" vertical="center" wrapText="1"/>
    </xf>
    <xf numFmtId="1" fontId="12" fillId="0" borderId="1" xfId="0" applyNumberFormat="1" applyFont="1" applyBorder="1" applyAlignment="1">
      <alignment horizontal="center" vertical="center" wrapText="1"/>
    </xf>
    <xf numFmtId="0" fontId="23" fillId="9" borderId="1" xfId="0" applyFont="1" applyFill="1" applyBorder="1" applyAlignment="1">
      <alignment horizontal="center" vertical="center" wrapText="1"/>
    </xf>
    <xf numFmtId="0" fontId="25" fillId="0" borderId="1" xfId="0" applyFont="1" applyBorder="1" applyAlignment="1">
      <alignment horizontal="center" vertical="center" wrapText="1"/>
    </xf>
    <xf numFmtId="165" fontId="17" fillId="8" borderId="1" xfId="0" applyNumberFormat="1" applyFont="1" applyFill="1" applyBorder="1" applyAlignment="1">
      <alignment horizontal="center" vertical="center" wrapText="1"/>
    </xf>
    <xf numFmtId="9" fontId="24" fillId="12" borderId="1" xfId="0" applyNumberFormat="1" applyFont="1" applyFill="1" applyBorder="1" applyAlignment="1">
      <alignment horizontal="center" vertical="center" wrapText="1"/>
    </xf>
    <xf numFmtId="9" fontId="26" fillId="0" borderId="1" xfId="0" applyNumberFormat="1" applyFont="1" applyBorder="1" applyAlignment="1">
      <alignment horizontal="center" vertical="center" wrapText="1"/>
    </xf>
    <xf numFmtId="165" fontId="27" fillId="0" borderId="1" xfId="0" applyNumberFormat="1" applyFont="1" applyBorder="1" applyAlignment="1">
      <alignment horizontal="center" vertical="center" wrapText="1"/>
    </xf>
    <xf numFmtId="9" fontId="24" fillId="13" borderId="1" xfId="0" applyNumberFormat="1" applyFont="1" applyFill="1" applyBorder="1" applyAlignment="1">
      <alignment horizontal="center" vertical="center" wrapText="1"/>
    </xf>
    <xf numFmtId="1" fontId="26" fillId="0" borderId="1" xfId="0" applyNumberFormat="1" applyFont="1" applyBorder="1" applyAlignment="1">
      <alignment horizontal="center" vertical="center" wrapText="1"/>
    </xf>
    <xf numFmtId="10" fontId="12" fillId="0" borderId="1" xfId="0" applyNumberFormat="1" applyFont="1" applyBorder="1" applyAlignment="1">
      <alignment horizontal="center" vertical="center" wrapText="1"/>
    </xf>
    <xf numFmtId="2" fontId="12" fillId="8" borderId="1" xfId="0" applyNumberFormat="1" applyFont="1" applyFill="1" applyBorder="1" applyAlignment="1">
      <alignment horizontal="center" vertical="center" wrapText="1"/>
    </xf>
    <xf numFmtId="0" fontId="28" fillId="0" borderId="1" xfId="0" applyFont="1" applyBorder="1" applyAlignment="1">
      <alignment horizontal="center" vertical="center" wrapText="1"/>
    </xf>
    <xf numFmtId="165" fontId="26" fillId="0" borderId="1" xfId="0" applyNumberFormat="1" applyFont="1" applyBorder="1" applyAlignment="1">
      <alignment horizontal="center" vertical="center" wrapText="1"/>
    </xf>
    <xf numFmtId="0" fontId="0" fillId="0" borderId="0" xfId="0" applyAlignment="1">
      <alignment horizontal="center" vertical="center" wrapText="1"/>
    </xf>
    <xf numFmtId="0" fontId="0" fillId="5" borderId="1" xfId="0" applyFill="1" applyBorder="1" applyAlignment="1">
      <alignment horizontal="center" vertical="center" wrapText="1"/>
    </xf>
    <xf numFmtId="0" fontId="31" fillId="7" borderId="0" xfId="0" applyFont="1" applyFill="1" applyAlignment="1">
      <alignment horizontal="center"/>
    </xf>
    <xf numFmtId="0" fontId="32" fillId="0" borderId="1" xfId="0" applyFont="1" applyBorder="1" applyAlignment="1">
      <alignment horizontal="center" vertical="center" wrapText="1"/>
    </xf>
    <xf numFmtId="0" fontId="6" fillId="0" borderId="4" xfId="9" applyBorder="1" applyAlignment="1">
      <alignment horizontal="center" vertical="center" wrapText="1"/>
    </xf>
    <xf numFmtId="0" fontId="6" fillId="0" borderId="5" xfId="9" applyBorder="1" applyAlignment="1">
      <alignment horizontal="center" vertical="center" wrapText="1"/>
    </xf>
    <xf numFmtId="0" fontId="33" fillId="0" borderId="4" xfId="9" applyFont="1" applyBorder="1" applyAlignment="1">
      <alignment horizontal="center" vertical="center" wrapText="1"/>
    </xf>
    <xf numFmtId="0" fontId="33" fillId="0" borderId="5" xfId="9" applyFont="1" applyBorder="1" applyAlignment="1">
      <alignment horizontal="center" vertical="center" wrapText="1"/>
    </xf>
    <xf numFmtId="14" fontId="6" fillId="0" borderId="5" xfId="9" applyNumberFormat="1" applyBorder="1" applyAlignment="1">
      <alignment horizontal="center" vertical="center" wrapText="1"/>
    </xf>
    <xf numFmtId="0" fontId="11" fillId="3" borderId="5" xfId="9" applyFont="1" applyFill="1" applyBorder="1" applyAlignment="1">
      <alignment horizontal="center" vertical="center" wrapText="1"/>
    </xf>
    <xf numFmtId="14" fontId="6" fillId="0" borderId="4" xfId="9" applyNumberFormat="1"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4" xfId="0" applyBorder="1"/>
    <xf numFmtId="14" fontId="0" fillId="0" borderId="4" xfId="0" applyNumberForma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6" fillId="0" borderId="0" xfId="9" applyAlignment="1">
      <alignment horizontal="center" vertical="center" wrapText="1"/>
    </xf>
    <xf numFmtId="0" fontId="0" fillId="0" borderId="4" xfId="9" applyFont="1" applyBorder="1" applyAlignment="1">
      <alignment horizontal="center" vertical="center" wrapText="1"/>
    </xf>
    <xf numFmtId="49" fontId="0" fillId="0" borderId="4" xfId="0" applyNumberFormat="1" applyBorder="1" applyAlignment="1">
      <alignment horizontal="center" vertical="center"/>
    </xf>
    <xf numFmtId="49" fontId="0" fillId="5" borderId="1" xfId="0" applyNumberFormat="1" applyFill="1" applyBorder="1" applyAlignment="1">
      <alignment horizontal="center" vertical="center" wrapText="1"/>
    </xf>
    <xf numFmtId="49" fontId="0" fillId="0" borderId="0" xfId="0" applyNumberFormat="1"/>
    <xf numFmtId="49" fontId="6" fillId="0" borderId="5" xfId="9" applyNumberFormat="1" applyBorder="1" applyAlignment="1">
      <alignment horizontal="center" vertical="center" wrapText="1"/>
    </xf>
    <xf numFmtId="49" fontId="6" fillId="0" borderId="4" xfId="9" applyNumberFormat="1" applyBorder="1" applyAlignment="1">
      <alignment horizontal="center" vertical="center" wrapText="1"/>
    </xf>
    <xf numFmtId="49" fontId="0" fillId="0" borderId="0" xfId="0" applyNumberFormat="1" applyAlignment="1">
      <alignment horizontal="center" vertical="center"/>
    </xf>
    <xf numFmtId="0" fontId="0" fillId="0" borderId="0" xfId="0" pivotButton="1"/>
    <xf numFmtId="0" fontId="10" fillId="15" borderId="0" xfId="0" applyFont="1" applyFill="1" applyAlignment="1">
      <alignment horizontal="center" vertical="center" wrapText="1"/>
    </xf>
    <xf numFmtId="0" fontId="5" fillId="0" borderId="0" xfId="0" applyFont="1"/>
    <xf numFmtId="0" fontId="40" fillId="0" borderId="0" xfId="0" applyFont="1" applyAlignment="1">
      <alignment horizontal="center"/>
    </xf>
    <xf numFmtId="0" fontId="36" fillId="6" borderId="0" xfId="0" applyFont="1" applyFill="1" applyAlignment="1">
      <alignment horizontal="center"/>
    </xf>
    <xf numFmtId="0" fontId="39" fillId="14" borderId="0" xfId="0" applyFont="1" applyFill="1" applyAlignment="1">
      <alignment horizontal="center"/>
    </xf>
    <xf numFmtId="0" fontId="39" fillId="14" borderId="0" xfId="0" applyFont="1" applyFill="1" applyAlignment="1">
      <alignment horizontal="center" wrapText="1"/>
    </xf>
    <xf numFmtId="0" fontId="37" fillId="6" borderId="0" xfId="0" applyFont="1" applyFill="1" applyAlignment="1">
      <alignment horizontal="center"/>
    </xf>
    <xf numFmtId="0" fontId="10" fillId="0" borderId="0" xfId="0" applyFont="1"/>
    <xf numFmtId="0" fontId="4" fillId="0" borderId="0" xfId="11"/>
    <xf numFmtId="0" fontId="4" fillId="0" borderId="0" xfId="11" applyAlignment="1">
      <alignment horizontal="center"/>
    </xf>
    <xf numFmtId="0" fontId="46" fillId="0" borderId="0" xfId="12" applyAlignment="1">
      <alignment horizontal="center"/>
    </xf>
    <xf numFmtId="0" fontId="46" fillId="18" borderId="0" xfId="12" applyFill="1"/>
    <xf numFmtId="0" fontId="10" fillId="18" borderId="0" xfId="11" applyFont="1" applyFill="1"/>
    <xf numFmtId="0" fontId="35" fillId="0" borderId="0" xfId="10" applyAlignment="1">
      <alignment horizontal="center"/>
    </xf>
    <xf numFmtId="0" fontId="43" fillId="0" borderId="0" xfId="0" applyFont="1"/>
    <xf numFmtId="49" fontId="6" fillId="3" borderId="5" xfId="9" applyNumberFormat="1" applyFill="1" applyBorder="1" applyAlignment="1">
      <alignment horizontal="center" vertical="center" wrapText="1"/>
    </xf>
    <xf numFmtId="49" fontId="6" fillId="3" borderId="4" xfId="9" applyNumberFormat="1" applyFill="1" applyBorder="1" applyAlignment="1">
      <alignment horizontal="center" vertical="center" wrapText="1"/>
    </xf>
    <xf numFmtId="49" fontId="47" fillId="0" borderId="4" xfId="9" applyNumberFormat="1" applyFont="1" applyBorder="1" applyAlignment="1">
      <alignment horizontal="center" vertical="center" wrapText="1"/>
    </xf>
    <xf numFmtId="0" fontId="4" fillId="6" borderId="0" xfId="11" applyFill="1"/>
    <xf numFmtId="0" fontId="4" fillId="6" borderId="0" xfId="11" applyFill="1" applyAlignment="1">
      <alignment horizontal="left"/>
    </xf>
    <xf numFmtId="0" fontId="39" fillId="20" borderId="0" xfId="0" applyFont="1" applyFill="1" applyAlignment="1">
      <alignment horizontal="center" wrapText="1"/>
    </xf>
    <xf numFmtId="0" fontId="0" fillId="0" borderId="0" xfId="0" applyAlignment="1">
      <alignment horizontal="left"/>
    </xf>
    <xf numFmtId="0" fontId="4" fillId="6" borderId="0" xfId="11" applyFill="1" applyAlignment="1">
      <alignment horizontal="left" vertical="top"/>
    </xf>
    <xf numFmtId="0" fontId="0" fillId="0" borderId="0" xfId="0" applyAlignment="1">
      <alignment horizontal="right"/>
    </xf>
    <xf numFmtId="0" fontId="37" fillId="6" borderId="0" xfId="0" applyFont="1" applyFill="1" applyAlignment="1">
      <alignment horizontal="left"/>
    </xf>
    <xf numFmtId="0" fontId="39" fillId="14" borderId="0" xfId="0" applyFont="1" applyFill="1" applyAlignment="1">
      <alignment horizontal="left"/>
    </xf>
    <xf numFmtId="0" fontId="10" fillId="15" borderId="0" xfId="0" applyFont="1" applyFill="1" applyAlignment="1">
      <alignment horizontal="left" vertical="center" wrapText="1"/>
    </xf>
    <xf numFmtId="0" fontId="48" fillId="0" borderId="0" xfId="0" applyFont="1"/>
    <xf numFmtId="0" fontId="44" fillId="0" borderId="0" xfId="0" applyFont="1" applyAlignment="1">
      <alignment horizontal="left"/>
    </xf>
    <xf numFmtId="0" fontId="37" fillId="6" borderId="0" xfId="0" applyFont="1" applyFill="1" applyAlignment="1">
      <alignment horizontal="center" indent="2"/>
    </xf>
    <xf numFmtId="0" fontId="39" fillId="14" borderId="0" xfId="0" applyFont="1" applyFill="1" applyAlignment="1">
      <alignment horizontal="center" wrapText="1" indent="2"/>
    </xf>
    <xf numFmtId="0" fontId="10" fillId="15" borderId="0" xfId="0" applyFont="1" applyFill="1" applyAlignment="1">
      <alignment horizontal="center" vertical="center" wrapText="1" indent="2"/>
    </xf>
    <xf numFmtId="0" fontId="0" fillId="0" borderId="0" xfId="0" applyAlignment="1">
      <alignment horizontal="center" indent="2"/>
    </xf>
    <xf numFmtId="0" fontId="43" fillId="0" borderId="0" xfId="0" applyFont="1" applyAlignment="1">
      <alignment horizontal="center" vertical="center"/>
    </xf>
    <xf numFmtId="0" fontId="0" fillId="5" borderId="0" xfId="0" applyFill="1"/>
    <xf numFmtId="0" fontId="43" fillId="5" borderId="0" xfId="0" applyFont="1" applyFill="1" applyAlignment="1">
      <alignment horizontal="center" vertical="center"/>
    </xf>
    <xf numFmtId="0" fontId="0" fillId="5" borderId="0" xfId="0" applyFill="1" applyAlignment="1">
      <alignment horizontal="center"/>
    </xf>
    <xf numFmtId="16" fontId="0" fillId="0" borderId="0" xfId="0" applyNumberFormat="1" applyAlignment="1">
      <alignment horizontal="center"/>
    </xf>
    <xf numFmtId="0" fontId="43" fillId="5" borderId="0" xfId="0" applyFont="1" applyFill="1" applyAlignment="1">
      <alignment horizontal="left"/>
    </xf>
    <xf numFmtId="0" fontId="0" fillId="19" borderId="0" xfId="0" applyFill="1" applyAlignment="1">
      <alignment horizontal="center"/>
    </xf>
    <xf numFmtId="0" fontId="0" fillId="6" borderId="0" xfId="0" applyFill="1" applyAlignment="1">
      <alignment horizontal="center"/>
    </xf>
    <xf numFmtId="0" fontId="0" fillId="0" borderId="0" xfId="0" applyAlignment="1">
      <alignment wrapText="1"/>
    </xf>
    <xf numFmtId="0" fontId="50" fillId="10" borderId="1" xfId="0" applyFont="1" applyFill="1" applyBorder="1" applyAlignment="1">
      <alignment horizontal="center" vertical="center" wrapText="1"/>
    </xf>
    <xf numFmtId="0" fontId="50" fillId="11" borderId="1" xfId="0" applyFont="1" applyFill="1" applyBorder="1" applyAlignment="1">
      <alignment horizontal="center" vertical="center" wrapText="1"/>
    </xf>
    <xf numFmtId="0" fontId="51" fillId="0" borderId="1" xfId="0" applyFont="1" applyBorder="1" applyAlignment="1">
      <alignment horizontal="center" vertical="center" wrapText="1"/>
    </xf>
    <xf numFmtId="1" fontId="52" fillId="0" borderId="1" xfId="0" applyNumberFormat="1" applyFont="1" applyBorder="1" applyAlignment="1">
      <alignment horizontal="center" vertical="center" wrapText="1"/>
    </xf>
    <xf numFmtId="0" fontId="53" fillId="0" borderId="1" xfId="0" applyFont="1" applyBorder="1" applyAlignment="1">
      <alignment horizontal="center" vertical="center" wrapText="1"/>
    </xf>
    <xf numFmtId="9" fontId="52" fillId="0" borderId="1" xfId="0" applyNumberFormat="1" applyFont="1" applyBorder="1" applyAlignment="1">
      <alignment horizontal="center" vertical="center" wrapText="1"/>
    </xf>
    <xf numFmtId="165" fontId="54" fillId="0" borderId="1" xfId="0" applyNumberFormat="1" applyFont="1" applyBorder="1" applyAlignment="1">
      <alignment horizontal="center" vertical="center" wrapText="1"/>
    </xf>
    <xf numFmtId="165" fontId="55" fillId="8" borderId="1" xfId="0" applyNumberFormat="1" applyFont="1" applyFill="1" applyBorder="1" applyAlignment="1">
      <alignment horizontal="center" vertical="center" wrapText="1"/>
    </xf>
    <xf numFmtId="0" fontId="33" fillId="0" borderId="1" xfId="0" applyFont="1" applyBorder="1" applyAlignment="1">
      <alignment horizontal="center" vertical="center" wrapText="1"/>
    </xf>
    <xf numFmtId="1" fontId="33" fillId="8" borderId="1" xfId="0" applyNumberFormat="1" applyFont="1" applyFill="1" applyBorder="1" applyAlignment="1">
      <alignment horizontal="center" vertical="center" wrapText="1"/>
    </xf>
    <xf numFmtId="1" fontId="33" fillId="0" borderId="1" xfId="0" applyNumberFormat="1" applyFont="1" applyBorder="1" applyAlignment="1">
      <alignment horizontal="center" vertical="center" wrapText="1"/>
    </xf>
    <xf numFmtId="0" fontId="33" fillId="0" borderId="0" xfId="0" applyFont="1"/>
    <xf numFmtId="20" fontId="0" fillId="0" borderId="0" xfId="0" applyNumberFormat="1"/>
    <xf numFmtId="16" fontId="0" fillId="0" borderId="0" xfId="0" applyNumberFormat="1"/>
    <xf numFmtId="1" fontId="0" fillId="0" borderId="0" xfId="0" applyNumberFormat="1"/>
    <xf numFmtId="14" fontId="0" fillId="0" borderId="0" xfId="0" applyNumberFormat="1"/>
    <xf numFmtId="0" fontId="64" fillId="0" borderId="11" xfId="0" applyFont="1" applyBorder="1" applyAlignment="1">
      <alignment vertical="center"/>
    </xf>
    <xf numFmtId="0" fontId="64" fillId="0" borderId="12" xfId="0" applyFont="1" applyBorder="1" applyAlignment="1">
      <alignment vertical="center"/>
    </xf>
    <xf numFmtId="0" fontId="65" fillId="0" borderId="12" xfId="0" applyFont="1" applyBorder="1" applyAlignment="1">
      <alignment horizontal="center" vertical="center" wrapText="1"/>
    </xf>
    <xf numFmtId="0" fontId="64" fillId="0" borderId="13" xfId="0" applyFont="1" applyBorder="1" applyAlignment="1">
      <alignment vertical="center"/>
    </xf>
    <xf numFmtId="0" fontId="64" fillId="0" borderId="10" xfId="0" applyFont="1" applyBorder="1" applyAlignment="1">
      <alignment vertical="center"/>
    </xf>
    <xf numFmtId="0" fontId="65" fillId="0" borderId="10" xfId="0" applyFont="1" applyBorder="1" applyAlignment="1">
      <alignment horizontal="center" vertical="center" wrapText="1"/>
    </xf>
    <xf numFmtId="0" fontId="64" fillId="0" borderId="10" xfId="0" applyFont="1" applyBorder="1" applyAlignment="1">
      <alignment horizontal="center" vertical="center" wrapText="1"/>
    </xf>
    <xf numFmtId="0" fontId="51" fillId="0" borderId="10" xfId="0" applyFont="1" applyBorder="1" applyAlignment="1">
      <alignment horizontal="center" vertical="center" wrapText="1"/>
    </xf>
    <xf numFmtId="0" fontId="70" fillId="0" borderId="0" xfId="0" applyFont="1"/>
    <xf numFmtId="166" fontId="0" fillId="0" borderId="0" xfId="0" applyNumberFormat="1"/>
    <xf numFmtId="0" fontId="0" fillId="0" borderId="4" xfId="0" applyBorder="1" applyAlignment="1">
      <alignment horizontal="left"/>
    </xf>
    <xf numFmtId="0" fontId="0" fillId="0" borderId="4" xfId="0" applyBorder="1" applyAlignment="1">
      <alignment horizontal="center"/>
    </xf>
    <xf numFmtId="0" fontId="0" fillId="0" borderId="4" xfId="0" applyBorder="1" applyAlignment="1">
      <alignment horizontal="right"/>
    </xf>
    <xf numFmtId="166" fontId="0" fillId="0" borderId="4" xfId="0" applyNumberFormat="1" applyBorder="1"/>
    <xf numFmtId="167" fontId="0" fillId="0" borderId="8" xfId="0" applyNumberFormat="1" applyBorder="1"/>
    <xf numFmtId="0" fontId="0" fillId="0" borderId="8" xfId="0" applyBorder="1"/>
    <xf numFmtId="0" fontId="0" fillId="0" borderId="19" xfId="0" applyBorder="1"/>
    <xf numFmtId="0" fontId="0" fillId="0" borderId="20" xfId="0" applyBorder="1"/>
    <xf numFmtId="0" fontId="0" fillId="0" borderId="14" xfId="0" applyBorder="1"/>
    <xf numFmtId="167" fontId="0" fillId="0" borderId="19" xfId="0" applyNumberFormat="1" applyBorder="1"/>
    <xf numFmtId="14" fontId="0" fillId="0" borderId="19" xfId="0" applyNumberFormat="1" applyBorder="1"/>
    <xf numFmtId="1" fontId="0" fillId="0" borderId="19" xfId="0" applyNumberFormat="1" applyBorder="1"/>
    <xf numFmtId="0" fontId="0" fillId="0" borderId="5" xfId="0" applyBorder="1"/>
    <xf numFmtId="167" fontId="0" fillId="0" borderId="16" xfId="0" applyNumberFormat="1" applyBorder="1"/>
    <xf numFmtId="0" fontId="0" fillId="0" borderId="15" xfId="0" applyBorder="1"/>
    <xf numFmtId="0" fontId="0" fillId="0" borderId="21" xfId="0" applyBorder="1"/>
    <xf numFmtId="0" fontId="0" fillId="0" borderId="22" xfId="0" applyBorder="1"/>
    <xf numFmtId="0" fontId="70" fillId="4" borderId="27" xfId="0" applyFont="1" applyFill="1" applyBorder="1" applyAlignment="1">
      <alignment vertical="center" wrapText="1"/>
    </xf>
    <xf numFmtId="0" fontId="70" fillId="4" borderId="28" xfId="0" applyFont="1" applyFill="1" applyBorder="1" applyAlignment="1">
      <alignment vertical="center" wrapText="1"/>
    </xf>
    <xf numFmtId="0" fontId="70" fillId="17" borderId="26" xfId="0" applyFont="1" applyFill="1" applyBorder="1" applyAlignment="1">
      <alignment vertical="center" wrapText="1"/>
    </xf>
    <xf numFmtId="0" fontId="70" fillId="17" borderId="27" xfId="0" applyFont="1" applyFill="1" applyBorder="1" applyAlignment="1">
      <alignment vertical="center" wrapText="1"/>
    </xf>
    <xf numFmtId="0" fontId="70" fillId="17" borderId="28" xfId="0" applyFont="1" applyFill="1" applyBorder="1" applyAlignment="1">
      <alignment vertical="center" wrapText="1"/>
    </xf>
    <xf numFmtId="0" fontId="71" fillId="24" borderId="27" xfId="0" applyFont="1" applyFill="1" applyBorder="1" applyAlignment="1">
      <alignment horizontal="center" vertical="center" wrapText="1"/>
    </xf>
    <xf numFmtId="0" fontId="70" fillId="24" borderId="27" xfId="0" applyFont="1" applyFill="1" applyBorder="1" applyAlignment="1">
      <alignment vertical="center" wrapText="1"/>
    </xf>
    <xf numFmtId="166" fontId="70" fillId="24" borderId="27" xfId="0" applyNumberFormat="1" applyFont="1" applyFill="1" applyBorder="1" applyAlignment="1">
      <alignment vertical="center" wrapText="1"/>
    </xf>
    <xf numFmtId="0" fontId="70" fillId="25" borderId="27" xfId="0" applyFont="1" applyFill="1" applyBorder="1" applyAlignment="1">
      <alignment vertical="center" wrapText="1"/>
    </xf>
    <xf numFmtId="0" fontId="70" fillId="25" borderId="29" xfId="0" applyFont="1" applyFill="1" applyBorder="1" applyAlignment="1">
      <alignment vertical="center" wrapText="1"/>
    </xf>
    <xf numFmtId="0" fontId="43" fillId="22" borderId="25" xfId="0" applyFont="1" applyFill="1" applyBorder="1" applyAlignment="1">
      <alignment horizontal="center" vertical="center"/>
    </xf>
    <xf numFmtId="0" fontId="70" fillId="22" borderId="23" xfId="0" applyFont="1" applyFill="1" applyBorder="1" applyAlignment="1">
      <alignment vertical="center" wrapText="1"/>
    </xf>
    <xf numFmtId="0" fontId="70" fillId="22" borderId="24" xfId="0" applyFont="1" applyFill="1" applyBorder="1" applyAlignment="1">
      <alignment vertical="center" wrapText="1"/>
    </xf>
    <xf numFmtId="0" fontId="70" fillId="22" borderId="24" xfId="0" applyFont="1" applyFill="1" applyBorder="1" applyAlignment="1">
      <alignment horizontal="left" vertical="center" wrapText="1"/>
    </xf>
    <xf numFmtId="0" fontId="59" fillId="22" borderId="24" xfId="0" applyFont="1" applyFill="1" applyBorder="1" applyAlignment="1">
      <alignment horizontal="center" vertical="center" wrapText="1"/>
    </xf>
    <xf numFmtId="0" fontId="70" fillId="22" borderId="25" xfId="0" applyFont="1" applyFill="1" applyBorder="1" applyAlignment="1">
      <alignment vertical="center" wrapText="1"/>
    </xf>
    <xf numFmtId="0" fontId="0" fillId="0" borderId="16" xfId="0" applyBorder="1"/>
    <xf numFmtId="0" fontId="0" fillId="0" borderId="18" xfId="0" applyBorder="1" applyAlignment="1">
      <alignment horizontal="right"/>
    </xf>
    <xf numFmtId="0" fontId="0" fillId="0" borderId="18" xfId="0" applyBorder="1"/>
    <xf numFmtId="166" fontId="0" fillId="0" borderId="18" xfId="0" applyNumberFormat="1" applyBorder="1"/>
    <xf numFmtId="0" fontId="0" fillId="0" borderId="5" xfId="0" applyBorder="1" applyAlignment="1">
      <alignment horizontal="left"/>
    </xf>
    <xf numFmtId="0" fontId="0" fillId="0" borderId="32" xfId="0" applyBorder="1"/>
    <xf numFmtId="0" fontId="0" fillId="0" borderId="32" xfId="0" applyBorder="1" applyAlignment="1">
      <alignment horizontal="left"/>
    </xf>
    <xf numFmtId="0" fontId="0" fillId="0" borderId="33" xfId="0" applyBorder="1"/>
    <xf numFmtId="0" fontId="0" fillId="0" borderId="34" xfId="0" applyBorder="1"/>
    <xf numFmtId="0" fontId="0" fillId="0" borderId="34" xfId="0" applyBorder="1" applyAlignment="1">
      <alignment horizontal="left"/>
    </xf>
    <xf numFmtId="0" fontId="0" fillId="0" borderId="35" xfId="0" applyBorder="1"/>
    <xf numFmtId="0" fontId="0" fillId="0" borderId="5" xfId="0" applyBorder="1" applyAlignment="1">
      <alignment horizontal="right"/>
    </xf>
    <xf numFmtId="166" fontId="0" fillId="0" borderId="5" xfId="0" applyNumberFormat="1" applyBorder="1"/>
    <xf numFmtId="168" fontId="0" fillId="0" borderId="0" xfId="0" applyNumberFormat="1"/>
    <xf numFmtId="168" fontId="75" fillId="22" borderId="24" xfId="0" applyNumberFormat="1" applyFont="1" applyFill="1" applyBorder="1" applyAlignment="1">
      <alignment vertical="center" wrapText="1"/>
    </xf>
    <xf numFmtId="168" fontId="0" fillId="0" borderId="4" xfId="0" applyNumberFormat="1" applyBorder="1"/>
    <xf numFmtId="168" fontId="0" fillId="0" borderId="34" xfId="0" applyNumberFormat="1" applyBorder="1"/>
    <xf numFmtId="168" fontId="0" fillId="0" borderId="32" xfId="0" applyNumberFormat="1" applyBorder="1"/>
    <xf numFmtId="168" fontId="0" fillId="0" borderId="5" xfId="0" applyNumberFormat="1" applyBorder="1"/>
    <xf numFmtId="10" fontId="0" fillId="0" borderId="0" xfId="0" applyNumberFormat="1"/>
    <xf numFmtId="168" fontId="70" fillId="24" borderId="26" xfId="0" applyNumberFormat="1" applyFont="1" applyFill="1" applyBorder="1" applyAlignment="1">
      <alignment vertical="center" wrapText="1"/>
    </xf>
    <xf numFmtId="168" fontId="0" fillId="0" borderId="17" xfId="0" applyNumberFormat="1" applyBorder="1"/>
    <xf numFmtId="168" fontId="0" fillId="0" borderId="21" xfId="0" applyNumberFormat="1" applyBorder="1"/>
    <xf numFmtId="168" fontId="0" fillId="0" borderId="19" xfId="0" applyNumberFormat="1" applyBorder="1"/>
    <xf numFmtId="0" fontId="0" fillId="0" borderId="4" xfId="0" applyBorder="1" applyAlignment="1">
      <alignment wrapText="1"/>
    </xf>
    <xf numFmtId="0" fontId="0" fillId="0" borderId="20" xfId="0" applyBorder="1" applyAlignment="1">
      <alignment wrapText="1"/>
    </xf>
    <xf numFmtId="0" fontId="0" fillId="0" borderId="8" xfId="0" applyBorder="1" applyAlignment="1">
      <alignment wrapText="1"/>
    </xf>
    <xf numFmtId="0" fontId="48" fillId="0" borderId="19" xfId="0" applyFont="1" applyBorder="1"/>
    <xf numFmtId="0" fontId="48" fillId="0" borderId="4" xfId="0" applyFont="1" applyBorder="1"/>
    <xf numFmtId="168" fontId="48" fillId="0" borderId="4" xfId="0" applyNumberFormat="1" applyFont="1" applyBorder="1"/>
    <xf numFmtId="0" fontId="48" fillId="0" borderId="4" xfId="0" applyFont="1" applyBorder="1" applyAlignment="1">
      <alignment horizontal="left"/>
    </xf>
    <xf numFmtId="0" fontId="48" fillId="0" borderId="14" xfId="0" applyFont="1" applyBorder="1"/>
    <xf numFmtId="167" fontId="48" fillId="0" borderId="19" xfId="0" applyNumberFormat="1" applyFont="1" applyBorder="1"/>
    <xf numFmtId="0" fontId="48" fillId="0" borderId="5" xfId="0" applyFont="1" applyBorder="1"/>
    <xf numFmtId="168" fontId="48" fillId="0" borderId="19" xfId="0" applyNumberFormat="1" applyFont="1" applyBorder="1"/>
    <xf numFmtId="0" fontId="48" fillId="0" borderId="4" xfId="0" applyFont="1" applyBorder="1" applyAlignment="1">
      <alignment horizontal="right"/>
    </xf>
    <xf numFmtId="0" fontId="48" fillId="0" borderId="8" xfId="0" applyFont="1" applyBorder="1"/>
    <xf numFmtId="0" fontId="48" fillId="0" borderId="20" xfId="0" applyFont="1" applyBorder="1" applyAlignment="1">
      <alignment wrapText="1"/>
    </xf>
    <xf numFmtId="0" fontId="48" fillId="0" borderId="20" xfId="0" applyFont="1" applyBorder="1"/>
    <xf numFmtId="0" fontId="78" fillId="0" borderId="0" xfId="0" applyFont="1"/>
    <xf numFmtId="168" fontId="0" fillId="0" borderId="14" xfId="0" applyNumberFormat="1" applyBorder="1"/>
    <xf numFmtId="0" fontId="80" fillId="0" borderId="0" xfId="0" applyFont="1"/>
    <xf numFmtId="0" fontId="80" fillId="7" borderId="4" xfId="0" applyFont="1" applyFill="1" applyBorder="1"/>
    <xf numFmtId="0" fontId="48" fillId="3" borderId="4" xfId="0" applyFont="1" applyFill="1" applyBorder="1"/>
    <xf numFmtId="0" fontId="80" fillId="0" borderId="4" xfId="0" applyFont="1" applyBorder="1"/>
    <xf numFmtId="0" fontId="80" fillId="0" borderId="19" xfId="0" applyFont="1" applyBorder="1"/>
    <xf numFmtId="168" fontId="80" fillId="0" borderId="4" xfId="0" applyNumberFormat="1" applyFont="1" applyBorder="1"/>
    <xf numFmtId="0" fontId="80" fillId="0" borderId="4" xfId="0" applyFont="1" applyBorder="1" applyAlignment="1">
      <alignment horizontal="left"/>
    </xf>
    <xf numFmtId="0" fontId="80" fillId="0" borderId="14" xfId="0" applyFont="1" applyBorder="1"/>
    <xf numFmtId="167" fontId="80" fillId="0" borderId="19" xfId="0" applyNumberFormat="1" applyFont="1" applyBorder="1"/>
    <xf numFmtId="168" fontId="80" fillId="0" borderId="21" xfId="0" applyNumberFormat="1" applyFont="1" applyBorder="1"/>
    <xf numFmtId="0" fontId="80" fillId="0" borderId="4" xfId="0" applyFont="1" applyBorder="1" applyAlignment="1">
      <alignment horizontal="right"/>
    </xf>
    <xf numFmtId="0" fontId="80" fillId="0" borderId="20" xfId="0" applyFont="1" applyBorder="1"/>
    <xf numFmtId="0" fontId="80" fillId="0" borderId="8" xfId="0" applyFont="1" applyBorder="1"/>
    <xf numFmtId="0" fontId="80" fillId="0" borderId="5" xfId="0" applyFont="1" applyBorder="1"/>
    <xf numFmtId="168" fontId="80" fillId="0" borderId="19" xfId="0" applyNumberFormat="1" applyFont="1" applyBorder="1"/>
    <xf numFmtId="0" fontId="81" fillId="0" borderId="8" xfId="0" applyFont="1" applyBorder="1"/>
    <xf numFmtId="0" fontId="43" fillId="0" borderId="4" xfId="0" applyFont="1" applyBorder="1"/>
    <xf numFmtId="0" fontId="43" fillId="0" borderId="19" xfId="0" applyFont="1" applyBorder="1"/>
    <xf numFmtId="168" fontId="43" fillId="0" borderId="4" xfId="0" applyNumberFormat="1" applyFont="1" applyBorder="1"/>
    <xf numFmtId="0" fontId="43" fillId="0" borderId="4" xfId="0" applyFont="1" applyBorder="1" applyAlignment="1">
      <alignment horizontal="left"/>
    </xf>
    <xf numFmtId="0" fontId="43" fillId="0" borderId="14" xfId="0" applyFont="1" applyBorder="1"/>
    <xf numFmtId="167" fontId="43" fillId="0" borderId="19" xfId="0" applyNumberFormat="1" applyFont="1" applyBorder="1"/>
    <xf numFmtId="0" fontId="43" fillId="0" borderId="5" xfId="0" applyFont="1" applyBorder="1"/>
    <xf numFmtId="0" fontId="43" fillId="0" borderId="4" xfId="0" applyFont="1" applyBorder="1" applyAlignment="1">
      <alignment horizontal="right"/>
    </xf>
    <xf numFmtId="0" fontId="43" fillId="0" borderId="20" xfId="0" applyFont="1" applyBorder="1"/>
    <xf numFmtId="0" fontId="43" fillId="0" borderId="8" xfId="0" applyFont="1" applyBorder="1"/>
    <xf numFmtId="0" fontId="84" fillId="0" borderId="20" xfId="0" applyFont="1" applyBorder="1" applyAlignment="1">
      <alignment wrapText="1"/>
    </xf>
    <xf numFmtId="169" fontId="0" fillId="0" borderId="0" xfId="0" applyNumberFormat="1"/>
    <xf numFmtId="0" fontId="0" fillId="0" borderId="4" xfId="0" applyBorder="1" applyAlignment="1">
      <alignment horizontal="left" wrapText="1"/>
    </xf>
    <xf numFmtId="0" fontId="72" fillId="0" borderId="4" xfId="0" applyFont="1" applyBorder="1" applyAlignment="1">
      <alignment horizontal="left"/>
    </xf>
    <xf numFmtId="0" fontId="48" fillId="0" borderId="4" xfId="0" applyFont="1" applyBorder="1" applyAlignment="1">
      <alignment horizontal="left" wrapText="1"/>
    </xf>
    <xf numFmtId="0" fontId="79" fillId="0" borderId="4" xfId="0" applyFont="1" applyBorder="1"/>
    <xf numFmtId="0" fontId="0" fillId="0" borderId="36" xfId="0" applyBorder="1" applyAlignment="1">
      <alignment horizontal="left"/>
    </xf>
    <xf numFmtId="0" fontId="0" fillId="0" borderId="4" xfId="0" applyBorder="1" applyAlignment="1">
      <alignment horizontal="left" vertical="center"/>
    </xf>
    <xf numFmtId="0" fontId="0" fillId="0" borderId="37" xfId="0" applyBorder="1"/>
    <xf numFmtId="0" fontId="0" fillId="0" borderId="4" xfId="0" applyBorder="1" applyAlignment="1">
      <alignment horizontal="right" wrapText="1"/>
    </xf>
    <xf numFmtId="0" fontId="80" fillId="0" borderId="20" xfId="0" applyFont="1" applyBorder="1" applyAlignment="1">
      <alignment wrapText="1"/>
    </xf>
    <xf numFmtId="0" fontId="0" fillId="19" borderId="19" xfId="0" applyFill="1" applyBorder="1"/>
    <xf numFmtId="0" fontId="0" fillId="19" borderId="4" xfId="0" applyFill="1" applyBorder="1"/>
    <xf numFmtId="0" fontId="0" fillId="19" borderId="4" xfId="0" applyFill="1" applyBorder="1" applyAlignment="1">
      <alignment horizontal="left"/>
    </xf>
    <xf numFmtId="0" fontId="0" fillId="19" borderId="14" xfId="0" applyFill="1" applyBorder="1"/>
    <xf numFmtId="167" fontId="0" fillId="19" borderId="19" xfId="0" applyNumberFormat="1" applyFill="1" applyBorder="1"/>
    <xf numFmtId="0" fontId="0" fillId="19" borderId="0" xfId="0" applyFill="1"/>
    <xf numFmtId="0" fontId="37" fillId="6" borderId="0" xfId="0" applyFont="1" applyFill="1" applyAlignment="1">
      <alignment horizontal="center" vertical="center"/>
    </xf>
    <xf numFmtId="0" fontId="39" fillId="14" borderId="0" xfId="0" applyFont="1" applyFill="1" applyAlignment="1">
      <alignment horizontal="center" vertical="center" wrapText="1"/>
    </xf>
    <xf numFmtId="0" fontId="44" fillId="0" borderId="4" xfId="0" applyFont="1" applyBorder="1" applyAlignment="1">
      <alignment horizontal="left"/>
    </xf>
    <xf numFmtId="168" fontId="0" fillId="19" borderId="14" xfId="0" applyNumberFormat="1" applyFill="1" applyBorder="1"/>
    <xf numFmtId="0" fontId="82" fillId="0" borderId="4" xfId="0" applyFont="1" applyBorder="1"/>
    <xf numFmtId="0" fontId="0" fillId="19" borderId="36" xfId="0" applyFill="1" applyBorder="1" applyAlignment="1">
      <alignment horizontal="left"/>
    </xf>
    <xf numFmtId="0" fontId="83" fillId="0" borderId="4" xfId="0" applyFont="1" applyBorder="1"/>
    <xf numFmtId="0" fontId="0" fillId="19" borderId="38" xfId="0" applyFill="1" applyBorder="1"/>
    <xf numFmtId="0" fontId="0" fillId="19" borderId="16" xfId="0" applyFill="1" applyBorder="1"/>
    <xf numFmtId="167" fontId="0" fillId="0" borderId="21" xfId="0" applyNumberFormat="1" applyBorder="1"/>
    <xf numFmtId="14" fontId="0" fillId="0" borderId="4" xfId="0" applyNumberFormat="1" applyBorder="1"/>
    <xf numFmtId="168" fontId="43" fillId="0" borderId="19" xfId="0" applyNumberFormat="1" applyFont="1" applyBorder="1"/>
    <xf numFmtId="168" fontId="0" fillId="19" borderId="21" xfId="0" applyNumberFormat="1" applyFill="1" applyBorder="1"/>
    <xf numFmtId="0" fontId="44" fillId="0" borderId="8" xfId="0" applyFont="1" applyBorder="1"/>
    <xf numFmtId="166" fontId="43" fillId="0" borderId="4" xfId="0" applyNumberFormat="1" applyFont="1" applyBorder="1"/>
    <xf numFmtId="0" fontId="75" fillId="4" borderId="31" xfId="0" applyFont="1" applyFill="1" applyBorder="1" applyAlignment="1">
      <alignment vertical="center" wrapText="1"/>
    </xf>
    <xf numFmtId="0" fontId="0" fillId="0" borderId="0" xfId="0" applyAlignment="1">
      <alignment horizontal="left" indent="1"/>
    </xf>
    <xf numFmtId="0" fontId="0" fillId="0" borderId="8" xfId="0" applyBorder="1" applyAlignment="1">
      <alignment horizontal="left"/>
    </xf>
    <xf numFmtId="0" fontId="0" fillId="0" borderId="0" xfId="0" applyAlignment="1">
      <alignment horizontal="left" indent="2"/>
    </xf>
    <xf numFmtId="0" fontId="0" fillId="0" borderId="0" xfId="0" applyAlignment="1">
      <alignment horizontal="center" vertical="center" indent="2"/>
    </xf>
    <xf numFmtId="0" fontId="0" fillId="0" borderId="0" xfId="0" applyAlignment="1">
      <alignment horizontal="left" vertical="center"/>
    </xf>
    <xf numFmtId="0" fontId="0" fillId="0" borderId="0" xfId="0" applyAlignment="1">
      <alignment horizontal="center" vertical="center" indent="3"/>
    </xf>
    <xf numFmtId="0" fontId="0" fillId="0" borderId="0" xfId="0" quotePrefix="1" applyAlignment="1">
      <alignment horizontal="center" vertical="center"/>
    </xf>
    <xf numFmtId="0" fontId="0" fillId="0" borderId="0" xfId="0" applyAlignment="1">
      <alignment horizontal="left" wrapText="1"/>
    </xf>
    <xf numFmtId="49" fontId="0" fillId="0" borderId="0" xfId="0" applyNumberFormat="1" applyAlignment="1">
      <alignment horizontal="left"/>
    </xf>
    <xf numFmtId="0" fontId="44" fillId="0" borderId="0" xfId="0" applyFont="1"/>
    <xf numFmtId="0" fontId="0" fillId="0" borderId="6" xfId="0" applyBorder="1"/>
    <xf numFmtId="0" fontId="77" fillId="0" borderId="0" xfId="0" applyFont="1"/>
    <xf numFmtId="0" fontId="0" fillId="0" borderId="34" xfId="0" applyBorder="1" applyAlignment="1">
      <alignment horizontal="left" vertical="center"/>
    </xf>
    <xf numFmtId="0" fontId="0" fillId="0" borderId="5" xfId="0" applyBorder="1" applyAlignment="1">
      <alignment horizontal="left" vertical="center"/>
    </xf>
    <xf numFmtId="0" fontId="0" fillId="0" borderId="5" xfId="0" applyBorder="1" applyAlignment="1">
      <alignment horizontal="center" vertical="center"/>
    </xf>
    <xf numFmtId="0" fontId="70" fillId="24" borderId="24" xfId="0" applyFont="1" applyFill="1" applyBorder="1" applyAlignment="1">
      <alignment vertical="center" wrapText="1"/>
    </xf>
    <xf numFmtId="0" fontId="70" fillId="0" borderId="9" xfId="0" applyFont="1" applyBorder="1" applyAlignment="1">
      <alignment vertical="center" wrapText="1"/>
    </xf>
    <xf numFmtId="0" fontId="0" fillId="19" borderId="21" xfId="0" applyFill="1" applyBorder="1"/>
    <xf numFmtId="170" fontId="0" fillId="0" borderId="5" xfId="0" applyNumberFormat="1" applyBorder="1"/>
    <xf numFmtId="0" fontId="82" fillId="0" borderId="4" xfId="0" applyFont="1" applyBorder="1" applyAlignment="1">
      <alignment horizontal="left"/>
    </xf>
    <xf numFmtId="2" fontId="0" fillId="0" borderId="0" xfId="0" applyNumberFormat="1"/>
    <xf numFmtId="2" fontId="44" fillId="6" borderId="14" xfId="0" applyNumberFormat="1" applyFont="1" applyFill="1" applyBorder="1" applyAlignment="1">
      <alignment horizontal="right" vertical="center" wrapText="1"/>
    </xf>
    <xf numFmtId="0" fontId="0" fillId="0" borderId="15" xfId="0" applyBorder="1" applyAlignment="1">
      <alignment horizontal="center"/>
    </xf>
    <xf numFmtId="2" fontId="44" fillId="6" borderId="35" xfId="0" applyNumberFormat="1" applyFont="1" applyFill="1" applyBorder="1" applyAlignment="1">
      <alignment horizontal="right" vertical="center" wrapText="1"/>
    </xf>
    <xf numFmtId="0" fontId="0" fillId="0" borderId="7" xfId="0" applyBorder="1"/>
    <xf numFmtId="0" fontId="3" fillId="3" borderId="14" xfId="13" applyFill="1" applyBorder="1" applyAlignment="1" applyProtection="1">
      <alignment horizontal="center"/>
      <protection locked="0"/>
    </xf>
    <xf numFmtId="2" fontId="3" fillId="3" borderId="14" xfId="13" applyNumberFormat="1" applyFill="1" applyBorder="1" applyAlignment="1" applyProtection="1">
      <alignment horizontal="center"/>
      <protection locked="0"/>
    </xf>
    <xf numFmtId="0" fontId="87" fillId="26" borderId="15" xfId="13" applyFont="1" applyFill="1" applyBorder="1" applyAlignment="1">
      <alignment horizontal="center"/>
    </xf>
    <xf numFmtId="2" fontId="3" fillId="3" borderId="35" xfId="13" applyNumberFormat="1" applyFill="1" applyBorder="1" applyAlignment="1" applyProtection="1">
      <alignment horizontal="center"/>
      <protection locked="0"/>
    </xf>
    <xf numFmtId="0" fontId="87" fillId="26" borderId="5" xfId="13" applyFont="1" applyFill="1" applyBorder="1"/>
    <xf numFmtId="0" fontId="77" fillId="0" borderId="0" xfId="13" applyFont="1"/>
    <xf numFmtId="0" fontId="88" fillId="3" borderId="4" xfId="14" applyFont="1" applyFill="1" applyBorder="1" applyAlignment="1">
      <alignment horizontal="left"/>
    </xf>
    <xf numFmtId="0" fontId="88" fillId="0" borderId="4" xfId="13" applyFont="1" applyBorder="1"/>
    <xf numFmtId="0" fontId="3" fillId="0" borderId="4" xfId="13" applyBorder="1"/>
    <xf numFmtId="0" fontId="3" fillId="3" borderId="4" xfId="13" applyFill="1" applyBorder="1"/>
    <xf numFmtId="0" fontId="72" fillId="3" borderId="4" xfId="13" applyFont="1" applyFill="1" applyBorder="1"/>
    <xf numFmtId="0" fontId="72" fillId="3" borderId="34" xfId="13" applyFont="1" applyFill="1" applyBorder="1"/>
    <xf numFmtId="0" fontId="40" fillId="0" borderId="35" xfId="0" applyFont="1" applyBorder="1" applyAlignment="1">
      <alignment horizontal="left"/>
    </xf>
    <xf numFmtId="166" fontId="40" fillId="0" borderId="35" xfId="0" applyNumberFormat="1" applyFont="1" applyBorder="1" applyAlignment="1">
      <alignment horizontal="center"/>
    </xf>
    <xf numFmtId="166" fontId="61" fillId="0" borderId="35" xfId="0" applyNumberFormat="1" applyFont="1" applyBorder="1" applyAlignment="1">
      <alignment horizontal="center"/>
    </xf>
    <xf numFmtId="166" fontId="40" fillId="0" borderId="34" xfId="0" applyNumberFormat="1" applyFont="1" applyBorder="1" applyAlignment="1">
      <alignment horizontal="center"/>
    </xf>
    <xf numFmtId="166" fontId="60" fillId="0" borderId="35" xfId="0" applyNumberFormat="1" applyFont="1" applyBorder="1" applyAlignment="1">
      <alignment horizontal="center" vertical="center"/>
    </xf>
    <xf numFmtId="0" fontId="60" fillId="0" borderId="35" xfId="0" applyFont="1" applyBorder="1" applyAlignment="1">
      <alignment horizontal="left"/>
    </xf>
    <xf numFmtId="0" fontId="40" fillId="0" borderId="35" xfId="0" applyFont="1" applyBorder="1" applyAlignment="1">
      <alignment horizontal="left" vertical="center"/>
    </xf>
    <xf numFmtId="166" fontId="40" fillId="0" borderId="35" xfId="0" applyNumberFormat="1" applyFont="1" applyBorder="1" applyAlignment="1">
      <alignment horizontal="center" vertical="center"/>
    </xf>
    <xf numFmtId="0" fontId="0" fillId="0" borderId="43" xfId="0" applyBorder="1" applyAlignment="1">
      <alignment horizontal="left"/>
    </xf>
    <xf numFmtId="166" fontId="40" fillId="0" borderId="39" xfId="0" applyNumberFormat="1" applyFont="1" applyBorder="1" applyAlignment="1">
      <alignment horizontal="center"/>
    </xf>
    <xf numFmtId="0" fontId="45" fillId="0" borderId="35" xfId="0" applyFont="1" applyBorder="1" applyAlignment="1">
      <alignment horizontal="left" vertical="center"/>
    </xf>
    <xf numFmtId="0" fontId="60" fillId="0" borderId="35" xfId="0" applyFont="1" applyBorder="1" applyAlignment="1">
      <alignment horizontal="left" vertical="center"/>
    </xf>
    <xf numFmtId="49" fontId="40" fillId="0" borderId="35" xfId="0" applyNumberFormat="1" applyFont="1" applyBorder="1" applyAlignment="1">
      <alignment horizontal="left" vertical="center"/>
    </xf>
    <xf numFmtId="166" fontId="40" fillId="0" borderId="35" xfId="5" applyNumberFormat="1" applyFont="1" applyBorder="1" applyAlignment="1">
      <alignment horizontal="center" vertical="center"/>
    </xf>
    <xf numFmtId="166" fontId="40" fillId="0" borderId="39" xfId="5" applyNumberFormat="1" applyFont="1" applyBorder="1" applyAlignment="1">
      <alignment horizontal="center" vertical="center"/>
    </xf>
    <xf numFmtId="0" fontId="44" fillId="0" borderId="43" xfId="0" applyFont="1" applyBorder="1"/>
    <xf numFmtId="0" fontId="63" fillId="0" borderId="35" xfId="0" applyFont="1" applyBorder="1" applyAlignment="1">
      <alignment horizontal="left"/>
    </xf>
    <xf numFmtId="0" fontId="0" fillId="0" borderId="35" xfId="0" applyBorder="1" applyAlignment="1">
      <alignment horizontal="left"/>
    </xf>
    <xf numFmtId="0" fontId="0" fillId="0" borderId="40" xfId="0" applyBorder="1" applyAlignment="1">
      <alignment horizontal="left"/>
    </xf>
    <xf numFmtId="166" fontId="63" fillId="0" borderId="35" xfId="0" applyNumberFormat="1" applyFont="1" applyBorder="1" applyAlignment="1">
      <alignment horizontal="center"/>
    </xf>
    <xf numFmtId="0" fontId="44" fillId="0" borderId="35" xfId="0" applyFont="1" applyBorder="1" applyAlignment="1">
      <alignment horizontal="left"/>
    </xf>
    <xf numFmtId="0" fontId="0" fillId="0" borderId="41" xfId="0" applyBorder="1" applyAlignment="1">
      <alignment horizontal="left"/>
    </xf>
    <xf numFmtId="166" fontId="63" fillId="0" borderId="41" xfId="0" applyNumberFormat="1" applyFont="1" applyBorder="1" applyAlignment="1">
      <alignment horizontal="center"/>
    </xf>
    <xf numFmtId="166" fontId="61" fillId="0" borderId="41" xfId="0" applyNumberFormat="1" applyFont="1" applyBorder="1" applyAlignment="1">
      <alignment horizontal="center"/>
    </xf>
    <xf numFmtId="166" fontId="40" fillId="0" borderId="41" xfId="0" applyNumberFormat="1" applyFont="1" applyBorder="1" applyAlignment="1">
      <alignment horizontal="center"/>
    </xf>
    <xf numFmtId="166" fontId="40" fillId="0" borderId="42" xfId="0" applyNumberFormat="1" applyFont="1" applyBorder="1" applyAlignment="1">
      <alignment horizontal="center"/>
    </xf>
    <xf numFmtId="0" fontId="61" fillId="0" borderId="0" xfId="0" applyFont="1" applyAlignment="1">
      <alignment horizontal="center"/>
    </xf>
    <xf numFmtId="0" fontId="3" fillId="3" borderId="4" xfId="13" applyFill="1" applyBorder="1" applyAlignment="1">
      <alignment horizontal="left" vertical="top"/>
    </xf>
    <xf numFmtId="2" fontId="0" fillId="0" borderId="0" xfId="0" applyNumberFormat="1" applyAlignment="1">
      <alignment horizontal="left"/>
    </xf>
    <xf numFmtId="2" fontId="0" fillId="6" borderId="0" xfId="0" applyNumberFormat="1" applyFill="1"/>
    <xf numFmtId="0" fontId="81" fillId="0" borderId="4" xfId="0" applyFont="1" applyBorder="1" applyAlignment="1">
      <alignment horizontal="right"/>
    </xf>
    <xf numFmtId="0" fontId="81" fillId="0" borderId="4" xfId="0" applyFont="1" applyBorder="1"/>
    <xf numFmtId="0" fontId="89" fillId="0" borderId="19" xfId="0" applyFont="1" applyBorder="1"/>
    <xf numFmtId="0" fontId="89" fillId="0" borderId="4" xfId="0" applyFont="1" applyBorder="1"/>
    <xf numFmtId="0" fontId="89" fillId="0" borderId="4" xfId="0" applyFont="1" applyBorder="1" applyAlignment="1">
      <alignment horizontal="left"/>
    </xf>
    <xf numFmtId="168" fontId="89" fillId="0" borderId="4" xfId="0" applyNumberFormat="1" applyFont="1" applyBorder="1"/>
    <xf numFmtId="0" fontId="89" fillId="0" borderId="14" xfId="0" applyFont="1" applyBorder="1"/>
    <xf numFmtId="167" fontId="89" fillId="0" borderId="19" xfId="0" applyNumberFormat="1" applyFont="1" applyBorder="1"/>
    <xf numFmtId="0" fontId="89" fillId="0" borderId="5" xfId="0" applyFont="1" applyBorder="1"/>
    <xf numFmtId="0" fontId="89" fillId="0" borderId="4" xfId="0" applyFont="1" applyBorder="1" applyAlignment="1">
      <alignment horizontal="right"/>
    </xf>
    <xf numFmtId="166" fontId="89" fillId="0" borderId="4" xfId="0" applyNumberFormat="1" applyFont="1" applyBorder="1"/>
    <xf numFmtId="0" fontId="89" fillId="0" borderId="20" xfId="0" applyFont="1" applyBorder="1"/>
    <xf numFmtId="0" fontId="89" fillId="0" borderId="8" xfId="0" applyFont="1" applyBorder="1"/>
    <xf numFmtId="170" fontId="89" fillId="0" borderId="5" xfId="0" applyNumberFormat="1" applyFont="1" applyBorder="1"/>
    <xf numFmtId="0" fontId="89" fillId="0" borderId="22" xfId="0" applyFont="1" applyBorder="1"/>
    <xf numFmtId="0" fontId="90" fillId="0" borderId="0" xfId="0" applyFont="1"/>
    <xf numFmtId="0" fontId="89" fillId="0" borderId="0" xfId="0" applyFont="1"/>
    <xf numFmtId="0" fontId="91" fillId="0" borderId="0" xfId="0" applyFont="1"/>
    <xf numFmtId="0" fontId="91" fillId="0" borderId="0" xfId="0" applyFont="1" applyAlignment="1">
      <alignment horizontal="left"/>
    </xf>
    <xf numFmtId="168" fontId="91" fillId="0" borderId="0" xfId="0" applyNumberFormat="1" applyFont="1"/>
    <xf numFmtId="0" fontId="91" fillId="0" borderId="0" xfId="0" applyFont="1" applyAlignment="1">
      <alignment horizontal="center"/>
    </xf>
    <xf numFmtId="0" fontId="91" fillId="0" borderId="0" xfId="0" applyFont="1" applyAlignment="1">
      <alignment horizontal="right"/>
    </xf>
    <xf numFmtId="166" fontId="91" fillId="0" borderId="0" xfId="0" applyNumberFormat="1" applyFont="1"/>
    <xf numFmtId="168" fontId="89" fillId="0" borderId="19" xfId="0" applyNumberFormat="1" applyFont="1" applyBorder="1"/>
    <xf numFmtId="0" fontId="2" fillId="0" borderId="8" xfId="0" applyFont="1" applyBorder="1" applyAlignment="1">
      <alignment wrapText="1"/>
    </xf>
    <xf numFmtId="0" fontId="2" fillId="0" borderId="8" xfId="0" applyFont="1" applyBorder="1"/>
    <xf numFmtId="0" fontId="2" fillId="0" borderId="0" xfId="0" applyFont="1"/>
    <xf numFmtId="0" fontId="2" fillId="0" borderId="4" xfId="0" applyFont="1" applyBorder="1"/>
    <xf numFmtId="0" fontId="2" fillId="0" borderId="5" xfId="0" applyFont="1" applyBorder="1"/>
    <xf numFmtId="168" fontId="0" fillId="0" borderId="44" xfId="0" applyNumberFormat="1" applyBorder="1"/>
    <xf numFmtId="0" fontId="0" fillId="0" borderId="34" xfId="0" applyBorder="1" applyAlignment="1">
      <alignment horizontal="right"/>
    </xf>
    <xf numFmtId="0" fontId="0" fillId="0" borderId="34" xfId="0" applyBorder="1" applyAlignment="1">
      <alignment horizontal="center"/>
    </xf>
    <xf numFmtId="0" fontId="0" fillId="0" borderId="45" xfId="0" applyBorder="1" applyAlignment="1">
      <alignment horizontal="left"/>
    </xf>
    <xf numFmtId="0" fontId="0" fillId="0" borderId="5" xfId="0" applyBorder="1" applyAlignment="1">
      <alignment horizontal="center"/>
    </xf>
    <xf numFmtId="0" fontId="0" fillId="0" borderId="46" xfId="0" applyBorder="1" applyAlignment="1">
      <alignment horizontal="left"/>
    </xf>
    <xf numFmtId="0" fontId="0" fillId="0" borderId="47" xfId="0" applyBorder="1"/>
    <xf numFmtId="2" fontId="0" fillId="0" borderId="4" xfId="0" applyNumberFormat="1" applyBorder="1" applyAlignment="1">
      <alignment horizontal="center"/>
    </xf>
    <xf numFmtId="171" fontId="0" fillId="0" borderId="14" xfId="0" applyNumberFormat="1" applyBorder="1"/>
    <xf numFmtId="0" fontId="0" fillId="0" borderId="0" xfId="0" applyAlignment="1">
      <alignment horizontal="center" indent="3"/>
    </xf>
    <xf numFmtId="0" fontId="0" fillId="0" borderId="0" xfId="0" applyAlignment="1">
      <alignment horizontal="center" indent="4"/>
    </xf>
    <xf numFmtId="0" fontId="0" fillId="0" borderId="49" xfId="0" applyBorder="1" applyAlignment="1">
      <alignment horizontal="left"/>
    </xf>
    <xf numFmtId="0" fontId="0" fillId="0" borderId="48" xfId="0" applyBorder="1"/>
    <xf numFmtId="0" fontId="48" fillId="0" borderId="36" xfId="0" applyFont="1" applyBorder="1" applyAlignment="1">
      <alignment horizontal="left"/>
    </xf>
    <xf numFmtId="168" fontId="89" fillId="0" borderId="21" xfId="0" applyNumberFormat="1" applyFont="1" applyBorder="1"/>
    <xf numFmtId="168" fontId="48" fillId="0" borderId="21" xfId="0" applyNumberFormat="1" applyFont="1" applyBorder="1"/>
    <xf numFmtId="0" fontId="19" fillId="9" borderId="2" xfId="0" applyFont="1" applyFill="1" applyBorder="1" applyAlignment="1">
      <alignment horizontal="center" vertical="center" wrapText="1"/>
    </xf>
    <xf numFmtId="0" fontId="19" fillId="9" borderId="3"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20" fillId="8" borderId="2" xfId="0" applyFont="1" applyFill="1" applyBorder="1" applyAlignment="1">
      <alignment horizontal="center" vertical="center" wrapText="1"/>
    </xf>
    <xf numFmtId="0" fontId="20" fillId="8" borderId="3" xfId="0" applyFont="1" applyFill="1" applyBorder="1" applyAlignment="1">
      <alignment horizontal="center" vertical="center" wrapText="1"/>
    </xf>
    <xf numFmtId="0" fontId="12" fillId="0" borderId="0" xfId="0" applyFont="1" applyAlignment="1">
      <alignment horizontal="center"/>
    </xf>
    <xf numFmtId="0" fontId="13" fillId="8" borderId="0" xfId="0" applyFont="1" applyFill="1" applyAlignment="1">
      <alignment horizontal="center" vertical="center" wrapText="1"/>
    </xf>
    <xf numFmtId="0" fontId="14" fillId="0" borderId="0" xfId="0" applyFont="1" applyAlignment="1">
      <alignment horizontal="right" vertical="center" wrapText="1"/>
    </xf>
    <xf numFmtId="0" fontId="17" fillId="0" borderId="0" xfId="0" applyFont="1" applyAlignment="1">
      <alignment horizontal="right" vertical="center" wrapText="1"/>
    </xf>
    <xf numFmtId="0" fontId="49" fillId="9" borderId="2" xfId="0" applyFont="1" applyFill="1" applyBorder="1" applyAlignment="1">
      <alignment horizontal="center" vertical="center" wrapText="1"/>
    </xf>
    <xf numFmtId="0" fontId="49" fillId="9" borderId="3" xfId="0" applyFont="1" applyFill="1" applyBorder="1" applyAlignment="1">
      <alignment horizontal="center" vertical="center" wrapText="1"/>
    </xf>
    <xf numFmtId="0" fontId="50" fillId="8" borderId="2" xfId="0" applyFont="1" applyFill="1" applyBorder="1" applyAlignment="1">
      <alignment horizontal="center" vertical="center" wrapText="1"/>
    </xf>
    <xf numFmtId="0" fontId="50" fillId="8" borderId="3" xfId="0" applyFont="1" applyFill="1" applyBorder="1" applyAlignment="1">
      <alignment horizontal="center" vertical="center" wrapText="1"/>
    </xf>
    <xf numFmtId="0" fontId="30" fillId="17" borderId="0" xfId="0" applyFont="1" applyFill="1" applyAlignment="1">
      <alignment horizontal="right" vertical="center" wrapText="1"/>
    </xf>
    <xf numFmtId="0" fontId="29" fillId="14" borderId="0" xfId="0" applyFont="1" applyFill="1" applyAlignment="1">
      <alignment horizontal="center" vertical="center" wrapText="1"/>
    </xf>
    <xf numFmtId="0" fontId="0" fillId="16" borderId="0" xfId="0" applyFill="1" applyAlignment="1">
      <alignment horizontal="center" wrapText="1"/>
    </xf>
    <xf numFmtId="0" fontId="0" fillId="16" borderId="0" xfId="0" applyFill="1" applyAlignment="1">
      <alignment horizontal="center"/>
    </xf>
    <xf numFmtId="0" fontId="0" fillId="6" borderId="0" xfId="11" applyFont="1" applyFill="1" applyAlignment="1">
      <alignment horizontal="center"/>
    </xf>
    <xf numFmtId="0" fontId="43" fillId="21" borderId="23" xfId="0" applyFont="1" applyFill="1" applyBorder="1" applyAlignment="1">
      <alignment horizontal="center" vertical="center"/>
    </xf>
    <xf numFmtId="0" fontId="43" fillId="23" borderId="30" xfId="0" applyFont="1" applyFill="1" applyBorder="1" applyAlignment="1">
      <alignment horizontal="center" vertical="center" wrapText="1"/>
    </xf>
    <xf numFmtId="0" fontId="43" fillId="14" borderId="23" xfId="0" applyFont="1" applyFill="1" applyBorder="1" applyAlignment="1">
      <alignment horizontal="center" vertical="center"/>
    </xf>
    <xf numFmtId="0" fontId="43" fillId="15" borderId="23" xfId="0" applyFont="1" applyFill="1" applyBorder="1" applyAlignment="1">
      <alignment horizontal="center" vertical="center"/>
    </xf>
    <xf numFmtId="0" fontId="43" fillId="23" borderId="24" xfId="0" applyFont="1" applyFill="1" applyBorder="1" applyAlignment="1">
      <alignment horizontal="center" vertical="center"/>
    </xf>
    <xf numFmtId="0" fontId="61" fillId="0" borderId="19" xfId="0" applyFont="1" applyBorder="1"/>
    <xf numFmtId="0" fontId="61" fillId="0" borderId="4" xfId="0" applyFont="1" applyBorder="1"/>
    <xf numFmtId="0" fontId="61" fillId="0" borderId="4" xfId="0" applyFont="1" applyBorder="1" applyAlignment="1">
      <alignment horizontal="left"/>
    </xf>
    <xf numFmtId="168" fontId="61" fillId="0" borderId="4" xfId="0" applyNumberFormat="1" applyFont="1" applyBorder="1"/>
    <xf numFmtId="0" fontId="61" fillId="0" borderId="14" xfId="0" applyFont="1" applyBorder="1" applyAlignment="1">
      <alignment horizontal="left"/>
    </xf>
    <xf numFmtId="0" fontId="61" fillId="0" borderId="8" xfId="0" applyFont="1" applyBorder="1"/>
    <xf numFmtId="0" fontId="61" fillId="0" borderId="4" xfId="0" applyFont="1" applyBorder="1" applyAlignment="1">
      <alignment horizontal="center"/>
    </xf>
    <xf numFmtId="0" fontId="61" fillId="0" borderId="14" xfId="0" applyFont="1" applyBorder="1"/>
    <xf numFmtId="168" fontId="61" fillId="0" borderId="19" xfId="0" applyNumberFormat="1" applyFont="1" applyBorder="1"/>
    <xf numFmtId="0" fontId="61" fillId="0" borderId="5" xfId="0" applyFont="1" applyBorder="1"/>
    <xf numFmtId="167" fontId="61" fillId="0" borderId="19" xfId="0" applyNumberFormat="1" applyFont="1" applyBorder="1"/>
    <xf numFmtId="0" fontId="61" fillId="0" borderId="0" xfId="0" applyFont="1"/>
    <xf numFmtId="0" fontId="61" fillId="0" borderId="4" xfId="0" applyFont="1" applyBorder="1" applyAlignment="1">
      <alignment horizontal="right"/>
    </xf>
    <xf numFmtId="166" fontId="61" fillId="0" borderId="4" xfId="0" applyNumberFormat="1" applyFont="1" applyBorder="1"/>
    <xf numFmtId="0" fontId="61" fillId="0" borderId="20" xfId="0" applyFont="1" applyBorder="1"/>
    <xf numFmtId="170" fontId="61" fillId="0" borderId="5" xfId="0" applyNumberFormat="1" applyFont="1" applyBorder="1"/>
    <xf numFmtId="0" fontId="61" fillId="0" borderId="22" xfId="0" applyFont="1" applyBorder="1"/>
    <xf numFmtId="0" fontId="92" fillId="0" borderId="0" xfId="0" applyFont="1"/>
    <xf numFmtId="0" fontId="0" fillId="27" borderId="0" xfId="0" applyFill="1"/>
  </cellXfs>
  <cellStyles count="16">
    <cellStyle name="Currency 2" xfId="7" xr:uid="{00000000-0005-0000-0000-000000000000}"/>
    <cellStyle name="Good 2" xfId="2" xr:uid="{00000000-0005-0000-0000-000001000000}"/>
    <cellStyle name="Hyperlink" xfId="10" builtinId="8"/>
    <cellStyle name="Hyperlink 2" xfId="12" xr:uid="{58BF7B6E-7241-4AC3-87F1-38B8187A2656}"/>
    <cellStyle name="Normal" xfId="0" builtinId="0"/>
    <cellStyle name="Normal 2" xfId="3" xr:uid="{00000000-0005-0000-0000-000002000000}"/>
    <cellStyle name="Normal 2 2" xfId="6" xr:uid="{00000000-0005-0000-0000-000003000000}"/>
    <cellStyle name="Normal 2 3" xfId="14" xr:uid="{BABE3AF2-3170-4191-B26A-77ACFF6FD710}"/>
    <cellStyle name="Normal 3" xfId="5" xr:uid="{00000000-0005-0000-0000-000004000000}"/>
    <cellStyle name="Normal 4" xfId="4" xr:uid="{00000000-0005-0000-0000-000005000000}"/>
    <cellStyle name="Normal 5" xfId="1" xr:uid="{00000000-0005-0000-0000-000006000000}"/>
    <cellStyle name="Normal 6" xfId="9" xr:uid="{F87C2FBD-98E0-4392-A15C-B10BEA5B9DAC}"/>
    <cellStyle name="Normal 7" xfId="11" xr:uid="{C2D443FD-8BF3-479F-8B94-20E17BAB3CEE}"/>
    <cellStyle name="Normal 8" xfId="13" xr:uid="{C87F2A94-FEA9-4B45-BA86-2EC951766BB8}"/>
    <cellStyle name="Percent 2" xfId="8" xr:uid="{00000000-0005-0000-0000-000008000000}"/>
    <cellStyle name="Standard 2" xfId="15" xr:uid="{9456AB3A-856B-4E29-A4FD-AE2BEA005D3E}"/>
  </cellStyles>
  <dxfs count="111">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00B050"/>
        </patternFill>
      </fill>
    </dxf>
    <dxf>
      <fill>
        <patternFill patternType="solid">
          <bgColor rgb="FF00B050"/>
        </patternFill>
      </fill>
    </dxf>
    <dxf>
      <fill>
        <patternFill patternType="solid">
          <bgColor rgb="FFFFFF00"/>
        </patternFill>
      </fill>
    </dxf>
    <dxf>
      <fill>
        <patternFill>
          <bgColor rgb="FF00B05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bgColor rgb="FF92D050"/>
        </patternFill>
      </fill>
    </dxf>
    <dxf>
      <fill>
        <patternFill>
          <bgColor theme="5" tint="0.39994506668294322"/>
        </patternFill>
      </fill>
    </dxf>
    <dxf>
      <fill>
        <patternFill>
          <bgColor theme="9" tint="0.39994506668294322"/>
        </patternFill>
      </fill>
    </dxf>
    <dxf>
      <fill>
        <patternFill>
          <bgColor theme="5"/>
        </patternFill>
      </fill>
    </dxf>
    <dxf>
      <fill>
        <patternFill>
          <bgColor theme="9"/>
        </patternFill>
      </fill>
    </dxf>
    <dxf>
      <fill>
        <patternFill>
          <bgColor theme="7" tint="0.59996337778862885"/>
        </patternFill>
      </fill>
    </dxf>
    <dxf>
      <fill>
        <patternFill>
          <bgColor rgb="FF00B050"/>
        </patternFill>
      </fill>
    </dxf>
    <dxf>
      <fill>
        <patternFill patternType="solid">
          <bgColor rgb="FFFFFF00"/>
        </patternFill>
      </fill>
    </dxf>
    <dxf>
      <fill>
        <patternFill patternType="solid">
          <bgColor rgb="FF00B050"/>
        </patternFill>
      </fill>
    </dxf>
    <dxf>
      <fill>
        <patternFill patternType="solid">
          <bgColor rgb="FF00B050"/>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alignment horizontal="center" relativeIndent="1"/>
    </dxf>
    <dxf>
      <alignment horizontal="center" vertical="center" textRotation="0" indent="0" justifyLastLine="0" shrinkToFit="0" readingOrder="0"/>
    </dxf>
    <dxf>
      <alignment horizontal="left" textRotation="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8" tint="0.79998168889431442"/>
        </patternFill>
      </fill>
      <alignment horizontal="center" vertical="center" textRotation="0" wrapText="1" indent="0" justifyLastLine="0" shrinkToFit="0" readingOrder="0"/>
    </dxf>
    <dxf>
      <numFmt numFmtId="2" formatCode="0.00"/>
      <fill>
        <patternFill patternType="solid">
          <fgColor indexed="64"/>
          <bgColor theme="0"/>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0"/>
        <color rgb="FF000000"/>
        <name val="Arial"/>
        <family val="2"/>
        <scheme val="none"/>
      </font>
      <numFmt numFmtId="0" formatCode="General"/>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outline="0">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rgb="FF000000"/>
        <name val="Calibri"/>
        <family val="2"/>
        <scheme val="none"/>
      </font>
      <numFmt numFmtId="2" formatCode="0.00"/>
      <fill>
        <patternFill patternType="solid">
          <fgColor indexed="64"/>
          <bgColor rgb="FFFFFF00"/>
        </patternFill>
      </fill>
      <alignment horizontal="right" vertical="center" textRotation="0" wrapText="1" indent="0" justifyLastLine="0" shrinkToFit="0" readingOrder="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2" formatCode="0.00"/>
    </dxf>
    <dxf>
      <numFmt numFmtId="2" formatCode="0.00"/>
    </dxf>
    <dxf>
      <numFmt numFmtId="2" formatCode="0.00"/>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6" formatCode="_([$€-2]\ * #,##0.00_);_([$€-2]\ * \(#,##0.00\);_([$€-2]\ * &quot;-&quot;??_);_(@_)"/>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Calibri"/>
        <family val="2"/>
        <scheme val="minor"/>
      </font>
      <numFmt numFmtId="166" formatCode="_([$€-2]\ * #,##0.00_);_([$€-2]\ * \(#,##0.00\);_([$€-2]\ * &quot;-&quot;??_);_(@_)"/>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0"/>
        <color theme="1"/>
        <name val="Calibri"/>
        <family val="2"/>
        <scheme val="minor"/>
      </font>
      <numFmt numFmtId="166" formatCode="_([$€-2]\ * #,##0.00_);_([$€-2]\ * \(#,##0.00\);_([$€-2]\ * &quot;-&quot;??_);_(@_)"/>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family val="2"/>
        <charset val="238"/>
        <scheme val="minor"/>
      </font>
      <numFmt numFmtId="166" formatCode="_([$€-2]\ * #,##0.00_);_([$€-2]\ * \(#,##0.00\);_([$€-2]\ * &quot;-&quot;??_);_(@_)"/>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family val="2"/>
        <charset val="238"/>
        <scheme val="minor"/>
      </font>
      <numFmt numFmtId="166" formatCode="_([$€-2]\ * #,##0.00_);_([$€-2]\ * \(#,##0.00\);_([$€-2]\ * &quot;-&quot;??_);_(@_)"/>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family val="2"/>
        <charset val="238"/>
        <scheme val="minor"/>
      </font>
      <numFmt numFmtId="166" formatCode="_([$€-2]\ * #,##0.00_);_([$€-2]\ * \(#,##0.00\);_([$€-2]\ * &quot;-&quot;??_);_(@_)"/>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0"/>
        <color theme="1"/>
        <name val="Calibri"/>
        <family val="2"/>
        <charset val="238"/>
        <scheme val="minor"/>
      </font>
      <numFmt numFmtId="166" formatCode="_([$€-2]\ * #,##0.00_);_([$€-2]\ * \(#,##0.00\);_([$€-2]\ * &quot;-&quot;??_);_(@_)"/>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charset val="238"/>
        <scheme val="minor"/>
      </font>
      <fill>
        <patternFill patternType="none">
          <fgColor indexed="64"/>
          <bgColor indexed="65"/>
        </patternFill>
      </fill>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charset val="238"/>
        <scheme val="minor"/>
      </font>
      <fill>
        <patternFill patternType="none">
          <fgColor indexed="64"/>
          <bgColor indexed="65"/>
        </patternFill>
      </fill>
      <alignment horizontal="left" vertical="bottom" textRotation="0" wrapText="0" indent="0" justifyLastLine="0" shrinkToFit="0" readingOrder="0"/>
      <border diagonalUp="0" diagonalDown="0">
        <left style="thin">
          <color indexed="64"/>
        </left>
        <right/>
        <top style="thin">
          <color indexed="64"/>
        </top>
        <bottom/>
        <vertical/>
        <horizontal/>
      </border>
    </dxf>
    <dxf>
      <border outline="0">
        <top style="thin">
          <color theme="1"/>
        </top>
        <bottom style="thin">
          <color indexed="64"/>
        </bottom>
      </border>
    </dxf>
    <dxf>
      <font>
        <b/>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charset val="238"/>
        <scheme val="minor"/>
      </font>
    </dxf>
    <dxf>
      <numFmt numFmtId="0" formatCode="General"/>
    </dxf>
    <dxf>
      <numFmt numFmtId="166" formatCode="_([$€-2]\ * #,##0.00_);_([$€-2]\ * \(#,##0.00\);_([$€-2]\ * &quot;-&quot;??_);_(@_)"/>
    </dxf>
    <dxf>
      <numFmt numFmtId="166" formatCode="_([$€-2]\ * #,##0.00_);_([$€-2]\ * \(#,##0.00\);_([$€-2]\ * &quot;-&quot;??_);_(@_)"/>
    </dxf>
    <dxf>
      <border diagonalUp="0" diagonalDown="0" outline="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dxf>
    <dxf>
      <alignment horizontal="right" textRotation="0" indent="0" justifyLastLine="0" shrinkToFit="0" readingOrder="0"/>
    </dxf>
    <dxf>
      <numFmt numFmtId="168" formatCode="[$-409]d\-mmm\-yy;@"/>
    </dxf>
    <dxf>
      <numFmt numFmtId="168" formatCode="[$-409]d\-mmm\-yy;@"/>
    </dxf>
    <dxf>
      <alignment horizontal="center" vertical="bottom" textRotation="0" wrapText="0" indent="0" justifyLastLine="0" shrinkToFit="0" readingOrder="0"/>
    </dxf>
    <dxf>
      <alignment horizontal="center" textRotation="0" indent="0" justifyLastLine="0" shrinkToFit="0" readingOrder="0"/>
    </dxf>
    <dxf>
      <alignment horizontal="left" vertical="bottom" textRotation="0" wrapText="0" indent="0" justifyLastLine="0" shrinkToFit="0" readingOrder="0"/>
    </dxf>
    <dxf>
      <alignment horizontal="left" textRotation="0" indent="0" justifyLastLine="0" shrinkToFit="0" readingOrder="0"/>
    </dxf>
    <dxf>
      <numFmt numFmtId="168" formatCode="[$-409]d\-mmm\-yy;@"/>
    </dxf>
    <dxf>
      <numFmt numFmtId="168" formatCode="[$-409]d\-mmm\-yy;@"/>
    </dxf>
    <dxf>
      <alignment horizontal="left" vertical="bottom" textRotation="0" wrapText="0" indent="0" justifyLastLine="0" shrinkToFit="0" readingOrder="0"/>
    </dxf>
    <dxf>
      <alignment horizontal="left" textRotation="0" indent="0" justifyLastLine="0" shrinkToFit="0" readingOrder="0"/>
    </dxf>
    <dxf>
      <border>
        <bottom style="medium">
          <color indexed="64"/>
        </bottom>
      </border>
    </dxf>
    <dxf>
      <font>
        <b/>
        <strike val="0"/>
        <outline val="0"/>
        <shadow val="0"/>
        <u val="none"/>
        <vertAlign val="baseline"/>
        <sz val="16"/>
        <name val="Calibri"/>
        <family val="2"/>
        <scheme val="minor"/>
      </font>
      <alignment horizontal="general" vertical="center" textRotation="0" wrapText="1"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CCFFCC"/>
      <color rgb="FFFFFFCC"/>
      <color rgb="FFC0C0C0"/>
      <color rgb="FFCCECFF"/>
      <color rgb="FFEAEAEA"/>
      <color rgb="FFE68E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07/relationships/slicerCache" Target="slicerCaches/slicerCache9.xml"/><Relationship Id="rId39" Type="http://schemas.microsoft.com/office/2007/relationships/slicerCache" Target="slicerCaches/slicerCache22.xml"/><Relationship Id="rId21" Type="http://schemas.microsoft.com/office/2007/relationships/slicerCache" Target="slicerCaches/slicerCache4.xml"/><Relationship Id="rId34" Type="http://schemas.microsoft.com/office/2007/relationships/slicerCache" Target="slicerCaches/slicerCache17.xml"/><Relationship Id="rId42" Type="http://schemas.openxmlformats.org/officeDocument/2006/relationships/sharedStrings" Target="sharedStrings.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12.xml"/><Relationship Id="rId11" Type="http://schemas.openxmlformats.org/officeDocument/2006/relationships/worksheet" Target="worksheets/sheet11.xml"/><Relationship Id="rId24" Type="http://schemas.microsoft.com/office/2007/relationships/slicerCache" Target="slicerCaches/slicerCache7.xml"/><Relationship Id="rId32" Type="http://schemas.microsoft.com/office/2007/relationships/slicerCache" Target="slicerCaches/slicerCache15.xml"/><Relationship Id="rId37" Type="http://schemas.microsoft.com/office/2007/relationships/slicerCache" Target="slicerCaches/slicerCache20.xml"/><Relationship Id="rId40" Type="http://schemas.openxmlformats.org/officeDocument/2006/relationships/theme" Target="theme/theme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microsoft.com/office/2007/relationships/slicerCache" Target="slicerCaches/slicerCache11.xml"/><Relationship Id="rId36" Type="http://schemas.microsoft.com/office/2007/relationships/slicerCache" Target="slicerCaches/slicerCache19.xml"/><Relationship Id="rId49" Type="http://schemas.openxmlformats.org/officeDocument/2006/relationships/customXml" Target="../customXml/item4.xml"/><Relationship Id="rId10" Type="http://schemas.openxmlformats.org/officeDocument/2006/relationships/worksheet" Target="worksheets/sheet10.xml"/><Relationship Id="rId19" Type="http://schemas.microsoft.com/office/2007/relationships/slicerCache" Target="slicerCaches/slicerCache2.xml"/><Relationship Id="rId31" Type="http://schemas.microsoft.com/office/2007/relationships/slicerCache" Target="slicerCaches/slicerCache14.xml"/><Relationship Id="rId44"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microsoft.com/office/2007/relationships/slicerCache" Target="slicerCaches/slicerCache10.xml"/><Relationship Id="rId30" Type="http://schemas.microsoft.com/office/2007/relationships/slicerCache" Target="slicerCaches/slicerCache13.xml"/><Relationship Id="rId35" Type="http://schemas.microsoft.com/office/2007/relationships/slicerCache" Target="slicerCaches/slicerCache18.xml"/><Relationship Id="rId43" Type="http://schemas.openxmlformats.org/officeDocument/2006/relationships/sheetMetadata" Target="metadata.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8.xml"/><Relationship Id="rId33" Type="http://schemas.microsoft.com/office/2007/relationships/slicerCache" Target="slicerCaches/slicerCache16.xml"/><Relationship Id="rId38" Type="http://schemas.microsoft.com/office/2007/relationships/slicerCache" Target="slicerCaches/slicerCache21.xml"/><Relationship Id="rId46" Type="http://schemas.openxmlformats.org/officeDocument/2006/relationships/customXml" Target="../customXml/item1.xml"/><Relationship Id="rId20" Type="http://schemas.microsoft.com/office/2007/relationships/slicerCache" Target="slicerCaches/slicerCache3.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[R-L-01 REGISTRU UNIC DE LIVRARI .xlsx]Orders!PivotTable3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Orders!$E$13:$E$17</c:f>
              <c:strCache>
                <c:ptCount val="1"/>
                <c:pt idx="0">
                  <c:v>Schaeffler 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Orders!$B$18:$D$26</c:f>
              <c:multiLvlStrCache>
                <c:ptCount val="6"/>
                <c:lvl>
                  <c:pt idx="0">
                    <c:v>May</c:v>
                  </c:pt>
                  <c:pt idx="1">
                    <c:v>Jun</c:v>
                  </c:pt>
                  <c:pt idx="2">
                    <c:v>Aug</c:v>
                  </c:pt>
                  <c:pt idx="3">
                    <c:v>Oct</c:v>
                  </c:pt>
                  <c:pt idx="4">
                    <c:v>Jun</c:v>
                  </c:pt>
                  <c:pt idx="5">
                    <c:v>Dec</c:v>
                  </c:pt>
                </c:lvl>
                <c:lvl>
                  <c:pt idx="0">
                    <c:v>2024</c:v>
                  </c:pt>
                  <c:pt idx="4">
                    <c:v>2025</c:v>
                  </c:pt>
                </c:lvl>
              </c:multiLvlStrCache>
            </c:multiLvlStrRef>
          </c:cat>
          <c:val>
            <c:numRef>
              <c:f>Orders!$E$18:$E$26</c:f>
              <c:numCache>
                <c:formatCode>General</c:formatCode>
                <c:ptCount val="6"/>
                <c:pt idx="0">
                  <c:v>225</c:v>
                </c:pt>
                <c:pt idx="1">
                  <c:v>308</c:v>
                </c:pt>
                <c:pt idx="2">
                  <c:v>63667</c:v>
                </c:pt>
                <c:pt idx="3">
                  <c:v>363</c:v>
                </c:pt>
                <c:pt idx="4">
                  <c:v>62</c:v>
                </c:pt>
                <c:pt idx="5">
                  <c:v>143</c:v>
                </c:pt>
              </c:numCache>
            </c:numRef>
          </c:val>
          <c:extLst>
            <c:ext xmlns:c16="http://schemas.microsoft.com/office/drawing/2014/chart" uri="{C3380CC4-5D6E-409C-BE32-E72D297353CC}">
              <c16:uniqueId val="{00000000-738C-464C-9333-8ABD54B3E6DA}"/>
            </c:ext>
          </c:extLst>
        </c:ser>
        <c:dLbls>
          <c:showLegendKey val="0"/>
          <c:showVal val="0"/>
          <c:showCatName val="0"/>
          <c:showSerName val="0"/>
          <c:showPercent val="0"/>
          <c:showBubbleSize val="0"/>
        </c:dLbls>
        <c:gapWidth val="219"/>
        <c:overlap val="-27"/>
        <c:axId val="300454960"/>
        <c:axId val="300453520"/>
      </c:barChart>
      <c:catAx>
        <c:axId val="30045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53520"/>
        <c:crosses val="autoZero"/>
        <c:auto val="1"/>
        <c:lblAlgn val="ctr"/>
        <c:lblOffset val="100"/>
        <c:noMultiLvlLbl val="0"/>
      </c:catAx>
      <c:valAx>
        <c:axId val="30045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5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[R-L-01 REGISTRU UNIC DE LIVRARI .xlsx]Livrari!PivotTable2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126337954337483E-2"/>
          <c:y val="4.1253715016819216E-2"/>
          <c:w val="0.9668736620456625"/>
          <c:h val="0.42788324792609739"/>
        </c:manualLayout>
      </c:layout>
      <c:barChart>
        <c:barDir val="col"/>
        <c:grouping val="clustered"/>
        <c:varyColors val="0"/>
        <c:ser>
          <c:idx val="0"/>
          <c:order val="0"/>
          <c:tx>
            <c:strRef>
              <c:f>Livrari!$G$13:$G$14</c:f>
              <c:strCache>
                <c:ptCount val="1"/>
                <c:pt idx="0">
                  <c:v>Schaeffler RO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Livrari!$B$15:$F$18</c:f>
              <c:multiLvlStrCache>
                <c:ptCount val="2"/>
                <c:lvl>
                  <c:pt idx="0">
                    <c:v>Sep</c:v>
                  </c:pt>
                  <c:pt idx="1">
                    <c:v>Oct</c:v>
                  </c:pt>
                </c:lvl>
                <c:lvl>
                  <c:pt idx="0">
                    <c:v>2025</c:v>
                  </c:pt>
                </c:lvl>
              </c:multiLvlStrCache>
            </c:multiLvlStrRef>
          </c:cat>
          <c:val>
            <c:numRef>
              <c:f>Livrari!$G$15:$G$18</c:f>
              <c:numCache>
                <c:formatCode>General</c:formatCode>
                <c:ptCount val="2"/>
                <c:pt idx="0">
                  <c:v>8222</c:v>
                </c:pt>
                <c:pt idx="1">
                  <c:v>4185</c:v>
                </c:pt>
              </c:numCache>
            </c:numRef>
          </c:val>
          <c:extLst>
            <c:ext xmlns:c16="http://schemas.microsoft.com/office/drawing/2014/chart" uri="{C3380CC4-5D6E-409C-BE32-E72D297353CC}">
              <c16:uniqueId val="{00000000-D8D2-4628-819C-BA7CBB16D0E2}"/>
            </c:ext>
          </c:extLst>
        </c:ser>
        <c:dLbls>
          <c:showLegendKey val="0"/>
          <c:showVal val="0"/>
          <c:showCatName val="0"/>
          <c:showSerName val="0"/>
          <c:showPercent val="0"/>
          <c:showBubbleSize val="0"/>
        </c:dLbls>
        <c:gapWidth val="219"/>
        <c:overlap val="-27"/>
        <c:axId val="907348879"/>
        <c:axId val="907340719"/>
      </c:barChart>
      <c:catAx>
        <c:axId val="90734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340719"/>
        <c:crosses val="autoZero"/>
        <c:auto val="1"/>
        <c:lblAlgn val="ctr"/>
        <c:lblOffset val="100"/>
        <c:noMultiLvlLbl val="0"/>
      </c:catAx>
      <c:valAx>
        <c:axId val="90734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34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[R-L-01 REGISTRU UNIC DE LIVRARI .xlsx]Livrari!PivotTable2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Livrari!$G$13:$G$14</c:f>
              <c:strCache>
                <c:ptCount val="1"/>
                <c:pt idx="0">
                  <c:v>Schaeffler RO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Livrari!$B$15:$F$18</c:f>
              <c:multiLvlStrCache>
                <c:ptCount val="2"/>
                <c:lvl>
                  <c:pt idx="0">
                    <c:v>Sep</c:v>
                  </c:pt>
                  <c:pt idx="1">
                    <c:v>Oct</c:v>
                  </c:pt>
                </c:lvl>
                <c:lvl>
                  <c:pt idx="0">
                    <c:v>2025</c:v>
                  </c:pt>
                </c:lvl>
              </c:multiLvlStrCache>
            </c:multiLvlStrRef>
          </c:cat>
          <c:val>
            <c:numRef>
              <c:f>Livrari!$G$15:$G$18</c:f>
              <c:numCache>
                <c:formatCode>General</c:formatCode>
                <c:ptCount val="2"/>
                <c:pt idx="0">
                  <c:v>8222</c:v>
                </c:pt>
                <c:pt idx="1">
                  <c:v>4185</c:v>
                </c:pt>
              </c:numCache>
            </c:numRef>
          </c:val>
          <c:extLst>
            <c:ext xmlns:c16="http://schemas.microsoft.com/office/drawing/2014/chart" uri="{C3380CC4-5D6E-409C-BE32-E72D297353CC}">
              <c16:uniqueId val="{00000000-A4F9-4A51-84F8-4A598EA1CB84}"/>
            </c:ext>
          </c:extLst>
        </c:ser>
        <c:dLbls>
          <c:showLegendKey val="0"/>
          <c:showVal val="0"/>
          <c:showCatName val="0"/>
          <c:showSerName val="0"/>
          <c:showPercent val="0"/>
          <c:showBubbleSize val="0"/>
        </c:dLbls>
        <c:gapWidth val="219"/>
        <c:overlap val="-27"/>
        <c:axId val="365620399"/>
        <c:axId val="365620879"/>
      </c:barChart>
      <c:catAx>
        <c:axId val="36562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20879"/>
        <c:crosses val="autoZero"/>
        <c:auto val="1"/>
        <c:lblAlgn val="ctr"/>
        <c:lblOffset val="100"/>
        <c:noMultiLvlLbl val="0"/>
      </c:catAx>
      <c:valAx>
        <c:axId val="365620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203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7728320836251214E-2"/>
          <c:y val="0.45874999999999999"/>
          <c:w val="0.92636423158601922"/>
          <c:h val="0.43385061242344708"/>
        </c:manualLayout>
      </c:layout>
      <c:barChart>
        <c:barDir val="col"/>
        <c:grouping val="clustered"/>
        <c:varyColors val="0"/>
        <c:ser>
          <c:idx val="0"/>
          <c:order val="0"/>
          <c:tx>
            <c:v>OTD</c:v>
          </c:tx>
          <c:invertIfNegative val="0"/>
          <c:dLbls>
            <c:spPr>
              <a:noFill/>
              <a:ln>
                <a:noFill/>
              </a:ln>
              <a:effectLst/>
            </c:spPr>
            <c:txPr>
              <a:bodyPr wrap="square" lIns="38100" tIns="19050" rIns="38100" bIns="19050" anchor="ctr">
                <a:spAutoFit/>
              </a:bodyPr>
              <a:lstStyle/>
              <a:p>
                <a:pPr>
                  <a:defRPr sz="12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OTD!$B$8:$M$8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OTD!$B$16:$M$16</c:f>
              <c:numCache>
                <c:formatCode>0%</c:formatCode>
                <c:ptCount val="12"/>
                <c:pt idx="0">
                  <c:v>0</c:v>
                </c:pt>
                <c:pt idx="1">
                  <c:v>0</c:v>
                </c:pt>
                <c:pt idx="2">
                  <c:v>0</c:v>
                </c:pt>
                <c:pt idx="3">
                  <c:v>0</c:v>
                </c:pt>
                <c:pt idx="4">
                  <c:v>0.44589308996088656</c:v>
                </c:pt>
                <c:pt idx="5">
                  <c:v>0.36142322097378277</c:v>
                </c:pt>
                <c:pt idx="6">
                  <c:v>0.64357682619647361</c:v>
                </c:pt>
                <c:pt idx="7">
                  <c:v>0.62964260686755436</c:v>
                </c:pt>
              </c:numCache>
            </c:numRef>
          </c:val>
          <c:extLst>
            <c:ext xmlns:c16="http://schemas.microsoft.com/office/drawing/2014/chart" uri="{C3380CC4-5D6E-409C-BE32-E72D297353CC}">
              <c16:uniqueId val="{00000001-BD14-405B-80BE-68637862E543}"/>
            </c:ext>
          </c:extLst>
        </c:ser>
        <c:dLbls>
          <c:showLegendKey val="0"/>
          <c:showVal val="0"/>
          <c:showCatName val="0"/>
          <c:showSerName val="0"/>
          <c:showPercent val="0"/>
          <c:showBubbleSize val="0"/>
        </c:dLbls>
        <c:gapWidth val="219"/>
        <c:axId val="79635200"/>
        <c:axId val="79637888"/>
      </c:barChart>
      <c:lineChart>
        <c:grouping val="standard"/>
        <c:varyColors val="0"/>
        <c:ser>
          <c:idx val="1"/>
          <c:order val="1"/>
          <c:tx>
            <c:v>target</c:v>
          </c:tx>
          <c:spPr>
            <a:ln w="28575" cap="rnd">
              <a:solidFill>
                <a:srgbClr val="92D050"/>
              </a:solidFill>
              <a:round/>
            </a:ln>
            <a:effectLst/>
          </c:spPr>
          <c:marker>
            <c:symbol val="none"/>
          </c:marker>
          <c:cat>
            <c:strRef>
              <c:f>OTD!$B$8:$M$8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OTD!$B$17:$M$17</c:f>
              <c:numCache>
                <c:formatCode>0%</c:formatCode>
                <c:ptCount val="12"/>
                <c:pt idx="0">
                  <c:v>0.8</c:v>
                </c:pt>
                <c:pt idx="1">
                  <c:v>0.8</c:v>
                </c:pt>
                <c:pt idx="2">
                  <c:v>0.8</c:v>
                </c:pt>
                <c:pt idx="3">
                  <c:v>0.8</c:v>
                </c:pt>
                <c:pt idx="4">
                  <c:v>0.8</c:v>
                </c:pt>
                <c:pt idx="5">
                  <c:v>0.8</c:v>
                </c:pt>
                <c:pt idx="6">
                  <c:v>0.8</c:v>
                </c:pt>
                <c:pt idx="7">
                  <c:v>0.8</c:v>
                </c:pt>
                <c:pt idx="8">
                  <c:v>0.8</c:v>
                </c:pt>
                <c:pt idx="9">
                  <c:v>0.8</c:v>
                </c:pt>
                <c:pt idx="10">
                  <c:v>0.8</c:v>
                </c:pt>
                <c:pt idx="11">
                  <c:v>0.8</c:v>
                </c:pt>
              </c:numCache>
            </c:numRef>
          </c:val>
          <c:smooth val="0"/>
          <c:extLst>
            <c:ext xmlns:c16="http://schemas.microsoft.com/office/drawing/2014/chart" uri="{C3380CC4-5D6E-409C-BE32-E72D297353CC}">
              <c16:uniqueId val="{00000002-BD14-405B-80BE-68637862E543}"/>
            </c:ext>
          </c:extLst>
        </c:ser>
        <c:dLbls>
          <c:showLegendKey val="0"/>
          <c:showVal val="0"/>
          <c:showCatName val="0"/>
          <c:showSerName val="0"/>
          <c:showPercent val="0"/>
          <c:showBubbleSize val="0"/>
        </c:dLbls>
        <c:marker val="1"/>
        <c:smooth val="0"/>
        <c:axId val="79635200"/>
        <c:axId val="79637888"/>
      </c:lineChart>
      <c:catAx>
        <c:axId val="7963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7888"/>
        <c:crosses val="autoZero"/>
        <c:auto val="1"/>
        <c:lblAlgn val="ctr"/>
        <c:lblOffset val="100"/>
        <c:noMultiLvlLbl val="0"/>
      </c:catAx>
      <c:valAx>
        <c:axId val="79637888"/>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5200"/>
        <c:crosses val="autoZero"/>
        <c:crossBetween val="between"/>
        <c:majorUnit val="0.25"/>
      </c:valAx>
      <c:spPr>
        <a:noFill/>
        <a:ln>
          <a:noFill/>
        </a:ln>
        <a:effectLst/>
      </c:spPr>
    </c:plotArea>
    <c:legend>
      <c:legendPos val="r"/>
      <c:layout>
        <c:manualLayout>
          <c:xMode val="edge"/>
          <c:yMode val="edge"/>
          <c:x val="0.82584214391856114"/>
          <c:y val="2.6538349372995058E-2"/>
          <c:w val="0.15101975051383218"/>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OTD _ BOSCH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7"/>
          <c:order val="1"/>
          <c:tx>
            <c:strRef>
              <c:f>OTD!$A$29</c:f>
              <c:strCache>
                <c:ptCount val="1"/>
                <c:pt idx="0">
                  <c:v>OTD Qty %</c:v>
                </c:pt>
              </c:strCache>
            </c:strRef>
          </c:tx>
          <c:spPr>
            <a:solidFill>
              <a:srgbClr val="0070C0"/>
            </a:solidFill>
            <a:ln>
              <a:solidFill>
                <a:srgbClr val="0070C0"/>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OTD!$B$22:$M$22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OTD!$B$29:$M$29</c:f>
              <c:numCache>
                <c:formatCode>0%</c:formatCode>
                <c:ptCount val="12"/>
                <c:pt idx="0">
                  <c:v>0</c:v>
                </c:pt>
                <c:pt idx="1">
                  <c:v>0</c:v>
                </c:pt>
                <c:pt idx="2">
                  <c:v>0</c:v>
                </c:pt>
                <c:pt idx="3">
                  <c:v>0</c:v>
                </c:pt>
                <c:pt idx="4">
                  <c:v>0.44589308996088656</c:v>
                </c:pt>
                <c:pt idx="5">
                  <c:v>0.36142322097378277</c:v>
                </c:pt>
                <c:pt idx="6">
                  <c:v>0.64357682619647361</c:v>
                </c:pt>
                <c:pt idx="7">
                  <c:v>0.62964260686755436</c:v>
                </c:pt>
              </c:numCache>
            </c:numRef>
          </c:val>
          <c:extLst>
            <c:ext xmlns:c16="http://schemas.microsoft.com/office/drawing/2014/chart" uri="{C3380CC4-5D6E-409C-BE32-E72D297353CC}">
              <c16:uniqueId val="{0000000F-C9FC-4113-8FD2-DF13506AF921}"/>
            </c:ext>
          </c:extLst>
        </c:ser>
        <c:dLbls>
          <c:showLegendKey val="0"/>
          <c:showVal val="0"/>
          <c:showCatName val="0"/>
          <c:showSerName val="0"/>
          <c:showPercent val="0"/>
          <c:showBubbleSize val="0"/>
        </c:dLbls>
        <c:gapWidth val="219"/>
        <c:overlap val="-27"/>
        <c:axId val="1744763912"/>
        <c:axId val="877433863"/>
        <c:extLst>
          <c:ext xmlns:c15="http://schemas.microsoft.com/office/drawing/2012/chart" uri="{02D57815-91ED-43cb-92C2-25804820EDAC}">
            <c15:filteredBarSeries>
              <c15:ser>
                <c:idx val="0"/>
                <c:order val="0"/>
                <c:tx>
                  <c:strRef>
                    <c:extLst>
                      <c:ext uri="{02D57815-91ED-43cb-92C2-25804820EDAC}">
                        <c15:formulaRef>
                          <c15:sqref>OTD!$A$23</c15:sqref>
                        </c15:formulaRef>
                      </c:ext>
                    </c:extLst>
                    <c:strCache>
                      <c:ptCount val="1"/>
                    </c:strCache>
                  </c:strRef>
                </c:tx>
                <c:spPr>
                  <a:solidFill>
                    <a:schemeClr val="accent1"/>
                  </a:solidFill>
                  <a:ln>
                    <a:noFill/>
                  </a:ln>
                  <a:effectLst/>
                </c:spPr>
                <c:invertIfNegative val="0"/>
                <c:cat>
                  <c:strRef>
                    <c:extLst>
                      <c:ext uri="{02D57815-91ED-43cb-92C2-25804820EDAC}">
                        <c15:formulaRef>
                          <c15:sqref>OTD!$B$22:$M$22</c15:sqref>
                        </c15:formulaRef>
                      </c:ext>
                    </c:extLst>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extLst>
                      <c:ext uri="{02D57815-91ED-43cb-92C2-25804820EDAC}">
                        <c15:formulaRef>
                          <c15:sqref>OTD!$B$23:$O$23</c15:sqref>
                        </c15:formulaRef>
                      </c:ext>
                    </c:extLst>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C9FC-4113-8FD2-DF13506AF921}"/>
                  </c:ext>
                </c:extLst>
              </c15:ser>
            </c15:filteredBarSeries>
          </c:ext>
        </c:extLst>
      </c:barChart>
      <c:catAx>
        <c:axId val="174476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433863"/>
        <c:crosses val="autoZero"/>
        <c:auto val="1"/>
        <c:lblAlgn val="ctr"/>
        <c:lblOffset val="100"/>
        <c:noMultiLvlLbl val="0"/>
      </c:catAx>
      <c:valAx>
        <c:axId val="87743386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63912"/>
        <c:crosses val="autoZero"/>
        <c:crossBetween val="between"/>
      </c:valAx>
      <c:spPr>
        <a:noFill/>
        <a:ln>
          <a:noFill/>
        </a:ln>
        <a:effectLst/>
      </c:spPr>
    </c:plotArea>
    <c:legend>
      <c:legendPos val="b"/>
      <c:layout>
        <c:manualLayout>
          <c:xMode val="edge"/>
          <c:yMode val="edge"/>
          <c:x val="0.80700174869407215"/>
          <c:y val="6.9381940784826804E-2"/>
          <c:w val="0.11202521172456748"/>
          <c:h val="0.11538542297597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OTD _ BOSCH Lohr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7"/>
          <c:order val="1"/>
          <c:tx>
            <c:strRef>
              <c:f>OTD!$A$29</c:f>
              <c:strCache>
                <c:ptCount val="1"/>
                <c:pt idx="0">
                  <c:v>OTD Qty %</c:v>
                </c:pt>
              </c:strCache>
            </c:strRef>
          </c:tx>
          <c:spPr>
            <a:solidFill>
              <a:srgbClr val="0070C0"/>
            </a:solidFill>
            <a:ln>
              <a:solidFill>
                <a:srgbClr val="0070C0"/>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OTD!$B$22:$M$22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OTD!$B$42:$M$42</c:f>
              <c:numCache>
                <c:formatCode>0%</c:formatCode>
                <c:ptCount val="12"/>
                <c:pt idx="0">
                  <c:v>0</c:v>
                </c:pt>
                <c:pt idx="1">
                  <c:v>0</c:v>
                </c:pt>
                <c:pt idx="2">
                  <c:v>0</c:v>
                </c:pt>
                <c:pt idx="3">
                  <c:v>0</c:v>
                </c:pt>
                <c:pt idx="4">
                  <c:v>0.62195121951219512</c:v>
                </c:pt>
                <c:pt idx="5">
                  <c:v>0.42857142857142855</c:v>
                </c:pt>
                <c:pt idx="6">
                  <c:v>0.53136531365313655</c:v>
                </c:pt>
                <c:pt idx="7">
                  <c:v>0.82499999999999996</c:v>
                </c:pt>
              </c:numCache>
            </c:numRef>
          </c:val>
          <c:extLst>
            <c:ext xmlns:c16="http://schemas.microsoft.com/office/drawing/2014/chart" uri="{C3380CC4-5D6E-409C-BE32-E72D297353CC}">
              <c16:uniqueId val="{00000000-B479-4DB5-9699-484FB63B53F3}"/>
            </c:ext>
          </c:extLst>
        </c:ser>
        <c:dLbls>
          <c:showLegendKey val="0"/>
          <c:showVal val="0"/>
          <c:showCatName val="0"/>
          <c:showSerName val="0"/>
          <c:showPercent val="0"/>
          <c:showBubbleSize val="0"/>
        </c:dLbls>
        <c:gapWidth val="219"/>
        <c:overlap val="-27"/>
        <c:axId val="1744763912"/>
        <c:axId val="877433863"/>
        <c:extLst>
          <c:ext xmlns:c15="http://schemas.microsoft.com/office/drawing/2012/chart" uri="{02D57815-91ED-43cb-92C2-25804820EDAC}">
            <c15:filteredBarSeries>
              <c15:ser>
                <c:idx val="0"/>
                <c:order val="0"/>
                <c:tx>
                  <c:strRef>
                    <c:extLst>
                      <c:ext uri="{02D57815-91ED-43cb-92C2-25804820EDAC}">
                        <c15:formulaRef>
                          <c15:sqref>OTD!$A$23</c15:sqref>
                        </c15:formulaRef>
                      </c:ext>
                    </c:extLst>
                    <c:strCache>
                      <c:ptCount val="1"/>
                    </c:strCache>
                  </c:strRef>
                </c:tx>
                <c:spPr>
                  <a:solidFill>
                    <a:schemeClr val="accent1"/>
                  </a:solidFill>
                  <a:ln>
                    <a:noFill/>
                  </a:ln>
                  <a:effectLst/>
                </c:spPr>
                <c:invertIfNegative val="0"/>
                <c:cat>
                  <c:strRef>
                    <c:extLst>
                      <c:ext uri="{02D57815-91ED-43cb-92C2-25804820EDAC}">
                        <c15:formulaRef>
                          <c15:sqref>OTD!$B$35:$M$35</c15:sqref>
                        </c15:formulaRef>
                      </c:ext>
                    </c:extLst>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extLst>
                      <c:ext uri="{02D57815-91ED-43cb-92C2-25804820EDAC}">
                        <c15:formulaRef>
                          <c15:sqref>OTD!$B$23:$O$23</c15:sqref>
                        </c15:formulaRef>
                      </c:ext>
                    </c:extLst>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B479-4DB5-9699-484FB63B53F3}"/>
                  </c:ext>
                </c:extLst>
              </c15:ser>
            </c15:filteredBarSeries>
          </c:ext>
        </c:extLst>
      </c:barChart>
      <c:catAx>
        <c:axId val="174476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433863"/>
        <c:crosses val="autoZero"/>
        <c:auto val="1"/>
        <c:lblAlgn val="ctr"/>
        <c:lblOffset val="100"/>
        <c:noMultiLvlLbl val="0"/>
      </c:catAx>
      <c:valAx>
        <c:axId val="87743386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63912"/>
        <c:crosses val="autoZero"/>
        <c:crossBetween val="between"/>
      </c:valAx>
      <c:spPr>
        <a:noFill/>
        <a:ln>
          <a:noFill/>
        </a:ln>
        <a:effectLst/>
      </c:spPr>
    </c:plotArea>
    <c:legend>
      <c:legendPos val="b"/>
      <c:layout>
        <c:manualLayout>
          <c:xMode val="edge"/>
          <c:yMode val="edge"/>
          <c:x val="0.80700174869407215"/>
          <c:y val="6.9381940784826804E-2"/>
          <c:w val="0.11202521172456748"/>
          <c:h val="0.11538542297597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OTD _ BOSCH Blaj</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7"/>
          <c:order val="1"/>
          <c:tx>
            <c:strRef>
              <c:f>OTD!$A$29</c:f>
              <c:strCache>
                <c:ptCount val="1"/>
                <c:pt idx="0">
                  <c:v>OTD Qty %</c:v>
                </c:pt>
              </c:strCache>
            </c:strRef>
          </c:tx>
          <c:spPr>
            <a:solidFill>
              <a:srgbClr val="0070C0"/>
            </a:solidFill>
            <a:ln>
              <a:solidFill>
                <a:srgbClr val="0070C0"/>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OTD!$B$22:$M$22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OTD!$B$55:$M$55</c:f>
              <c:numCache>
                <c:formatCode>0%</c:formatCode>
                <c:ptCount val="12"/>
                <c:pt idx="0">
                  <c:v>0</c:v>
                </c:pt>
                <c:pt idx="1">
                  <c:v>0</c:v>
                </c:pt>
                <c:pt idx="2">
                  <c:v>0</c:v>
                </c:pt>
                <c:pt idx="3">
                  <c:v>0</c:v>
                </c:pt>
                <c:pt idx="4">
                  <c:v>0.39800995024875624</c:v>
                </c:pt>
                <c:pt idx="5">
                  <c:v>0.27916666666666667</c:v>
                </c:pt>
                <c:pt idx="6">
                  <c:v>0.66666666666666663</c:v>
                </c:pt>
                <c:pt idx="7">
                  <c:v>0.61547344110854507</c:v>
                </c:pt>
              </c:numCache>
            </c:numRef>
          </c:val>
          <c:extLst>
            <c:ext xmlns:c16="http://schemas.microsoft.com/office/drawing/2014/chart" uri="{C3380CC4-5D6E-409C-BE32-E72D297353CC}">
              <c16:uniqueId val="{00000000-A2E9-438B-BA83-B169EDBE4E4D}"/>
            </c:ext>
          </c:extLst>
        </c:ser>
        <c:dLbls>
          <c:showLegendKey val="0"/>
          <c:showVal val="0"/>
          <c:showCatName val="0"/>
          <c:showSerName val="0"/>
          <c:showPercent val="0"/>
          <c:showBubbleSize val="0"/>
        </c:dLbls>
        <c:gapWidth val="219"/>
        <c:overlap val="-27"/>
        <c:axId val="1744763912"/>
        <c:axId val="877433863"/>
        <c:extLst>
          <c:ext xmlns:c15="http://schemas.microsoft.com/office/drawing/2012/chart" uri="{02D57815-91ED-43cb-92C2-25804820EDAC}">
            <c15:filteredBarSeries>
              <c15:ser>
                <c:idx val="0"/>
                <c:order val="0"/>
                <c:tx>
                  <c:strRef>
                    <c:extLst>
                      <c:ext uri="{02D57815-91ED-43cb-92C2-25804820EDAC}">
                        <c15:formulaRef>
                          <c15:sqref>OTD!$A$23</c15:sqref>
                        </c15:formulaRef>
                      </c:ext>
                    </c:extLst>
                    <c:strCache>
                      <c:ptCount val="1"/>
                    </c:strCache>
                  </c:strRef>
                </c:tx>
                <c:spPr>
                  <a:solidFill>
                    <a:schemeClr val="accent1"/>
                  </a:solidFill>
                  <a:ln>
                    <a:noFill/>
                  </a:ln>
                  <a:effectLst/>
                </c:spPr>
                <c:invertIfNegative val="0"/>
                <c:cat>
                  <c:strRef>
                    <c:extLst>
                      <c:ext uri="{02D57815-91ED-43cb-92C2-25804820EDAC}">
                        <c15:formulaRef>
                          <c15:sqref>OTD!$B$35:$M$35</c15:sqref>
                        </c15:formulaRef>
                      </c:ext>
                    </c:extLst>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extLst>
                      <c:ext uri="{02D57815-91ED-43cb-92C2-25804820EDAC}">
                        <c15:formulaRef>
                          <c15:sqref>OTD!$B$23:$O$23</c15:sqref>
                        </c15:formulaRef>
                      </c:ext>
                    </c:extLst>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A2E9-438B-BA83-B169EDBE4E4D}"/>
                  </c:ext>
                </c:extLst>
              </c15:ser>
            </c15:filteredBarSeries>
          </c:ext>
        </c:extLst>
      </c:barChart>
      <c:catAx>
        <c:axId val="174476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433863"/>
        <c:crosses val="autoZero"/>
        <c:auto val="1"/>
        <c:lblAlgn val="ctr"/>
        <c:lblOffset val="100"/>
        <c:noMultiLvlLbl val="0"/>
      </c:catAx>
      <c:valAx>
        <c:axId val="87743386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63912"/>
        <c:crosses val="autoZero"/>
        <c:crossBetween val="between"/>
      </c:valAx>
      <c:spPr>
        <a:noFill/>
        <a:ln>
          <a:noFill/>
        </a:ln>
        <a:effectLst/>
      </c:spPr>
    </c:plotArea>
    <c:legend>
      <c:legendPos val="b"/>
      <c:layout>
        <c:manualLayout>
          <c:xMode val="edge"/>
          <c:yMode val="edge"/>
          <c:x val="0.80700174869407215"/>
          <c:y val="6.9381940784826804E-2"/>
          <c:w val="0.11202521172456748"/>
          <c:h val="0.11538542297597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OTD _ BOSCH Homburg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7"/>
          <c:order val="1"/>
          <c:tx>
            <c:strRef>
              <c:f>OTD!$A$29</c:f>
              <c:strCache>
                <c:ptCount val="1"/>
                <c:pt idx="0">
                  <c:v>OTD Qty %</c:v>
                </c:pt>
              </c:strCache>
            </c:strRef>
          </c:tx>
          <c:spPr>
            <a:solidFill>
              <a:srgbClr val="0070C0"/>
            </a:solidFill>
            <a:ln>
              <a:solidFill>
                <a:srgbClr val="0070C0"/>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OTD!$B$22:$M$22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OTD!$B$68:$M$68</c:f>
              <c:numCache>
                <c:formatCode>0%</c:formatCode>
                <c:ptCount val="12"/>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769A-4E65-BAB2-EC0471730524}"/>
            </c:ext>
          </c:extLst>
        </c:ser>
        <c:dLbls>
          <c:showLegendKey val="0"/>
          <c:showVal val="0"/>
          <c:showCatName val="0"/>
          <c:showSerName val="0"/>
          <c:showPercent val="0"/>
          <c:showBubbleSize val="0"/>
        </c:dLbls>
        <c:gapWidth val="219"/>
        <c:overlap val="-27"/>
        <c:axId val="1744763912"/>
        <c:axId val="877433863"/>
        <c:extLst>
          <c:ext xmlns:c15="http://schemas.microsoft.com/office/drawing/2012/chart" uri="{02D57815-91ED-43cb-92C2-25804820EDAC}">
            <c15:filteredBarSeries>
              <c15:ser>
                <c:idx val="0"/>
                <c:order val="0"/>
                <c:tx>
                  <c:strRef>
                    <c:extLst>
                      <c:ext uri="{02D57815-91ED-43cb-92C2-25804820EDAC}">
                        <c15:formulaRef>
                          <c15:sqref>OTD!$A$23</c15:sqref>
                        </c15:formulaRef>
                      </c:ext>
                    </c:extLst>
                    <c:strCache>
                      <c:ptCount val="1"/>
                    </c:strCache>
                  </c:strRef>
                </c:tx>
                <c:spPr>
                  <a:solidFill>
                    <a:schemeClr val="accent1"/>
                  </a:solidFill>
                  <a:ln>
                    <a:noFill/>
                  </a:ln>
                  <a:effectLst/>
                </c:spPr>
                <c:invertIfNegative val="0"/>
                <c:cat>
                  <c:strRef>
                    <c:extLst>
                      <c:ext uri="{02D57815-91ED-43cb-92C2-25804820EDAC}">
                        <c15:formulaRef>
                          <c15:sqref>OTD!$B$35:$M$35</c15:sqref>
                        </c15:formulaRef>
                      </c:ext>
                    </c:extLst>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extLst>
                      <c:ext uri="{02D57815-91ED-43cb-92C2-25804820EDAC}">
                        <c15:formulaRef>
                          <c15:sqref>OTD!$B$23:$O$23</c15:sqref>
                        </c15:formulaRef>
                      </c:ext>
                    </c:extLst>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769A-4E65-BAB2-EC0471730524}"/>
                  </c:ext>
                </c:extLst>
              </c15:ser>
            </c15:filteredBarSeries>
          </c:ext>
        </c:extLst>
      </c:barChart>
      <c:catAx>
        <c:axId val="174476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433863"/>
        <c:crosses val="autoZero"/>
        <c:auto val="1"/>
        <c:lblAlgn val="ctr"/>
        <c:lblOffset val="100"/>
        <c:noMultiLvlLbl val="0"/>
      </c:catAx>
      <c:valAx>
        <c:axId val="87743386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63912"/>
        <c:crosses val="autoZero"/>
        <c:crossBetween val="between"/>
      </c:valAx>
      <c:spPr>
        <a:noFill/>
        <a:ln>
          <a:noFill/>
        </a:ln>
        <a:effectLst/>
      </c:spPr>
    </c:plotArea>
    <c:legend>
      <c:legendPos val="b"/>
      <c:layout>
        <c:manualLayout>
          <c:xMode val="edge"/>
          <c:yMode val="edge"/>
          <c:x val="0.80700174869407215"/>
          <c:y val="6.9381940784826804E-2"/>
          <c:w val="0.11202521172456748"/>
          <c:h val="0.11538542297597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[R-L-01 REGISTRU UNIC DE LIVRARI .xlsx]All OTD!PivotTable1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Evolution OTD / Month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OTD'!$C$6:$C$7</c:f>
              <c:strCache>
                <c:ptCount val="1"/>
                <c:pt idx="0">
                  <c:v>Late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'All OTD'!$B$8:$B$17</c:f>
              <c:multiLvlStrCache>
                <c:ptCount val="5"/>
                <c:lvl>
                  <c:pt idx="0">
                    <c:v>BOSCH Blaj</c:v>
                  </c:pt>
                  <c:pt idx="1">
                    <c:v>BOSCH Homburg</c:v>
                  </c:pt>
                  <c:pt idx="2">
                    <c:v>BOSCH Lohr</c:v>
                  </c:pt>
                  <c:pt idx="3">
                    <c:v>IGW</c:v>
                  </c:pt>
                  <c:pt idx="4">
                    <c:v>Schaeffler RO</c:v>
                  </c:pt>
                </c:lvl>
                <c:lvl>
                  <c:pt idx="0">
                    <c:v>October</c:v>
                  </c:pt>
                </c:lvl>
                <c:lvl>
                  <c:pt idx="0">
                    <c:v>2025</c:v>
                  </c:pt>
                </c:lvl>
              </c:multiLvlStrCache>
            </c:multiLvlStrRef>
          </c:cat>
          <c:val>
            <c:numRef>
              <c:f>'All OTD'!$C$8:$C$17</c:f>
              <c:numCache>
                <c:formatCode>0.00%</c:formatCode>
                <c:ptCount val="5"/>
                <c:pt idx="0">
                  <c:v>0.7142857142857143</c:v>
                </c:pt>
                <c:pt idx="1">
                  <c:v>1</c:v>
                </c:pt>
                <c:pt idx="2">
                  <c:v>0.56521739130434778</c:v>
                </c:pt>
                <c:pt idx="3">
                  <c:v>1</c:v>
                </c:pt>
                <c:pt idx="4">
                  <c:v>0.13924050632911392</c:v>
                </c:pt>
              </c:numCache>
            </c:numRef>
          </c:val>
          <c:extLst>
            <c:ext xmlns:c16="http://schemas.microsoft.com/office/drawing/2014/chart" uri="{C3380CC4-5D6E-409C-BE32-E72D297353CC}">
              <c16:uniqueId val="{00000000-3485-4D0C-AD8D-2692DAA00E67}"/>
            </c:ext>
          </c:extLst>
        </c:ser>
        <c:ser>
          <c:idx val="1"/>
          <c:order val="1"/>
          <c:tx>
            <c:strRef>
              <c:f>'All OTD'!$D$6:$D$7</c:f>
              <c:strCache>
                <c:ptCount val="1"/>
                <c:pt idx="0">
                  <c:v>On Time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'All OTD'!$B$8:$B$17</c:f>
              <c:multiLvlStrCache>
                <c:ptCount val="5"/>
                <c:lvl>
                  <c:pt idx="0">
                    <c:v>BOSCH Blaj</c:v>
                  </c:pt>
                  <c:pt idx="1">
                    <c:v>BOSCH Homburg</c:v>
                  </c:pt>
                  <c:pt idx="2">
                    <c:v>BOSCH Lohr</c:v>
                  </c:pt>
                  <c:pt idx="3">
                    <c:v>IGW</c:v>
                  </c:pt>
                  <c:pt idx="4">
                    <c:v>Schaeffler RO</c:v>
                  </c:pt>
                </c:lvl>
                <c:lvl>
                  <c:pt idx="0">
                    <c:v>October</c:v>
                  </c:pt>
                </c:lvl>
                <c:lvl>
                  <c:pt idx="0">
                    <c:v>2025</c:v>
                  </c:pt>
                </c:lvl>
              </c:multiLvlStrCache>
            </c:multiLvlStrRef>
          </c:cat>
          <c:val>
            <c:numRef>
              <c:f>'All OTD'!$D$8:$D$17</c:f>
              <c:numCache>
                <c:formatCode>0.00%</c:formatCode>
                <c:ptCount val="5"/>
                <c:pt idx="0">
                  <c:v>0.2857142857142857</c:v>
                </c:pt>
                <c:pt idx="1">
                  <c:v>0</c:v>
                </c:pt>
                <c:pt idx="2">
                  <c:v>0.43478260869565216</c:v>
                </c:pt>
                <c:pt idx="3">
                  <c:v>0</c:v>
                </c:pt>
                <c:pt idx="4">
                  <c:v>0.86075949367088611</c:v>
                </c:pt>
              </c:numCache>
            </c:numRef>
          </c:val>
          <c:extLst>
            <c:ext xmlns:c16="http://schemas.microsoft.com/office/drawing/2014/chart" uri="{C3380CC4-5D6E-409C-BE32-E72D297353CC}">
              <c16:uniqueId val="{00000001-7F44-48C8-AD3D-D9A0B1BCC97A}"/>
            </c:ext>
          </c:extLst>
        </c:ser>
        <c:dLbls>
          <c:showLegendKey val="0"/>
          <c:showVal val="0"/>
          <c:showCatName val="0"/>
          <c:showSerName val="0"/>
          <c:showPercent val="0"/>
          <c:showBubbleSize val="0"/>
        </c:dLbls>
        <c:gapWidth val="219"/>
        <c:overlap val="-27"/>
        <c:axId val="2086631183"/>
        <c:axId val="2086635503"/>
      </c:barChart>
      <c:catAx>
        <c:axId val="208663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635503"/>
        <c:crosses val="autoZero"/>
        <c:auto val="1"/>
        <c:lblAlgn val="ctr"/>
        <c:lblOffset val="100"/>
        <c:noMultiLvlLbl val="0"/>
      </c:catAx>
      <c:valAx>
        <c:axId val="2086635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6311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paperSize="8"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[R-L-01 REGISTRU UNIC DE LIVRARI .xlsx]All OTD!PivotTable3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Evolution OTD /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OTD'!$J$6:$J$7</c:f>
              <c:strCache>
                <c:ptCount val="1"/>
                <c:pt idx="0">
                  <c:v>Late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'All OTD'!$I$8:$I$17</c:f>
              <c:multiLvlStrCache>
                <c:ptCount val="5"/>
                <c:lvl>
                  <c:pt idx="0">
                    <c:v>BOSCH Blaj</c:v>
                  </c:pt>
                  <c:pt idx="1">
                    <c:v>BOSCH Homburg</c:v>
                  </c:pt>
                  <c:pt idx="2">
                    <c:v>BOSCH Lohr</c:v>
                  </c:pt>
                  <c:pt idx="3">
                    <c:v>IGW</c:v>
                  </c:pt>
                  <c:pt idx="4">
                    <c:v>Schaeffler RO</c:v>
                  </c:pt>
                </c:lvl>
                <c:lvl>
                  <c:pt idx="0">
                    <c:v>October</c:v>
                  </c:pt>
                </c:lvl>
                <c:lvl>
                  <c:pt idx="0">
                    <c:v>2025</c:v>
                  </c:pt>
                </c:lvl>
              </c:multiLvlStrCache>
            </c:multiLvlStrRef>
          </c:cat>
          <c:val>
            <c:numRef>
              <c:f>'All OTD'!$J$8:$J$17</c:f>
              <c:numCache>
                <c:formatCode>General</c:formatCode>
                <c:ptCount val="5"/>
                <c:pt idx="0">
                  <c:v>5</c:v>
                </c:pt>
                <c:pt idx="1">
                  <c:v>1</c:v>
                </c:pt>
                <c:pt idx="2">
                  <c:v>13</c:v>
                </c:pt>
                <c:pt idx="3">
                  <c:v>1</c:v>
                </c:pt>
                <c:pt idx="4">
                  <c:v>11</c:v>
                </c:pt>
              </c:numCache>
            </c:numRef>
          </c:val>
          <c:extLst>
            <c:ext xmlns:c16="http://schemas.microsoft.com/office/drawing/2014/chart" uri="{C3380CC4-5D6E-409C-BE32-E72D297353CC}">
              <c16:uniqueId val="{00000004-4229-454A-8654-4133E2E13DFA}"/>
            </c:ext>
          </c:extLst>
        </c:ser>
        <c:ser>
          <c:idx val="1"/>
          <c:order val="1"/>
          <c:tx>
            <c:strRef>
              <c:f>'All OTD'!$K$6:$K$7</c:f>
              <c:strCache>
                <c:ptCount val="1"/>
                <c:pt idx="0">
                  <c:v>On Time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'All OTD'!$I$8:$I$17</c:f>
              <c:multiLvlStrCache>
                <c:ptCount val="5"/>
                <c:lvl>
                  <c:pt idx="0">
                    <c:v>BOSCH Blaj</c:v>
                  </c:pt>
                  <c:pt idx="1">
                    <c:v>BOSCH Homburg</c:v>
                  </c:pt>
                  <c:pt idx="2">
                    <c:v>BOSCH Lohr</c:v>
                  </c:pt>
                  <c:pt idx="3">
                    <c:v>IGW</c:v>
                  </c:pt>
                  <c:pt idx="4">
                    <c:v>Schaeffler RO</c:v>
                  </c:pt>
                </c:lvl>
                <c:lvl>
                  <c:pt idx="0">
                    <c:v>October</c:v>
                  </c:pt>
                </c:lvl>
                <c:lvl>
                  <c:pt idx="0">
                    <c:v>2025</c:v>
                  </c:pt>
                </c:lvl>
              </c:multiLvlStrCache>
            </c:multiLvlStrRef>
          </c:cat>
          <c:val>
            <c:numRef>
              <c:f>'All OTD'!$K$8:$K$17</c:f>
              <c:numCache>
                <c:formatCode>General</c:formatCode>
                <c:ptCount val="5"/>
                <c:pt idx="0">
                  <c:v>2</c:v>
                </c:pt>
                <c:pt idx="2">
                  <c:v>10</c:v>
                </c:pt>
                <c:pt idx="4">
                  <c:v>68</c:v>
                </c:pt>
              </c:numCache>
            </c:numRef>
          </c:val>
          <c:extLst>
            <c:ext xmlns:c16="http://schemas.microsoft.com/office/drawing/2014/chart" uri="{C3380CC4-5D6E-409C-BE32-E72D297353CC}">
              <c16:uniqueId val="{00000001-2646-492E-B5E0-97BC01241948}"/>
            </c:ext>
          </c:extLst>
        </c:ser>
        <c:dLbls>
          <c:showLegendKey val="0"/>
          <c:showVal val="0"/>
          <c:showCatName val="0"/>
          <c:showSerName val="0"/>
          <c:showPercent val="0"/>
          <c:showBubbleSize val="0"/>
        </c:dLbls>
        <c:gapWidth val="219"/>
        <c:overlap val="-27"/>
        <c:axId val="2086631183"/>
        <c:axId val="2086635503"/>
      </c:barChart>
      <c:catAx>
        <c:axId val="208663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635503"/>
        <c:crosses val="autoZero"/>
        <c:auto val="1"/>
        <c:lblAlgn val="ctr"/>
        <c:lblOffset val="100"/>
        <c:noMultiLvlLbl val="0"/>
      </c:catAx>
      <c:valAx>
        <c:axId val="208663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6311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paperSize="8"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1.jpeg"/><Relationship Id="rId1" Type="http://schemas.openxmlformats.org/officeDocument/2006/relationships/chart" Target="../charts/chart4.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3</xdr:col>
      <xdr:colOff>952499</xdr:colOff>
      <xdr:row>0</xdr:row>
      <xdr:rowOff>28575</xdr:rowOff>
    </xdr:from>
    <xdr:to>
      <xdr:col>8</xdr:col>
      <xdr:colOff>432648</xdr:colOff>
      <xdr:row>10</xdr:row>
      <xdr:rowOff>147806</xdr:rowOff>
    </xdr:to>
    <mc:AlternateContent xmlns:mc="http://schemas.openxmlformats.org/markup-compatibility/2006" xmlns:a14="http://schemas.microsoft.com/office/drawing/2010/main">
      <mc:Choice Requires="a14">
        <xdr:graphicFrame macro="">
          <xdr:nvGraphicFramePr>
            <xdr:cNvPr id="2" name="CUSTOMER 4">
              <a:extLst>
                <a:ext uri="{FF2B5EF4-FFF2-40B4-BE49-F238E27FC236}">
                  <a16:creationId xmlns:a16="http://schemas.microsoft.com/office/drawing/2014/main" id="{0B0265B6-3390-4165-A979-F299FAC95C35}"/>
                </a:ext>
              </a:extLst>
            </xdr:cNvPr>
            <xdr:cNvGraphicFramePr/>
          </xdr:nvGraphicFramePr>
          <xdr:xfrm>
            <a:off x="0" y="0"/>
            <a:ext cx="0" cy="0"/>
          </xdr:xfrm>
          <a:graphic>
            <a:graphicData uri="http://schemas.microsoft.com/office/drawing/2010/slicer">
              <sle:slicer xmlns:sle="http://schemas.microsoft.com/office/drawing/2010/slicer" name="CUSTOMER 4"/>
            </a:graphicData>
          </a:graphic>
        </xdr:graphicFrame>
      </mc:Choice>
      <mc:Fallback xmlns="">
        <xdr:sp macro="" textlink="">
          <xdr:nvSpPr>
            <xdr:cNvPr id="0" name=""/>
            <xdr:cNvSpPr>
              <a:spLocks noTextEdit="1"/>
            </xdr:cNvSpPr>
          </xdr:nvSpPr>
          <xdr:spPr>
            <a:xfrm>
              <a:off x="6203575" y="38100"/>
              <a:ext cx="3794124" cy="18874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319208</xdr:colOff>
      <xdr:row>0</xdr:row>
      <xdr:rowOff>145919</xdr:rowOff>
    </xdr:from>
    <xdr:to>
      <xdr:col>1</xdr:col>
      <xdr:colOff>2129342</xdr:colOff>
      <xdr:row>7</xdr:row>
      <xdr:rowOff>1</xdr:rowOff>
    </xdr:to>
    <mc:AlternateContent xmlns:mc="http://schemas.openxmlformats.org/markup-compatibility/2006" xmlns:a14="http://schemas.microsoft.com/office/drawing/2010/main">
      <mc:Choice Requires="a14">
        <xdr:graphicFrame macro="">
          <xdr:nvGraphicFramePr>
            <xdr:cNvPr id="3" name="Month 2">
              <a:extLst>
                <a:ext uri="{FF2B5EF4-FFF2-40B4-BE49-F238E27FC236}">
                  <a16:creationId xmlns:a16="http://schemas.microsoft.com/office/drawing/2014/main" id="{5B5F02AA-02C0-4B0C-B307-AA3CD9A7D6F7}"/>
                </a:ext>
                <a:ext uri="{147F2762-F138-4A5C-976F-8EAC2B608ADB}">
                  <a16:predDERef xmlns:a16="http://schemas.microsoft.com/office/drawing/2014/main" pred="{D37F933D-64EC-13B1-BA02-EEC5E80D8E34}"/>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932618" y="147824"/>
              <a:ext cx="1798704" cy="1162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737726</xdr:colOff>
      <xdr:row>0</xdr:row>
      <xdr:rowOff>0</xdr:rowOff>
    </xdr:from>
    <xdr:to>
      <xdr:col>11</xdr:col>
      <xdr:colOff>48075</xdr:colOff>
      <xdr:row>7</xdr:row>
      <xdr:rowOff>71494</xdr:rowOff>
    </xdr:to>
    <mc:AlternateContent xmlns:mc="http://schemas.openxmlformats.org/markup-compatibility/2006" xmlns:a14="http://schemas.microsoft.com/office/drawing/2010/main">
      <mc:Choice Requires="a14">
        <xdr:graphicFrame macro="">
          <xdr:nvGraphicFramePr>
            <xdr:cNvPr id="4" name="YEAR 2">
              <a:extLst>
                <a:ext uri="{FF2B5EF4-FFF2-40B4-BE49-F238E27FC236}">
                  <a16:creationId xmlns:a16="http://schemas.microsoft.com/office/drawing/2014/main" id="{32460578-FE96-4D3F-B07A-B2AF7D119CBE}"/>
                </a:ext>
                <a:ext uri="{147F2762-F138-4A5C-976F-8EAC2B608ADB}">
                  <a16:predDERef xmlns:a16="http://schemas.microsoft.com/office/drawing/2014/main" pred="{5B5F02AA-02C0-4B0C-B307-AA3CD9A7D6F7}"/>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114440" y="0"/>
              <a:ext cx="1669506" cy="1395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16727</xdr:colOff>
      <xdr:row>0</xdr:row>
      <xdr:rowOff>40568</xdr:rowOff>
    </xdr:from>
    <xdr:to>
      <xdr:col>15</xdr:col>
      <xdr:colOff>784540</xdr:colOff>
      <xdr:row>7</xdr:row>
      <xdr:rowOff>110717</xdr:rowOff>
    </xdr:to>
    <mc:AlternateContent xmlns:mc="http://schemas.openxmlformats.org/markup-compatibility/2006" xmlns:a14="http://schemas.microsoft.com/office/drawing/2010/main">
      <mc:Choice Requires="a14">
        <xdr:graphicFrame macro="">
          <xdr:nvGraphicFramePr>
            <xdr:cNvPr id="7" name="Product Family 7">
              <a:extLst>
                <a:ext uri="{FF2B5EF4-FFF2-40B4-BE49-F238E27FC236}">
                  <a16:creationId xmlns:a16="http://schemas.microsoft.com/office/drawing/2014/main" id="{CADDFE3C-13EF-A4E7-6B58-1A3571D9CC05}"/>
                </a:ext>
                <a:ext uri="{147F2762-F138-4A5C-976F-8EAC2B608ADB}">
                  <a16:predDERef xmlns:a16="http://schemas.microsoft.com/office/drawing/2014/main" pred="{32460578-FE96-4D3F-B07A-B2AF7D119CBE}"/>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duct Family 7"/>
            </a:graphicData>
          </a:graphic>
        </xdr:graphicFrame>
      </mc:Choice>
      <mc:Fallback xmlns="">
        <xdr:sp macro="" textlink="">
          <xdr:nvSpPr>
            <xdr:cNvPr id="0" name=""/>
            <xdr:cNvSpPr>
              <a:spLocks noTextEdit="1"/>
            </xdr:cNvSpPr>
          </xdr:nvSpPr>
          <xdr:spPr>
            <a:xfrm>
              <a:off x="13550377" y="40568"/>
              <a:ext cx="3178213" cy="1396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60960</xdr:colOff>
      <xdr:row>0</xdr:row>
      <xdr:rowOff>137161</xdr:rowOff>
    </xdr:from>
    <xdr:to>
      <xdr:col>7</xdr:col>
      <xdr:colOff>758271</xdr:colOff>
      <xdr:row>11</xdr:row>
      <xdr:rowOff>0</xdr:rowOff>
    </xdr:to>
    <mc:AlternateContent xmlns:mc="http://schemas.openxmlformats.org/markup-compatibility/2006" xmlns:a14="http://schemas.microsoft.com/office/drawing/2010/main">
      <mc:Choice Requires="a14">
        <xdr:graphicFrame macro="">
          <xdr:nvGraphicFramePr>
            <xdr:cNvPr id="2" name="CUSTOMER 3">
              <a:extLst>
                <a:ext uri="{FF2B5EF4-FFF2-40B4-BE49-F238E27FC236}">
                  <a16:creationId xmlns:a16="http://schemas.microsoft.com/office/drawing/2014/main" id="{67C6CB4D-CC49-41B3-BFBC-55E71E284CBA}"/>
                </a:ext>
              </a:extLst>
            </xdr:cNvPr>
            <xdr:cNvGraphicFramePr/>
          </xdr:nvGraphicFramePr>
          <xdr:xfrm>
            <a:off x="0" y="0"/>
            <a:ext cx="0" cy="0"/>
          </xdr:xfrm>
          <a:graphic>
            <a:graphicData uri="http://schemas.microsoft.com/office/drawing/2010/slicer">
              <sle:slicer xmlns:sle="http://schemas.microsoft.com/office/drawing/2010/slicer" name="CUSTOMER 3"/>
            </a:graphicData>
          </a:graphic>
        </xdr:graphicFrame>
      </mc:Choice>
      <mc:Fallback xmlns="">
        <xdr:sp macro="" textlink="">
          <xdr:nvSpPr>
            <xdr:cNvPr id="0" name=""/>
            <xdr:cNvSpPr>
              <a:spLocks noTextEdit="1"/>
            </xdr:cNvSpPr>
          </xdr:nvSpPr>
          <xdr:spPr>
            <a:xfrm>
              <a:off x="5268141" y="140971"/>
              <a:ext cx="4007848" cy="20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886644</xdr:colOff>
      <xdr:row>1</xdr:row>
      <xdr:rowOff>35217</xdr:rowOff>
    </xdr:from>
    <xdr:to>
      <xdr:col>15</xdr:col>
      <xdr:colOff>581750</xdr:colOff>
      <xdr:row>10</xdr:row>
      <xdr:rowOff>156465</xdr:rowOff>
    </xdr:to>
    <mc:AlternateContent xmlns:mc="http://schemas.openxmlformats.org/markup-compatibility/2006" xmlns:a14="http://schemas.microsoft.com/office/drawing/2010/main">
      <mc:Choice Requires="a14">
        <xdr:graphicFrame macro="">
          <xdr:nvGraphicFramePr>
            <xdr:cNvPr id="4" name="Product Family 2">
              <a:extLst>
                <a:ext uri="{FF2B5EF4-FFF2-40B4-BE49-F238E27FC236}">
                  <a16:creationId xmlns:a16="http://schemas.microsoft.com/office/drawing/2014/main" id="{A67B693D-3B0F-C7FF-704A-E8F8A82DA8B8}"/>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duct Family 2"/>
            </a:graphicData>
          </a:graphic>
        </xdr:graphicFrame>
      </mc:Choice>
      <mc:Fallback xmlns="">
        <xdr:sp macro="" textlink="">
          <xdr:nvSpPr>
            <xdr:cNvPr id="0" name=""/>
            <xdr:cNvSpPr>
              <a:spLocks noTextEdit="1"/>
            </xdr:cNvSpPr>
          </xdr:nvSpPr>
          <xdr:spPr>
            <a:xfrm>
              <a:off x="12355287" y="206667"/>
              <a:ext cx="5121088" cy="1862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449034</xdr:colOff>
      <xdr:row>33</xdr:row>
      <xdr:rowOff>133189</xdr:rowOff>
    </xdr:from>
    <xdr:to>
      <xdr:col>19</xdr:col>
      <xdr:colOff>843644</xdr:colOff>
      <xdr:row>58</xdr:row>
      <xdr:rowOff>81642</xdr:rowOff>
    </xdr:to>
    <xdr:graphicFrame macro="">
      <xdr:nvGraphicFramePr>
        <xdr:cNvPr id="5" name="Chart 4">
          <a:extLst>
            <a:ext uri="{FF2B5EF4-FFF2-40B4-BE49-F238E27FC236}">
              <a16:creationId xmlns:a16="http://schemas.microsoft.com/office/drawing/2014/main" id="{C2A2887A-868C-752E-A401-04D660C5E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47620</xdr:colOff>
      <xdr:row>1</xdr:row>
      <xdr:rowOff>38102</xdr:rowOff>
    </xdr:from>
    <xdr:to>
      <xdr:col>10</xdr:col>
      <xdr:colOff>619398</xdr:colOff>
      <xdr:row>5</xdr:row>
      <xdr:rowOff>110763</xdr:rowOff>
    </xdr:to>
    <mc:AlternateContent xmlns:mc="http://schemas.openxmlformats.org/markup-compatibility/2006" xmlns:a14="http://schemas.microsoft.com/office/drawing/2010/main">
      <mc:Choice Requires="a14">
        <xdr:graphicFrame macro="">
          <xdr:nvGraphicFramePr>
            <xdr:cNvPr id="6" name="Order Finished&#10;YES/NO">
              <a:extLst>
                <a:ext uri="{FF2B5EF4-FFF2-40B4-BE49-F238E27FC236}">
                  <a16:creationId xmlns:a16="http://schemas.microsoft.com/office/drawing/2014/main" id="{639B3996-A7E4-43D2-0D21-90D566A96BBE}"/>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Order Finished&#10;YES/NO"/>
            </a:graphicData>
          </a:graphic>
        </xdr:graphicFrame>
      </mc:Choice>
      <mc:Fallback xmlns="">
        <xdr:sp macro="" textlink="">
          <xdr:nvSpPr>
            <xdr:cNvPr id="0" name=""/>
            <xdr:cNvSpPr>
              <a:spLocks noTextEdit="1"/>
            </xdr:cNvSpPr>
          </xdr:nvSpPr>
          <xdr:spPr>
            <a:xfrm>
              <a:off x="9290957" y="228602"/>
              <a:ext cx="2758168" cy="8327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962301</xdr:colOff>
      <xdr:row>0</xdr:row>
      <xdr:rowOff>114300</xdr:rowOff>
    </xdr:from>
    <xdr:to>
      <xdr:col>19</xdr:col>
      <xdr:colOff>544012</xdr:colOff>
      <xdr:row>14</xdr:row>
      <xdr:rowOff>0</xdr:rowOff>
    </xdr:to>
    <mc:AlternateContent xmlns:mc="http://schemas.openxmlformats.org/markup-compatibility/2006" xmlns:a14="http://schemas.microsoft.com/office/drawing/2010/main">
      <mc:Choice Requires="a14">
        <xdr:graphicFrame macro="">
          <xdr:nvGraphicFramePr>
            <xdr:cNvPr id="3" name="Part Number 2">
              <a:extLst>
                <a:ext uri="{FF2B5EF4-FFF2-40B4-BE49-F238E27FC236}">
                  <a16:creationId xmlns:a16="http://schemas.microsoft.com/office/drawing/2014/main" id="{CBA83858-B874-9860-CD99-90B313E927B2}"/>
                </a:ext>
                <a:ext uri="{147F2762-F138-4A5C-976F-8EAC2B608ADB}">
                  <a16:predDERef xmlns:a16="http://schemas.microsoft.com/office/drawing/2014/main" pred="{639B3996-A7E4-43D2-0D21-90D566A96BBE}"/>
                </a:ext>
              </a:extLst>
            </xdr:cNvPr>
            <xdr:cNvGraphicFramePr/>
          </xdr:nvGraphicFramePr>
          <xdr:xfrm>
            <a:off x="0" y="0"/>
            <a:ext cx="0" cy="0"/>
          </xdr:xfrm>
          <a:graphic>
            <a:graphicData uri="http://schemas.microsoft.com/office/drawing/2010/slicer">
              <sle:slicer xmlns:sle="http://schemas.microsoft.com/office/drawing/2010/slicer" name="Part Number 2"/>
            </a:graphicData>
          </a:graphic>
        </xdr:graphicFrame>
      </mc:Choice>
      <mc:Fallback xmlns="">
        <xdr:sp macro="" textlink="">
          <xdr:nvSpPr>
            <xdr:cNvPr id="0" name=""/>
            <xdr:cNvSpPr>
              <a:spLocks noTextEdit="1"/>
            </xdr:cNvSpPr>
          </xdr:nvSpPr>
          <xdr:spPr>
            <a:xfrm>
              <a:off x="17811750" y="114300"/>
              <a:ext cx="32766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7</xdr:col>
      <xdr:colOff>355451</xdr:colOff>
      <xdr:row>0</xdr:row>
      <xdr:rowOff>148361</xdr:rowOff>
    </xdr:from>
    <xdr:to>
      <xdr:col>11</xdr:col>
      <xdr:colOff>86205</xdr:colOff>
      <xdr:row>9</xdr:row>
      <xdr:rowOff>148366</xdr:rowOff>
    </xdr:to>
    <mc:AlternateContent xmlns:mc="http://schemas.openxmlformats.org/markup-compatibility/2006" xmlns:a14="http://schemas.microsoft.com/office/drawing/2010/main">
      <mc:Choice Requires="a14">
        <xdr:graphicFrame macro="">
          <xdr:nvGraphicFramePr>
            <xdr:cNvPr id="7" name="CUSTOMER 5">
              <a:extLst>
                <a:ext uri="{FF2B5EF4-FFF2-40B4-BE49-F238E27FC236}">
                  <a16:creationId xmlns:a16="http://schemas.microsoft.com/office/drawing/2014/main" id="{FF858181-5E42-443B-8B96-E4CC9AA4C315}"/>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USTOMER 5"/>
            </a:graphicData>
          </a:graphic>
        </xdr:graphicFrame>
      </mc:Choice>
      <mc:Fallback xmlns="">
        <xdr:sp macro="" textlink="">
          <xdr:nvSpPr>
            <xdr:cNvPr id="0" name=""/>
            <xdr:cNvSpPr>
              <a:spLocks noTextEdit="1"/>
            </xdr:cNvSpPr>
          </xdr:nvSpPr>
          <xdr:spPr>
            <a:xfrm>
              <a:off x="7492029" y="148361"/>
              <a:ext cx="3814851" cy="1694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512575</xdr:colOff>
      <xdr:row>0</xdr:row>
      <xdr:rowOff>72549</xdr:rowOff>
    </xdr:from>
    <xdr:to>
      <xdr:col>15</xdr:col>
      <xdr:colOff>397960</xdr:colOff>
      <xdr:row>9</xdr:row>
      <xdr:rowOff>186849</xdr:rowOff>
    </xdr:to>
    <mc:AlternateContent xmlns:mc="http://schemas.openxmlformats.org/markup-compatibility/2006" xmlns:a14="http://schemas.microsoft.com/office/drawing/2010/main">
      <mc:Choice Requires="a14">
        <xdr:graphicFrame macro="">
          <xdr:nvGraphicFramePr>
            <xdr:cNvPr id="3" name="Product Family 3">
              <a:extLst>
                <a:ext uri="{FF2B5EF4-FFF2-40B4-BE49-F238E27FC236}">
                  <a16:creationId xmlns:a16="http://schemas.microsoft.com/office/drawing/2014/main" id="{C34C5526-C4A6-AA99-311F-16C8463DFB7C}"/>
                </a:ext>
                <a:ext uri="{147F2762-F138-4A5C-976F-8EAC2B608ADB}">
                  <a16:predDERef xmlns:a16="http://schemas.microsoft.com/office/drawing/2014/main" pred="{FF858181-5E42-443B-8B96-E4CC9AA4C315}"/>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duct Family 3"/>
            </a:graphicData>
          </a:graphic>
        </xdr:graphicFrame>
      </mc:Choice>
      <mc:Fallback xmlns="">
        <xdr:sp macro="" textlink="">
          <xdr:nvSpPr>
            <xdr:cNvPr id="0" name=""/>
            <xdr:cNvSpPr>
              <a:spLocks noTextEdit="1"/>
            </xdr:cNvSpPr>
          </xdr:nvSpPr>
          <xdr:spPr>
            <a:xfrm>
              <a:off x="11938524" y="72549"/>
              <a:ext cx="327894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745905</xdr:colOff>
      <xdr:row>0</xdr:row>
      <xdr:rowOff>72758</xdr:rowOff>
    </xdr:from>
    <xdr:to>
      <xdr:col>19</xdr:col>
      <xdr:colOff>473615</xdr:colOff>
      <xdr:row>9</xdr:row>
      <xdr:rowOff>187058</xdr:rowOff>
    </xdr:to>
    <mc:AlternateContent xmlns:mc="http://schemas.openxmlformats.org/markup-compatibility/2006" xmlns:a14="http://schemas.microsoft.com/office/drawing/2010/main">
      <mc:Choice Requires="a14">
        <xdr:graphicFrame macro="">
          <xdr:nvGraphicFramePr>
            <xdr:cNvPr id="4" name="Months">
              <a:extLst>
                <a:ext uri="{FF2B5EF4-FFF2-40B4-BE49-F238E27FC236}">
                  <a16:creationId xmlns:a16="http://schemas.microsoft.com/office/drawing/2014/main" id="{D5DB5BDF-7F9F-6869-E8F3-95A2E12D01B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5658161" y="63233"/>
              <a:ext cx="31039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6</xdr:col>
      <xdr:colOff>241936</xdr:colOff>
      <xdr:row>0</xdr:row>
      <xdr:rowOff>111441</xdr:rowOff>
    </xdr:from>
    <xdr:to>
      <xdr:col>10</xdr:col>
      <xdr:colOff>769126</xdr:colOff>
      <xdr:row>11</xdr:row>
      <xdr:rowOff>148112</xdr:rowOff>
    </xdr:to>
    <mc:AlternateContent xmlns:mc="http://schemas.openxmlformats.org/markup-compatibility/2006" xmlns:a14="http://schemas.microsoft.com/office/drawing/2010/main">
      <mc:Choice Requires="a14">
        <xdr:graphicFrame macro="">
          <xdr:nvGraphicFramePr>
            <xdr:cNvPr id="6" name="CUSTOMER 1">
              <a:extLst>
                <a:ext uri="{FF2B5EF4-FFF2-40B4-BE49-F238E27FC236}">
                  <a16:creationId xmlns:a16="http://schemas.microsoft.com/office/drawing/2014/main" id="{EA226510-B5CF-5DA8-95AD-3018E97DD835}"/>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USTOMER 1"/>
            </a:graphicData>
          </a:graphic>
        </xdr:graphicFrame>
      </mc:Choice>
      <mc:Fallback xmlns="">
        <xdr:sp macro="" textlink="">
          <xdr:nvSpPr>
            <xdr:cNvPr id="0" name=""/>
            <xdr:cNvSpPr>
              <a:spLocks noTextEdit="1"/>
            </xdr:cNvSpPr>
          </xdr:nvSpPr>
          <xdr:spPr>
            <a:xfrm>
              <a:off x="8386764" y="96201"/>
              <a:ext cx="4836775" cy="2134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835342</xdr:colOff>
      <xdr:row>0</xdr:row>
      <xdr:rowOff>0</xdr:rowOff>
    </xdr:from>
    <xdr:to>
      <xdr:col>5</xdr:col>
      <xdr:colOff>605790</xdr:colOff>
      <xdr:row>11</xdr:row>
      <xdr:rowOff>110490</xdr:rowOff>
    </xdr:to>
    <mc:AlternateContent xmlns:mc="http://schemas.openxmlformats.org/markup-compatibility/2006" xmlns:a14="http://schemas.microsoft.com/office/drawing/2010/main">
      <mc:Choice Requires="a14">
        <xdr:graphicFrame macro="">
          <xdr:nvGraphicFramePr>
            <xdr:cNvPr id="2" name="Product Family 1">
              <a:extLst>
                <a:ext uri="{FF2B5EF4-FFF2-40B4-BE49-F238E27FC236}">
                  <a16:creationId xmlns:a16="http://schemas.microsoft.com/office/drawing/2014/main" id="{E430684C-06E4-E38D-2B51-C30C6EA4475D}"/>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duct Family 1"/>
            </a:graphicData>
          </a:graphic>
        </xdr:graphicFrame>
      </mc:Choice>
      <mc:Fallback xmlns="">
        <xdr:sp macro="" textlink="">
          <xdr:nvSpPr>
            <xdr:cNvPr id="0" name=""/>
            <xdr:cNvSpPr>
              <a:spLocks noTextEdit="1"/>
            </xdr:cNvSpPr>
          </xdr:nvSpPr>
          <xdr:spPr>
            <a:xfrm>
              <a:off x="4238625" y="0"/>
              <a:ext cx="3493771" cy="22059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959170</xdr:colOff>
      <xdr:row>0</xdr:row>
      <xdr:rowOff>148115</xdr:rowOff>
    </xdr:from>
    <xdr:to>
      <xdr:col>13</xdr:col>
      <xdr:colOff>1186338</xdr:colOff>
      <xdr:row>10</xdr:row>
      <xdr:rowOff>79534</xdr:rowOff>
    </xdr:to>
    <mc:AlternateContent xmlns:mc="http://schemas.openxmlformats.org/markup-compatibility/2006" xmlns:a14="http://schemas.microsoft.com/office/drawing/2010/main">
      <mc:Choice Requires="a14">
        <xdr:graphicFrame macro="">
          <xdr:nvGraphicFramePr>
            <xdr:cNvPr id="3" name="Part Number">
              <a:extLst>
                <a:ext uri="{FF2B5EF4-FFF2-40B4-BE49-F238E27FC236}">
                  <a16:creationId xmlns:a16="http://schemas.microsoft.com/office/drawing/2014/main" id="{3D803C24-9C5D-43B5-99FB-B4AF36B4F086}"/>
                </a:ext>
                <a:ext uri="{147F2762-F138-4A5C-976F-8EAC2B608ADB}">
                  <a16:predDERef xmlns:a16="http://schemas.microsoft.com/office/drawing/2014/main" pred="{E430684C-06E4-E38D-2B51-C30C6EA4475D}"/>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art Number"/>
            </a:graphicData>
          </a:graphic>
        </xdr:graphicFrame>
      </mc:Choice>
      <mc:Fallback xmlns="">
        <xdr:sp macro="" textlink="">
          <xdr:nvSpPr>
            <xdr:cNvPr id="0" name=""/>
            <xdr:cNvSpPr>
              <a:spLocks noTextEdit="1"/>
            </xdr:cNvSpPr>
          </xdr:nvSpPr>
          <xdr:spPr>
            <a:xfrm>
              <a:off x="13331191" y="134780"/>
              <a:ext cx="3873340" cy="18535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17</xdr:col>
      <xdr:colOff>155018</xdr:colOff>
      <xdr:row>72</xdr:row>
      <xdr:rowOff>110727</xdr:rowOff>
    </xdr:from>
    <xdr:to>
      <xdr:col>34</xdr:col>
      <xdr:colOff>36669</xdr:colOff>
      <xdr:row>98</xdr:row>
      <xdr:rowOff>79534</xdr:rowOff>
    </xdr:to>
    <xdr:graphicFrame macro="">
      <xdr:nvGraphicFramePr>
        <xdr:cNvPr id="4" name="Chart 3">
          <a:extLst>
            <a:ext uri="{FF2B5EF4-FFF2-40B4-BE49-F238E27FC236}">
              <a16:creationId xmlns:a16="http://schemas.microsoft.com/office/drawing/2014/main" id="{99E61958-E592-8E09-02C0-55C6F7BB773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266223</xdr:colOff>
      <xdr:row>0</xdr:row>
      <xdr:rowOff>119062</xdr:rowOff>
    </xdr:from>
    <xdr:to>
      <xdr:col>16</xdr:col>
      <xdr:colOff>806290</xdr:colOff>
      <xdr:row>9</xdr:row>
      <xdr:rowOff>110490</xdr:rowOff>
    </xdr:to>
    <mc:AlternateContent xmlns:mc="http://schemas.openxmlformats.org/markup-compatibility/2006" xmlns:a14="http://schemas.microsoft.com/office/drawing/2010/main">
      <mc:Choice Requires="a14">
        <xdr:graphicFrame macro="">
          <xdr:nvGraphicFramePr>
            <xdr:cNvPr id="5" name="Months 1">
              <a:extLst>
                <a:ext uri="{FF2B5EF4-FFF2-40B4-BE49-F238E27FC236}">
                  <a16:creationId xmlns:a16="http://schemas.microsoft.com/office/drawing/2014/main" id="{34F229DD-0C38-A22A-7588-C381E7A90D2A}"/>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7459324" y="128587"/>
              <a:ext cx="3043237" cy="1681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869157</xdr:colOff>
      <xdr:row>18</xdr:row>
      <xdr:rowOff>67469</xdr:rowOff>
    </xdr:from>
    <xdr:to>
      <xdr:col>23</xdr:col>
      <xdr:colOff>789781</xdr:colOff>
      <xdr:row>44</xdr:row>
      <xdr:rowOff>162719</xdr:rowOff>
    </xdr:to>
    <xdr:graphicFrame macro="">
      <xdr:nvGraphicFramePr>
        <xdr:cNvPr id="7" name="Chart 6">
          <a:extLst>
            <a:ext uri="{FF2B5EF4-FFF2-40B4-BE49-F238E27FC236}">
              <a16:creationId xmlns:a16="http://schemas.microsoft.com/office/drawing/2014/main" id="{F0C93AC1-B6D3-362C-4EA1-9CD9CA542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7</xdr:row>
      <xdr:rowOff>9525</xdr:rowOff>
    </xdr:from>
    <xdr:to>
      <xdr:col>27</xdr:col>
      <xdr:colOff>0</xdr:colOff>
      <xdr:row>17</xdr:row>
      <xdr:rowOff>9525</xdr:rowOff>
    </xdr:to>
    <xdr:graphicFrame macro="">
      <xdr:nvGraphicFramePr>
        <xdr:cNvPr id="4" name="Chart 2">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xdr:col>
      <xdr:colOff>314325</xdr:colOff>
      <xdr:row>2</xdr:row>
      <xdr:rowOff>42170</xdr:rowOff>
    </xdr:to>
    <xdr:pic>
      <xdr:nvPicPr>
        <xdr:cNvPr id="3" name="Picture 4" descr="OLSTAL_logo_rosunegru">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257300" cy="4231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238125</xdr:colOff>
      <xdr:row>20</xdr:row>
      <xdr:rowOff>180975</xdr:rowOff>
    </xdr:from>
    <xdr:to>
      <xdr:col>27</xdr:col>
      <xdr:colOff>9525</xdr:colOff>
      <xdr:row>30</xdr:row>
      <xdr:rowOff>0</xdr:rowOff>
    </xdr:to>
    <xdr:graphicFrame macro="">
      <xdr:nvGraphicFramePr>
        <xdr:cNvPr id="88" name="Chart 1">
          <a:extLst>
            <a:ext uri="{FF2B5EF4-FFF2-40B4-BE49-F238E27FC236}">
              <a16:creationId xmlns:a16="http://schemas.microsoft.com/office/drawing/2014/main" id="{1C925C52-4D28-04F9-1A05-6A15316B7BCB}"/>
            </a:ext>
            <a:ext uri="{147F2762-F138-4A5C-976F-8EAC2B608ADB}">
              <a16:predDERef xmlns:a16="http://schemas.microsoft.com/office/drawing/2014/main" pre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238125</xdr:colOff>
      <xdr:row>33</xdr:row>
      <xdr:rowOff>152400</xdr:rowOff>
    </xdr:from>
    <xdr:to>
      <xdr:col>27</xdr:col>
      <xdr:colOff>9525</xdr:colOff>
      <xdr:row>42</xdr:row>
      <xdr:rowOff>161925</xdr:rowOff>
    </xdr:to>
    <xdr:graphicFrame macro="">
      <xdr:nvGraphicFramePr>
        <xdr:cNvPr id="2" name="Chart 7">
          <a:extLst>
            <a:ext uri="{FF2B5EF4-FFF2-40B4-BE49-F238E27FC236}">
              <a16:creationId xmlns:a16="http://schemas.microsoft.com/office/drawing/2014/main" id="{E34630C5-503E-435D-B1BF-7120F0EF4C09}"/>
            </a:ext>
            <a:ext uri="{147F2762-F138-4A5C-976F-8EAC2B608ADB}">
              <a16:predDERef xmlns:a16="http://schemas.microsoft.com/office/drawing/2014/main" pred="{1C925C52-4D28-04F9-1A05-6A15316B7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47</xdr:row>
      <xdr:rowOff>0</xdr:rowOff>
    </xdr:from>
    <xdr:to>
      <xdr:col>27</xdr:col>
      <xdr:colOff>19050</xdr:colOff>
      <xdr:row>56</xdr:row>
      <xdr:rowOff>9525</xdr:rowOff>
    </xdr:to>
    <xdr:graphicFrame macro="">
      <xdr:nvGraphicFramePr>
        <xdr:cNvPr id="94" name="Chart 8">
          <a:extLst>
            <a:ext uri="{FF2B5EF4-FFF2-40B4-BE49-F238E27FC236}">
              <a16:creationId xmlns:a16="http://schemas.microsoft.com/office/drawing/2014/main" id="{58CA1317-8896-4C48-98FF-3EE557EAD01D}"/>
            </a:ext>
            <a:ext uri="{147F2762-F138-4A5C-976F-8EAC2B608ADB}">
              <a16:predDERef xmlns:a16="http://schemas.microsoft.com/office/drawing/2014/main" pred="{E34630C5-503E-435D-B1BF-7120F0EF4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60</xdr:row>
      <xdr:rowOff>0</xdr:rowOff>
    </xdr:from>
    <xdr:to>
      <xdr:col>27</xdr:col>
      <xdr:colOff>19050</xdr:colOff>
      <xdr:row>69</xdr:row>
      <xdr:rowOff>9525</xdr:rowOff>
    </xdr:to>
    <xdr:graphicFrame macro="">
      <xdr:nvGraphicFramePr>
        <xdr:cNvPr id="97" name="Chart 9">
          <a:extLst>
            <a:ext uri="{FF2B5EF4-FFF2-40B4-BE49-F238E27FC236}">
              <a16:creationId xmlns:a16="http://schemas.microsoft.com/office/drawing/2014/main" id="{DF090D47-545B-4839-BA74-23B4DA326C9E}"/>
            </a:ext>
            <a:ext uri="{147F2762-F138-4A5C-976F-8EAC2B608ADB}">
              <a16:predDERef xmlns:a16="http://schemas.microsoft.com/office/drawing/2014/main" pred="{58CA1317-8896-4C48-98FF-3EE557EAD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9525</xdr:colOff>
      <xdr:row>0</xdr:row>
      <xdr:rowOff>76200</xdr:rowOff>
    </xdr:from>
    <xdr:to>
      <xdr:col>5</xdr:col>
      <xdr:colOff>1075765</xdr:colOff>
      <xdr:row>3</xdr:row>
      <xdr:rowOff>56650</xdr:rowOff>
    </xdr:to>
    <xdr:pic>
      <xdr:nvPicPr>
        <xdr:cNvPr id="2" name="Picture 4" descr="OLSTAL_logo_rosunegru">
          <a:extLst>
            <a:ext uri="{FF2B5EF4-FFF2-40B4-BE49-F238E27FC236}">
              <a16:creationId xmlns:a16="http://schemas.microsoft.com/office/drawing/2014/main" id="{62D62779-E2C6-46B8-B419-A1FDB5B142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76200"/>
          <a:ext cx="2079625" cy="55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7</xdr:col>
      <xdr:colOff>210755</xdr:colOff>
      <xdr:row>0</xdr:row>
      <xdr:rowOff>33633</xdr:rowOff>
    </xdr:from>
    <xdr:to>
      <xdr:col>13</xdr:col>
      <xdr:colOff>126271</xdr:colOff>
      <xdr:row>10</xdr:row>
      <xdr:rowOff>34834</xdr:rowOff>
    </xdr:to>
    <mc:AlternateContent xmlns:mc="http://schemas.openxmlformats.org/markup-compatibility/2006" xmlns:a14="http://schemas.microsoft.com/office/drawing/2010/main">
      <mc:Choice Requires="a14">
        <xdr:graphicFrame macro="">
          <xdr:nvGraphicFramePr>
            <xdr:cNvPr id="2" name="CUSTOMER 2">
              <a:extLst>
                <a:ext uri="{FF2B5EF4-FFF2-40B4-BE49-F238E27FC236}">
                  <a16:creationId xmlns:a16="http://schemas.microsoft.com/office/drawing/2014/main" id="{EB194AD3-BBE6-CA01-2C98-6924F814AF8E}"/>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USTOMER 2"/>
            </a:graphicData>
          </a:graphic>
        </xdr:graphicFrame>
      </mc:Choice>
      <mc:Fallback xmlns="">
        <xdr:sp macro="" textlink="">
          <xdr:nvSpPr>
            <xdr:cNvPr id="0" name=""/>
            <xdr:cNvSpPr>
              <a:spLocks noTextEdit="1"/>
            </xdr:cNvSpPr>
          </xdr:nvSpPr>
          <xdr:spPr>
            <a:xfrm>
              <a:off x="10989174" y="33633"/>
              <a:ext cx="4247010" cy="1874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13</xdr:col>
      <xdr:colOff>241853</xdr:colOff>
      <xdr:row>0</xdr:row>
      <xdr:rowOff>73174</xdr:rowOff>
    </xdr:from>
    <xdr:to>
      <xdr:col>17</xdr:col>
      <xdr:colOff>257564</xdr:colOff>
      <xdr:row>7</xdr:row>
      <xdr:rowOff>71846</xdr:rowOff>
    </xdr:to>
    <mc:AlternateContent xmlns:mc="http://schemas.openxmlformats.org/markup-compatibility/2006" xmlns:a14="http://schemas.microsoft.com/office/drawing/2010/main">
      <mc:Choice Requires="a14">
        <xdr:graphicFrame macro="">
          <xdr:nvGraphicFramePr>
            <xdr:cNvPr id="3" name="Part Number 1">
              <a:extLst>
                <a:ext uri="{FF2B5EF4-FFF2-40B4-BE49-F238E27FC236}">
                  <a16:creationId xmlns:a16="http://schemas.microsoft.com/office/drawing/2014/main" id="{D041928B-43DD-4021-065F-795BD4664BA1}"/>
                </a:ext>
                <a:ext uri="{147F2762-F138-4A5C-976F-8EAC2B608ADB}">
                  <a16:predDERef xmlns:a16="http://schemas.microsoft.com/office/drawing/2014/main" pred="{EB194AD3-BBE6-CA01-2C98-6924F814AF8E}"/>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art Number 1"/>
            </a:graphicData>
          </a:graphic>
        </xdr:graphicFrame>
      </mc:Choice>
      <mc:Fallback xmlns="">
        <xdr:sp macro="" textlink="">
          <xdr:nvSpPr>
            <xdr:cNvPr id="0" name=""/>
            <xdr:cNvSpPr>
              <a:spLocks noTextEdit="1"/>
            </xdr:cNvSpPr>
          </xdr:nvSpPr>
          <xdr:spPr>
            <a:xfrm>
              <a:off x="14986089" y="73174"/>
              <a:ext cx="3366254" cy="1332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111209</xdr:colOff>
      <xdr:row>0</xdr:row>
      <xdr:rowOff>42392</xdr:rowOff>
    </xdr:from>
    <xdr:to>
      <xdr:col>6</xdr:col>
      <xdr:colOff>368914</xdr:colOff>
      <xdr:row>7</xdr:row>
      <xdr:rowOff>71574</xdr:rowOff>
    </xdr:to>
    <mc:AlternateContent xmlns:mc="http://schemas.openxmlformats.org/markup-compatibility/2006" xmlns:a14="http://schemas.microsoft.com/office/drawing/2010/main">
      <mc:Choice Requires="a14">
        <xdr:graphicFrame macro="">
          <xdr:nvGraphicFramePr>
            <xdr:cNvPr id="12" name="Product Family">
              <a:extLst>
                <a:ext uri="{FF2B5EF4-FFF2-40B4-BE49-F238E27FC236}">
                  <a16:creationId xmlns:a16="http://schemas.microsoft.com/office/drawing/2014/main" id="{D2308C45-63B5-FD30-B7F3-0AD412FD69EF}"/>
                </a:ext>
                <a:ext uri="{147F2762-F138-4A5C-976F-8EAC2B608ADB}">
                  <a16:predDERef xmlns:a16="http://schemas.microsoft.com/office/drawing/2014/main" pred="{D041928B-43DD-4021-065F-795BD4664BA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duct Family"/>
            </a:graphicData>
          </a:graphic>
        </xdr:graphicFrame>
      </mc:Choice>
      <mc:Fallback xmlns="">
        <xdr:sp macro="" textlink="">
          <xdr:nvSpPr>
            <xdr:cNvPr id="0" name=""/>
            <xdr:cNvSpPr>
              <a:spLocks noTextEdit="1"/>
            </xdr:cNvSpPr>
          </xdr:nvSpPr>
          <xdr:spPr>
            <a:xfrm>
              <a:off x="6707664" y="50012"/>
              <a:ext cx="4087088" cy="1797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2019300</xdr:colOff>
      <xdr:row>0</xdr:row>
      <xdr:rowOff>110490</xdr:rowOff>
    </xdr:from>
    <xdr:to>
      <xdr:col>2</xdr:col>
      <xdr:colOff>1527810</xdr:colOff>
      <xdr:row>6</xdr:row>
      <xdr:rowOff>148590</xdr:rowOff>
    </xdr:to>
    <mc:AlternateContent xmlns:mc="http://schemas.openxmlformats.org/markup-compatibility/2006" xmlns:a14="http://schemas.microsoft.com/office/drawing/2010/main">
      <mc:Choice Requires="a14">
        <xdr:graphicFrame macro="">
          <xdr:nvGraphicFramePr>
            <xdr:cNvPr id="10" name="Years">
              <a:extLst>
                <a:ext uri="{FF2B5EF4-FFF2-40B4-BE49-F238E27FC236}">
                  <a16:creationId xmlns:a16="http://schemas.microsoft.com/office/drawing/2014/main" id="{E5A9D3A9-96E8-CA33-66CE-DCC9A5C55C7A}"/>
                </a:ext>
                <a:ext uri="{147F2762-F138-4A5C-976F-8EAC2B608ADB}">
                  <a16:predDERef xmlns:a16="http://schemas.microsoft.com/office/drawing/2014/main" pred="{D2308C45-63B5-FD30-B7F3-0AD412FD69E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624418" y="95250"/>
              <a:ext cx="2158813"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21771</xdr:colOff>
      <xdr:row>1</xdr:row>
      <xdr:rowOff>129269</xdr:rowOff>
    </xdr:from>
    <xdr:to>
      <xdr:col>2</xdr:col>
      <xdr:colOff>613115</xdr:colOff>
      <xdr:row>5</xdr:row>
      <xdr:rowOff>111375</xdr:rowOff>
    </xdr:to>
    <xdr:pic>
      <xdr:nvPicPr>
        <xdr:cNvPr id="3" name="Picture 4" descr="OLSTAL_logo_rosunegru">
          <a:extLst>
            <a:ext uri="{FF2B5EF4-FFF2-40B4-BE49-F238E27FC236}">
              <a16:creationId xmlns:a16="http://schemas.microsoft.com/office/drawing/2014/main" id="{1DD09190-DF99-4A33-B949-60E21D11B0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771" y="314326"/>
          <a:ext cx="2759869" cy="733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14</xdr:col>
      <xdr:colOff>261937</xdr:colOff>
      <xdr:row>11</xdr:row>
      <xdr:rowOff>35720</xdr:rowOff>
    </xdr:from>
    <xdr:to>
      <xdr:col>32</xdr:col>
      <xdr:colOff>892968</xdr:colOff>
      <xdr:row>30</xdr:row>
      <xdr:rowOff>166688</xdr:rowOff>
    </xdr:to>
    <xdr:graphicFrame macro="">
      <xdr:nvGraphicFramePr>
        <xdr:cNvPr id="4" name="Chart 3">
          <a:extLst>
            <a:ext uri="{FF2B5EF4-FFF2-40B4-BE49-F238E27FC236}">
              <a16:creationId xmlns:a16="http://schemas.microsoft.com/office/drawing/2014/main" id="{4D23389B-1423-CC1A-1D3F-B4CBCDAD9137}"/>
            </a:ext>
            <a:ext uri="{147F2762-F138-4A5C-976F-8EAC2B608ADB}">
              <a16:predDERef xmlns:a16="http://schemas.microsoft.com/office/drawing/2014/main" pred="{87A635EA-2507-ADB8-D96B-CFE323042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223838</xdr:colOff>
      <xdr:row>0</xdr:row>
      <xdr:rowOff>92872</xdr:rowOff>
    </xdr:from>
    <xdr:to>
      <xdr:col>31</xdr:col>
      <xdr:colOff>1032025</xdr:colOff>
      <xdr:row>10</xdr:row>
      <xdr:rowOff>71440</xdr:rowOff>
    </xdr:to>
    <mc:AlternateContent xmlns:mc="http://schemas.openxmlformats.org/markup-compatibility/2006" xmlns:a14="http://schemas.microsoft.com/office/drawing/2010/main">
      <mc:Choice Requires="a14">
        <xdr:graphicFrame macro="">
          <xdr:nvGraphicFramePr>
            <xdr:cNvPr id="7" name="CUSTOMER 9">
              <a:extLst>
                <a:ext uri="{FF2B5EF4-FFF2-40B4-BE49-F238E27FC236}">
                  <a16:creationId xmlns:a16="http://schemas.microsoft.com/office/drawing/2014/main" id="{3E6A36DF-32D9-1B99-A147-871C7C99C9C2}"/>
                </a:ext>
              </a:extLst>
            </xdr:cNvPr>
            <xdr:cNvGraphicFramePr/>
          </xdr:nvGraphicFramePr>
          <xdr:xfrm>
            <a:off x="0" y="0"/>
            <a:ext cx="0" cy="0"/>
          </xdr:xfrm>
          <a:graphic>
            <a:graphicData uri="http://schemas.microsoft.com/office/drawing/2010/slicer">
              <sle:slicer xmlns:sle="http://schemas.microsoft.com/office/drawing/2010/slicer" name="CUSTOMER 9"/>
            </a:graphicData>
          </a:graphic>
        </xdr:graphicFrame>
      </mc:Choice>
      <mc:Fallback xmlns="">
        <xdr:sp macro="" textlink="">
          <xdr:nvSpPr>
            <xdr:cNvPr id="0" name=""/>
            <xdr:cNvSpPr>
              <a:spLocks noTextEdit="1"/>
            </xdr:cNvSpPr>
          </xdr:nvSpPr>
          <xdr:spPr>
            <a:xfrm>
              <a:off x="18333244" y="92872"/>
              <a:ext cx="3086100" cy="18835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390525</xdr:colOff>
      <xdr:row>0</xdr:row>
      <xdr:rowOff>0</xdr:rowOff>
    </xdr:from>
    <xdr:to>
      <xdr:col>25</xdr:col>
      <xdr:colOff>190507</xdr:colOff>
      <xdr:row>10</xdr:row>
      <xdr:rowOff>33338</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73F0AB5A-10FD-10FE-7B5C-7E8ED8B92D3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201900" y="0"/>
              <a:ext cx="2764629" cy="1919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200025</xdr:colOff>
      <xdr:row>0</xdr:row>
      <xdr:rowOff>21431</xdr:rowOff>
    </xdr:from>
    <xdr:to>
      <xdr:col>18</xdr:col>
      <xdr:colOff>535776</xdr:colOff>
      <xdr:row>9</xdr:row>
      <xdr:rowOff>148590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0EC936F6-CD16-9595-DC7D-24E8F1705EC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534900" y="21431"/>
              <a:ext cx="2228849" cy="1835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321468</xdr:colOff>
      <xdr:row>32</xdr:row>
      <xdr:rowOff>47626</xdr:rowOff>
    </xdr:from>
    <xdr:to>
      <xdr:col>32</xdr:col>
      <xdr:colOff>1000125</xdr:colOff>
      <xdr:row>51</xdr:row>
      <xdr:rowOff>71438</xdr:rowOff>
    </xdr:to>
    <xdr:graphicFrame macro="">
      <xdr:nvGraphicFramePr>
        <xdr:cNvPr id="11" name="Chart 10">
          <a:extLst>
            <a:ext uri="{FF2B5EF4-FFF2-40B4-BE49-F238E27FC236}">
              <a16:creationId xmlns:a16="http://schemas.microsoft.com/office/drawing/2014/main" id="{8C4D4FF0-1B47-DB9A-3F09-A1C97C75B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D28DD1A-410B-46F4-970C-87FA6FDAB4DD}">
    <nsvFilter filterId="{6193FFF4-F07E-43FF-A708-E933B7E130BC}" ref="A9:AN2636" tableId="1">
      <columnFilter colId="0" id="{76EE33A3-711D-4AF6-BB9E-E9C8E2370CA0}">
        <filter colId="0">
          <x:filters>
            <x:filter val="Bosch Blaj"/>
            <x:filter val="Bosch Homburg"/>
            <x:filter val="Bosch Lohr"/>
          </x:filters>
        </filter>
      </columnFilter>
      <columnFilter colId="4" id="{84224D24-8179-48B4-AAEB-D33FA314A0AB}">
        <filter colId="4">
          <x:filters>
            <x:filter val="1535100044"/>
          </x:filters>
        </filter>
      </columnFilter>
      <columnFilter colId="10" id="{361972CE-7A1C-4149-8BB1-97E83AFBDFC0}">
        <filter colId="10">
          <x:filters>
            <x:dateGroupItem year="2025" dateTimeGrouping="year"/>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Elena Petrea" id="{EED243DF-74AF-4AE8-91E0-21101324CA34}" userId="S::elena.petrea@olstral.com::7b2d7b2c-acf1-4b39-ab8c-7664fa046903" providerId="AD"/>
  <person displayName="Ioana Jakubik" id="{A9148AE5-F811-4AA9-8687-B56C4ACB3A0D}" userId="S::ioana.jakubik@olstral.com::7b2d7b2c-acf1-4b39-ab8c-7664fa046903" providerId="AD"/>
  <person displayName="Madalina Stan" id="{7ADAC236-E9C7-4D3E-A629-C4DA09846E2E}" userId="S::madalina.stan@olstral.com::a99cceea-e8ca-4ffe-82fc-bd07d5444c54" providerId="AD"/>
  <person displayName="Monica Andriu" id="{BD43945B-C779-4E3E-8C58-43F4C780CBFF}" userId="S::monica.andriu@olstral.com::a99cceea-e8ca-4ffe-82fc-bd07d5444c5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ian.Cozac" refreshedDate="45967.655474537038" createdVersion="8" refreshedVersion="8" minRefreshableVersion="3" recordCount="2627" xr:uid="{8F457F48-CC76-4A6F-8ED0-AE1A31B4FAFC}">
  <cacheSource type="worksheet">
    <worksheetSource name="Table1"/>
  </cacheSource>
  <cacheFields count="50">
    <cacheField name="CUSTOMER" numFmtId="0">
      <sharedItems containsBlank="1" count="17">
        <s v="Schaeffler RO"/>
        <s v="Walterscheid"/>
        <s v="Edwards"/>
        <s v="BOSCH Homburg"/>
        <s v="IGW"/>
        <s v="Orbit"/>
        <s v="Zeiss"/>
        <s v="Liebherr"/>
        <s v="Elbit"/>
        <s v="Schaeffler DE"/>
        <s v="Sadev"/>
        <s v="BOSCH Blaj"/>
        <s v="BOSCH Lohr"/>
        <s v="PAS Technologies"/>
        <m/>
        <s v="Pas Tehnologies" u="1"/>
        <s v="Alfons Haar" u="1"/>
      </sharedItems>
    </cacheField>
    <cacheField name="Order Type" numFmtId="0">
      <sharedItems containsBlank="1" count="5">
        <s v="firm"/>
        <s v="forecast"/>
        <s v="contract"/>
        <m/>
        <s v="forecast " u="1"/>
      </sharedItems>
    </cacheField>
    <cacheField name="CUSTOMER PO#" numFmtId="0">
      <sharedItems containsBlank="1" containsMixedTypes="1" containsNumber="1" containsInteger="1" minValue="2521987" maxValue="7018682494" count="547">
        <n v="7000971923"/>
        <n v="5500000781"/>
        <n v="7018632237"/>
        <n v="4509573576"/>
        <n v="5500495155"/>
        <n v="5500495154"/>
        <n v="5500495153"/>
        <n v="4508756412"/>
        <n v="4509910041"/>
        <n v="5500500924"/>
        <n v="4508771389"/>
        <n v="4508769328"/>
        <n v="4508427493"/>
        <n v="4509031934"/>
        <n v="4508771613"/>
        <n v="5500552636"/>
        <n v="5500494575"/>
        <n v="5500549962"/>
        <n v="5500549888"/>
        <n v="5500494573"/>
        <n v="4509087469"/>
        <n v="4509087632"/>
        <n v="4509087646"/>
        <s v="RA119079"/>
        <s v="RA119846"/>
        <n v="4500011454"/>
        <n v="4500015909"/>
        <n v="4500014977"/>
        <n v="4500020484"/>
        <n v="7000968978"/>
        <n v="2521987"/>
        <s v="5060250239-7751237"/>
        <n v="2522449"/>
        <s v="test"/>
        <s v="9F0002312"/>
        <s v="9F0001830"/>
        <n v="7018614498"/>
        <n v="5325142"/>
        <n v="38651075"/>
        <n v="39546715"/>
        <n v="39717774"/>
        <n v="36508670"/>
        <n v="36570617"/>
        <n v="36636071"/>
        <n v="36636074"/>
        <n v="36880802"/>
        <n v="36880804"/>
        <n v="37146432"/>
        <n v="37146437"/>
        <n v="37146440"/>
        <n v="37331343"/>
        <n v="37331351"/>
        <n v="37520855"/>
        <n v="37872649"/>
        <n v="38951671"/>
        <n v="38979343"/>
        <n v="39080737"/>
        <n v="39080743"/>
        <n v="39593650"/>
        <n v="39717811"/>
        <n v="50333561"/>
        <n v="50333562"/>
        <n v="50333564"/>
        <n v="37931290"/>
        <n v="39546728"/>
        <n v="38555118"/>
        <n v="50374334"/>
        <n v="37931437"/>
        <n v="7018654120"/>
        <n v="7018682494"/>
        <n v="7018615373"/>
        <n v="7018646077"/>
        <s v="RA118470"/>
        <s v="RA118782"/>
        <n v="39007996"/>
        <n v="39124600"/>
        <n v="38623824"/>
        <n v="39384677"/>
        <n v="39365334"/>
        <n v="39839943"/>
        <m/>
        <n v="50430456"/>
        <n v="36762258"/>
        <n v="38623832"/>
        <n v="39359709"/>
        <n v="50016345"/>
        <n v="50041011"/>
        <n v="36541725"/>
        <n v="39007963"/>
        <n v="39454706"/>
        <n v="39659110"/>
        <n v="39852082"/>
        <n v="39839923"/>
        <n v="50340765"/>
        <n v="50347683"/>
        <n v="36541754"/>
        <n v="36550892"/>
        <n v="38594919"/>
        <n v="38698799"/>
        <n v="39546441"/>
        <n v="39745683"/>
        <n v="39754368"/>
        <n v="39839933"/>
        <n v="50380743"/>
        <n v="36618901"/>
        <n v="38973385"/>
        <n v="36653481"/>
        <n v="38973388"/>
        <n v="36368369"/>
        <n v="36895643"/>
        <n v="37392580"/>
        <s v="ACH-57301"/>
        <n v="50443246"/>
        <n v="36473916"/>
        <n v="36626472"/>
        <n v="36920678"/>
        <n v="37423922"/>
        <n v="38565465"/>
        <n v="36671455"/>
        <n v="36956361"/>
        <n v="37290739"/>
        <n v="37423933"/>
        <n v="36754988"/>
        <n v="37848147"/>
        <n v="38733787"/>
        <n v="39363921"/>
        <n v="36470109"/>
        <n v="37373984"/>
        <n v="37886571"/>
        <n v="38521910"/>
        <n v="50067741"/>
        <n v="36313644"/>
        <n v="36754936"/>
        <n v="37158756"/>
        <n v="36915968"/>
        <n v="37412823"/>
        <n v="37764010"/>
        <n v="38554437"/>
        <n v="38708622"/>
        <n v="5364229"/>
        <n v="36508461"/>
        <n v="37307401"/>
        <n v="6049234"/>
        <n v="36575603"/>
        <n v="37307397"/>
        <n v="6049236"/>
        <n v="36508379"/>
        <n v="37307399"/>
        <n v="6049235"/>
        <n v="36508525"/>
        <n v="37307402"/>
        <n v="6049233"/>
        <n v="36498988"/>
        <n v="37186920"/>
        <n v="6049232"/>
        <n v="37890712"/>
        <n v="37890714"/>
        <n v="36559483"/>
        <n v="36903285"/>
        <n v="37187238"/>
        <n v="37346485"/>
        <n v="5409659"/>
        <n v="39384075"/>
        <n v="37421123"/>
        <n v="36396926"/>
        <n v="37007023"/>
        <n v="37269840"/>
        <n v="37404984"/>
        <n v="37705431"/>
        <n v="37783861"/>
        <n v="37970966"/>
        <n v="38160981"/>
        <n v="38454901"/>
        <n v="38554800"/>
        <s v="de verificat cele 2 c-zi si adaugat+scazut"/>
        <n v="36368343"/>
        <n v="36396903"/>
        <n v="37007022"/>
        <n v="37269975"/>
        <n v="37404987"/>
        <n v="37614741"/>
        <n v="37841471"/>
        <n v="38160988"/>
        <n v="38438122"/>
        <n v="39050203"/>
        <n v="37421154"/>
        <n v="36396934"/>
        <n v="37007025"/>
        <n v="37269825"/>
        <n v="37404981"/>
        <n v="37614735"/>
        <n v="37783862"/>
        <n v="38160995"/>
        <n v="38454905"/>
        <n v="39384091"/>
        <n v="39517789"/>
        <n v="39584075"/>
        <n v="39601375"/>
        <n v="39812564"/>
        <n v="39880187"/>
        <n v="36528585"/>
        <n v="37930050"/>
        <n v="38143771"/>
        <n v="38708616"/>
        <n v="36508913"/>
        <n v="36789862"/>
        <n v="36854678"/>
        <n v="36861753"/>
        <n v="36861770"/>
        <n v="36861777"/>
        <n v="36861789"/>
        <n v="37069482"/>
        <n v="37069487"/>
        <n v="37521217"/>
        <n v="37672816"/>
        <n v="37672817"/>
        <n v="37672818"/>
        <n v="37672820"/>
        <n v="37672821"/>
        <n v="37935136"/>
        <n v="37520907"/>
        <n v="38082577"/>
        <n v="38216062"/>
        <n v="38397726"/>
        <n v="38537148"/>
        <n v="38676823"/>
        <n v="39072055"/>
        <n v="39319603"/>
        <n v="39536241"/>
        <n v="39726789"/>
        <n v="50105801"/>
        <n v="50234536"/>
        <n v="50472498"/>
        <n v="36488943"/>
        <n v="36488705"/>
        <n v="37977745"/>
        <n v="35698486"/>
        <n v="35545314"/>
        <n v="37373633"/>
        <n v="36654144"/>
        <n v="37347643"/>
        <n v="37349251"/>
        <n v="37357865"/>
        <n v="37347702"/>
        <n v="50483858"/>
        <n v="50483888"/>
        <n v="50483896"/>
        <n v="50483907"/>
        <n v="50589962"/>
        <n v="36658831"/>
        <n v="36771280"/>
        <n v="36936401"/>
        <n v="36927110"/>
        <n v="38594902"/>
        <n v="38623818"/>
        <n v="50167129"/>
        <n v="50209828"/>
        <n v="38582629"/>
        <n v="38623808"/>
        <n v="38782986"/>
        <n v="38770114"/>
        <n v="38840189"/>
        <n v="39501054"/>
        <n v="39686913"/>
        <s v=" "/>
        <n v="39804112"/>
        <n v="50034198"/>
        <n v="50191523"/>
        <n v="4510121125"/>
        <n v="4509720687"/>
        <n v="5500533447"/>
        <n v="5500511014"/>
        <n v="5500492363"/>
        <n v="5500511015"/>
        <n v="5500511016"/>
        <n v="5500511017"/>
        <n v="5500511018"/>
        <n v="5500511019"/>
        <n v="5500511020"/>
        <n v="5500511021"/>
        <n v="5500511022"/>
        <n v="5500511023"/>
        <n v="5500511024"/>
        <n v="5500511025"/>
        <n v="5500511026"/>
        <n v="5500511027"/>
        <n v="5500511029"/>
        <n v="5500511030"/>
        <n v="5500502906"/>
        <n v="5500492159"/>
        <n v="5500388109"/>
        <n v="4510627502"/>
        <n v="5500502907"/>
        <n v="4509909328"/>
        <n v="4509977134"/>
        <n v="4510242620"/>
        <n v="4510269283"/>
        <n v="4509909318"/>
        <n v="4509977130"/>
        <n v="5500533448"/>
        <n v="5500522506"/>
        <n v="5500511043"/>
        <n v="4509987295"/>
        <n v="4509995367"/>
        <n v="4510006030"/>
        <n v="4510183047"/>
        <n v="4510147358"/>
        <n v="4510147360"/>
        <n v="4509987292"/>
        <n v="4510005971"/>
        <n v="4510059753"/>
        <n v="4510151031"/>
        <n v="4510201488"/>
        <n v="4510200818"/>
        <n v="4510215149"/>
        <n v="4510278986"/>
        <n v="4510147363"/>
        <n v="4510819281"/>
        <n v="4510859926"/>
        <n v="4510900165"/>
        <n v="5500502905"/>
        <n v="5500511032"/>
        <n v="5500511033"/>
        <n v="5500511034"/>
        <n v="4510243273"/>
        <n v="5500511036"/>
        <n v="5500511037"/>
        <n v="5500511038"/>
        <n v="5500502908"/>
        <n v="5500511046"/>
        <n v="5500511045"/>
        <n v="4509008814"/>
        <n v="5500511040"/>
        <n v="5500511041"/>
        <n v="4510865668"/>
        <n v="5500511042"/>
        <n v="5500502903"/>
        <n v="4510046543"/>
        <n v="4510046550"/>
        <n v="4510463285"/>
        <n v="4510463272"/>
        <n v="4510603628"/>
        <n v="4510627533"/>
        <n v="4510949016"/>
        <n v="36528261"/>
        <n v="37430836"/>
        <n v="36541702"/>
        <n v="36895741"/>
        <n v="37405219"/>
        <n v="36771296"/>
        <n v="37243888"/>
        <n v="36509090"/>
        <n v="36509092"/>
        <n v="36509099"/>
        <n v="36509096"/>
        <n v="36635801"/>
        <n v="36635804"/>
        <n v="36635809"/>
        <n v="36635815"/>
        <n v="36635887"/>
        <n v="37380424"/>
        <n v="37380425"/>
        <n v="37380431"/>
        <n v="37380435"/>
        <n v="37521146"/>
        <n v="37520887"/>
        <n v="37672548"/>
        <n v="37672551"/>
        <n v="37672552"/>
        <n v="37672553"/>
        <n v="37672555"/>
        <n v="37871627"/>
        <n v="38215944"/>
        <n v="38474442"/>
        <n v="38676253"/>
        <n v="5410716"/>
        <n v="50087710"/>
        <n v="36635738"/>
        <n v="36635745"/>
        <n v="36635748"/>
        <n v="36635751"/>
        <n v="36635753"/>
        <n v="36635755"/>
        <n v="36635759"/>
        <n v="36635762"/>
        <n v="36856222"/>
        <n v="36856237"/>
        <n v="36856252"/>
        <n v="36856273"/>
        <n v="37069186"/>
        <n v="37069198"/>
        <n v="37069205"/>
        <n v="37069213"/>
        <n v="37069230"/>
        <n v="37327340"/>
        <n v="37327346"/>
        <n v="37521048"/>
        <n v="37672561"/>
        <n v="37672567"/>
        <n v="37672568"/>
        <n v="37672570"/>
        <n v="37871632"/>
        <n v="38036624"/>
        <n v="38215957"/>
        <n v="38474464"/>
        <n v="38676275"/>
        <n v="5410521"/>
        <n v="36340001"/>
        <n v="36508920"/>
        <n v="36508924"/>
        <n v="36508929"/>
        <n v="36508932"/>
        <n v="36508943"/>
        <n v="36508936"/>
        <n v="36508951"/>
        <n v="36635770"/>
        <n v="36635773"/>
        <n v="36635780"/>
        <n v="36635782"/>
        <n v="36635784"/>
        <n v="36635786"/>
        <n v="36635790"/>
        <n v="36635794"/>
        <n v="36856400"/>
        <n v="36856413"/>
        <n v="36862944"/>
        <n v="36862973"/>
        <n v="37069550"/>
        <n v="37069552"/>
        <n v="37069557"/>
        <n v="37069574"/>
        <n v="37069576"/>
        <n v="37521072"/>
        <n v="37672575"/>
        <n v="37672576"/>
        <n v="37672577"/>
        <n v="37672578"/>
        <n v="37871634"/>
        <n v="38036644"/>
        <n v="38215967"/>
        <n v="38474480"/>
        <n v="38676312"/>
        <n v="5410524"/>
        <n v="36508678"/>
        <n v="36508682"/>
        <n v="36635662"/>
        <n v="36635667"/>
        <n v="36635674"/>
        <n v="36635676"/>
        <n v="36642257"/>
        <n v="36635679"/>
        <n v="36635684"/>
        <n v="36635691"/>
        <n v="37064281"/>
        <n v="37064287"/>
        <n v="37064295"/>
        <n v="37327725"/>
        <n v="37327727"/>
        <n v="37327729"/>
        <n v="37327732"/>
        <n v="37672581"/>
        <n v="37672583"/>
        <n v="37672584"/>
        <n v="37672585"/>
        <n v="37672592"/>
        <n v="37871639"/>
        <n v="38036655"/>
        <n v="38215973"/>
        <n v="38397720"/>
        <n v="38474493"/>
        <n v="5410527"/>
        <n v="36508701"/>
        <n v="36508702"/>
        <n v="36508720"/>
        <n v="36508722"/>
        <n v="36508727"/>
        <n v="36508730"/>
        <n v="36508738"/>
        <n v="36508740"/>
        <n v="36635700"/>
        <n v="36635702"/>
        <n v="36635707"/>
        <n v="36635710"/>
        <n v="36635715"/>
        <n v="36635716"/>
        <n v="36635718"/>
        <n v="36635721"/>
        <n v="36856157"/>
        <n v="36856166"/>
        <n v="36856203"/>
        <n v="36856208"/>
        <n v="37069108"/>
        <n v="37069118"/>
        <n v="37069129"/>
        <n v="37327735"/>
        <n v="37327739"/>
        <n v="37672788"/>
        <n v="37672799"/>
        <n v="37672808"/>
        <n v="37871644"/>
        <n v="38036668"/>
        <n v="38215976"/>
        <n v="38474510"/>
        <n v="38676789"/>
        <n v="5410624"/>
        <n v="36635985"/>
        <n v="36635987"/>
        <n v="36635994"/>
        <n v="36636000"/>
        <n v="36636009"/>
        <n v="36636013"/>
        <n v="36636016"/>
        <n v="36861707"/>
        <n v="36861715"/>
        <n v="36861729"/>
        <n v="36861741"/>
        <n v="37069150"/>
        <n v="37069154"/>
        <n v="37069157"/>
        <n v="37521087"/>
        <n v="37672812"/>
        <n v="37672813"/>
        <n v="37672814"/>
        <n v="37871646"/>
        <n v="38036681"/>
        <n v="38215983"/>
        <n v="38397723"/>
        <n v="38474523"/>
        <n v="38676803"/>
        <n v="5410625"/>
        <n v="37673019"/>
        <s v="PASRO20240101"/>
        <s v="PASRO20250003"/>
        <s v="PASRO20240104"/>
        <s v="RA119068"/>
        <n v="36755266"/>
        <n v="37365158"/>
        <n v="37759578"/>
        <n v="38782051"/>
        <n v="36754880"/>
        <n v="37677887"/>
        <n v="38782047"/>
        <n v="5364233"/>
        <n v="5409640"/>
        <n v="37520877" u="1"/>
        <n v="7000968979" u="1"/>
        <n v="4510147367" u="1"/>
      </sharedItems>
    </cacheField>
    <cacheField name="Date PO_x000a_ dd.mm.yyyy" numFmtId="168">
      <sharedItems containsNonDate="0" containsDate="1" containsString="0" containsBlank="1" minDate="2021-04-23T00:00:00" maxDate="2025-11-07T00:00:00" count="214">
        <d v="2025-06-25T00:00:00"/>
        <d v="2024-01-29T00:00:00"/>
        <d v="2023-07-18T00:00:00"/>
        <d v="2024-03-18T00:00:00"/>
        <d v="2024-07-18T00:00:00"/>
        <d v="2025-04-02T00:00:00"/>
        <d v="2024-05-16T00:00:00"/>
        <d v="2025-10-09T00:00:00"/>
        <m/>
        <d v="2024-02-13T00:00:00"/>
        <d v="2025-03-12T00:00:00"/>
        <d v="2024-10-23T00:00:00"/>
        <d v="2024-09-18T00:00:00"/>
        <d v="2024-10-29T00:00:00"/>
        <d v="2024-05-13T00:00:00"/>
        <d v="2024-07-05T00:00:00"/>
        <d v="2024-11-14T00:00:00"/>
        <d v="2025-04-16T00:00:00"/>
        <d v="2025-03-18T00:00:00"/>
        <d v="2025-03-19T00:00:00"/>
        <d v="2025-09-18T00:00:00"/>
        <d v="2025-06-26T00:00:00"/>
        <d v="2025-05-11T00:00:00"/>
        <d v="2024-04-25T00:00:00"/>
        <d v="2025-06-19T00:00:00"/>
        <d v="2025-06-05T00:00:00"/>
        <d v="2024-06-30T00:00:00"/>
        <d v="2021-04-23T00:00:00"/>
        <d v="2021-04-24T00:00:00"/>
        <d v="2024-05-14T00:00:00"/>
        <d v="2024-05-15T00:00:00"/>
        <d v="2024-05-28T00:00:00"/>
        <d v="2024-08-23T00:00:00"/>
        <d v="2025-02-18T00:00:00"/>
        <d v="2025-06-24T00:00:00"/>
        <d v="2025-07-17T00:00:00"/>
        <d v="2024-03-27T00:00:00"/>
        <d v="2024-04-16T00:00:00"/>
        <d v="2024-04-18T00:00:00"/>
        <d v="2024-05-30T00:00:00"/>
        <d v="2024-07-03T00:00:00"/>
        <d v="2024-07-04T00:00:00"/>
        <d v="2024-07-25T00:00:00"/>
        <d v="2024-10-22T00:00:00"/>
        <d v="2025-03-28T00:00:00"/>
        <d v="2025-04-01T00:00:00"/>
        <d v="2025-04-30T00:00:00"/>
        <d v="2025-10-01T00:00:00"/>
        <d v="2024-10-31T00:00:00"/>
        <d v="2025-02-05T00:00:00"/>
        <d v="2025-10-08T00:00:00"/>
        <d v="2024-03-01T00:00:00"/>
        <d v="2023-07-10T00:00:00"/>
        <d v="2024-03-22T00:00:00"/>
        <d v="2024-04-17T00:00:00"/>
        <d v="2025-04-04T00:00:00"/>
        <d v="2025-02-13T00:00:00"/>
        <d v="2025-06-01T00:00:00"/>
        <d v="2025-06-02T00:00:00"/>
        <d v="2025-08-05T00:00:00"/>
        <d v="2025-07-22T00:00:00"/>
        <d v="2024-04-23T00:00:00"/>
        <d v="2025-08-21T00:00:00"/>
        <d v="2024-04-03T00:00:00"/>
        <d v="2025-06-13T00:00:00"/>
        <d v="2025-07-10T00:00:00"/>
        <d v="2025-10-02T00:00:00"/>
        <d v="2025-10-03T00:00:00"/>
        <d v="2024-04-04T00:00:00"/>
        <d v="2025-02-10T00:00:00"/>
        <d v="2025-02-25T00:00:00"/>
        <d v="2025-07-24T00:00:00"/>
        <d v="2025-03-31T00:00:00"/>
        <d v="2024-04-22T00:00:00"/>
        <d v="2024-03-06T00:00:00"/>
        <d v="2024-05-27T00:00:00"/>
        <d v="2024-08-02T00:00:00"/>
        <d v="2024-08-03T00:00:00"/>
        <d v="2025-10-20T00:00:00"/>
        <d v="2025-10-16T00:00:00"/>
        <d v="2024-03-21T00:00:00"/>
        <d v="2024-06-06T00:00:00"/>
        <d v="2024-06-07T00:00:00"/>
        <d v="2024-06-09T00:00:00"/>
        <d v="2024-06-10T00:00:00"/>
        <d v="2025-02-06T00:00:00"/>
        <d v="2024-06-04T00:00:00"/>
        <d v="2024-05-09T00:00:00"/>
        <d v="2024-10-18T00:00:00"/>
        <d v="2025-02-28T00:00:00"/>
        <d v="2024-07-31T00:00:00"/>
        <d v="2024-07-30T00:00:00"/>
        <d v="2025-01-30T00:00:00"/>
        <d v="2025-08-26T00:00:00"/>
        <d v="2024-02-28T00:00:00"/>
        <d v="2024-08-06T00:00:00"/>
        <d v="2024-10-04T00:00:00"/>
        <d v="2025-02-26T00:00:00"/>
        <d v="2024-03-20T00:00:00"/>
        <d v="2024-09-24T00:00:00"/>
        <d v="2024-09-12T00:00:00"/>
        <d v="2024-07-22T00:00:00"/>
        <d v="2024-04-09T00:00:00"/>
        <d v="2024-03-26T00:00:00"/>
        <d v="2024-10-24T00:00:00"/>
        <d v="2024-04-05T00:00:00"/>
        <d v="2024-06-03T00:00:00"/>
        <d v="2024-07-09T00:00:00"/>
        <d v="2024-07-26T00:00:00"/>
        <d v="2024-06-08T00:00:00"/>
        <d v="2025-07-15T00:00:00"/>
        <d v="2025-07-18T00:00:00"/>
        <d v="2025-08-22T00:00:00"/>
        <d v="2025-09-02T00:00:00"/>
        <d v="2024-08-07T00:00:00"/>
        <d v="2024-03-11T00:00:00"/>
        <d v="2024-06-18T00:00:00"/>
        <d v="2024-08-05T00:00:00"/>
        <d v="2025-01-20T00:00:00"/>
        <d v="2024-09-09T00:00:00"/>
        <d v="2024-10-17T00:00:00"/>
        <d v="2024-12-06T00:00:00"/>
        <d v="2025-01-16T00:00:00"/>
        <d v="2025-06-16T00:00:00"/>
        <d v="2024-10-08T00:00:00"/>
        <d v="2025-06-30T00:00:00"/>
        <d v="2025-07-02T00:00:00"/>
        <d v="2025-07-31T00:00:00"/>
        <d v="2025-08-11T00:00:00"/>
        <d v="2025-07-11T00:00:00"/>
        <d v="2024-04-01T00:00:00"/>
        <d v="2024-12-05T00:00:00"/>
        <d v="2024-05-07T00:00:00"/>
        <d v="2024-06-28T00:00:00"/>
        <d v="2024-11-01T00:00:00"/>
        <d v="2024-11-25T00:00:00"/>
        <d v="2024-12-09T00:00:00"/>
        <d v="2025-01-10T00:00:00"/>
        <d v="2025-02-03T00:00:00"/>
        <d v="2025-02-21T00:00:00"/>
        <d v="2025-06-23T00:00:00"/>
        <d v="2025-09-01T00:00:00"/>
        <d v="2025-09-19T00:00:00"/>
        <d v="2025-10-22T00:00:00"/>
        <d v="2024-03-25T00:00:00"/>
        <d v="2024-08-01T00:00:00"/>
        <d v="2024-04-24T00:00:00"/>
        <d v="2024-08-14T00:00:00"/>
        <d v="2024-08-15T00:00:00"/>
        <d v="2024-08-16T00:00:00"/>
        <d v="2024-07-01T00:00:00"/>
        <d v="2024-07-29T00:00:00"/>
        <d v="2024-07-27T00:00:00"/>
        <d v="2024-07-02T00:00:00"/>
        <d v="2025-10-23T00:00:00"/>
        <d v="2025-11-06T00:00:00"/>
        <d v="2024-07-28T00:00:00"/>
        <d v="2025-09-09T00:00:00"/>
        <d v="2025-09-08T00:00:00"/>
        <d v="2025-02-07T00:00:00"/>
        <d v="2025-03-06T00:00:00"/>
        <d v="2025-03-05T00:00:00"/>
        <d v="2025-03-13T00:00:00"/>
        <d v="2025-06-17T00:00:00"/>
        <d v="2025-07-30T00:00:00"/>
        <d v="2025-08-20T00:00:00"/>
        <d v="2025-09-12T00:00:00"/>
        <d v="2024-06-24T00:00:00"/>
        <d v="2023-10-18T00:00:00"/>
        <d v="2024-10-07T00:00:00"/>
        <d v="2025-09-24T00:00:00"/>
        <d v="2024-09-26T00:00:00"/>
        <d v="2024-11-04T00:00:00"/>
        <d v="2024-05-25T00:00:00"/>
        <d v="2024-05-26T00:00:00"/>
        <d v="2024-08-26T00:00:00"/>
        <d v="2023-10-09T00:00:00"/>
        <d v="2024-02-14T00:00:00"/>
        <d v="2024-09-02T00:00:00"/>
        <d v="2025-05-19T00:00:00"/>
        <d v="2025-05-13T00:00:00"/>
        <d v="2024-04-08T00:00:00"/>
        <d v="2024-07-23T00:00:00"/>
        <d v="2024-05-10T00:00:00"/>
        <d v="2024-08-12T00:00:00"/>
        <d v="2024-08-13T00:00:00"/>
        <d v="2025-08-04T00:00:00"/>
        <d v="2024-09-03T00:00:00"/>
        <d v="2024-04-29T00:00:00"/>
        <d v="2025-09-29T00:00:00"/>
        <d v="2024-11-11T00:00:00"/>
        <d v="2024-04-30T00:00:00"/>
        <d v="2025-04-03T00:00:00"/>
        <d v="2025-04-14T00:00:00"/>
        <d v="2024-07-12T00:00:00"/>
        <d v="2025-01-22T00:00:00"/>
        <d v="2025-08-28T00:00:00"/>
        <d v="2025-10-21T00:00:00"/>
        <d v="2024-07-24T00:00:00"/>
        <d v="2024-11-18T00:00:00"/>
        <d v="2024-05-29T00:00:00"/>
        <d v="2025-01-13T00:00:00"/>
        <d v="2024-04-19T00:00:00"/>
        <d v="2024-06-27T00:00:00"/>
        <d v="2024-10-30T00:00:00"/>
        <d v="2025-05-29T00:00:00"/>
        <d v="2025-10-07T00:00:00"/>
        <d v="2024-03-14T00:00:00"/>
        <d v="2025-01-14T00:00:00"/>
        <d v="2024-09-19T00:00:00"/>
        <d v="2022-09-12T00:00:00"/>
        <d v="2024-06-05T00:00:00" u="1"/>
        <d v="2024-10-06T00:00:00" u="1"/>
        <d v="2025-06-08T00:00:00" u="1"/>
      </sharedItems>
    </cacheField>
    <cacheField name="Part Number" numFmtId="0">
      <sharedItems containsBlank="1" containsMixedTypes="1" containsNumber="1" minValue="154805.12100000001" maxValue="1818509838" count="247">
        <n v="154805.12100000001"/>
        <n v="557809"/>
        <n v="32166161"/>
        <n v="32166162"/>
        <n v="1535100044"/>
        <n v="1535100045"/>
        <n v="1535100046"/>
        <n v="1813218040"/>
        <n v="1813218042"/>
        <n v="1813218050"/>
        <n v="1818509133"/>
        <n v="1818509138"/>
        <n v="1818509164"/>
        <n v="1818509172"/>
        <n v="1818509193"/>
        <n v="1818509251"/>
        <n v="1818509259"/>
        <n v="1818509265"/>
        <n v="1818509284"/>
        <n v="1818509289"/>
        <n v="1818509439"/>
        <n v="1818509497"/>
        <n v="1818509503"/>
        <n v="1818509508"/>
        <n v="1818509512"/>
        <n v="1818509516"/>
        <n v="1818509519"/>
        <n v="1818509554"/>
        <n v="1818509555"/>
        <n v="1818509563"/>
        <n v="1818509618"/>
        <n v="1818509634"/>
        <n v="1818509661"/>
        <n v="1818509665"/>
        <n v="1818509668"/>
        <n v="1818509669"/>
        <n v="1818509678"/>
        <n v="1818509680"/>
        <n v="1818509681"/>
        <n v="1818509682"/>
        <n v="1818509684"/>
        <n v="1818509690"/>
        <n v="1818509704"/>
        <n v="1818509718"/>
        <n v="1818509725"/>
        <n v="1818509748"/>
        <n v="1818509752"/>
        <n v="1818509763"/>
        <n v="1818509790"/>
        <n v="1818509812"/>
        <n v="1818509817"/>
        <n v="1818509822"/>
        <n v="1818509826"/>
        <n v="1818509830"/>
        <n v="1818509834"/>
        <n v="1818509838"/>
        <s v="10916528043501"/>
        <s v="10916532340009"/>
        <s v="10916532643530"/>
        <s v="154805.6-101 "/>
        <s v="26-1341"/>
        <s v="26-1397"/>
        <s v="302581-0860-000"/>
        <s v="302681-0360-000"/>
        <s v="302681-1031-000"/>
        <s v="302721-0405-000"/>
        <s v="39-0142"/>
        <s v="39-0143"/>
        <s v="39-0208"/>
        <s v="39-0214"/>
        <s v="39-0387"/>
        <s v="39-0388"/>
        <s v="39-0389"/>
        <s v="40-0087"/>
        <s v="41-0137"/>
        <s v="41-0140"/>
        <s v="44-0493"/>
        <s v="6773-0811"/>
        <s v="7028-1101-00"/>
        <s v="7028-1111-20"/>
        <s v="7028-1151-00"/>
        <s v="7028-1152-00"/>
        <s v="7028-1153-00"/>
        <s v="7028-1211-00"/>
        <s v="7028-1211-10"/>
        <s v="7028-1212-10"/>
        <s v="7028-1212-30"/>
        <s v="7028-1262-00"/>
        <s v="7028-1316-00"/>
        <s v="7028-1331-30"/>
        <s v="7028-1332-30"/>
        <s v="7028-1333-30"/>
        <s v="7028-1334-30"/>
        <s v="7028-1335-30"/>
        <s v="7028-1336-30"/>
        <s v="7028-1338-30"/>
        <s v="7028-1339-30"/>
        <s v="7028-1601-00"/>
        <s v="7028-1602-00"/>
        <s v="7028-1603-00"/>
        <s v="A74401057"/>
        <s v="AU.KB2045-B-0208-DRE"/>
        <s v="AU.KB3068-B-0208-DRE"/>
        <s v="AU.KB4080B-0208-ISB-WW1"/>
        <s v="AU.KB50100B-0208-ISB-WW1"/>
        <s v="B85300050"/>
        <s v="B8C000021"/>
        <s v="B8C000023"/>
        <s v="B8C000055"/>
        <s v="CZR0003076"/>
        <s v="CZR0015562"/>
        <s v="EDP KUH.6036-A-M-3001B _"/>
        <s v="EDP KUH.6217-B-M-3001 004"/>
        <s v="EDP KUH.6217-B-M-3001 004_"/>
        <s v="EDP KUH.6218-B-M-3001 004"/>
        <s v="EDP KUH.6220-A-M-3001 004"/>
        <s v="EDP KUH.6315-A-M-3001 004"/>
        <s v="EDP KUH.6316-A-M-3001 004"/>
        <s v="EDP KUH.6317-A-M-3001 004"/>
        <s v="EDP PL.LFDL52-B-0021 000"/>
        <s v="EDP PLLFDL52B-0011 000"/>
        <s v="EDS F-801631-1031.RKKM.ZL-M3A"/>
        <s v="EDS RKDK.N217-E-Y3-1042 000 AA"/>
        <s v="EJD0000017112"/>
        <s v="F1410103"/>
        <s v="F1520117"/>
        <s v="F-154085.6-111 /108 "/>
        <s v="F-155077-13-WW1"/>
        <s v="F-155077-43-WW1"/>
        <s v="F-229209-0022-WW1"/>
        <s v="F-229209-12-WW1"/>
        <s v="F-229461-12-WW1"/>
        <s v="F-235905-0013-WW1"/>
        <s v="F-235905-0042-WW1"/>
        <s v="F-320745-0321.APL.ACT"/>
        <s v="F-320745-1401.BZ.ACT"/>
        <s v="F-320745-1701.HUE.ACT"/>
        <s v="F-320745-1901.DL.ACT15"/>
        <s v="F-320745-9001.VSHR.ACT"/>
        <s v="F-552663-0011.AU.VU"/>
        <s v="F-552663-0041.IR.VU"/>
        <s v="F-552668.01-0012"/>
        <s v="F-552668.01-0013.AU.VA-MIL"/>
        <s v="F-552668.01-0014"/>
        <s v="F-552668-0022"/>
        <s v="F-552668-0024-DRE"/>
        <s v="F-552668-0043-MIL"/>
        <s v="F-552668-0044-DRE"/>
        <s v="F-552669-0022"/>
        <s v="F-556440-0013.AU.XU-WW1"/>
        <s v="F-607694-1038.TK.KWVE20BNL-ISB-WW1"/>
        <s v="F-625593.03-0005.PKO-WW1"/>
        <s v="F-625593.03-0005.PKO-WW1 - PPAP"/>
        <s v="F-688038.02-0111.W.WE36"/>
        <s v="F-688038.02-0121.SHB.WE36"/>
        <s v="F-688038.02-0211.W.WE36"/>
        <s v="F-688038.02-0311.W.WE36"/>
        <s v="F-688038.02-0411.WH.WE36"/>
        <s v="F-688038.02-0421.GEH.WE36"/>
        <s v="F-688038.02-0611.GEH.WE36"/>
        <s v="F-688038.02-0621.GEH.WE36"/>
        <s v="F-688038.02-0631.GEH.WE36"/>
        <s v="F-688038.02-0711.BZ.WE"/>
        <s v="F-688038.02-0721.SHB.WE36"/>
        <s v="F-688038.02-0731.SHB.WE36"/>
        <s v="F-688038.02-0811.GEH.WE36"/>
        <s v="F-688038.02-0821.GEH.WE36"/>
        <s v="F-688038.02-0831.SHB.WE36"/>
        <s v="F-688038.02-0911.BZ.WE"/>
        <s v="F-688038-0711.SHB.WE36"/>
        <s v="F-688040.02-0111.W.WE36"/>
        <s v="F-688040.02-0211.W.WE36"/>
        <s v="F-688040.02-0321.WH.WE"/>
        <s v="F-801632-1042.D140.RKDK.ZL-M3AA"/>
        <s v="F9037102"/>
        <s v="FAG KUH.6215-A-M-3001"/>
        <s v="FAG KUH.6312-M-3001"/>
        <s v="KUH.6326-M-3001"/>
        <s v="MSX.RWU25-E-0251-WW1"/>
        <s v="R900145251"/>
        <s v="R900147181"/>
        <s v="R900172405"/>
        <s v="R900305223"/>
        <s v="R900305228"/>
        <s v="R900305231"/>
        <s v="R900305232"/>
        <s v="R900305233"/>
        <s v="R900305236"/>
        <s v="R900305239"/>
        <s v="R900305240"/>
        <s v="R900305241"/>
        <s v="R900305244"/>
        <s v="R900305247"/>
        <s v="R900305248"/>
        <s v="R900320547"/>
        <s v="R900320551"/>
        <s v="R900324165"/>
        <s v="R900324167"/>
        <s v="R900542742"/>
        <s v="R900601576 - 519"/>
        <s v="R900601676 - 535"/>
        <s v="R900601678"/>
        <s v="R900687550"/>
        <s v="R900688220"/>
        <s v="R900699249"/>
        <s v="R900823749"/>
        <s v="R900831492"/>
        <s v="R900865757 - R900147181 V"/>
        <s v="R900865758 - R900145251 V"/>
        <s v="R901035906"/>
        <s v="R901075698"/>
        <s v="R901157145"/>
        <s v="R901157146"/>
        <s v="R901162946"/>
        <s v="R901190149"/>
        <s v="R901190153"/>
        <s v="R901238578"/>
        <s v="R901269565"/>
        <s v="R901279760"/>
        <s v="R901321450"/>
        <s v="R901408969"/>
        <s v="R901433139"/>
        <s v="R901469358"/>
        <s v="R901469362"/>
        <s v="R901469363"/>
        <s v="R901469368"/>
        <s v="R901531786"/>
        <s v="R901580817"/>
        <s v="RKDK.N222-EA-M3-0042"/>
        <s v="RKDK.N316-EA-M3-0042"/>
        <s v="RKDK.N317-EA-M3-0042"/>
        <s v="TK.KWSE20-A-0038-WW1"/>
        <s v="TK.KWVE15-B-A-ESC-0038-WW1"/>
        <s v="TK.KWVE20-B-A-L-0038-WW1"/>
        <s v="TK.KWVE30-B-A-H-0038-WW1"/>
        <s v="TK.KWVE30-B-A-S-0038-WW1"/>
        <s v="TK.KWVE30-B-A-SL-0038-WW1"/>
        <s v="TK.KWVE35-B-A-L-0038-WW1"/>
        <s v="X-111127-01"/>
        <s v="X-111879-01 REV 02"/>
        <s v="X-275071-01"/>
        <s v="XR100546"/>
        <s v="XR100548"/>
        <s v="XU080264-10/2-DRE"/>
        <s v="XU080264-43-DRE"/>
        <s v="XU160260ZT-43-WW1"/>
        <m/>
      </sharedItems>
    </cacheField>
    <cacheField name="Part Description" numFmtId="0">
      <sharedItems containsBlank="1" containsMixedTypes="1" containsNumber="1" containsInteger="1" minValue="0" maxValue="32643530"/>
    </cacheField>
    <cacheField name="Drawing _x000a_Revision" numFmtId="0">
      <sharedItems containsBlank="1" containsMixedTypes="1" containsNumber="1" containsInteger="1" minValue="0" maxValue="43854"/>
    </cacheField>
    <cacheField name="Price/Unit_x000a_EUR" numFmtId="0">
      <sharedItems containsBlank="1" containsMixedTypes="1" containsNumber="1" minValue="0" maxValue="2247.44"/>
    </cacheField>
    <cacheField name="Quantity" numFmtId="0">
      <sharedItems containsString="0" containsBlank="1" containsNumber="1" containsInteger="1" minValue="0" maxValue="5000"/>
    </cacheField>
    <cacheField name="Price/Order" numFmtId="0">
      <sharedItems containsMixedTypes="1" containsNumber="1" minValue="0" maxValue="428850"/>
    </cacheField>
    <cacheField name="ETA_x000a_As requested_x000a_dd.mm.yyyy" numFmtId="0">
      <sharedItems containsNonDate="0" containsDate="1" containsString="0" containsBlank="1" minDate="2022-02-11T00:00:00" maxDate="2027-04-28T00:00:00" count="602">
        <d v="2025-06-30T00:00:00"/>
        <d v="2024-04-10T00:00:00"/>
        <d v="2024-04-24T00:00:00"/>
        <d v="2024-05-15T00:00:00"/>
        <d v="2024-05-22T00:00:00"/>
        <d v="2025-04-24T00:00:00"/>
        <d v="2023-12-01T00:00:00"/>
        <d v="2023-11-08T00:00:00"/>
        <d v="2024-04-21T00:00:00"/>
        <d v="2025-03-25T00:00:00"/>
        <d v="2025-05-12T00:00:00"/>
        <d v="2025-12-15T00:00:00"/>
        <d v="2026-01-26T00:00:00"/>
        <d v="2026-02-23T00:00:00"/>
        <d v="2026-03-25T00:00:00"/>
        <d v="2026-04-24T00:00:00"/>
        <d v="2026-05-22T00:00:00"/>
        <d v="2026-06-24T00:00:00"/>
        <d v="2026-07-27T00:00:00"/>
        <d v="2026-08-25T00:00:00"/>
        <d v="2026-09-24T00:00:00"/>
        <d v="2026-10-26T00:00:00"/>
        <d v="2024-08-30T00:00:00"/>
        <d v="2024-10-29T00:00:00"/>
        <d v="2025-09-04T00:00:00"/>
        <d v="2025-11-04T00:00:00"/>
        <d v="2025-12-08T00:00:00"/>
        <d v="2026-03-02T00:00:00"/>
        <d v="2026-03-10T00:00:00"/>
        <d v="2026-04-23T00:00:00"/>
        <d v="2026-06-11T00:00:00"/>
        <d v="2026-08-05T00:00:00"/>
        <d v="2026-09-09T00:00:00"/>
        <d v="2026-10-14T00:00:00"/>
        <d v="2024-03-25T00:00:00"/>
        <d v="2024-03-26T00:00:00"/>
        <d v="2024-03-27T00:00:00"/>
        <d v="2024-10-18T00:00:00"/>
        <d v="2024-12-09T00:00:00"/>
        <d v="2025-03-10T00:00:00"/>
        <d v="2025-08-30T00:00:00"/>
        <d v="2025-10-23T00:00:00"/>
        <d v="2025-11-27T00:00:00"/>
        <d v="2026-01-22T00:00:00"/>
        <d v="2026-03-27T00:00:00"/>
        <d v="2026-05-21T00:00:00"/>
        <d v="2026-08-11T00:00:00"/>
        <d v="2026-11-02T00:00:00"/>
        <d v="2022-04-14T00:00:00"/>
        <d v="2024-09-06T00:00:00"/>
        <d v="2024-02-27T00:00:00"/>
        <d v="2024-03-15T00:00:00"/>
        <d v="2024-03-16T00:00:00"/>
        <d v="2024-03-17T00:00:00"/>
        <d v="2025-04-30T00:00:00"/>
        <d v="2025-05-14T00:00:00"/>
        <d v="2025-02-13T00:00:00"/>
        <d v="2026-04-09T00:00:00"/>
        <d v="2026-06-29T00:00:00"/>
        <d v="2026-12-08T00:00:00"/>
        <d v="2024-09-07T00:00:00"/>
        <d v="2026-02-04T00:00:00"/>
        <d v="2026-05-06T00:00:00"/>
        <d v="2026-07-22T00:00:00"/>
        <d v="2026-09-02T00:00:00"/>
        <d v="2026-12-02T00:00:00"/>
        <d v="2026-05-28T00:00:00"/>
        <d v="2026-12-17T00:00:00"/>
        <d v="2025-01-06T00:00:00"/>
        <d v="2025-02-09T00:00:00"/>
        <d v="2025-06-02T00:00:00"/>
        <d v="2022-10-19T00:00:00"/>
        <d v="2022-10-26T00:00:00"/>
        <d v="2022-02-11T00:00:00"/>
        <d v="2022-11-23T00:00:00"/>
        <d v="2024-09-27T00:00:00"/>
        <d v="2025-01-17T00:00:00"/>
        <d v="2025-07-11T00:00:00"/>
        <d v="2025-05-20T00:00:00"/>
        <d v="2025-10-20T00:00:00"/>
        <d v="2025-09-02T00:00:00"/>
        <d v="2025-12-06T00:00:00"/>
        <d v="2024-08-31T00:00:00"/>
        <d v="2025-12-02T00:00:00"/>
        <d v="2025-09-28T00:00:00"/>
        <d v="2026-01-01T00:00:00"/>
        <d v="2025-09-18T00:00:00"/>
        <d v="2025-12-22T00:00:00"/>
        <d v="2024-06-29T00:00:00"/>
        <d v="2025-09-15T00:00:00"/>
        <d v="2025-03-20T00:00:00"/>
        <d v="2025-03-29T00:00:00"/>
        <d v="2025-08-20T00:00:00"/>
        <d v="2023-08-04T00:00:00"/>
        <d v="2024-04-02T00:00:00"/>
        <d v="2024-04-30T00:00:00"/>
        <d v="2024-05-07T00:00:00"/>
        <d v="2024-05-21T00:00:00"/>
        <d v="2024-06-04T00:00:00"/>
        <d v="2024-06-11T00:00:00"/>
        <d v="2024-06-18T00:00:00"/>
        <d v="2024-07-04T00:00:00"/>
        <d v="2024-07-11T00:00:00"/>
        <d v="2024-07-29T00:00:00"/>
        <d v="2024-08-06T00:00:00"/>
        <d v="2024-08-13T00:00:00"/>
        <d v="2024-09-14T00:00:00"/>
        <d v="2024-10-01T00:00:00"/>
        <d v="2024-10-08T00:00:00"/>
        <d v="2024-11-05T00:00:00"/>
        <d v="2024-12-05T00:00:00"/>
        <d v="2025-04-01T00:00:00"/>
        <d v="2025-04-04T00:00:00"/>
        <d v="2025-05-08T00:00:00"/>
        <d v="2025-05-15T00:00:00"/>
        <d v="2025-07-02T00:00:00"/>
        <d v="2025-07-18T00:00:00"/>
        <d v="2025-07-30T00:00:00"/>
        <d v="2025-08-05T00:00:00"/>
        <d v="2025-09-30T00:00:00"/>
        <d v="2025-10-30T00:00:00"/>
        <d v="2025-11-30T00:00:00"/>
        <d v="2025-12-20T00:00:00"/>
        <d v="2024-04-03T00:00:00"/>
        <d v="2024-04-22T00:00:00"/>
        <d v="2024-07-09T00:00:00"/>
        <d v="2024-09-15T00:00:00"/>
        <d v="2024-11-07T00:00:00"/>
        <d v="2025-04-11T00:00:00"/>
        <d v="2025-05-05T00:00:00"/>
        <d v="2025-10-08T00:00:00"/>
        <d v="2025-10-15T00:00:00"/>
        <d v="2025-10-29T00:00:00"/>
        <d v="2024-11-06T00:00:00"/>
        <d v="2025-07-01T00:00:00"/>
        <d v="2025-10-09T00:00:00"/>
        <d v="2024-04-08T00:00:00"/>
        <d v="2024-08-01T00:00:00"/>
        <d v="2024-06-28T00:00:00"/>
        <d v="2024-03-28T00:00:00"/>
        <d v="2024-04-19T00:00:00"/>
        <d v="2025-04-17T00:00:00"/>
        <d v="2025-04-18T00:00:00"/>
        <d v="2025-05-07T00:00:00"/>
        <d v="2025-02-24T00:00:00"/>
        <d v="2025-03-03T00:00:00"/>
        <d v="2025-06-18T00:00:00"/>
        <d v="2025-06-19T00:00:00"/>
        <d v="2025-08-18T00:00:00"/>
        <d v="2025-11-18T00:00:00"/>
        <d v="2025-12-18T00:00:00"/>
        <d v="2025-10-31T00:00:00"/>
        <d v="2024-05-24T00:00:00"/>
        <d v="2025-06-13T00:00:00"/>
        <d v="2025-06-14T00:00:00"/>
        <d v="2025-08-24T00:00:00"/>
        <d v="2025-11-24T00:00:00"/>
        <d v="2025-04-22T00:00:00"/>
        <d v="2025-04-23T00:00:00"/>
        <d v="2025-07-10T00:00:00"/>
        <d v="2025-10-13T00:00:00"/>
        <d v="2025-10-17T00:00:00"/>
        <d v="2024-04-15T00:00:00"/>
        <d v="2025-02-25T00:00:00"/>
        <d v="2025-02-28T00:00:00"/>
        <d v="2025-07-31T00:00:00"/>
        <d v="2025-08-31T00:00:00"/>
        <d v="2024-06-03T00:00:00"/>
        <d v="2025-06-03T00:00:00"/>
        <d v="2024-03-20T00:00:00"/>
        <d v="2024-06-12T00:00:00"/>
        <d v="2024-08-19T00:00:00"/>
        <d v="2025-11-10T00:00:00"/>
        <d v="2025-11-11T00:00:00"/>
        <d v="2024-04-05T00:00:00"/>
        <d v="2024-07-01T00:00:00"/>
        <d v="2024-09-04T00:00:00"/>
        <d v="2024-11-20T00:00:00"/>
        <d v="2024-12-20T00:00:00"/>
        <d v="2025-02-21T00:00:00"/>
        <d v="2024-06-27T00:00:00"/>
        <d v="2024-08-02T00:00:00"/>
        <d v="2024-06-06T00:00:00"/>
        <d v="2024-10-30T00:00:00"/>
        <d v="2025-03-14T00:00:00"/>
        <d v="2024-08-16T00:00:00"/>
        <d v="2025-04-14T00:00:00"/>
        <d v="2024-03-14T00:00:00"/>
        <d v="2024-07-20T00:00:00"/>
        <d v="2024-07-03T00:00:00"/>
        <d v="2024-08-21T00:00:00"/>
        <d v="2024-10-21T00:00:00"/>
        <d v="2024-11-01T00:00:00"/>
        <d v="2025-01-01T00:00:00"/>
        <d v="2025-02-01T00:00:00"/>
        <d v="2025-02-20T00:00:00"/>
        <d v="2025-03-01T00:00:00"/>
        <d v="2025-03-12T00:00:00"/>
        <d v="2024-05-31T00:00:00"/>
        <d v="2024-07-12T00:00:00"/>
        <d v="2024-12-04T00:00:00"/>
        <d v="2025-07-07T00:00:00"/>
        <d v="2025-07-14T00:00:00"/>
        <d v="2025-09-08T00:00:00"/>
        <d v="2025-10-06T00:00:00"/>
        <d v="2025-11-03T00:00:00"/>
        <d v="2026-01-05T00:00:00"/>
        <d v="2024-05-03T00:00:00"/>
        <d v="2024-10-04T00:00:00"/>
        <d v="2026-03-19T00:00:00"/>
        <d v="2024-11-08T00:00:00"/>
        <d v="2024-06-19T00:00:00"/>
        <d v="2024-07-31T00:00:00"/>
        <d v="2024-08-12T00:00:00"/>
        <d v="2024-10-17T00:00:00"/>
        <d v="2025-06-12T00:00:00"/>
        <d v="2025-06-26T00:00:00"/>
        <d v="2025-09-12T00:00:00"/>
        <d v="2024-09-16T00:00:00"/>
        <d v="2024-08-20T00:00:00"/>
        <d v="2024-10-09T00:00:00"/>
        <d v="2024-10-23T00:00:00"/>
        <d v="2025-02-07T00:00:00"/>
        <d v="2025-07-12T00:00:00"/>
        <d v="2024-09-25T00:00:00"/>
        <d v="2025-02-14T00:00:00"/>
        <d v="2024-06-20T00:00:00"/>
        <d v="2024-08-23T00:00:00"/>
        <d v="2024-09-24T00:00:00"/>
        <d v="2024-12-27T00:00:00"/>
        <d v="2025-06-27T00:00:00"/>
        <d v="2025-07-17T00:00:00"/>
        <d v="2025-08-14T00:00:00"/>
        <d v="2025-08-26T00:00:00"/>
        <d v="2024-04-12T00:00:00"/>
        <d v="2024-11-15T00:00:00"/>
        <d v="2024-04-09T00:00:00"/>
        <d v="2024-05-23T00:00:00"/>
        <d v="2024-05-28T00:00:00"/>
        <d v="2024-06-13T00:00:00"/>
        <d v="2024-06-25T00:00:00"/>
        <d v="2024-07-02T00:00:00"/>
        <d v="2024-09-02T00:00:00"/>
        <d v="2024-09-09T00:00:00"/>
        <d v="2024-09-19T00:00:00"/>
        <d v="2024-10-15T00:00:00"/>
        <d v="2024-10-22T00:00:00"/>
        <d v="2024-11-12T00:00:00"/>
        <d v="2024-11-19T00:00:00"/>
        <d v="2024-11-27T00:00:00"/>
        <d v="2024-12-10T00:00:00"/>
        <d v="2025-01-09T00:00:00"/>
        <d v="2025-01-16T00:00:00"/>
        <d v="2025-01-23T00:00:00"/>
        <d v="2025-03-04T00:00:00"/>
        <d v="2025-03-11T00:00:00"/>
        <d v="2025-03-18T00:00:00"/>
        <d v="2025-05-04T00:00:00"/>
        <d v="2025-05-19T00:00:00"/>
        <d v="2025-05-26T00:00:00"/>
        <d v="2025-06-10T00:00:00"/>
        <d v="2025-06-15T00:00:00"/>
        <d v="2025-06-17T00:00:00"/>
        <d v="2025-06-24T00:00:00"/>
        <d v="2025-08-06T00:00:00"/>
        <d v="2025-08-13T00:00:00"/>
        <d v="2025-08-27T00:00:00"/>
        <d v="2025-10-02T00:00:00"/>
        <d v="2025-11-19T00:00:00"/>
        <d v="2025-11-26T00:00:00"/>
        <d v="2025-12-21T00:00:00"/>
        <d v="2025-12-30T00:00:00"/>
        <d v="2024-11-18T00:00:00"/>
        <d v="2024-05-08T00:00:00"/>
        <d v="2024-06-30T00:00:00"/>
        <d v="2024-08-17T00:00:00"/>
        <d v="2025-12-29T00:00:00"/>
        <d v="2026-04-13T00:00:00"/>
        <d v="2024-05-25T00:00:00"/>
        <d v="2024-06-24T00:00:00"/>
        <d v="2025-11-12T00:00:00"/>
        <d v="2025-02-18T00:00:00"/>
        <d v="2025-09-11T00:00:00"/>
        <d v="2025-09-29T00:00:00"/>
        <d v="2025-03-27T00:00:00"/>
        <d v="2025-07-16T00:00:00"/>
        <d v="2025-08-12T00:00:00"/>
        <d v="2025-10-16T00:00:00"/>
        <d v="2026-09-14T00:00:00"/>
        <d v="2024-07-26T00:00:00"/>
        <d v="2024-09-05T00:00:00"/>
        <d v="2024-09-10T00:00:00"/>
        <d v="2024-10-16T00:00:00"/>
        <d v="2024-10-31T00:00:00"/>
        <d v="2024-11-22T00:00:00"/>
        <d v="2024-11-29T00:00:00"/>
        <d v="2025-03-06T00:00:00"/>
        <d v="2025-03-13T00:00:00"/>
        <d v="2025-06-16T00:00:00"/>
        <d v="2025-07-22T00:00:00"/>
        <d v="2025-11-17T00:00:00"/>
        <d v="2025-12-11T00:00:00"/>
        <d v="2026-01-23T00:00:00"/>
        <d v="2026-02-24T00:00:00"/>
        <d v="2026-04-29T00:00:00"/>
        <d v="2026-07-13T00:00:00"/>
        <d v="2026-09-21T00:00:00"/>
        <d v="2026-11-30T00:00:00"/>
        <d v="2027-02-05T00:00:00"/>
        <d v="2027-04-27T00:00:00"/>
        <d v="2024-04-25T00:00:00"/>
        <d v="2024-10-20T00:00:00"/>
        <d v="2025-11-21T00:00:00"/>
        <d v="2026-03-12T00:00:00"/>
        <d v="2026-04-28T00:00:00"/>
        <d v="2024-02-01T00:00:00"/>
        <d v="2024-09-18T00:00:00"/>
        <d v="2024-10-28T00:00:00"/>
        <d v="2024-11-04T00:00:00"/>
        <d v="2024-11-14T00:00:00"/>
        <d v="2025-01-13T00:00:00"/>
        <d v="2025-01-31T00:00:00"/>
        <d v="2025-02-17T00:00:00"/>
        <d v="2025-02-26T00:00:00"/>
        <d v="2025-03-28T00:00:00"/>
        <d v="2025-04-25T00:00:00"/>
        <d v="2025-05-09T00:00:00"/>
        <d v="2025-05-29T00:00:00"/>
        <d v="2025-09-22T00:00:00"/>
        <d v="2025-10-01T00:00:00"/>
        <d v="2026-01-20T00:00:00"/>
        <d v="2026-03-09T00:00:00"/>
        <d v="2026-04-30T00:00:00"/>
        <d v="2024-02-28T00:00:00"/>
        <d v="2024-10-02T00:00:00"/>
        <d v="2025-02-19T00:00:00"/>
        <d v="2025-02-27T00:00:00"/>
        <d v="2025-03-26T00:00:00"/>
        <d v="2025-05-30T00:00:00"/>
        <d v="2025-07-05T00:00:00"/>
        <d v="2025-07-25T00:00:00"/>
        <d v="2025-08-01T00:00:00"/>
        <d v="2025-09-03T00:00:00"/>
        <d v="2024-09-11T00:00:00"/>
        <d v="2025-03-31T00:00:00"/>
        <d v="2025-06-06T00:00:00"/>
        <d v="2024-12-13T00:00:00"/>
        <d v="2025-02-04T00:00:00"/>
        <d v="2025-11-07T00:00:00"/>
        <d v="2024-07-05T00:00:00"/>
        <d v="2024-07-22T00:00:00"/>
        <d v="2024-07-23T00:00:00"/>
        <d v="2024-10-07T00:00:00"/>
        <d v="2024-12-02T00:00:00"/>
        <d v="2025-06-11T00:00:00"/>
        <d v="2025-09-24T00:00:00"/>
        <d v="2025-10-21T00:00:00"/>
        <d v="2025-12-17T00:00:00"/>
        <d v="2026-03-06T00:00:00"/>
        <d v="2024-11-17T00:00:00"/>
        <d v="2024-11-25T00:00:00"/>
        <d v="2025-07-29T00:00:00"/>
        <d v="2025-08-11T00:00:00"/>
        <d v="2025-11-09T00:00:00"/>
        <d v="2025-09-26T00:00:00"/>
        <d v="2024-04-16T00:00:00"/>
        <d v="2024-04-26T00:00:00"/>
        <d v="2024-05-17T00:00:00"/>
        <d v="2025-01-08T00:00:00"/>
        <d v="2024-08-08T00:00:00"/>
        <d v="2024-08-22T00:00:00"/>
        <d v="2025-04-07T00:00:00"/>
        <d v="2025-12-01T00:00:00"/>
        <d v="2024-05-27T00:00:00"/>
        <d v="2024-12-12T00:00:00"/>
        <d v="2025-07-26T00:00:00"/>
        <d v="2025-07-28T00:00:00"/>
        <d v="2025-08-03T00:00:00"/>
        <d v="2025-11-13T00:00:00"/>
        <d v="2026-01-08T00:00:00"/>
        <d v="2026-02-26T00:00:00"/>
        <d v="2025-01-10T00:00:00"/>
        <d v="2025-05-06T00:00:00"/>
        <d v="2026-04-16T00:00:00"/>
        <d v="2024-01-26T00:00:00"/>
        <d v="2024-02-23T00:00:00"/>
        <d v="2024-10-25T00:00:00"/>
        <d v="2024-11-13T00:00:00"/>
        <d v="2025-03-21T00:00:00"/>
        <d v="2025-04-15T00:00:00"/>
        <d v="2025-07-04T00:00:00"/>
        <d v="2025-08-22T00:00:00"/>
        <d v="2025-10-24T00:00:00"/>
        <d v="2025-12-05T00:00:00"/>
        <d v="2026-01-09T00:00:00"/>
        <d v="2026-02-06T00:00:00"/>
        <d v="2026-03-13T00:00:00"/>
        <d v="2026-04-17T00:00:00"/>
        <d v="2026-05-15T00:00:00"/>
        <d v="2026-07-17T00:00:00"/>
        <d v="2026-09-04T00:00:00"/>
        <d v="2024-08-07T00:00:00"/>
        <d v="2024-02-09T00:00:00"/>
        <d v="2024-03-08T00:00:00"/>
        <d v="2024-05-10T00:00:00"/>
        <d v="2024-06-14T00:00:00"/>
        <d v="2024-08-09T00:00:00"/>
        <d v="2024-09-13T00:00:00"/>
        <d v="2024-11-10T00:00:00"/>
        <d v="2025-10-10T00:00:00"/>
        <d v="2025-12-12T00:00:00"/>
        <d v="2026-02-27T00:00:00"/>
        <d v="2026-06-19T00:00:00"/>
        <d v="2026-08-07T00:00:00"/>
        <d v="2024-07-24T00:00:00"/>
        <d v="2024-07-25T00:00:00"/>
        <d v="2024-09-20T00:00:00"/>
        <d v="2024-02-29T00:00:00"/>
        <d v="2024-10-10T00:00:00"/>
        <d v="2025-03-07T00:00:00"/>
        <d v="2025-08-04T00:00:00"/>
        <d v="2026-06-12T00:00:00"/>
        <d v="2026-07-31T00:00:00"/>
        <d v="2026-09-11T00:00:00"/>
        <d v="2025-05-28T00:00:00"/>
        <d v="2025-07-08T00:00:00"/>
        <d v="2024-05-09T00:00:00"/>
        <d v="2024-07-08T00:00:00"/>
        <d v="2025-09-05T00:00:00"/>
        <d v="2024-08-15T00:00:00"/>
        <d v="2025-04-28T00:00:00"/>
        <d v="2025-12-16T00:00:00"/>
        <d v="2024-03-07T00:00:00"/>
        <d v="2024-06-10T00:00:00"/>
        <d v="2024-09-23T00:00:00"/>
        <d v="2024-09-26T00:00:00"/>
        <d v="2024-10-03T00:00:00"/>
        <d v="2025-10-28T00:00:00"/>
        <d v="2026-02-03T00:00:00"/>
        <d v="2026-01-13T00:00:00"/>
        <d v="2026-03-03T00:00:00"/>
        <d v="2025-01-03T00:00:00"/>
        <d v="2025-04-10T00:00:00"/>
        <d v="2025-09-09T00:00:00"/>
        <d v="2026-01-15T00:00:00"/>
        <d v="2024-10-24T00:00:00"/>
        <d v="2025-04-29T00:00:00"/>
        <d v="2025-07-23T00:00:00"/>
        <d v="2026-01-19T00:00:00"/>
        <d v="2022-09-30T00:00:00"/>
        <d v="2024-04-23T00:00:00"/>
        <d v="2024-08-10T00:00:00"/>
        <d v="2024-05-14T00:00:00"/>
        <d v="2024-05-16T00:00:00"/>
        <d v="2024-05-30T00:00:00"/>
        <d v="2024-08-27T00:00:00"/>
        <d v="2024-09-30T00:00:00"/>
        <d v="2025-02-06T00:00:00"/>
        <d v="2025-04-08T00:00:00"/>
        <d v="2025-06-20T00:00:00"/>
        <d v="2025-07-15T00:00:00"/>
        <d v="2025-08-19T00:00:00"/>
        <d v="2025-08-29T00:00:00"/>
        <d v="2025-09-19T00:00:00"/>
        <d v="2024-07-16T00:00:00"/>
        <d v="2024-07-17T00:00:00"/>
        <d v="2024-07-18T00:00:00"/>
        <d v="2024-07-30T00:00:00"/>
        <d v="2024-12-03T00:00:00"/>
        <d v="2025-08-08T00:00:00"/>
        <d v="2025-08-25T00:00:00"/>
        <d v="2025-09-01T00:00:00"/>
        <d v="2025-09-17T00:00:00"/>
        <d v="2025-09-23T00:00:00"/>
        <d v="2025-10-03T00:00:00"/>
        <d v="2025-10-22T00:00:00"/>
        <d v="2025-11-05T00:00:00"/>
        <d v="2025-11-14T00:00:00"/>
        <d v="2025-12-14T00:00:00"/>
        <d v="2024-03-29T00:00:00"/>
        <d v="2024-04-04T00:00:00"/>
        <d v="2024-04-11T00:00:00"/>
        <d v="2024-04-17T00:00:00"/>
        <d v="2024-04-18T00:00:00"/>
        <d v="2024-09-28T00:00:00"/>
        <d v="2024-11-21T00:00:00"/>
        <d v="2024-11-28T00:00:00"/>
        <d v="2025-09-16T00:00:00"/>
        <d v="2025-10-07T00:00:00"/>
        <d v="2024-07-19T00:00:00"/>
        <d v="2025-09-25T00:00:00"/>
        <d v="2025-07-21T00:00:00"/>
        <d v="2025-03-17T00:00:00"/>
        <d v="2024-05-13T00:00:00"/>
        <m/>
        <d v="2025-11-15T00:00:00" u="1"/>
        <d v="2026-02-17T00:00:00" u="1"/>
        <d v="2026-03-17T00:00:00" u="1"/>
        <d v="2026-05-17T00:00:00" u="1"/>
        <d v="2026-08-30T00:00:00" u="1"/>
        <d v="2026-01-30T00:00:00" u="1"/>
        <d v="2025-02-10T00:00:00" u="1"/>
        <d v="2025-12-19T00:00:00" u="1"/>
        <d v="2025-11-20T00:00:00" u="1"/>
        <d v="2025-01-22T00:00:00" u="1"/>
        <d v="2025-12-09T00:00:00" u="1"/>
        <d v="2025-12-13T00:00:00" u="1"/>
        <d v="2026-02-25T00:00:00" u="1"/>
        <d v="2026-04-07T00:00:00" u="1"/>
        <d v="2026-04-08T00:00:00" u="1"/>
        <d v="2026-07-15T00:00:00" u="1"/>
        <d v="2026-07-20T00:00:00" u="1"/>
        <d v="2026-07-28T00:00:00" u="1"/>
        <d v="2026-10-16T00:00:00" u="1"/>
        <d v="2025-10-18T00:00:00" u="1"/>
        <d v="2025-10-14T00:00:00" u="1"/>
        <d v="2025-08-28T00:00:00" u="1"/>
        <d v="2025-08-07T00:00:00" u="1"/>
        <d v="2025-12-10T00:00:00" u="1"/>
        <d v="2026-02-19T00:00:00" u="1"/>
        <d v="2025-08-09T00:00:00" u="1"/>
        <d v="2025-09-06T00:00:00" u="1"/>
        <d v="2025-12-03T00:00:00" u="1"/>
        <d v="2026-01-21T00:00:00" u="1"/>
        <d v="2026-02-20T00:00:00" u="1"/>
        <d v="2026-01-07T00:00:00" u="1"/>
        <d v="2025-10-26T00:00:00" u="1"/>
        <d v="2025-11-06T00:00:00" u="1"/>
        <d v="2025-12-04T00:00:00" u="1"/>
        <d v="2025-07-20T00:00:00" u="1"/>
        <d v="2025-01-21T00:00:00" u="1"/>
        <d v="2025-11-25T00:00:00" u="1"/>
        <d v="2026-06-22T00:00:00" u="1"/>
        <d v="2026-10-30T00:00:00" u="1"/>
        <d v="2025-10-27T00:00:00" u="1"/>
        <d v="2025-08-21T00:00:00" u="1"/>
        <d v="2025-07-24T00:00:00" u="1"/>
        <d v="2026-08-17T00:00:00" u="1"/>
        <d v="2026-04-20T00:00:00" u="1"/>
        <d v="2026-03-23T00:00:00" u="1"/>
        <d v="2026-05-18T00:00:00" u="1"/>
        <d v="2025-06-05T00:00:00" u="1"/>
        <d v="2026-10-19T00:00:00" u="1"/>
        <d v="2026-04-10T00:00:00" u="1"/>
        <d v="2026-06-05T00:00:00" u="1"/>
        <d v="2025-06-04T00:00:00" u="1"/>
        <d v="2026-01-28T00:00:00" u="1"/>
        <d v="2026-05-07T00:00:00" u="1"/>
        <d v="2025-06-09T00:00:00" u="1"/>
        <d v="2025-07-03T00:00:00" u="1"/>
        <d v="2025-05-16T00:00:00" u="1"/>
        <d v="2024-07-28T00:00:00" u="1"/>
        <d v="2024-10-13T00:00:00" u="1"/>
        <d v="2025-11-01T00:00:00" u="1"/>
        <d v="2026-05-29T00:00:00" u="1"/>
        <d v="2025-05-23T00:00:00" u="1"/>
        <d v="2025-07-13T00:00:00" u="1"/>
        <d v="2025-03-05T00:00:00" u="1"/>
        <d v="2026-05-25T00:00:00" u="1"/>
        <d v="2025-06-23T00:00:00" u="1"/>
        <d v="2025-04-21T00:00:00" u="1"/>
        <d v="2026-05-27T00:00:00" u="1"/>
        <d v="2026-05-04T00:00:00" u="1"/>
        <d v="2025-11-28T00:00:00" u="1"/>
        <d v="2026-02-02T00:00:00" u="1"/>
        <d v="2026-04-01T00:00:00" u="1"/>
        <d v="2026-04-02T00:00:00" u="1"/>
        <d v="2026-03-20T00:00:00" u="1"/>
        <d v="2026-03-05T00:00:00" u="1"/>
        <d v="2026-08-24T00:00:00" u="1"/>
        <d v="2025-04-03T00:00:00" u="1"/>
        <d v="2024-11-09T00:00:00" u="1"/>
        <d v="2023-12-20T00:00:00" u="1"/>
        <d v="2025-06-25T00:00:00" u="1"/>
        <d v="2026-02-22T00:00:00" u="1"/>
        <d v="2024-05-19T00:00:00" u="1"/>
        <d v="2025-03-15T00:00:00" u="1"/>
        <d v="2026-05-08T00:00:00" u="1"/>
        <d v="2026-02-05T00:00:00" u="1"/>
        <d v="2026-01-27T00:00:00" u="1"/>
        <d v="2026-08-03T00:00:00" u="1"/>
        <d v="2026-01-12T00:00:00" u="1"/>
        <d v="2026-06-08T00:00:00" u="1"/>
        <d v="2024-10-11T00:00:00" u="1"/>
        <d v="2024-01-06T00:00:00" u="1"/>
        <d v="2025-01-20T00:00:00" u="1"/>
        <d v="2025-01-27T00:00:00" u="1"/>
        <d v="2025-02-03T00:00:00" u="1"/>
        <d v="2025-03-24T00:00:00" u="1"/>
        <d v="2024-12-08T00:00:00" u="1"/>
        <d v="2024-12-15T00:00:00" u="1"/>
        <d v="2024-12-22T00:00:00" u="1"/>
        <d v="2025-01-05T00:00:00" u="1"/>
        <d v="2026-02-01T00:00:00" u="1"/>
        <d v="2026-03-01T00:00:00" u="1"/>
        <d v="2026-05-01T00:00:00" u="1"/>
        <d v="2026-06-01T00:00:00" u="1"/>
        <d v="2026-07-01T00:00:00" u="1"/>
        <d v="2026-08-01T00:00:00" u="1"/>
        <d v="2026-09-01T00:00:00" u="1"/>
        <d v="2026-10-01T00:00:00" u="1"/>
        <d v="2026-11-01T00:00:00" u="1"/>
      </sharedItems>
      <fieldGroup par="46"/>
    </cacheField>
    <cacheField name="ETA_x000a_Confirmed_x000a_dd.mm.yyyy" numFmtId="0">
      <sharedItems containsString="0" containsBlank="1" containsNumber="1" containsInteger="1" minValue="1" maxValue="53"/>
    </cacheField>
    <cacheField name="ETA_x000a_Planned_x000a_dd.mm.yyyy" numFmtId="0">
      <sharedItems containsString="0" containsBlank="1" containsNumber="1" containsInteger="1" minValue="2022" maxValue="2027"/>
    </cacheField>
    <cacheField name="Leadtime Contract_x000a_days" numFmtId="0">
      <sharedItems containsBlank="1" containsMixedTypes="1" containsNumber="1" containsInteger="1" minValue="0" maxValue="918"/>
    </cacheField>
    <cacheField name="Product Family" numFmtId="0">
      <sharedItems containsDate="1" containsBlank="1" containsMixedTypes="1" minDate="1899-12-31T00:00:00" maxDate="2025-07-05T00:00:00" count="83">
        <s v="Strunjire moale"/>
        <n v="0"/>
        <m/>
        <s v="Rotor"/>
        <s v="Ventilkoerper"/>
        <s v="Ventileinsatz"/>
        <s v="sector"/>
        <s v="ADAPTER RF BOX PLATE DESERT SAND #30315"/>
        <s v="ANT SUPPORT PLATE DESERT SAND 30315"/>
        <s v="ZBA 807"/>
        <s v="RIGHT ARM (DRIVING), AL-4018-1RF #30315"/>
        <s v="LEFT ARM (DRIVEN) AL-4018-1RF #30315"/>
        <s v="PANEL ACCESS ELEVATION, AL-4018-1RF #30315"/>
        <s v="AZIMUTH HOUSING, AL-4018-1RF #30315"/>
        <s v="AZIMUTH TURNTABLE, AL-4018-1RF"/>
        <s v="EL. DRIVE (RIGHT) TURNTABLE, AL-4018-1RF"/>
        <s v=" EL. DRIVEN (LEFT) TURNTABLE, AL-4018-1RF"/>
        <s v="AXIS STEPPER DRIVER - COVER DRIP TYPE"/>
        <s v="MPT30VGX EL SHAFT MOTOR SIDE C.o.O"/>
        <s v="MPT30VGX EL SHAFT BUC SIDE C.o.O"/>
        <s v="BOTTOM COVER VGX KPSU"/>
        <s v="BUTTERFLY"/>
        <s v="BALL"/>
        <s v="Left Rocker"/>
        <s v="Right Rocker"/>
        <s v="Right Rocker Lock Outer"/>
        <s v="RIGHT ROCKER LOCK INNER"/>
        <s v="MAIN BODY - FRONT"/>
        <s v="MAIN BODY - REAR"/>
        <s v="MAIN BODY - REAR AL"/>
        <s v=" INSULATING BUSHING"/>
        <s v="NUT M12X0.5"/>
        <s v="CAMERA CLAMP"/>
        <s v="YAW PLATE"/>
        <s v="LINK FOR PITCH BOLT"/>
        <s v="PITCH BOLT"/>
        <s v="YAW BOLT"/>
        <s v="PITCH AXLE"/>
        <s v="YAW PAD"/>
        <s v="BENCH ADAPTOR"/>
        <s v=" AZ BEARING HOLDER"/>
        <s v="AZ BEARING TOP COVER"/>
        <s v="Top Interface"/>
        <s v="sleeve"/>
        <s v="Strunjite"/>
        <s v="Stator"/>
        <s v="CLUMP NUT"/>
        <s v="NUT"/>
        <s v="Main body"/>
        <s v="SHAFT"/>
        <s v="Gear pinion"/>
        <s v="Alama"/>
        <e v="#N/A"/>
        <s v="Adapterplatte"/>
        <s v="Druckstuck"/>
        <s v="Cover"/>
        <s v="Sealing screw"/>
        <s v="Rectificare"/>
        <s v="Atlanta rectificare"/>
        <s v="Inel gaurire"/>
        <s v="Atlanta strunjire"/>
        <s v="Ghidaje"/>
        <s v="Danfoss"/>
        <s v="Bolts and washers"/>
        <s v="Housings"/>
        <s v="Dummy guideway"/>
        <s v="Z2S 16"/>
        <s v="Z2S 22"/>
        <s v="PLATE"/>
        <s v="DBD.8"/>
        <s v="DBD.10"/>
        <s v="DBD.15"/>
        <s v="DBD.20"/>
        <s v="DBD.25"/>
        <s v="DBD.30"/>
        <s v="BUSHING"/>
        <s v="Drosselboltzen"/>
        <s v="Z2S22"/>
        <s v="CONSOLE"/>
        <s v="RING"/>
        <s v="Pinion"/>
        <s v=" " u="1"/>
        <d v="2025-07-04T00:00:00" u="1"/>
      </sharedItems>
    </cacheField>
    <cacheField name="MOQ_x000a_pcs" numFmtId="0">
      <sharedItems containsBlank="1" containsMixedTypes="1" containsNumber="1" containsInteger="1" minValue="0" maxValue="650"/>
    </cacheField>
    <cacheField name="Frozen Zone_x000a_days" numFmtId="0">
      <sharedItems containsBlank="1" containsMixedTypes="1" containsNumber="1" containsInteger="1" minValue="41" maxValue="62"/>
    </cacheField>
    <cacheField name="Status PPAP_x000a_(approved/project)" numFmtId="0">
      <sharedItems containsBlank="1"/>
    </cacheField>
    <cacheField name="Mfg Lead Time_x000a_days" numFmtId="0">
      <sharedItems containsBlank="1" containsMixedTypes="1" containsNumber="1" minValue="0" maxValue="82.5"/>
    </cacheField>
    <cacheField name="Subcontract" numFmtId="0">
      <sharedItems containsBlank="1" containsMixedTypes="1" containsNumber="1" containsInteger="1" minValue="45755" maxValue="45933"/>
    </cacheField>
    <cacheField name="Stock Warehouse_x000a_pcs" numFmtId="0">
      <sharedItems containsBlank="1" containsMixedTypes="1" containsNumber="1" containsInteger="1" minValue="0" maxValue="251160"/>
    </cacheField>
    <cacheField name="Scrap Rate" numFmtId="0">
      <sharedItems containsBlank="1" containsMixedTypes="1" containsNumber="1" containsInteger="1" minValue="37673019" maxValue="5500511033"/>
    </cacheField>
    <cacheField name="Raw Material Status" numFmtId="0">
      <sharedItems containsBlank="1" containsMixedTypes="1" containsNumber="1" containsInteger="1" minValue="1818509516" maxValue="1818509516"/>
    </cacheField>
    <cacheField name="Incomming Date" numFmtId="0">
      <sharedItems containsBlank="1" containsMixedTypes="1" containsNumber="1" containsInteger="1" minValue="5" maxValue="45534"/>
    </cacheField>
    <cacheField name="Planned_x000a_YES/NO" numFmtId="0">
      <sharedItems containsBlank="1" containsMixedTypes="1" containsNumber="1" minValue="0" maxValue="3367.44"/>
    </cacheField>
    <cacheField name="Work Order" numFmtId="0">
      <sharedItems containsBlank="1" containsMixedTypes="1" containsNumber="1" containsInteger="1" minValue="240502" maxValue="251717"/>
    </cacheField>
    <cacheField name="Order Finished_x000a_YES/NO" numFmtId="0">
      <sharedItems containsDate="1" containsBlank="1" containsMixedTypes="1" minDate="2025-07-16T00:00:00" maxDate="2025-07-17T00:00:00" count="4">
        <s v="Yes"/>
        <s v="No"/>
        <m/>
        <d v="2025-07-16T00:00:00" u="1"/>
      </sharedItems>
    </cacheField>
    <cacheField name="Dată de livrare" numFmtId="0">
      <sharedItems containsNonDate="0" containsDate="1" containsString="0" containsBlank="1" minDate="2024-03-08T00:00:00" maxDate="2025-11-05T00:00:00" count="379">
        <d v="2025-06-27T00:00:00"/>
        <d v="2024-04-22T00:00:00"/>
        <d v="2025-04-29T00:00:00"/>
        <m/>
        <d v="2024-04-11T00:00:00"/>
        <d v="2024-04-12T00:00:00"/>
        <d v="2025-06-03T00:00:00"/>
        <d v="2025-07-21T00:00:00"/>
        <d v="2024-10-16T00:00:00"/>
        <d v="2024-07-04T00:00:00"/>
        <d v="2024-07-31T00:00:00"/>
        <d v="2025-02-21T00:00:00"/>
        <d v="2025-06-30T00:00:00"/>
        <d v="2024-10-18T00:00:00"/>
        <d v="2024-04-26T00:00:00"/>
        <d v="2024-04-19T00:00:00"/>
        <d v="2024-04-29T00:00:00"/>
        <d v="2024-05-28T00:00:00"/>
        <d v="2024-07-23T00:00:00"/>
        <d v="2024-08-23T00:00:00"/>
        <d v="2025-09-30T00:00:00"/>
        <d v="2024-09-06T00:00:00"/>
        <d v="2024-05-14T00:00:00"/>
        <d v="2025-08-07T00:00:00"/>
        <d v="2024-09-23T00:00:00"/>
        <d v="2024-06-20T00:00:00"/>
        <d v="2025-07-31T00:00:00"/>
        <d v="2024-06-28T00:00:00"/>
        <d v="2025-03-07T00:00:00"/>
        <d v="2025-03-11T00:00:00"/>
        <d v="2025-04-08T00:00:00"/>
        <d v="2025-10-16T00:00:00"/>
        <d v="2024-07-05T00:00:00"/>
        <d v="2025-04-23T00:00:00"/>
        <d v="2024-05-30T00:00:00"/>
        <d v="2024-11-04T00:00:00"/>
        <d v="2025-02-15T00:00:00"/>
        <d v="2025-03-20T00:00:00"/>
        <d v="2025-10-22T00:00:00"/>
        <d v="2024-09-03T00:00:00"/>
        <d v="2024-09-05T00:00:00"/>
        <d v="2024-09-20T00:00:00"/>
        <d v="2025-02-06T00:00:00"/>
        <d v="2024-10-09T00:00:00"/>
        <d v="2025-08-26T00:00:00"/>
        <d v="2025-08-31T00:00:00"/>
        <d v="2025-06-17T00:00:00"/>
        <d v="2025-10-28T00:00:00"/>
        <d v="2025-06-13T00:00:00"/>
        <d v="2025-10-30T00:00:00"/>
        <d v="2025-09-16T00:00:00"/>
        <d v="2024-12-04T00:00:00"/>
        <d v="2024-11-14T00:00:00"/>
        <d v="2024-12-20T00:00:00"/>
        <d v="2025-09-15T00:00:00"/>
        <d v="2025-01-13T00:00:00"/>
        <d v="2024-12-17T00:00:00"/>
        <d v="2024-04-02T00:00:00"/>
        <d v="2024-04-16T00:00:00"/>
        <d v="2024-05-07T00:00:00"/>
        <d v="2024-05-09T00:00:00"/>
        <d v="2024-07-18T00:00:00"/>
        <d v="2024-05-21T00:00:00"/>
        <d v="2024-06-04T00:00:00"/>
        <d v="2024-06-17T00:00:00"/>
        <d v="2024-06-18T00:00:00"/>
        <d v="2024-06-19T00:00:00"/>
        <d v="2024-06-21T00:00:00"/>
        <d v="2024-06-25T00:00:00"/>
        <d v="2024-06-26T00:00:00"/>
        <d v="2024-06-27T00:00:00"/>
        <d v="2024-07-01T00:00:00"/>
        <d v="2024-07-02T00:00:00"/>
        <d v="2024-07-03T00:00:00"/>
        <d v="2024-07-15T00:00:00"/>
        <d v="2024-07-16T00:00:00"/>
        <d v="2024-07-17T00:00:00"/>
        <d v="2024-07-19T00:00:00"/>
        <d v="2024-07-22T00:00:00"/>
        <d v="2024-07-24T00:00:00"/>
        <d v="2024-07-25T00:00:00"/>
        <d v="2024-07-26T00:00:00"/>
        <d v="2024-07-29T00:00:00"/>
        <d v="2024-07-30T00:00:00"/>
        <d v="2024-08-06T00:00:00"/>
        <d v="2024-08-08T00:00:00"/>
        <d v="2024-08-09T00:00:00"/>
        <d v="2024-08-19T00:00:00"/>
        <d v="2024-10-01T00:00:00"/>
        <d v="2024-11-05T00:00:00"/>
        <d v="2024-12-03T00:00:00"/>
        <d v="2025-05-08T00:00:00"/>
        <d v="2025-04-07T00:00:00"/>
        <d v="2025-04-09T00:00:00"/>
        <d v="2025-04-10T00:00:00"/>
        <d v="2025-04-15T00:00:00"/>
        <d v="2025-04-17T00:00:00"/>
        <d v="2025-04-22T00:00:00"/>
        <d v="2025-04-24T00:00:00"/>
        <d v="2025-05-06T00:00:00"/>
        <d v="2025-07-10T00:00:00"/>
        <d v="2025-08-06T00:00:00"/>
        <d v="2025-08-25T00:00:00"/>
        <d v="2025-08-27T00:00:00"/>
        <d v="2025-08-28T00:00:00"/>
        <d v="2025-09-05T00:00:00"/>
        <d v="2025-09-17T00:00:00"/>
        <d v="2025-09-18T00:00:00"/>
        <d v="2025-09-19T00:00:00"/>
        <d v="2025-09-24T00:00:00"/>
        <d v="2025-09-25T00:00:00"/>
        <d v="2025-09-26T00:00:00"/>
        <d v="2025-09-29T00:00:00"/>
        <d v="2025-10-07T00:00:00"/>
        <d v="2025-10-09T00:00:00"/>
        <d v="2025-10-14T00:00:00"/>
        <d v="2025-10-17T00:00:00"/>
        <d v="2025-10-21T00:00:00"/>
        <d v="2025-11-04T00:00:00"/>
        <d v="2024-04-04T00:00:00"/>
        <d v="2024-05-10T00:00:00"/>
        <d v="2024-06-13T00:00:00"/>
        <d v="2024-06-14T00:00:00"/>
        <d v="2024-08-01T00:00:00"/>
        <d v="2024-08-02T00:00:00"/>
        <d v="2024-08-05T00:00:00"/>
        <d v="2024-08-07T00:00:00"/>
        <d v="2024-08-20T00:00:00"/>
        <d v="2025-05-27T00:00:00"/>
        <d v="2025-07-07T00:00:00"/>
        <d v="2025-07-18T00:00:00"/>
        <d v="2025-10-01T00:00:00"/>
        <d v="2025-10-02T00:00:00"/>
        <d v="2025-10-03T00:00:00"/>
        <d v="2025-10-23T00:00:00"/>
        <d v="2025-10-31T00:00:00"/>
        <d v="2024-05-17T00:00:00"/>
        <d v="2024-03-29T00:00:00"/>
        <d v="2025-04-25T00:00:00"/>
        <d v="2025-05-09T00:00:00"/>
        <d v="2025-05-12T00:00:00"/>
        <d v="2025-05-13T00:00:00"/>
        <d v="2025-05-14T00:00:00"/>
        <d v="2025-05-16T00:00:00"/>
        <d v="2025-05-20T00:00:00"/>
        <d v="2025-05-21T00:00:00"/>
        <d v="2025-05-26T00:00:00"/>
        <d v="2025-05-29T00:00:00"/>
        <d v="2025-06-02T00:00:00"/>
        <d v="2025-06-04T00:00:00"/>
        <d v="2025-06-05T00:00:00"/>
        <d v="2025-06-12T00:00:00"/>
        <d v="2025-06-16T00:00:00"/>
        <d v="2025-06-18T00:00:00"/>
        <d v="2025-06-19T00:00:00"/>
        <d v="2025-06-20T00:00:00"/>
        <d v="2025-06-23T00:00:00"/>
        <d v="2025-06-06T00:00:00"/>
        <d v="2025-06-10T00:00:00"/>
        <d v="2025-06-11T00:00:00"/>
        <d v="2025-08-21T00:00:00"/>
        <d v="2025-08-29T00:00:00"/>
        <d v="2025-08-30T00:00:00"/>
        <d v="2025-10-29T00:00:00"/>
        <d v="2024-05-24T00:00:00"/>
        <d v="2024-05-27T00:00:00"/>
        <d v="2025-03-04T00:00:00"/>
        <d v="2025-03-18T00:00:00"/>
        <d v="2025-03-19T00:00:00"/>
        <d v="2025-03-21T00:00:00"/>
        <d v="2025-03-24T00:00:00"/>
        <d v="2025-03-25T00:00:00"/>
        <d v="2025-03-28T00:00:00"/>
        <d v="2025-09-02T00:00:00"/>
        <d v="2024-04-24T00:00:00"/>
        <d v="2024-04-25T00:00:00"/>
        <d v="2024-05-29T00:00:00"/>
        <d v="2025-04-16T00:00:00"/>
        <d v="2025-06-24T00:00:00"/>
        <d v="2025-06-25T00:00:00"/>
        <d v="2025-06-26T00:00:00"/>
        <d v="2025-07-15T00:00:00"/>
        <d v="2025-07-28T00:00:00"/>
        <d v="2025-08-11T00:00:00"/>
        <d v="2025-08-12T00:00:00"/>
        <d v="2025-08-13T00:00:00"/>
        <d v="2025-08-14T00:00:00"/>
        <d v="2025-08-18T00:00:00"/>
        <d v="2025-08-19T00:00:00"/>
        <d v="2024-04-27T00:00:00"/>
        <d v="2025-02-25T00:00:00"/>
        <d v="2025-02-28T00:00:00"/>
        <d v="2025-03-12T00:00:00"/>
        <d v="2025-07-01T00:00:00"/>
        <d v="2025-07-02T00:00:00"/>
        <d v="2025-07-03T00:00:00"/>
        <d v="2025-07-04T00:00:00"/>
        <d v="2025-07-24T00:00:00"/>
        <d v="2025-07-25T00:00:00"/>
        <d v="2025-07-29T00:00:00"/>
        <d v="2025-07-30T00:00:00"/>
        <d v="2025-08-01T00:00:00"/>
        <d v="2025-08-05T00:00:00"/>
        <d v="2025-08-08T00:00:00"/>
        <d v="2025-08-20T00:00:00"/>
        <d v="2024-09-11T00:00:00"/>
        <d v="2024-04-15T00:00:00"/>
        <d v="2024-03-27T00:00:00"/>
        <d v="2024-04-18T00:00:00"/>
        <d v="2024-05-16T00:00:00"/>
        <d v="2024-09-18T00:00:00"/>
        <d v="2024-08-21T00:00:00"/>
        <d v="2024-11-11T00:00:00"/>
        <d v="2024-05-22T00:00:00"/>
        <d v="2024-09-13T00:00:00"/>
        <d v="2024-11-29T00:00:00"/>
        <d v="2025-03-06T00:00:00"/>
        <d v="2024-04-01T00:00:00"/>
        <d v="2024-06-06T00:00:00"/>
        <d v="2024-08-13T00:00:00"/>
        <d v="2024-10-22T00:00:00"/>
        <d v="2024-10-31T00:00:00"/>
        <d v="2025-02-18T00:00:00"/>
        <d v="2024-04-17T00:00:00"/>
        <d v="2024-09-27T00:00:00"/>
        <d v="2025-01-29T00:00:00"/>
        <d v="2024-11-25T00:00:00"/>
        <d v="2025-10-06T00:00:00"/>
        <d v="2024-10-12T00:00:00"/>
        <d v="2024-10-28T00:00:00"/>
        <d v="2025-03-05T00:00:00"/>
        <d v="2024-07-12T00:00:00"/>
        <d v="2024-09-30T00:00:00"/>
        <d v="2024-10-03T00:00:00"/>
        <d v="2024-10-07T00:00:00"/>
        <d v="2024-10-17T00:00:00"/>
        <d v="2024-12-05T00:00:00"/>
        <d v="2025-01-16T00:00:00"/>
        <d v="2025-02-19T00:00:00"/>
        <d v="2025-07-17T00:00:00"/>
        <d v="2025-09-11T00:00:00"/>
        <d v="2025-09-12T00:00:00"/>
        <d v="2025-02-03T00:00:00"/>
        <d v="2025-02-17T00:00:00"/>
        <d v="2024-11-18T00:00:00"/>
        <d v="2025-01-10T00:00:00"/>
        <d v="2025-01-27T00:00:00"/>
        <d v="2024-07-09T00:00:00"/>
        <d v="2025-01-21T00:00:00"/>
        <d v="2025-02-07T00:00:00"/>
        <d v="2025-07-08T00:00:00"/>
        <d v="2025-07-09T00:00:00"/>
        <d v="2025-08-22T00:00:00"/>
        <d v="2024-12-10T00:00:00"/>
        <d v="2024-12-11T00:00:00"/>
        <d v="2025-01-22T00:00:00"/>
        <d v="2024-04-09T00:00:00"/>
        <d v="2024-05-23T00:00:00"/>
        <d v="2024-06-03T00:00:00"/>
        <d v="2024-06-05T00:00:00"/>
        <d v="2024-06-07T00:00:00"/>
        <d v="2024-06-12T00:00:00"/>
        <d v="2024-07-08T00:00:00"/>
        <d v="2024-07-10T00:00:00"/>
        <d v="2024-07-11T00:00:00"/>
        <d v="2024-09-10T00:00:00"/>
        <d v="2024-09-17T00:00:00"/>
        <d v="2024-10-25T00:00:00"/>
        <d v="2024-10-29T00:00:00"/>
        <d v="2024-11-12T00:00:00"/>
        <d v="2024-11-21T00:00:00"/>
        <d v="2025-01-09T00:00:00"/>
        <d v="2025-01-14T00:00:00"/>
        <d v="2025-02-11T00:00:00"/>
        <d v="2025-02-27T00:00:00"/>
        <d v="2025-03-27T00:00:00"/>
        <d v="2025-04-03T00:00:00"/>
        <d v="2025-04-04T00:00:00"/>
        <d v="2025-04-30T00:00:00"/>
        <d v="2025-05-15T00:00:00"/>
        <d v="2025-05-22T00:00:00"/>
        <d v="2025-07-11T00:00:00"/>
        <d v="2025-07-14T00:00:00"/>
        <d v="2024-11-08T00:00:00"/>
        <d v="2025-05-28T00:00:00"/>
        <d v="2024-09-12T00:00:00"/>
        <d v="2024-09-21T00:00:00"/>
        <d v="2024-10-05T00:00:00"/>
        <d v="2024-10-19T00:00:00"/>
        <d v="2024-11-26T00:00:00"/>
        <d v="2024-12-06T00:00:00"/>
        <d v="2024-12-14T00:00:00"/>
        <d v="2024-12-21T00:00:00"/>
        <d v="2025-01-18T00:00:00"/>
        <d v="2025-01-24T00:00:00"/>
        <d v="2025-02-01T00:00:00"/>
        <d v="2025-03-01T00:00:00"/>
        <d v="2025-03-08T00:00:00"/>
        <d v="2025-03-15T00:00:00"/>
        <d v="2025-03-26T00:00:00"/>
        <d v="2025-04-02T00:00:00"/>
        <d v="2025-04-11T00:00:00"/>
        <d v="2025-05-01T00:00:00"/>
        <d v="2024-08-15T00:00:00"/>
        <d v="2024-08-24T00:00:00"/>
        <d v="2024-08-31T00:00:00"/>
        <d v="2024-09-14T00:00:00"/>
        <d v="2024-09-28T00:00:00"/>
        <d v="2024-11-01T00:00:00"/>
        <d v="2024-12-18T00:00:00"/>
        <d v="2025-01-03T00:00:00"/>
        <d v="2025-03-23T00:00:00"/>
        <d v="2024-05-08T00:00:00"/>
        <d v="2024-05-15T00:00:00"/>
        <d v="2025-03-31T00:00:00"/>
        <d v="2025-04-01T00:00:00"/>
        <d v="2025-04-14T00:00:00"/>
        <d v="2025-09-23T00:00:00"/>
        <d v="2025-02-24T00:00:00"/>
        <d v="2025-05-30T00:00:00"/>
        <d v="2025-09-04T00:00:00"/>
        <d v="2024-10-11T00:00:00"/>
        <d v="2024-04-10T00:00:00"/>
        <d v="2024-08-27T00:00:00"/>
        <d v="2024-10-04T00:00:00"/>
        <d v="2024-10-30T00:00:00"/>
        <d v="2024-11-22T00:00:00"/>
        <d v="2025-01-23T00:00:00"/>
        <d v="2025-02-12T00:00:00"/>
        <d v="2025-02-22T00:00:00"/>
        <d v="2025-05-23T00:00:00"/>
        <d v="2024-08-14T00:00:00"/>
        <d v="2024-08-29T00:00:00"/>
        <d v="2024-11-27T00:00:00"/>
        <d v="2025-02-08T00:00:00"/>
        <d v="2025-10-08T00:00:00"/>
        <d v="2025-10-15T00:00:00"/>
        <d v="2025-10-20T00:00:00"/>
        <d v="2024-12-12T00:00:00"/>
        <d v="2025-03-03T00:00:00"/>
        <d v="2024-04-30T00:00:00"/>
        <d v="2024-05-31T00:00:00"/>
        <d v="2024-06-11T00:00:00"/>
        <d v="2024-09-16T00:00:00"/>
        <d v="2024-10-02T00:00:00"/>
        <d v="2024-11-06T00:00:00"/>
        <d v="2024-11-13T00:00:00"/>
        <d v="2025-01-31T00:00:00"/>
        <d v="2025-03-14T00:00:00"/>
        <d v="2024-03-08T00:00:00"/>
        <d v="2024-03-20T00:00:00"/>
        <d v="2024-09-02T00:00:00"/>
        <d v="2024-06-10T00:00:00"/>
        <d v="2025-02-14T00:00:00"/>
        <d v="2024-10-08T00:00:00"/>
        <d v="2025-02-10T00:00:00"/>
        <d v="2025-04-28T00:00:00"/>
        <d v="2024-05-13T00:00:00"/>
        <d v="2024-08-30T00:00:00"/>
        <d v="2024-04-23T00:00:00"/>
        <d v="2024-05-20T00:00:00"/>
        <d v="2024-10-15T00:00:00"/>
        <d v="2025-01-17T00:00:00"/>
        <d v="2025-01-20T00:00:00"/>
        <d v="2025-02-20T00:00:00"/>
        <d v="2025-05-05T00:00:00"/>
        <d v="2025-07-16T00:00:00"/>
        <d v="2025-07-22T00:00:00"/>
        <d v="2025-07-23T00:00:00"/>
        <d v="2025-09-08T00:00:00"/>
        <d v="2025-09-09T00:00:00"/>
        <d v="2025-03-13T00:00:00"/>
        <d v="2025-09-22T00:00:00"/>
        <d v="2025-02-13T00:00:00"/>
        <d v="2025-09-10T00:00:00"/>
        <d v="2024-12-19T00:00:00"/>
        <d v="2025-09-03T00:00:00"/>
        <d v="2025-03-10T00:00:00"/>
        <d v="2025-08-04T00:00:00" u="1"/>
      </sharedItems>
      <fieldGroup par="49"/>
    </cacheField>
    <cacheField name="AVIZ OLSTRAL" numFmtId="0">
      <sharedItems containsBlank="1" containsMixedTypes="1" containsNumber="1" containsInteger="1" minValue="0" maxValue="202502509" count="1961">
        <n v="26000"/>
        <n v="260002"/>
        <n v="2024387"/>
        <n v="25687"/>
        <m/>
        <n v="2024332"/>
        <n v="2024338"/>
        <n v="25868"/>
        <n v="251082"/>
        <n v="202401244"/>
        <n v="251083"/>
        <n v="2024777"/>
        <n v="2024946"/>
        <n v="2024947"/>
        <n v="25247"/>
        <n v="260017"/>
        <n v="251084"/>
        <n v="202401258"/>
        <n v="2024413"/>
        <n v="2024382"/>
        <n v="2024421"/>
        <n v="2024548"/>
        <n v="2024895"/>
        <n v="202401056"/>
        <n v="251174"/>
        <n v="251173"/>
        <n v="202401114"/>
        <n v="2024470"/>
        <n v="2024896"/>
        <n v="202401159"/>
        <n v="2024692"/>
        <n v="251105"/>
        <n v="2024741"/>
        <n v="25341"/>
        <n v="25352"/>
        <n v="25560"/>
        <n v="251192"/>
        <n v="2024806"/>
        <n v="2024899"/>
        <n v="251172"/>
        <n v="25658"/>
        <n v="2024576"/>
        <n v="2024897"/>
        <n v="2024469"/>
        <n v="2024468"/>
        <n v="202401160"/>
        <n v="202401318"/>
        <s v="BVOLS.25224"/>
        <n v="25419"/>
        <n v="251193"/>
        <n v="202401092"/>
        <n v="202401104"/>
        <n v="202401156"/>
        <n v="25159"/>
        <n v="202401235"/>
        <n v="251140"/>
        <n v="251144"/>
        <n v="25938"/>
        <n v="251145"/>
        <n v="251208"/>
        <n v="25999"/>
        <n v="26001"/>
        <n v="25923"/>
        <n v="1"/>
        <n v="251157"/>
        <n v="202401471"/>
        <n v="202401384"/>
        <n v="202401582"/>
        <n v="202401583"/>
        <n v="202401468"/>
        <n v="2560"/>
        <n v="202401557"/>
        <n v="2024300"/>
        <n v="2024367"/>
        <n v="2024434"/>
        <n v="2024447"/>
        <n v="2024474"/>
        <n v="2024877"/>
        <n v="2024517"/>
        <n v="2024601"/>
        <n v="2024671"/>
        <n v="2024684"/>
        <n v="2024688"/>
        <n v="2024691"/>
        <n v="2024703"/>
        <n v="2024713"/>
        <n v="2024716"/>
        <n v="2024723"/>
        <n v="2024734"/>
        <n v="20232175"/>
        <n v="2024743"/>
        <n v="2024752"/>
        <n v="2024762"/>
        <n v="2024771"/>
        <n v="2024782"/>
        <n v="2024791"/>
        <n v="2024849"/>
        <n v="2024860"/>
        <n v="2024863"/>
        <n v="2024883"/>
        <n v="2024890"/>
        <n v="2024903"/>
        <n v="2024910"/>
        <n v="2022491"/>
        <n v="2024932"/>
        <n v="2024936"/>
        <n v="2024943"/>
        <n v="2024951"/>
        <n v="2024989"/>
        <n v="20241001"/>
        <n v="202401012"/>
        <n v="202401045"/>
        <n v="202401093"/>
        <n v="202401182"/>
        <n v="202401328"/>
        <n v="202401459"/>
        <n v="25568"/>
        <n v="25739"/>
        <n v="25547"/>
        <n v="25569"/>
        <n v="25572"/>
        <n v="25577"/>
        <n v="25609"/>
        <n v="25629"/>
        <n v="25653"/>
        <n v="25665"/>
        <n v="25725"/>
        <n v="25738"/>
        <n v="260029"/>
        <s v="202511L"/>
        <s v="202540L"/>
        <s v="202584L"/>
        <s v="2025130L"/>
        <s v="2025136L"/>
        <s v="2025137L"/>
        <s v="2025158L"/>
        <s v="2025176L"/>
        <s v="2025177L"/>
        <s v="2025180L"/>
        <s v="2025182L"/>
        <n v="2025194"/>
        <n v="2025196"/>
        <s v="2025200L"/>
        <s v="2025201L"/>
        <s v="2025204L"/>
        <s v="2025207L"/>
        <s v="2025215L"/>
        <s v="2025220L"/>
        <s v="2025224L"/>
        <s v="2025232L"/>
        <s v="2025235L"/>
        <s v="2025244L"/>
        <s v="2025246L"/>
        <s v="2025253L"/>
        <s v="2025276L"/>
        <n v="2024299"/>
        <n v="2024304"/>
        <n v="2024368"/>
        <n v="2024433"/>
        <n v="2024448"/>
        <n v="2024444"/>
        <n v="2024457"/>
        <n v="2024473"/>
        <n v="2024602"/>
        <n v="2024652"/>
        <n v="2024665"/>
        <n v="2024670"/>
        <n v="2024719"/>
        <n v="2024724"/>
        <n v="2024732"/>
        <n v="20232176"/>
        <n v="2024744"/>
        <n v="2024745"/>
        <n v="2024753"/>
        <n v="2024772"/>
        <n v="2024781"/>
        <n v="2024797"/>
        <n v="2024798"/>
        <n v="2024872"/>
        <n v="2024884"/>
        <n v="2024891"/>
        <n v="2024904"/>
        <n v="2024912"/>
        <n v="2024922"/>
        <n v="2024923"/>
        <n v="2024929"/>
        <n v="2024938"/>
        <n v="2024944"/>
        <n v="2024952"/>
        <n v="2024962"/>
        <n v="2024968"/>
        <n v="2024969"/>
        <n v="2024979"/>
        <n v="2024987"/>
        <n v="2024995"/>
        <n v="2024999"/>
        <n v="20241000"/>
        <n v="202401011"/>
        <n v="202401043"/>
        <n v="202401044"/>
        <n v="202401047"/>
        <n v="202401094"/>
        <n v="202401327"/>
        <n v="25610"/>
        <n v="25633"/>
        <n v="25654"/>
        <n v="25666"/>
        <n v="25614"/>
        <n v="25667"/>
        <n v="25692"/>
        <n v="25732"/>
        <s v="CDA ANULATA"/>
        <n v="260030"/>
        <n v="251041"/>
        <s v="202532L"/>
        <s v="2025209L"/>
        <s v="2025211L"/>
        <s v="2025223L"/>
        <s v="2025225L"/>
        <s v="2025229L"/>
        <s v="2025236L"/>
        <s v="2025237L"/>
        <s v="2025242L"/>
        <s v="2025247L"/>
        <s v="2025254L"/>
        <s v="2025257L"/>
        <s v="2025264L"/>
        <s v="2025265L"/>
        <s v="2025268L"/>
        <s v="2025271L"/>
        <s v="2025275L"/>
        <s v="2025205l"/>
        <n v="2024498"/>
        <n v="2024636"/>
        <n v="2024967"/>
        <n v="2024285"/>
        <n v="2024471"/>
        <n v="25669"/>
        <n v="25670"/>
        <n v="25750"/>
        <n v="25758"/>
        <n v="25765"/>
        <n v="25771"/>
        <n v="25782"/>
        <n v="25791"/>
        <n v="25797"/>
        <n v="25820"/>
        <n v="25835"/>
        <n v="25674"/>
        <n v="25759"/>
        <n v="25836"/>
        <n v="25848"/>
        <n v="25864"/>
        <n v="25877"/>
        <n v="25879"/>
        <s v="25882 + 25883"/>
        <n v="25928"/>
        <n v="25940"/>
        <n v="25337"/>
        <n v="25353"/>
        <n v="25832"/>
        <n v="25919"/>
        <n v="25927"/>
        <n v="25937"/>
        <n v="25941"/>
        <n v="25946"/>
        <n v="25956"/>
        <n v="25960"/>
        <n v="25974"/>
        <n v="25897"/>
        <n v="25902"/>
        <n v="25911"/>
        <n v="25926"/>
        <s v="2025126l"/>
        <s v="2025131L"/>
        <s v="2025134L"/>
        <s v="2025138L"/>
        <s v="2025144L"/>
        <s v="2025145L"/>
        <s v="2025263L"/>
        <s v="2025267L"/>
        <s v="2025269L"/>
        <s v="2025270L"/>
        <s v="251272L"/>
        <n v="2024541"/>
        <n v="2024543"/>
        <n v="2024549"/>
        <n v="25323"/>
        <n v="25395"/>
        <n v="25418"/>
        <s v="BVOLS.25423"/>
        <n v="25429"/>
        <n v="25446"/>
        <n v="25452"/>
        <n v="25494"/>
        <s v="RETURNAT CAPETELE"/>
        <n v="25878"/>
        <n v="25888"/>
        <n v="25889"/>
        <n v="25898"/>
        <n v="25901"/>
        <n v="25910"/>
        <n v="25918"/>
        <n v="25925"/>
        <n v="25936"/>
        <n v="25942"/>
        <n v="25947"/>
        <n v="25955"/>
        <n v="25959"/>
        <s v="2025133L"/>
        <s v="2025135L"/>
        <s v="2025141L"/>
        <s v="2025142L"/>
        <s v="2025146L"/>
        <s v="2025147L"/>
        <s v="2025156L"/>
        <n v="2024395"/>
        <n v="2024398"/>
        <n v="2024408"/>
        <n v="2024414"/>
        <n v="2024560"/>
        <n v="25622"/>
        <n v="25613"/>
        <n v="25623"/>
        <n v="25631"/>
        <n v="25742"/>
        <n v="25751"/>
        <n v="25753"/>
        <n v="25757"/>
        <n v="25769"/>
        <n v="25656"/>
        <n v="25661"/>
        <n v="25668"/>
        <n v="25672"/>
        <n v="25885"/>
        <n v="25984"/>
        <s v="25985/202527L"/>
        <s v="25995/202527L"/>
        <s v="202524L"/>
        <s v="202562L+61L"/>
        <s v="202512L"/>
        <s v="2025100L"/>
        <s v="2025102L"/>
        <s v="2025107L"/>
        <s v="2025106L"/>
        <s v="2025113L"/>
        <s v="2025117L"/>
        <s v="2025119L"/>
        <n v="2025226"/>
        <n v="2025233"/>
        <s v="2025239L"/>
        <n v="20232236"/>
        <n v="2024417"/>
        <n v="2024409"/>
        <n v="2024410"/>
        <n v="2024415"/>
        <n v="20232237"/>
        <n v="20232238"/>
        <n v="2024418"/>
        <n v="25263"/>
        <n v="25278"/>
        <n v="25361"/>
        <n v="260013"/>
        <n v="251001"/>
        <n v="260032"/>
        <n v="251061"/>
        <n v="251029"/>
        <n v="202551"/>
        <n v="202556"/>
        <s v="202558L"/>
        <s v="202563L"/>
        <s v="202568L"/>
        <s v="202575L"/>
        <s v="202576L"/>
        <s v="202581L"/>
        <s v="202582L"/>
        <s v="202589L"/>
        <s v="202592L"/>
        <s v="202593L"/>
        <s v="202599L"/>
        <s v="2025105L"/>
        <s v="2025110L"/>
        <s v="2025114L"/>
        <s v="2025120L"/>
        <s v="2025123L"/>
        <s v="2025241L"/>
        <s v="2025248L"/>
        <n v="202401123"/>
        <n v="251086"/>
        <n v="2024805"/>
        <n v="260018"/>
        <n v="251085"/>
        <n v="2024353"/>
        <n v="2024661"/>
        <n v="2024674"/>
        <n v="2024679"/>
        <n v="2024690"/>
        <n v="2024709"/>
        <n v="202401038"/>
        <n v="202401046"/>
        <n v="2024279"/>
        <n v="2025252"/>
        <n v="2024380"/>
        <n v="2024436"/>
        <n v="2024495"/>
        <n v="2024503"/>
        <n v="2024876"/>
        <n v="202401148"/>
        <n v="25280"/>
        <n v="2024662"/>
        <n v="2024857"/>
        <n v="2024959"/>
        <n v="202401050"/>
        <n v="2024731"/>
        <n v="202401366"/>
        <s v="bvols.25621"/>
        <n v="25764"/>
        <n v="25922"/>
        <n v="25939"/>
        <n v="2024521"/>
        <n v="2024534"/>
        <n v="202401132"/>
        <n v="202401446"/>
        <n v="25334"/>
        <n v="2025218"/>
        <s v="2025228L"/>
        <n v="2024294"/>
        <n v="2024616"/>
        <n v="2024960"/>
        <n v="2024795"/>
        <n v="202401019"/>
        <n v="202401270"/>
        <n v="202401310"/>
        <n v="202401447"/>
        <n v="25208"/>
        <n v="25228"/>
        <n v="25362"/>
        <n v="2024373"/>
        <n v="2024599"/>
        <n v="2024905"/>
        <n v="202401175"/>
        <n v="25109"/>
        <n v="202401423"/>
        <n v="25837"/>
        <n v="2024774"/>
        <n v="20232285"/>
        <s v="BVOLS.25222"/>
        <n v="2024778"/>
        <n v="20232283"/>
        <n v="202401293"/>
        <n v="25648"/>
        <n v="2024775"/>
        <n v="20232284"/>
        <n v="25328"/>
        <n v="2024908"/>
        <n v="20232280"/>
        <n v="20232281"/>
        <n v="2024776"/>
        <n v="20232282"/>
        <s v="BVOLS.25221"/>
        <n v="202401364"/>
        <n v="2024336"/>
        <n v="2024344"/>
        <n v="2024668"/>
        <n v="2024720"/>
        <n v="2024842"/>
        <n v="2024879"/>
        <n v="2024928"/>
        <n v="2024996"/>
        <n v="202401040"/>
        <n v="202401178"/>
        <n v="202401202"/>
        <n v="202401213"/>
        <n v="202401254"/>
        <n v="202401470"/>
        <n v="202401477"/>
        <s v="BVOLS2529"/>
        <n v="25233"/>
        <n v="25917"/>
        <n v="260012"/>
        <s v="202523L"/>
        <s v="202528L"/>
        <n v="202552"/>
        <n v="202553"/>
        <s v="2025163L"/>
        <s v="2025170l"/>
        <s v="225173L"/>
        <n v="2025191"/>
        <s v="2025208L"/>
        <n v="2024617"/>
        <n v="2024856"/>
        <n v="202401016"/>
        <n v="202401100"/>
        <n v="202401196"/>
        <n v="202401269"/>
        <n v="202401365"/>
        <n v="202401424"/>
        <n v="202401563"/>
        <n v="25110"/>
        <s v="BVOLS25133"/>
        <n v="25217"/>
        <n v="25225"/>
        <n v="260004"/>
        <n v="25991"/>
        <n v="251012"/>
        <n v="2024918"/>
        <n v="2024574"/>
        <n v="2024957"/>
        <n v="2024958"/>
        <n v="202401099"/>
        <n v="202401201"/>
        <n v="202401397"/>
        <s v="BVOLS2510"/>
        <s v="BVOLS2591"/>
        <n v="25916"/>
        <n v="2024497"/>
        <n v="2024824"/>
        <n v="202401041"/>
        <n v="202401042"/>
        <n v="202401049"/>
        <n v="202401157"/>
        <n v="202401390"/>
        <s v="BVOLS2565"/>
        <s v="BVOLS2566"/>
        <n v="25164"/>
        <n v="251044"/>
        <n v="29582"/>
        <n v="25982"/>
        <n v="25996"/>
        <n v="251030"/>
        <s v="202504L"/>
        <s v="202506L"/>
        <s v="202588L"/>
        <s v="2025127L"/>
        <n v="2024355"/>
        <n v="2024435"/>
        <n v="202401517"/>
        <n v="202401520"/>
        <s v="BVOLS2572"/>
        <s v="BVOLS2590"/>
        <s v="BVOLS.25620"/>
        <n v="25632"/>
        <n v="2024324"/>
        <n v="2024363"/>
        <n v="2024532"/>
        <n v="2024533"/>
        <n v="2024538"/>
        <n v="2024592"/>
        <n v="2024611"/>
        <n v="2024612"/>
        <n v="2024614"/>
        <n v="2024615"/>
        <n v="2024626"/>
        <n v="2024643"/>
        <n v="2024651"/>
        <n v="2024682"/>
        <n v="2024685"/>
        <n v="2024694"/>
        <n v="2024695"/>
        <n v="2024793"/>
        <n v="2024821"/>
        <n v="2024829"/>
        <n v="2024834"/>
        <n v="2024835"/>
        <n v="2024838"/>
        <n v="2024848"/>
        <n v="2024851"/>
        <n v="2024864"/>
        <n v="202401098"/>
        <n v="202401106"/>
        <n v="202401121"/>
        <n v="202401143"/>
        <n v="202401184"/>
        <n v="202401185"/>
        <n v="202401246"/>
        <n v="202401247"/>
        <n v="202401259"/>
        <n v="202401260"/>
        <n v="202401272"/>
        <n v="202401280"/>
        <n v="202401299"/>
        <n v="202401374"/>
        <n v="20242014"/>
        <n v="20242010"/>
        <n v="25455"/>
        <n v="202401513"/>
        <n v="202401562"/>
        <n v="202502505"/>
        <s v="BVOLS2513"/>
        <s v="BVOLS2523"/>
        <n v="25136"/>
        <n v="25137"/>
        <n v="25153"/>
        <n v="25171"/>
        <n v="25185"/>
        <n v="25186"/>
        <n v="25276"/>
        <n v="25308"/>
        <n v="25311"/>
        <n v="25430"/>
        <n v="25456"/>
        <n v="25479"/>
        <n v="25532"/>
        <n v="25539"/>
        <n v="25693"/>
        <n v="25700"/>
        <n v="25723"/>
        <n v="25724"/>
        <n v="25740"/>
        <n v="25766"/>
        <n v="25768"/>
        <n v="25779"/>
        <n v="25790"/>
        <n v="25804"/>
        <n v="25993"/>
        <n v="260009"/>
        <n v="251032"/>
        <n v="251039"/>
        <n v="251046"/>
        <s v="202503L"/>
        <s v="202521L"/>
        <s v="202531L"/>
        <s v="202509L"/>
        <s v="202515L"/>
        <s v="202517L"/>
        <n v="202548"/>
        <s v="202586L"/>
        <s v="202595L"/>
        <n v="202596"/>
        <s v="2025101L"/>
        <s v="2025109L"/>
        <s v="2025115L"/>
        <s v="2025153L"/>
        <s v="2025251L"/>
        <s v="2025256L"/>
        <s v="2025259L"/>
        <s v="2025262L"/>
        <s v="2025278L"/>
        <n v="2024837"/>
        <n v="2024853"/>
        <n v="202401355"/>
        <n v="20232263"/>
        <n v="2024730"/>
        <n v="20232268"/>
        <n v="20232277"/>
        <n v="20232286"/>
        <n v="20232292"/>
        <n v="202401292"/>
        <n v="202401333"/>
        <n v="202401379"/>
        <n v="202401411"/>
        <n v="202401441"/>
        <n v="202401464"/>
        <n v="202401504"/>
        <n v="202401547"/>
        <n v="202401593"/>
        <s v="BVOLS2558"/>
        <n v="2593"/>
        <s v="BVOLS.25142"/>
        <s v="BVOLS.25294"/>
        <n v="25326"/>
        <s v="BVOLS.25347"/>
        <n v="25364"/>
        <s v="BVOLS.25386"/>
        <n v="25400"/>
        <n v="25431"/>
        <n v="25459"/>
        <s v="BVOLS.25520"/>
        <n v="25555"/>
        <n v="25559"/>
        <n v="25589"/>
        <n v="25645"/>
        <n v="25711"/>
        <n v="25748"/>
        <n v="25781"/>
        <n v="25773"/>
        <n v="202401028"/>
        <n v="20232254"/>
        <n v="20232258"/>
        <n v="20232261"/>
        <n v="20232264"/>
        <n v="20232274"/>
        <n v="202401329"/>
        <s v="BVOLS.25293"/>
        <n v="25401"/>
        <n v="20232287"/>
        <n v="20232293"/>
        <n v="202401290"/>
        <n v="202401330"/>
        <n v="202401548"/>
        <n v="202401598"/>
        <n v="2024888"/>
        <n v="2024924"/>
        <n v="202401294"/>
        <n v="202401334"/>
        <n v="202401376"/>
        <n v="202401412"/>
        <n v="202502509"/>
        <n v="25365"/>
        <n v="260025"/>
        <n v="202401495"/>
        <n v="202401496"/>
        <n v="202401497"/>
        <n v="202401498"/>
        <n v="202401501"/>
        <n v="202401502"/>
        <n v="202401542"/>
        <n v="202401572"/>
        <s v="BVOLS2553"/>
        <n v="2598"/>
        <s v="BVOLS.25220"/>
        <s v="BVOLS.25290"/>
        <s v="BVOLS.25350"/>
        <s v="BVOLS.25388"/>
        <n v="25594"/>
        <n v="25647"/>
        <n v="25713"/>
        <n v="25747"/>
        <n v="202401029"/>
        <n v="202401289"/>
        <n v="202401549"/>
        <n v="202401594"/>
        <s v="BVOLS.25223"/>
        <n v="25329"/>
        <n v="25461"/>
        <n v="25553"/>
        <n v="25590"/>
        <n v="25686"/>
        <n v="25749"/>
        <n v="202401442"/>
        <n v="202401596"/>
        <s v="BVOLS2554"/>
        <s v="BVOLS.25144"/>
        <n v="25366"/>
        <s v="BVOLS.25387"/>
        <n v="25591"/>
        <n v="25596"/>
        <n v="25626"/>
        <n v="2596"/>
        <n v="202401288"/>
        <n v="202401331"/>
        <n v="202401375"/>
        <s v="BVOLS2555"/>
        <s v="BVOLS.25348"/>
        <n v="202401415"/>
        <n v="202401491"/>
        <n v="202401550"/>
        <n v="202401503"/>
        <n v="202401516"/>
        <n v="202401539"/>
        <n v="202401579"/>
        <s v="BVOLS2501"/>
        <s v="BVOLS2457"/>
        <n v="25163"/>
        <s v="BVOLS.25219"/>
        <s v="BVOLS.25287"/>
        <s v="BVOLS.25351"/>
        <n v="25552"/>
        <s v="BVOLS.25521"/>
        <n v="202401448"/>
        <n v="202401465"/>
        <n v="20232278"/>
        <n v="20232288"/>
        <n v="20232291"/>
        <n v="20242020"/>
        <n v="202401551"/>
        <n v="202401597"/>
        <n v="25367"/>
        <n v="25462"/>
        <n v="25463"/>
        <n v="25592"/>
        <s v="BVOLS.25292"/>
        <n v="20232275"/>
        <n v="202401291"/>
        <n v="202401499"/>
        <n v="202401500"/>
        <n v="202401577"/>
        <s v="BVOLS2549"/>
        <s v="BVOLS.25141"/>
        <s v="BVOLS25162"/>
        <n v="25410"/>
        <n v="25437"/>
        <n v="25438"/>
        <n v="25101"/>
        <n v="20232269"/>
        <n v="202401158"/>
        <n v="202401440"/>
        <n v="202401466"/>
        <n v="202401493"/>
        <n v="202401552"/>
        <n v="202401564"/>
        <n v="202401595"/>
        <s v="BVOLS2556"/>
        <s v="BVOLS.25143"/>
        <s v="BVOLS.25291"/>
        <n v="25325"/>
        <s v="BVOLS.25349"/>
        <s v="BVOLS.25384"/>
        <n v="25402"/>
        <n v="25409"/>
        <n v="25436"/>
        <n v="25460"/>
        <s v="BVOLS.25519"/>
        <n v="25554"/>
        <n v="25558"/>
        <n v="25606"/>
        <n v="25627"/>
        <n v="2597"/>
        <n v="202401553"/>
        <s v="BVOLS2557"/>
        <n v="25327"/>
        <s v="BVOLS.25385"/>
        <n v="25403"/>
        <n v="25433"/>
        <n v="202401544"/>
        <n v="202401546"/>
        <n v="202401574"/>
        <s v="BVOLS2551"/>
        <s v="BVOLS.25140"/>
        <n v="25775"/>
        <n v="25796"/>
        <n v="25802"/>
        <s v=""/>
        <n v="25100"/>
        <n v="2024425"/>
        <n v="2024439"/>
        <n v="2024446"/>
        <n v="2024459"/>
        <n v="2024487"/>
        <n v="2024494"/>
        <n v="2024735"/>
        <n v="2024742"/>
        <n v="2024760"/>
        <n v="2024660"/>
        <n v="2024761"/>
        <n v="2024780"/>
        <n v="2024789"/>
        <n v="2024810"/>
        <n v="2024817"/>
        <n v="25279"/>
        <n v="25469"/>
        <n v="25476"/>
        <n v="25493"/>
        <n v="25492"/>
        <n v="25497"/>
        <n v="25515"/>
        <n v="25523"/>
        <n v="25533"/>
        <n v="25538"/>
        <n v="25544"/>
        <n v="25545"/>
        <n v="25565"/>
        <n v="25573"/>
        <n v="25576"/>
        <n v="25581"/>
        <s v="BVOLS.25603"/>
        <s v="2025175L"/>
        <s v="2025193L"/>
        <s v="2025181L"/>
        <s v="2025185L"/>
        <s v="2025189L"/>
        <s v="2025190L"/>
        <s v="2025192L"/>
        <n v="2025195"/>
        <n v="2025198"/>
        <s v="2025199L"/>
        <s v="2025202L"/>
        <s v="2025203L"/>
        <s v="2025206L"/>
        <s v="2025217L"/>
        <s v="2025219L"/>
        <n v="25232"/>
        <n v="25259"/>
        <n v="25260"/>
        <n v="25264"/>
        <n v="25470"/>
        <n v="25473"/>
        <n v="25474"/>
        <n v="25491"/>
        <n v="25496"/>
        <n v="25557"/>
        <n v="25471"/>
        <n v="25472"/>
        <n v="25475"/>
        <n v="25487"/>
        <n v="25490"/>
        <n v="25498"/>
        <n v="25514"/>
        <s v="BVOLS.25522"/>
        <n v="25534"/>
        <n v="25537"/>
        <n v="25546"/>
        <n v="25566"/>
        <s v="25618 + 25619"/>
        <n v="25548"/>
        <n v="25851"/>
        <n v="25872"/>
        <n v="25884"/>
        <n v="251040"/>
        <s v="202522L"/>
        <s v="2025122L"/>
        <s v="2025118L"/>
        <s v="2025121L"/>
        <s v="2025159L"/>
        <s v="2025234L"/>
        <n v="202401237"/>
        <n v="2024326"/>
        <n v="202401067"/>
        <n v="202401125"/>
        <n v="202401173"/>
        <n v="202401205"/>
        <n v="202401256"/>
        <n v="202401303"/>
        <n v="202401347"/>
        <n v="202401537"/>
        <n v="202401387"/>
        <n v="202401419"/>
        <n v="202401586"/>
        <s v="BVOLS2580"/>
        <s v="BVOLS2589"/>
        <n v="25190"/>
        <n v="20242066"/>
        <s v="BVOLS.25285"/>
        <s v="20242078 anulat // 25394 refacut"/>
        <n v="25441"/>
        <n v="25549"/>
        <n v="25642"/>
        <n v="25691"/>
        <n v="25736"/>
        <n v="25760"/>
        <n v="25762"/>
        <n v="25812"/>
        <n v="25970"/>
        <n v="251016"/>
        <n v="251058"/>
        <n v="251088"/>
        <n v="251102"/>
        <n v="251114"/>
        <n v="251123"/>
        <n v="251143"/>
        <n v="251154"/>
        <n v="251162"/>
        <n v="251223"/>
        <n v="2024411"/>
        <n v="202401111"/>
        <n v="2024825"/>
        <n v="2024846"/>
        <n v="2024948"/>
        <n v="2024990"/>
        <n v="202401014"/>
        <n v="202401023"/>
        <n v="202401076"/>
        <n v="202401110"/>
        <n v="202401128"/>
        <n v="2024991"/>
        <n v="202401320"/>
        <n v="202401129"/>
        <n v="202401349"/>
        <n v="202401437"/>
        <n v="202401538"/>
        <n v="202401591"/>
        <n v="202401481"/>
        <n v="25115"/>
        <n v="25175"/>
        <n v="25226"/>
        <n v="25270"/>
        <n v="25407"/>
        <n v="25442"/>
        <n v="25449"/>
        <n v="25484"/>
        <n v="25643"/>
        <n v="25707"/>
        <n v="25816"/>
        <n v="25858"/>
        <n v="25929"/>
        <n v="251004"/>
        <n v="260020"/>
        <n v="251023"/>
        <n v="251055"/>
        <n v="251078"/>
        <n v="251137"/>
        <n v="251153"/>
        <n v="251176"/>
        <n v="251186"/>
        <n v="251197"/>
        <n v="2024412"/>
        <n v="202401170"/>
        <n v="202401590"/>
        <s v="BVOLS2540"/>
        <n v="25116"/>
        <n v="25176"/>
        <n v="25271"/>
        <n v="25406"/>
        <n v="25450"/>
        <n v="25483"/>
        <n v="25639"/>
        <n v="25817"/>
        <n v="25853"/>
        <n v="251005"/>
        <n v="251015"/>
        <n v="251097"/>
        <n v="251118"/>
        <n v="251138"/>
        <n v="251160"/>
        <n v="251152"/>
        <n v="251167"/>
        <n v="251199"/>
        <n v="2024726"/>
        <n v="2024740"/>
        <n v="202401112"/>
        <s v="BVOLS2544"/>
        <n v="25405"/>
        <n v="25481"/>
        <n v="25640"/>
        <n v="25819"/>
        <n v="25854"/>
        <n v="260019"/>
        <n v="251020"/>
        <n v="251151"/>
        <n v="202401526"/>
        <n v="202401555"/>
        <n v="25269"/>
        <n v="25859"/>
        <n v="260022"/>
        <n v="251022"/>
        <n v="251221"/>
        <n v="2024500"/>
        <n v="20245603"/>
        <n v="2024645"/>
        <n v="2024658"/>
        <n v="2024669"/>
        <n v="2024739"/>
        <n v="2024832"/>
        <n v="2024845"/>
        <n v="2024925"/>
        <n v="2024949"/>
        <n v="2024983"/>
        <n v="202401113"/>
        <n v="202401117"/>
        <n v="202401130"/>
        <n v="202401171"/>
        <n v="202401352"/>
        <n v="202401536"/>
        <s v="BVOLS.25443"/>
        <n v="25482"/>
        <n v="25528"/>
        <n v="25177"/>
        <n v="25644"/>
        <n v="25706"/>
        <n v="25783"/>
        <n v="260021"/>
        <n v="251021"/>
        <n v="251110"/>
        <n v="251204"/>
        <n v="25815"/>
        <n v="25852"/>
        <n v="251220"/>
        <n v="202401255"/>
        <n v="202401285"/>
        <n v="202401353"/>
        <s v="BVOLS2541"/>
        <n v="202401525"/>
        <n v="25113"/>
        <n v="25961"/>
        <n v="251056"/>
        <n v="251076"/>
        <n v="251115"/>
        <n v="251150"/>
        <n v="2024725"/>
        <n v="202401169"/>
        <n v="251187"/>
        <n v="2024329"/>
        <n v="2024392"/>
        <n v="2024393"/>
        <n v="2024399"/>
        <n v="202401168"/>
        <n v="202401286"/>
        <n v="251149"/>
        <n v="251168"/>
        <s v="BVOLS2581"/>
        <n v="251136"/>
        <n v="2024984"/>
        <n v="202401057"/>
        <n v="202401321"/>
        <n v="202401482"/>
        <s v="BVOLS2543"/>
        <n v="25174"/>
        <n v="251161"/>
        <n v="251166"/>
        <n v="2024502"/>
        <n v="2024589"/>
        <n v="2024826"/>
        <n v="202401527"/>
        <n v="202401534"/>
        <n v="202401556"/>
        <n v="25178"/>
        <n v="251057"/>
        <n v="251079"/>
        <s v="25480 &amp; 25486"/>
        <n v="25529"/>
        <n v="251139"/>
        <n v="251218"/>
        <n v="2024977"/>
        <n v="260024"/>
        <n v="251019"/>
        <n v="25860"/>
        <n v="260023"/>
        <n v="25301"/>
        <n v="2024360"/>
        <n v="2024385"/>
        <n v="2024402"/>
        <n v="2024419"/>
        <n v="2024584"/>
        <n v="2024600"/>
        <n v="2024620"/>
        <n v="2024639"/>
        <n v="2024659"/>
        <n v="2024676"/>
        <n v="2024700"/>
        <n v="2024729"/>
        <n v="2024841"/>
        <n v="2024861"/>
        <n v="2024889"/>
        <n v="2024934"/>
        <n v="202401137"/>
        <n v="202401147"/>
        <n v="202401155"/>
        <n v="202401177"/>
        <n v="202401197"/>
        <n v="202401340"/>
        <n v="202401350"/>
        <n v="202401380"/>
        <s v="BVOLS 2569"/>
        <n v="202401394"/>
        <n v="202401418"/>
        <s v="BVOLS2594"/>
        <s v="BVOLS2595"/>
        <s v="BVOLS25122"/>
        <n v="25246"/>
        <n v="25256"/>
        <n v="25262"/>
        <n v="25299"/>
        <n v="25378"/>
        <n v="25420"/>
        <n v="25777"/>
        <s v="BVOLS.25601"/>
        <n v="260014"/>
        <n v="251069"/>
        <n v="251108"/>
        <n v="202401351"/>
        <n v="25776"/>
        <n v="2024307"/>
        <n v="2024361"/>
        <n v="2024461"/>
        <n v="2024803"/>
        <n v="2024472"/>
        <n v="20244501"/>
        <n v="2024522"/>
        <n v="2024565"/>
        <n v="20232197"/>
        <n v="0"/>
        <n v="202401007"/>
        <n v="202401022"/>
        <n v="202401026"/>
        <n v="202401134"/>
        <n v="202401135"/>
        <n v="202401207"/>
        <n v="202401386"/>
        <s v="BVOLS25124"/>
        <n v="202401395"/>
        <n v="202401417"/>
        <s v="BVOLS25125"/>
        <n v="25145"/>
        <n v="25300"/>
        <n v="25340"/>
        <n v="25379"/>
        <n v="25843"/>
        <n v="260015"/>
        <n v="251109"/>
        <n v="251211"/>
        <n v="251226"/>
        <n v="2024204"/>
        <n v="2024249"/>
        <n v="2024381"/>
        <n v="2024575"/>
        <n v="2024675"/>
        <n v="2024763"/>
        <n v="2024801"/>
        <n v="2024802"/>
        <n v="2024964"/>
        <n v="202401072"/>
        <n v="202401090"/>
        <n v="202401091"/>
        <n v="202401145"/>
        <n v="2024286"/>
        <n v="2024302"/>
        <n v="2024460"/>
        <n v="2024630"/>
        <n v="202401073"/>
        <n v="202401074"/>
        <n v="202401127"/>
        <n v="202401126"/>
        <n v="202401206"/>
        <n v="202401257"/>
        <n v="202401348"/>
        <n v="202401420"/>
        <n v="25550"/>
        <n v="25761"/>
        <n v="25811"/>
        <n v="251087"/>
        <n v="251098"/>
        <n v="251124"/>
        <n v="251156"/>
        <n v="251163"/>
        <n v="251224"/>
        <n v="251077"/>
        <n v="251130"/>
        <s v="BVOLS.25286"/>
        <n v="25408"/>
        <n v="25822"/>
        <n v="25857"/>
        <n v="2024287"/>
        <n v="2024564"/>
        <n v="2024420"/>
        <n v="2024563"/>
        <n v="2024972"/>
        <n v="25810"/>
        <n v="251170"/>
        <n v="251190"/>
        <n v="251209"/>
        <n v="251200"/>
        <n v="251210"/>
        <n v="251217"/>
        <n v="2024288"/>
        <s v="2024400/ 2024401"/>
        <n v="2024424"/>
        <n v="2024800"/>
        <n v="202401017"/>
        <n v="202401024"/>
        <n v="202401025"/>
        <n v="202401037"/>
        <n v="202401133"/>
        <s v="BVOLS25123"/>
        <n v="25169"/>
        <n v="25201"/>
        <n v="25202"/>
        <n v="260016"/>
        <n v="251068"/>
        <n v="251107"/>
        <n v="251146"/>
        <n v="251169"/>
        <n v="202401146"/>
        <n v="202401215"/>
        <n v="202401287"/>
        <n v="202401339"/>
        <n v="202401354"/>
        <n v="202401519"/>
        <n v="25180"/>
        <n v="25200"/>
        <n v="25298"/>
        <n v="25451"/>
        <n v="25485"/>
        <n v="25638"/>
        <n v="25708"/>
        <n v="25785"/>
        <n v="25813"/>
        <n v="25855"/>
        <n v="251018"/>
        <n v="26782"/>
        <n v="202401109"/>
        <n v="202401131"/>
        <n v="25677"/>
        <n v="2024303"/>
        <n v="2024736"/>
        <n v="25203"/>
        <n v="2024833"/>
        <n v="25114"/>
        <n v="202401167"/>
        <n v="2024705"/>
        <n v="2024927"/>
        <n v="25962"/>
        <n v="251049"/>
        <n v="251080"/>
        <n v="251113"/>
        <n v="251112"/>
        <n v="25338"/>
        <n v="202401234"/>
        <n v="202401301"/>
        <n v="202401345"/>
        <n v="202401389"/>
        <n v="25662"/>
        <n v="25969"/>
        <n v="251099"/>
        <n v="202401302"/>
        <n v="202401316"/>
        <n v="202401346"/>
        <n v="202401480"/>
        <n v="202401528"/>
        <n v="202401589"/>
        <n v="25272"/>
        <n v="25595"/>
        <n v="25641"/>
        <n v="25763"/>
        <n v="25784"/>
        <n v="25814"/>
        <n v="25726"/>
        <n v="25689"/>
        <n v="25856"/>
        <n v="25892"/>
        <n v="251100"/>
        <n v="251106"/>
        <n v="251125"/>
        <n v="251155"/>
        <n v="251164"/>
        <n v="251177"/>
        <n v="251188"/>
        <n v="251222"/>
        <n v="2024375"/>
        <n v="2024485"/>
        <n v="2024809"/>
        <n v="202401172"/>
        <n v="202401524"/>
        <n v="25930"/>
        <n v="251205"/>
        <n v="251232"/>
        <n v="2024331"/>
        <n v="2024535"/>
        <n v="2024808"/>
        <n v="2024926"/>
        <n v="202401523"/>
        <n v="25231"/>
        <n v="25786"/>
        <n v="251067"/>
        <n v="251207"/>
        <n v="251206"/>
        <n v="25931"/>
        <n v="251017"/>
        <n v="2024423"/>
        <n v="2024978"/>
        <n v="202401079"/>
        <n v="202401080"/>
        <s v="BVOLS2570"/>
        <n v="25168"/>
        <n v="25199"/>
        <n v="25297"/>
        <n v="25302"/>
        <n v="25339"/>
        <n v="25342"/>
        <s v="BVOLS.25600"/>
        <n v="25698"/>
        <n v="2024348"/>
        <n v="2024371"/>
        <n v="2024379"/>
        <n v="2024388"/>
        <n v="20232235"/>
        <n v="2024397"/>
        <n v="202401084"/>
        <n v="2024347"/>
        <n v="2024352"/>
        <n v="2024680"/>
        <n v="2024689"/>
        <n v="2024710"/>
        <n v="202401083"/>
        <n v="2024537"/>
        <n v="2024542"/>
        <n v="2024915"/>
        <n v="2024933"/>
        <n v="2024321"/>
        <n v="2024322"/>
        <n v="2024372"/>
        <n v="2024390"/>
        <n v="2024406"/>
        <n v="2024430"/>
        <n v="2024455"/>
        <n v="2024491"/>
        <n v="2024492"/>
        <n v="2024509"/>
        <n v="2024510"/>
        <n v="2024523"/>
        <n v="2024986"/>
        <n v="202401086"/>
        <n v="202401087"/>
        <n v="202401088"/>
        <n v="202401089"/>
        <n v="202401095"/>
        <n v="202401200"/>
        <n v="202401122"/>
        <n v="202401142"/>
        <n v="202401193"/>
        <n v="202401194"/>
        <n v="202401217"/>
        <n v="202401218"/>
        <n v="202401242"/>
        <n v="202401243"/>
        <n v="202401245"/>
        <n v="202401282"/>
        <n v="202401281"/>
        <n v="202401359"/>
        <n v="202401372"/>
        <n v="202401382"/>
        <n v="202502508"/>
        <s v="BVOLS2531"/>
        <s v="BVOLS2545"/>
        <s v="BVOLS2561"/>
        <s v="BVOLS2578"/>
        <n v="25154"/>
        <s v="BVOLS.25235"/>
        <n v="25241"/>
        <n v="25252"/>
        <n v="25251"/>
        <n v="25307"/>
        <n v="25332"/>
        <n v="25354"/>
        <n v="25399"/>
        <n v="25422"/>
        <n v="25453"/>
        <s v="BVOLS.25507"/>
        <s v="BVOLS.25508"/>
        <n v="25730"/>
        <n v="25886"/>
        <n v="25900"/>
        <n v="25945"/>
        <n v="25954"/>
        <n v="251003"/>
        <n v="251013"/>
        <n v="251034"/>
        <n v="251047"/>
        <s v="202505L"/>
        <s v="202501L"/>
        <s v="202508L"/>
        <s v="202514L"/>
        <s v="202516L"/>
        <s v="202520L"/>
        <s v="202526L"/>
        <s v="202529L"/>
        <s v="202533L"/>
        <s v="202539L"/>
        <s v="202542L"/>
        <s v="202544L"/>
        <n v="202549"/>
        <n v="202554"/>
        <s v="2025140L"/>
        <s v="2025143L"/>
        <s v="2025154L"/>
        <s v="2025164L"/>
        <n v="2025167"/>
        <s v="2025245L"/>
        <s v="2025250L"/>
        <s v="2025255L"/>
        <s v="2025258L"/>
        <s v="2025261L"/>
        <s v="2025273L"/>
        <n v="2024488"/>
        <n v="2024493"/>
        <n v="2024496"/>
        <n v="2024508"/>
        <n v="2024513"/>
        <n v="2024514"/>
        <n v="2024524"/>
        <n v="2024530"/>
        <n v="2024540"/>
        <n v="2024544"/>
        <n v="2024554"/>
        <n v="2024555"/>
        <n v="2024568"/>
        <n v="2024580"/>
        <n v="2024586"/>
        <n v="2024591"/>
        <n v="2024609"/>
        <n v="2024637"/>
        <n v="2024587"/>
        <n v="2024610"/>
        <n v="2024642"/>
        <n v="2024631"/>
        <n v="2024644"/>
        <n v="2024653"/>
        <n v="2024664"/>
        <n v="2024672"/>
        <n v="2024673"/>
        <n v="2024683"/>
        <n v="2024687"/>
        <n v="2024698"/>
        <n v="2024714"/>
        <n v="2024715"/>
        <n v="2024769"/>
        <n v="2024770"/>
        <n v="2024787"/>
        <n v="2024783"/>
        <n v="2024993"/>
        <n v="2024799"/>
        <n v="2024811"/>
        <n v="2024812"/>
        <n v="2024818"/>
        <n v="2024827"/>
        <n v="2024828"/>
        <n v="2024836"/>
        <n v="2024961"/>
        <n v="2024970"/>
        <n v="2024971"/>
        <n v="2024981"/>
        <n v="2024982"/>
        <n v="2024988"/>
        <n v="2024992"/>
        <n v="2024994"/>
        <n v="20241004"/>
        <n v="202401009"/>
        <n v="202401010"/>
        <n v="202401033"/>
        <n v="202401096"/>
        <n v="202401120"/>
        <n v="202401144"/>
        <n v="202401187"/>
        <n v="202401188"/>
        <n v="202401216"/>
        <n v="202401250"/>
        <n v="202401251"/>
        <n v="202401252"/>
        <n v="202401253"/>
        <n v="202401283"/>
        <n v="202401315"/>
        <n v="202401361"/>
        <n v="202401514"/>
        <n v="202401515"/>
        <n v="202401532"/>
        <s v="BVOLS2533"/>
        <s v="BVOLS2532"/>
        <s v="BVOLS25129"/>
        <n v="25134"/>
        <n v="25135"/>
        <n v="25212"/>
        <n v="25229"/>
        <n v="25273"/>
        <n v="25306"/>
        <n v="25310"/>
        <n v="25368"/>
        <n v="25380"/>
        <n v="25396"/>
        <s v="BVOLS.25509"/>
        <n v="25701"/>
        <n v="25722"/>
        <n v="25741"/>
        <n v="25767"/>
        <n v="25849"/>
        <n v="25871"/>
        <n v="25887"/>
        <n v="25951"/>
        <s v="202537L"/>
        <s v="202543L"/>
        <s v="202546L"/>
        <n v="202550"/>
        <s v="202557L"/>
        <s v="202560L"/>
        <s v="202566L"/>
        <s v="202569L"/>
        <s v="202574L"/>
        <s v="202583L"/>
        <s v="2025148L"/>
        <s v="2025179L"/>
        <n v="2025183"/>
        <n v="2025188"/>
        <s v="2025216L"/>
        <s v="2025274L"/>
        <n v="2024289"/>
        <n v="2024298"/>
        <n v="2024306"/>
        <n v="2024308"/>
        <n v="2024323"/>
        <n v="2024334"/>
        <n v="2024335"/>
        <n v="2024342"/>
        <n v="2024407"/>
        <n v="2024343"/>
        <n v="2024364"/>
        <n v="2024365"/>
        <n v="2024376"/>
        <n v="2024378"/>
        <n v="2024383"/>
        <n v="2024384"/>
        <n v="2024391"/>
        <n v="2024432"/>
        <n v="2024449"/>
        <n v="2024478"/>
        <n v="2024479"/>
        <n v="2024489"/>
        <n v="2024552"/>
        <n v="2024553"/>
        <n v="2024566"/>
        <n v="2024578"/>
        <n v="2024579"/>
        <n v="2024585"/>
        <n v="2024590"/>
        <n v="2024598"/>
        <n v="2024608"/>
        <n v="2024618"/>
        <n v="2024625"/>
        <n v="2024632"/>
        <n v="20232172"/>
        <n v="20232173"/>
        <n v="20232179"/>
        <n v="2024746"/>
        <n v="2024747"/>
        <n v="2024768"/>
        <n v="2024784"/>
        <n v="2024785"/>
        <n v="2024794"/>
        <n v="2024813"/>
        <n v="2024814"/>
        <n v="2024886"/>
        <n v="2024887"/>
        <n v="2024892"/>
        <n v="2024901"/>
        <n v="2024913"/>
        <n v="2024920"/>
        <n v="2024930"/>
        <n v="2024935"/>
        <n v="202401097"/>
        <n v="202401189"/>
        <n v="202401190"/>
        <n v="202401223"/>
        <n v="202401224"/>
        <n v="202401225"/>
        <n v="202401300"/>
        <n v="202401314"/>
        <n v="202401360"/>
        <n v="20242013"/>
        <n v="20242009"/>
        <n v="202401428"/>
        <n v="202401455"/>
        <n v="202401456"/>
        <n v="202401512"/>
        <n v="202401561"/>
        <n v="202502507"/>
        <s v="BVOLS2514"/>
        <s v="BVOLS2516"/>
        <s v="BVOLS2517"/>
        <n v="25172"/>
        <n v="25187"/>
        <n v="25192"/>
        <n v="25195"/>
        <n v="25214"/>
        <n v="25274"/>
        <n v="25305"/>
        <n v="25309"/>
        <n v="25355"/>
        <n v="25369"/>
        <n v="25398"/>
        <s v="BVOLS&gt;25512"/>
        <s v="BVOLS.25513"/>
        <n v="25531"/>
        <n v="25567"/>
        <n v="25607"/>
        <n v="25727"/>
        <n v="25943"/>
        <n v="25952"/>
        <n v="25958"/>
        <n v="25980"/>
        <n v="25992"/>
        <n v="25998"/>
        <n v="251037"/>
        <s v="202559L"/>
        <s v="202564L"/>
        <s v="202572L"/>
        <s v="202573L"/>
        <s v="202580L"/>
        <s v="202587L"/>
        <s v="202594L"/>
        <n v="202597"/>
        <s v="2025108L"/>
        <s v="2025124L"/>
        <s v="2025128L"/>
        <s v="2025129L"/>
        <s v="2025132L"/>
        <s v="2025139L"/>
        <s v="2025151L"/>
        <s v="2025161L"/>
        <s v="2025169l"/>
        <s v="2025171L"/>
        <s v="2025178L"/>
        <s v="2025184L"/>
        <n v="2025187"/>
        <s v="2025210L"/>
        <s v="2025222L"/>
        <n v="2025227"/>
        <s v="2025230L"/>
        <s v="2025277L"/>
        <n v="2024340"/>
        <n v="2024341"/>
        <n v="2024362"/>
        <n v="2024431"/>
        <n v="2024452"/>
        <n v="2024453"/>
        <n v="2024454"/>
        <n v="2024475"/>
        <n v="2024476"/>
        <n v="2024477"/>
        <n v="2024624"/>
        <n v="2024839"/>
        <n v="2024850"/>
        <n v="2024885"/>
        <n v="2024893"/>
        <n v="2024900"/>
        <n v="2024914"/>
        <n v="2024919"/>
        <n v="20241002"/>
        <n v="2024931"/>
        <n v="2024939"/>
        <n v="2024941"/>
        <n v="2024942"/>
        <n v="2024950"/>
        <n v="20241003"/>
        <n v="202401013"/>
        <n v="202401034"/>
        <n v="202401035"/>
        <n v="202401036"/>
        <n v="202401039"/>
        <n v="202401191"/>
        <n v="202401192"/>
        <n v="202401219"/>
        <n v="202401220"/>
        <n v="202401221"/>
        <n v="202401222"/>
        <n v="202401284"/>
        <n v="202401371"/>
        <n v="20242030"/>
        <n v="202401580"/>
        <s v="BVOLS2518"/>
        <s v="BVOLS2519"/>
        <s v="BVOLS2564"/>
        <n v="25157"/>
        <n v="25158"/>
        <n v="25170"/>
        <n v="25188"/>
        <n v="25211"/>
        <s v="BVOLS.25236"/>
        <n v="25242"/>
        <n v="25249"/>
        <s v="BVOLS.25258"/>
        <n v="25266"/>
        <n v="25729"/>
        <n v="25805"/>
        <n v="25840"/>
        <n v="25915"/>
        <n v="25924"/>
        <n v="25978"/>
        <n v="2025186"/>
        <n v="2024301"/>
        <n v="2024305"/>
        <n v="2024309"/>
        <n v="2024319"/>
        <n v="2024333"/>
        <n v="2024366"/>
        <n v="2024377"/>
        <n v="2024389"/>
        <n v="2024404"/>
        <n v="2024429"/>
        <n v="2024445"/>
        <n v="2024450"/>
        <n v="2024451"/>
        <n v="2024480"/>
        <n v="2024481"/>
        <n v="2024490"/>
        <n v="2024539"/>
        <n v="2024557"/>
        <n v="2024569"/>
        <n v="2024570"/>
        <n v="2024571"/>
        <n v="2024572"/>
        <n v="2024577"/>
        <n v="2024581"/>
        <n v="2024638"/>
        <n v="2024635"/>
        <n v="2024640"/>
        <n v="2024646"/>
        <n v="2024649"/>
        <n v="2024650"/>
        <n v="2024663"/>
        <n v="2024758"/>
        <n v="2024681"/>
        <n v="2024697"/>
        <n v="20232177"/>
        <n v="20232178"/>
        <n v="2024749"/>
        <n v="2024759"/>
        <n v="2024767"/>
        <n v="2024786"/>
        <n v="2024792"/>
        <n v="2024796"/>
        <n v="2024815"/>
        <n v="2024819"/>
        <n v="2024820"/>
        <n v="2024843"/>
        <n v="2024844"/>
        <n v="2024874"/>
        <n v="2024985"/>
        <n v="202401008"/>
        <n v="202401186"/>
        <n v="202401226"/>
        <n v="202401227"/>
        <n v="202401248"/>
        <n v="202401249"/>
        <n v="202401261"/>
        <n v="202401262"/>
        <n v="202401313"/>
        <n v="202401373"/>
        <n v="202401398"/>
        <n v="202401430"/>
        <n v="202401457"/>
        <n v="202502506"/>
        <s v="BVOLS2515"/>
        <s v="BVOLS2520"/>
        <s v="BVOLS2521"/>
        <n v="25155"/>
        <n v="25189"/>
        <n v="25193"/>
        <n v="25196"/>
        <n v="25304"/>
        <s v="25331/25360"/>
        <n v="25358"/>
        <n v="200356"/>
        <n v="25370"/>
        <n v="25454"/>
        <n v="25478"/>
        <s v="BVOLS.25510"/>
        <n v="25728"/>
        <n v="25806"/>
        <n v="25839"/>
        <n v="25979"/>
        <n v="25994"/>
        <n v="25997"/>
        <n v="260010"/>
        <n v="25944"/>
        <n v="25953"/>
        <s v="202571L"/>
        <s v="202579L"/>
        <s v="202598L"/>
        <s v="2025103L"/>
        <s v="2025116L"/>
        <s v="2025125L"/>
        <s v="2025149L"/>
        <n v="2025157"/>
        <s v="2025160L"/>
        <s v="2025165L"/>
        <n v="2025166"/>
        <s v="2025168l"/>
        <s v="2025172L"/>
        <n v="2025197"/>
        <s v="2025214L"/>
        <s v="2025231L"/>
        <n v="2025238"/>
        <s v="2025243L"/>
        <s v="2025249L"/>
        <n v="2024506"/>
        <n v="2024507"/>
        <n v="2024515"/>
        <n v="2024516"/>
        <n v="2024525"/>
        <n v="2024526"/>
        <n v="2024527"/>
        <n v="2024531"/>
        <n v="2024686"/>
        <n v="2024696"/>
        <n v="2024711"/>
        <n v="2024712"/>
        <n v="2024717"/>
        <n v="2024718"/>
        <n v="2024727"/>
        <n v="2024728"/>
        <n v="20232174"/>
        <n v="2024766"/>
        <n v="2024855"/>
        <n v="2024852"/>
        <n v="2024858"/>
        <n v="2024859"/>
        <n v="202401183"/>
        <s v="BVOLS2534"/>
        <n v="202401228"/>
        <n v="202401230"/>
        <n v="202401231"/>
        <n v="202401232"/>
        <n v="202401399"/>
        <n v="20242011"/>
        <n v="20242012"/>
        <n v="202401429"/>
        <n v="202401458"/>
        <s v="BVOLS2512"/>
        <s v="BVOLS2524"/>
        <s v="BVOLS2522"/>
        <s v="BVOLS2535"/>
        <s v="BVOLS2592"/>
        <n v="25111"/>
        <n v="25138"/>
        <n v="25156"/>
        <n v="25213"/>
        <n v="25230"/>
        <s v="BVOLS.25237"/>
        <n v="25240"/>
        <n v="25250"/>
        <n v="25265"/>
        <n v="25275"/>
        <n v="25303"/>
        <n v="25333"/>
        <n v="25357"/>
        <n v="25359"/>
        <n v="25371"/>
        <n v="25397"/>
        <s v="BVOLS.25511"/>
        <n v="25580"/>
        <n v="25608"/>
        <n v="25628"/>
        <n v="25655"/>
        <n v="25664"/>
        <n v="25731"/>
        <n v="260031"/>
        <n v="251002"/>
        <n v="251035"/>
        <n v="260008"/>
        <n v="251010"/>
        <n v="251038"/>
        <n v="251045"/>
        <s v="202502L"/>
        <s v="202507L"/>
        <s v="202513L"/>
        <s v="202510L"/>
        <s v="202519L"/>
        <s v="202525L"/>
        <s v="202530L"/>
        <s v="202535L"/>
        <s v="202536L"/>
        <s v="202541L"/>
        <s v="202545L"/>
        <n v="202547"/>
        <n v="202555"/>
        <s v="202565L"/>
        <s v="202570L"/>
        <s v="202577L"/>
        <s v="202578L"/>
        <s v="202585L"/>
        <s v="2025112l"/>
        <s v="2025152L"/>
        <s v="2025155L"/>
        <s v="2025213L"/>
        <n v="25893"/>
        <s v="2025221L"/>
        <n v="2024310"/>
        <n v="25152"/>
        <n v="2024318"/>
        <n v="2024528"/>
        <n v="2024499"/>
        <n v="2024906"/>
        <n v="202401051"/>
        <n v="202401241"/>
        <n v="29590"/>
        <n v="260003"/>
        <n v="260007"/>
        <n v="2024804"/>
        <n v="202401174"/>
        <n v="25981"/>
        <n v="2024327"/>
        <n v="2024916"/>
        <n v="25838"/>
        <s v="2025162L"/>
      </sharedItems>
    </cacheField>
    <cacheField name="COMANDĂ" numFmtId="0">
      <sharedItems containsBlank="1" containsMixedTypes="1" containsNumber="1" containsInteger="1" minValue="0" maxValue="7018682494"/>
    </cacheField>
    <cacheField name="REPER" numFmtId="0">
      <sharedItems containsBlank="1" containsMixedTypes="1" containsNumber="1" minValue="154805.12100000001" maxValue="1818509748"/>
    </cacheField>
    <cacheField name="OK" numFmtId="0">
      <sharedItems containsString="0" containsBlank="1" containsNumber="1" containsInteger="1" minValue="0" maxValue="3960"/>
    </cacheField>
    <cacheField name="Sales" numFmtId="0">
      <sharedItems containsBlank="1" containsMixedTypes="1" containsNumber="1" minValue="0" maxValue="145500"/>
    </cacheField>
    <cacheField name="NOK" numFmtId="0">
      <sharedItems containsBlank="1" containsMixedTypes="1" containsNumber="1" containsInteger="1" minValue="0" maxValue="230"/>
    </cacheField>
    <cacheField name="Observații" numFmtId="0">
      <sharedItems containsBlank="1" containsMixedTypes="1" containsNumber="1" containsInteger="1" minValue="5" maxValue="5"/>
    </cacheField>
    <cacheField name="Factură/Serie" numFmtId="0">
      <sharedItems containsBlank="1"/>
    </cacheField>
    <cacheField name="OTD" numFmtId="0">
      <sharedItems containsBlank="1" count="5">
        <s v="On Time"/>
        <s v="Late"/>
        <s v=""/>
        <m/>
        <e v="#REF!"/>
      </sharedItems>
    </cacheField>
    <cacheField name="Month" numFmtId="0">
      <sharedItems containsDate="1" containsBlank="1" containsMixedTypes="1" minDate="1899-12-31T04:01:03" maxDate="1900-01-12T00:00:00" count="28">
        <s v="June"/>
        <s v="April"/>
        <s v="May"/>
        <s v="December"/>
        <s v="November"/>
        <s v="March"/>
        <s v="January"/>
        <s v="February"/>
        <s v="July"/>
        <s v="August"/>
        <s v="September"/>
        <s v="October"/>
        <m/>
        <n v="9" u="1"/>
        <n v="10" u="1"/>
        <n v="1" u="1"/>
        <d v="1899-12-31T00:00:00" u="1"/>
        <d v="1900-01-03T00:00:00" u="1"/>
        <d v="1900-01-06T00:00:00" u="1"/>
        <d v="1900-01-07T00:00:00" u="1"/>
        <d v="1900-01-08T00:00:00" u="1"/>
        <d v="1900-01-04T00:00:00" u="1"/>
        <d v="1900-01-02T00:00:00" u="1"/>
        <d v="1900-01-05T00:00:00" u="1"/>
        <d v="1900-01-09T00:00:00" u="1"/>
        <d v="1900-01-10T00:00:00" u="1"/>
        <d v="1900-01-01T00:00:00" u="1"/>
        <d v="1900-01-11T00:00:00" u="1"/>
      </sharedItems>
    </cacheField>
    <cacheField name="YEAR" numFmtId="0">
      <sharedItems containsString="0" containsBlank="1" containsNumber="1" containsInteger="1" minValue="1900" maxValue="2027" count="8">
        <n v="2025"/>
        <n v="2024"/>
        <n v="2023"/>
        <n v="2026"/>
        <n v="2022"/>
        <n v="2027"/>
        <m/>
        <n v="1900" u="1"/>
      </sharedItems>
    </cacheField>
    <cacheField name="Column1" numFmtId="0">
      <sharedItems containsNonDate="0" containsString="0" containsBlank="1"/>
    </cacheField>
    <cacheField name="Field2" numFmtId="0" formula="#NAME?" databaseField="0"/>
    <cacheField name="Field3" numFmtId="0" formula="#NAME?" databaseField="0"/>
    <cacheField name="Field4" numFmtId="0" formula="#NAME?" databaseField="0"/>
    <cacheField name="Diferenta" numFmtId="0" formula="OK*'Price/Order'" databaseField="0"/>
    <cacheField name="Months (ETA_x000a_As requested_x000a_dd.mm.yyyy)" numFmtId="0" databaseField="0">
      <fieldGroup base="10">
        <rangePr groupBy="months" startDate="2022-02-11T00:00:00" endDate="2027-04-28T00:00:00"/>
        <groupItems count="14">
          <s v="&lt;2/11/2022"/>
          <s v="Jan"/>
          <s v="Feb"/>
          <s v="Mar"/>
          <s v="Apr"/>
          <s v="May"/>
          <s v="Jun"/>
          <s v="Jul"/>
          <s v="Aug"/>
          <s v="Sep"/>
          <s v="Oct"/>
          <s v="Nov"/>
          <s v="Dec"/>
          <s v="&gt;4/28/2027"/>
        </groupItems>
      </fieldGroup>
    </cacheField>
    <cacheField name="Quarters (ETA_x000a_As requested_x000a_dd.mm.yyyy)" numFmtId="0" databaseField="0">
      <fieldGroup base="10">
        <rangePr groupBy="quarters" startDate="2022-02-11T00:00:00" endDate="2027-04-28T00:00:00"/>
        <groupItems count="6">
          <s v="&lt;2/11/2022"/>
          <s v="Qtr1"/>
          <s v="Qtr2"/>
          <s v="Qtr3"/>
          <s v="Qtr4"/>
          <s v="&gt;4/28/2027"/>
        </groupItems>
      </fieldGroup>
    </cacheField>
    <cacheField name="Years (ETA_x000a_As requested_x000a_dd.mm.yyyy)" numFmtId="0" databaseField="0">
      <fieldGroup base="10">
        <rangePr groupBy="years" startDate="2022-02-11T00:00:00" endDate="2027-04-28T00:00:00"/>
        <groupItems count="8">
          <s v="&lt;2/11/2022"/>
          <s v="2022"/>
          <s v="2023"/>
          <s v="2024"/>
          <s v="2025"/>
          <s v="2026"/>
          <s v="2027"/>
          <s v="&gt;4/28/2027"/>
        </groupItems>
      </fieldGroup>
    </cacheField>
    <cacheField name="Days (Dată de livrare)" numFmtId="0" databaseField="0">
      <fieldGroup base="27">
        <rangePr groupBy="days" startDate="2024-03-08T00:00:00" endDate="2025-11-05T00:00:00"/>
        <groupItems count="368">
          <s v="&lt;3/8/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5/2025"/>
        </groupItems>
      </fieldGroup>
    </cacheField>
    <cacheField name="Months (Dată de livrare)" numFmtId="0" databaseField="0">
      <fieldGroup base="27">
        <rangePr groupBy="months" startDate="2024-03-08T00:00:00" endDate="2025-11-05T00:00:00"/>
        <groupItems count="14">
          <s v="&lt;3/8/2024"/>
          <s v="Jan"/>
          <s v="Feb"/>
          <s v="Mar"/>
          <s v="Apr"/>
          <s v="May"/>
          <s v="Jun"/>
          <s v="Jul"/>
          <s v="Aug"/>
          <s v="Sep"/>
          <s v="Oct"/>
          <s v="Nov"/>
          <s v="Dec"/>
          <s v="&gt;11/5/2025"/>
        </groupItems>
      </fieldGroup>
    </cacheField>
    <cacheField name="Years (Dată de livrare)" numFmtId="0" databaseField="0">
      <fieldGroup base="27">
        <rangePr groupBy="years" startDate="2024-03-08T00:00:00" endDate="2025-11-05T00:00:00"/>
        <groupItems count="4">
          <s v="&lt;3/8/2024"/>
          <s v="2024"/>
          <s v="2025"/>
          <s v="&gt;11/5/2025"/>
        </groupItems>
      </fieldGroup>
    </cacheField>
  </cacheFields>
  <extLst>
    <ext xmlns:x14="http://schemas.microsoft.com/office/spreadsheetml/2009/9/main" uri="{725AE2AE-9491-48be-B2B4-4EB974FC3084}">
      <x14:pivotCacheDefinition pivotCacheId="744225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27">
  <r>
    <x v="0"/>
    <x v="0"/>
    <x v="0"/>
    <x v="0"/>
    <x v="0"/>
    <s v="bucsa"/>
    <n v="0"/>
    <n v="5.32"/>
    <n v="5"/>
    <n v="26.6"/>
    <x v="0"/>
    <n v="27"/>
    <n v="2025"/>
    <n v="0"/>
    <x v="0"/>
    <n v="0"/>
    <m/>
    <s v="approved"/>
    <n v="0"/>
    <s v="no"/>
    <m/>
    <m/>
    <m/>
    <m/>
    <m/>
    <m/>
    <x v="0"/>
    <x v="0"/>
    <x v="0"/>
    <n v="7000971923"/>
    <n v="154805.12100000001"/>
    <n v="5"/>
    <n v="26.6"/>
    <m/>
    <m/>
    <s v="20250802-27.06.2025"/>
    <x v="0"/>
    <x v="0"/>
    <x v="0"/>
    <m/>
  </r>
  <r>
    <x v="0"/>
    <x v="0"/>
    <x v="0"/>
    <x v="0"/>
    <x v="0"/>
    <s v="bucsa"/>
    <n v="0"/>
    <n v="5.32"/>
    <n v="500"/>
    <n v="2660"/>
    <x v="0"/>
    <n v="27"/>
    <n v="2025"/>
    <n v="0"/>
    <x v="0"/>
    <n v="0"/>
    <m/>
    <s v="approved"/>
    <n v="0"/>
    <s v="no"/>
    <m/>
    <m/>
    <m/>
    <m/>
    <m/>
    <m/>
    <x v="0"/>
    <x v="0"/>
    <x v="1"/>
    <n v="7000971923"/>
    <n v="154805.12100000001"/>
    <n v="500"/>
    <n v="2660"/>
    <m/>
    <m/>
    <s v="20250803-27.06.2025"/>
    <x v="0"/>
    <x v="0"/>
    <x v="0"/>
    <m/>
  </r>
  <r>
    <x v="1"/>
    <x v="0"/>
    <x v="1"/>
    <x v="1"/>
    <x v="1"/>
    <s v="ANLAUFSCHEIBE"/>
    <s v="e"/>
    <n v="10.79"/>
    <n v="100"/>
    <n v="1079"/>
    <x v="1"/>
    <n v="15"/>
    <n v="2024"/>
    <n v="0"/>
    <x v="1"/>
    <n v="200"/>
    <m/>
    <s v="approved"/>
    <n v="56"/>
    <s v="yes"/>
    <m/>
    <m/>
    <m/>
    <m/>
    <m/>
    <s v="240609"/>
    <x v="0"/>
    <x v="1"/>
    <x v="2"/>
    <n v="5500000781"/>
    <n v="557809"/>
    <n v="100"/>
    <n v="1079"/>
    <m/>
    <m/>
    <s v="20240425-22.04.2025"/>
    <x v="1"/>
    <x v="1"/>
    <x v="1"/>
    <m/>
  </r>
  <r>
    <x v="1"/>
    <x v="0"/>
    <x v="1"/>
    <x v="1"/>
    <x v="1"/>
    <s v="ANLAUFSCHEIBE"/>
    <s v="e"/>
    <n v="10.79"/>
    <n v="100"/>
    <n v="1079"/>
    <x v="2"/>
    <n v="17"/>
    <n v="2024"/>
    <n v="0"/>
    <x v="1"/>
    <n v="200"/>
    <m/>
    <s v="approved"/>
    <n v="56"/>
    <s v="yes"/>
    <m/>
    <m/>
    <m/>
    <m/>
    <m/>
    <s v="240609"/>
    <x v="0"/>
    <x v="1"/>
    <x v="2"/>
    <n v="5500000781"/>
    <n v="557809"/>
    <n v="100"/>
    <n v="1079"/>
    <m/>
    <m/>
    <s v="20240425-22.04.2025"/>
    <x v="0"/>
    <x v="1"/>
    <x v="1"/>
    <m/>
  </r>
  <r>
    <x v="1"/>
    <x v="0"/>
    <x v="1"/>
    <x v="1"/>
    <x v="1"/>
    <s v="ANLAUFSCHEIBE"/>
    <s v="e"/>
    <n v="10.79"/>
    <n v="100"/>
    <n v="1079"/>
    <x v="3"/>
    <n v="20"/>
    <n v="2024"/>
    <n v="0"/>
    <x v="1"/>
    <n v="200"/>
    <m/>
    <s v="approved"/>
    <n v="56"/>
    <s v="yes"/>
    <m/>
    <m/>
    <m/>
    <m/>
    <m/>
    <s v="240609"/>
    <x v="0"/>
    <x v="1"/>
    <x v="2"/>
    <n v="5500000781"/>
    <n v="557809"/>
    <n v="100"/>
    <n v="1079"/>
    <m/>
    <m/>
    <s v="20240425-22.04.2025"/>
    <x v="0"/>
    <x v="2"/>
    <x v="1"/>
    <m/>
  </r>
  <r>
    <x v="1"/>
    <x v="0"/>
    <x v="1"/>
    <x v="1"/>
    <x v="1"/>
    <s v="ANLAUFSCHEIBE"/>
    <s v="e"/>
    <n v="10.79"/>
    <n v="100"/>
    <n v="1079"/>
    <x v="4"/>
    <n v="21"/>
    <n v="2024"/>
    <n v="0"/>
    <x v="1"/>
    <n v="200"/>
    <m/>
    <s v="approved"/>
    <n v="56"/>
    <s v="yes"/>
    <m/>
    <m/>
    <m/>
    <m/>
    <m/>
    <s v="240609"/>
    <x v="0"/>
    <x v="1"/>
    <x v="2"/>
    <n v="5500000781"/>
    <n v="557809"/>
    <n v="100"/>
    <n v="1079"/>
    <m/>
    <m/>
    <s v="20240425-22.04.2025"/>
    <x v="0"/>
    <x v="2"/>
    <x v="1"/>
    <m/>
  </r>
  <r>
    <x v="1"/>
    <x v="0"/>
    <x v="1"/>
    <x v="1"/>
    <x v="1"/>
    <s v="ANLAUFSCHEIBE"/>
    <s v="e"/>
    <n v="10.79"/>
    <n v="100"/>
    <n v="1079"/>
    <x v="5"/>
    <n v="17"/>
    <n v="2025"/>
    <n v="0"/>
    <x v="2"/>
    <n v="200"/>
    <m/>
    <m/>
    <n v="2.0833333333333335"/>
    <s v="yes"/>
    <m/>
    <m/>
    <m/>
    <m/>
    <m/>
    <m/>
    <x v="0"/>
    <x v="2"/>
    <x v="3"/>
    <n v="5500000781"/>
    <n v="557809"/>
    <n v="100"/>
    <n v="1079"/>
    <m/>
    <m/>
    <s v="20250565-29.04.2025"/>
    <x v="1"/>
    <x v="1"/>
    <x v="0"/>
    <m/>
  </r>
  <r>
    <x v="2"/>
    <x v="0"/>
    <x v="2"/>
    <x v="2"/>
    <x v="2"/>
    <s v="HV-ROTOR D8B PRE-MACHINED (6524466)"/>
    <s v="A1"/>
    <s v=""/>
    <n v="50"/>
    <s v=" "/>
    <x v="6"/>
    <n v="48"/>
    <n v="2023"/>
    <n v="0"/>
    <x v="3"/>
    <n v="50"/>
    <m/>
    <s v="project"/>
    <n v="56"/>
    <s v="yes"/>
    <m/>
    <m/>
    <m/>
    <m/>
    <m/>
    <m/>
    <x v="0"/>
    <x v="3"/>
    <x v="4"/>
    <s v=""/>
    <s v=""/>
    <m/>
    <e v="#VALUE!"/>
    <m/>
    <s v="Proiect Anulat"/>
    <m/>
    <x v="1"/>
    <x v="3"/>
    <x v="2"/>
    <m/>
  </r>
  <r>
    <x v="2"/>
    <x v="0"/>
    <x v="2"/>
    <x v="2"/>
    <x v="3"/>
    <s v="HV-ROTOR D16B PRE-MACHINED (6524201)"/>
    <s v="A0"/>
    <s v=""/>
    <n v="50"/>
    <s v=" "/>
    <x v="6"/>
    <n v="48"/>
    <n v="2023"/>
    <n v="0"/>
    <x v="3"/>
    <n v="50"/>
    <m/>
    <s v="project"/>
    <n v="56"/>
    <s v="yes"/>
    <m/>
    <m/>
    <m/>
    <m/>
    <m/>
    <m/>
    <x v="0"/>
    <x v="3"/>
    <x v="4"/>
    <s v=""/>
    <s v=""/>
    <m/>
    <e v="#VALUE!"/>
    <m/>
    <s v="Proiect Anulat"/>
    <m/>
    <x v="1"/>
    <x v="3"/>
    <x v="2"/>
    <m/>
  </r>
  <r>
    <x v="3"/>
    <x v="0"/>
    <x v="3"/>
    <x v="3"/>
    <x v="4"/>
    <s v="VALVE BODY         ."/>
    <s v="AB"/>
    <n v="8.25"/>
    <n v="509"/>
    <n v="4199.25"/>
    <x v="7"/>
    <n v="45"/>
    <n v="2023"/>
    <n v="0"/>
    <x v="4"/>
    <n v="550"/>
    <n v="60"/>
    <s v="approved"/>
    <n v="56"/>
    <s v="yes"/>
    <m/>
    <m/>
    <m/>
    <m/>
    <m/>
    <m/>
    <x v="0"/>
    <x v="4"/>
    <x v="5"/>
    <n v="4509573576"/>
    <n v="1535100044"/>
    <n v="90"/>
    <n v="742.5"/>
    <m/>
    <s v="livrata toata comanda, comanda inchisa in supplyon"/>
    <m/>
    <x v="1"/>
    <x v="4"/>
    <x v="2"/>
    <m/>
  </r>
  <r>
    <x v="3"/>
    <x v="0"/>
    <x v="4"/>
    <x v="4"/>
    <x v="4"/>
    <s v="VALVE BODY         ."/>
    <s v="AB"/>
    <n v="8.25"/>
    <n v="5"/>
    <n v="41.25"/>
    <x v="8"/>
    <n v="17"/>
    <n v="2024"/>
    <n v="0"/>
    <x v="4"/>
    <n v="550"/>
    <n v="60"/>
    <s v="approved"/>
    <n v="56"/>
    <s v="yes"/>
    <m/>
    <m/>
    <m/>
    <m/>
    <m/>
    <n v="241307"/>
    <x v="0"/>
    <x v="5"/>
    <x v="6"/>
    <n v="5500495155"/>
    <n v="1535100044"/>
    <n v="5"/>
    <n v="41.25"/>
    <m/>
    <m/>
    <m/>
    <x v="0"/>
    <x v="1"/>
    <x v="1"/>
    <m/>
  </r>
  <r>
    <x v="3"/>
    <x v="0"/>
    <x v="4"/>
    <x v="4"/>
    <x v="4"/>
    <s v="VALVE BODY         ."/>
    <s v="AB"/>
    <n v="8.25"/>
    <n v="4"/>
    <n v="33"/>
    <x v="9"/>
    <n v="13"/>
    <n v="2025"/>
    <n v="0"/>
    <x v="4"/>
    <n v="550"/>
    <n v="60"/>
    <s v="approved"/>
    <n v="56"/>
    <s v="yes"/>
    <m/>
    <m/>
    <m/>
    <m/>
    <m/>
    <m/>
    <x v="0"/>
    <x v="5"/>
    <x v="6"/>
    <n v="5500495155"/>
    <n v="1535100044"/>
    <n v="4"/>
    <n v="33"/>
    <m/>
    <m/>
    <m/>
    <x v="0"/>
    <x v="5"/>
    <x v="0"/>
    <m/>
  </r>
  <r>
    <x v="3"/>
    <x v="0"/>
    <x v="4"/>
    <x v="5"/>
    <x v="4"/>
    <s v="VALVE BODY         ."/>
    <s v="AB"/>
    <n v="8.25"/>
    <n v="85"/>
    <n v="701.25"/>
    <x v="10"/>
    <n v="20"/>
    <n v="2025"/>
    <n v="0"/>
    <x v="4"/>
    <n v="550"/>
    <n v="56"/>
    <s v="approved"/>
    <n v="56"/>
    <s v="yes"/>
    <m/>
    <m/>
    <s v="yes"/>
    <m/>
    <s v="produse"/>
    <m/>
    <x v="0"/>
    <x v="6"/>
    <x v="7"/>
    <n v="5500495155"/>
    <n v="1535100044"/>
    <n v="85"/>
    <n v="701.25"/>
    <m/>
    <m/>
    <s v="20250699-03.06.2025"/>
    <x v="1"/>
    <x v="2"/>
    <x v="0"/>
    <m/>
  </r>
  <r>
    <x v="3"/>
    <x v="0"/>
    <x v="4"/>
    <x v="5"/>
    <x v="4"/>
    <s v="VALVE BODY         ."/>
    <s v="AB"/>
    <n v="8.25"/>
    <n v="174"/>
    <n v="1435.5"/>
    <x v="11"/>
    <n v="51"/>
    <n v="2025"/>
    <n v="0"/>
    <x v="4"/>
    <n v="550"/>
    <n v="56"/>
    <s v="approved"/>
    <n v="56"/>
    <s v="yes"/>
    <m/>
    <m/>
    <m/>
    <m/>
    <m/>
    <m/>
    <x v="0"/>
    <x v="7"/>
    <x v="8"/>
    <n v="5500495155"/>
    <n v="1535100044"/>
    <n v="174"/>
    <n v="1435.5"/>
    <m/>
    <m/>
    <s v="20250960-24.07.2025"/>
    <x v="0"/>
    <x v="3"/>
    <x v="0"/>
    <m/>
  </r>
  <r>
    <x v="3"/>
    <x v="1"/>
    <x v="4"/>
    <x v="5"/>
    <x v="4"/>
    <s v="VALVE BODY         ."/>
    <s v="AB"/>
    <n v="0"/>
    <n v="16"/>
    <n v="0"/>
    <x v="12"/>
    <n v="5"/>
    <n v="2026"/>
    <n v="0"/>
    <x v="4"/>
    <n v="550"/>
    <n v="56"/>
    <s v="approved"/>
    <n v="56"/>
    <s v="yes"/>
    <m/>
    <m/>
    <m/>
    <m/>
    <m/>
    <m/>
    <x v="1"/>
    <x v="3"/>
    <x v="4"/>
    <s v=""/>
    <s v=""/>
    <m/>
    <n v="0"/>
    <m/>
    <m/>
    <m/>
    <x v="2"/>
    <x v="6"/>
    <x v="3"/>
    <m/>
  </r>
  <r>
    <x v="3"/>
    <x v="1"/>
    <x v="4"/>
    <x v="5"/>
    <x v="4"/>
    <s v="VALVE BODY         ."/>
    <s v="AB"/>
    <n v="0"/>
    <n v="15"/>
    <n v="0"/>
    <x v="13"/>
    <n v="9"/>
    <n v="2026"/>
    <n v="0"/>
    <x v="4"/>
    <n v="550"/>
    <n v="56"/>
    <s v="approved"/>
    <n v="56"/>
    <s v="yes"/>
    <m/>
    <m/>
    <m/>
    <m/>
    <m/>
    <m/>
    <x v="1"/>
    <x v="3"/>
    <x v="4"/>
    <s v=""/>
    <s v=""/>
    <m/>
    <n v="0"/>
    <m/>
    <m/>
    <m/>
    <x v="2"/>
    <x v="7"/>
    <x v="3"/>
    <m/>
  </r>
  <r>
    <x v="3"/>
    <x v="1"/>
    <x v="4"/>
    <x v="5"/>
    <x v="4"/>
    <s v="VALVE BODY         ."/>
    <s v="AB"/>
    <n v="0"/>
    <n v="45"/>
    <n v="0"/>
    <x v="14"/>
    <n v="13"/>
    <n v="2026"/>
    <n v="0"/>
    <x v="4"/>
    <n v="550"/>
    <n v="56"/>
    <s v="approved"/>
    <n v="56"/>
    <s v="yes"/>
    <m/>
    <m/>
    <m/>
    <m/>
    <m/>
    <m/>
    <x v="1"/>
    <x v="3"/>
    <x v="4"/>
    <s v=""/>
    <s v=""/>
    <m/>
    <n v="0"/>
    <m/>
    <m/>
    <m/>
    <x v="2"/>
    <x v="5"/>
    <x v="3"/>
    <m/>
  </r>
  <r>
    <x v="3"/>
    <x v="1"/>
    <x v="4"/>
    <x v="5"/>
    <x v="4"/>
    <s v="VALVE BODY         ."/>
    <s v="AB"/>
    <n v="0"/>
    <n v="30"/>
    <n v="0"/>
    <x v="15"/>
    <n v="17"/>
    <n v="2026"/>
    <n v="0"/>
    <x v="4"/>
    <n v="550"/>
    <n v="56"/>
    <s v="approved"/>
    <n v="56"/>
    <s v="yes"/>
    <m/>
    <m/>
    <m/>
    <m/>
    <m/>
    <m/>
    <x v="1"/>
    <x v="3"/>
    <x v="4"/>
    <s v=""/>
    <s v=""/>
    <m/>
    <n v="0"/>
    <m/>
    <m/>
    <m/>
    <x v="2"/>
    <x v="1"/>
    <x v="3"/>
    <m/>
  </r>
  <r>
    <x v="3"/>
    <x v="1"/>
    <x v="4"/>
    <x v="5"/>
    <x v="4"/>
    <s v="VALVE BODY         ."/>
    <s v="AB"/>
    <n v="0"/>
    <n v="35"/>
    <n v="0"/>
    <x v="16"/>
    <n v="21"/>
    <n v="2026"/>
    <n v="0"/>
    <x v="4"/>
    <n v="550"/>
    <n v="56"/>
    <s v="approved"/>
    <n v="56"/>
    <s v="yes"/>
    <m/>
    <m/>
    <m/>
    <m/>
    <m/>
    <m/>
    <x v="1"/>
    <x v="3"/>
    <x v="4"/>
    <s v=""/>
    <s v=""/>
    <m/>
    <n v="0"/>
    <m/>
    <m/>
    <m/>
    <x v="2"/>
    <x v="2"/>
    <x v="3"/>
    <m/>
  </r>
  <r>
    <x v="3"/>
    <x v="1"/>
    <x v="4"/>
    <x v="5"/>
    <x v="4"/>
    <s v="VALVE BODY         ."/>
    <s v="AB"/>
    <n v="0"/>
    <n v="15"/>
    <n v="0"/>
    <x v="17"/>
    <n v="26"/>
    <n v="2026"/>
    <n v="0"/>
    <x v="4"/>
    <n v="550"/>
    <n v="56"/>
    <s v="approved"/>
    <n v="56"/>
    <s v="yes"/>
    <m/>
    <m/>
    <m/>
    <m/>
    <m/>
    <m/>
    <x v="1"/>
    <x v="3"/>
    <x v="4"/>
    <s v=""/>
    <s v=""/>
    <m/>
    <n v="0"/>
    <m/>
    <m/>
    <m/>
    <x v="2"/>
    <x v="0"/>
    <x v="3"/>
    <m/>
  </r>
  <r>
    <x v="3"/>
    <x v="1"/>
    <x v="4"/>
    <x v="5"/>
    <x v="4"/>
    <s v="VALVE BODY         ."/>
    <s v="AB"/>
    <n v="0"/>
    <n v="30"/>
    <n v="0"/>
    <x v="18"/>
    <n v="31"/>
    <n v="2026"/>
    <n v="0"/>
    <x v="4"/>
    <n v="550"/>
    <n v="56"/>
    <s v="approved"/>
    <n v="56"/>
    <s v="yes"/>
    <m/>
    <m/>
    <m/>
    <m/>
    <m/>
    <m/>
    <x v="1"/>
    <x v="3"/>
    <x v="4"/>
    <s v=""/>
    <s v=""/>
    <m/>
    <n v="0"/>
    <m/>
    <m/>
    <m/>
    <x v="2"/>
    <x v="8"/>
    <x v="3"/>
    <m/>
  </r>
  <r>
    <x v="3"/>
    <x v="1"/>
    <x v="4"/>
    <x v="5"/>
    <x v="4"/>
    <s v="VALVE BODY         ."/>
    <s v="AB"/>
    <n v="0"/>
    <n v="30"/>
    <n v="0"/>
    <x v="19"/>
    <n v="35"/>
    <n v="2026"/>
    <n v="0"/>
    <x v="4"/>
    <n v="550"/>
    <n v="56"/>
    <s v="approved"/>
    <n v="56"/>
    <s v="yes"/>
    <m/>
    <m/>
    <m/>
    <m/>
    <m/>
    <m/>
    <x v="1"/>
    <x v="3"/>
    <x v="4"/>
    <s v=""/>
    <s v=""/>
    <m/>
    <n v="0"/>
    <m/>
    <m/>
    <m/>
    <x v="2"/>
    <x v="9"/>
    <x v="3"/>
    <m/>
  </r>
  <r>
    <x v="3"/>
    <x v="1"/>
    <x v="4"/>
    <x v="5"/>
    <x v="4"/>
    <s v="VALVE BODY         ."/>
    <s v="AB"/>
    <n v="0"/>
    <n v="25"/>
    <n v="0"/>
    <x v="20"/>
    <n v="39"/>
    <n v="2026"/>
    <n v="0"/>
    <x v="4"/>
    <n v="550"/>
    <n v="56"/>
    <s v="approved"/>
    <n v="56"/>
    <s v="yes"/>
    <m/>
    <m/>
    <m/>
    <m/>
    <m/>
    <m/>
    <x v="1"/>
    <x v="3"/>
    <x v="4"/>
    <s v=""/>
    <s v=""/>
    <m/>
    <n v="0"/>
    <m/>
    <m/>
    <m/>
    <x v="2"/>
    <x v="10"/>
    <x v="3"/>
    <m/>
  </r>
  <r>
    <x v="3"/>
    <x v="1"/>
    <x v="4"/>
    <x v="5"/>
    <x v="4"/>
    <s v="VALVE BODY         ."/>
    <s v="AB"/>
    <n v="0"/>
    <n v="30"/>
    <n v="0"/>
    <x v="21"/>
    <n v="44"/>
    <n v="2026"/>
    <n v="0"/>
    <x v="4"/>
    <n v="550"/>
    <n v="56"/>
    <s v="approved"/>
    <n v="56"/>
    <s v="yes"/>
    <m/>
    <m/>
    <m/>
    <m/>
    <m/>
    <m/>
    <x v="1"/>
    <x v="3"/>
    <x v="4"/>
    <s v=""/>
    <s v=""/>
    <m/>
    <n v="0"/>
    <m/>
    <m/>
    <m/>
    <x v="2"/>
    <x v="11"/>
    <x v="3"/>
    <m/>
  </r>
  <r>
    <x v="3"/>
    <x v="0"/>
    <x v="5"/>
    <x v="4"/>
    <x v="5"/>
    <s v="VALVE BODY"/>
    <n v="1"/>
    <n v="0.97"/>
    <n v="16"/>
    <n v="15.52"/>
    <x v="22"/>
    <n v="35"/>
    <n v="2024"/>
    <n v="0"/>
    <x v="4"/>
    <n v="16"/>
    <m/>
    <s v="approved"/>
    <n v="42"/>
    <s v="no"/>
    <m/>
    <m/>
    <m/>
    <m/>
    <m/>
    <m/>
    <x v="0"/>
    <x v="8"/>
    <x v="9"/>
    <n v="5500495154"/>
    <n v="1535100045"/>
    <n v="0"/>
    <n v="0"/>
    <m/>
    <s v="stornate 116"/>
    <s v="20241307-16.10.2024/20241525-09.12.2024"/>
    <x v="1"/>
    <x v="9"/>
    <x v="1"/>
    <m/>
  </r>
  <r>
    <x v="3"/>
    <x v="0"/>
    <x v="5"/>
    <x v="4"/>
    <x v="5"/>
    <s v="VALVE BODY"/>
    <n v="1"/>
    <n v="0.97"/>
    <n v="100"/>
    <n v="97"/>
    <x v="23"/>
    <n v="44"/>
    <n v="2024"/>
    <n v="0"/>
    <x v="4"/>
    <n v="16"/>
    <m/>
    <m/>
    <n v="42"/>
    <m/>
    <m/>
    <m/>
    <m/>
    <m/>
    <m/>
    <m/>
    <x v="0"/>
    <x v="8"/>
    <x v="9"/>
    <n v="5500495154"/>
    <n v="1535100045"/>
    <n v="0"/>
    <n v="0"/>
    <m/>
    <s v="stornate 116"/>
    <s v="20241307-16.10.2024/20241525-09.12.2024"/>
    <x v="0"/>
    <x v="11"/>
    <x v="1"/>
    <m/>
  </r>
  <r>
    <x v="3"/>
    <x v="0"/>
    <x v="5"/>
    <x v="4"/>
    <x v="5"/>
    <s v="VALVE BODY"/>
    <n v="1"/>
    <n v="0.97"/>
    <n v="365"/>
    <n v="354.05"/>
    <x v="24"/>
    <n v="36"/>
    <n v="2025"/>
    <n v="0"/>
    <x v="4"/>
    <n v="16"/>
    <m/>
    <m/>
    <n v="7.604166666666667"/>
    <m/>
    <s v="DA - RETUR DE LA CLIENT"/>
    <m/>
    <s v="yes"/>
    <m/>
    <s v="produse"/>
    <m/>
    <x v="0"/>
    <x v="7"/>
    <x v="10"/>
    <n v="5500495154"/>
    <n v="1535100045"/>
    <n v="365"/>
    <n v="354.05"/>
    <m/>
    <m/>
    <s v="20250965-24.07.2025"/>
    <x v="0"/>
    <x v="10"/>
    <x v="0"/>
    <m/>
  </r>
  <r>
    <x v="3"/>
    <x v="1"/>
    <x v="5"/>
    <x v="4"/>
    <x v="5"/>
    <s v="VALVE BODY"/>
    <n v="1"/>
    <n v="0.97"/>
    <n v="35"/>
    <n v="33.949999999999996"/>
    <x v="25"/>
    <n v="45"/>
    <n v="2025"/>
    <n v="0"/>
    <x v="4"/>
    <n v="16"/>
    <m/>
    <s v="approved"/>
    <n v="42"/>
    <s v="no"/>
    <m/>
    <m/>
    <s v="yes"/>
    <m/>
    <s v="produse"/>
    <m/>
    <x v="1"/>
    <x v="3"/>
    <x v="4"/>
    <s v=""/>
    <s v=""/>
    <m/>
    <n v="0"/>
    <m/>
    <m/>
    <m/>
    <x v="1"/>
    <x v="4"/>
    <x v="0"/>
    <m/>
  </r>
  <r>
    <x v="3"/>
    <x v="0"/>
    <x v="5"/>
    <x v="4"/>
    <x v="5"/>
    <s v="VALVE BODY"/>
    <n v="1"/>
    <n v="0.97"/>
    <n v="100"/>
    <n v="97"/>
    <x v="26"/>
    <n v="50"/>
    <n v="2025"/>
    <n v="0"/>
    <x v="4"/>
    <n v="16"/>
    <m/>
    <m/>
    <n v="2.0833333333333335"/>
    <m/>
    <m/>
    <m/>
    <m/>
    <m/>
    <m/>
    <m/>
    <x v="1"/>
    <x v="3"/>
    <x v="4"/>
    <s v=""/>
    <s v=""/>
    <m/>
    <n v="0"/>
    <m/>
    <m/>
    <m/>
    <x v="2"/>
    <x v="3"/>
    <x v="0"/>
    <m/>
  </r>
  <r>
    <x v="3"/>
    <x v="1"/>
    <x v="5"/>
    <x v="6"/>
    <x v="5"/>
    <s v="VALVE BODY"/>
    <n v="1"/>
    <n v="0"/>
    <n v="100"/>
    <n v="0"/>
    <x v="12"/>
    <n v="5"/>
    <n v="2026"/>
    <n v="0"/>
    <x v="4"/>
    <n v="16"/>
    <n v="60"/>
    <s v="approved"/>
    <n v="42"/>
    <s v="yes"/>
    <m/>
    <m/>
    <m/>
    <m/>
    <s v="Yes"/>
    <m/>
    <x v="1"/>
    <x v="3"/>
    <x v="4"/>
    <s v=""/>
    <s v=""/>
    <m/>
    <n v="0"/>
    <m/>
    <m/>
    <m/>
    <x v="2"/>
    <x v="6"/>
    <x v="3"/>
    <m/>
  </r>
  <r>
    <x v="3"/>
    <x v="1"/>
    <x v="5"/>
    <x v="6"/>
    <x v="5"/>
    <s v="VALVE BODY"/>
    <n v="1"/>
    <n v="0"/>
    <n v="100"/>
    <n v="0"/>
    <x v="27"/>
    <n v="10"/>
    <n v="2026"/>
    <n v="0"/>
    <x v="4"/>
    <n v="16"/>
    <n v="60"/>
    <s v="approved"/>
    <n v="42"/>
    <s v="yes"/>
    <m/>
    <m/>
    <m/>
    <m/>
    <s v="Yes"/>
    <m/>
    <x v="1"/>
    <x v="3"/>
    <x v="4"/>
    <s v=""/>
    <s v=""/>
    <m/>
    <n v="0"/>
    <m/>
    <m/>
    <m/>
    <x v="2"/>
    <x v="5"/>
    <x v="3"/>
    <m/>
  </r>
  <r>
    <x v="3"/>
    <x v="1"/>
    <x v="5"/>
    <x v="6"/>
    <x v="5"/>
    <s v="VALVE BODY"/>
    <n v="1"/>
    <n v="0"/>
    <n v="100"/>
    <n v="0"/>
    <x v="28"/>
    <n v="11"/>
    <n v="2026"/>
    <n v="0"/>
    <x v="4"/>
    <n v="16"/>
    <n v="60"/>
    <s v="approved"/>
    <n v="42"/>
    <s v="yes"/>
    <m/>
    <m/>
    <m/>
    <m/>
    <s v="Yes"/>
    <m/>
    <x v="1"/>
    <x v="3"/>
    <x v="4"/>
    <s v=""/>
    <s v=""/>
    <m/>
    <n v="0"/>
    <m/>
    <m/>
    <m/>
    <x v="2"/>
    <x v="5"/>
    <x v="3"/>
    <m/>
  </r>
  <r>
    <x v="3"/>
    <x v="1"/>
    <x v="5"/>
    <x v="6"/>
    <x v="5"/>
    <s v="VALVE BODY"/>
    <n v="1"/>
    <n v="0"/>
    <n v="100"/>
    <n v="0"/>
    <x v="29"/>
    <n v="17"/>
    <n v="2026"/>
    <n v="0"/>
    <x v="4"/>
    <n v="16"/>
    <n v="60"/>
    <s v="approved"/>
    <n v="42"/>
    <s v="yes"/>
    <m/>
    <m/>
    <m/>
    <m/>
    <s v="Yes"/>
    <m/>
    <x v="1"/>
    <x v="3"/>
    <x v="4"/>
    <s v=""/>
    <s v=""/>
    <m/>
    <n v="0"/>
    <m/>
    <m/>
    <m/>
    <x v="2"/>
    <x v="1"/>
    <x v="3"/>
    <m/>
  </r>
  <r>
    <x v="3"/>
    <x v="1"/>
    <x v="5"/>
    <x v="6"/>
    <x v="5"/>
    <s v="VALVE BODY"/>
    <n v="1"/>
    <n v="0"/>
    <n v="100"/>
    <n v="0"/>
    <x v="30"/>
    <n v="24"/>
    <n v="2026"/>
    <n v="0"/>
    <x v="4"/>
    <n v="16"/>
    <n v="60"/>
    <s v="approved"/>
    <n v="42"/>
    <s v="yes"/>
    <m/>
    <m/>
    <m/>
    <m/>
    <s v="Yes"/>
    <m/>
    <x v="1"/>
    <x v="3"/>
    <x v="4"/>
    <s v=""/>
    <s v=""/>
    <m/>
    <n v="0"/>
    <m/>
    <m/>
    <m/>
    <x v="2"/>
    <x v="0"/>
    <x v="3"/>
    <m/>
  </r>
  <r>
    <x v="3"/>
    <x v="1"/>
    <x v="5"/>
    <x v="6"/>
    <x v="5"/>
    <s v="VALVE BODY"/>
    <n v="1"/>
    <n v="0"/>
    <n v="100"/>
    <n v="0"/>
    <x v="31"/>
    <n v="32"/>
    <n v="2026"/>
    <n v="0"/>
    <x v="4"/>
    <n v="16"/>
    <n v="60"/>
    <s v="approved"/>
    <n v="42"/>
    <s v="yes"/>
    <m/>
    <m/>
    <m/>
    <m/>
    <s v="Yes"/>
    <m/>
    <x v="1"/>
    <x v="3"/>
    <x v="4"/>
    <s v=""/>
    <s v=""/>
    <m/>
    <n v="0"/>
    <m/>
    <m/>
    <m/>
    <x v="2"/>
    <x v="9"/>
    <x v="3"/>
    <m/>
  </r>
  <r>
    <x v="3"/>
    <x v="1"/>
    <x v="5"/>
    <x v="6"/>
    <x v="5"/>
    <s v="VALVE BODY"/>
    <n v="1"/>
    <n v="0"/>
    <n v="100"/>
    <n v="0"/>
    <x v="32"/>
    <n v="37"/>
    <n v="2026"/>
    <n v="0"/>
    <x v="4"/>
    <n v="16"/>
    <n v="60"/>
    <s v="approved"/>
    <n v="42"/>
    <s v="yes"/>
    <m/>
    <m/>
    <m/>
    <m/>
    <s v="Yes"/>
    <m/>
    <x v="1"/>
    <x v="3"/>
    <x v="4"/>
    <s v=""/>
    <s v=""/>
    <m/>
    <n v="0"/>
    <m/>
    <m/>
    <m/>
    <x v="2"/>
    <x v="10"/>
    <x v="3"/>
    <m/>
  </r>
  <r>
    <x v="3"/>
    <x v="1"/>
    <x v="5"/>
    <x v="6"/>
    <x v="5"/>
    <s v="VALVE BODY"/>
    <n v="1"/>
    <n v="0"/>
    <n v="100"/>
    <n v="0"/>
    <x v="33"/>
    <n v="42"/>
    <n v="2026"/>
    <n v="0"/>
    <x v="4"/>
    <n v="16"/>
    <n v="60"/>
    <s v="approved"/>
    <n v="42"/>
    <s v="yes"/>
    <m/>
    <m/>
    <m/>
    <m/>
    <s v="Yes"/>
    <m/>
    <x v="1"/>
    <x v="3"/>
    <x v="4"/>
    <s v=""/>
    <s v=""/>
    <m/>
    <n v="0"/>
    <m/>
    <m/>
    <m/>
    <x v="2"/>
    <x v="11"/>
    <x v="3"/>
    <m/>
  </r>
  <r>
    <x v="3"/>
    <x v="0"/>
    <x v="6"/>
    <x v="6"/>
    <x v="6"/>
    <s v="VALVE BODY        "/>
    <s v="AB"/>
    <n v="5.31"/>
    <n v="200"/>
    <n v="1062"/>
    <x v="34"/>
    <n v="13"/>
    <n v="2024"/>
    <n v="0"/>
    <x v="4"/>
    <n v="100"/>
    <n v="60"/>
    <s v="approved"/>
    <n v="56"/>
    <s v="yes"/>
    <m/>
    <m/>
    <m/>
    <m/>
    <m/>
    <s v="241514/242711"/>
    <x v="0"/>
    <x v="9"/>
    <x v="11"/>
    <n v="5500495153"/>
    <n v="1535100046"/>
    <n v="104"/>
    <n v="552.24"/>
    <m/>
    <s v="56 returnate"/>
    <s v="20240831-04.07.2024"/>
    <x v="1"/>
    <x v="5"/>
    <x v="1"/>
    <m/>
  </r>
  <r>
    <x v="3"/>
    <x v="0"/>
    <x v="6"/>
    <x v="6"/>
    <x v="6"/>
    <s v="VALVE BODY        "/>
    <s v="AB"/>
    <n v="5.31"/>
    <n v="0"/>
    <n v="0"/>
    <x v="35"/>
    <n v="13"/>
    <n v="2024"/>
    <n v="0"/>
    <x v="4"/>
    <n v="100"/>
    <n v="60"/>
    <s v="approved"/>
    <n v="0"/>
    <m/>
    <m/>
    <m/>
    <m/>
    <m/>
    <m/>
    <m/>
    <x v="0"/>
    <x v="10"/>
    <x v="12"/>
    <n v="5500495153"/>
    <n v="1535100046"/>
    <n v="96"/>
    <n v="509.76"/>
    <m/>
    <m/>
    <s v="20240995-05.08.2024"/>
    <x v="1"/>
    <x v="5"/>
    <x v="1"/>
    <m/>
  </r>
  <r>
    <x v="3"/>
    <x v="0"/>
    <x v="6"/>
    <x v="6"/>
    <x v="6"/>
    <s v="VALVE BODY        "/>
    <s v="AB"/>
    <n v="5.31"/>
    <n v="0"/>
    <n v="0"/>
    <x v="36"/>
    <n v="13"/>
    <n v="2024"/>
    <n v="0"/>
    <x v="4"/>
    <n v="100"/>
    <n v="60"/>
    <s v="approved"/>
    <n v="0"/>
    <m/>
    <m/>
    <m/>
    <m/>
    <m/>
    <m/>
    <m/>
    <x v="0"/>
    <x v="10"/>
    <x v="13"/>
    <n v="5500495153"/>
    <n v="1535100046"/>
    <n v="56"/>
    <n v="297.35999999999996"/>
    <m/>
    <s v="piese de inlocuire"/>
    <s v="20241058-14.08.2024/20241031-09.08.2024"/>
    <x v="1"/>
    <x v="5"/>
    <x v="1"/>
    <m/>
  </r>
  <r>
    <x v="3"/>
    <x v="0"/>
    <x v="6"/>
    <x v="6"/>
    <x v="6"/>
    <s v="VALVE BODY        "/>
    <s v="AB"/>
    <n v="5.31"/>
    <n v="100"/>
    <n v="531"/>
    <x v="37"/>
    <n v="42"/>
    <n v="2024"/>
    <n v="0"/>
    <x v="4"/>
    <n v="100"/>
    <n v="60"/>
    <s v="approved"/>
    <n v="56"/>
    <s v="yes"/>
    <m/>
    <m/>
    <m/>
    <m/>
    <s v="Yes"/>
    <m/>
    <x v="0"/>
    <x v="11"/>
    <x v="14"/>
    <n v="5500495153"/>
    <n v="1535100046"/>
    <n v="100"/>
    <n v="531"/>
    <m/>
    <m/>
    <s v="20250218-21.02.2025/20250428-31.02.2025/20250429-31.03.2025"/>
    <x v="1"/>
    <x v="11"/>
    <x v="1"/>
    <m/>
  </r>
  <r>
    <x v="3"/>
    <x v="0"/>
    <x v="6"/>
    <x v="6"/>
    <x v="6"/>
    <s v="VALVE BODY        "/>
    <s v="AB"/>
    <n v="5.31"/>
    <n v="84"/>
    <n v="446.03999999999996"/>
    <x v="38"/>
    <n v="50"/>
    <n v="2024"/>
    <n v="0"/>
    <x v="4"/>
    <n v="100"/>
    <n v="60"/>
    <s v="approved"/>
    <n v="56"/>
    <s v="yes"/>
    <m/>
    <m/>
    <m/>
    <m/>
    <s v="Yes"/>
    <m/>
    <x v="0"/>
    <x v="11"/>
    <x v="14"/>
    <n v="5500495153"/>
    <n v="1535100046"/>
    <n v="84"/>
    <n v="446.03999999999996"/>
    <m/>
    <m/>
    <m/>
    <x v="1"/>
    <x v="3"/>
    <x v="1"/>
    <m/>
  </r>
  <r>
    <x v="3"/>
    <x v="0"/>
    <x v="6"/>
    <x v="6"/>
    <x v="6"/>
    <s v="VALVE BODY        "/>
    <s v="AB"/>
    <n v="5.31"/>
    <n v="59"/>
    <n v="313.28999999999996"/>
    <x v="38"/>
    <n v="50"/>
    <n v="2024"/>
    <n v="0"/>
    <x v="4"/>
    <n v="100"/>
    <n v="60"/>
    <s v="approved"/>
    <n v="56"/>
    <s v="yes"/>
    <m/>
    <m/>
    <m/>
    <m/>
    <s v="Yes"/>
    <m/>
    <x v="0"/>
    <x v="12"/>
    <x v="15"/>
    <n v="5500495153"/>
    <n v="1535100046"/>
    <n v="59"/>
    <n v="313.28999999999996"/>
    <m/>
    <m/>
    <m/>
    <x v="1"/>
    <x v="3"/>
    <x v="1"/>
    <m/>
  </r>
  <r>
    <x v="3"/>
    <x v="0"/>
    <x v="6"/>
    <x v="6"/>
    <x v="6"/>
    <s v="VALVE BODY        "/>
    <s v="AB"/>
    <n v="5.31"/>
    <n v="59"/>
    <n v="313.28999999999996"/>
    <x v="39"/>
    <n v="11"/>
    <n v="2025"/>
    <n v="0"/>
    <x v="4"/>
    <n v="100"/>
    <n v="60"/>
    <s v="approved"/>
    <n v="56"/>
    <s v="yes"/>
    <m/>
    <m/>
    <s v="yes"/>
    <m/>
    <s v="Yes"/>
    <m/>
    <x v="0"/>
    <x v="12"/>
    <x v="15"/>
    <n v="5500495153"/>
    <n v="1535100046"/>
    <n v="59"/>
    <n v="313.28999999999996"/>
    <m/>
    <m/>
    <s v="20250813-30.06.2025/20251371/20251372-30.10.2025"/>
    <x v="1"/>
    <x v="5"/>
    <x v="0"/>
    <m/>
  </r>
  <r>
    <x v="3"/>
    <x v="0"/>
    <x v="6"/>
    <x v="6"/>
    <x v="6"/>
    <s v="VALVE BODY        "/>
    <s v="AB"/>
    <n v="5.31"/>
    <n v="377"/>
    <n v="2001.87"/>
    <x v="40"/>
    <n v="35"/>
    <n v="2025"/>
    <n v="0"/>
    <x v="4"/>
    <n v="100"/>
    <n v="60"/>
    <s v="approved"/>
    <n v="56"/>
    <s v="yes"/>
    <m/>
    <m/>
    <m/>
    <m/>
    <m/>
    <m/>
    <x v="0"/>
    <x v="7"/>
    <x v="16"/>
    <n v="5500495153"/>
    <n v="1535100046"/>
    <n v="377"/>
    <n v="2001.87"/>
    <m/>
    <m/>
    <s v="20250961-24.07.2025"/>
    <x v="0"/>
    <x v="9"/>
    <x v="0"/>
    <m/>
  </r>
  <r>
    <x v="3"/>
    <x v="1"/>
    <x v="6"/>
    <x v="7"/>
    <x v="6"/>
    <s v="VALVE BODY        "/>
    <s v="AB"/>
    <n v="5.31"/>
    <n v="23"/>
    <n v="122.13"/>
    <x v="41"/>
    <n v="43"/>
    <n v="2025"/>
    <n v="0"/>
    <x v="4"/>
    <n v="100"/>
    <n v="60"/>
    <s v="approved"/>
    <n v="56"/>
    <s v="yes"/>
    <m/>
    <m/>
    <s v="yes"/>
    <m/>
    <s v="Yes"/>
    <m/>
    <x v="1"/>
    <x v="3"/>
    <x v="4"/>
    <s v=""/>
    <s v=""/>
    <m/>
    <n v="0"/>
    <m/>
    <m/>
    <m/>
    <x v="1"/>
    <x v="11"/>
    <x v="0"/>
    <m/>
  </r>
  <r>
    <x v="3"/>
    <x v="1"/>
    <x v="6"/>
    <x v="7"/>
    <x v="6"/>
    <s v="VALVE BODY        "/>
    <s v="AB"/>
    <n v="5.31"/>
    <n v="100"/>
    <n v="531"/>
    <x v="42"/>
    <n v="48"/>
    <n v="2025"/>
    <n v="0"/>
    <x v="4"/>
    <n v="100"/>
    <n v="60"/>
    <s v="approved"/>
    <n v="2.0833333333333335"/>
    <m/>
    <m/>
    <m/>
    <m/>
    <m/>
    <m/>
    <m/>
    <x v="1"/>
    <x v="3"/>
    <x v="4"/>
    <s v=""/>
    <s v=""/>
    <m/>
    <n v="0"/>
    <m/>
    <m/>
    <m/>
    <x v="2"/>
    <x v="4"/>
    <x v="0"/>
    <m/>
  </r>
  <r>
    <x v="3"/>
    <x v="1"/>
    <x v="6"/>
    <x v="7"/>
    <x v="6"/>
    <s v="VALVE BODY        "/>
    <s v="AB"/>
    <n v="0"/>
    <n v="100"/>
    <n v="0"/>
    <x v="43"/>
    <n v="4"/>
    <n v="2026"/>
    <n v="0"/>
    <x v="4"/>
    <n v="100"/>
    <n v="60"/>
    <s v="approved"/>
    <n v="2.0833333333333335"/>
    <m/>
    <m/>
    <m/>
    <m/>
    <m/>
    <m/>
    <m/>
    <x v="1"/>
    <x v="3"/>
    <x v="4"/>
    <s v=""/>
    <s v=""/>
    <m/>
    <n v="0"/>
    <m/>
    <m/>
    <m/>
    <x v="2"/>
    <x v="6"/>
    <x v="3"/>
    <m/>
  </r>
  <r>
    <x v="3"/>
    <x v="1"/>
    <x v="6"/>
    <x v="7"/>
    <x v="6"/>
    <s v="VALVE BODY        "/>
    <s v="AB"/>
    <n v="0"/>
    <n v="100"/>
    <n v="0"/>
    <x v="44"/>
    <n v="13"/>
    <n v="2026"/>
    <n v="0"/>
    <x v="4"/>
    <n v="100"/>
    <n v="60"/>
    <s v="approved"/>
    <n v="2.0833333333333335"/>
    <m/>
    <m/>
    <m/>
    <m/>
    <m/>
    <m/>
    <m/>
    <x v="1"/>
    <x v="3"/>
    <x v="4"/>
    <s v=""/>
    <s v=""/>
    <m/>
    <n v="0"/>
    <m/>
    <m/>
    <m/>
    <x v="2"/>
    <x v="5"/>
    <x v="3"/>
    <m/>
  </r>
  <r>
    <x v="3"/>
    <x v="1"/>
    <x v="6"/>
    <x v="7"/>
    <x v="6"/>
    <s v="VALVE BODY        "/>
    <s v="AB"/>
    <n v="0"/>
    <n v="100"/>
    <n v="0"/>
    <x v="45"/>
    <n v="21"/>
    <n v="2026"/>
    <n v="0"/>
    <x v="4"/>
    <n v="100"/>
    <n v="60"/>
    <s v="approved"/>
    <n v="2.0833333333333335"/>
    <m/>
    <m/>
    <m/>
    <m/>
    <m/>
    <m/>
    <m/>
    <x v="1"/>
    <x v="3"/>
    <x v="4"/>
    <s v=""/>
    <s v=""/>
    <m/>
    <n v="0"/>
    <m/>
    <m/>
    <m/>
    <x v="2"/>
    <x v="2"/>
    <x v="3"/>
    <m/>
  </r>
  <r>
    <x v="3"/>
    <x v="1"/>
    <x v="6"/>
    <x v="7"/>
    <x v="6"/>
    <s v="VALVE BODY        "/>
    <s v="AB"/>
    <n v="0"/>
    <n v="100"/>
    <n v="0"/>
    <x v="46"/>
    <n v="33"/>
    <n v="2026"/>
    <n v="0"/>
    <x v="4"/>
    <n v="100"/>
    <n v="60"/>
    <s v="approved"/>
    <n v="2.0833333333333335"/>
    <m/>
    <m/>
    <m/>
    <m/>
    <m/>
    <m/>
    <m/>
    <x v="1"/>
    <x v="3"/>
    <x v="4"/>
    <s v=""/>
    <s v=""/>
    <m/>
    <n v="0"/>
    <m/>
    <m/>
    <m/>
    <x v="2"/>
    <x v="9"/>
    <x v="3"/>
    <m/>
  </r>
  <r>
    <x v="3"/>
    <x v="1"/>
    <x v="6"/>
    <x v="7"/>
    <x v="6"/>
    <s v="VALVE BODY        "/>
    <s v="AB"/>
    <n v="0"/>
    <n v="69"/>
    <n v="0"/>
    <x v="47"/>
    <n v="45"/>
    <n v="2026"/>
    <n v="0"/>
    <x v="4"/>
    <n v="100"/>
    <n v="60"/>
    <s v="approved"/>
    <n v="56"/>
    <s v="yes"/>
    <m/>
    <m/>
    <s v="yes"/>
    <m/>
    <s v="Yes"/>
    <m/>
    <x v="1"/>
    <x v="3"/>
    <x v="4"/>
    <s v=""/>
    <s v=""/>
    <m/>
    <n v="0"/>
    <m/>
    <m/>
    <m/>
    <x v="2"/>
    <x v="4"/>
    <x v="3"/>
    <m/>
  </r>
  <r>
    <x v="3"/>
    <x v="0"/>
    <x v="7"/>
    <x v="8"/>
    <x v="7"/>
    <s v="VALVE BODY"/>
    <s v="AB"/>
    <n v="9.3699999999999992"/>
    <n v="5"/>
    <n v="46.849999999999994"/>
    <x v="48"/>
    <n v="16"/>
    <n v="2022"/>
    <n v="0"/>
    <x v="4"/>
    <n v="1"/>
    <m/>
    <s v="project"/>
    <n v="56"/>
    <s v="yes"/>
    <m/>
    <m/>
    <m/>
    <m/>
    <m/>
    <m/>
    <x v="0"/>
    <x v="3"/>
    <x v="4"/>
    <s v=""/>
    <s v=""/>
    <n v="0"/>
    <n v="0"/>
    <m/>
    <s v="Proiect Anulat"/>
    <m/>
    <x v="1"/>
    <x v="1"/>
    <x v="4"/>
    <m/>
  </r>
  <r>
    <x v="3"/>
    <x v="0"/>
    <x v="7"/>
    <x v="8"/>
    <x v="8"/>
    <s v="VALVE BODY"/>
    <s v="AB"/>
    <n v="8.4499999999999993"/>
    <n v="5"/>
    <n v="42.25"/>
    <x v="49"/>
    <n v="36"/>
    <n v="2024"/>
    <n v="0"/>
    <x v="4"/>
    <n v="50"/>
    <n v="60"/>
    <s v="project"/>
    <n v="56"/>
    <s v="yes"/>
    <m/>
    <m/>
    <m/>
    <m/>
    <s v="project"/>
    <s v="240412"/>
    <x v="0"/>
    <x v="13"/>
    <x v="17"/>
    <n v="4508756412"/>
    <n v="1813218042"/>
    <n v="5"/>
    <n v="42.25"/>
    <m/>
    <m/>
    <s v="20241325-18.10.2024"/>
    <x v="1"/>
    <x v="10"/>
    <x v="1"/>
    <m/>
  </r>
  <r>
    <x v="3"/>
    <x v="0"/>
    <x v="8"/>
    <x v="9"/>
    <x v="9"/>
    <s v="VALVE BODY         ."/>
    <s v="AB"/>
    <n v="7.46"/>
    <n v="5"/>
    <n v="37.299999999999997"/>
    <x v="50"/>
    <n v="9"/>
    <n v="2024"/>
    <n v="0"/>
    <x v="4"/>
    <n v="250"/>
    <n v="60"/>
    <s v="project"/>
    <n v="56"/>
    <s v="yes"/>
    <m/>
    <m/>
    <m/>
    <m/>
    <m/>
    <n v="240717"/>
    <x v="0"/>
    <x v="14"/>
    <x v="18"/>
    <n v="4509910041"/>
    <n v="1813218050"/>
    <n v="5"/>
    <n v="37.299999999999997"/>
    <m/>
    <s v="VALIDARE"/>
    <s v="20240467-26.04.2024"/>
    <x v="1"/>
    <x v="7"/>
    <x v="1"/>
    <m/>
  </r>
  <r>
    <x v="3"/>
    <x v="0"/>
    <x v="9"/>
    <x v="3"/>
    <x v="9"/>
    <s v="VALVE BODY         ."/>
    <s v="AB"/>
    <n v="7.46"/>
    <n v="600"/>
    <n v="4476"/>
    <x v="51"/>
    <n v="11"/>
    <n v="2024"/>
    <n v="0"/>
    <x v="4"/>
    <n v="250"/>
    <n v="60"/>
    <s v="project"/>
    <n v="56"/>
    <s v="yes"/>
    <m/>
    <m/>
    <m/>
    <m/>
    <m/>
    <s v="240718/242012"/>
    <x v="0"/>
    <x v="15"/>
    <x v="19"/>
    <n v="5500500924"/>
    <n v="1813218050"/>
    <n v="30"/>
    <n v="223.8"/>
    <m/>
    <m/>
    <s v="20240416-19.04.2024/20250155-17.02.2025"/>
    <x v="1"/>
    <x v="5"/>
    <x v="1"/>
    <m/>
  </r>
  <r>
    <x v="3"/>
    <x v="0"/>
    <x v="9"/>
    <x v="3"/>
    <x v="9"/>
    <s v="VALVE BODY         ."/>
    <s v="AB"/>
    <n v="7.46"/>
    <n v="0"/>
    <n v="0"/>
    <x v="52"/>
    <n v="11"/>
    <n v="2024"/>
    <n v="0"/>
    <x v="4"/>
    <n v="250"/>
    <m/>
    <m/>
    <n v="56"/>
    <m/>
    <m/>
    <m/>
    <m/>
    <m/>
    <m/>
    <m/>
    <x v="0"/>
    <x v="16"/>
    <x v="20"/>
    <n v="5500500924"/>
    <n v="1813218050"/>
    <n v="150"/>
    <n v="1119"/>
    <m/>
    <m/>
    <s v="20240478-29.04.2024"/>
    <x v="1"/>
    <x v="5"/>
    <x v="1"/>
    <m/>
  </r>
  <r>
    <x v="3"/>
    <x v="0"/>
    <x v="9"/>
    <x v="3"/>
    <x v="9"/>
    <s v="VALVE BODY         ."/>
    <s v="AB"/>
    <n v="7.46"/>
    <n v="0"/>
    <n v="0"/>
    <x v="53"/>
    <n v="12"/>
    <n v="2024"/>
    <n v="0"/>
    <x v="4"/>
    <n v="250"/>
    <m/>
    <m/>
    <n v="56"/>
    <m/>
    <m/>
    <m/>
    <m/>
    <m/>
    <m/>
    <m/>
    <x v="0"/>
    <x v="17"/>
    <x v="21"/>
    <n v="5500500924"/>
    <n v="1813218050"/>
    <n v="0"/>
    <n v="0"/>
    <m/>
    <m/>
    <s v="20240615-28.05.2024/20250154-17.02.2025"/>
    <x v="1"/>
    <x v="5"/>
    <x v="1"/>
    <m/>
  </r>
  <r>
    <x v="3"/>
    <x v="0"/>
    <x v="10"/>
    <x v="8"/>
    <x v="10"/>
    <s v="VALVE BODY"/>
    <n v="1"/>
    <n v="4.55"/>
    <n v="5"/>
    <n v="22.75"/>
    <x v="49"/>
    <n v="36"/>
    <n v="2024"/>
    <n v="0"/>
    <x v="4"/>
    <n v="216"/>
    <n v="60"/>
    <s v="project"/>
    <n v="56"/>
    <s v="yes"/>
    <m/>
    <m/>
    <m/>
    <m/>
    <m/>
    <m/>
    <x v="0"/>
    <x v="18"/>
    <x v="22"/>
    <n v="4508771389"/>
    <n v="1818509133"/>
    <n v="5"/>
    <n v="22.75"/>
    <m/>
    <m/>
    <s v="20240937-23.07.2024"/>
    <x v="0"/>
    <x v="10"/>
    <x v="1"/>
    <m/>
  </r>
  <r>
    <x v="3"/>
    <x v="0"/>
    <x v="10"/>
    <x v="8"/>
    <x v="11"/>
    <s v="VALVE BODY"/>
    <s v="AB"/>
    <n v="4.53"/>
    <n v="5"/>
    <n v="22.650000000000002"/>
    <x v="49"/>
    <n v="36"/>
    <n v="2024"/>
    <n v="0"/>
    <x v="4"/>
    <n v="216"/>
    <m/>
    <s v="project"/>
    <n v="56"/>
    <s v="yes"/>
    <m/>
    <m/>
    <m/>
    <m/>
    <m/>
    <s v="240708/241207"/>
    <x v="0"/>
    <x v="19"/>
    <x v="23"/>
    <n v="4508771389"/>
    <n v="1818509138"/>
    <n v="5"/>
    <n v="22.650000000000002"/>
    <m/>
    <s v="PPAP"/>
    <s v="20241099-26.08.2024"/>
    <x v="0"/>
    <x v="10"/>
    <x v="1"/>
    <m/>
  </r>
  <r>
    <x v="3"/>
    <x v="0"/>
    <x v="10"/>
    <x v="8"/>
    <x v="12"/>
    <s v="VALVE BODY"/>
    <n v="1"/>
    <n v="6.4"/>
    <n v="5"/>
    <n v="32"/>
    <x v="49"/>
    <n v="36"/>
    <n v="2024"/>
    <n v="0"/>
    <x v="4"/>
    <n v="50"/>
    <n v="60"/>
    <s v="project"/>
    <n v="56"/>
    <s v="yes"/>
    <m/>
    <m/>
    <m/>
    <s v="project"/>
    <s v="Yes"/>
    <m/>
    <x v="0"/>
    <x v="20"/>
    <x v="24"/>
    <n v="4508771389"/>
    <n v="1818509164"/>
    <n v="5"/>
    <n v="32"/>
    <m/>
    <m/>
    <s v="20251273-30.09.2025/20251277-01.10.2025/20251278-01.10.2025"/>
    <x v="1"/>
    <x v="10"/>
    <x v="1"/>
    <m/>
  </r>
  <r>
    <x v="3"/>
    <x v="0"/>
    <x v="10"/>
    <x v="8"/>
    <x v="13"/>
    <s v="VALVE BODY"/>
    <n v="1"/>
    <n v="4.05"/>
    <n v="5"/>
    <n v="20.25"/>
    <x v="49"/>
    <n v="36"/>
    <n v="2024"/>
    <n v="0"/>
    <x v="4"/>
    <n v="1"/>
    <n v="60"/>
    <s v="project"/>
    <n v="56"/>
    <s v="yes"/>
    <m/>
    <m/>
    <m/>
    <s v="project"/>
    <s v="Yes"/>
    <m/>
    <x v="0"/>
    <x v="20"/>
    <x v="25"/>
    <n v="4508771389"/>
    <n v="1818509172"/>
    <n v="5"/>
    <n v="20.25"/>
    <m/>
    <s v="PPAP"/>
    <s v="20221265-20.12.2022/20251275-01.10.2025/20251279-01.10.2025"/>
    <x v="1"/>
    <x v="10"/>
    <x v="1"/>
    <m/>
  </r>
  <r>
    <x v="3"/>
    <x v="0"/>
    <x v="11"/>
    <x v="8"/>
    <x v="14"/>
    <s v="VALVE BODY"/>
    <n v="1"/>
    <n v="3.27"/>
    <n v="5"/>
    <n v="16.350000000000001"/>
    <x v="49"/>
    <n v="36"/>
    <n v="2024"/>
    <n v="0"/>
    <x v="4"/>
    <n v="300"/>
    <m/>
    <s v="project"/>
    <n v="56"/>
    <s v="yes"/>
    <m/>
    <m/>
    <m/>
    <m/>
    <m/>
    <n v="240813"/>
    <x v="0"/>
    <x v="21"/>
    <x v="26"/>
    <n v="4508769328"/>
    <n v="1818509193"/>
    <n v="5"/>
    <n v="16.350000000000001"/>
    <m/>
    <s v="PPAP"/>
    <s v="20241155-06.09.2024"/>
    <x v="0"/>
    <x v="10"/>
    <x v="1"/>
    <m/>
  </r>
  <r>
    <x v="3"/>
    <x v="0"/>
    <x v="7"/>
    <x v="8"/>
    <x v="15"/>
    <s v="VALVE BODY"/>
    <n v="1"/>
    <n v="13.79"/>
    <n v="5"/>
    <n v="68.949999999999989"/>
    <x v="49"/>
    <n v="36"/>
    <n v="2024"/>
    <n v="0"/>
    <x v="4"/>
    <n v="360"/>
    <m/>
    <s v="project"/>
    <n v="56"/>
    <s v="yes"/>
    <m/>
    <m/>
    <m/>
    <m/>
    <m/>
    <n v="241006"/>
    <x v="0"/>
    <x v="22"/>
    <x v="27"/>
    <n v="4508756412"/>
    <n v="1818509251"/>
    <n v="5"/>
    <n v="68.949999999999989"/>
    <m/>
    <s v="VALIDARE"/>
    <s v="20240540-14.05.2024"/>
    <x v="0"/>
    <x v="10"/>
    <x v="1"/>
    <m/>
  </r>
  <r>
    <x v="3"/>
    <x v="0"/>
    <x v="12"/>
    <x v="8"/>
    <x v="16"/>
    <s v="VALVE BODY"/>
    <n v="1"/>
    <n v="13.47"/>
    <n v="5"/>
    <n v="67.350000000000009"/>
    <x v="49"/>
    <n v="36"/>
    <n v="2024"/>
    <n v="0"/>
    <x v="4"/>
    <n v="30"/>
    <n v="60"/>
    <s v="project"/>
    <n v="56"/>
    <s v="yes"/>
    <m/>
    <m/>
    <m/>
    <m/>
    <m/>
    <n v="241109"/>
    <x v="0"/>
    <x v="18"/>
    <x v="28"/>
    <n v="4508427493"/>
    <n v="1818509259"/>
    <n v="5"/>
    <n v="67.350000000000009"/>
    <m/>
    <m/>
    <s v="20240939-23.07.2024"/>
    <x v="0"/>
    <x v="10"/>
    <x v="1"/>
    <m/>
  </r>
  <r>
    <x v="3"/>
    <x v="0"/>
    <x v="13"/>
    <x v="8"/>
    <x v="16"/>
    <s v="VALVE BODY"/>
    <n v="1"/>
    <n v="13.47"/>
    <n v="90"/>
    <n v="1212.3"/>
    <x v="49"/>
    <n v="36"/>
    <n v="2024"/>
    <n v="0"/>
    <x v="4"/>
    <n v="30"/>
    <n v="60"/>
    <s v="project"/>
    <n v="56"/>
    <s v="yes"/>
    <m/>
    <m/>
    <m/>
    <s v="ETA TBC"/>
    <m/>
    <m/>
    <x v="0"/>
    <x v="23"/>
    <x v="4"/>
    <s v=""/>
    <s v=""/>
    <n v="0"/>
    <n v="0"/>
    <m/>
    <m/>
    <m/>
    <x v="1"/>
    <x v="10"/>
    <x v="1"/>
    <m/>
  </r>
  <r>
    <x v="3"/>
    <x v="0"/>
    <x v="7"/>
    <x v="8"/>
    <x v="17"/>
    <s v="VALVE BODY"/>
    <n v="1"/>
    <n v="14.01"/>
    <n v="5"/>
    <n v="70.05"/>
    <x v="49"/>
    <n v="36"/>
    <n v="2024"/>
    <n v="0"/>
    <x v="4"/>
    <n v="10"/>
    <m/>
    <s v="project"/>
    <n v="56"/>
    <s v="yes"/>
    <m/>
    <m/>
    <m/>
    <m/>
    <m/>
    <n v="241005"/>
    <x v="0"/>
    <x v="24"/>
    <x v="29"/>
    <n v="4508756412"/>
    <n v="1818509265"/>
    <n v="5"/>
    <n v="70.05"/>
    <m/>
    <m/>
    <s v="20241223 23.09.2024"/>
    <x v="1"/>
    <x v="10"/>
    <x v="1"/>
    <m/>
  </r>
  <r>
    <x v="3"/>
    <x v="0"/>
    <x v="14"/>
    <x v="8"/>
    <x v="18"/>
    <s v="VALVE BODY"/>
    <n v="1"/>
    <n v="8.4499999999999993"/>
    <n v="5"/>
    <n v="42.25"/>
    <x v="49"/>
    <n v="36"/>
    <n v="2024"/>
    <n v="0"/>
    <x v="4"/>
    <n v="117"/>
    <n v="60"/>
    <s v="project"/>
    <n v="56"/>
    <s v="yes"/>
    <m/>
    <m/>
    <m/>
    <m/>
    <m/>
    <s v="240309"/>
    <x v="0"/>
    <x v="25"/>
    <x v="30"/>
    <n v="4508771613"/>
    <n v="1818509284"/>
    <n v="5"/>
    <n v="42.25"/>
    <m/>
    <s v="VALIDARE"/>
    <s v="20240733-20.06.2024"/>
    <x v="0"/>
    <x v="10"/>
    <x v="1"/>
    <m/>
  </r>
  <r>
    <x v="3"/>
    <x v="0"/>
    <x v="15"/>
    <x v="10"/>
    <x v="18"/>
    <s v="VALVE BODY"/>
    <n v="1"/>
    <n v="8.2799999999999994"/>
    <n v="195"/>
    <n v="1614.6"/>
    <x v="54"/>
    <n v="18"/>
    <n v="2025"/>
    <n v="0"/>
    <x v="4"/>
    <n v="0"/>
    <m/>
    <s v="approved"/>
    <n v="56"/>
    <s v="yes"/>
    <m/>
    <m/>
    <s v="yes"/>
    <m/>
    <m/>
    <m/>
    <x v="0"/>
    <x v="26"/>
    <x v="31"/>
    <n v="5500552636"/>
    <n v="1818509284"/>
    <n v="195"/>
    <n v="1614.6"/>
    <m/>
    <s v="Eva Roth"/>
    <s v="20251013/31.07.2025/20251373/20251374-30.10.2025"/>
    <x v="1"/>
    <x v="1"/>
    <x v="0"/>
    <m/>
  </r>
  <r>
    <x v="3"/>
    <x v="0"/>
    <x v="15"/>
    <x v="10"/>
    <x v="18"/>
    <s v="VALVE BODY"/>
    <n v="1"/>
    <n v="8.2799999999999994"/>
    <n v="234"/>
    <n v="1937.5199999999998"/>
    <x v="55"/>
    <n v="20"/>
    <n v="2025"/>
    <n v="0"/>
    <x v="4"/>
    <n v="0"/>
    <m/>
    <s v="approved"/>
    <n v="56"/>
    <s v="yes"/>
    <m/>
    <m/>
    <m/>
    <m/>
    <m/>
    <m/>
    <x v="0"/>
    <x v="26"/>
    <x v="31"/>
    <n v="5500552636"/>
    <n v="1818509284"/>
    <n v="234"/>
    <n v="1937.5199999999998"/>
    <m/>
    <s v="Eva Roth"/>
    <s v="20251013/31.07.2025"/>
    <x v="1"/>
    <x v="2"/>
    <x v="0"/>
    <m/>
  </r>
  <r>
    <x v="3"/>
    <x v="0"/>
    <x v="14"/>
    <x v="8"/>
    <x v="19"/>
    <s v="VALVE BODY"/>
    <n v="1"/>
    <n v="10.99"/>
    <n v="5"/>
    <n v="54.95"/>
    <x v="49"/>
    <n v="36"/>
    <n v="2024"/>
    <n v="0"/>
    <x v="4"/>
    <n v="70"/>
    <m/>
    <s v="project"/>
    <n v="56"/>
    <s v="yes"/>
    <m/>
    <m/>
    <m/>
    <m/>
    <m/>
    <n v="240605"/>
    <x v="0"/>
    <x v="27"/>
    <x v="32"/>
    <n v="4508771613"/>
    <n v="1818509289"/>
    <n v="5"/>
    <n v="54.95"/>
    <m/>
    <s v="VALIDARE"/>
    <s v="20240802-28.06.2024"/>
    <x v="0"/>
    <x v="10"/>
    <x v="1"/>
    <m/>
  </r>
  <r>
    <x v="3"/>
    <x v="0"/>
    <x v="16"/>
    <x v="11"/>
    <x v="20"/>
    <s v="VALVE BODY         ."/>
    <s v="AA"/>
    <n v="0.74"/>
    <n v="300"/>
    <n v="222"/>
    <x v="56"/>
    <n v="7"/>
    <n v="2025"/>
    <n v="0"/>
    <x v="4"/>
    <n v="10"/>
    <n v="60"/>
    <s v="approved"/>
    <n v="42"/>
    <s v="no"/>
    <m/>
    <m/>
    <m/>
    <m/>
    <s v="ETA 25.02"/>
    <m/>
    <x v="0"/>
    <x v="28"/>
    <x v="33"/>
    <n v="5500494575"/>
    <n v="1818509439"/>
    <n v="300"/>
    <n v="222"/>
    <m/>
    <m/>
    <s v="20250292-07.03.2025"/>
    <x v="1"/>
    <x v="7"/>
    <x v="0"/>
    <m/>
  </r>
  <r>
    <x v="3"/>
    <x v="0"/>
    <x v="16"/>
    <x v="11"/>
    <x v="20"/>
    <s v="VALVE BODY         ."/>
    <s v="AA"/>
    <n v="0.74"/>
    <n v="608"/>
    <n v="449.92"/>
    <x v="56"/>
    <n v="7"/>
    <n v="2025"/>
    <n v="0"/>
    <x v="4"/>
    <n v="10"/>
    <n v="60"/>
    <s v="approved"/>
    <n v="42"/>
    <s v="no"/>
    <m/>
    <m/>
    <m/>
    <m/>
    <s v="ETA 25.02"/>
    <m/>
    <x v="0"/>
    <x v="29"/>
    <x v="34"/>
    <n v="5500494575"/>
    <n v="1818509439"/>
    <n v="608"/>
    <n v="449.92"/>
    <m/>
    <m/>
    <s v="20250313-13.03.2025"/>
    <x v="1"/>
    <x v="7"/>
    <x v="0"/>
    <m/>
  </r>
  <r>
    <x v="3"/>
    <x v="0"/>
    <x v="16"/>
    <x v="11"/>
    <x v="20"/>
    <s v="VALVE BODY         ."/>
    <s v="AA"/>
    <n v="0.74"/>
    <n v="92"/>
    <n v="68.08"/>
    <x v="56"/>
    <n v="7"/>
    <n v="2025"/>
    <n v="0"/>
    <x v="4"/>
    <n v="10"/>
    <n v="60"/>
    <s v="approved"/>
    <n v="42"/>
    <s v="no"/>
    <m/>
    <m/>
    <m/>
    <m/>
    <s v="ETA 25.02"/>
    <m/>
    <x v="0"/>
    <x v="30"/>
    <x v="35"/>
    <n v="5500494575"/>
    <n v="1818509439"/>
    <n v="92"/>
    <n v="68.08"/>
    <m/>
    <m/>
    <s v="20250487-10.04.2025"/>
    <x v="1"/>
    <x v="7"/>
    <x v="0"/>
    <m/>
  </r>
  <r>
    <x v="3"/>
    <x v="1"/>
    <x v="16"/>
    <x v="11"/>
    <x v="20"/>
    <s v="VALVE BODY         ."/>
    <s v="AA"/>
    <n v="0.74"/>
    <n v="45"/>
    <n v="33.299999999999997"/>
    <x v="26"/>
    <n v="50"/>
    <n v="2025"/>
    <n v="0"/>
    <x v="4"/>
    <n v="10"/>
    <n v="60"/>
    <s v="approved"/>
    <n v="42"/>
    <s v="no"/>
    <m/>
    <m/>
    <m/>
    <m/>
    <m/>
    <m/>
    <x v="0"/>
    <x v="30"/>
    <x v="35"/>
    <n v="5500494575"/>
    <n v="1818509439"/>
    <n v="45"/>
    <n v="33.299999999999997"/>
    <m/>
    <m/>
    <s v="20250487-10.04.2025"/>
    <x v="0"/>
    <x v="3"/>
    <x v="0"/>
    <m/>
  </r>
  <r>
    <x v="3"/>
    <x v="1"/>
    <x v="16"/>
    <x v="7"/>
    <x v="20"/>
    <s v="VALVE BODY         ."/>
    <s v="AA"/>
    <n v="0"/>
    <n v="180"/>
    <n v="0"/>
    <x v="43"/>
    <n v="4"/>
    <n v="2026"/>
    <n v="0"/>
    <x v="4"/>
    <n v="10"/>
    <n v="60"/>
    <s v="approved"/>
    <n v="42"/>
    <s v="no"/>
    <m/>
    <m/>
    <m/>
    <m/>
    <m/>
    <m/>
    <x v="1"/>
    <x v="3"/>
    <x v="4"/>
    <s v=""/>
    <s v=""/>
    <m/>
    <n v="0"/>
    <m/>
    <m/>
    <m/>
    <x v="2"/>
    <x v="6"/>
    <x v="3"/>
    <m/>
  </r>
  <r>
    <x v="3"/>
    <x v="1"/>
    <x v="16"/>
    <x v="7"/>
    <x v="20"/>
    <s v="VALVE BODY         ."/>
    <s v="AA"/>
    <n v="0"/>
    <n v="300"/>
    <n v="0"/>
    <x v="57"/>
    <n v="15"/>
    <n v="2026"/>
    <n v="0"/>
    <x v="4"/>
    <n v="10"/>
    <n v="61"/>
    <s v="approved"/>
    <n v="42"/>
    <s v="no"/>
    <m/>
    <m/>
    <m/>
    <m/>
    <m/>
    <m/>
    <x v="1"/>
    <x v="3"/>
    <x v="4"/>
    <s v=""/>
    <s v=""/>
    <m/>
    <n v="0"/>
    <m/>
    <m/>
    <m/>
    <x v="2"/>
    <x v="1"/>
    <x v="3"/>
    <m/>
  </r>
  <r>
    <x v="3"/>
    <x v="1"/>
    <x v="16"/>
    <x v="7"/>
    <x v="20"/>
    <s v="VALVE BODY         ."/>
    <s v="AA"/>
    <n v="0"/>
    <n v="300"/>
    <n v="0"/>
    <x v="58"/>
    <n v="27"/>
    <n v="2026"/>
    <n v="0"/>
    <x v="4"/>
    <n v="10"/>
    <n v="61"/>
    <s v="approved"/>
    <n v="42"/>
    <s v="no"/>
    <m/>
    <m/>
    <m/>
    <m/>
    <m/>
    <m/>
    <x v="1"/>
    <x v="3"/>
    <x v="4"/>
    <s v=""/>
    <s v=""/>
    <m/>
    <n v="0"/>
    <m/>
    <m/>
    <m/>
    <x v="2"/>
    <x v="0"/>
    <x v="3"/>
    <m/>
  </r>
  <r>
    <x v="3"/>
    <x v="1"/>
    <x v="16"/>
    <x v="7"/>
    <x v="20"/>
    <s v="VALVE BODY         ."/>
    <s v="AA"/>
    <n v="0"/>
    <n v="291"/>
    <n v="0"/>
    <x v="59"/>
    <n v="50"/>
    <n v="2026"/>
    <n v="0"/>
    <x v="4"/>
    <n v="10"/>
    <n v="61"/>
    <s v="approved"/>
    <n v="42"/>
    <s v="no"/>
    <m/>
    <m/>
    <m/>
    <m/>
    <m/>
    <m/>
    <x v="1"/>
    <x v="3"/>
    <x v="4"/>
    <s v=""/>
    <s v=""/>
    <m/>
    <n v="0"/>
    <m/>
    <m/>
    <m/>
    <x v="2"/>
    <x v="3"/>
    <x v="3"/>
    <m/>
  </r>
  <r>
    <x v="3"/>
    <x v="0"/>
    <x v="10"/>
    <x v="8"/>
    <x v="21"/>
    <s v="VALVE BODY"/>
    <n v="1"/>
    <n v="5.19"/>
    <n v="5"/>
    <n v="25.950000000000003"/>
    <x v="49"/>
    <n v="36"/>
    <n v="2024"/>
    <n v="0"/>
    <x v="4"/>
    <n v="240"/>
    <m/>
    <s v="project"/>
    <n v="0.10416666666666667"/>
    <m/>
    <m/>
    <m/>
    <m/>
    <m/>
    <m/>
    <m/>
    <x v="0"/>
    <x v="23"/>
    <x v="4"/>
    <s v=""/>
    <s v=""/>
    <n v="0"/>
    <n v="0"/>
    <m/>
    <m/>
    <m/>
    <x v="1"/>
    <x v="10"/>
    <x v="1"/>
    <m/>
  </r>
  <r>
    <x v="3"/>
    <x v="0"/>
    <x v="10"/>
    <x v="8"/>
    <x v="21"/>
    <s v="VALVE BODY"/>
    <n v="1"/>
    <n v="300"/>
    <n v="5"/>
    <n v="1500"/>
    <x v="49"/>
    <n v="36"/>
    <n v="2024"/>
    <n v="0"/>
    <x v="4"/>
    <n v="240"/>
    <m/>
    <s v="project"/>
    <n v="56"/>
    <s v="yes"/>
    <m/>
    <m/>
    <m/>
    <s v="project"/>
    <m/>
    <m/>
    <x v="0"/>
    <x v="31"/>
    <x v="36"/>
    <n v="4508771389"/>
    <n v="1818509497"/>
    <n v="5"/>
    <n v="1500"/>
    <m/>
    <m/>
    <s v="20251336-22.10.2025"/>
    <x v="1"/>
    <x v="10"/>
    <x v="1"/>
    <m/>
  </r>
  <r>
    <x v="3"/>
    <x v="0"/>
    <x v="7"/>
    <x v="8"/>
    <x v="22"/>
    <s v="VALVE BODY"/>
    <n v="1"/>
    <n v="12.65"/>
    <n v="5"/>
    <n v="63.25"/>
    <x v="49"/>
    <n v="36"/>
    <n v="2024"/>
    <n v="0"/>
    <x v="4"/>
    <n v="100"/>
    <s v="   "/>
    <s v="project"/>
    <n v="56"/>
    <s v="yes"/>
    <m/>
    <m/>
    <m/>
    <m/>
    <m/>
    <n v="240904"/>
    <x v="0"/>
    <x v="24"/>
    <x v="29"/>
    <n v="4508756412"/>
    <n v="1818509503"/>
    <n v="5"/>
    <n v="63.25"/>
    <m/>
    <m/>
    <s v="20241223 23.09.2024"/>
    <x v="1"/>
    <x v="10"/>
    <x v="1"/>
    <m/>
  </r>
  <r>
    <x v="3"/>
    <x v="0"/>
    <x v="14"/>
    <x v="12"/>
    <x v="23"/>
    <s v="VALVE BODY"/>
    <n v="1"/>
    <n v="9.32"/>
    <n v="5"/>
    <n v="46.6"/>
    <x v="49"/>
    <n v="36"/>
    <n v="2024"/>
    <n v="0"/>
    <x v="4"/>
    <n v="105"/>
    <n v="60"/>
    <s v="project"/>
    <n v="56"/>
    <s v="yes"/>
    <m/>
    <m/>
    <m/>
    <m/>
    <m/>
    <m/>
    <x v="0"/>
    <x v="32"/>
    <x v="37"/>
    <n v="4508771613"/>
    <n v="1818509508"/>
    <n v="5"/>
    <n v="46.6"/>
    <m/>
    <s v="VALIDARE"/>
    <s v="20240852-05.07.2024"/>
    <x v="0"/>
    <x v="10"/>
    <x v="1"/>
    <m/>
  </r>
  <r>
    <x v="3"/>
    <x v="0"/>
    <x v="14"/>
    <x v="12"/>
    <x v="23"/>
    <s v="VALVE BODY"/>
    <n v="1"/>
    <n v="9.32"/>
    <n v="5"/>
    <n v="46.6"/>
    <x v="60"/>
    <n v="36"/>
    <n v="2024"/>
    <n v="0"/>
    <x v="4"/>
    <n v="105"/>
    <m/>
    <m/>
    <n v="0.10416666666666667"/>
    <m/>
    <m/>
    <m/>
    <m/>
    <m/>
    <m/>
    <m/>
    <x v="0"/>
    <x v="18"/>
    <x v="38"/>
    <n v="4508771613"/>
    <n v="1818509508"/>
    <n v="5"/>
    <n v="46.6"/>
    <s v="COZAC LUCIAN"/>
    <s v="stornate*NU SE FACTUREAZA*"/>
    <s v="20240941-23.07.2024/20241042-13.08.2024"/>
    <x v="0"/>
    <x v="10"/>
    <x v="1"/>
    <m/>
  </r>
  <r>
    <x v="3"/>
    <x v="1"/>
    <x v="17"/>
    <x v="12"/>
    <x v="23"/>
    <s v="VALVE BODY"/>
    <n v="1"/>
    <n v="0"/>
    <n v="105"/>
    <n v="0"/>
    <x v="61"/>
    <n v="6"/>
    <n v="2026"/>
    <n v="0"/>
    <x v="4"/>
    <n v="105"/>
    <m/>
    <m/>
    <n v="56"/>
    <m/>
    <m/>
    <m/>
    <m/>
    <m/>
    <m/>
    <m/>
    <x v="1"/>
    <x v="3"/>
    <x v="4"/>
    <s v=""/>
    <s v=""/>
    <m/>
    <n v="0"/>
    <m/>
    <m/>
    <m/>
    <x v="2"/>
    <x v="7"/>
    <x v="3"/>
    <m/>
  </r>
  <r>
    <x v="3"/>
    <x v="1"/>
    <x v="17"/>
    <x v="12"/>
    <x v="23"/>
    <s v="VALVE BODY"/>
    <n v="1"/>
    <n v="0"/>
    <n v="105"/>
    <n v="0"/>
    <x v="62"/>
    <n v="19"/>
    <n v="2026"/>
    <n v="0"/>
    <x v="4"/>
    <n v="105"/>
    <m/>
    <m/>
    <n v="56"/>
    <m/>
    <m/>
    <m/>
    <m/>
    <m/>
    <m/>
    <m/>
    <x v="1"/>
    <x v="3"/>
    <x v="4"/>
    <s v=""/>
    <s v=""/>
    <m/>
    <n v="0"/>
    <m/>
    <m/>
    <m/>
    <x v="2"/>
    <x v="2"/>
    <x v="3"/>
    <m/>
  </r>
  <r>
    <x v="3"/>
    <x v="1"/>
    <x v="17"/>
    <x v="12"/>
    <x v="23"/>
    <s v="VALVE BODY"/>
    <n v="1"/>
    <n v="0"/>
    <n v="105"/>
    <n v="0"/>
    <x v="63"/>
    <n v="30"/>
    <n v="2026"/>
    <n v="0"/>
    <x v="4"/>
    <n v="105"/>
    <m/>
    <m/>
    <n v="56"/>
    <m/>
    <m/>
    <m/>
    <m/>
    <m/>
    <m/>
    <m/>
    <x v="1"/>
    <x v="3"/>
    <x v="4"/>
    <s v=""/>
    <s v=""/>
    <m/>
    <n v="0"/>
    <m/>
    <m/>
    <m/>
    <x v="2"/>
    <x v="8"/>
    <x v="3"/>
    <m/>
  </r>
  <r>
    <x v="3"/>
    <x v="1"/>
    <x v="17"/>
    <x v="12"/>
    <x v="23"/>
    <s v="VALVE BODY"/>
    <n v="1"/>
    <n v="0"/>
    <n v="105"/>
    <n v="0"/>
    <x v="64"/>
    <n v="36"/>
    <n v="2026"/>
    <n v="0"/>
    <x v="4"/>
    <n v="105"/>
    <m/>
    <m/>
    <n v="2.1875"/>
    <m/>
    <m/>
    <m/>
    <m/>
    <m/>
    <m/>
    <m/>
    <x v="1"/>
    <x v="3"/>
    <x v="4"/>
    <s v=""/>
    <s v=""/>
    <m/>
    <n v="0"/>
    <m/>
    <m/>
    <m/>
    <x v="2"/>
    <x v="10"/>
    <x v="3"/>
    <m/>
  </r>
  <r>
    <x v="3"/>
    <x v="1"/>
    <x v="17"/>
    <x v="12"/>
    <x v="23"/>
    <s v="VALVE BODY"/>
    <n v="1"/>
    <n v="0"/>
    <n v="105"/>
    <n v="0"/>
    <x v="65"/>
    <n v="49"/>
    <n v="2026"/>
    <n v="0"/>
    <x v="4"/>
    <n v="105"/>
    <m/>
    <m/>
    <n v="56"/>
    <m/>
    <m/>
    <m/>
    <m/>
    <m/>
    <m/>
    <m/>
    <x v="1"/>
    <x v="3"/>
    <x v="4"/>
    <s v=""/>
    <s v=""/>
    <m/>
    <n v="0"/>
    <m/>
    <m/>
    <m/>
    <x v="2"/>
    <x v="3"/>
    <x v="3"/>
    <m/>
  </r>
  <r>
    <x v="3"/>
    <x v="0"/>
    <x v="11"/>
    <x v="8"/>
    <x v="24"/>
    <s v="VALVE BODY"/>
    <s v="AB"/>
    <n v="3.26"/>
    <n v="5"/>
    <n v="16.299999999999997"/>
    <x v="49"/>
    <n v="36"/>
    <n v="2024"/>
    <n v="0"/>
    <x v="4"/>
    <n v="300"/>
    <n v="60"/>
    <s v="project"/>
    <n v="56"/>
    <s v="yes"/>
    <m/>
    <m/>
    <m/>
    <m/>
    <m/>
    <s v="240906"/>
    <x v="0"/>
    <x v="21"/>
    <x v="26"/>
    <n v="4508769328"/>
    <n v="1818509512"/>
    <n v="5"/>
    <n v="16.299999999999997"/>
    <m/>
    <s v="PPAP"/>
    <s v="20230611-12.05.2023/20241159-09.09.2024/20241155-06.09.2024"/>
    <x v="0"/>
    <x v="10"/>
    <x v="1"/>
    <m/>
  </r>
  <r>
    <x v="3"/>
    <x v="0"/>
    <x v="11"/>
    <x v="8"/>
    <x v="25"/>
    <s v="VALVE BODY"/>
    <n v="1"/>
    <n v="3.29"/>
    <n v="5"/>
    <n v="16.45"/>
    <x v="49"/>
    <n v="36"/>
    <n v="2024"/>
    <n v="0"/>
    <x v="4"/>
    <n v="300"/>
    <m/>
    <s v="project"/>
    <s v="Yes"/>
    <n v="45770"/>
    <n v="25658"/>
    <n v="4508769328"/>
    <n v="1818509516"/>
    <n v="5"/>
    <n v="16.45"/>
    <m/>
    <x v="0"/>
    <x v="20"/>
    <x v="39"/>
    <n v="4508769328"/>
    <n v="1818509516"/>
    <n v="5"/>
    <n v="16.45"/>
    <m/>
    <s v="PPAP"/>
    <s v="20251276-01.10.2025"/>
    <x v="1"/>
    <x v="10"/>
    <x v="1"/>
    <m/>
  </r>
  <r>
    <x v="3"/>
    <x v="0"/>
    <x v="11"/>
    <x v="8"/>
    <x v="25"/>
    <s v="VALVE BODY"/>
    <n v="1"/>
    <n v="3.29"/>
    <n v="5"/>
    <n v="16.45"/>
    <x v="49"/>
    <n v="36"/>
    <n v="2024"/>
    <n v="0"/>
    <x v="4"/>
    <n v="300"/>
    <m/>
    <s v="project"/>
    <n v="56"/>
    <s v="yes"/>
    <m/>
    <m/>
    <m/>
    <s v="project"/>
    <s v="Yes"/>
    <m/>
    <x v="0"/>
    <x v="33"/>
    <x v="40"/>
    <n v="4508769328"/>
    <n v="1818509516"/>
    <n v="5"/>
    <n v="16.45"/>
    <m/>
    <s v="PPAP"/>
    <s v="20250553-23.04.2025"/>
    <x v="1"/>
    <x v="10"/>
    <x v="1"/>
    <m/>
  </r>
  <r>
    <x v="3"/>
    <x v="0"/>
    <x v="10"/>
    <x v="8"/>
    <x v="26"/>
    <s v="VALVE BODY"/>
    <n v="1"/>
    <n v="4.58"/>
    <n v="5"/>
    <n v="22.9"/>
    <x v="49"/>
    <n v="36"/>
    <n v="2024"/>
    <n v="0"/>
    <x v="4"/>
    <n v="216"/>
    <n v="60"/>
    <s v="project"/>
    <n v="56"/>
    <s v="yes"/>
    <m/>
    <m/>
    <m/>
    <m/>
    <m/>
    <s v="240616/240623"/>
    <x v="0"/>
    <x v="19"/>
    <x v="23"/>
    <n v="4508771389"/>
    <n v="1818509519"/>
    <n v="5"/>
    <n v="22.9"/>
    <m/>
    <s v="PPAP"/>
    <s v="20241099-26.08.2024"/>
    <x v="0"/>
    <x v="10"/>
    <x v="1"/>
    <m/>
  </r>
  <r>
    <x v="3"/>
    <x v="0"/>
    <x v="14"/>
    <x v="8"/>
    <x v="27"/>
    <s v="VALVE BODY"/>
    <n v="1"/>
    <n v="23.43"/>
    <n v="10"/>
    <n v="234.3"/>
    <x v="49"/>
    <n v="36"/>
    <n v="2024"/>
    <n v="0"/>
    <x v="4"/>
    <n v="30"/>
    <m/>
    <s v="project"/>
    <n v="56"/>
    <s v="yes"/>
    <m/>
    <m/>
    <m/>
    <m/>
    <m/>
    <s v="240704/240714"/>
    <x v="0"/>
    <x v="34"/>
    <x v="41"/>
    <n v="4508771613"/>
    <n v="1818509554"/>
    <n v="5"/>
    <n v="117.15"/>
    <m/>
    <s v="VALIDARE"/>
    <s v="20240639-30.05.2024"/>
    <x v="0"/>
    <x v="10"/>
    <x v="1"/>
    <m/>
  </r>
  <r>
    <x v="3"/>
    <x v="0"/>
    <x v="14"/>
    <x v="8"/>
    <x v="27"/>
    <s v="VALVE BODY"/>
    <n v="1"/>
    <n v="23.43"/>
    <m/>
    <n v="0"/>
    <x v="60"/>
    <n v="36"/>
    <n v="2024"/>
    <n v="0"/>
    <x v="4"/>
    <n v="30"/>
    <m/>
    <m/>
    <n v="56"/>
    <m/>
    <m/>
    <m/>
    <m/>
    <m/>
    <m/>
    <m/>
    <x v="0"/>
    <x v="18"/>
    <x v="42"/>
    <n v="4508771613"/>
    <n v="1818509554"/>
    <n v="5"/>
    <n v="117.15"/>
    <s v="COZAC LUCIAN"/>
    <s v="stornate*NU SE FACTUREAZA*"/>
    <s v="20240940-23.07.2024/20241043-13.08.2024"/>
    <x v="0"/>
    <x v="10"/>
    <x v="1"/>
    <m/>
  </r>
  <r>
    <x v="3"/>
    <x v="0"/>
    <x v="14"/>
    <x v="8"/>
    <x v="28"/>
    <s v="VALVE BODY"/>
    <n v="1"/>
    <n v="27.16"/>
    <n v="5"/>
    <n v="135.80000000000001"/>
    <x v="49"/>
    <n v="36"/>
    <n v="2024"/>
    <n v="0"/>
    <x v="4"/>
    <n v="20"/>
    <m/>
    <s v="project"/>
    <n v="56"/>
    <s v="yes"/>
    <m/>
    <m/>
    <m/>
    <m/>
    <m/>
    <s v="240705/240803"/>
    <x v="0"/>
    <x v="22"/>
    <x v="43"/>
    <n v="4508771613"/>
    <n v="1818509555"/>
    <n v="5"/>
    <n v="135.80000000000001"/>
    <m/>
    <s v="VALIDARE"/>
    <s v="20240539-14.05.2024"/>
    <x v="0"/>
    <x v="10"/>
    <x v="1"/>
    <m/>
  </r>
  <r>
    <x v="3"/>
    <x v="0"/>
    <x v="14"/>
    <x v="11"/>
    <x v="29"/>
    <s v="VALVE BODY"/>
    <n v="1"/>
    <n v="24.57"/>
    <n v="5"/>
    <n v="122.85"/>
    <x v="49"/>
    <n v="36"/>
    <n v="2024"/>
    <n v="0"/>
    <x v="4"/>
    <n v="50"/>
    <m/>
    <s v="project"/>
    <n v="56"/>
    <s v="yes"/>
    <m/>
    <m/>
    <m/>
    <m/>
    <m/>
    <s v="240706/240805"/>
    <x v="0"/>
    <x v="22"/>
    <x v="44"/>
    <n v="4508771613"/>
    <n v="1818509563"/>
    <n v="5"/>
    <n v="122.85"/>
    <m/>
    <s v="VALIDARE"/>
    <s v="20240538-14.05.2024"/>
    <x v="0"/>
    <x v="10"/>
    <x v="1"/>
    <m/>
  </r>
  <r>
    <x v="3"/>
    <x v="1"/>
    <x v="18"/>
    <x v="7"/>
    <x v="29"/>
    <s v="VALVE BODY"/>
    <n v="1"/>
    <n v="24.57"/>
    <n v="60"/>
    <n v="1474.2"/>
    <x v="42"/>
    <n v="48"/>
    <n v="2025"/>
    <n v="0"/>
    <x v="4"/>
    <n v="50"/>
    <m/>
    <m/>
    <n v="56"/>
    <s v="yes"/>
    <m/>
    <m/>
    <m/>
    <m/>
    <m/>
    <m/>
    <x v="1"/>
    <x v="3"/>
    <x v="4"/>
    <s v=""/>
    <s v=""/>
    <m/>
    <n v="0"/>
    <m/>
    <m/>
    <m/>
    <x v="2"/>
    <x v="4"/>
    <x v="0"/>
    <m/>
  </r>
  <r>
    <x v="3"/>
    <x v="1"/>
    <x v="18"/>
    <x v="7"/>
    <x v="29"/>
    <s v="VALVE BODY"/>
    <n v="1"/>
    <n v="0"/>
    <n v="100"/>
    <n v="0"/>
    <x v="66"/>
    <n v="22"/>
    <n v="2026"/>
    <n v="0"/>
    <x v="4"/>
    <n v="50"/>
    <m/>
    <m/>
    <n v="56"/>
    <s v="yes"/>
    <m/>
    <m/>
    <m/>
    <m/>
    <m/>
    <m/>
    <x v="1"/>
    <x v="3"/>
    <x v="4"/>
    <s v=""/>
    <s v=""/>
    <m/>
    <n v="0"/>
    <m/>
    <m/>
    <m/>
    <x v="2"/>
    <x v="2"/>
    <x v="3"/>
    <m/>
  </r>
  <r>
    <x v="3"/>
    <x v="1"/>
    <x v="18"/>
    <x v="7"/>
    <x v="29"/>
    <s v="VALVE BODY"/>
    <n v="1"/>
    <n v="0"/>
    <n v="100"/>
    <n v="0"/>
    <x v="64"/>
    <n v="36"/>
    <n v="2026"/>
    <n v="0"/>
    <x v="4"/>
    <n v="50"/>
    <m/>
    <m/>
    <n v="2.0833333333333335"/>
    <m/>
    <m/>
    <m/>
    <m/>
    <m/>
    <m/>
    <m/>
    <x v="1"/>
    <x v="3"/>
    <x v="4"/>
    <s v=""/>
    <s v=""/>
    <m/>
    <n v="0"/>
    <m/>
    <m/>
    <m/>
    <x v="2"/>
    <x v="10"/>
    <x v="3"/>
    <m/>
  </r>
  <r>
    <x v="3"/>
    <x v="1"/>
    <x v="18"/>
    <x v="7"/>
    <x v="29"/>
    <s v="VALVE BODY"/>
    <n v="1"/>
    <n v="0"/>
    <n v="100"/>
    <n v="0"/>
    <x v="67"/>
    <n v="51"/>
    <n v="2026"/>
    <n v="0"/>
    <x v="4"/>
    <n v="50"/>
    <m/>
    <m/>
    <n v="56"/>
    <s v="yes"/>
    <m/>
    <m/>
    <m/>
    <m/>
    <m/>
    <m/>
    <x v="1"/>
    <x v="3"/>
    <x v="4"/>
    <s v=""/>
    <s v=""/>
    <m/>
    <n v="0"/>
    <m/>
    <m/>
    <m/>
    <x v="2"/>
    <x v="3"/>
    <x v="3"/>
    <m/>
  </r>
  <r>
    <x v="3"/>
    <x v="0"/>
    <x v="11"/>
    <x v="8"/>
    <x v="30"/>
    <s v="VALVE BODY"/>
    <n v="1"/>
    <n v="3.37"/>
    <n v="5"/>
    <n v="16.850000000000001"/>
    <x v="49"/>
    <n v="36"/>
    <n v="2024"/>
    <n v="0"/>
    <x v="4"/>
    <n v="300"/>
    <m/>
    <s v="project"/>
    <n v="56"/>
    <s v="yes"/>
    <m/>
    <m/>
    <m/>
    <m/>
    <m/>
    <n v="241003"/>
    <x v="0"/>
    <x v="21"/>
    <x v="26"/>
    <n v="4508769328"/>
    <n v="1818509618"/>
    <n v="5"/>
    <n v="16.850000000000001"/>
    <m/>
    <s v="PPAP"/>
    <s v="20241155-06.09.2024"/>
    <x v="0"/>
    <x v="10"/>
    <x v="1"/>
    <m/>
  </r>
  <r>
    <x v="3"/>
    <x v="0"/>
    <x v="14"/>
    <x v="8"/>
    <x v="31"/>
    <s v="VALVE BODY"/>
    <n v="1"/>
    <s v="18.00"/>
    <n v="5"/>
    <n v="90"/>
    <x v="49"/>
    <n v="36"/>
    <n v="2024"/>
    <n v="0"/>
    <x v="4"/>
    <n v="20"/>
    <n v="60"/>
    <s v="project"/>
    <n v="56"/>
    <s v="yes"/>
    <m/>
    <m/>
    <m/>
    <m/>
    <m/>
    <s v="241211"/>
    <x v="0"/>
    <x v="24"/>
    <x v="45"/>
    <n v="4508771613"/>
    <n v="1818509634"/>
    <n v="5"/>
    <n v="90"/>
    <m/>
    <m/>
    <s v="20241224-23-09-2024"/>
    <x v="1"/>
    <x v="10"/>
    <x v="1"/>
    <m/>
  </r>
  <r>
    <x v="3"/>
    <x v="0"/>
    <x v="19"/>
    <x v="13"/>
    <x v="32"/>
    <s v="VALVE BODY"/>
    <s v="AB"/>
    <n v="2.5299999999999998"/>
    <n v="100"/>
    <n v="252.99999999999997"/>
    <x v="49"/>
    <n v="36"/>
    <n v="2024"/>
    <n v="0"/>
    <x v="4"/>
    <n v="80"/>
    <m/>
    <s v="approved"/>
    <n v="42"/>
    <s v="no"/>
    <m/>
    <m/>
    <m/>
    <m/>
    <m/>
    <m/>
    <x v="0"/>
    <x v="35"/>
    <x v="46"/>
    <n v="5500494573"/>
    <n v="1818509661"/>
    <n v="100"/>
    <n v="252.99999999999997"/>
    <m/>
    <m/>
    <s v="20241378-04.11.2024"/>
    <x v="1"/>
    <x v="10"/>
    <x v="1"/>
    <m/>
  </r>
  <r>
    <x v="3"/>
    <x v="0"/>
    <x v="19"/>
    <x v="13"/>
    <x v="32"/>
    <s v="VALVE BODY"/>
    <s v="AB"/>
    <n v="2.5299999999999998"/>
    <n v="40"/>
    <n v="101.19999999999999"/>
    <x v="68"/>
    <n v="2"/>
    <n v="2025"/>
    <n v="0"/>
    <x v="4"/>
    <n v="80"/>
    <m/>
    <s v="approved"/>
    <n v="42"/>
    <s v="no"/>
    <m/>
    <m/>
    <m/>
    <m/>
    <m/>
    <m/>
    <x v="0"/>
    <x v="35"/>
    <x v="46"/>
    <n v="5500494573"/>
    <n v="1818509661"/>
    <n v="40"/>
    <n v="101.19999999999999"/>
    <m/>
    <m/>
    <s v="20241378-04.11.2024"/>
    <x v="0"/>
    <x v="6"/>
    <x v="0"/>
    <m/>
  </r>
  <r>
    <x v="3"/>
    <x v="0"/>
    <x v="19"/>
    <x v="13"/>
    <x v="32"/>
    <s v="VALVE BODY"/>
    <s v="AB"/>
    <n v="2.5299999999999998"/>
    <n v="100"/>
    <n v="252.99999999999997"/>
    <x v="69"/>
    <n v="7"/>
    <n v="2025"/>
    <n v="0"/>
    <x v="4"/>
    <n v="80"/>
    <m/>
    <s v="approved"/>
    <n v="42"/>
    <s v="no"/>
    <s v="?"/>
    <m/>
    <m/>
    <m/>
    <s v="yes -250"/>
    <m/>
    <x v="0"/>
    <x v="36"/>
    <x v="47"/>
    <n v="5500494573"/>
    <n v="1818509661"/>
    <n v="0"/>
    <n v="0"/>
    <m/>
    <s v="aviz de mana: 20242059 - STORNATE"/>
    <s v="20250170-15.02.2025 / 20250336-17.03.2025"/>
    <x v="1"/>
    <x v="7"/>
    <x v="0"/>
    <m/>
  </r>
  <r>
    <x v="3"/>
    <x v="0"/>
    <x v="19"/>
    <x v="13"/>
    <x v="32"/>
    <s v="VALVE BODY"/>
    <s v="AB"/>
    <n v="2.5299999999999998"/>
    <n v="64"/>
    <n v="161.91999999999999"/>
    <x v="69"/>
    <n v="7"/>
    <n v="2025"/>
    <n v="0"/>
    <x v="4"/>
    <n v="80"/>
    <m/>
    <s v="approved"/>
    <n v="42"/>
    <s v="no"/>
    <m/>
    <m/>
    <m/>
    <m/>
    <m/>
    <m/>
    <x v="0"/>
    <x v="36"/>
    <x v="47"/>
    <n v="5500494573"/>
    <n v="1818509661"/>
    <n v="0"/>
    <n v="0"/>
    <m/>
    <s v="aviz de mana: 20242059 - STORNATE"/>
    <s v="20250170-15.02.2025 / 20250336-17.03.2025"/>
    <x v="1"/>
    <x v="7"/>
    <x v="0"/>
    <m/>
  </r>
  <r>
    <x v="3"/>
    <x v="0"/>
    <x v="19"/>
    <x v="13"/>
    <x v="32"/>
    <s v="VALVE BODY"/>
    <s v="AB"/>
    <n v="2.5299999999999998"/>
    <n v="159"/>
    <n v="402.27"/>
    <x v="69"/>
    <n v="7"/>
    <n v="2025"/>
    <n v="0"/>
    <x v="4"/>
    <n v="80"/>
    <m/>
    <s v="approved"/>
    <n v="42"/>
    <s v="no"/>
    <m/>
    <m/>
    <m/>
    <m/>
    <m/>
    <m/>
    <x v="0"/>
    <x v="37"/>
    <x v="48"/>
    <n v="5500494573"/>
    <n v="1818509661"/>
    <n v="159"/>
    <n v="402.27"/>
    <m/>
    <s v="REWORKS"/>
    <s v="20250357-20.03.2025"/>
    <x v="1"/>
    <x v="7"/>
    <x v="0"/>
    <m/>
  </r>
  <r>
    <x v="3"/>
    <x v="0"/>
    <x v="19"/>
    <x v="13"/>
    <x v="32"/>
    <s v="VALVE BODY"/>
    <s v="AB"/>
    <n v="2.5299999999999998"/>
    <n v="16"/>
    <n v="40.479999999999997"/>
    <x v="70"/>
    <n v="23"/>
    <n v="2025"/>
    <n v="0"/>
    <x v="4"/>
    <n v="80"/>
    <m/>
    <s v="approved"/>
    <n v="42"/>
    <s v="no"/>
    <m/>
    <m/>
    <m/>
    <m/>
    <m/>
    <m/>
    <x v="0"/>
    <x v="35"/>
    <x v="46"/>
    <n v="5500494573"/>
    <n v="1818509661"/>
    <n v="16"/>
    <n v="40.479999999999997"/>
    <m/>
    <m/>
    <s v="20241378-04.11.2024"/>
    <x v="0"/>
    <x v="0"/>
    <x v="0"/>
    <m/>
  </r>
  <r>
    <x v="3"/>
    <x v="0"/>
    <x v="10"/>
    <x v="8"/>
    <x v="33"/>
    <s v="VALVE BODY"/>
    <s v="AB"/>
    <n v="300"/>
    <n v="5"/>
    <n v="1500"/>
    <x v="49"/>
    <n v="36"/>
    <n v="2024"/>
    <n v="0"/>
    <x v="4"/>
    <n v="10"/>
    <n v="60"/>
    <s v="project"/>
    <n v="0.10416666666666667"/>
    <m/>
    <m/>
    <m/>
    <m/>
    <m/>
    <m/>
    <m/>
    <x v="0"/>
    <x v="38"/>
    <x v="49"/>
    <n v="4508771389"/>
    <n v="1818509665"/>
    <n v="5"/>
    <n v="1500"/>
    <m/>
    <m/>
    <s v="20251335-22.10.2025"/>
    <x v="1"/>
    <x v="10"/>
    <x v="1"/>
    <m/>
  </r>
  <r>
    <x v="3"/>
    <x v="0"/>
    <x v="10"/>
    <x v="8"/>
    <x v="33"/>
    <s v="VALVE BODY"/>
    <s v="AB"/>
    <n v="9.86"/>
    <n v="5"/>
    <n v="49.3"/>
    <x v="49"/>
    <n v="36"/>
    <n v="2024"/>
    <n v="0"/>
    <x v="4"/>
    <n v="10"/>
    <n v="60"/>
    <s v="project"/>
    <n v="56"/>
    <s v="yes"/>
    <m/>
    <m/>
    <m/>
    <m/>
    <m/>
    <s v="240617/240715/240724"/>
    <x v="0"/>
    <x v="19"/>
    <x v="23"/>
    <n v="4508771389"/>
    <n v="1818509665"/>
    <n v="5"/>
    <n v="49.3"/>
    <m/>
    <s v="PPAP-respinse-reclamatie 201806690"/>
    <s v="20241099-26.08.2024/20251334-22.10.2025"/>
    <x v="0"/>
    <x v="10"/>
    <x v="1"/>
    <m/>
  </r>
  <r>
    <x v="3"/>
    <x v="0"/>
    <x v="20"/>
    <x v="8"/>
    <x v="34"/>
    <s v="VALVE_INSERT_3WRCBEE_25_VF190M_1X_"/>
    <n v="1"/>
    <n v="43.56"/>
    <n v="5"/>
    <n v="217.8"/>
    <x v="71"/>
    <n v="43"/>
    <n v="2022"/>
    <n v="0"/>
    <x v="5"/>
    <n v="100"/>
    <m/>
    <s v="project"/>
    <n v="56"/>
    <s v="yes"/>
    <m/>
    <m/>
    <m/>
    <m/>
    <m/>
    <m/>
    <x v="0"/>
    <x v="3"/>
    <x v="4"/>
    <s v=""/>
    <s v=""/>
    <n v="0"/>
    <n v="0"/>
    <m/>
    <s v="Proiect Anulat"/>
    <m/>
    <x v="1"/>
    <x v="11"/>
    <x v="4"/>
    <m/>
  </r>
  <r>
    <x v="3"/>
    <x v="0"/>
    <x v="21"/>
    <x v="8"/>
    <x v="35"/>
    <s v="VALVE_INSERT_3WRCBEE_32_VF380M_1X_"/>
    <n v="1"/>
    <n v="88.15"/>
    <n v="5"/>
    <n v="440.75"/>
    <x v="72"/>
    <n v="44"/>
    <n v="2022"/>
    <n v="0"/>
    <x v="5"/>
    <n v="10"/>
    <m/>
    <s v="project"/>
    <n v="56"/>
    <s v="yes"/>
    <m/>
    <m/>
    <m/>
    <m/>
    <m/>
    <m/>
    <x v="0"/>
    <x v="3"/>
    <x v="4"/>
    <s v=""/>
    <s v=""/>
    <n v="0"/>
    <n v="0"/>
    <m/>
    <s v="Proiect Anulat"/>
    <m/>
    <x v="1"/>
    <x v="11"/>
    <x v="4"/>
    <m/>
  </r>
  <r>
    <x v="3"/>
    <x v="0"/>
    <x v="21"/>
    <x v="8"/>
    <x v="36"/>
    <s v="VALVE_INSERT_3WRCBH_25_V190M_1X"/>
    <n v="1"/>
    <n v="54.41"/>
    <n v="5"/>
    <n v="272.04999999999995"/>
    <x v="71"/>
    <n v="43"/>
    <n v="2022"/>
    <n v="0"/>
    <x v="5"/>
    <n v="15"/>
    <m/>
    <s v="project"/>
    <n v="56"/>
    <s v="yes"/>
    <m/>
    <m/>
    <m/>
    <m/>
    <m/>
    <m/>
    <x v="0"/>
    <x v="3"/>
    <x v="4"/>
    <s v=""/>
    <s v=""/>
    <n v="0"/>
    <n v="0"/>
    <m/>
    <s v="Proiect Anulat"/>
    <m/>
    <x v="1"/>
    <x v="11"/>
    <x v="4"/>
    <m/>
  </r>
  <r>
    <x v="3"/>
    <x v="0"/>
    <x v="20"/>
    <x v="8"/>
    <x v="37"/>
    <s v="VALVE_INSERT_3WRCB_32"/>
    <n v="1"/>
    <n v="34.15"/>
    <n v="5"/>
    <n v="170.75"/>
    <x v="72"/>
    <n v="44"/>
    <n v="2022"/>
    <n v="0"/>
    <x v="5"/>
    <n v="440"/>
    <m/>
    <s v="project"/>
    <n v="56"/>
    <s v="yes"/>
    <m/>
    <m/>
    <m/>
    <m/>
    <m/>
    <m/>
    <x v="0"/>
    <x v="3"/>
    <x v="4"/>
    <s v=""/>
    <s v=""/>
    <n v="0"/>
    <n v="0"/>
    <m/>
    <s v="Proiect Anulat"/>
    <m/>
    <x v="1"/>
    <x v="11"/>
    <x v="4"/>
    <m/>
  </r>
  <r>
    <x v="3"/>
    <x v="0"/>
    <x v="22"/>
    <x v="8"/>
    <x v="38"/>
    <s v="VALVE_INSERT_DAU_50_A_T_X20_A_"/>
    <n v="1"/>
    <n v="167.29"/>
    <n v="5"/>
    <n v="836.44999999999993"/>
    <x v="73"/>
    <n v="7"/>
    <n v="2022"/>
    <n v="0"/>
    <x v="5"/>
    <n v="5"/>
    <m/>
    <s v="project"/>
    <n v="56"/>
    <s v="yes"/>
    <m/>
    <m/>
    <m/>
    <m/>
    <m/>
    <m/>
    <x v="0"/>
    <x v="3"/>
    <x v="4"/>
    <s v=""/>
    <s v=""/>
    <n v="0"/>
    <n v="0"/>
    <m/>
    <s v="Proiect Anulat"/>
    <m/>
    <x v="1"/>
    <x v="7"/>
    <x v="4"/>
    <m/>
  </r>
  <r>
    <x v="3"/>
    <x v="0"/>
    <x v="21"/>
    <x v="8"/>
    <x v="39"/>
    <s v="VALVE_INSERT_DAU_50_P_A_X20_Z3_2_"/>
    <n v="1"/>
    <n v="158.91"/>
    <n v="5"/>
    <n v="794.55"/>
    <x v="73"/>
    <n v="7"/>
    <n v="2022"/>
    <n v="0"/>
    <x v="5"/>
    <n v="10"/>
    <m/>
    <s v="project"/>
    <n v="56"/>
    <s v="yes"/>
    <m/>
    <m/>
    <m/>
    <m/>
    <m/>
    <m/>
    <x v="0"/>
    <x v="3"/>
    <x v="4"/>
    <s v=""/>
    <s v=""/>
    <n v="0"/>
    <n v="0"/>
    <m/>
    <s v="Proiect Anulat"/>
    <m/>
    <x v="1"/>
    <x v="7"/>
    <x v="4"/>
    <m/>
  </r>
  <r>
    <x v="3"/>
    <x v="0"/>
    <x v="20"/>
    <x v="8"/>
    <x v="40"/>
    <s v="VALVE_INSERT_3WRCBH_25_VF65M_1X_Z"/>
    <n v="1"/>
    <n v="112.9"/>
    <n v="5"/>
    <n v="564.5"/>
    <x v="73"/>
    <n v="7"/>
    <n v="2022"/>
    <n v="0"/>
    <x v="5"/>
    <n v="50"/>
    <m/>
    <s v="project"/>
    <n v="56"/>
    <s v="yes"/>
    <m/>
    <m/>
    <m/>
    <m/>
    <m/>
    <m/>
    <x v="0"/>
    <x v="3"/>
    <x v="4"/>
    <s v=""/>
    <s v=""/>
    <n v="0"/>
    <n v="0"/>
    <m/>
    <s v="Proiect Anulat"/>
    <m/>
    <x v="1"/>
    <x v="7"/>
    <x v="4"/>
    <m/>
  </r>
  <r>
    <x v="3"/>
    <x v="0"/>
    <x v="21"/>
    <x v="8"/>
    <x v="41"/>
    <s v="VALVE_INSERT_LR32DR40D6X_074"/>
    <n v="1"/>
    <n v="67.16"/>
    <n v="5"/>
    <n v="335.79999999999995"/>
    <x v="73"/>
    <n v="7"/>
    <n v="2022"/>
    <n v="0"/>
    <x v="5"/>
    <n v="10"/>
    <m/>
    <s v="project"/>
    <n v="56"/>
    <s v="yes"/>
    <m/>
    <m/>
    <m/>
    <m/>
    <m/>
    <m/>
    <x v="0"/>
    <x v="3"/>
    <x v="4"/>
    <s v=""/>
    <s v=""/>
    <n v="0"/>
    <n v="0"/>
    <m/>
    <s v="Proiect Anulat"/>
    <m/>
    <x v="1"/>
    <x v="7"/>
    <x v="4"/>
    <m/>
  </r>
  <r>
    <x v="3"/>
    <x v="0"/>
    <x v="11"/>
    <x v="8"/>
    <x v="42"/>
    <s v="VALVE BODY"/>
    <n v="1"/>
    <n v="10.7"/>
    <n v="5"/>
    <n v="53.5"/>
    <x v="49"/>
    <n v="36"/>
    <n v="2024"/>
    <n v="0"/>
    <x v="4"/>
    <n v="1"/>
    <m/>
    <s v="project"/>
    <n v="56"/>
    <s v="yes"/>
    <m/>
    <m/>
    <m/>
    <s v="project"/>
    <s v="Yes"/>
    <m/>
    <x v="0"/>
    <x v="33"/>
    <x v="40"/>
    <n v="4508769328"/>
    <n v="1818509704"/>
    <n v="0"/>
    <n v="0"/>
    <m/>
    <s v="PPAP"/>
    <s v="20250553-23.04.2025/20251274-01.10.2025"/>
    <x v="1"/>
    <x v="10"/>
    <x v="1"/>
    <m/>
  </r>
  <r>
    <x v="3"/>
    <x v="0"/>
    <x v="20"/>
    <x v="8"/>
    <x v="43"/>
    <s v="VALVE_INSERT_DAU_32_P_A_X20_Z_"/>
    <n v="1"/>
    <n v="55.09"/>
    <n v="5"/>
    <n v="275.45000000000005"/>
    <x v="72"/>
    <n v="44"/>
    <n v="2022"/>
    <n v="0"/>
    <x v="5"/>
    <n v="40"/>
    <m/>
    <s v="project"/>
    <n v="56"/>
    <s v="yes"/>
    <m/>
    <m/>
    <m/>
    <m/>
    <m/>
    <m/>
    <x v="0"/>
    <x v="3"/>
    <x v="4"/>
    <s v=""/>
    <s v=""/>
    <n v="0"/>
    <n v="0"/>
    <m/>
    <s v="Proiect Anulat"/>
    <m/>
    <x v="1"/>
    <x v="11"/>
    <x v="4"/>
    <m/>
  </r>
  <r>
    <x v="3"/>
    <x v="0"/>
    <x v="10"/>
    <x v="8"/>
    <x v="44"/>
    <s v="VALVE BODY"/>
    <n v="1"/>
    <n v="5.74"/>
    <n v="5"/>
    <n v="28.700000000000003"/>
    <x v="49"/>
    <n v="36"/>
    <n v="2024"/>
    <n v="0"/>
    <x v="4"/>
    <n v="84"/>
    <n v="60"/>
    <s v="project"/>
    <n v="56"/>
    <s v="yes"/>
    <m/>
    <m/>
    <m/>
    <m/>
    <m/>
    <s v="240207"/>
    <x v="0"/>
    <x v="19"/>
    <x v="23"/>
    <n v="4508771389"/>
    <n v="1818509725"/>
    <n v="5"/>
    <n v="28.700000000000003"/>
    <m/>
    <s v="PPAP"/>
    <s v="20241099-26.08.2024"/>
    <x v="0"/>
    <x v="10"/>
    <x v="1"/>
    <m/>
  </r>
  <r>
    <x v="3"/>
    <x v="0"/>
    <x v="11"/>
    <x v="8"/>
    <x v="45"/>
    <s v="VALVE BODY"/>
    <n v="1"/>
    <n v="5.66"/>
    <n v="5"/>
    <n v="28.3"/>
    <x v="49"/>
    <n v="36"/>
    <n v="2024"/>
    <n v="0"/>
    <x v="4"/>
    <n v="100"/>
    <m/>
    <s v="project"/>
    <n v="56"/>
    <s v="yes"/>
    <m/>
    <m/>
    <m/>
    <m/>
    <m/>
    <s v="240812/240905"/>
    <x v="0"/>
    <x v="21"/>
    <x v="26"/>
    <n v="4508769328"/>
    <n v="1818509748"/>
    <n v="5"/>
    <n v="28.3"/>
    <m/>
    <s v="PPAP"/>
    <s v="20241155-06.09.2024"/>
    <x v="0"/>
    <x v="10"/>
    <x v="1"/>
    <m/>
  </r>
  <r>
    <x v="3"/>
    <x v="0"/>
    <x v="21"/>
    <x v="8"/>
    <x v="46"/>
    <s v="VALVE_INSERT_LR40ST00D1X_"/>
    <n v="1"/>
    <n v="54.59"/>
    <n v="5"/>
    <n v="272.95000000000005"/>
    <x v="73"/>
    <n v="7"/>
    <n v="2022"/>
    <n v="0"/>
    <x v="5"/>
    <n v="10"/>
    <m/>
    <s v="project"/>
    <n v="56"/>
    <s v="yes"/>
    <m/>
    <m/>
    <m/>
    <m/>
    <m/>
    <m/>
    <x v="0"/>
    <x v="3"/>
    <x v="4"/>
    <s v=""/>
    <s v=""/>
    <n v="0"/>
    <n v="0"/>
    <m/>
    <s v="Proiect Anulat"/>
    <m/>
    <x v="1"/>
    <x v="7"/>
    <x v="4"/>
    <m/>
  </r>
  <r>
    <x v="3"/>
    <x v="0"/>
    <x v="21"/>
    <x v="8"/>
    <x v="47"/>
    <s v="VALVE_INSERT_3WRC_32"/>
    <n v="1"/>
    <n v="60.96"/>
    <n v="5"/>
    <n v="304.8"/>
    <x v="72"/>
    <n v="44"/>
    <n v="2022"/>
    <n v="0"/>
    <x v="5"/>
    <n v="10"/>
    <m/>
    <s v="project"/>
    <n v="56"/>
    <s v="yes"/>
    <m/>
    <m/>
    <m/>
    <m/>
    <m/>
    <m/>
    <x v="0"/>
    <x v="3"/>
    <x v="4"/>
    <s v=""/>
    <s v=""/>
    <n v="0"/>
    <n v="0"/>
    <m/>
    <s v="Proiect Anulat"/>
    <m/>
    <x v="1"/>
    <x v="11"/>
    <x v="4"/>
    <m/>
  </r>
  <r>
    <x v="3"/>
    <x v="0"/>
    <x v="20"/>
    <x v="8"/>
    <x v="48"/>
    <s v="VALVE_INSERT_3WRCB"/>
    <n v="1"/>
    <n v="138.53"/>
    <n v="5"/>
    <n v="692.65"/>
    <x v="72"/>
    <n v="44"/>
    <n v="2022"/>
    <n v="0"/>
    <x v="5"/>
    <n v="150"/>
    <m/>
    <s v="project"/>
    <n v="56"/>
    <s v="yes"/>
    <m/>
    <m/>
    <m/>
    <m/>
    <m/>
    <m/>
    <x v="0"/>
    <x v="3"/>
    <x v="4"/>
    <s v=""/>
    <s v=""/>
    <n v="0"/>
    <n v="0"/>
    <m/>
    <s v="Proiect Anulat"/>
    <m/>
    <x v="1"/>
    <x v="11"/>
    <x v="4"/>
    <m/>
  </r>
  <r>
    <x v="3"/>
    <x v="0"/>
    <x v="22"/>
    <x v="8"/>
    <x v="49"/>
    <s v="VALVE_INSERT_NG25"/>
    <s v="AB"/>
    <n v="35.39"/>
    <n v="15"/>
    <n v="530.85"/>
    <x v="73"/>
    <n v="7"/>
    <n v="2022"/>
    <n v="0"/>
    <x v="5"/>
    <n v="50"/>
    <m/>
    <s v="project"/>
    <n v="56"/>
    <s v="yes"/>
    <m/>
    <m/>
    <m/>
    <m/>
    <s v="old order 2022"/>
    <m/>
    <x v="0"/>
    <x v="3"/>
    <x v="4"/>
    <s v=""/>
    <s v=""/>
    <n v="0"/>
    <n v="0"/>
    <m/>
    <s v="Proiect Anulat"/>
    <m/>
    <x v="1"/>
    <x v="7"/>
    <x v="4"/>
    <m/>
  </r>
  <r>
    <x v="3"/>
    <x v="0"/>
    <x v="22"/>
    <x v="8"/>
    <x v="50"/>
    <s v="VALVE_INSERT_NG25_STUFE"/>
    <s v="AB"/>
    <n v="111.15"/>
    <n v="5"/>
    <n v="555.75"/>
    <x v="73"/>
    <n v="7"/>
    <n v="2022"/>
    <n v="0"/>
    <x v="5"/>
    <n v="20"/>
    <m/>
    <s v="project"/>
    <n v="56"/>
    <s v="yes"/>
    <m/>
    <m/>
    <m/>
    <m/>
    <m/>
    <m/>
    <x v="0"/>
    <x v="3"/>
    <x v="4"/>
    <s v=""/>
    <s v=""/>
    <n v="0"/>
    <n v="0"/>
    <m/>
    <s v="Proiect Anulat"/>
    <m/>
    <x v="1"/>
    <x v="7"/>
    <x v="4"/>
    <m/>
  </r>
  <r>
    <x v="3"/>
    <x v="0"/>
    <x v="21"/>
    <x v="8"/>
    <x v="51"/>
    <s v="VALVE_INSERT_NG32_STUFE"/>
    <n v="1"/>
    <n v="122.64"/>
    <n v="5"/>
    <n v="613.20000000000005"/>
    <x v="72"/>
    <n v="44"/>
    <n v="2022"/>
    <n v="0"/>
    <x v="5"/>
    <n v="1"/>
    <m/>
    <s v="project"/>
    <n v="56"/>
    <s v="yes"/>
    <m/>
    <m/>
    <m/>
    <m/>
    <m/>
    <m/>
    <x v="0"/>
    <x v="3"/>
    <x v="4"/>
    <s v=""/>
    <s v=""/>
    <n v="0"/>
    <n v="0"/>
    <m/>
    <s v="Proiect Anulat"/>
    <m/>
    <x v="1"/>
    <x v="11"/>
    <x v="4"/>
    <m/>
  </r>
  <r>
    <x v="3"/>
    <x v="0"/>
    <x v="21"/>
    <x v="8"/>
    <x v="52"/>
    <s v="VALVE_INSERT_NG32"/>
    <n v="1"/>
    <n v="57.12"/>
    <n v="5"/>
    <n v="285.59999999999997"/>
    <x v="73"/>
    <n v="7"/>
    <n v="2022"/>
    <n v="0"/>
    <x v="5"/>
    <n v="75"/>
    <m/>
    <s v="project"/>
    <n v="56"/>
    <s v="yes"/>
    <m/>
    <m/>
    <m/>
    <m/>
    <m/>
    <m/>
    <x v="0"/>
    <x v="3"/>
    <x v="4"/>
    <s v=""/>
    <s v=""/>
    <n v="0"/>
    <n v="0"/>
    <m/>
    <s v="Proiect Anulat"/>
    <m/>
    <x v="1"/>
    <x v="7"/>
    <x v="4"/>
    <m/>
  </r>
  <r>
    <x v="3"/>
    <x v="0"/>
    <x v="21"/>
    <x v="8"/>
    <x v="53"/>
    <s v="VALVE_INSERT_NG40_STUFE"/>
    <n v="1"/>
    <n v="129.61000000000001"/>
    <n v="5"/>
    <n v="648.05000000000007"/>
    <x v="73"/>
    <n v="7"/>
    <n v="2022"/>
    <n v="0"/>
    <x v="5"/>
    <n v="10"/>
    <m/>
    <s v="project"/>
    <n v="56"/>
    <s v="yes"/>
    <m/>
    <m/>
    <m/>
    <m/>
    <m/>
    <m/>
    <x v="0"/>
    <x v="3"/>
    <x v="4"/>
    <s v=""/>
    <s v=""/>
    <n v="0"/>
    <n v="0"/>
    <m/>
    <s v="Proiect Anulat"/>
    <m/>
    <x v="1"/>
    <x v="7"/>
    <x v="4"/>
    <m/>
  </r>
  <r>
    <x v="3"/>
    <x v="0"/>
    <x v="22"/>
    <x v="8"/>
    <x v="54"/>
    <s v="VALVE_INSERT_NG40"/>
    <n v="1"/>
    <n v="133.91"/>
    <n v="5"/>
    <n v="669.55"/>
    <x v="74"/>
    <n v="48"/>
    <n v="2022"/>
    <n v="0"/>
    <x v="5"/>
    <n v="1"/>
    <m/>
    <s v="project"/>
    <n v="56"/>
    <s v="yes"/>
    <m/>
    <m/>
    <m/>
    <m/>
    <m/>
    <m/>
    <x v="0"/>
    <x v="3"/>
    <x v="4"/>
    <s v=""/>
    <s v=""/>
    <n v="0"/>
    <n v="0"/>
    <m/>
    <s v="Proiect Anulat"/>
    <m/>
    <x v="1"/>
    <x v="4"/>
    <x v="4"/>
    <m/>
  </r>
  <r>
    <x v="3"/>
    <x v="0"/>
    <x v="22"/>
    <x v="8"/>
    <x v="55"/>
    <s v="VALVE_INSERT_NG50"/>
    <n v="1"/>
    <n v="169.24"/>
    <n v="5"/>
    <n v="846.2"/>
    <x v="74"/>
    <n v="48"/>
    <n v="2022"/>
    <n v="0"/>
    <x v="5"/>
    <n v="1"/>
    <m/>
    <s v="project"/>
    <n v="56"/>
    <s v="yes"/>
    <m/>
    <m/>
    <m/>
    <m/>
    <m/>
    <m/>
    <x v="0"/>
    <x v="3"/>
    <x v="4"/>
    <s v=""/>
    <s v=""/>
    <n v="0"/>
    <n v="0"/>
    <m/>
    <s v="Proiect Anulat"/>
    <m/>
    <x v="1"/>
    <x v="4"/>
    <x v="4"/>
    <m/>
  </r>
  <r>
    <x v="4"/>
    <x v="0"/>
    <x v="23"/>
    <x v="14"/>
    <x v="56"/>
    <s v="28043501 Plan2A"/>
    <s v="C"/>
    <n v="630.4"/>
    <n v="20"/>
    <n v="12608"/>
    <x v="22"/>
    <n v="35"/>
    <n v="2024"/>
    <n v="0"/>
    <x v="6"/>
    <n v="0"/>
    <m/>
    <s v="approved"/>
    <n v="42"/>
    <s v="no"/>
    <m/>
    <m/>
    <m/>
    <m/>
    <m/>
    <m/>
    <x v="0"/>
    <x v="39"/>
    <x v="50"/>
    <s v="RA119079"/>
    <s v="10916528043501"/>
    <n v="20"/>
    <n v="12608"/>
    <m/>
    <m/>
    <s v="20241133-31.08.2024"/>
    <x v="1"/>
    <x v="9"/>
    <x v="1"/>
    <m/>
  </r>
  <r>
    <x v="4"/>
    <x v="0"/>
    <x v="23"/>
    <x v="14"/>
    <x v="56"/>
    <s v="28043501 Plan2A"/>
    <s v="C"/>
    <n v="630.4"/>
    <n v="10"/>
    <n v="6304"/>
    <x v="22"/>
    <n v="35"/>
    <n v="2024"/>
    <n v="0"/>
    <x v="6"/>
    <n v="0"/>
    <m/>
    <m/>
    <n v="0.20833333333333334"/>
    <m/>
    <m/>
    <m/>
    <m/>
    <m/>
    <m/>
    <m/>
    <x v="0"/>
    <x v="40"/>
    <x v="51"/>
    <s v="RA119079"/>
    <s v="10916528043501"/>
    <n v="10"/>
    <n v="6304"/>
    <m/>
    <m/>
    <s v="20241145-05.09.2024"/>
    <x v="1"/>
    <x v="9"/>
    <x v="1"/>
    <m/>
  </r>
  <r>
    <x v="4"/>
    <x v="0"/>
    <x v="24"/>
    <x v="15"/>
    <x v="56"/>
    <s v="28043501 Plan2A"/>
    <s v="C"/>
    <n v="630.4"/>
    <n v="30"/>
    <n v="18912"/>
    <x v="75"/>
    <n v="39"/>
    <n v="2024"/>
    <n v="0"/>
    <x v="6"/>
    <n v="0"/>
    <m/>
    <s v="approved"/>
    <n v="42"/>
    <s v="no"/>
    <m/>
    <m/>
    <m/>
    <s v="~KW34"/>
    <m/>
    <m/>
    <x v="0"/>
    <x v="41"/>
    <x v="52"/>
    <s v="RA119846"/>
    <s v="10916528043501"/>
    <n v="30"/>
    <n v="18912"/>
    <m/>
    <m/>
    <s v="20241219-23.09.2024"/>
    <x v="0"/>
    <x v="10"/>
    <x v="1"/>
    <m/>
  </r>
  <r>
    <x v="4"/>
    <x v="0"/>
    <x v="25"/>
    <x v="16"/>
    <x v="56"/>
    <s v="28043501 Plan2A"/>
    <s v="C"/>
    <n v="630.4"/>
    <n v="31"/>
    <n v="19542.399999999998"/>
    <x v="76"/>
    <n v="3"/>
    <n v="2025"/>
    <n v="0"/>
    <x v="6"/>
    <n v="0"/>
    <m/>
    <s v="approved"/>
    <n v="42"/>
    <s v="yes"/>
    <m/>
    <m/>
    <m/>
    <m/>
    <m/>
    <m/>
    <x v="0"/>
    <x v="42"/>
    <x v="53"/>
    <n v="4500011454"/>
    <s v="10916528043501"/>
    <n v="31"/>
    <n v="19542.399999999998"/>
    <m/>
    <m/>
    <s v="20250134-10.02.2025"/>
    <x v="1"/>
    <x v="6"/>
    <x v="0"/>
    <m/>
  </r>
  <r>
    <x v="4"/>
    <x v="0"/>
    <x v="23"/>
    <x v="14"/>
    <x v="57"/>
    <s v="32340009 P030"/>
    <s v="B"/>
    <n v="531.12"/>
    <n v="10"/>
    <n v="5311.2"/>
    <x v="22"/>
    <n v="35"/>
    <n v="2024"/>
    <n v="0"/>
    <x v="6"/>
    <n v="30"/>
    <m/>
    <s v="approved"/>
    <n v="42"/>
    <s v="no"/>
    <m/>
    <m/>
    <m/>
    <m/>
    <m/>
    <m/>
    <x v="0"/>
    <x v="43"/>
    <x v="54"/>
    <s v="RA119079"/>
    <s v="10916532340009"/>
    <n v="10"/>
    <n v="5311.2"/>
    <m/>
    <m/>
    <s v="20241289-09.10.2024"/>
    <x v="1"/>
    <x v="9"/>
    <x v="1"/>
    <m/>
  </r>
  <r>
    <x v="4"/>
    <x v="0"/>
    <x v="26"/>
    <x v="17"/>
    <x v="57"/>
    <s v="32340009 P030"/>
    <s v="B"/>
    <n v="531.12"/>
    <n v="10"/>
    <n v="5311.2"/>
    <x v="77"/>
    <n v="28"/>
    <n v="2025"/>
    <m/>
    <x v="6"/>
    <n v="0"/>
    <m/>
    <s v="approved"/>
    <n v="42"/>
    <s v="yes"/>
    <m/>
    <m/>
    <m/>
    <m/>
    <m/>
    <m/>
    <x v="0"/>
    <x v="44"/>
    <x v="55"/>
    <n v="4500015909"/>
    <s v="10916532340009"/>
    <n v="10"/>
    <n v="5311.2"/>
    <m/>
    <m/>
    <s v="20251118-26.08.2025"/>
    <x v="1"/>
    <x v="8"/>
    <x v="0"/>
    <m/>
  </r>
  <r>
    <x v="4"/>
    <x v="0"/>
    <x v="26"/>
    <x v="17"/>
    <x v="57"/>
    <s v="32340009 P030"/>
    <s v="B"/>
    <n v="531.12"/>
    <n v="10"/>
    <n v="5311.2"/>
    <x v="40"/>
    <n v="35"/>
    <n v="2025"/>
    <m/>
    <x v="6"/>
    <n v="0"/>
    <m/>
    <s v="approved"/>
    <n v="42"/>
    <s v="yes"/>
    <m/>
    <m/>
    <m/>
    <m/>
    <m/>
    <m/>
    <x v="0"/>
    <x v="45"/>
    <x v="56"/>
    <n v="4500015909"/>
    <s v="10916532340009"/>
    <n v="10"/>
    <n v="5311.2"/>
    <m/>
    <m/>
    <s v="20251143-29.08.2025"/>
    <x v="0"/>
    <x v="9"/>
    <x v="0"/>
    <m/>
  </r>
  <r>
    <x v="4"/>
    <x v="0"/>
    <x v="27"/>
    <x v="18"/>
    <x v="58"/>
    <n v="32643530"/>
    <n v="0"/>
    <n v="522.6"/>
    <n v="29"/>
    <n v="15155.400000000001"/>
    <x v="78"/>
    <n v="21"/>
    <n v="2025"/>
    <n v="0"/>
    <x v="1"/>
    <n v="0"/>
    <m/>
    <s v="approved"/>
    <n v="0"/>
    <s v="yes"/>
    <m/>
    <m/>
    <m/>
    <m/>
    <m/>
    <m/>
    <x v="0"/>
    <x v="46"/>
    <x v="57"/>
    <n v="4500014977"/>
    <s v="10916532643530"/>
    <n v="29"/>
    <n v="15155.400000000001"/>
    <m/>
    <s v="1 buc PPAP"/>
    <s v="20250749-17.06.2025"/>
    <x v="1"/>
    <x v="2"/>
    <x v="0"/>
    <m/>
  </r>
  <r>
    <x v="4"/>
    <x v="0"/>
    <x v="27"/>
    <x v="19"/>
    <x v="58"/>
    <n v="32643530"/>
    <n v="0"/>
    <n v="522.6"/>
    <n v="1"/>
    <n v="522.6"/>
    <x v="78"/>
    <n v="21"/>
    <n v="2025"/>
    <n v="0"/>
    <x v="1"/>
    <n v="0"/>
    <m/>
    <s v="approved"/>
    <n v="0"/>
    <s v="yes"/>
    <m/>
    <m/>
    <m/>
    <m/>
    <m/>
    <m/>
    <x v="0"/>
    <x v="45"/>
    <x v="58"/>
    <n v="4500014977"/>
    <s v="10916532643530"/>
    <n v="1"/>
    <n v="522.6"/>
    <m/>
    <m/>
    <s v="20251144-29.08.2025"/>
    <x v="1"/>
    <x v="2"/>
    <x v="0"/>
    <m/>
  </r>
  <r>
    <x v="4"/>
    <x v="0"/>
    <x v="28"/>
    <x v="20"/>
    <x v="58"/>
    <n v="32643530"/>
    <n v="0"/>
    <n v="522.6"/>
    <n v="10"/>
    <n v="5226"/>
    <x v="79"/>
    <n v="43"/>
    <n v="2025"/>
    <n v="0"/>
    <x v="1"/>
    <n v="0"/>
    <m/>
    <s v="approved"/>
    <n v="0.20833333333333334"/>
    <m/>
    <m/>
    <m/>
    <m/>
    <m/>
    <m/>
    <m/>
    <x v="0"/>
    <x v="47"/>
    <x v="59"/>
    <n v="4500020484"/>
    <s v="10916532643530"/>
    <n v="10"/>
    <n v="5226"/>
    <m/>
    <m/>
    <s v="20251356-28.10.2025"/>
    <x v="1"/>
    <x v="11"/>
    <x v="0"/>
    <m/>
  </r>
  <r>
    <x v="0"/>
    <x v="0"/>
    <x v="29"/>
    <x v="21"/>
    <x v="59"/>
    <s v="bucsa"/>
    <n v="0"/>
    <n v="5.32"/>
    <n v="5"/>
    <n v="26.6"/>
    <x v="0"/>
    <n v="27"/>
    <n v="2025"/>
    <n v="0"/>
    <x v="0"/>
    <n v="0"/>
    <m/>
    <s v="approved"/>
    <n v="0"/>
    <s v="no"/>
    <m/>
    <m/>
    <m/>
    <m/>
    <m/>
    <m/>
    <x v="0"/>
    <x v="0"/>
    <x v="60"/>
    <n v="7000968978"/>
    <s v="154805.6-101 "/>
    <n v="5"/>
    <n v="26.6"/>
    <m/>
    <m/>
    <s v="20250828-30.06.2025"/>
    <x v="0"/>
    <x v="0"/>
    <x v="0"/>
    <m/>
  </r>
  <r>
    <x v="0"/>
    <x v="0"/>
    <x v="29"/>
    <x v="0"/>
    <x v="59"/>
    <s v="bucsa"/>
    <n v="0"/>
    <n v="5.32"/>
    <n v="500"/>
    <n v="2660"/>
    <x v="0"/>
    <n v="27"/>
    <n v="2025"/>
    <n v="0"/>
    <x v="0"/>
    <n v="0"/>
    <m/>
    <s v="approved"/>
    <n v="0"/>
    <s v="no"/>
    <m/>
    <m/>
    <m/>
    <m/>
    <m/>
    <m/>
    <x v="0"/>
    <x v="0"/>
    <x v="61"/>
    <n v="7000968978"/>
    <s v="154805.6-101 "/>
    <n v="500"/>
    <n v="2660"/>
    <m/>
    <m/>
    <s v="20250826-30.06.2025"/>
    <x v="0"/>
    <x v="0"/>
    <x v="0"/>
    <m/>
  </r>
  <r>
    <x v="5"/>
    <x v="0"/>
    <x v="30"/>
    <x v="22"/>
    <x v="60"/>
    <s v="ADAPTER RF BOX PLATE DESERT SAND #30315"/>
    <s v="-"/>
    <n v="246.21"/>
    <n v="5"/>
    <n v="1231.05"/>
    <x v="80"/>
    <n v="36"/>
    <n v="2025"/>
    <n v="0"/>
    <x v="7"/>
    <n v="0"/>
    <m/>
    <s v="project"/>
    <n v="0.10416666666666667"/>
    <m/>
    <m/>
    <m/>
    <m/>
    <m/>
    <m/>
    <m/>
    <x v="1"/>
    <x v="3"/>
    <x v="4"/>
    <s v=""/>
    <s v=""/>
    <m/>
    <n v="0"/>
    <m/>
    <m/>
    <m/>
    <x v="1"/>
    <x v="10"/>
    <x v="0"/>
    <m/>
  </r>
  <r>
    <x v="5"/>
    <x v="0"/>
    <x v="30"/>
    <x v="22"/>
    <x v="61"/>
    <s v="ANT SUPPORT PLATE DESERT SAND 30315"/>
    <s v="D"/>
    <n v="722.63"/>
    <n v="3"/>
    <n v="2167.89"/>
    <x v="80"/>
    <n v="36"/>
    <n v="2025"/>
    <n v="0"/>
    <x v="8"/>
    <n v="0"/>
    <m/>
    <s v="project"/>
    <n v="6.25E-2"/>
    <m/>
    <m/>
    <m/>
    <m/>
    <m/>
    <m/>
    <m/>
    <x v="1"/>
    <x v="3"/>
    <x v="4"/>
    <s v=""/>
    <s v=""/>
    <m/>
    <n v="0"/>
    <m/>
    <m/>
    <m/>
    <x v="1"/>
    <x v="10"/>
    <x v="0"/>
    <m/>
  </r>
  <r>
    <x v="5"/>
    <x v="0"/>
    <x v="30"/>
    <x v="22"/>
    <x v="61"/>
    <s v="ANT SUPPORT PLATE DESERT SAND 30315"/>
    <s v="D"/>
    <n v="722.63"/>
    <n v="3"/>
    <n v="2167.89"/>
    <x v="81"/>
    <n v="49"/>
    <n v="2025"/>
    <n v="0"/>
    <x v="8"/>
    <n v="0"/>
    <m/>
    <s v="project"/>
    <n v="6.25E-2"/>
    <m/>
    <m/>
    <m/>
    <m/>
    <m/>
    <m/>
    <m/>
    <x v="1"/>
    <x v="3"/>
    <x v="4"/>
    <s v=""/>
    <s v=""/>
    <m/>
    <n v="0"/>
    <m/>
    <m/>
    <m/>
    <x v="2"/>
    <x v="3"/>
    <x v="0"/>
    <m/>
  </r>
  <r>
    <x v="6"/>
    <x v="0"/>
    <x v="31"/>
    <x v="23"/>
    <x v="62"/>
    <s v="Welle A4"/>
    <n v="7"/>
    <n v="85.68"/>
    <n v="20"/>
    <n v="1713.6000000000001"/>
    <x v="82"/>
    <n v="35"/>
    <n v="2024"/>
    <n v="0"/>
    <x v="9"/>
    <n v="0"/>
    <m/>
    <s v="project"/>
    <n v="56"/>
    <s v="yes"/>
    <m/>
    <m/>
    <m/>
    <s v="ETA TBC"/>
    <m/>
    <m/>
    <x v="0"/>
    <x v="3"/>
    <x v="4"/>
    <s v=""/>
    <s v=""/>
    <n v="0"/>
    <n v="0"/>
    <m/>
    <m/>
    <m/>
    <x v="1"/>
    <x v="9"/>
    <x v="1"/>
    <m/>
  </r>
  <r>
    <x v="6"/>
    <x v="0"/>
    <x v="31"/>
    <x v="23"/>
    <x v="63"/>
    <s v="Flansch"/>
    <n v="5"/>
    <n v="1.6"/>
    <n v="20"/>
    <n v="32"/>
    <x v="82"/>
    <n v="35"/>
    <n v="2024"/>
    <n v="0"/>
    <x v="9"/>
    <n v="0"/>
    <m/>
    <s v="project"/>
    <n v="56"/>
    <s v="yes"/>
    <m/>
    <m/>
    <m/>
    <s v="ETA TBC"/>
    <m/>
    <m/>
    <x v="0"/>
    <x v="3"/>
    <x v="4"/>
    <s v=""/>
    <s v=""/>
    <n v="0"/>
    <n v="0"/>
    <m/>
    <m/>
    <m/>
    <x v="1"/>
    <x v="9"/>
    <x v="1"/>
    <m/>
  </r>
  <r>
    <x v="6"/>
    <x v="0"/>
    <x v="31"/>
    <x v="23"/>
    <x v="64"/>
    <s v="Schieber"/>
    <n v="4"/>
    <n v="9.09"/>
    <n v="5"/>
    <n v="45.45"/>
    <x v="82"/>
    <n v="35"/>
    <n v="2024"/>
    <n v="0"/>
    <x v="9"/>
    <n v="0"/>
    <m/>
    <s v="project"/>
    <n v="0.10416666666666667"/>
    <s v="yes"/>
    <m/>
    <m/>
    <m/>
    <m/>
    <m/>
    <m/>
    <x v="0"/>
    <x v="48"/>
    <x v="62"/>
    <s v="5060250239-7751237"/>
    <s v="302681-1031-000"/>
    <n v="5"/>
    <n v="45.45"/>
    <m/>
    <s v="PPAP - pentru verificare/ teste"/>
    <s v="NU SE FACTUREAZA"/>
    <x v="1"/>
    <x v="9"/>
    <x v="1"/>
    <m/>
  </r>
  <r>
    <x v="6"/>
    <x v="0"/>
    <x v="31"/>
    <x v="23"/>
    <x v="64"/>
    <s v="Schieber"/>
    <n v="4"/>
    <n v="9.09"/>
    <n v="20"/>
    <n v="181.8"/>
    <x v="82"/>
    <n v="35"/>
    <n v="2024"/>
    <n v="0"/>
    <x v="9"/>
    <n v="0"/>
    <m/>
    <s v="project"/>
    <n v="56"/>
    <s v="yes"/>
    <m/>
    <m/>
    <m/>
    <s v="ETA TBC"/>
    <m/>
    <m/>
    <x v="0"/>
    <x v="3"/>
    <x v="4"/>
    <s v=""/>
    <s v=""/>
    <n v="0"/>
    <n v="0"/>
    <m/>
    <m/>
    <m/>
    <x v="1"/>
    <x v="9"/>
    <x v="1"/>
    <m/>
  </r>
  <r>
    <x v="6"/>
    <x v="0"/>
    <x v="31"/>
    <x v="23"/>
    <x v="65"/>
    <s v="Hebel Exzenter"/>
    <n v="4"/>
    <n v="5.07"/>
    <n v="20"/>
    <n v="101.4"/>
    <x v="82"/>
    <n v="35"/>
    <n v="2024"/>
    <n v="0"/>
    <x v="9"/>
    <n v="0"/>
    <m/>
    <s v="project"/>
    <n v="56"/>
    <s v="yes"/>
    <m/>
    <m/>
    <m/>
    <s v="ETA TBC"/>
    <m/>
    <m/>
    <x v="0"/>
    <x v="3"/>
    <x v="4"/>
    <s v=""/>
    <s v=""/>
    <n v="0"/>
    <n v="0"/>
    <m/>
    <m/>
    <m/>
    <x v="1"/>
    <x v="9"/>
    <x v="1"/>
    <m/>
  </r>
  <r>
    <x v="5"/>
    <x v="0"/>
    <x v="30"/>
    <x v="22"/>
    <x v="66"/>
    <s v="RIGHT ARM (DRIVING), AL-4018-1RF #30315"/>
    <s v="-"/>
    <n v="1136.79"/>
    <n v="3"/>
    <n v="3410.37"/>
    <x v="80"/>
    <n v="36"/>
    <n v="2025"/>
    <n v="0"/>
    <x v="10"/>
    <n v="0"/>
    <m/>
    <s v="project"/>
    <n v="6.25E-2"/>
    <m/>
    <m/>
    <m/>
    <m/>
    <m/>
    <m/>
    <m/>
    <x v="0"/>
    <x v="20"/>
    <x v="4"/>
    <s v=""/>
    <s v=""/>
    <n v="3"/>
    <n v="3410.37"/>
    <m/>
    <s v="nelivrate"/>
    <s v="20251280-30.09.2025"/>
    <x v="1"/>
    <x v="10"/>
    <x v="0"/>
    <m/>
  </r>
  <r>
    <x v="5"/>
    <x v="0"/>
    <x v="30"/>
    <x v="22"/>
    <x v="66"/>
    <s v="RIGHT ARM (DRIVING), AL-4018-1RF #30315"/>
    <s v="-"/>
    <n v="1136.79"/>
    <n v="3"/>
    <n v="3410.37"/>
    <x v="83"/>
    <n v="49"/>
    <n v="2025"/>
    <n v="0"/>
    <x v="10"/>
    <n v="0"/>
    <m/>
    <s v="project"/>
    <n v="6.25E-2"/>
    <m/>
    <m/>
    <m/>
    <m/>
    <m/>
    <m/>
    <m/>
    <x v="0"/>
    <x v="20"/>
    <x v="4"/>
    <s v=""/>
    <s v=""/>
    <n v="3"/>
    <n v="3410.37"/>
    <m/>
    <s v="nelivrate"/>
    <s v="20251280-30.09.2025"/>
    <x v="0"/>
    <x v="3"/>
    <x v="0"/>
    <m/>
  </r>
  <r>
    <x v="5"/>
    <x v="0"/>
    <x v="30"/>
    <x v="22"/>
    <x v="67"/>
    <s v="LEFT ARM (DRIVEN) AL-4018-1RF #30315"/>
    <s v="A"/>
    <n v="1136.79"/>
    <n v="3"/>
    <n v="3410.37"/>
    <x v="80"/>
    <n v="36"/>
    <n v="2025"/>
    <n v="0"/>
    <x v="11"/>
    <n v="0"/>
    <m/>
    <s v="project"/>
    <n v="6.25E-2"/>
    <m/>
    <m/>
    <m/>
    <m/>
    <m/>
    <m/>
    <m/>
    <x v="0"/>
    <x v="20"/>
    <x v="4"/>
    <s v=""/>
    <s v=""/>
    <n v="3"/>
    <n v="3410.37"/>
    <m/>
    <s v="nelivrate"/>
    <s v="20251280-30.09.2025"/>
    <x v="1"/>
    <x v="10"/>
    <x v="0"/>
    <m/>
  </r>
  <r>
    <x v="5"/>
    <x v="0"/>
    <x v="30"/>
    <x v="22"/>
    <x v="67"/>
    <s v="LEFT ARM (DRIVEN) AL-4018-1RF #30315"/>
    <s v="A"/>
    <n v="1136.79"/>
    <n v="3"/>
    <n v="3410.37"/>
    <x v="81"/>
    <n v="49"/>
    <n v="2025"/>
    <n v="0"/>
    <x v="11"/>
    <n v="0"/>
    <m/>
    <s v="project"/>
    <n v="6.25E-2"/>
    <m/>
    <m/>
    <m/>
    <m/>
    <m/>
    <m/>
    <m/>
    <x v="0"/>
    <x v="20"/>
    <x v="4"/>
    <s v=""/>
    <s v=""/>
    <n v="3"/>
    <n v="3410.37"/>
    <m/>
    <s v="nelivrate"/>
    <s v="20251280-30.09.2025"/>
    <x v="0"/>
    <x v="3"/>
    <x v="0"/>
    <m/>
  </r>
  <r>
    <x v="5"/>
    <x v="0"/>
    <x v="30"/>
    <x v="22"/>
    <x v="68"/>
    <s v="PANEL ACCESS ELEVATION, AL-4018-1RF #30315"/>
    <s v="-"/>
    <n v="243.11"/>
    <n v="3"/>
    <n v="729.33"/>
    <x v="84"/>
    <n v="40"/>
    <n v="2025"/>
    <n v="0"/>
    <x v="12"/>
    <n v="0"/>
    <m/>
    <s v="project"/>
    <n v="6.25E-2"/>
    <m/>
    <m/>
    <m/>
    <m/>
    <m/>
    <m/>
    <m/>
    <x v="0"/>
    <x v="49"/>
    <x v="63"/>
    <n v="2521987"/>
    <s v="39-0208"/>
    <n v="3"/>
    <n v="729.33"/>
    <m/>
    <m/>
    <s v="20251409-31.10.2025"/>
    <x v="1"/>
    <x v="10"/>
    <x v="0"/>
    <m/>
  </r>
  <r>
    <x v="5"/>
    <x v="0"/>
    <x v="30"/>
    <x v="22"/>
    <x v="68"/>
    <s v="PANEL ACCESS ELEVATION, AL-4018-1RF #30315"/>
    <s v="-"/>
    <n v="243.11"/>
    <n v="3"/>
    <n v="729.33"/>
    <x v="85"/>
    <n v="1"/>
    <n v="2026"/>
    <n v="0"/>
    <x v="12"/>
    <n v="0"/>
    <m/>
    <s v="project"/>
    <n v="6.25E-2"/>
    <m/>
    <m/>
    <m/>
    <m/>
    <m/>
    <m/>
    <m/>
    <x v="0"/>
    <x v="49"/>
    <x v="63"/>
    <n v="2521987"/>
    <s v="39-0208"/>
    <n v="3"/>
    <n v="729.33"/>
    <m/>
    <m/>
    <s v="20251409-31.10.2025"/>
    <x v="0"/>
    <x v="6"/>
    <x v="3"/>
    <m/>
  </r>
  <r>
    <x v="5"/>
    <x v="0"/>
    <x v="30"/>
    <x v="22"/>
    <x v="69"/>
    <s v="AZIMUTH HOUSING, AL-4018-1RF #30315"/>
    <s v="-"/>
    <n v="844.59"/>
    <n v="3"/>
    <n v="2533.77"/>
    <x v="80"/>
    <n v="36"/>
    <n v="2025"/>
    <n v="0"/>
    <x v="13"/>
    <n v="0"/>
    <m/>
    <s v="project"/>
    <n v="6.25E-2"/>
    <m/>
    <m/>
    <m/>
    <m/>
    <m/>
    <m/>
    <m/>
    <x v="1"/>
    <x v="3"/>
    <x v="4"/>
    <s v=""/>
    <s v=""/>
    <m/>
    <n v="0"/>
    <m/>
    <m/>
    <m/>
    <x v="1"/>
    <x v="10"/>
    <x v="0"/>
    <m/>
  </r>
  <r>
    <x v="5"/>
    <x v="0"/>
    <x v="30"/>
    <x v="22"/>
    <x v="69"/>
    <s v="AZIMUTH HOUSING, AL-4018-1RF #30315"/>
    <s v="-"/>
    <n v="844.59"/>
    <n v="3"/>
    <n v="2533.77"/>
    <x v="81"/>
    <n v="49"/>
    <n v="2025"/>
    <n v="0"/>
    <x v="13"/>
    <n v="0"/>
    <m/>
    <s v="project"/>
    <n v="6.25E-2"/>
    <m/>
    <m/>
    <m/>
    <m/>
    <m/>
    <m/>
    <m/>
    <x v="1"/>
    <x v="3"/>
    <x v="4"/>
    <s v=""/>
    <s v=""/>
    <m/>
    <n v="0"/>
    <m/>
    <m/>
    <m/>
    <x v="2"/>
    <x v="3"/>
    <x v="0"/>
    <m/>
  </r>
  <r>
    <x v="5"/>
    <x v="0"/>
    <x v="30"/>
    <x v="22"/>
    <x v="70"/>
    <s v="AZIMUTH TURNTABLE, AL-4018-1RF"/>
    <s v="A"/>
    <n v="798.69"/>
    <n v="3"/>
    <n v="2396.0700000000002"/>
    <x v="86"/>
    <n v="38"/>
    <n v="2025"/>
    <n v="0"/>
    <x v="14"/>
    <n v="0"/>
    <m/>
    <s v="project"/>
    <n v="6.25E-2"/>
    <m/>
    <m/>
    <m/>
    <m/>
    <m/>
    <m/>
    <m/>
    <x v="0"/>
    <x v="49"/>
    <x v="63"/>
    <n v="2521987"/>
    <s v="39-0387"/>
    <n v="3"/>
    <n v="2396.0700000000002"/>
    <m/>
    <m/>
    <s v="20251409-31.10.2025"/>
    <x v="1"/>
    <x v="10"/>
    <x v="0"/>
    <m/>
  </r>
  <r>
    <x v="5"/>
    <x v="0"/>
    <x v="30"/>
    <x v="22"/>
    <x v="70"/>
    <s v="AZIMUTH TURNTABLE, AL-4018-1RF"/>
    <s v="A"/>
    <n v="798.69"/>
    <n v="3"/>
    <n v="2396.0700000000002"/>
    <x v="87"/>
    <n v="52"/>
    <n v="2025"/>
    <n v="0"/>
    <x v="14"/>
    <n v="0"/>
    <m/>
    <s v="project"/>
    <n v="6.25E-2"/>
    <m/>
    <m/>
    <m/>
    <m/>
    <m/>
    <m/>
    <m/>
    <x v="0"/>
    <x v="49"/>
    <x v="63"/>
    <n v="2521987"/>
    <s v="39-0387"/>
    <n v="3"/>
    <n v="2396.0700000000002"/>
    <m/>
    <m/>
    <s v="20251409-31.10.2025"/>
    <x v="0"/>
    <x v="3"/>
    <x v="0"/>
    <m/>
  </r>
  <r>
    <x v="5"/>
    <x v="0"/>
    <x v="30"/>
    <x v="22"/>
    <x v="71"/>
    <s v="EL. DRIVE (RIGHT) TURNTABLE, AL-4018-1RF"/>
    <s v="A"/>
    <n v="519.12"/>
    <n v="3"/>
    <n v="1557.3600000000001"/>
    <x v="86"/>
    <n v="38"/>
    <n v="2025"/>
    <n v="0"/>
    <x v="15"/>
    <n v="0"/>
    <m/>
    <s v="project"/>
    <n v="6.25E-2"/>
    <m/>
    <m/>
    <m/>
    <m/>
    <m/>
    <m/>
    <m/>
    <x v="0"/>
    <x v="49"/>
    <x v="63"/>
    <n v="2521987"/>
    <s v="39-0388"/>
    <n v="3"/>
    <n v="1557.3600000000001"/>
    <m/>
    <m/>
    <s v="20251409-31.10.2025"/>
    <x v="1"/>
    <x v="10"/>
    <x v="0"/>
    <m/>
  </r>
  <r>
    <x v="5"/>
    <x v="0"/>
    <x v="30"/>
    <x v="22"/>
    <x v="71"/>
    <s v="EL. DRIVE (RIGHT) TURNTABLE, AL-4018-1RF"/>
    <s v="A"/>
    <n v="519.12"/>
    <n v="3"/>
    <n v="1557.3600000000001"/>
    <x v="87"/>
    <n v="52"/>
    <n v="2025"/>
    <n v="0"/>
    <x v="15"/>
    <n v="0"/>
    <m/>
    <s v="project"/>
    <n v="6.25E-2"/>
    <m/>
    <m/>
    <m/>
    <m/>
    <m/>
    <m/>
    <m/>
    <x v="0"/>
    <x v="49"/>
    <x v="63"/>
    <n v="2521987"/>
    <s v="39-0388"/>
    <n v="3"/>
    <n v="1557.3600000000001"/>
    <m/>
    <m/>
    <s v="20251409-31.10.2025"/>
    <x v="0"/>
    <x v="3"/>
    <x v="0"/>
    <m/>
  </r>
  <r>
    <x v="5"/>
    <x v="0"/>
    <x v="30"/>
    <x v="22"/>
    <x v="72"/>
    <s v="EL. DRIVEN (LEFT) TURNTABLE, AL-4018-1RF"/>
    <s v="A"/>
    <n v="587.98"/>
    <n v="3"/>
    <n v="1763.94"/>
    <x v="86"/>
    <n v="38"/>
    <n v="2025"/>
    <n v="0"/>
    <x v="16"/>
    <n v="0"/>
    <m/>
    <s v="project"/>
    <n v="6.25E-2"/>
    <m/>
    <m/>
    <m/>
    <m/>
    <m/>
    <m/>
    <m/>
    <x v="1"/>
    <x v="3"/>
    <x v="4"/>
    <s v=""/>
    <s v=""/>
    <m/>
    <n v="0"/>
    <m/>
    <m/>
    <m/>
    <x v="1"/>
    <x v="10"/>
    <x v="0"/>
    <m/>
  </r>
  <r>
    <x v="5"/>
    <x v="0"/>
    <x v="30"/>
    <x v="22"/>
    <x v="72"/>
    <s v="EL. DRIVEN (LEFT) TURNTABLE, AL-4018-1RF"/>
    <s v="A"/>
    <n v="587.98"/>
    <n v="3"/>
    <n v="1763.94"/>
    <x v="87"/>
    <n v="52"/>
    <n v="2025"/>
    <n v="0"/>
    <x v="16"/>
    <n v="0"/>
    <m/>
    <s v="project"/>
    <n v="6.25E-2"/>
    <m/>
    <m/>
    <m/>
    <m/>
    <m/>
    <m/>
    <m/>
    <x v="1"/>
    <x v="3"/>
    <x v="4"/>
    <s v=""/>
    <s v=""/>
    <m/>
    <n v="0"/>
    <m/>
    <m/>
    <m/>
    <x v="2"/>
    <x v="3"/>
    <x v="0"/>
    <m/>
  </r>
  <r>
    <x v="5"/>
    <x v="0"/>
    <x v="32"/>
    <x v="24"/>
    <x v="73"/>
    <s v="AXIS STEPPER DRIVER - COVER DRIP TYPE"/>
    <s v="A"/>
    <n v="59.65"/>
    <n v="49"/>
    <n v="2922.85"/>
    <x v="86"/>
    <n v="38"/>
    <n v="2025"/>
    <n v="0"/>
    <x v="17"/>
    <n v="0"/>
    <m/>
    <s v="project"/>
    <n v="1.0208333333333333"/>
    <m/>
    <m/>
    <m/>
    <m/>
    <m/>
    <m/>
    <m/>
    <x v="0"/>
    <x v="20"/>
    <x v="4"/>
    <s v=""/>
    <s v=""/>
    <n v="49"/>
    <n v="2922.85"/>
    <m/>
    <s v="nelivrate"/>
    <s v="20251281-30.09.2025"/>
    <x v="1"/>
    <x v="10"/>
    <x v="0"/>
    <m/>
  </r>
  <r>
    <x v="5"/>
    <x v="0"/>
    <x v="32"/>
    <x v="24"/>
    <x v="74"/>
    <s v="MPT30VGX EL SHAFT MOTOR SIDE C.o.O"/>
    <s v="-"/>
    <n v="76.72"/>
    <n v="20"/>
    <n v="1534.4"/>
    <x v="86"/>
    <n v="38"/>
    <n v="2025"/>
    <n v="0"/>
    <x v="18"/>
    <n v="0"/>
    <m/>
    <s v="project"/>
    <n v="0.41666666666666669"/>
    <m/>
    <m/>
    <m/>
    <m/>
    <m/>
    <m/>
    <m/>
    <x v="0"/>
    <x v="20"/>
    <x v="4"/>
    <s v=""/>
    <s v=""/>
    <n v="20"/>
    <n v="1534.4"/>
    <m/>
    <s v="nelivrate"/>
    <s v="20251281-30.09.2025"/>
    <x v="1"/>
    <x v="10"/>
    <x v="0"/>
    <m/>
  </r>
  <r>
    <x v="5"/>
    <x v="0"/>
    <x v="32"/>
    <x v="24"/>
    <x v="75"/>
    <s v="MPT30VGX EL SHAFT BUC SIDE C.o.O"/>
    <s v="-"/>
    <n v="78.42"/>
    <n v="20"/>
    <n v="1568.4"/>
    <x v="86"/>
    <n v="38"/>
    <n v="2025"/>
    <n v="0"/>
    <x v="19"/>
    <n v="0"/>
    <m/>
    <s v="project"/>
    <n v="0.41666666666666669"/>
    <m/>
    <m/>
    <m/>
    <m/>
    <m/>
    <m/>
    <m/>
    <x v="0"/>
    <x v="20"/>
    <x v="4"/>
    <s v=""/>
    <s v=""/>
    <n v="20"/>
    <n v="1568.4"/>
    <m/>
    <s v="nelivrate"/>
    <s v="20251281-30.09.2025"/>
    <x v="1"/>
    <x v="10"/>
    <x v="0"/>
    <m/>
  </r>
  <r>
    <x v="5"/>
    <x v="0"/>
    <x v="32"/>
    <x v="24"/>
    <x v="76"/>
    <s v="BOTTOM COVER VGX KPSU"/>
    <s v="-"/>
    <n v="72.63"/>
    <n v="33"/>
    <n v="2396.79"/>
    <x v="86"/>
    <n v="38"/>
    <n v="2025"/>
    <n v="0"/>
    <x v="20"/>
    <n v="0"/>
    <m/>
    <s v="project"/>
    <n v="0.6875"/>
    <m/>
    <m/>
    <m/>
    <m/>
    <m/>
    <m/>
    <m/>
    <x v="0"/>
    <x v="20"/>
    <x v="4"/>
    <s v=""/>
    <s v=""/>
    <n v="33"/>
    <n v="2396.79"/>
    <m/>
    <s v="nelivrate"/>
    <s v="20251281-30.09.2025"/>
    <x v="1"/>
    <x v="10"/>
    <x v="0"/>
    <m/>
  </r>
  <r>
    <x v="7"/>
    <x v="0"/>
    <x v="33"/>
    <x v="8"/>
    <x v="77"/>
    <s v="BUTTERFLY ASSY"/>
    <n v="43854"/>
    <s v=""/>
    <n v="5"/>
    <s v=" "/>
    <x v="88"/>
    <n v="26"/>
    <n v="2024"/>
    <n v="0"/>
    <x v="21"/>
    <n v="150"/>
    <m/>
    <s v="project"/>
    <n v="56"/>
    <s v="yes"/>
    <m/>
    <m/>
    <m/>
    <m/>
    <m/>
    <m/>
    <x v="0"/>
    <x v="3"/>
    <x v="4"/>
    <s v=""/>
    <s v=""/>
    <n v="0"/>
    <e v="#VALUE!"/>
    <m/>
    <m/>
    <m/>
    <x v="1"/>
    <x v="0"/>
    <x v="1"/>
    <m/>
  </r>
  <r>
    <x v="8"/>
    <x v="0"/>
    <x v="34"/>
    <x v="25"/>
    <x v="78"/>
    <s v="BALL"/>
    <s v="B"/>
    <n v="2247.44"/>
    <n v="5"/>
    <n v="11237.2"/>
    <x v="89"/>
    <n v="38"/>
    <n v="2025"/>
    <n v="0"/>
    <x v="22"/>
    <n v="0"/>
    <m/>
    <s v="project"/>
    <n v="0.10416666666666667"/>
    <m/>
    <m/>
    <m/>
    <m/>
    <m/>
    <m/>
    <m/>
    <x v="0"/>
    <x v="50"/>
    <x v="64"/>
    <s v="9F0002312"/>
    <s v="7028-1101-00"/>
    <n v="5"/>
    <n v="11237.2"/>
    <m/>
    <m/>
    <m/>
    <x v="0"/>
    <x v="10"/>
    <x v="0"/>
    <m/>
  </r>
  <r>
    <x v="8"/>
    <x v="0"/>
    <x v="35"/>
    <x v="26"/>
    <x v="79"/>
    <s v="LEFT ROCKER"/>
    <s v="C"/>
    <n v="123.71"/>
    <n v="6"/>
    <n v="742.26"/>
    <x v="90"/>
    <n v="12"/>
    <n v="2025"/>
    <n v="0"/>
    <x v="23"/>
    <n v="0"/>
    <m/>
    <s v="project"/>
    <n v="0.125"/>
    <s v="yes"/>
    <m/>
    <m/>
    <m/>
    <m/>
    <m/>
    <m/>
    <x v="0"/>
    <x v="51"/>
    <x v="65"/>
    <s v="9F0001830"/>
    <s v="7028-1111-20"/>
    <n v="6"/>
    <n v="742.26"/>
    <m/>
    <m/>
    <s v="20241511-04.12.2024"/>
    <x v="0"/>
    <x v="5"/>
    <x v="0"/>
    <m/>
  </r>
  <r>
    <x v="8"/>
    <x v="0"/>
    <x v="35"/>
    <x v="26"/>
    <x v="79"/>
    <s v="LEFT ROCKER"/>
    <s v="C"/>
    <n v="123.71"/>
    <n v="94"/>
    <n v="11628.74"/>
    <x v="91"/>
    <n v="13"/>
    <n v="2025"/>
    <n v="0"/>
    <x v="23"/>
    <n v="0"/>
    <m/>
    <s v="project"/>
    <n v="1.9583333333333333"/>
    <s v="yes"/>
    <m/>
    <m/>
    <m/>
    <m/>
    <m/>
    <m/>
    <x v="1"/>
    <x v="3"/>
    <x v="4"/>
    <s v=""/>
    <s v=""/>
    <m/>
    <n v="0"/>
    <m/>
    <m/>
    <m/>
    <x v="1"/>
    <x v="5"/>
    <x v="0"/>
    <m/>
  </r>
  <r>
    <x v="8"/>
    <x v="0"/>
    <x v="35"/>
    <x v="26"/>
    <x v="80"/>
    <s v="Right Rocker"/>
    <s v="A"/>
    <n v="115"/>
    <n v="94"/>
    <n v="10810"/>
    <x v="91"/>
    <n v="13"/>
    <n v="2025"/>
    <n v="0"/>
    <x v="24"/>
    <n v="0"/>
    <m/>
    <s v="project"/>
    <n v="1.9583333333333333"/>
    <m/>
    <m/>
    <m/>
    <m/>
    <m/>
    <m/>
    <m/>
    <x v="1"/>
    <x v="3"/>
    <x v="4"/>
    <s v=""/>
    <s v=""/>
    <m/>
    <n v="0"/>
    <m/>
    <m/>
    <m/>
    <x v="1"/>
    <x v="5"/>
    <x v="0"/>
    <m/>
  </r>
  <r>
    <x v="8"/>
    <x v="0"/>
    <x v="35"/>
    <x v="26"/>
    <x v="80"/>
    <s v="Right Rocker"/>
    <s v="A"/>
    <n v="115"/>
    <n v="6"/>
    <n v="690"/>
    <x v="92"/>
    <n v="34"/>
    <n v="2025"/>
    <n v="0"/>
    <x v="24"/>
    <n v="0"/>
    <m/>
    <s v="project"/>
    <n v="0.125"/>
    <s v="yes"/>
    <m/>
    <m/>
    <m/>
    <m/>
    <s v="project"/>
    <m/>
    <x v="0"/>
    <x v="52"/>
    <x v="66"/>
    <s v="9F0001830"/>
    <s v="7028-1151-00"/>
    <n v="6"/>
    <n v="690"/>
    <m/>
    <m/>
    <s v="20241428/20241429-13.11.2024/20241512-20241513/20241514-06.12.2024"/>
    <x v="0"/>
    <x v="9"/>
    <x v="0"/>
    <m/>
  </r>
  <r>
    <x v="8"/>
    <x v="0"/>
    <x v="35"/>
    <x v="26"/>
    <x v="81"/>
    <s v="Right Rocker Lock Outer"/>
    <s v="A"/>
    <n v="129.94"/>
    <n v="94"/>
    <n v="12214.36"/>
    <x v="91"/>
    <n v="13"/>
    <n v="2025"/>
    <n v="0"/>
    <x v="25"/>
    <n v="0"/>
    <m/>
    <s v="project"/>
    <n v="1.9583333333333333"/>
    <m/>
    <m/>
    <m/>
    <m/>
    <m/>
    <m/>
    <m/>
    <x v="1"/>
    <x v="3"/>
    <x v="4"/>
    <s v=""/>
    <s v=""/>
    <m/>
    <n v="0"/>
    <m/>
    <m/>
    <m/>
    <x v="1"/>
    <x v="5"/>
    <x v="0"/>
    <m/>
  </r>
  <r>
    <x v="8"/>
    <x v="0"/>
    <x v="35"/>
    <x v="26"/>
    <x v="81"/>
    <s v="Right Rocker Lock Outer"/>
    <s v="A"/>
    <n v="129.94"/>
    <n v="6"/>
    <n v="779.64"/>
    <x v="92"/>
    <n v="34"/>
    <n v="2025"/>
    <n v="0"/>
    <x v="25"/>
    <n v="0"/>
    <m/>
    <s v="project"/>
    <n v="0.125"/>
    <m/>
    <m/>
    <m/>
    <m/>
    <m/>
    <m/>
    <m/>
    <x v="0"/>
    <x v="53"/>
    <x v="67"/>
    <s v="9F0001830"/>
    <s v="7028-1152-00"/>
    <n v="6"/>
    <n v="779.64"/>
    <m/>
    <m/>
    <s v="20241610-20.12.2024"/>
    <x v="0"/>
    <x v="9"/>
    <x v="0"/>
    <m/>
  </r>
  <r>
    <x v="8"/>
    <x v="0"/>
    <x v="35"/>
    <x v="26"/>
    <x v="82"/>
    <s v="RIGHT ROCKER LOCK INNER"/>
    <s v="A"/>
    <n v="138.18"/>
    <n v="94"/>
    <n v="12988.92"/>
    <x v="91"/>
    <n v="13"/>
    <n v="2025"/>
    <n v="0"/>
    <x v="26"/>
    <n v="0"/>
    <m/>
    <s v="project"/>
    <n v="1.9583333333333333"/>
    <m/>
    <m/>
    <m/>
    <m/>
    <m/>
    <m/>
    <m/>
    <x v="1"/>
    <x v="3"/>
    <x v="4"/>
    <s v=""/>
    <s v=""/>
    <m/>
    <n v="0"/>
    <m/>
    <m/>
    <m/>
    <x v="1"/>
    <x v="5"/>
    <x v="0"/>
    <m/>
  </r>
  <r>
    <x v="8"/>
    <x v="0"/>
    <x v="35"/>
    <x v="26"/>
    <x v="82"/>
    <s v="RIGHT ROCKER LOCK INNER"/>
    <s v="A"/>
    <n v="138.18"/>
    <n v="6"/>
    <n v="829.08"/>
    <x v="92"/>
    <n v="34"/>
    <n v="2025"/>
    <n v="0"/>
    <x v="26"/>
    <n v="0"/>
    <m/>
    <s v="project"/>
    <n v="0.125"/>
    <m/>
    <m/>
    <m/>
    <m/>
    <m/>
    <m/>
    <m/>
    <x v="0"/>
    <x v="53"/>
    <x v="68"/>
    <s v="9F0001830"/>
    <s v="7028-1153-00"/>
    <n v="6"/>
    <n v="829.08"/>
    <m/>
    <m/>
    <s v="20241609-20.12.2024"/>
    <x v="0"/>
    <x v="9"/>
    <x v="0"/>
    <m/>
  </r>
  <r>
    <x v="8"/>
    <x v="0"/>
    <x v="34"/>
    <x v="25"/>
    <x v="83"/>
    <s v="MAIN BODY - FRONT"/>
    <s v="05"/>
    <n v="793.79"/>
    <n v="5"/>
    <n v="3968.95"/>
    <x v="89"/>
    <n v="38"/>
    <n v="2025"/>
    <n v="0"/>
    <x v="27"/>
    <n v="0"/>
    <m/>
    <s v="project"/>
    <n v="0.10416666666666667"/>
    <m/>
    <m/>
    <m/>
    <m/>
    <m/>
    <m/>
    <m/>
    <x v="1"/>
    <x v="3"/>
    <x v="4"/>
    <s v=""/>
    <s v=""/>
    <m/>
    <n v="0"/>
    <m/>
    <m/>
    <m/>
    <x v="1"/>
    <x v="10"/>
    <x v="0"/>
    <m/>
  </r>
  <r>
    <x v="8"/>
    <x v="0"/>
    <x v="34"/>
    <x v="25"/>
    <x v="84"/>
    <s v="MAIN BODY - FRONT"/>
    <s v="B"/>
    <n v="793.79"/>
    <n v="0"/>
    <n v="0"/>
    <x v="89"/>
    <n v="38"/>
    <n v="2025"/>
    <n v="0"/>
    <x v="27"/>
    <n v="0"/>
    <m/>
    <s v="project"/>
    <n v="0"/>
    <m/>
    <m/>
    <m/>
    <m/>
    <m/>
    <m/>
    <m/>
    <x v="0"/>
    <x v="54"/>
    <x v="4"/>
    <s v=""/>
    <s v=""/>
    <m/>
    <n v="0"/>
    <m/>
    <m/>
    <m/>
    <x v="0"/>
    <x v="10"/>
    <x v="0"/>
    <m/>
  </r>
  <r>
    <x v="8"/>
    <x v="0"/>
    <x v="34"/>
    <x v="25"/>
    <x v="85"/>
    <s v="MAIN BODY - REAR"/>
    <s v="F"/>
    <n v="2078.66"/>
    <n v="0"/>
    <n v="0"/>
    <x v="89"/>
    <n v="38"/>
    <n v="2025"/>
    <n v="0"/>
    <x v="28"/>
    <n v="0"/>
    <m/>
    <s v="project"/>
    <n v="0"/>
    <m/>
    <m/>
    <m/>
    <m/>
    <m/>
    <m/>
    <m/>
    <x v="0"/>
    <x v="54"/>
    <x v="4"/>
    <s v=""/>
    <s v=""/>
    <m/>
    <n v="0"/>
    <m/>
    <m/>
    <m/>
    <x v="0"/>
    <x v="10"/>
    <x v="0"/>
    <m/>
  </r>
  <r>
    <x v="8"/>
    <x v="0"/>
    <x v="34"/>
    <x v="25"/>
    <x v="86"/>
    <s v="MAIN BODY - REAR AL"/>
    <s v="02"/>
    <n v="2078.66"/>
    <n v="5"/>
    <n v="10393.299999999999"/>
    <x v="89"/>
    <n v="38"/>
    <n v="2025"/>
    <n v="0"/>
    <x v="29"/>
    <n v="0"/>
    <m/>
    <s v="project"/>
    <n v="0.10416666666666667"/>
    <m/>
    <m/>
    <m/>
    <m/>
    <m/>
    <m/>
    <m/>
    <x v="1"/>
    <x v="3"/>
    <x v="4"/>
    <s v=""/>
    <s v=""/>
    <m/>
    <n v="0"/>
    <m/>
    <m/>
    <m/>
    <x v="1"/>
    <x v="10"/>
    <x v="0"/>
    <m/>
  </r>
  <r>
    <x v="8"/>
    <x v="0"/>
    <x v="35"/>
    <x v="26"/>
    <x v="87"/>
    <s v="INSULATING BUSHING"/>
    <s v="A"/>
    <n v="2.8"/>
    <n v="94"/>
    <n v="263.2"/>
    <x v="91"/>
    <n v="13"/>
    <n v="2025"/>
    <n v="0"/>
    <x v="30"/>
    <n v="0"/>
    <m/>
    <s v="project"/>
    <n v="1.9583333333333333"/>
    <m/>
    <m/>
    <m/>
    <m/>
    <m/>
    <m/>
    <m/>
    <x v="1"/>
    <x v="3"/>
    <x v="4"/>
    <s v=""/>
    <s v=""/>
    <m/>
    <n v="0"/>
    <m/>
    <m/>
    <m/>
    <x v="1"/>
    <x v="5"/>
    <x v="0"/>
    <m/>
  </r>
  <r>
    <x v="8"/>
    <x v="0"/>
    <x v="35"/>
    <x v="26"/>
    <x v="87"/>
    <s v="INSULATING BUSHING"/>
    <s v="A"/>
    <n v="2.8"/>
    <n v="6"/>
    <n v="16.799999999999997"/>
    <x v="92"/>
    <n v="34"/>
    <n v="2025"/>
    <n v="0"/>
    <x v="30"/>
    <n v="0"/>
    <m/>
    <s v="project"/>
    <n v="0.125"/>
    <m/>
    <m/>
    <m/>
    <m/>
    <m/>
    <m/>
    <m/>
    <x v="0"/>
    <x v="53"/>
    <x v="68"/>
    <s v="9F0001830"/>
    <s v="7028-1262-00"/>
    <n v="6"/>
    <n v="16.799999999999997"/>
    <m/>
    <m/>
    <s v="20241609-20.12.2024"/>
    <x v="0"/>
    <x v="9"/>
    <x v="0"/>
    <m/>
  </r>
  <r>
    <x v="8"/>
    <x v="0"/>
    <x v="34"/>
    <x v="25"/>
    <x v="88"/>
    <s v="NUT M12X0.5"/>
    <s v="01"/>
    <n v="230.37"/>
    <n v="5"/>
    <n v="1151.8499999999999"/>
    <x v="89"/>
    <n v="38"/>
    <n v="2025"/>
    <n v="0"/>
    <x v="31"/>
    <n v="0"/>
    <m/>
    <s v="project"/>
    <n v="0.10416666666666667"/>
    <m/>
    <m/>
    <m/>
    <m/>
    <m/>
    <m/>
    <m/>
    <x v="0"/>
    <x v="50"/>
    <x v="64"/>
    <s v="9F0002312"/>
    <s v="7028-1316-00"/>
    <n v="5"/>
    <n v="1151.8499999999999"/>
    <m/>
    <m/>
    <m/>
    <x v="0"/>
    <x v="10"/>
    <x v="0"/>
    <m/>
  </r>
  <r>
    <x v="8"/>
    <x v="0"/>
    <x v="34"/>
    <x v="25"/>
    <x v="89"/>
    <s v="CAMERA CLAMP"/>
    <s v="01"/>
    <n v="506.11"/>
    <n v="5"/>
    <n v="2530.5500000000002"/>
    <x v="89"/>
    <n v="38"/>
    <n v="2025"/>
    <n v="0"/>
    <x v="32"/>
    <n v="0"/>
    <m/>
    <s v="project"/>
    <n v="0.10416666666666667"/>
    <m/>
    <m/>
    <m/>
    <m/>
    <m/>
    <m/>
    <m/>
    <x v="0"/>
    <x v="49"/>
    <x v="63"/>
    <s v="9F0002312"/>
    <s v="7028-1331-30"/>
    <n v="5"/>
    <n v="2530.5500000000002"/>
    <m/>
    <m/>
    <s v="20251410-31.10.2025"/>
    <x v="1"/>
    <x v="10"/>
    <x v="0"/>
    <m/>
  </r>
  <r>
    <x v="8"/>
    <x v="0"/>
    <x v="34"/>
    <x v="25"/>
    <x v="90"/>
    <s v="YAW PLATE"/>
    <s v="01"/>
    <n v="504.13"/>
    <n v="5"/>
    <n v="2520.65"/>
    <x v="89"/>
    <n v="38"/>
    <n v="2025"/>
    <n v="0"/>
    <x v="33"/>
    <n v="0"/>
    <m/>
    <s v="project"/>
    <n v="0.10416666666666667"/>
    <m/>
    <m/>
    <m/>
    <m/>
    <m/>
    <m/>
    <m/>
    <x v="0"/>
    <x v="49"/>
    <x v="63"/>
    <s v="9F0002312"/>
    <s v="7028-1332-30"/>
    <n v="5"/>
    <n v="2520.65"/>
    <m/>
    <m/>
    <s v="20251410-31.10.2025"/>
    <x v="1"/>
    <x v="10"/>
    <x v="0"/>
    <m/>
  </r>
  <r>
    <x v="8"/>
    <x v="0"/>
    <x v="34"/>
    <x v="25"/>
    <x v="91"/>
    <s v="LINK FOR PITCH BOLT"/>
    <s v="01"/>
    <n v="428.78"/>
    <n v="5"/>
    <n v="2143.8999999999996"/>
    <x v="89"/>
    <n v="38"/>
    <n v="2025"/>
    <n v="0"/>
    <x v="34"/>
    <n v="0"/>
    <m/>
    <s v="project"/>
    <n v="0.10416666666666667"/>
    <m/>
    <m/>
    <m/>
    <m/>
    <m/>
    <m/>
    <m/>
    <x v="1"/>
    <x v="3"/>
    <x v="4"/>
    <s v=""/>
    <s v=""/>
    <m/>
    <n v="0"/>
    <m/>
    <m/>
    <m/>
    <x v="1"/>
    <x v="10"/>
    <x v="0"/>
    <m/>
  </r>
  <r>
    <x v="8"/>
    <x v="0"/>
    <x v="34"/>
    <x v="25"/>
    <x v="92"/>
    <s v="PITCH BOLT"/>
    <s v="01"/>
    <n v="232.1"/>
    <n v="5"/>
    <n v="1160.5"/>
    <x v="89"/>
    <n v="38"/>
    <n v="2025"/>
    <n v="0"/>
    <x v="35"/>
    <n v="0"/>
    <m/>
    <s v="project"/>
    <n v="0.10416666666666667"/>
    <m/>
    <m/>
    <m/>
    <m/>
    <m/>
    <m/>
    <m/>
    <x v="0"/>
    <x v="50"/>
    <x v="64"/>
    <s v="9F0002312"/>
    <s v="7028-1334-30"/>
    <n v="5"/>
    <n v="1160.5"/>
    <m/>
    <m/>
    <m/>
    <x v="0"/>
    <x v="10"/>
    <x v="0"/>
    <m/>
  </r>
  <r>
    <x v="8"/>
    <x v="0"/>
    <x v="34"/>
    <x v="25"/>
    <x v="93"/>
    <s v="YAW BOLT"/>
    <s v="01"/>
    <n v="231.83"/>
    <n v="5"/>
    <n v="1159.1500000000001"/>
    <x v="89"/>
    <n v="38"/>
    <n v="2025"/>
    <n v="0"/>
    <x v="36"/>
    <n v="0"/>
    <m/>
    <s v="project"/>
    <n v="0.10416666666666667"/>
    <m/>
    <m/>
    <m/>
    <m/>
    <m/>
    <m/>
    <m/>
    <x v="0"/>
    <x v="50"/>
    <x v="64"/>
    <s v="9F0002312"/>
    <s v="7028-1335-30"/>
    <n v="5"/>
    <n v="1159.1500000000001"/>
    <m/>
    <m/>
    <m/>
    <x v="0"/>
    <x v="10"/>
    <x v="0"/>
    <m/>
  </r>
  <r>
    <x v="8"/>
    <x v="0"/>
    <x v="34"/>
    <x v="25"/>
    <x v="94"/>
    <s v="PITCH AXLE"/>
    <s v="01"/>
    <n v="231"/>
    <n v="5"/>
    <n v="1155"/>
    <x v="89"/>
    <n v="38"/>
    <n v="2025"/>
    <n v="0"/>
    <x v="37"/>
    <n v="0"/>
    <m/>
    <s v="project"/>
    <n v="0.10416666666666667"/>
    <m/>
    <m/>
    <m/>
    <m/>
    <m/>
    <m/>
    <m/>
    <x v="0"/>
    <x v="50"/>
    <x v="64"/>
    <s v="9F0002312"/>
    <s v="7028-1336-30"/>
    <n v="5"/>
    <n v="1155"/>
    <m/>
    <m/>
    <m/>
    <x v="0"/>
    <x v="10"/>
    <x v="0"/>
    <m/>
  </r>
  <r>
    <x v="8"/>
    <x v="0"/>
    <x v="34"/>
    <x v="25"/>
    <x v="95"/>
    <s v="YAW PAD"/>
    <s v="01"/>
    <n v="225.64"/>
    <n v="5"/>
    <n v="1128.1999999999998"/>
    <x v="89"/>
    <n v="38"/>
    <n v="2025"/>
    <n v="0"/>
    <x v="38"/>
    <n v="0"/>
    <m/>
    <s v="project"/>
    <n v="0.10416666666666667"/>
    <m/>
    <m/>
    <m/>
    <m/>
    <m/>
    <m/>
    <m/>
    <x v="0"/>
    <x v="50"/>
    <x v="64"/>
    <s v="9F0002312"/>
    <s v="7028-1338-30"/>
    <n v="5"/>
    <n v="1128.1999999999998"/>
    <m/>
    <m/>
    <m/>
    <x v="0"/>
    <x v="10"/>
    <x v="0"/>
    <m/>
  </r>
  <r>
    <x v="8"/>
    <x v="0"/>
    <x v="34"/>
    <x v="25"/>
    <x v="96"/>
    <s v="BENCH ADAPTOR"/>
    <s v="01"/>
    <n v="502.38"/>
    <n v="5"/>
    <n v="2511.9"/>
    <x v="89"/>
    <n v="38"/>
    <n v="2025"/>
    <n v="0"/>
    <x v="39"/>
    <n v="0"/>
    <m/>
    <s v="project"/>
    <n v="0.10416666666666667"/>
    <m/>
    <m/>
    <m/>
    <m/>
    <m/>
    <m/>
    <m/>
    <x v="0"/>
    <x v="49"/>
    <x v="63"/>
    <s v="9F0002312"/>
    <s v="7028-1339-30"/>
    <n v="5"/>
    <n v="2511.9"/>
    <m/>
    <m/>
    <s v="20251410-31.10.2025"/>
    <x v="1"/>
    <x v="10"/>
    <x v="0"/>
    <m/>
  </r>
  <r>
    <x v="8"/>
    <x v="0"/>
    <x v="35"/>
    <x v="26"/>
    <x v="97"/>
    <s v=" AZ BEARING HOLDER"/>
    <s v="A"/>
    <n v="119.17"/>
    <n v="94"/>
    <n v="11201.98"/>
    <x v="91"/>
    <n v="13"/>
    <n v="2025"/>
    <n v="0"/>
    <x v="40"/>
    <n v="0"/>
    <m/>
    <s v="project"/>
    <n v="1.9583333333333333"/>
    <m/>
    <m/>
    <m/>
    <m/>
    <m/>
    <m/>
    <m/>
    <x v="1"/>
    <x v="3"/>
    <x v="4"/>
    <s v=""/>
    <s v=""/>
    <m/>
    <n v="0"/>
    <m/>
    <m/>
    <m/>
    <x v="1"/>
    <x v="5"/>
    <x v="0"/>
    <m/>
  </r>
  <r>
    <x v="8"/>
    <x v="0"/>
    <x v="35"/>
    <x v="26"/>
    <x v="97"/>
    <s v=" AZ BEARING HOLDER"/>
    <s v="A"/>
    <n v="119.17"/>
    <n v="6"/>
    <n v="715.02"/>
    <x v="92"/>
    <n v="34"/>
    <n v="2025"/>
    <n v="0"/>
    <x v="40"/>
    <n v="0"/>
    <m/>
    <s v="project"/>
    <n v="0.125"/>
    <m/>
    <m/>
    <m/>
    <m/>
    <m/>
    <m/>
    <m/>
    <x v="0"/>
    <x v="51"/>
    <x v="69"/>
    <s v="9F0001830"/>
    <s v="7028-1601-00"/>
    <n v="6"/>
    <n v="715.02"/>
    <m/>
    <m/>
    <s v="20241510-04.12.2024"/>
    <x v="0"/>
    <x v="9"/>
    <x v="0"/>
    <m/>
  </r>
  <r>
    <x v="8"/>
    <x v="0"/>
    <x v="35"/>
    <x v="26"/>
    <x v="98"/>
    <s v="AZ BEARING TOP COVER"/>
    <s v="C"/>
    <n v="102.22"/>
    <n v="94"/>
    <n v="9608.68"/>
    <x v="91"/>
    <n v="13"/>
    <n v="2025"/>
    <n v="0"/>
    <x v="41"/>
    <n v="0"/>
    <m/>
    <s v="project"/>
    <n v="1.9583333333333333"/>
    <m/>
    <m/>
    <m/>
    <m/>
    <m/>
    <m/>
    <m/>
    <x v="1"/>
    <x v="3"/>
    <x v="4"/>
    <s v=""/>
    <s v=""/>
    <m/>
    <n v="0"/>
    <m/>
    <m/>
    <m/>
    <x v="1"/>
    <x v="5"/>
    <x v="0"/>
    <m/>
  </r>
  <r>
    <x v="8"/>
    <x v="0"/>
    <x v="35"/>
    <x v="26"/>
    <x v="98"/>
    <s v="AZ BEARING TOP COVER"/>
    <s v="C"/>
    <n v="102.22"/>
    <n v="6"/>
    <n v="613.31999999999994"/>
    <x v="92"/>
    <n v="34"/>
    <n v="2025"/>
    <n v="0"/>
    <x v="41"/>
    <n v="0"/>
    <m/>
    <s v="project"/>
    <n v="0.125"/>
    <m/>
    <m/>
    <m/>
    <m/>
    <m/>
    <m/>
    <m/>
    <x v="0"/>
    <x v="55"/>
    <x v="70"/>
    <s v="9F0001830"/>
    <s v="7028-1602-00"/>
    <n v="6"/>
    <n v="613.31999999999994"/>
    <m/>
    <s v="de PPAP"/>
    <s v="20250038 -17.01.2025"/>
    <x v="0"/>
    <x v="9"/>
    <x v="0"/>
    <m/>
  </r>
  <r>
    <x v="8"/>
    <x v="0"/>
    <x v="35"/>
    <x v="26"/>
    <x v="99"/>
    <s v="Top Interface"/>
    <s v="C"/>
    <n v="112.94"/>
    <n v="94"/>
    <n v="10616.36"/>
    <x v="91"/>
    <n v="13"/>
    <n v="2025"/>
    <n v="0"/>
    <x v="42"/>
    <n v="0"/>
    <m/>
    <s v="project"/>
    <n v="1.9583333333333333"/>
    <m/>
    <m/>
    <m/>
    <m/>
    <m/>
    <m/>
    <m/>
    <x v="1"/>
    <x v="3"/>
    <x v="4"/>
    <s v=""/>
    <s v=""/>
    <m/>
    <n v="0"/>
    <m/>
    <m/>
    <m/>
    <x v="1"/>
    <x v="5"/>
    <x v="0"/>
    <m/>
  </r>
  <r>
    <x v="8"/>
    <x v="0"/>
    <x v="35"/>
    <x v="26"/>
    <x v="99"/>
    <s v="Top Interface"/>
    <s v="C"/>
    <n v="112.94"/>
    <n v="6"/>
    <n v="677.64"/>
    <x v="92"/>
    <n v="34"/>
    <n v="2025"/>
    <n v="0"/>
    <x v="42"/>
    <n v="0"/>
    <m/>
    <s v="project"/>
    <n v="0.125"/>
    <s v="yes"/>
    <m/>
    <m/>
    <m/>
    <m/>
    <m/>
    <m/>
    <x v="0"/>
    <x v="56"/>
    <x v="71"/>
    <s v="9F0001830"/>
    <s v="7028-1603-00"/>
    <n v="6"/>
    <n v="677.64"/>
    <m/>
    <s v="PPAP"/>
    <s v="20241573-17.12.2024"/>
    <x v="0"/>
    <x v="9"/>
    <x v="0"/>
    <m/>
  </r>
  <r>
    <x v="2"/>
    <x v="0"/>
    <x v="36"/>
    <x v="2"/>
    <x v="100"/>
    <s v="Crank sleeve"/>
    <n v="0"/>
    <n v="3.69"/>
    <n v="50"/>
    <n v="184.5"/>
    <x v="93"/>
    <n v="31"/>
    <n v="2023"/>
    <n v="0"/>
    <x v="43"/>
    <n v="50"/>
    <m/>
    <s v="project"/>
    <n v="42"/>
    <s v="yes"/>
    <m/>
    <m/>
    <m/>
    <m/>
    <m/>
    <m/>
    <x v="0"/>
    <x v="3"/>
    <x v="4"/>
    <s v=""/>
    <s v=""/>
    <m/>
    <n v="0"/>
    <m/>
    <s v="Proiect Anulat"/>
    <m/>
    <x v="1"/>
    <x v="9"/>
    <x v="2"/>
    <m/>
  </r>
  <r>
    <x v="0"/>
    <x v="0"/>
    <x v="37"/>
    <x v="27"/>
    <x v="101"/>
    <s v="094290032-0000"/>
    <n v="0"/>
    <n v="0.65"/>
    <n v="2000"/>
    <n v="1300"/>
    <x v="94"/>
    <n v="14"/>
    <n v="2024"/>
    <n v="0"/>
    <x v="44"/>
    <n v="0"/>
    <m/>
    <s v="approved"/>
    <n v="42"/>
    <s v="no"/>
    <m/>
    <m/>
    <m/>
    <m/>
    <m/>
    <s v="241305"/>
    <x v="0"/>
    <x v="57"/>
    <x v="72"/>
    <n v="5325142"/>
    <s v="AU.KB2045-B-0208-DRE"/>
    <n v="2000"/>
    <n v="1300"/>
    <m/>
    <m/>
    <s v="20240324-01.04.2024"/>
    <x v="0"/>
    <x v="1"/>
    <x v="1"/>
    <m/>
  </r>
  <r>
    <x v="0"/>
    <x v="0"/>
    <x v="37"/>
    <x v="28"/>
    <x v="101"/>
    <s v="094290032-0000"/>
    <n v="0"/>
    <n v="0.65"/>
    <n v="700"/>
    <n v="455"/>
    <x v="95"/>
    <n v="18"/>
    <n v="2024"/>
    <n v="0"/>
    <x v="44"/>
    <n v="0"/>
    <m/>
    <s v="approved"/>
    <n v="42"/>
    <s v="no"/>
    <m/>
    <m/>
    <m/>
    <m/>
    <m/>
    <s v="241305"/>
    <x v="0"/>
    <x v="58"/>
    <x v="73"/>
    <n v="5325142"/>
    <s v="AU.KB2045-B-0208-DRE"/>
    <n v="700"/>
    <n v="455"/>
    <m/>
    <m/>
    <s v="20240393-16.04.2024"/>
    <x v="0"/>
    <x v="1"/>
    <x v="1"/>
    <m/>
  </r>
  <r>
    <x v="0"/>
    <x v="0"/>
    <x v="37"/>
    <x v="29"/>
    <x v="101"/>
    <s v="094290032-0000"/>
    <n v="0"/>
    <n v="0.65"/>
    <n v="1500"/>
    <n v="975"/>
    <x v="96"/>
    <n v="19"/>
    <n v="2024"/>
    <n v="0"/>
    <x v="44"/>
    <n v="0"/>
    <m/>
    <s v="approved"/>
    <n v="42"/>
    <s v="no"/>
    <m/>
    <m/>
    <m/>
    <m/>
    <m/>
    <s v="241806"/>
    <x v="0"/>
    <x v="59"/>
    <x v="74"/>
    <n v="5325142"/>
    <s v="AU.KB2045-B-0208-DRE"/>
    <n v="553"/>
    <n v="359.45"/>
    <m/>
    <m/>
    <s v="20240491-30.04.2024"/>
    <x v="0"/>
    <x v="2"/>
    <x v="1"/>
    <m/>
  </r>
  <r>
    <x v="0"/>
    <x v="0"/>
    <x v="37"/>
    <x v="29"/>
    <x v="101"/>
    <s v="094290032-0000"/>
    <n v="0"/>
    <n v="0.65"/>
    <m/>
    <n v="0"/>
    <x v="96"/>
    <n v="19"/>
    <n v="2024"/>
    <n v="0"/>
    <x v="44"/>
    <n v="0"/>
    <m/>
    <s v="approved"/>
    <n v="42"/>
    <s v="no"/>
    <m/>
    <m/>
    <m/>
    <m/>
    <m/>
    <m/>
    <x v="0"/>
    <x v="60"/>
    <x v="75"/>
    <n v="5325142"/>
    <s v="AU.KB2045-B-0208-DRE"/>
    <n v="700"/>
    <n v="455"/>
    <m/>
    <m/>
    <s v="20240512-09.05.2024"/>
    <x v="0"/>
    <x v="2"/>
    <x v="1"/>
    <m/>
  </r>
  <r>
    <x v="0"/>
    <x v="0"/>
    <x v="37"/>
    <x v="29"/>
    <x v="101"/>
    <s v="094290032-0000"/>
    <n v="0"/>
    <n v="0.65"/>
    <m/>
    <n v="0"/>
    <x v="96"/>
    <n v="19"/>
    <n v="2024"/>
    <n v="0"/>
    <x v="44"/>
    <n v="0"/>
    <m/>
    <s v="approved"/>
    <n v="42"/>
    <s v="no"/>
    <m/>
    <m/>
    <m/>
    <m/>
    <m/>
    <m/>
    <x v="0"/>
    <x v="22"/>
    <x v="76"/>
    <n v="5325142"/>
    <s v="AU.KB2045-B-0208-DRE"/>
    <n v="247"/>
    <n v="160.55000000000001"/>
    <m/>
    <m/>
    <s v="20240530-14.05.2024"/>
    <x v="1"/>
    <x v="2"/>
    <x v="1"/>
    <m/>
  </r>
  <r>
    <x v="0"/>
    <x v="0"/>
    <x v="37"/>
    <x v="30"/>
    <x v="101"/>
    <s v="094290032-0000"/>
    <n v="0"/>
    <n v="0.65"/>
    <m/>
    <n v="0"/>
    <x v="96"/>
    <n v="19"/>
    <n v="2024"/>
    <n v="0"/>
    <x v="44"/>
    <n v="0"/>
    <m/>
    <s v="approved"/>
    <n v="42"/>
    <s v="no"/>
    <m/>
    <m/>
    <m/>
    <m/>
    <m/>
    <m/>
    <x v="0"/>
    <x v="61"/>
    <x v="77"/>
    <n v="5325142"/>
    <s v="AU.KB2045-B-0208-DRE"/>
    <n v="720"/>
    <n v="468"/>
    <m/>
    <m/>
    <s v="20240904-18.07.2024"/>
    <x v="1"/>
    <x v="2"/>
    <x v="1"/>
    <m/>
  </r>
  <r>
    <x v="0"/>
    <x v="0"/>
    <x v="37"/>
    <x v="29"/>
    <x v="101"/>
    <s v="094290032-0000"/>
    <n v="0"/>
    <n v="0.65"/>
    <n v="1500"/>
    <n v="975"/>
    <x v="97"/>
    <n v="21"/>
    <n v="2024"/>
    <n v="0"/>
    <x v="44"/>
    <n v="0"/>
    <m/>
    <s v="approved"/>
    <n v="42"/>
    <s v="no"/>
    <m/>
    <m/>
    <m/>
    <m/>
    <m/>
    <n v="242005"/>
    <x v="0"/>
    <x v="62"/>
    <x v="78"/>
    <n v="5325142"/>
    <s v="AU.KB2045-B-0208-DRE"/>
    <n v="1500"/>
    <n v="975"/>
    <m/>
    <m/>
    <s v="20240576-21.05.2024"/>
    <x v="0"/>
    <x v="2"/>
    <x v="1"/>
    <m/>
  </r>
  <r>
    <x v="0"/>
    <x v="0"/>
    <x v="37"/>
    <x v="31"/>
    <x v="101"/>
    <s v="094290032-0000"/>
    <n v="0"/>
    <n v="0.65"/>
    <n v="3000"/>
    <n v="1950"/>
    <x v="98"/>
    <n v="23"/>
    <n v="2024"/>
    <n v="0"/>
    <x v="44"/>
    <n v="0"/>
    <m/>
    <s v="approved"/>
    <n v="42"/>
    <s v="no"/>
    <m/>
    <m/>
    <m/>
    <m/>
    <m/>
    <n v="242202"/>
    <x v="0"/>
    <x v="63"/>
    <x v="79"/>
    <n v="5325142"/>
    <s v="AU.KB2045-B-0208-DRE"/>
    <n v="134"/>
    <n v="87.100000000000009"/>
    <m/>
    <m/>
    <s v="20240648-04.06.2024"/>
    <x v="0"/>
    <x v="0"/>
    <x v="1"/>
    <m/>
  </r>
  <r>
    <x v="0"/>
    <x v="0"/>
    <x v="37"/>
    <x v="31"/>
    <x v="101"/>
    <s v="094290032-0000"/>
    <n v="0"/>
    <n v="0.65"/>
    <m/>
    <n v="0"/>
    <x v="98"/>
    <n v="23"/>
    <n v="2024"/>
    <n v="0"/>
    <x v="44"/>
    <n v="0"/>
    <m/>
    <s v="approved"/>
    <n v="42"/>
    <s v="no"/>
    <m/>
    <m/>
    <m/>
    <m/>
    <m/>
    <m/>
    <x v="0"/>
    <x v="64"/>
    <x v="80"/>
    <n v="5325142"/>
    <s v="AU.KB2045-B-0208-DRE"/>
    <n v="1076"/>
    <n v="699.4"/>
    <m/>
    <m/>
    <s v="20240702-17.06.2024"/>
    <x v="1"/>
    <x v="0"/>
    <x v="1"/>
    <m/>
  </r>
  <r>
    <x v="0"/>
    <x v="0"/>
    <x v="37"/>
    <x v="31"/>
    <x v="101"/>
    <s v="094290032-0000"/>
    <n v="0"/>
    <n v="0.65"/>
    <m/>
    <n v="0"/>
    <x v="98"/>
    <n v="23"/>
    <n v="2024"/>
    <n v="0"/>
    <x v="44"/>
    <n v="0"/>
    <m/>
    <s v="approved"/>
    <n v="42"/>
    <s v="no"/>
    <m/>
    <m/>
    <m/>
    <m/>
    <m/>
    <m/>
    <x v="0"/>
    <x v="65"/>
    <x v="81"/>
    <n v="5325142"/>
    <s v="AU.KB2045-B-0208-DRE"/>
    <n v="394"/>
    <n v="256.10000000000002"/>
    <m/>
    <m/>
    <s v="20240714-18.06.2024"/>
    <x v="1"/>
    <x v="0"/>
    <x v="1"/>
    <m/>
  </r>
  <r>
    <x v="0"/>
    <x v="0"/>
    <x v="37"/>
    <x v="31"/>
    <x v="101"/>
    <s v="094290032-0000"/>
    <n v="0"/>
    <n v="0.65"/>
    <m/>
    <n v="0"/>
    <x v="98"/>
    <n v="23"/>
    <n v="2024"/>
    <n v="0"/>
    <x v="44"/>
    <n v="0"/>
    <m/>
    <s v="approved"/>
    <n v="42"/>
    <s v="no"/>
    <m/>
    <m/>
    <m/>
    <m/>
    <m/>
    <m/>
    <x v="0"/>
    <x v="66"/>
    <x v="82"/>
    <n v="5325142"/>
    <s v="AU.KB2045-B-0208-DRE"/>
    <n v="462"/>
    <n v="300.3"/>
    <m/>
    <m/>
    <s v="20240723-19.06.2024"/>
    <x v="1"/>
    <x v="0"/>
    <x v="1"/>
    <m/>
  </r>
  <r>
    <x v="0"/>
    <x v="0"/>
    <x v="37"/>
    <x v="31"/>
    <x v="101"/>
    <s v="094290032-0000"/>
    <n v="0"/>
    <n v="0.65"/>
    <m/>
    <n v="0"/>
    <x v="98"/>
    <n v="23"/>
    <n v="2024"/>
    <n v="0"/>
    <x v="44"/>
    <n v="0"/>
    <m/>
    <s v="approved"/>
    <n v="42"/>
    <s v="no"/>
    <m/>
    <m/>
    <m/>
    <m/>
    <m/>
    <m/>
    <x v="0"/>
    <x v="66"/>
    <x v="83"/>
    <n v="5325142"/>
    <s v="AU.KB2045-B-0208-DRE"/>
    <n v="202"/>
    <n v="131.30000000000001"/>
    <m/>
    <m/>
    <s v="20240724-19.06.2024"/>
    <x v="1"/>
    <x v="0"/>
    <x v="1"/>
    <m/>
  </r>
  <r>
    <x v="0"/>
    <x v="0"/>
    <x v="37"/>
    <x v="31"/>
    <x v="101"/>
    <s v="094290032-0000"/>
    <n v="0"/>
    <n v="0.65"/>
    <m/>
    <n v="0"/>
    <x v="98"/>
    <n v="23"/>
    <n v="2024"/>
    <n v="0"/>
    <x v="44"/>
    <n v="0"/>
    <m/>
    <s v="approved"/>
    <n v="42"/>
    <s v="no"/>
    <m/>
    <m/>
    <m/>
    <m/>
    <m/>
    <m/>
    <x v="0"/>
    <x v="67"/>
    <x v="84"/>
    <n v="5325142"/>
    <s v="AU.KB2045-B-0208-DRE"/>
    <n v="601"/>
    <n v="390.65000000000003"/>
    <m/>
    <m/>
    <s v="2024703-21.06.2024"/>
    <x v="1"/>
    <x v="0"/>
    <x v="1"/>
    <m/>
  </r>
  <r>
    <x v="0"/>
    <x v="0"/>
    <x v="37"/>
    <x v="31"/>
    <x v="101"/>
    <s v="094290032-0000"/>
    <n v="0"/>
    <n v="0.65"/>
    <m/>
    <n v="0"/>
    <x v="98"/>
    <n v="23"/>
    <n v="2024"/>
    <n v="0"/>
    <x v="44"/>
    <n v="0"/>
    <m/>
    <s v="approved"/>
    <n v="42"/>
    <s v="no"/>
    <m/>
    <m/>
    <m/>
    <m/>
    <m/>
    <m/>
    <x v="0"/>
    <x v="67"/>
    <x v="85"/>
    <n v="5325142"/>
    <s v="AU.KB2045-B-0208-DRE"/>
    <n v="131"/>
    <n v="85.15"/>
    <m/>
    <m/>
    <s v="20240739-21.06.2024"/>
    <x v="1"/>
    <x v="0"/>
    <x v="1"/>
    <m/>
  </r>
  <r>
    <x v="0"/>
    <x v="0"/>
    <x v="37"/>
    <x v="31"/>
    <x v="101"/>
    <s v="094290032-0000"/>
    <n v="0"/>
    <n v="0.65"/>
    <n v="3000"/>
    <n v="1950"/>
    <x v="99"/>
    <n v="24"/>
    <n v="2024"/>
    <n v="0"/>
    <x v="44"/>
    <n v="0"/>
    <m/>
    <s v="approved"/>
    <n v="42"/>
    <s v="no"/>
    <m/>
    <m/>
    <m/>
    <m/>
    <m/>
    <n v="242502"/>
    <x v="0"/>
    <x v="67"/>
    <x v="85"/>
    <n v="5325142"/>
    <s v="AU.KB2045-B-0208-DRE"/>
    <n v="145"/>
    <n v="94.25"/>
    <m/>
    <m/>
    <s v="20240739-21.06.2024"/>
    <x v="1"/>
    <x v="0"/>
    <x v="1"/>
    <m/>
  </r>
  <r>
    <x v="0"/>
    <x v="0"/>
    <x v="37"/>
    <x v="31"/>
    <x v="101"/>
    <s v="094290032-0000"/>
    <n v="0"/>
    <n v="0.65"/>
    <m/>
    <n v="0"/>
    <x v="99"/>
    <n v="24"/>
    <n v="2024"/>
    <n v="0"/>
    <x v="44"/>
    <n v="0"/>
    <m/>
    <s v="approved"/>
    <n v="42"/>
    <s v="no"/>
    <m/>
    <m/>
    <m/>
    <m/>
    <m/>
    <m/>
    <x v="0"/>
    <x v="68"/>
    <x v="86"/>
    <n v="5325142"/>
    <s v="AU.KB2045-B-0208-DRE"/>
    <n v="995"/>
    <n v="646.75"/>
    <m/>
    <m/>
    <s v="20240749-25.06.2024"/>
    <x v="1"/>
    <x v="0"/>
    <x v="1"/>
    <m/>
  </r>
  <r>
    <x v="0"/>
    <x v="0"/>
    <x v="37"/>
    <x v="31"/>
    <x v="101"/>
    <s v="094290032-0000"/>
    <n v="0"/>
    <n v="0.65"/>
    <m/>
    <n v="0"/>
    <x v="99"/>
    <n v="24"/>
    <n v="2024"/>
    <n v="0"/>
    <x v="44"/>
    <n v="0"/>
    <m/>
    <s v="approved"/>
    <n v="42"/>
    <s v="no"/>
    <m/>
    <m/>
    <m/>
    <m/>
    <m/>
    <m/>
    <x v="0"/>
    <x v="69"/>
    <x v="87"/>
    <n v="5325142"/>
    <s v="AU.KB2045-B-0208-DRE"/>
    <n v="650"/>
    <n v="422.5"/>
    <m/>
    <m/>
    <s v="20240750-26.06.2024"/>
    <x v="1"/>
    <x v="0"/>
    <x v="1"/>
    <m/>
  </r>
  <r>
    <x v="0"/>
    <x v="0"/>
    <x v="37"/>
    <x v="31"/>
    <x v="101"/>
    <s v="094290032-0000"/>
    <n v="0"/>
    <n v="0.65"/>
    <m/>
    <n v="0"/>
    <x v="99"/>
    <n v="24"/>
    <n v="2024"/>
    <n v="0"/>
    <x v="44"/>
    <n v="0"/>
    <m/>
    <s v="approved"/>
    <n v="42"/>
    <s v="no"/>
    <m/>
    <m/>
    <m/>
    <m/>
    <m/>
    <m/>
    <x v="0"/>
    <x v="70"/>
    <x v="88"/>
    <n v="5325142"/>
    <s v="AU.KB2045-B-0208-DRE"/>
    <n v="468"/>
    <n v="304.2"/>
    <m/>
    <m/>
    <s v="20240764-27.06.2024"/>
    <x v="1"/>
    <x v="0"/>
    <x v="1"/>
    <m/>
  </r>
  <r>
    <x v="0"/>
    <x v="0"/>
    <x v="37"/>
    <x v="31"/>
    <x v="101"/>
    <s v="094290032-0000"/>
    <n v="0"/>
    <n v="0.65"/>
    <m/>
    <n v="0"/>
    <x v="99"/>
    <n v="24"/>
    <n v="2024"/>
    <n v="0"/>
    <x v="44"/>
    <n v="0"/>
    <m/>
    <s v="approved"/>
    <n v="42"/>
    <s v="no"/>
    <m/>
    <m/>
    <m/>
    <m/>
    <m/>
    <m/>
    <x v="0"/>
    <x v="70"/>
    <x v="89"/>
    <n v="5325142"/>
    <s v="AU.KB2045-B-0208-DRE"/>
    <n v="99"/>
    <n v="64.350000000000009"/>
    <m/>
    <m/>
    <s v="20240766-27.06.2024"/>
    <x v="1"/>
    <x v="0"/>
    <x v="1"/>
    <m/>
  </r>
  <r>
    <x v="0"/>
    <x v="0"/>
    <x v="37"/>
    <x v="31"/>
    <x v="101"/>
    <s v="094290032-0000"/>
    <n v="0"/>
    <n v="0.65"/>
    <m/>
    <n v="0"/>
    <x v="99"/>
    <n v="24"/>
    <n v="2024"/>
    <n v="0"/>
    <x v="44"/>
    <n v="0"/>
    <m/>
    <s v="approved"/>
    <n v="42"/>
    <s v="no"/>
    <m/>
    <m/>
    <m/>
    <m/>
    <m/>
    <m/>
    <x v="0"/>
    <x v="27"/>
    <x v="90"/>
    <n v="5325142"/>
    <s v="AU.KB2045-B-0208-DRE"/>
    <n v="372"/>
    <n v="241.8"/>
    <m/>
    <m/>
    <s v="20240782-28.06.2024"/>
    <x v="1"/>
    <x v="0"/>
    <x v="1"/>
    <m/>
  </r>
  <r>
    <x v="0"/>
    <x v="0"/>
    <x v="37"/>
    <x v="31"/>
    <x v="101"/>
    <s v="094290032-0000"/>
    <n v="0"/>
    <n v="0.65"/>
    <m/>
    <n v="0"/>
    <x v="99"/>
    <n v="24"/>
    <n v="2024"/>
    <n v="0"/>
    <x v="44"/>
    <n v="0"/>
    <m/>
    <s v="approved"/>
    <n v="42"/>
    <s v="no"/>
    <m/>
    <m/>
    <m/>
    <m/>
    <m/>
    <m/>
    <x v="0"/>
    <x v="71"/>
    <x v="91"/>
    <n v="5325142"/>
    <s v="AU.KB2045-B-0208-DRE"/>
    <n v="271"/>
    <n v="176.15"/>
    <m/>
    <m/>
    <s v="20240793-28.06.2024"/>
    <x v="1"/>
    <x v="0"/>
    <x v="1"/>
    <m/>
  </r>
  <r>
    <x v="0"/>
    <x v="0"/>
    <x v="37"/>
    <x v="31"/>
    <x v="101"/>
    <s v="094290032-0000"/>
    <n v="0"/>
    <n v="0.65"/>
    <n v="1000"/>
    <n v="650"/>
    <x v="100"/>
    <n v="25"/>
    <n v="2024"/>
    <n v="0"/>
    <x v="44"/>
    <n v="0"/>
    <m/>
    <s v="approved"/>
    <n v="42"/>
    <s v="no"/>
    <m/>
    <m/>
    <m/>
    <m/>
    <m/>
    <n v="242702"/>
    <x v="0"/>
    <x v="71"/>
    <x v="91"/>
    <n v="5325142"/>
    <s v="AU.KB2045-B-0208-DRE"/>
    <n v="269"/>
    <n v="174.85"/>
    <m/>
    <m/>
    <s v="20240793-28.06.2024"/>
    <x v="1"/>
    <x v="0"/>
    <x v="1"/>
    <m/>
  </r>
  <r>
    <x v="0"/>
    <x v="0"/>
    <x v="37"/>
    <x v="31"/>
    <x v="101"/>
    <s v="094290032-0000"/>
    <n v="0"/>
    <n v="0.65"/>
    <m/>
    <n v="0"/>
    <x v="100"/>
    <n v="25"/>
    <n v="2024"/>
    <n v="0"/>
    <x v="44"/>
    <n v="0"/>
    <m/>
    <s v="approved"/>
    <n v="42"/>
    <s v="no"/>
    <m/>
    <m/>
    <m/>
    <m/>
    <m/>
    <m/>
    <x v="0"/>
    <x v="71"/>
    <x v="92"/>
    <n v="5325142"/>
    <s v="AU.KB2045-B-0208-DRE"/>
    <n v="731"/>
    <n v="475.15000000000003"/>
    <m/>
    <m/>
    <s v="20230794-01.07.2024"/>
    <x v="1"/>
    <x v="0"/>
    <x v="1"/>
    <m/>
  </r>
  <r>
    <x v="0"/>
    <x v="0"/>
    <x v="37"/>
    <x v="31"/>
    <x v="101"/>
    <s v="094290032-0000"/>
    <n v="0"/>
    <n v="0.65"/>
    <n v="2500"/>
    <n v="1625"/>
    <x v="101"/>
    <n v="27"/>
    <n v="2024"/>
    <n v="0"/>
    <x v="44"/>
    <n v="0"/>
    <m/>
    <s v="approved"/>
    <n v="42"/>
    <s v="no"/>
    <m/>
    <m/>
    <m/>
    <m/>
    <m/>
    <n v="242702"/>
    <x v="0"/>
    <x v="71"/>
    <x v="92"/>
    <n v="5325142"/>
    <s v="AU.KB2045-B-0208-DRE"/>
    <n v="459"/>
    <n v="298.35000000000002"/>
    <m/>
    <s v="110 PCS CU DEROGARE"/>
    <s v="20230794-01.07.2024"/>
    <x v="0"/>
    <x v="8"/>
    <x v="1"/>
    <m/>
  </r>
  <r>
    <x v="0"/>
    <x v="0"/>
    <x v="37"/>
    <x v="31"/>
    <x v="101"/>
    <s v="094290032-0000"/>
    <n v="0"/>
    <n v="0.65"/>
    <m/>
    <n v="0"/>
    <x v="101"/>
    <n v="27"/>
    <n v="2024"/>
    <n v="0"/>
    <x v="44"/>
    <n v="0"/>
    <m/>
    <s v="approved"/>
    <n v="42"/>
    <s v="no"/>
    <m/>
    <m/>
    <m/>
    <m/>
    <m/>
    <m/>
    <x v="0"/>
    <x v="72"/>
    <x v="93"/>
    <n v="5325142"/>
    <s v="AU.KB2045-B-0208-DRE"/>
    <n v="155"/>
    <n v="100.75"/>
    <m/>
    <m/>
    <s v="20240808-02.07.2024"/>
    <x v="0"/>
    <x v="8"/>
    <x v="1"/>
    <m/>
  </r>
  <r>
    <x v="0"/>
    <x v="0"/>
    <x v="37"/>
    <x v="31"/>
    <x v="101"/>
    <s v="094290032-0000"/>
    <n v="0"/>
    <n v="0.65"/>
    <m/>
    <n v="0"/>
    <x v="101"/>
    <n v="27"/>
    <n v="2024"/>
    <n v="0"/>
    <x v="44"/>
    <n v="0"/>
    <m/>
    <s v="approved"/>
    <n v="42"/>
    <s v="no"/>
    <m/>
    <m/>
    <m/>
    <m/>
    <m/>
    <m/>
    <x v="0"/>
    <x v="73"/>
    <x v="94"/>
    <n v="5325142"/>
    <s v="AU.KB2045-B-0208-DRE"/>
    <n v="199"/>
    <n v="129.35"/>
    <m/>
    <m/>
    <s v="20240813-03.07.2024"/>
    <x v="0"/>
    <x v="8"/>
    <x v="1"/>
    <m/>
  </r>
  <r>
    <x v="0"/>
    <x v="0"/>
    <x v="37"/>
    <x v="31"/>
    <x v="101"/>
    <s v="094290032-0000"/>
    <n v="0"/>
    <n v="0.65"/>
    <m/>
    <n v="0"/>
    <x v="101"/>
    <n v="27"/>
    <n v="2024"/>
    <n v="0"/>
    <x v="44"/>
    <n v="0"/>
    <m/>
    <s v="approved"/>
    <n v="42"/>
    <s v="no"/>
    <m/>
    <m/>
    <m/>
    <m/>
    <m/>
    <m/>
    <x v="0"/>
    <x v="9"/>
    <x v="95"/>
    <n v="5325142"/>
    <s v="AU.KB2045-B-0208-DRE"/>
    <n v="900"/>
    <n v="585"/>
    <m/>
    <m/>
    <s v="20240818-04.07.2024"/>
    <x v="0"/>
    <x v="8"/>
    <x v="1"/>
    <m/>
  </r>
  <r>
    <x v="0"/>
    <x v="0"/>
    <x v="37"/>
    <x v="31"/>
    <x v="101"/>
    <s v="094290032-0000"/>
    <n v="0"/>
    <n v="0.65"/>
    <m/>
    <n v="0"/>
    <x v="101"/>
    <n v="27"/>
    <n v="2024"/>
    <n v="0"/>
    <x v="44"/>
    <n v="0"/>
    <m/>
    <s v="approved"/>
    <n v="42"/>
    <s v="no"/>
    <m/>
    <m/>
    <m/>
    <m/>
    <m/>
    <m/>
    <x v="0"/>
    <x v="74"/>
    <x v="96"/>
    <n v="5325142"/>
    <s v="AU.KB2045-B-0208-DRE"/>
    <n v="540"/>
    <n v="351"/>
    <m/>
    <m/>
    <s v="20240886-15.07.2024"/>
    <x v="1"/>
    <x v="8"/>
    <x v="1"/>
    <m/>
  </r>
  <r>
    <x v="0"/>
    <x v="0"/>
    <x v="37"/>
    <x v="31"/>
    <x v="101"/>
    <s v="094290032-0000"/>
    <n v="0"/>
    <n v="0.65"/>
    <m/>
    <n v="0"/>
    <x v="101"/>
    <n v="27"/>
    <n v="2024"/>
    <n v="0"/>
    <x v="44"/>
    <n v="0"/>
    <m/>
    <s v="approved"/>
    <n v="42"/>
    <s v="no"/>
    <m/>
    <m/>
    <m/>
    <m/>
    <m/>
    <m/>
    <x v="0"/>
    <x v="75"/>
    <x v="97"/>
    <n v="5325142"/>
    <s v="AU.KB2045-B-0208-DRE"/>
    <n v="247"/>
    <n v="160.55000000000001"/>
    <m/>
    <m/>
    <s v="20240896-16.07.2024"/>
    <x v="1"/>
    <x v="8"/>
    <x v="1"/>
    <m/>
  </r>
  <r>
    <x v="0"/>
    <x v="0"/>
    <x v="37"/>
    <x v="31"/>
    <x v="101"/>
    <s v="094290032-0000"/>
    <n v="0"/>
    <n v="0.65"/>
    <n v="2500"/>
    <n v="1625"/>
    <x v="102"/>
    <n v="28"/>
    <n v="2024"/>
    <n v="0"/>
    <x v="44"/>
    <n v="0"/>
    <m/>
    <s v="approved"/>
    <n v="42"/>
    <s v="no"/>
    <m/>
    <m/>
    <m/>
    <m/>
    <m/>
    <n v="242709"/>
    <x v="0"/>
    <x v="75"/>
    <x v="97"/>
    <n v="5325142"/>
    <s v="AU.KB2045-B-0208-DRE"/>
    <n v="293"/>
    <n v="190.45000000000002"/>
    <m/>
    <m/>
    <s v="20240896--16.07.2024"/>
    <x v="1"/>
    <x v="8"/>
    <x v="1"/>
    <m/>
  </r>
  <r>
    <x v="0"/>
    <x v="0"/>
    <x v="37"/>
    <x v="31"/>
    <x v="101"/>
    <s v="094290032-0000"/>
    <n v="0"/>
    <n v="0.65"/>
    <m/>
    <n v="0"/>
    <x v="102"/>
    <n v="28"/>
    <n v="2024"/>
    <n v="0"/>
    <x v="44"/>
    <n v="0"/>
    <m/>
    <s v="approved"/>
    <n v="42"/>
    <s v="no"/>
    <m/>
    <m/>
    <m/>
    <m/>
    <m/>
    <m/>
    <x v="0"/>
    <x v="76"/>
    <x v="98"/>
    <n v="5325142"/>
    <s v="AU.KB2045-B-0208-DRE"/>
    <n v="539"/>
    <n v="350.35"/>
    <m/>
    <m/>
    <s v="20240898-17.07.2024"/>
    <x v="1"/>
    <x v="8"/>
    <x v="1"/>
    <m/>
  </r>
  <r>
    <x v="0"/>
    <x v="0"/>
    <x v="37"/>
    <x v="31"/>
    <x v="101"/>
    <s v="094290032-0000"/>
    <n v="0"/>
    <n v="0.65"/>
    <m/>
    <n v="0"/>
    <x v="102"/>
    <n v="28"/>
    <n v="2024"/>
    <n v="0"/>
    <x v="44"/>
    <n v="0"/>
    <m/>
    <s v="approved"/>
    <n v="42"/>
    <s v="no"/>
    <m/>
    <m/>
    <m/>
    <m/>
    <m/>
    <m/>
    <x v="0"/>
    <x v="61"/>
    <x v="77"/>
    <n v="5325142"/>
    <s v="AU.KB2045-B-0208-DRE"/>
    <n v="720"/>
    <n v="468"/>
    <m/>
    <m/>
    <s v="20240904-18.07.2024"/>
    <x v="1"/>
    <x v="8"/>
    <x v="1"/>
    <m/>
  </r>
  <r>
    <x v="0"/>
    <x v="0"/>
    <x v="37"/>
    <x v="31"/>
    <x v="101"/>
    <s v="094290032-0000"/>
    <n v="0"/>
    <n v="0.65"/>
    <m/>
    <n v="0"/>
    <x v="102"/>
    <n v="28"/>
    <n v="2024"/>
    <n v="0"/>
    <x v="44"/>
    <n v="0"/>
    <m/>
    <s v="approved"/>
    <n v="42"/>
    <s v="no"/>
    <m/>
    <m/>
    <m/>
    <m/>
    <m/>
    <m/>
    <x v="0"/>
    <x v="77"/>
    <x v="99"/>
    <n v="5325142"/>
    <s v="AU.KB2045-B-0208-DRE"/>
    <n v="450"/>
    <n v="292.5"/>
    <m/>
    <m/>
    <s v="20240907-19.07.2024"/>
    <x v="1"/>
    <x v="8"/>
    <x v="1"/>
    <m/>
  </r>
  <r>
    <x v="0"/>
    <x v="0"/>
    <x v="37"/>
    <x v="31"/>
    <x v="101"/>
    <s v="094290032-0000"/>
    <n v="0"/>
    <n v="0.65"/>
    <m/>
    <n v="0"/>
    <x v="102"/>
    <n v="28"/>
    <n v="2024"/>
    <n v="0"/>
    <x v="44"/>
    <n v="0"/>
    <m/>
    <s v="approved"/>
    <n v="42"/>
    <s v="no"/>
    <m/>
    <m/>
    <m/>
    <m/>
    <m/>
    <m/>
    <x v="0"/>
    <x v="78"/>
    <x v="100"/>
    <n v="5325142"/>
    <s v="AU.KB2045-B-0208-DRE"/>
    <n v="498"/>
    <n v="323.7"/>
    <m/>
    <m/>
    <s v="20240919-22.07.2024"/>
    <x v="1"/>
    <x v="8"/>
    <x v="1"/>
    <m/>
  </r>
  <r>
    <x v="0"/>
    <x v="0"/>
    <x v="37"/>
    <x v="31"/>
    <x v="101"/>
    <s v="094290032-0000"/>
    <n v="0"/>
    <n v="0.65"/>
    <n v="2000"/>
    <n v="1300"/>
    <x v="103"/>
    <n v="31"/>
    <n v="2024"/>
    <n v="0"/>
    <x v="44"/>
    <n v="0"/>
    <m/>
    <s v="approved"/>
    <n v="42"/>
    <s v="no"/>
    <m/>
    <m/>
    <m/>
    <m/>
    <m/>
    <m/>
    <x v="0"/>
    <x v="18"/>
    <x v="101"/>
    <n v="5325142"/>
    <s v="AU.KB2045-B-0208-DRE"/>
    <n v="157"/>
    <n v="102.05"/>
    <m/>
    <m/>
    <s v="20240927-23.07.2024"/>
    <x v="0"/>
    <x v="8"/>
    <x v="1"/>
    <m/>
  </r>
  <r>
    <x v="0"/>
    <x v="0"/>
    <x v="37"/>
    <x v="31"/>
    <x v="101"/>
    <s v="094290032-0000"/>
    <n v="0"/>
    <n v="0.65"/>
    <m/>
    <n v="0"/>
    <x v="103"/>
    <n v="31"/>
    <n v="2024"/>
    <n v="0"/>
    <x v="44"/>
    <n v="0"/>
    <m/>
    <s v="approved"/>
    <n v="42"/>
    <s v="no"/>
    <m/>
    <m/>
    <m/>
    <m/>
    <m/>
    <m/>
    <x v="0"/>
    <x v="79"/>
    <x v="102"/>
    <n v="5325142"/>
    <s v="AU.KB2045-B-0208-DRE"/>
    <n v="266"/>
    <n v="172.9"/>
    <m/>
    <m/>
    <s v="20240942-24.07.2024"/>
    <x v="0"/>
    <x v="8"/>
    <x v="1"/>
    <m/>
  </r>
  <r>
    <x v="0"/>
    <x v="0"/>
    <x v="37"/>
    <x v="31"/>
    <x v="101"/>
    <s v="094290032-0000"/>
    <n v="0"/>
    <n v="0.65"/>
    <m/>
    <n v="0"/>
    <x v="103"/>
    <n v="31"/>
    <n v="2024"/>
    <n v="0"/>
    <x v="44"/>
    <n v="0"/>
    <m/>
    <s v="approved"/>
    <n v="42"/>
    <s v="no"/>
    <m/>
    <m/>
    <m/>
    <m/>
    <m/>
    <m/>
    <x v="0"/>
    <x v="80"/>
    <x v="103"/>
    <n v="5325142"/>
    <s v="AU.KB2045-B-0208-DRE"/>
    <n v="540"/>
    <n v="351"/>
    <m/>
    <m/>
    <s v="20240952-25.07.2024"/>
    <x v="0"/>
    <x v="8"/>
    <x v="1"/>
    <m/>
  </r>
  <r>
    <x v="0"/>
    <x v="0"/>
    <x v="37"/>
    <x v="31"/>
    <x v="101"/>
    <s v="094290032-0000"/>
    <n v="0"/>
    <n v="0.65"/>
    <m/>
    <n v="0"/>
    <x v="103"/>
    <n v="31"/>
    <n v="2024"/>
    <n v="0"/>
    <x v="44"/>
    <n v="0"/>
    <m/>
    <s v="approved"/>
    <n v="42"/>
    <s v="no"/>
    <m/>
    <m/>
    <m/>
    <m/>
    <m/>
    <m/>
    <x v="0"/>
    <x v="81"/>
    <x v="104"/>
    <n v="5325142"/>
    <s v="AU.KB2045-B-0208-DRE"/>
    <n v="421"/>
    <n v="273.65000000000003"/>
    <m/>
    <m/>
    <s v="20240967-26.07.2024"/>
    <x v="0"/>
    <x v="8"/>
    <x v="1"/>
    <m/>
  </r>
  <r>
    <x v="0"/>
    <x v="0"/>
    <x v="37"/>
    <x v="31"/>
    <x v="101"/>
    <s v="094290032-0000"/>
    <n v="0"/>
    <n v="0.65"/>
    <m/>
    <n v="0"/>
    <x v="103"/>
    <n v="31"/>
    <n v="2024"/>
    <n v="0"/>
    <x v="44"/>
    <n v="0"/>
    <m/>
    <s v="approved"/>
    <n v="42"/>
    <s v="no"/>
    <m/>
    <m/>
    <m/>
    <m/>
    <m/>
    <m/>
    <x v="0"/>
    <x v="82"/>
    <x v="105"/>
    <n v="5325142"/>
    <s v="AU.KB2045-B-0208-DRE"/>
    <n v="540"/>
    <n v="351"/>
    <m/>
    <m/>
    <s v="20241008-06.08.2024"/>
    <x v="0"/>
    <x v="8"/>
    <x v="1"/>
    <m/>
  </r>
  <r>
    <x v="0"/>
    <x v="0"/>
    <x v="37"/>
    <x v="31"/>
    <x v="101"/>
    <s v="094290032-0000"/>
    <n v="0"/>
    <n v="0.65"/>
    <m/>
    <n v="0"/>
    <x v="103"/>
    <n v="31"/>
    <n v="2024"/>
    <n v="0"/>
    <x v="44"/>
    <n v="0"/>
    <m/>
    <s v="approved"/>
    <n v="42"/>
    <s v="no"/>
    <m/>
    <m/>
    <m/>
    <m/>
    <m/>
    <m/>
    <x v="0"/>
    <x v="83"/>
    <x v="106"/>
    <n v="5325142"/>
    <s v="AU.KB2045-B-0208-DRE"/>
    <n v="76"/>
    <n v="49.4"/>
    <m/>
    <m/>
    <s v="20240974-02.08.2024"/>
    <x v="0"/>
    <x v="8"/>
    <x v="1"/>
    <m/>
  </r>
  <r>
    <x v="0"/>
    <x v="0"/>
    <x v="37"/>
    <x v="31"/>
    <x v="101"/>
    <s v="094290032-0000"/>
    <n v="0"/>
    <n v="0.65"/>
    <n v="2000"/>
    <n v="1300"/>
    <x v="104"/>
    <n v="32"/>
    <n v="2024"/>
    <n v="0"/>
    <x v="44"/>
    <n v="0"/>
    <m/>
    <s v="approved"/>
    <n v="42"/>
    <s v="no"/>
    <m/>
    <m/>
    <m/>
    <m/>
    <m/>
    <m/>
    <x v="0"/>
    <x v="83"/>
    <x v="106"/>
    <n v="5325142"/>
    <s v="AU.KB2045-B-0208-DRE"/>
    <n v="240"/>
    <n v="156"/>
    <m/>
    <m/>
    <s v="20240974-02.08.2024"/>
    <x v="0"/>
    <x v="9"/>
    <x v="1"/>
    <m/>
  </r>
  <r>
    <x v="0"/>
    <x v="0"/>
    <x v="37"/>
    <x v="31"/>
    <x v="101"/>
    <s v="094290032-0000"/>
    <n v="0"/>
    <n v="0.65"/>
    <n v="0"/>
    <n v="0"/>
    <x v="104"/>
    <n v="32"/>
    <n v="2024"/>
    <n v="0"/>
    <x v="44"/>
    <n v="0"/>
    <m/>
    <s v="approved"/>
    <n v="42"/>
    <s v="no"/>
    <m/>
    <m/>
    <m/>
    <m/>
    <m/>
    <m/>
    <x v="0"/>
    <x v="10"/>
    <x v="107"/>
    <n v="5325142"/>
    <s v="AU.KB2045-B-0208-DRE"/>
    <n v="540"/>
    <n v="351"/>
    <m/>
    <m/>
    <s v="20240977-02.08.2024"/>
    <x v="0"/>
    <x v="9"/>
    <x v="1"/>
    <m/>
  </r>
  <r>
    <x v="0"/>
    <x v="0"/>
    <x v="37"/>
    <x v="31"/>
    <x v="101"/>
    <s v="094290032-0000"/>
    <n v="0"/>
    <n v="0.65"/>
    <n v="0"/>
    <n v="0"/>
    <x v="104"/>
    <n v="32"/>
    <n v="2024"/>
    <n v="0"/>
    <x v="44"/>
    <n v="0"/>
    <m/>
    <s v="approved"/>
    <n v="42"/>
    <s v="no"/>
    <m/>
    <m/>
    <m/>
    <m/>
    <m/>
    <m/>
    <x v="0"/>
    <x v="84"/>
    <x v="108"/>
    <n v="5325142"/>
    <s v="AU.KB2045-B-0208-DRE"/>
    <n v="85"/>
    <n v="55.25"/>
    <m/>
    <m/>
    <s v="20241019-06.08.2024"/>
    <x v="0"/>
    <x v="9"/>
    <x v="1"/>
    <m/>
  </r>
  <r>
    <x v="0"/>
    <x v="0"/>
    <x v="37"/>
    <x v="31"/>
    <x v="101"/>
    <s v="094290032-0000"/>
    <n v="0"/>
    <n v="0.65"/>
    <n v="0"/>
    <n v="0"/>
    <x v="104"/>
    <n v="32"/>
    <n v="2024"/>
    <n v="0"/>
    <x v="44"/>
    <n v="0"/>
    <m/>
    <s v="approved"/>
    <n v="42"/>
    <s v="no"/>
    <m/>
    <m/>
    <m/>
    <m/>
    <m/>
    <m/>
    <x v="0"/>
    <x v="85"/>
    <x v="109"/>
    <n v="5325142"/>
    <s v="AU.KB2045-B-0208-DRE"/>
    <n v="188"/>
    <n v="122.2"/>
    <m/>
    <m/>
    <s v="20241027-08.08.2024"/>
    <x v="0"/>
    <x v="9"/>
    <x v="1"/>
    <m/>
  </r>
  <r>
    <x v="0"/>
    <x v="0"/>
    <x v="37"/>
    <x v="31"/>
    <x v="101"/>
    <s v="094290032-0000"/>
    <n v="0"/>
    <n v="0.65"/>
    <n v="0"/>
    <n v="0"/>
    <x v="104"/>
    <n v="32"/>
    <n v="2024"/>
    <n v="0"/>
    <x v="44"/>
    <n v="0"/>
    <m/>
    <s v="approved"/>
    <n v="42"/>
    <s v="no"/>
    <m/>
    <m/>
    <m/>
    <m/>
    <m/>
    <m/>
    <x v="0"/>
    <x v="86"/>
    <x v="110"/>
    <n v="5325142"/>
    <s v="AU.KB2045-B-0208-DRE"/>
    <n v="350"/>
    <n v="227.5"/>
    <m/>
    <m/>
    <s v="20241039-09.08.2024"/>
    <x v="1"/>
    <x v="9"/>
    <x v="1"/>
    <m/>
  </r>
  <r>
    <x v="0"/>
    <x v="0"/>
    <x v="37"/>
    <x v="31"/>
    <x v="101"/>
    <s v="094290032-0000"/>
    <n v="0"/>
    <n v="0.65"/>
    <n v="0"/>
    <n v="0"/>
    <x v="104"/>
    <n v="32"/>
    <n v="2024"/>
    <n v="0"/>
    <x v="44"/>
    <n v="0"/>
    <m/>
    <s v="approved"/>
    <n v="42"/>
    <s v="no"/>
    <m/>
    <m/>
    <m/>
    <m/>
    <m/>
    <m/>
    <x v="0"/>
    <x v="87"/>
    <x v="111"/>
    <n v="5325142"/>
    <s v="AU.KB2045-B-0208-DRE"/>
    <n v="597"/>
    <n v="388.05"/>
    <m/>
    <m/>
    <s v="20241080-19.08.2024"/>
    <x v="1"/>
    <x v="9"/>
    <x v="1"/>
    <m/>
  </r>
  <r>
    <x v="0"/>
    <x v="0"/>
    <x v="37"/>
    <x v="31"/>
    <x v="101"/>
    <s v="094290032-0000"/>
    <n v="0"/>
    <n v="0.65"/>
    <n v="1500"/>
    <n v="975"/>
    <x v="105"/>
    <n v="33"/>
    <n v="2024"/>
    <n v="0"/>
    <x v="44"/>
    <n v="0"/>
    <m/>
    <s v="approved"/>
    <n v="42"/>
    <s v="no"/>
    <m/>
    <m/>
    <m/>
    <m/>
    <m/>
    <m/>
    <x v="0"/>
    <x v="87"/>
    <x v="111"/>
    <n v="5325142"/>
    <s v="AU.KB2045-B-0208-DRE"/>
    <n v="1500"/>
    <n v="975"/>
    <m/>
    <m/>
    <s v="20241080-19.08.2024"/>
    <x v="1"/>
    <x v="9"/>
    <x v="1"/>
    <m/>
  </r>
  <r>
    <x v="0"/>
    <x v="0"/>
    <x v="37"/>
    <x v="32"/>
    <x v="101"/>
    <s v="094290032-0000"/>
    <n v="0"/>
    <n v="0.65"/>
    <n v="1000"/>
    <n v="650"/>
    <x v="106"/>
    <n v="37"/>
    <n v="2024"/>
    <n v="0"/>
    <x v="44"/>
    <n v="0"/>
    <m/>
    <s v="approved"/>
    <n v="42"/>
    <s v="no"/>
    <m/>
    <m/>
    <m/>
    <m/>
    <m/>
    <m/>
    <x v="0"/>
    <x v="87"/>
    <x v="111"/>
    <n v="5325142"/>
    <s v="AU.KB2045-B-0208-DRE"/>
    <n v="243"/>
    <n v="157.95000000000002"/>
    <m/>
    <m/>
    <s v="20241080-19.08.2024"/>
    <x v="0"/>
    <x v="10"/>
    <x v="1"/>
    <m/>
  </r>
  <r>
    <x v="0"/>
    <x v="0"/>
    <x v="37"/>
    <x v="32"/>
    <x v="101"/>
    <s v="094290032-0000"/>
    <n v="0"/>
    <n v="0.65"/>
    <n v="0"/>
    <n v="0"/>
    <x v="106"/>
    <n v="37"/>
    <n v="2024"/>
    <n v="0"/>
    <x v="44"/>
    <n v="0"/>
    <m/>
    <s v="approved"/>
    <n v="42"/>
    <s v="no"/>
    <m/>
    <m/>
    <m/>
    <m/>
    <m/>
    <m/>
    <x v="0"/>
    <x v="39"/>
    <x v="112"/>
    <n v="5325142"/>
    <s v="AU.KB2045-B-0208-DRE"/>
    <n v="757"/>
    <n v="492.05"/>
    <m/>
    <m/>
    <s v="20241136-03.09.2024"/>
    <x v="0"/>
    <x v="10"/>
    <x v="1"/>
    <m/>
  </r>
  <r>
    <x v="0"/>
    <x v="0"/>
    <x v="37"/>
    <x v="31"/>
    <x v="101"/>
    <s v="094290032-0000"/>
    <n v="0"/>
    <n v="0.65"/>
    <n v="1200"/>
    <n v="780"/>
    <x v="107"/>
    <n v="40"/>
    <n v="2024"/>
    <n v="0"/>
    <x v="44"/>
    <n v="0"/>
    <m/>
    <s v="approved"/>
    <n v="42"/>
    <s v="no"/>
    <m/>
    <m/>
    <m/>
    <m/>
    <m/>
    <m/>
    <x v="0"/>
    <x v="88"/>
    <x v="113"/>
    <n v="5325142"/>
    <s v="AU.KB2045-B-0208-DRE"/>
    <n v="1200"/>
    <n v="780"/>
    <m/>
    <m/>
    <s v="20241241-30.09.2024"/>
    <x v="0"/>
    <x v="11"/>
    <x v="1"/>
    <m/>
  </r>
  <r>
    <x v="0"/>
    <x v="0"/>
    <x v="37"/>
    <x v="31"/>
    <x v="101"/>
    <s v="094290032-0000"/>
    <n v="0"/>
    <n v="0.65"/>
    <n v="1000"/>
    <n v="650"/>
    <x v="108"/>
    <n v="41"/>
    <n v="2024"/>
    <n v="0"/>
    <x v="44"/>
    <n v="0"/>
    <m/>
    <s v="approved"/>
    <n v="42"/>
    <s v="no"/>
    <m/>
    <m/>
    <m/>
    <m/>
    <m/>
    <m/>
    <x v="0"/>
    <x v="88"/>
    <x v="113"/>
    <n v="5325142"/>
    <s v="AU.KB2045-B-0208-DRE"/>
    <n v="1000"/>
    <n v="650"/>
    <m/>
    <m/>
    <s v="20241241-30.09.2024"/>
    <x v="0"/>
    <x v="11"/>
    <x v="1"/>
    <m/>
  </r>
  <r>
    <x v="0"/>
    <x v="0"/>
    <x v="37"/>
    <x v="31"/>
    <x v="101"/>
    <s v="094290032-0000"/>
    <n v="0"/>
    <n v="0.65"/>
    <n v="1000"/>
    <n v="650"/>
    <x v="109"/>
    <n v="45"/>
    <n v="2024"/>
    <n v="0"/>
    <x v="44"/>
    <n v="0"/>
    <m/>
    <s v="approved"/>
    <n v="42"/>
    <s v="no"/>
    <m/>
    <m/>
    <m/>
    <m/>
    <m/>
    <m/>
    <x v="0"/>
    <x v="89"/>
    <x v="114"/>
    <n v="5325142"/>
    <s v="AU.KB2045-B-0208-DRE"/>
    <n v="1000"/>
    <n v="650"/>
    <m/>
    <m/>
    <s v="20241400-05.11.2024"/>
    <x v="0"/>
    <x v="4"/>
    <x v="1"/>
    <m/>
  </r>
  <r>
    <x v="0"/>
    <x v="0"/>
    <x v="37"/>
    <x v="31"/>
    <x v="101"/>
    <s v="094290032-0000"/>
    <n v="0"/>
    <n v="0.65"/>
    <n v="2000"/>
    <n v="1300"/>
    <x v="109"/>
    <n v="45"/>
    <n v="2024"/>
    <n v="0"/>
    <x v="44"/>
    <n v="0"/>
    <m/>
    <s v="approved"/>
    <n v="42"/>
    <s v="no"/>
    <m/>
    <m/>
    <m/>
    <m/>
    <m/>
    <m/>
    <x v="0"/>
    <x v="89"/>
    <x v="114"/>
    <n v="5325142"/>
    <s v="AU.KB2045-B-0208-DRE"/>
    <n v="2000"/>
    <n v="1300"/>
    <m/>
    <m/>
    <s v="20241400-05.11.2024"/>
    <x v="0"/>
    <x v="4"/>
    <x v="1"/>
    <m/>
  </r>
  <r>
    <x v="0"/>
    <x v="0"/>
    <x v="37"/>
    <x v="31"/>
    <x v="101"/>
    <s v="094290032-0000"/>
    <n v="0"/>
    <n v="0.65"/>
    <n v="1098"/>
    <n v="713.7"/>
    <x v="110"/>
    <n v="49"/>
    <n v="2024"/>
    <n v="0"/>
    <x v="44"/>
    <n v="0"/>
    <m/>
    <s v="approved"/>
    <n v="42"/>
    <s v="no"/>
    <m/>
    <m/>
    <m/>
    <m/>
    <m/>
    <m/>
    <x v="0"/>
    <x v="90"/>
    <x v="115"/>
    <n v="5325142"/>
    <s v="AU.KB2045-B-0208-DRE"/>
    <n v="1098"/>
    <n v="713.7"/>
    <m/>
    <m/>
    <s v="20241501-03.12.2024"/>
    <x v="0"/>
    <x v="3"/>
    <x v="1"/>
    <m/>
  </r>
  <r>
    <x v="0"/>
    <x v="0"/>
    <x v="38"/>
    <x v="33"/>
    <x v="101"/>
    <s v="094290032-0000"/>
    <n v="0"/>
    <n v="0.65"/>
    <n v="1"/>
    <n v="0.65"/>
    <x v="111"/>
    <n v="14"/>
    <n v="2025"/>
    <n v="0"/>
    <x v="44"/>
    <n v="0"/>
    <s v=" "/>
    <s v="approved"/>
    <n v="42"/>
    <s v="no"/>
    <m/>
    <m/>
    <m/>
    <m/>
    <m/>
    <m/>
    <x v="0"/>
    <x v="30"/>
    <x v="116"/>
    <n v="38651075"/>
    <s v="AU.KB2045-B-0208-DRE"/>
    <n v="1"/>
    <n v="0.65"/>
    <m/>
    <s v="PPAP - mat furnizor diferit -&gt; stornare 4 buc din 5"/>
    <s v="20250473-08.04.2025 // 20250556-29.04.2025"/>
    <x v="1"/>
    <x v="1"/>
    <x v="0"/>
    <m/>
  </r>
  <r>
    <x v="0"/>
    <x v="0"/>
    <x v="38"/>
    <x v="33"/>
    <x v="101"/>
    <s v="094290032-0000"/>
    <n v="0"/>
    <n v="0.65"/>
    <n v="4"/>
    <n v="2.6"/>
    <x v="111"/>
    <n v="14"/>
    <n v="2025"/>
    <n v="0"/>
    <x v="44"/>
    <n v="0"/>
    <m/>
    <s v="approved"/>
    <n v="8.3333333333333329E-2"/>
    <m/>
    <m/>
    <m/>
    <m/>
    <m/>
    <m/>
    <m/>
    <x v="0"/>
    <x v="91"/>
    <x v="117"/>
    <n v="38651075"/>
    <s v="AU.KB2045-B-0208-DRE"/>
    <n v="4"/>
    <n v="2.6"/>
    <m/>
    <s v="PPAP  "/>
    <s v="20250591-08.05.2025"/>
    <x v="1"/>
    <x v="1"/>
    <x v="0"/>
    <m/>
  </r>
  <r>
    <x v="0"/>
    <x v="0"/>
    <x v="37"/>
    <x v="31"/>
    <x v="101"/>
    <s v="094290032-0000"/>
    <n v="0"/>
    <n v="0.65"/>
    <n v="130"/>
    <n v="84.5"/>
    <x v="112"/>
    <n v="14"/>
    <n v="2025"/>
    <n v="0"/>
    <x v="44"/>
    <n v="0"/>
    <m/>
    <s v="approved"/>
    <n v="42"/>
    <s v="no"/>
    <m/>
    <m/>
    <m/>
    <m/>
    <m/>
    <m/>
    <x v="0"/>
    <x v="92"/>
    <x v="118"/>
    <n v="5325142"/>
    <s v="AU.KB2045-B-0208-DRE"/>
    <n v="130"/>
    <n v="84.5"/>
    <m/>
    <m/>
    <s v="20250474-08.04.2025"/>
    <x v="1"/>
    <x v="1"/>
    <x v="0"/>
    <m/>
  </r>
  <r>
    <x v="0"/>
    <x v="0"/>
    <x v="37"/>
    <x v="31"/>
    <x v="101"/>
    <s v="094290032-0000"/>
    <n v="0"/>
    <n v="0.65"/>
    <n v="671"/>
    <n v="436.15000000000003"/>
    <x v="112"/>
    <n v="14"/>
    <n v="2025"/>
    <n v="0"/>
    <x v="44"/>
    <n v="0"/>
    <m/>
    <s v="approved"/>
    <n v="42"/>
    <s v="no"/>
    <m/>
    <m/>
    <m/>
    <m/>
    <m/>
    <m/>
    <x v="0"/>
    <x v="30"/>
    <x v="119"/>
    <n v="5325142"/>
    <s v="AU.KB2045-B-0208-DRE"/>
    <n v="671"/>
    <n v="436.15000000000003"/>
    <m/>
    <m/>
    <s v="20250475-08.04.2025"/>
    <x v="1"/>
    <x v="1"/>
    <x v="0"/>
    <m/>
  </r>
  <r>
    <x v="0"/>
    <x v="0"/>
    <x v="37"/>
    <x v="31"/>
    <x v="101"/>
    <s v="094290032-0000"/>
    <n v="0"/>
    <n v="0.65"/>
    <n v="220"/>
    <n v="143"/>
    <x v="112"/>
    <n v="14"/>
    <n v="2025"/>
    <n v="0"/>
    <x v="44"/>
    <n v="0"/>
    <m/>
    <s v="approved"/>
    <n v="42"/>
    <s v="no"/>
    <m/>
    <m/>
    <m/>
    <m/>
    <m/>
    <m/>
    <x v="0"/>
    <x v="93"/>
    <x v="120"/>
    <n v="5325142"/>
    <s v="AU.KB2045-B-0208-DRE"/>
    <n v="220"/>
    <n v="143"/>
    <m/>
    <m/>
    <s v="20250489-09.04.2025"/>
    <x v="1"/>
    <x v="1"/>
    <x v="0"/>
    <m/>
  </r>
  <r>
    <x v="0"/>
    <x v="0"/>
    <x v="37"/>
    <x v="31"/>
    <x v="101"/>
    <s v="094290032-0000"/>
    <n v="0"/>
    <n v="0.65"/>
    <n v="750"/>
    <n v="487.5"/>
    <x v="112"/>
    <n v="14"/>
    <n v="2025"/>
    <n v="0"/>
    <x v="44"/>
    <n v="0"/>
    <m/>
    <s v="approved"/>
    <n v="42"/>
    <s v="no"/>
    <m/>
    <m/>
    <m/>
    <m/>
    <m/>
    <m/>
    <x v="0"/>
    <x v="94"/>
    <x v="121"/>
    <n v="5325142"/>
    <s v="AU.KB2045-B-0208-DRE"/>
    <n v="750"/>
    <n v="487.5"/>
    <m/>
    <m/>
    <s v="20250494-10.04.2025"/>
    <x v="1"/>
    <x v="1"/>
    <x v="0"/>
    <m/>
  </r>
  <r>
    <x v="0"/>
    <x v="0"/>
    <x v="37"/>
    <x v="31"/>
    <x v="101"/>
    <s v="094290032-0000"/>
    <n v="0"/>
    <n v="0.65"/>
    <n v="1353"/>
    <n v="879.45"/>
    <x v="112"/>
    <n v="14"/>
    <n v="2025"/>
    <n v="0"/>
    <x v="44"/>
    <n v="0"/>
    <m/>
    <s v="approved"/>
    <n v="42"/>
    <s v="no"/>
    <m/>
    <m/>
    <m/>
    <m/>
    <m/>
    <m/>
    <x v="0"/>
    <x v="95"/>
    <x v="122"/>
    <n v="5325142"/>
    <s v="AU.KB2045-B-0208-DRE"/>
    <n v="1353"/>
    <n v="879.45"/>
    <m/>
    <m/>
    <s v="20250510-15.04.2025"/>
    <x v="1"/>
    <x v="1"/>
    <x v="0"/>
    <m/>
  </r>
  <r>
    <x v="0"/>
    <x v="0"/>
    <x v="37"/>
    <x v="31"/>
    <x v="101"/>
    <s v="094290032-0000"/>
    <n v="0"/>
    <n v="0.65"/>
    <n v="1572"/>
    <n v="1021.8000000000001"/>
    <x v="112"/>
    <n v="14"/>
    <n v="2025"/>
    <n v="0"/>
    <x v="44"/>
    <n v="0"/>
    <m/>
    <s v="approved"/>
    <n v="32.75"/>
    <m/>
    <m/>
    <m/>
    <m/>
    <m/>
    <m/>
    <m/>
    <x v="0"/>
    <x v="96"/>
    <x v="123"/>
    <n v="5325142"/>
    <s v="AU.KB2045-B-0208-DRE"/>
    <n v="1572"/>
    <n v="1021.8000000000001"/>
    <m/>
    <m/>
    <s v="20250522-22.04.2025"/>
    <x v="1"/>
    <x v="1"/>
    <x v="0"/>
    <m/>
  </r>
  <r>
    <x v="0"/>
    <x v="0"/>
    <x v="37"/>
    <x v="31"/>
    <x v="101"/>
    <s v="094290032-0000"/>
    <n v="0"/>
    <n v="0.65"/>
    <n v="290"/>
    <n v="188.5"/>
    <x v="112"/>
    <n v="14"/>
    <n v="2025"/>
    <n v="0"/>
    <x v="44"/>
    <n v="0"/>
    <m/>
    <s v="approved"/>
    <n v="6.041666666666667"/>
    <m/>
    <m/>
    <m/>
    <m/>
    <m/>
    <m/>
    <m/>
    <x v="0"/>
    <x v="97"/>
    <x v="124"/>
    <n v="5325142"/>
    <s v="AU.KB2045-B-0208-DRE"/>
    <n v="290"/>
    <n v="188.5"/>
    <m/>
    <m/>
    <s v="20250527-22.04.2025"/>
    <x v="1"/>
    <x v="1"/>
    <x v="0"/>
    <m/>
  </r>
  <r>
    <x v="0"/>
    <x v="0"/>
    <x v="37"/>
    <x v="31"/>
    <x v="101"/>
    <s v="094290032-0000"/>
    <n v="0"/>
    <n v="0.65"/>
    <n v="514"/>
    <n v="334.1"/>
    <x v="112"/>
    <n v="14"/>
    <n v="2025"/>
    <n v="0"/>
    <x v="44"/>
    <n v="0"/>
    <m/>
    <s v="approved"/>
    <n v="42"/>
    <s v="no"/>
    <m/>
    <m/>
    <m/>
    <m/>
    <m/>
    <m/>
    <x v="0"/>
    <x v="98"/>
    <x v="125"/>
    <n v="5325142"/>
    <s v="AU.KB2045-B-0208-DRE"/>
    <n v="514"/>
    <n v="334.1"/>
    <m/>
    <m/>
    <s v="20250542-24.04.2025"/>
    <x v="1"/>
    <x v="1"/>
    <x v="0"/>
    <m/>
  </r>
  <r>
    <x v="0"/>
    <x v="0"/>
    <x v="37"/>
    <x v="31"/>
    <x v="101"/>
    <s v="094290032-0000"/>
    <n v="0"/>
    <n v="0.65"/>
    <n v="3598"/>
    <n v="2338.7000000000003"/>
    <x v="113"/>
    <n v="19"/>
    <n v="2025"/>
    <n v="0"/>
    <x v="44"/>
    <n v="0"/>
    <m/>
    <m/>
    <n v="74.958333333333329"/>
    <m/>
    <m/>
    <m/>
    <m/>
    <m/>
    <m/>
    <m/>
    <x v="0"/>
    <x v="99"/>
    <x v="126"/>
    <n v="5325142"/>
    <s v="AU.KB2045-B-0208-DRE"/>
    <n v="3598"/>
    <n v="2338.7000000000003"/>
    <m/>
    <m/>
    <s v="20250583-06.05.2025"/>
    <x v="0"/>
    <x v="2"/>
    <x v="0"/>
    <m/>
  </r>
  <r>
    <x v="0"/>
    <x v="0"/>
    <x v="37"/>
    <x v="31"/>
    <x v="101"/>
    <s v="094290032-0000"/>
    <n v="0"/>
    <n v="0.65"/>
    <n v="902"/>
    <n v="586.30000000000007"/>
    <x v="114"/>
    <n v="20"/>
    <n v="2025"/>
    <n v="0"/>
    <x v="44"/>
    <n v="0"/>
    <s v=" "/>
    <s v="approved"/>
    <n v="42"/>
    <s v="no"/>
    <m/>
    <m/>
    <m/>
    <m/>
    <m/>
    <m/>
    <x v="0"/>
    <x v="91"/>
    <x v="127"/>
    <n v="5325142"/>
    <s v="AU.KB2045-B-0208-DRE"/>
    <n v="902"/>
    <n v="586.30000000000007"/>
    <m/>
    <m/>
    <s v="20250590-08.05.2025"/>
    <x v="0"/>
    <x v="2"/>
    <x v="0"/>
    <m/>
  </r>
  <r>
    <x v="0"/>
    <x v="0"/>
    <x v="37"/>
    <x v="31"/>
    <x v="101"/>
    <s v="094290032-0000"/>
    <n v="0"/>
    <n v="0.65"/>
    <n v="3960"/>
    <n v="2574"/>
    <x v="70"/>
    <n v="23"/>
    <n v="2025"/>
    <n v="0"/>
    <x v="44"/>
    <n v="0"/>
    <m/>
    <m/>
    <n v="82.5"/>
    <m/>
    <m/>
    <m/>
    <m/>
    <m/>
    <m/>
    <m/>
    <x v="0"/>
    <x v="12"/>
    <x v="128"/>
    <n v="5325142"/>
    <s v="AU.KB2045-B-0208-DRE"/>
    <n v="3960"/>
    <n v="2574"/>
    <m/>
    <m/>
    <s v="20250849-02.07.2025"/>
    <x v="1"/>
    <x v="0"/>
    <x v="0"/>
    <m/>
  </r>
  <r>
    <x v="0"/>
    <x v="0"/>
    <x v="37"/>
    <x v="31"/>
    <x v="101"/>
    <s v="094290032-0000"/>
    <n v="0"/>
    <n v="0.65"/>
    <n v="540"/>
    <n v="351"/>
    <x v="70"/>
    <n v="23"/>
    <n v="2025"/>
    <n v="0"/>
    <x v="44"/>
    <n v="0"/>
    <s v=" "/>
    <s v="approved"/>
    <n v="42"/>
    <s v="no"/>
    <m/>
    <m/>
    <m/>
    <m/>
    <m/>
    <m/>
    <x v="0"/>
    <x v="23"/>
    <x v="4"/>
    <s v=""/>
    <s v=""/>
    <n v="0"/>
    <n v="0"/>
    <m/>
    <m/>
    <m/>
    <x v="1"/>
    <x v="0"/>
    <x v="0"/>
    <m/>
  </r>
  <r>
    <x v="0"/>
    <x v="0"/>
    <x v="39"/>
    <x v="34"/>
    <x v="101"/>
    <s v="094290032-0000"/>
    <n v="0"/>
    <n v="0.65"/>
    <n v="5"/>
    <n v="3.25"/>
    <x v="115"/>
    <n v="27"/>
    <n v="2025"/>
    <n v="0"/>
    <x v="44"/>
    <n v="0"/>
    <s v=" "/>
    <s v="approved"/>
    <n v="42"/>
    <s v="no"/>
    <m/>
    <m/>
    <m/>
    <m/>
    <m/>
    <m/>
    <x v="0"/>
    <x v="100"/>
    <x v="129"/>
    <n v="39546715"/>
    <s v="AU.KB2045-B-0208-DRE"/>
    <n v="5"/>
    <n v="3.25"/>
    <m/>
    <m/>
    <s v="20250899-10.07.2025"/>
    <x v="1"/>
    <x v="8"/>
    <x v="0"/>
    <m/>
  </r>
  <r>
    <x v="0"/>
    <x v="0"/>
    <x v="40"/>
    <x v="35"/>
    <x v="101"/>
    <s v="094290032-0000"/>
    <n v="0"/>
    <n v="0.65"/>
    <n v="5"/>
    <n v="3.25"/>
    <x v="116"/>
    <n v="29"/>
    <n v="2025"/>
    <n v="0"/>
    <x v="44"/>
    <n v="0"/>
    <s v=" "/>
    <s v="approved"/>
    <n v="42"/>
    <s v="no"/>
    <m/>
    <m/>
    <m/>
    <m/>
    <m/>
    <m/>
    <x v="0"/>
    <x v="7"/>
    <x v="130"/>
    <n v="39717774"/>
    <s v="AU.KB2045-B-0208-DRE"/>
    <n v="5"/>
    <n v="3.25"/>
    <m/>
    <m/>
    <s v="20250968-21.07.2025"/>
    <x v="1"/>
    <x v="8"/>
    <x v="0"/>
    <m/>
  </r>
  <r>
    <x v="0"/>
    <x v="0"/>
    <x v="40"/>
    <x v="35"/>
    <x v="101"/>
    <s v="094290032-0000"/>
    <n v="0"/>
    <n v="0.65"/>
    <n v="5"/>
    <n v="3.25"/>
    <x v="116"/>
    <n v="29"/>
    <n v="2025"/>
    <n v="0"/>
    <x v="44"/>
    <n v="0"/>
    <s v=" "/>
    <s v="approved"/>
    <n v="42"/>
    <s v="no"/>
    <m/>
    <m/>
    <m/>
    <m/>
    <m/>
    <m/>
    <x v="0"/>
    <x v="101"/>
    <x v="131"/>
    <n v="39717774"/>
    <s v="AU.KB2045-B-0208-DRE"/>
    <n v="5"/>
    <n v="3.25"/>
    <m/>
    <m/>
    <s v="20251032-06.08.2025"/>
    <x v="1"/>
    <x v="8"/>
    <x v="0"/>
    <m/>
  </r>
  <r>
    <x v="0"/>
    <x v="0"/>
    <x v="37"/>
    <x v="31"/>
    <x v="101"/>
    <s v="094290032-0000"/>
    <n v="0"/>
    <n v="0.65"/>
    <n v="3500"/>
    <n v="2275"/>
    <x v="117"/>
    <n v="31"/>
    <n v="2025"/>
    <n v="0"/>
    <x v="44"/>
    <n v="0"/>
    <s v=" "/>
    <s v="approved"/>
    <n v="42"/>
    <s v="no"/>
    <m/>
    <m/>
    <m/>
    <m/>
    <m/>
    <m/>
    <x v="0"/>
    <x v="23"/>
    <x v="4"/>
    <s v=""/>
    <s v=""/>
    <n v="0"/>
    <n v="0"/>
    <m/>
    <m/>
    <m/>
    <x v="1"/>
    <x v="8"/>
    <x v="0"/>
    <m/>
  </r>
  <r>
    <x v="0"/>
    <x v="0"/>
    <x v="37"/>
    <x v="31"/>
    <x v="101"/>
    <s v="094290032-0000"/>
    <n v="0"/>
    <n v="0.65"/>
    <n v="3000"/>
    <n v="1950"/>
    <x v="118"/>
    <n v="32"/>
    <n v="2025"/>
    <n v="0"/>
    <x v="44"/>
    <n v="0"/>
    <s v=" "/>
    <s v="approved"/>
    <n v="42"/>
    <s v="no"/>
    <m/>
    <m/>
    <m/>
    <m/>
    <m/>
    <m/>
    <x v="0"/>
    <x v="23"/>
    <x v="4"/>
    <s v=""/>
    <s v=""/>
    <n v="0"/>
    <n v="0"/>
    <m/>
    <m/>
    <m/>
    <x v="0"/>
    <x v="9"/>
    <x v="0"/>
    <m/>
  </r>
  <r>
    <x v="0"/>
    <x v="0"/>
    <x v="37"/>
    <x v="31"/>
    <x v="101"/>
    <s v="094290032-0000"/>
    <n v="0"/>
    <n v="0.65"/>
    <n v="632"/>
    <n v="410.8"/>
    <x v="119"/>
    <n v="40"/>
    <n v="2025"/>
    <n v="0"/>
    <x v="44"/>
    <n v="0"/>
    <s v=" "/>
    <s v="approved"/>
    <n v="42"/>
    <s v="no"/>
    <m/>
    <m/>
    <m/>
    <m/>
    <m/>
    <m/>
    <x v="0"/>
    <x v="102"/>
    <x v="132"/>
    <n v="5325142"/>
    <s v="AU.KB2045-B-0208-DRE"/>
    <n v="632"/>
    <n v="410.8"/>
    <m/>
    <m/>
    <s v="20251110-25.08.2025"/>
    <x v="0"/>
    <x v="10"/>
    <x v="0"/>
    <m/>
  </r>
  <r>
    <x v="0"/>
    <x v="0"/>
    <x v="37"/>
    <x v="31"/>
    <x v="101"/>
    <s v="094290032-0000"/>
    <n v="0"/>
    <n v="0.65"/>
    <n v="470"/>
    <n v="305.5"/>
    <x v="119"/>
    <n v="40"/>
    <n v="2025"/>
    <n v="0"/>
    <x v="44"/>
    <n v="0"/>
    <s v=" "/>
    <s v="approved"/>
    <n v="42"/>
    <s v="no"/>
    <m/>
    <m/>
    <m/>
    <m/>
    <m/>
    <m/>
    <x v="0"/>
    <x v="103"/>
    <x v="133"/>
    <n v="5325142"/>
    <s v="AU.KB2045-B-0208-DRE"/>
    <n v="470"/>
    <n v="305.5"/>
    <m/>
    <m/>
    <s v="20251121-27.08.2025"/>
    <x v="0"/>
    <x v="10"/>
    <x v="0"/>
    <m/>
  </r>
  <r>
    <x v="0"/>
    <x v="0"/>
    <x v="37"/>
    <x v="31"/>
    <x v="101"/>
    <s v="094290032-0000"/>
    <n v="0"/>
    <n v="0.65"/>
    <n v="150"/>
    <n v="97.5"/>
    <x v="119"/>
    <n v="40"/>
    <n v="2025"/>
    <n v="0"/>
    <x v="44"/>
    <n v="0"/>
    <s v=" "/>
    <s v="approved"/>
    <n v="42"/>
    <s v="no"/>
    <m/>
    <m/>
    <m/>
    <m/>
    <m/>
    <m/>
    <x v="0"/>
    <x v="104"/>
    <x v="134"/>
    <n v="5325142"/>
    <s v="AU.KB2045-B-0208-DRE"/>
    <n v="150"/>
    <n v="97.5"/>
    <m/>
    <m/>
    <s v="20251122-28.08.2025"/>
    <x v="0"/>
    <x v="10"/>
    <x v="0"/>
    <m/>
  </r>
  <r>
    <x v="0"/>
    <x v="1"/>
    <x v="37"/>
    <x v="31"/>
    <x v="101"/>
    <s v="094290032-0000"/>
    <n v="0"/>
    <n v="0.65"/>
    <n v="129"/>
    <n v="83.850000000000009"/>
    <x v="119"/>
    <n v="40"/>
    <n v="2025"/>
    <n v="0"/>
    <x v="44"/>
    <n v="0"/>
    <s v=" "/>
    <s v="approved"/>
    <n v="42"/>
    <s v="no"/>
    <m/>
    <m/>
    <m/>
    <m/>
    <m/>
    <m/>
    <x v="0"/>
    <x v="105"/>
    <x v="135"/>
    <n v="5325142"/>
    <s v="AU.KB2045-B-0208-DRE"/>
    <n v="129"/>
    <n v="83.850000000000009"/>
    <m/>
    <m/>
    <s v="20251148-03.09.2025"/>
    <x v="0"/>
    <x v="10"/>
    <x v="0"/>
    <m/>
  </r>
  <r>
    <x v="0"/>
    <x v="1"/>
    <x v="37"/>
    <x v="31"/>
    <x v="101"/>
    <s v="094290032-0000"/>
    <n v="0"/>
    <n v="0.65"/>
    <n v="1080"/>
    <n v="702"/>
    <x v="119"/>
    <n v="40"/>
    <n v="2025"/>
    <n v="0"/>
    <x v="44"/>
    <n v="0"/>
    <s v=" "/>
    <s v="approved"/>
    <n v="42"/>
    <s v="no"/>
    <m/>
    <m/>
    <m/>
    <m/>
    <m/>
    <m/>
    <x v="0"/>
    <x v="50"/>
    <x v="136"/>
    <n v="5325142"/>
    <s v="AU.KB2045-B-0208-DRE"/>
    <n v="1080"/>
    <n v="702"/>
    <m/>
    <s v="20251190-16.09.2025"/>
    <m/>
    <x v="0"/>
    <x v="10"/>
    <x v="0"/>
    <m/>
  </r>
  <r>
    <x v="0"/>
    <x v="1"/>
    <x v="37"/>
    <x v="31"/>
    <x v="101"/>
    <s v="094290032-0000"/>
    <n v="0"/>
    <n v="0.65"/>
    <n v="1080"/>
    <n v="702"/>
    <x v="119"/>
    <n v="40"/>
    <n v="2025"/>
    <n v="0"/>
    <x v="44"/>
    <n v="0"/>
    <s v=" "/>
    <s v="approved"/>
    <n v="42"/>
    <s v="no"/>
    <m/>
    <m/>
    <m/>
    <m/>
    <m/>
    <m/>
    <x v="0"/>
    <x v="106"/>
    <x v="137"/>
    <n v="5325142"/>
    <s v="AU.KB2045-B-0208-DRE"/>
    <n v="1080"/>
    <n v="702"/>
    <m/>
    <s v="20251189-17.09.2025"/>
    <m/>
    <x v="0"/>
    <x v="10"/>
    <x v="0"/>
    <m/>
  </r>
  <r>
    <x v="0"/>
    <x v="1"/>
    <x v="37"/>
    <x v="31"/>
    <x v="101"/>
    <s v="094290032-0000"/>
    <n v="0"/>
    <n v="0.65"/>
    <n v="300"/>
    <n v="195"/>
    <x v="119"/>
    <n v="40"/>
    <n v="2025"/>
    <n v="0"/>
    <x v="44"/>
    <n v="0"/>
    <s v=" "/>
    <s v="approved"/>
    <n v="6.25"/>
    <m/>
    <m/>
    <m/>
    <m/>
    <m/>
    <m/>
    <m/>
    <x v="0"/>
    <x v="107"/>
    <x v="138"/>
    <n v="5325142"/>
    <s v="AU.KB2045-B-0208-DRE"/>
    <n v="300"/>
    <n v="195"/>
    <m/>
    <m/>
    <s v="20251193-18.09.2025"/>
    <x v="0"/>
    <x v="10"/>
    <x v="0"/>
    <m/>
  </r>
  <r>
    <x v="0"/>
    <x v="1"/>
    <x v="37"/>
    <x v="31"/>
    <x v="101"/>
    <s v="094290032-0000"/>
    <n v="0"/>
    <n v="0.65"/>
    <n v="598"/>
    <n v="388.7"/>
    <x v="119"/>
    <n v="40"/>
    <n v="2025"/>
    <n v="0"/>
    <x v="44"/>
    <n v="0"/>
    <s v=" "/>
    <s v="approved"/>
    <n v="12.458333333333334"/>
    <m/>
    <m/>
    <m/>
    <m/>
    <m/>
    <m/>
    <m/>
    <x v="0"/>
    <x v="108"/>
    <x v="139"/>
    <n v="5325142"/>
    <s v="AU.KB2045-B-0208-DRE"/>
    <n v="598"/>
    <n v="388.7"/>
    <m/>
    <m/>
    <s v="20251195-19.09.2025"/>
    <x v="0"/>
    <x v="10"/>
    <x v="0"/>
    <m/>
  </r>
  <r>
    <x v="0"/>
    <x v="1"/>
    <x v="37"/>
    <x v="31"/>
    <x v="101"/>
    <s v="094290032-0000"/>
    <n v="0"/>
    <n v="0.65"/>
    <n v="1805"/>
    <n v="4004.65"/>
    <x v="119"/>
    <n v="40"/>
    <n v="2025"/>
    <n v="0"/>
    <x v="44"/>
    <n v="0"/>
    <s v=" "/>
    <s v="approved"/>
    <s v="No"/>
    <m/>
    <m/>
    <s v=""/>
    <s v=""/>
    <m/>
    <n v="0"/>
    <m/>
    <x v="0"/>
    <x v="109"/>
    <x v="140"/>
    <n v="5325142"/>
    <s v="AU.KB2045-B-0208-DRE"/>
    <n v="1805"/>
    <n v="1173.25"/>
    <m/>
    <m/>
    <s v="20251219-24.09.2025"/>
    <x v="0"/>
    <x v="10"/>
    <x v="0"/>
    <m/>
  </r>
  <r>
    <x v="0"/>
    <x v="1"/>
    <x v="37"/>
    <x v="31"/>
    <x v="101"/>
    <s v="094290032-0000"/>
    <n v="0"/>
    <n v="0.65"/>
    <n v="720"/>
    <n v="2441.4"/>
    <x v="119"/>
    <n v="40"/>
    <n v="2025"/>
    <n v="0"/>
    <x v="44"/>
    <n v="0"/>
    <s v=" "/>
    <s v="approved"/>
    <s v="No"/>
    <m/>
    <m/>
    <s v=""/>
    <s v=""/>
    <m/>
    <n v="0"/>
    <m/>
    <x v="0"/>
    <x v="110"/>
    <x v="141"/>
    <n v="5325142"/>
    <s v="AU.KB2045-B-0208-DRE"/>
    <n v="720"/>
    <n v="468"/>
    <m/>
    <m/>
    <s v="20251227-25.09.2025"/>
    <x v="0"/>
    <x v="10"/>
    <x v="0"/>
    <m/>
  </r>
  <r>
    <x v="0"/>
    <x v="1"/>
    <x v="37"/>
    <x v="31"/>
    <x v="101"/>
    <s v="094290032-0000"/>
    <n v="0"/>
    <n v="0.65"/>
    <n v="395"/>
    <n v="256.75"/>
    <x v="119"/>
    <n v="40"/>
    <n v="2025"/>
    <n v="0"/>
    <x v="44"/>
    <n v="0"/>
    <s v=" "/>
    <s v="approved"/>
    <n v="8.2291666666666661"/>
    <m/>
    <m/>
    <m/>
    <m/>
    <m/>
    <m/>
    <m/>
    <x v="0"/>
    <x v="111"/>
    <x v="142"/>
    <n v="5325142"/>
    <s v="AU.KB2045-B-0208-DRE"/>
    <n v="395"/>
    <n v="256.75"/>
    <m/>
    <m/>
    <s v="20251235-26.09.2025"/>
    <x v="0"/>
    <x v="10"/>
    <x v="0"/>
    <m/>
  </r>
  <r>
    <x v="0"/>
    <x v="1"/>
    <x v="37"/>
    <x v="31"/>
    <x v="101"/>
    <s v="094290032-0000"/>
    <n v="0"/>
    <n v="0.65"/>
    <n v="434"/>
    <n v="1773.2"/>
    <x v="119"/>
    <n v="40"/>
    <n v="2025"/>
    <n v="0"/>
    <x v="44"/>
    <n v="0"/>
    <s v=" "/>
    <s v="approved"/>
    <s v="No"/>
    <m/>
    <m/>
    <s v=""/>
    <s v=""/>
    <m/>
    <n v="0"/>
    <m/>
    <x v="0"/>
    <x v="112"/>
    <x v="143"/>
    <n v="5325142"/>
    <s v="AU.KB2045-B-0208-DRE"/>
    <n v="434"/>
    <n v="282.10000000000002"/>
    <m/>
    <m/>
    <s v="20251238-29.09.2025"/>
    <x v="3"/>
    <x v="10"/>
    <x v="0"/>
    <m/>
  </r>
  <r>
    <x v="0"/>
    <x v="1"/>
    <x v="37"/>
    <x v="31"/>
    <x v="101"/>
    <s v="094290032-0000"/>
    <n v="0"/>
    <n v="0.65"/>
    <n v="360"/>
    <n v="234"/>
    <x v="119"/>
    <n v="40"/>
    <n v="2025"/>
    <n v="0"/>
    <x v="44"/>
    <n v="0"/>
    <s v=" "/>
    <s v="approved"/>
    <n v="7.5"/>
    <m/>
    <m/>
    <m/>
    <m/>
    <m/>
    <m/>
    <m/>
    <x v="0"/>
    <x v="20"/>
    <x v="144"/>
    <n v="5325142"/>
    <s v="AU.KB2045-B-0208-DRE"/>
    <n v="360"/>
    <n v="234"/>
    <m/>
    <m/>
    <s v="20251241-30.09.2025"/>
    <x v="0"/>
    <x v="10"/>
    <x v="0"/>
    <m/>
  </r>
  <r>
    <x v="0"/>
    <x v="1"/>
    <x v="37"/>
    <x v="31"/>
    <x v="101"/>
    <s v="094290032-0000"/>
    <n v="0"/>
    <n v="0.65"/>
    <n v="360"/>
    <n v="234"/>
    <x v="119"/>
    <n v="40"/>
    <n v="2025"/>
    <n v="0"/>
    <x v="44"/>
    <n v="0"/>
    <s v=" "/>
    <s v="approved"/>
    <n v="7.5"/>
    <m/>
    <m/>
    <m/>
    <m/>
    <m/>
    <m/>
    <m/>
    <x v="0"/>
    <x v="20"/>
    <x v="145"/>
    <n v="5325142"/>
    <s v="AU.KB2045-B-0208-DRE"/>
    <n v="360"/>
    <n v="234"/>
    <m/>
    <m/>
    <s v="20251255-30.09.2025"/>
    <x v="0"/>
    <x v="10"/>
    <x v="0"/>
    <m/>
  </r>
  <r>
    <x v="0"/>
    <x v="1"/>
    <x v="37"/>
    <x v="31"/>
    <x v="101"/>
    <s v="094290032-0000"/>
    <n v="0"/>
    <n v="0.65"/>
    <n v="630"/>
    <n v="409.5"/>
    <x v="119"/>
    <n v="40"/>
    <n v="2025"/>
    <n v="0"/>
    <x v="44"/>
    <n v="0"/>
    <s v=" "/>
    <s v="approved"/>
    <n v="13.125"/>
    <m/>
    <m/>
    <m/>
    <m/>
    <m/>
    <m/>
    <m/>
    <x v="0"/>
    <x v="20"/>
    <x v="146"/>
    <n v="5325142"/>
    <s v="AU.KB2045-B-0208-DRE"/>
    <n v="630"/>
    <n v="409.5"/>
    <m/>
    <m/>
    <s v="20251260-30.09.2025"/>
    <x v="0"/>
    <x v="10"/>
    <x v="0"/>
    <m/>
  </r>
  <r>
    <x v="0"/>
    <x v="1"/>
    <x v="37"/>
    <x v="31"/>
    <x v="101"/>
    <s v="094290032-0000"/>
    <n v="0"/>
    <n v="0.65"/>
    <n v="331"/>
    <n v="215.15"/>
    <x v="119"/>
    <n v="40"/>
    <n v="2025"/>
    <n v="0"/>
    <x v="44"/>
    <n v="0"/>
    <s v=" "/>
    <s v="approved"/>
    <n v="6.895833333333333"/>
    <m/>
    <m/>
    <m/>
    <m/>
    <m/>
    <m/>
    <m/>
    <x v="0"/>
    <x v="20"/>
    <x v="147"/>
    <n v="5325142"/>
    <s v="AU.KB2045-B-0208-DRE"/>
    <n v="331"/>
    <n v="215.15"/>
    <m/>
    <m/>
    <s v="20251269-30.09.2025"/>
    <x v="0"/>
    <x v="10"/>
    <x v="0"/>
    <m/>
  </r>
  <r>
    <x v="0"/>
    <x v="1"/>
    <x v="37"/>
    <x v="31"/>
    <x v="101"/>
    <s v="094290032-0000"/>
    <n v="0"/>
    <n v="0.65"/>
    <n v="353"/>
    <n v="229.45000000000002"/>
    <x v="119"/>
    <n v="40"/>
    <n v="2025"/>
    <n v="0"/>
    <x v="44"/>
    <n v="0"/>
    <s v=" "/>
    <s v="approved"/>
    <n v="7.354166666666667"/>
    <m/>
    <m/>
    <m/>
    <m/>
    <m/>
    <m/>
    <m/>
    <x v="0"/>
    <x v="113"/>
    <x v="148"/>
    <n v="5325142"/>
    <s v="AU.KB2045-B-0208-DRE"/>
    <n v="353"/>
    <n v="229.45000000000002"/>
    <m/>
    <m/>
    <s v="20251288-07.10.2025"/>
    <x v="1"/>
    <x v="10"/>
    <x v="0"/>
    <m/>
  </r>
  <r>
    <x v="0"/>
    <x v="1"/>
    <x v="37"/>
    <x v="31"/>
    <x v="101"/>
    <s v="094290032-0000"/>
    <n v="0"/>
    <n v="0.65"/>
    <n v="260"/>
    <n v="169"/>
    <x v="119"/>
    <n v="40"/>
    <n v="2025"/>
    <n v="0"/>
    <x v="44"/>
    <n v="0"/>
    <s v=" "/>
    <s v="approved"/>
    <n v="42"/>
    <s v="no"/>
    <m/>
    <m/>
    <m/>
    <m/>
    <m/>
    <m/>
    <x v="0"/>
    <x v="114"/>
    <x v="149"/>
    <n v="5325142"/>
    <s v="AU.KB2045-B-0208-DRE"/>
    <n v="260"/>
    <n v="169"/>
    <m/>
    <m/>
    <s v="20251296-09.10.2025"/>
    <x v="1"/>
    <x v="10"/>
    <x v="0"/>
    <m/>
  </r>
  <r>
    <x v="0"/>
    <x v="1"/>
    <x v="37"/>
    <x v="31"/>
    <x v="101"/>
    <s v="094290032-0000"/>
    <n v="0"/>
    <n v="0.65"/>
    <n v="460"/>
    <n v="299"/>
    <x v="120"/>
    <n v="44"/>
    <n v="2025"/>
    <n v="0"/>
    <x v="44"/>
    <n v="0"/>
    <s v=" "/>
    <s v="approved"/>
    <n v="9.5833333333333339"/>
    <m/>
    <m/>
    <m/>
    <m/>
    <m/>
    <m/>
    <m/>
    <x v="0"/>
    <x v="114"/>
    <x v="149"/>
    <n v="5325142"/>
    <s v="AU.KB2045-B-0208-DRE"/>
    <n v="460"/>
    <n v="299"/>
    <m/>
    <m/>
    <s v="20251296-09.10.2025"/>
    <x v="0"/>
    <x v="11"/>
    <x v="0"/>
    <m/>
  </r>
  <r>
    <x v="0"/>
    <x v="1"/>
    <x v="37"/>
    <x v="31"/>
    <x v="101"/>
    <s v="094290032-0000"/>
    <n v="0"/>
    <n v="0.65"/>
    <n v="1475"/>
    <n v="958.75"/>
    <x v="120"/>
    <n v="44"/>
    <n v="2025"/>
    <n v="0"/>
    <x v="44"/>
    <n v="0"/>
    <s v=" "/>
    <s v="approved"/>
    <n v="30.729166666666668"/>
    <m/>
    <m/>
    <m/>
    <m/>
    <m/>
    <m/>
    <m/>
    <x v="0"/>
    <x v="115"/>
    <x v="150"/>
    <n v="5325142"/>
    <s v="AU.KB2045-B-0208-DRE"/>
    <n v="1475"/>
    <n v="958.75"/>
    <m/>
    <m/>
    <s v="20251302-14.10.2025"/>
    <x v="0"/>
    <x v="11"/>
    <x v="0"/>
    <m/>
  </r>
  <r>
    <x v="0"/>
    <x v="1"/>
    <x v="37"/>
    <x v="31"/>
    <x v="101"/>
    <s v="094290032-0000"/>
    <n v="0"/>
    <n v="0.65"/>
    <n v="517"/>
    <n v="336.05"/>
    <x v="120"/>
    <n v="44"/>
    <n v="2025"/>
    <n v="0"/>
    <x v="44"/>
    <n v="0"/>
    <s v=" "/>
    <s v="approved"/>
    <n v="10.770833333333334"/>
    <m/>
    <m/>
    <m/>
    <m/>
    <m/>
    <m/>
    <m/>
    <x v="0"/>
    <x v="31"/>
    <x v="151"/>
    <n v="5325142"/>
    <s v="AU.KB2045-B-0208-DRE"/>
    <n v="517"/>
    <n v="336.05"/>
    <m/>
    <m/>
    <s v="20251316-16.10.2025"/>
    <x v="0"/>
    <x v="11"/>
    <x v="0"/>
    <m/>
  </r>
  <r>
    <x v="0"/>
    <x v="1"/>
    <x v="37"/>
    <x v="31"/>
    <x v="101"/>
    <s v="094290032-0000"/>
    <n v="0"/>
    <n v="0.65"/>
    <n v="336"/>
    <n v="218.4"/>
    <x v="120"/>
    <n v="44"/>
    <n v="2025"/>
    <n v="0"/>
    <x v="44"/>
    <n v="0"/>
    <s v=" "/>
    <s v="approved"/>
    <n v="7"/>
    <m/>
    <m/>
    <m/>
    <m/>
    <m/>
    <m/>
    <m/>
    <x v="0"/>
    <x v="116"/>
    <x v="152"/>
    <n v="5325142"/>
    <s v="AU.KB2045-B-0208-DRE"/>
    <n v="336"/>
    <n v="218.4"/>
    <m/>
    <m/>
    <s v="20251319-17.10.2025"/>
    <x v="0"/>
    <x v="11"/>
    <x v="0"/>
    <m/>
  </r>
  <r>
    <x v="0"/>
    <x v="1"/>
    <x v="37"/>
    <x v="31"/>
    <x v="101"/>
    <s v="094290032-0000"/>
    <n v="0"/>
    <n v="0.65"/>
    <n v="784"/>
    <n v="509.6"/>
    <x v="120"/>
    <n v="44"/>
    <n v="2025"/>
    <n v="0"/>
    <x v="44"/>
    <n v="0"/>
    <s v=" "/>
    <s v="approved"/>
    <n v="16.333333333333332"/>
    <m/>
    <m/>
    <m/>
    <m/>
    <m/>
    <m/>
    <m/>
    <x v="0"/>
    <x v="117"/>
    <x v="153"/>
    <n v="5325142"/>
    <s v="AU.KB2045-B-0208-DRE"/>
    <n v="784"/>
    <n v="509.6"/>
    <m/>
    <m/>
    <s v="20251337-22.10.2025"/>
    <x v="0"/>
    <x v="11"/>
    <x v="0"/>
    <m/>
  </r>
  <r>
    <x v="0"/>
    <x v="1"/>
    <x v="37"/>
    <x v="31"/>
    <x v="101"/>
    <s v="094290032-0000"/>
    <n v="0"/>
    <n v="0.65"/>
    <n v="1409"/>
    <n v="915.85"/>
    <x v="121"/>
    <n v="49"/>
    <n v="2025"/>
    <n v="0"/>
    <x v="44"/>
    <n v="0"/>
    <s v=" "/>
    <s v="approved"/>
    <n v="29.354166666666668"/>
    <m/>
    <m/>
    <m/>
    <m/>
    <m/>
    <m/>
    <m/>
    <x v="0"/>
    <x v="118"/>
    <x v="154"/>
    <n v="5325142"/>
    <s v="AU.KB2045-B-0208-DRE"/>
    <n v="1409"/>
    <n v="915.85"/>
    <m/>
    <m/>
    <s v="20251406-04.11.2025"/>
    <x v="0"/>
    <x v="4"/>
    <x v="0"/>
    <m/>
  </r>
  <r>
    <x v="0"/>
    <x v="1"/>
    <x v="37"/>
    <x v="31"/>
    <x v="101"/>
    <s v="094290032-0000"/>
    <n v="0"/>
    <n v="0.65"/>
    <n v="113"/>
    <n v="73.45"/>
    <x v="121"/>
    <n v="49"/>
    <n v="2025"/>
    <n v="0"/>
    <x v="44"/>
    <n v="0"/>
    <s v=" "/>
    <s v="approved"/>
    <n v="42"/>
    <s v="no"/>
    <m/>
    <m/>
    <m/>
    <m/>
    <m/>
    <m/>
    <x v="1"/>
    <x v="3"/>
    <x v="4"/>
    <s v=""/>
    <s v=""/>
    <m/>
    <n v="0"/>
    <m/>
    <m/>
    <m/>
    <x v="2"/>
    <x v="4"/>
    <x v="0"/>
    <m/>
  </r>
  <r>
    <x v="0"/>
    <x v="1"/>
    <x v="37"/>
    <x v="31"/>
    <x v="101"/>
    <s v="094290032-0000"/>
    <n v="0"/>
    <n v="0.65"/>
    <n v="5000"/>
    <n v="3250"/>
    <x v="122"/>
    <n v="51"/>
    <n v="2025"/>
    <n v="0"/>
    <x v="44"/>
    <n v="0"/>
    <s v=" "/>
    <s v="approved"/>
    <n v="42"/>
    <s v="no"/>
    <m/>
    <m/>
    <m/>
    <m/>
    <m/>
    <m/>
    <x v="1"/>
    <x v="3"/>
    <x v="4"/>
    <s v=""/>
    <s v=""/>
    <m/>
    <n v="0"/>
    <m/>
    <m/>
    <m/>
    <x v="2"/>
    <x v="3"/>
    <x v="0"/>
    <m/>
  </r>
  <r>
    <x v="0"/>
    <x v="0"/>
    <x v="41"/>
    <x v="36"/>
    <x v="102"/>
    <s v="094290350-0000 "/>
    <n v="0"/>
    <n v="0.94"/>
    <n v="2500"/>
    <n v="2350"/>
    <x v="94"/>
    <n v="14"/>
    <n v="2024"/>
    <n v="0"/>
    <x v="44"/>
    <n v="0"/>
    <m/>
    <s v="approved"/>
    <n v="42"/>
    <s v="no"/>
    <m/>
    <m/>
    <m/>
    <m/>
    <m/>
    <n v="241313"/>
    <x v="0"/>
    <x v="57"/>
    <x v="155"/>
    <n v="36508670"/>
    <s v="AU.KB3068-B-0208-DRE"/>
    <n v="2000"/>
    <n v="1880"/>
    <m/>
    <m/>
    <s v="20240323-01.04.2024"/>
    <x v="0"/>
    <x v="1"/>
    <x v="1"/>
    <m/>
  </r>
  <r>
    <x v="0"/>
    <x v="0"/>
    <x v="41"/>
    <x v="36"/>
    <x v="102"/>
    <s v="094290350-0000 "/>
    <n v="0"/>
    <n v="0.94"/>
    <m/>
    <n v="0"/>
    <x v="123"/>
    <n v="14"/>
    <n v="2024"/>
    <n v="0"/>
    <x v="44"/>
    <n v="0"/>
    <m/>
    <s v="approved"/>
    <n v="42"/>
    <s v="no"/>
    <m/>
    <m/>
    <m/>
    <m/>
    <m/>
    <m/>
    <x v="0"/>
    <x v="119"/>
    <x v="156"/>
    <n v="36508670"/>
    <s v="AU.KB3068-B-0208-DRE"/>
    <n v="500"/>
    <n v="470"/>
    <m/>
    <m/>
    <s v="20240330-04.04.2024"/>
    <x v="0"/>
    <x v="1"/>
    <x v="1"/>
    <m/>
  </r>
  <r>
    <x v="0"/>
    <x v="0"/>
    <x v="42"/>
    <x v="37"/>
    <x v="102"/>
    <s v="094290350-0000 "/>
    <n v="0"/>
    <n v="0.94"/>
    <n v="700"/>
    <n v="658"/>
    <x v="124"/>
    <n v="17"/>
    <n v="2024"/>
    <n v="0"/>
    <x v="44"/>
    <n v="0"/>
    <m/>
    <s v="approved"/>
    <n v="42"/>
    <s v="no"/>
    <m/>
    <m/>
    <m/>
    <m/>
    <m/>
    <n v="241313"/>
    <x v="0"/>
    <x v="58"/>
    <x v="157"/>
    <n v="36570617"/>
    <s v="AU.KB3068-B-0208-DRE"/>
    <n v="700"/>
    <n v="658"/>
    <m/>
    <m/>
    <s v="20240394-16.04.2024"/>
    <x v="0"/>
    <x v="1"/>
    <x v="1"/>
    <m/>
  </r>
  <r>
    <x v="0"/>
    <x v="0"/>
    <x v="43"/>
    <x v="38"/>
    <x v="102"/>
    <s v="094290350-0000 "/>
    <n v="0"/>
    <n v="0.94"/>
    <n v="1500"/>
    <n v="1410"/>
    <x v="95"/>
    <n v="18"/>
    <n v="2024"/>
    <n v="0"/>
    <x v="44"/>
    <n v="0"/>
    <m/>
    <s v="approved"/>
    <n v="42"/>
    <s v="no"/>
    <m/>
    <m/>
    <m/>
    <m/>
    <m/>
    <n v="241313"/>
    <x v="0"/>
    <x v="59"/>
    <x v="158"/>
    <n v="36636071"/>
    <s v="AU.KB3068-B-0208-DRE"/>
    <n v="1500"/>
    <n v="1410"/>
    <m/>
    <m/>
    <s v="20240490-30.04.2024"/>
    <x v="1"/>
    <x v="1"/>
    <x v="1"/>
    <m/>
  </r>
  <r>
    <x v="0"/>
    <x v="0"/>
    <x v="44"/>
    <x v="38"/>
    <x v="102"/>
    <s v="094290350-0000 "/>
    <n v="0"/>
    <n v="0.94"/>
    <n v="1500"/>
    <n v="1410"/>
    <x v="96"/>
    <n v="19"/>
    <n v="2024"/>
    <n v="0"/>
    <x v="44"/>
    <n v="0"/>
    <m/>
    <s v="approved"/>
    <n v="42"/>
    <s v="no"/>
    <m/>
    <m/>
    <m/>
    <m/>
    <m/>
    <n v="241809"/>
    <x v="0"/>
    <x v="60"/>
    <x v="159"/>
    <n v="36636074"/>
    <s v="AU.KB3068-B-0208-DRE"/>
    <n v="149"/>
    <n v="140.06"/>
    <m/>
    <m/>
    <s v="20240513-09.05.2024"/>
    <x v="0"/>
    <x v="2"/>
    <x v="1"/>
    <m/>
  </r>
  <r>
    <x v="0"/>
    <x v="0"/>
    <x v="44"/>
    <x v="38"/>
    <x v="102"/>
    <s v="094290350-0000 "/>
    <n v="0"/>
    <n v="0.94"/>
    <m/>
    <n v="0"/>
    <x v="96"/>
    <n v="19"/>
    <n v="2024"/>
    <n v="0"/>
    <x v="44"/>
    <n v="0"/>
    <m/>
    <s v="approved"/>
    <n v="42"/>
    <s v="no"/>
    <m/>
    <m/>
    <m/>
    <m/>
    <m/>
    <m/>
    <x v="0"/>
    <x v="60"/>
    <x v="160"/>
    <n v="36636074"/>
    <s v="AU.KB3068-B-0208-DRE"/>
    <n v="14"/>
    <n v="13.16"/>
    <m/>
    <m/>
    <s v="20240523-09.05.2024"/>
    <x v="0"/>
    <x v="2"/>
    <x v="1"/>
    <m/>
  </r>
  <r>
    <x v="0"/>
    <x v="0"/>
    <x v="44"/>
    <x v="38"/>
    <x v="102"/>
    <s v="094290350-0000 "/>
    <n v="0"/>
    <n v="0.94"/>
    <m/>
    <n v="0"/>
    <x v="96"/>
    <n v="19"/>
    <n v="2024"/>
    <n v="0"/>
    <x v="44"/>
    <n v="0"/>
    <m/>
    <s v="approved"/>
    <n v="42"/>
    <s v="no"/>
    <m/>
    <m/>
    <m/>
    <m/>
    <m/>
    <m/>
    <x v="0"/>
    <x v="120"/>
    <x v="161"/>
    <n v="36636074"/>
    <s v="AU.KB3068-B-0208-DRE"/>
    <n v="5"/>
    <n v="4.6999999999999993"/>
    <m/>
    <m/>
    <s v="20240521-10.05.2024"/>
    <x v="1"/>
    <x v="2"/>
    <x v="1"/>
    <m/>
  </r>
  <r>
    <x v="0"/>
    <x v="0"/>
    <x v="44"/>
    <x v="38"/>
    <x v="102"/>
    <s v="094290350-0000 "/>
    <n v="0"/>
    <n v="0.94"/>
    <m/>
    <n v="0"/>
    <x v="96"/>
    <n v="19"/>
    <n v="2024"/>
    <n v="0"/>
    <x v="44"/>
    <n v="0"/>
    <m/>
    <s v="approved"/>
    <n v="42"/>
    <s v="no"/>
    <m/>
    <m/>
    <m/>
    <m/>
    <m/>
    <m/>
    <x v="0"/>
    <x v="22"/>
    <x v="162"/>
    <n v="36636074"/>
    <s v="AU.KB3068-B-0208-DRE"/>
    <n v="1332"/>
    <n v="1252.08"/>
    <m/>
    <m/>
    <s v="20240529-14.05.2024"/>
    <x v="1"/>
    <x v="2"/>
    <x v="1"/>
    <m/>
  </r>
  <r>
    <x v="0"/>
    <x v="0"/>
    <x v="45"/>
    <x v="39"/>
    <x v="102"/>
    <s v="094290350-0000 "/>
    <n v="0"/>
    <n v="0.94"/>
    <n v="2000"/>
    <n v="1880"/>
    <x v="98"/>
    <n v="23"/>
    <n v="2024"/>
    <n v="0"/>
    <x v="44"/>
    <n v="0"/>
    <m/>
    <s v="approved"/>
    <n v="42"/>
    <s v="no"/>
    <m/>
    <m/>
    <m/>
    <m/>
    <m/>
    <n v="242203"/>
    <x v="0"/>
    <x v="63"/>
    <x v="163"/>
    <n v="36880802"/>
    <s v="AU.KB3068-B-0208-DRE"/>
    <n v="682"/>
    <n v="641.07999999999993"/>
    <m/>
    <m/>
    <s v="20240649-04.06.2024"/>
    <x v="0"/>
    <x v="0"/>
    <x v="1"/>
    <m/>
  </r>
  <r>
    <x v="0"/>
    <x v="0"/>
    <x v="45"/>
    <x v="39"/>
    <x v="102"/>
    <s v="094290350-0000 "/>
    <n v="0"/>
    <n v="0.94"/>
    <m/>
    <n v="0"/>
    <x v="98"/>
    <n v="23"/>
    <n v="2024"/>
    <n v="0"/>
    <x v="44"/>
    <n v="0"/>
    <m/>
    <s v="approved"/>
    <n v="42"/>
    <s v="no"/>
    <m/>
    <m/>
    <m/>
    <m/>
    <m/>
    <m/>
    <x v="0"/>
    <x v="121"/>
    <x v="164"/>
    <n v="36880802"/>
    <s v="AU.KB3068-B-0208-DRE"/>
    <n v="152"/>
    <n v="142.88"/>
    <m/>
    <m/>
    <s v="20240687-13.06.2024"/>
    <x v="1"/>
    <x v="0"/>
    <x v="1"/>
    <m/>
  </r>
  <r>
    <x v="0"/>
    <x v="0"/>
    <x v="45"/>
    <x v="39"/>
    <x v="102"/>
    <s v="094290350-0000 "/>
    <n v="0"/>
    <n v="0.94"/>
    <m/>
    <n v="0"/>
    <x v="98"/>
    <n v="23"/>
    <n v="2024"/>
    <n v="0"/>
    <x v="44"/>
    <n v="0"/>
    <m/>
    <s v="approved"/>
    <n v="42"/>
    <s v="no"/>
    <m/>
    <m/>
    <m/>
    <m/>
    <m/>
    <m/>
    <x v="0"/>
    <x v="122"/>
    <x v="165"/>
    <n v="36880802"/>
    <s v="AU.KB3068-B-0208-DRE"/>
    <n v="304"/>
    <n v="285.76"/>
    <s v="70 PCS CU DEROGARE"/>
    <m/>
    <s v="20240699-14.06.2024"/>
    <x v="1"/>
    <x v="0"/>
    <x v="1"/>
    <m/>
  </r>
  <r>
    <x v="0"/>
    <x v="0"/>
    <x v="45"/>
    <x v="39"/>
    <x v="102"/>
    <s v="094290350-0000 "/>
    <n v="0"/>
    <n v="0.94"/>
    <m/>
    <n v="0"/>
    <x v="98"/>
    <n v="23"/>
    <n v="2024"/>
    <n v="0"/>
    <x v="44"/>
    <n v="0"/>
    <m/>
    <s v="approved"/>
    <n v="42"/>
    <s v="no"/>
    <m/>
    <m/>
    <m/>
    <m/>
    <m/>
    <m/>
    <x v="0"/>
    <x v="64"/>
    <x v="166"/>
    <n v="36880802"/>
    <s v="AU.KB3068-B-0208-DRE"/>
    <n v="145"/>
    <n v="136.29999999999998"/>
    <m/>
    <m/>
    <s v="20240700-17.06.2024"/>
    <x v="1"/>
    <x v="0"/>
    <x v="1"/>
    <m/>
  </r>
  <r>
    <x v="0"/>
    <x v="0"/>
    <x v="45"/>
    <x v="39"/>
    <x v="102"/>
    <s v="094290350-0000 "/>
    <n v="0"/>
    <n v="0.94"/>
    <m/>
    <n v="0"/>
    <x v="98"/>
    <n v="23"/>
    <n v="2024"/>
    <n v="0"/>
    <x v="44"/>
    <n v="0"/>
    <m/>
    <s v="approved"/>
    <n v="42"/>
    <s v="no"/>
    <m/>
    <m/>
    <m/>
    <m/>
    <m/>
    <m/>
    <x v="0"/>
    <x v="68"/>
    <x v="167"/>
    <n v="36880802"/>
    <s v="AU.KB3068-B-0208-DRE"/>
    <n v="115"/>
    <n v="108.1"/>
    <m/>
    <m/>
    <s v="20240753-25.06.2024"/>
    <x v="1"/>
    <x v="0"/>
    <x v="1"/>
    <m/>
  </r>
  <r>
    <x v="0"/>
    <x v="0"/>
    <x v="45"/>
    <x v="39"/>
    <x v="102"/>
    <s v="094290350-0000 "/>
    <n v="0"/>
    <n v="0.94"/>
    <m/>
    <n v="0"/>
    <x v="98"/>
    <n v="23"/>
    <n v="2024"/>
    <n v="0"/>
    <x v="44"/>
    <n v="0"/>
    <m/>
    <s v="approved"/>
    <n v="42"/>
    <s v="no"/>
    <m/>
    <m/>
    <m/>
    <m/>
    <m/>
    <m/>
    <x v="0"/>
    <x v="69"/>
    <x v="168"/>
    <n v="36880802"/>
    <s v="AU.KB3068-B-0208-DRE"/>
    <n v="309"/>
    <n v="290.45999999999998"/>
    <m/>
    <m/>
    <s v="20240754-26.06.2024"/>
    <x v="1"/>
    <x v="0"/>
    <x v="1"/>
    <m/>
  </r>
  <r>
    <x v="0"/>
    <x v="0"/>
    <x v="45"/>
    <x v="39"/>
    <x v="102"/>
    <s v="094290350-0000 "/>
    <n v="0"/>
    <n v="0.94"/>
    <m/>
    <n v="0"/>
    <x v="98"/>
    <n v="23"/>
    <n v="2024"/>
    <n v="0"/>
    <x v="44"/>
    <n v="0"/>
    <m/>
    <s v="approved"/>
    <n v="42"/>
    <s v="no"/>
    <m/>
    <m/>
    <m/>
    <m/>
    <m/>
    <m/>
    <x v="0"/>
    <x v="70"/>
    <x v="169"/>
    <n v="36880802"/>
    <s v="AU.KB3068-B-0208-DRE"/>
    <n v="40"/>
    <n v="37.599999999999994"/>
    <m/>
    <m/>
    <s v="20240763-27.06.2024"/>
    <x v="1"/>
    <x v="0"/>
    <x v="1"/>
    <m/>
  </r>
  <r>
    <x v="0"/>
    <x v="0"/>
    <x v="45"/>
    <x v="39"/>
    <x v="102"/>
    <s v="094290350-0000 "/>
    <n v="0"/>
    <n v="0.94"/>
    <m/>
    <n v="0"/>
    <x v="98"/>
    <n v="23"/>
    <n v="2024"/>
    <n v="0"/>
    <x v="44"/>
    <n v="0"/>
    <m/>
    <s v="approved"/>
    <n v="42"/>
    <s v="no"/>
    <m/>
    <m/>
    <m/>
    <m/>
    <m/>
    <m/>
    <x v="0"/>
    <x v="70"/>
    <x v="170"/>
    <n v="36880802"/>
    <s v="AU.KB3068-B-0208-DRE"/>
    <n v="108"/>
    <n v="101.52"/>
    <m/>
    <m/>
    <s v="20240765-28.06.2024"/>
    <x v="1"/>
    <x v="0"/>
    <x v="1"/>
    <m/>
  </r>
  <r>
    <x v="0"/>
    <x v="0"/>
    <x v="45"/>
    <x v="39"/>
    <x v="102"/>
    <s v="094290350-0000 "/>
    <n v="0"/>
    <n v="0.94"/>
    <m/>
    <n v="0"/>
    <x v="98"/>
    <n v="23"/>
    <n v="2024"/>
    <n v="0"/>
    <x v="44"/>
    <n v="0"/>
    <m/>
    <s v="approved"/>
    <n v="42"/>
    <s v="no"/>
    <m/>
    <m/>
    <m/>
    <m/>
    <m/>
    <m/>
    <x v="0"/>
    <x v="27"/>
    <x v="171"/>
    <n v="36880802"/>
    <s v="AU.KB3068-B-0208-DRE"/>
    <n v="154"/>
    <n v="144.76"/>
    <m/>
    <m/>
    <s v="20240783-28.06.2024"/>
    <x v="1"/>
    <x v="0"/>
    <x v="1"/>
    <m/>
  </r>
  <r>
    <x v="0"/>
    <x v="0"/>
    <x v="46"/>
    <x v="39"/>
    <x v="102"/>
    <s v="094290350-0000 "/>
    <n v="0"/>
    <n v="0.94"/>
    <n v="1000"/>
    <n v="940"/>
    <x v="99"/>
    <n v="24"/>
    <n v="2024"/>
    <n v="0"/>
    <x v="44"/>
    <n v="0"/>
    <m/>
    <s v="approved"/>
    <n v="42"/>
    <s v="no"/>
    <m/>
    <m/>
    <m/>
    <m/>
    <m/>
    <n v="242603"/>
    <x v="0"/>
    <x v="27"/>
    <x v="172"/>
    <n v="36880804"/>
    <s v="AU.KB3068-B-0208-DRE"/>
    <n v="177"/>
    <n v="166.38"/>
    <m/>
    <m/>
    <s v="20240784-28.06.2024"/>
    <x v="1"/>
    <x v="0"/>
    <x v="1"/>
    <m/>
  </r>
  <r>
    <x v="0"/>
    <x v="0"/>
    <x v="46"/>
    <x v="39"/>
    <x v="102"/>
    <s v="094290350-0000 "/>
    <n v="0"/>
    <n v="0.94"/>
    <n v="0"/>
    <n v="0"/>
    <x v="99"/>
    <n v="24"/>
    <n v="2024"/>
    <n v="0"/>
    <x v="44"/>
    <n v="0"/>
    <m/>
    <s v="approved"/>
    <n v="42"/>
    <s v="no"/>
    <m/>
    <m/>
    <m/>
    <m/>
    <m/>
    <m/>
    <x v="0"/>
    <x v="71"/>
    <x v="173"/>
    <n v="36880804"/>
    <s v="AU.KB3068-B-0208-DRE"/>
    <n v="480"/>
    <n v="451.2"/>
    <m/>
    <m/>
    <s v="20240795-01.07.2024"/>
    <x v="1"/>
    <x v="0"/>
    <x v="1"/>
    <m/>
  </r>
  <r>
    <x v="0"/>
    <x v="0"/>
    <x v="46"/>
    <x v="39"/>
    <x v="102"/>
    <s v="094290350-0000 "/>
    <n v="0"/>
    <n v="0.94"/>
    <n v="0"/>
    <n v="0"/>
    <x v="99"/>
    <n v="24"/>
    <n v="2024"/>
    <n v="0"/>
    <x v="44"/>
    <n v="0"/>
    <m/>
    <s v="approved"/>
    <n v="42"/>
    <s v="no"/>
    <m/>
    <m/>
    <m/>
    <m/>
    <m/>
    <m/>
    <x v="0"/>
    <x v="72"/>
    <x v="174"/>
    <n v="36880804"/>
    <s v="AU.KB3068-B-0208-DRE"/>
    <n v="253"/>
    <n v="237.82"/>
    <m/>
    <m/>
    <s v="20240809-02.07.2024"/>
    <x v="1"/>
    <x v="0"/>
    <x v="1"/>
    <m/>
  </r>
  <r>
    <x v="0"/>
    <x v="0"/>
    <x v="46"/>
    <x v="39"/>
    <x v="102"/>
    <s v="094290350-0000 "/>
    <n v="0"/>
    <n v="0.94"/>
    <n v="0"/>
    <n v="0"/>
    <x v="99"/>
    <n v="24"/>
    <n v="2024"/>
    <n v="0"/>
    <x v="44"/>
    <n v="0"/>
    <m/>
    <s v="approved"/>
    <n v="42"/>
    <s v="no"/>
    <m/>
    <m/>
    <m/>
    <m/>
    <m/>
    <m/>
    <x v="0"/>
    <x v="73"/>
    <x v="175"/>
    <n v="36880804"/>
    <s v="AU.KB3068-B-0208-DRE"/>
    <n v="49"/>
    <n v="46.059999999999995"/>
    <m/>
    <m/>
    <s v="20240811-03.07.2024"/>
    <x v="1"/>
    <x v="0"/>
    <x v="1"/>
    <m/>
  </r>
  <r>
    <x v="0"/>
    <x v="0"/>
    <x v="46"/>
    <x v="39"/>
    <x v="102"/>
    <s v="094290350-0000 "/>
    <n v="0"/>
    <n v="0.94"/>
    <n v="0"/>
    <n v="0"/>
    <x v="99"/>
    <n v="24"/>
    <n v="2024"/>
    <n v="0"/>
    <x v="44"/>
    <n v="0"/>
    <m/>
    <s v="approved"/>
    <n v="42"/>
    <s v="no"/>
    <m/>
    <m/>
    <m/>
    <m/>
    <m/>
    <m/>
    <x v="0"/>
    <x v="9"/>
    <x v="176"/>
    <n v="36880804"/>
    <s v="AU.KB3068-B-0208-DRE"/>
    <n v="41"/>
    <n v="38.54"/>
    <m/>
    <m/>
    <s v="20240824-04.07.2024"/>
    <x v="1"/>
    <x v="0"/>
    <x v="1"/>
    <m/>
  </r>
  <r>
    <x v="0"/>
    <x v="0"/>
    <x v="47"/>
    <x v="40"/>
    <x v="102"/>
    <s v="094290350-0000 "/>
    <n v="0"/>
    <n v="0.94"/>
    <n v="2000"/>
    <n v="1880"/>
    <x v="101"/>
    <n v="27"/>
    <n v="2024"/>
    <n v="0"/>
    <x v="44"/>
    <n v="0"/>
    <m/>
    <s v="approved"/>
    <n v="42"/>
    <s v="no"/>
    <m/>
    <m/>
    <m/>
    <m/>
    <m/>
    <n v="242905"/>
    <x v="0"/>
    <x v="9"/>
    <x v="177"/>
    <n v="37146432"/>
    <s v="AU.KB3068-B-0208-DRE"/>
    <n v="68"/>
    <n v="63.919999999999995"/>
    <m/>
    <m/>
    <s v="20240825-04.07.2024"/>
    <x v="0"/>
    <x v="8"/>
    <x v="1"/>
    <m/>
  </r>
  <r>
    <x v="0"/>
    <x v="0"/>
    <x v="47"/>
    <x v="40"/>
    <x v="102"/>
    <s v="094290350-0000 "/>
    <n v="0"/>
    <n v="0.94"/>
    <n v="0"/>
    <n v="0"/>
    <x v="101"/>
    <n v="27"/>
    <n v="2024"/>
    <n v="0"/>
    <x v="44"/>
    <n v="0"/>
    <m/>
    <s v="approved"/>
    <n v="42"/>
    <s v="no"/>
    <m/>
    <m/>
    <m/>
    <m/>
    <m/>
    <m/>
    <x v="0"/>
    <x v="61"/>
    <x v="178"/>
    <n v="37146432"/>
    <s v="AU.KB3068-B-0208-DRE"/>
    <n v="200"/>
    <n v="188"/>
    <m/>
    <m/>
    <s v="20240901-18.07.2024"/>
    <x v="1"/>
    <x v="8"/>
    <x v="1"/>
    <m/>
  </r>
  <r>
    <x v="0"/>
    <x v="0"/>
    <x v="47"/>
    <x v="40"/>
    <x v="102"/>
    <s v="094290350-0000 "/>
    <n v="0"/>
    <n v="0.94"/>
    <n v="0"/>
    <n v="0"/>
    <x v="101"/>
    <n v="27"/>
    <n v="2024"/>
    <n v="0"/>
    <x v="44"/>
    <n v="0"/>
    <m/>
    <s v="approved"/>
    <n v="42"/>
    <s v="no"/>
    <m/>
    <m/>
    <m/>
    <m/>
    <m/>
    <m/>
    <x v="0"/>
    <x v="77"/>
    <x v="179"/>
    <n v="37146432"/>
    <s v="AU.KB3068-B-0208-DRE"/>
    <n v="320"/>
    <n v="300.79999999999995"/>
    <m/>
    <m/>
    <s v="20240908-19.07.2024"/>
    <x v="1"/>
    <x v="8"/>
    <x v="1"/>
    <m/>
  </r>
  <r>
    <x v="0"/>
    <x v="0"/>
    <x v="47"/>
    <x v="40"/>
    <x v="102"/>
    <s v="094290350-0000 "/>
    <n v="0"/>
    <n v="0.94"/>
    <n v="0"/>
    <n v="0"/>
    <x v="101"/>
    <n v="27"/>
    <n v="2024"/>
    <n v="0"/>
    <x v="44"/>
    <n v="0"/>
    <m/>
    <s v="approved"/>
    <n v="42"/>
    <s v="no"/>
    <m/>
    <m/>
    <m/>
    <m/>
    <m/>
    <m/>
    <x v="0"/>
    <x v="78"/>
    <x v="180"/>
    <n v="37146432"/>
    <s v="AU.KB3068-B-0208-DRE"/>
    <n v="480"/>
    <n v="451.2"/>
    <m/>
    <m/>
    <s v="20240920-22.07.2024"/>
    <x v="1"/>
    <x v="8"/>
    <x v="1"/>
    <m/>
  </r>
  <r>
    <x v="0"/>
    <x v="0"/>
    <x v="47"/>
    <x v="41"/>
    <x v="102"/>
    <s v="094290350-0000 "/>
    <n v="0"/>
    <n v="0.94"/>
    <n v="0"/>
    <n v="0"/>
    <x v="101"/>
    <n v="27"/>
    <n v="2024"/>
    <n v="0"/>
    <x v="44"/>
    <n v="0"/>
    <m/>
    <s v="approved"/>
    <n v="42"/>
    <s v="no"/>
    <m/>
    <m/>
    <m/>
    <m/>
    <m/>
    <m/>
    <x v="0"/>
    <x v="18"/>
    <x v="181"/>
    <n v="37146432"/>
    <s v="AU.KB3068-B-0208-DRE"/>
    <n v="533"/>
    <n v="501.02"/>
    <m/>
    <m/>
    <s v="20240928-23.07.2024"/>
    <x v="1"/>
    <x v="8"/>
    <x v="1"/>
    <m/>
  </r>
  <r>
    <x v="0"/>
    <x v="0"/>
    <x v="47"/>
    <x v="41"/>
    <x v="102"/>
    <s v="094290350-0000 "/>
    <n v="0"/>
    <n v="0.94"/>
    <n v="0"/>
    <n v="0"/>
    <x v="101"/>
    <n v="27"/>
    <n v="2024"/>
    <n v="0"/>
    <x v="44"/>
    <n v="0"/>
    <m/>
    <s v="approved"/>
    <n v="42"/>
    <s v="no"/>
    <m/>
    <m/>
    <m/>
    <m/>
    <m/>
    <m/>
    <x v="0"/>
    <x v="79"/>
    <x v="182"/>
    <n v="37146432"/>
    <s v="AU.KB3068-B-0208-DRE"/>
    <n v="373"/>
    <n v="350.62"/>
    <m/>
    <m/>
    <s v="20240943-24.07.2024"/>
    <x v="1"/>
    <x v="8"/>
    <x v="1"/>
    <m/>
  </r>
  <r>
    <x v="0"/>
    <x v="0"/>
    <x v="47"/>
    <x v="41"/>
    <x v="102"/>
    <s v="094290350-0000 "/>
    <n v="0"/>
    <n v="0.94"/>
    <n v="0"/>
    <n v="0"/>
    <x v="101"/>
    <n v="27"/>
    <n v="2024"/>
    <n v="0"/>
    <x v="44"/>
    <n v="0"/>
    <m/>
    <s v="approved"/>
    <n v="42"/>
    <s v="no"/>
    <m/>
    <m/>
    <m/>
    <m/>
    <m/>
    <m/>
    <x v="0"/>
    <x v="80"/>
    <x v="183"/>
    <n v="37146432"/>
    <s v="AU.KB3068-B-0208-DRE"/>
    <n v="26"/>
    <n v="24.439999999999998"/>
    <m/>
    <m/>
    <s v="20240953-25.07.2024"/>
    <x v="1"/>
    <x v="8"/>
    <x v="1"/>
    <m/>
  </r>
  <r>
    <x v="0"/>
    <x v="0"/>
    <x v="48"/>
    <x v="40"/>
    <x v="102"/>
    <s v="094290350-0000 "/>
    <n v="0"/>
    <n v="0.94"/>
    <n v="2000"/>
    <n v="1880"/>
    <x v="125"/>
    <n v="28"/>
    <n v="2024"/>
    <n v="0"/>
    <x v="44"/>
    <n v="0"/>
    <m/>
    <s v="approved"/>
    <n v="42"/>
    <s v="no"/>
    <m/>
    <m/>
    <m/>
    <m/>
    <m/>
    <m/>
    <x v="0"/>
    <x v="80"/>
    <x v="184"/>
    <n v="37146437"/>
    <s v="AU.KB3068-B-0208-DRE"/>
    <n v="81"/>
    <n v="76.14"/>
    <m/>
    <m/>
    <s v="20240955-25.07.2024"/>
    <x v="1"/>
    <x v="8"/>
    <x v="1"/>
    <m/>
  </r>
  <r>
    <x v="0"/>
    <x v="0"/>
    <x v="48"/>
    <x v="40"/>
    <x v="102"/>
    <s v="094290350-0000 "/>
    <n v="0"/>
    <n v="0.94"/>
    <n v="0"/>
    <n v="0"/>
    <x v="125"/>
    <n v="28"/>
    <n v="2024"/>
    <n v="0"/>
    <x v="44"/>
    <n v="0"/>
    <m/>
    <s v="approved"/>
    <n v="42"/>
    <s v="no"/>
    <m/>
    <m/>
    <m/>
    <m/>
    <m/>
    <m/>
    <x v="0"/>
    <x v="81"/>
    <x v="185"/>
    <n v="37146437"/>
    <s v="AU.KB3068-B-0208-DRE"/>
    <n v="233"/>
    <n v="219.01999999999998"/>
    <m/>
    <m/>
    <s v="20240964-26.07.2024"/>
    <x v="1"/>
    <x v="8"/>
    <x v="1"/>
    <m/>
  </r>
  <r>
    <x v="0"/>
    <x v="0"/>
    <x v="48"/>
    <x v="40"/>
    <x v="102"/>
    <s v="094290350-0000 "/>
    <n v="0"/>
    <n v="0.94"/>
    <n v="0"/>
    <n v="0"/>
    <x v="125"/>
    <n v="28"/>
    <n v="2024"/>
    <n v="0"/>
    <x v="44"/>
    <n v="0"/>
    <m/>
    <s v="approved"/>
    <n v="42"/>
    <s v="no"/>
    <m/>
    <m/>
    <m/>
    <m/>
    <m/>
    <m/>
    <x v="0"/>
    <x v="82"/>
    <x v="186"/>
    <n v="37146437"/>
    <s v="AU.KB3068-B-0208-DRE"/>
    <n v="470"/>
    <n v="441.79999999999995"/>
    <m/>
    <m/>
    <s v="20241009-06.08.2024"/>
    <x v="1"/>
    <x v="8"/>
    <x v="1"/>
    <m/>
  </r>
  <r>
    <x v="0"/>
    <x v="0"/>
    <x v="48"/>
    <x v="40"/>
    <x v="102"/>
    <s v="094290350-0000 "/>
    <n v="0"/>
    <n v="0.94"/>
    <n v="0"/>
    <n v="0"/>
    <x v="125"/>
    <n v="28"/>
    <n v="2024"/>
    <n v="0"/>
    <x v="44"/>
    <n v="0"/>
    <m/>
    <s v="approved"/>
    <n v="42"/>
    <s v="no"/>
    <m/>
    <m/>
    <m/>
    <m/>
    <m/>
    <m/>
    <x v="0"/>
    <x v="83"/>
    <x v="187"/>
    <n v="37146437"/>
    <s v="AU.KB3068-B-0208-DRE"/>
    <n v="200"/>
    <n v="188"/>
    <m/>
    <m/>
    <s v="20240973-30.07.2024"/>
    <x v="1"/>
    <x v="8"/>
    <x v="1"/>
    <m/>
  </r>
  <r>
    <x v="0"/>
    <x v="0"/>
    <x v="48"/>
    <x v="40"/>
    <x v="102"/>
    <s v="094290350-0000 "/>
    <n v="0"/>
    <n v="0.94"/>
    <n v="0"/>
    <n v="0"/>
    <x v="125"/>
    <n v="28"/>
    <n v="2024"/>
    <n v="0"/>
    <x v="44"/>
    <n v="0"/>
    <m/>
    <s v="approved"/>
    <n v="42"/>
    <s v="no"/>
    <m/>
    <m/>
    <m/>
    <m/>
    <m/>
    <m/>
    <x v="0"/>
    <x v="10"/>
    <x v="188"/>
    <n v="37146437"/>
    <s v="AU.KB3068-B-0208-DRE"/>
    <n v="189"/>
    <n v="177.66"/>
    <m/>
    <m/>
    <s v="20240976-02.08.2024"/>
    <x v="1"/>
    <x v="8"/>
    <x v="1"/>
    <m/>
  </r>
  <r>
    <x v="0"/>
    <x v="0"/>
    <x v="48"/>
    <x v="40"/>
    <x v="102"/>
    <s v="094290350-0000 "/>
    <n v="0"/>
    <n v="0.94"/>
    <n v="0"/>
    <n v="0"/>
    <x v="125"/>
    <n v="28"/>
    <n v="2024"/>
    <n v="0"/>
    <x v="44"/>
    <n v="0"/>
    <m/>
    <s v="approved"/>
    <n v="42"/>
    <s v="no"/>
    <m/>
    <m/>
    <m/>
    <m/>
    <m/>
    <m/>
    <x v="0"/>
    <x v="123"/>
    <x v="189"/>
    <n v="37146437"/>
    <s v="AU.KB3068-B-0208-DRE"/>
    <n v="431"/>
    <n v="405.14"/>
    <m/>
    <m/>
    <s v="20240982-05.08.2024"/>
    <x v="1"/>
    <x v="8"/>
    <x v="1"/>
    <m/>
  </r>
  <r>
    <x v="0"/>
    <x v="0"/>
    <x v="48"/>
    <x v="40"/>
    <x v="102"/>
    <s v="094290350-0000 "/>
    <n v="0"/>
    <n v="0.94"/>
    <n v="0"/>
    <n v="0"/>
    <x v="125"/>
    <n v="28"/>
    <n v="2024"/>
    <n v="0"/>
    <x v="44"/>
    <n v="0"/>
    <m/>
    <s v="approved"/>
    <n v="42"/>
    <s v="no"/>
    <m/>
    <m/>
    <m/>
    <m/>
    <m/>
    <m/>
    <x v="0"/>
    <x v="124"/>
    <x v="190"/>
    <n v="37146437"/>
    <s v="AU.KB3068-B-0208-DRE"/>
    <n v="396"/>
    <n v="372.23999999999995"/>
    <m/>
    <m/>
    <s v="20240986-05.08.2024"/>
    <x v="1"/>
    <x v="8"/>
    <x v="1"/>
    <m/>
  </r>
  <r>
    <x v="0"/>
    <x v="0"/>
    <x v="49"/>
    <x v="40"/>
    <x v="102"/>
    <s v="094290350-0000 "/>
    <n v="0"/>
    <n v="0.94"/>
    <n v="2000"/>
    <n v="1880"/>
    <x v="103"/>
    <n v="31"/>
    <n v="2024"/>
    <n v="0"/>
    <x v="44"/>
    <n v="0"/>
    <m/>
    <s v="approved"/>
    <n v="42"/>
    <s v="no"/>
    <m/>
    <m/>
    <m/>
    <m/>
    <m/>
    <m/>
    <x v="0"/>
    <x v="124"/>
    <x v="191"/>
    <n v="37146440"/>
    <s v="AU.KB3068-B-0208-DRE"/>
    <n v="167"/>
    <n v="156.97999999999999"/>
    <m/>
    <m/>
    <s v="20240985-05.08.2024"/>
    <x v="1"/>
    <x v="8"/>
    <x v="1"/>
    <m/>
  </r>
  <r>
    <x v="0"/>
    <x v="0"/>
    <x v="49"/>
    <x v="40"/>
    <x v="102"/>
    <s v="094290350-0000 "/>
    <n v="0"/>
    <n v="0.94"/>
    <n v="0"/>
    <n v="0"/>
    <x v="103"/>
    <n v="31"/>
    <n v="2024"/>
    <n v="0"/>
    <x v="44"/>
    <n v="0"/>
    <m/>
    <s v="approved"/>
    <n v="42"/>
    <s v="no"/>
    <m/>
    <m/>
    <m/>
    <m/>
    <m/>
    <m/>
    <x v="0"/>
    <x v="125"/>
    <x v="192"/>
    <n v="37146440"/>
    <s v="AU.KB3068-B-0208-DRE"/>
    <n v="578"/>
    <n v="543.31999999999994"/>
    <m/>
    <m/>
    <s v="20241012-06.08.2024"/>
    <x v="1"/>
    <x v="8"/>
    <x v="1"/>
    <m/>
  </r>
  <r>
    <x v="0"/>
    <x v="0"/>
    <x v="49"/>
    <x v="40"/>
    <x v="102"/>
    <s v="094290350-0000 "/>
    <n v="0"/>
    <n v="0.94"/>
    <n v="0"/>
    <n v="0"/>
    <x v="103"/>
    <n v="31"/>
    <n v="2024"/>
    <n v="0"/>
    <x v="44"/>
    <n v="0"/>
    <m/>
    <s v="approved"/>
    <n v="42"/>
    <s v="no"/>
    <m/>
    <m/>
    <m/>
    <m/>
    <m/>
    <m/>
    <x v="0"/>
    <x v="84"/>
    <x v="193"/>
    <n v="37146440"/>
    <s v="AU.KB3068-B-0208-DRE"/>
    <n v="520"/>
    <n v="488.79999999999995"/>
    <m/>
    <m/>
    <s v="20241017-06.08.2024"/>
    <x v="1"/>
    <x v="8"/>
    <x v="1"/>
    <m/>
  </r>
  <r>
    <x v="0"/>
    <x v="0"/>
    <x v="49"/>
    <x v="40"/>
    <x v="102"/>
    <s v="094290350-0000 "/>
    <n v="0"/>
    <n v="0.94"/>
    <n v="0"/>
    <n v="0"/>
    <x v="103"/>
    <n v="31"/>
    <n v="2024"/>
    <n v="0"/>
    <x v="44"/>
    <n v="0"/>
    <m/>
    <s v="approved"/>
    <n v="42"/>
    <s v="no"/>
    <m/>
    <m/>
    <m/>
    <m/>
    <m/>
    <m/>
    <x v="0"/>
    <x v="126"/>
    <x v="194"/>
    <n v="37146440"/>
    <s v="AU.KB3068-B-0208-DRE"/>
    <n v="335"/>
    <n v="314.89999999999998"/>
    <m/>
    <m/>
    <s v="20241023-07.08.2024"/>
    <x v="1"/>
    <x v="8"/>
    <x v="1"/>
    <m/>
  </r>
  <r>
    <x v="0"/>
    <x v="0"/>
    <x v="49"/>
    <x v="40"/>
    <x v="102"/>
    <s v="094290350-0000 "/>
    <n v="0"/>
    <n v="0.94"/>
    <n v="0"/>
    <n v="0"/>
    <x v="103"/>
    <n v="31"/>
    <n v="2024"/>
    <n v="0"/>
    <x v="44"/>
    <n v="0"/>
    <m/>
    <s v="approved"/>
    <n v="42"/>
    <s v="no"/>
    <m/>
    <m/>
    <m/>
    <m/>
    <m/>
    <m/>
    <x v="0"/>
    <x v="85"/>
    <x v="195"/>
    <n v="37146440"/>
    <s v="AU.KB3068-B-0208-DRE"/>
    <n v="400"/>
    <n v="376"/>
    <m/>
    <m/>
    <s v="20241025-08.08.2024"/>
    <x v="1"/>
    <x v="8"/>
    <x v="1"/>
    <m/>
  </r>
  <r>
    <x v="0"/>
    <x v="0"/>
    <x v="50"/>
    <x v="42"/>
    <x v="102"/>
    <s v="094290350-0000 "/>
    <n v="0"/>
    <n v="0.94"/>
    <n v="2000"/>
    <n v="1880"/>
    <x v="104"/>
    <n v="32"/>
    <n v="2024"/>
    <n v="0"/>
    <x v="44"/>
    <n v="0"/>
    <m/>
    <s v="approved"/>
    <n v="42"/>
    <s v="no"/>
    <m/>
    <m/>
    <m/>
    <m/>
    <m/>
    <m/>
    <x v="0"/>
    <x v="85"/>
    <x v="196"/>
    <n v="37331343"/>
    <s v="AU.KB3068-B-0208-DRE"/>
    <n v="88"/>
    <n v="82.72"/>
    <m/>
    <m/>
    <s v="20241026-08.08.2024"/>
    <x v="0"/>
    <x v="9"/>
    <x v="1"/>
    <m/>
  </r>
  <r>
    <x v="0"/>
    <x v="0"/>
    <x v="50"/>
    <x v="42"/>
    <x v="102"/>
    <s v="094290350-0000 "/>
    <n v="0"/>
    <n v="0.94"/>
    <n v="0"/>
    <n v="0"/>
    <x v="104"/>
    <n v="32"/>
    <n v="2024"/>
    <n v="0"/>
    <x v="44"/>
    <n v="0"/>
    <m/>
    <s v="approved"/>
    <n v="42"/>
    <s v="no"/>
    <m/>
    <m/>
    <m/>
    <m/>
    <m/>
    <m/>
    <x v="0"/>
    <x v="86"/>
    <x v="197"/>
    <n v="37331343"/>
    <s v="AU.KB3068-B-0208-DRE"/>
    <n v="480"/>
    <n v="451.2"/>
    <m/>
    <m/>
    <s v="20241038-09.08.2024"/>
    <x v="1"/>
    <x v="9"/>
    <x v="1"/>
    <m/>
  </r>
  <r>
    <x v="0"/>
    <x v="0"/>
    <x v="50"/>
    <x v="42"/>
    <x v="102"/>
    <s v="094290350-0000 "/>
    <n v="0"/>
    <n v="0.94"/>
    <n v="0"/>
    <n v="0"/>
    <x v="104"/>
    <n v="32"/>
    <n v="2024"/>
    <n v="0"/>
    <x v="44"/>
    <n v="0"/>
    <m/>
    <s v="approved"/>
    <n v="42"/>
    <s v="no"/>
    <m/>
    <m/>
    <m/>
    <m/>
    <m/>
    <m/>
    <x v="0"/>
    <x v="87"/>
    <x v="198"/>
    <n v="37331343"/>
    <s v="AU.KB3068-B-0208-DRE"/>
    <n v="1432"/>
    <n v="1346.08"/>
    <m/>
    <m/>
    <s v="20241078-19.08.2024"/>
    <x v="1"/>
    <x v="9"/>
    <x v="1"/>
    <m/>
  </r>
  <r>
    <x v="0"/>
    <x v="0"/>
    <x v="51"/>
    <x v="42"/>
    <x v="102"/>
    <s v="094290350-0000 "/>
    <n v="0"/>
    <n v="0.94"/>
    <n v="1500"/>
    <n v="1410"/>
    <x v="105"/>
    <n v="33"/>
    <n v="2024"/>
    <n v="0"/>
    <x v="44"/>
    <n v="0"/>
    <m/>
    <s v="approved"/>
    <n v="42"/>
    <s v="no"/>
    <m/>
    <m/>
    <m/>
    <m/>
    <m/>
    <m/>
    <x v="0"/>
    <x v="87"/>
    <x v="199"/>
    <n v="37331351"/>
    <s v="AU.KB3068-B-0208-DRE"/>
    <n v="1116"/>
    <n v="1049.04"/>
    <m/>
    <m/>
    <s v="20241079-19.08.2024"/>
    <x v="1"/>
    <x v="9"/>
    <x v="1"/>
    <m/>
  </r>
  <r>
    <x v="0"/>
    <x v="0"/>
    <x v="51"/>
    <x v="42"/>
    <x v="102"/>
    <s v="094290350-0000 "/>
    <n v="0"/>
    <n v="0.94"/>
    <n v="0"/>
    <n v="0"/>
    <x v="105"/>
    <n v="33"/>
    <n v="2024"/>
    <n v="0"/>
    <x v="44"/>
    <n v="0"/>
    <m/>
    <s v="approved"/>
    <n v="42"/>
    <s v="no"/>
    <m/>
    <m/>
    <m/>
    <m/>
    <m/>
    <m/>
    <x v="0"/>
    <x v="127"/>
    <x v="200"/>
    <n v="37331351"/>
    <s v="AU.KB3068-B-0208-DRE"/>
    <n v="384"/>
    <n v="360.96"/>
    <m/>
    <m/>
    <s v="20241085-20.08.2024"/>
    <x v="1"/>
    <x v="9"/>
    <x v="1"/>
    <m/>
  </r>
  <r>
    <x v="0"/>
    <x v="0"/>
    <x v="52"/>
    <x v="32"/>
    <x v="102"/>
    <s v="094290350-0000 "/>
    <n v="0"/>
    <n v="0.94"/>
    <n v="1000"/>
    <n v="940"/>
    <x v="126"/>
    <n v="38"/>
    <n v="2024"/>
    <n v="0"/>
    <x v="44"/>
    <n v="0"/>
    <m/>
    <s v="approved"/>
    <n v="42"/>
    <s v="no"/>
    <m/>
    <m/>
    <m/>
    <m/>
    <m/>
    <m/>
    <x v="0"/>
    <x v="39"/>
    <x v="201"/>
    <n v="37520855"/>
    <s v="AU.KB3068-B-0208-DRE"/>
    <n v="1000"/>
    <n v="940"/>
    <m/>
    <m/>
    <s v="20241137-03.09.2024"/>
    <x v="0"/>
    <x v="10"/>
    <x v="1"/>
    <m/>
  </r>
  <r>
    <x v="0"/>
    <x v="0"/>
    <x v="53"/>
    <x v="43"/>
    <x v="102"/>
    <s v="094290350-0000 "/>
    <n v="0"/>
    <n v="0.94"/>
    <n v="1053"/>
    <n v="989.81999999999994"/>
    <x v="127"/>
    <n v="45"/>
    <n v="2024"/>
    <n v="0"/>
    <x v="44"/>
    <n v="0"/>
    <m/>
    <s v="approved"/>
    <n v="42"/>
    <s v="no"/>
    <m/>
    <m/>
    <m/>
    <m/>
    <m/>
    <m/>
    <x v="0"/>
    <x v="89"/>
    <x v="202"/>
    <n v="37872649"/>
    <s v="AU.KB3068-B-0208-DRE"/>
    <n v="1053"/>
    <n v="989.81999999999994"/>
    <m/>
    <m/>
    <s v="20241401-05.11.2024"/>
    <x v="0"/>
    <x v="4"/>
    <x v="1"/>
    <m/>
  </r>
  <r>
    <x v="0"/>
    <x v="0"/>
    <x v="54"/>
    <x v="44"/>
    <x v="102"/>
    <s v="094290350-0000 "/>
    <n v="0"/>
    <n v="0.94"/>
    <n v="935"/>
    <n v="878.9"/>
    <x v="112"/>
    <n v="14"/>
    <n v="2025"/>
    <n v="0"/>
    <x v="44"/>
    <n v="0"/>
    <m/>
    <s v="approved"/>
    <n v="42"/>
    <s v="no"/>
    <m/>
    <m/>
    <m/>
    <m/>
    <m/>
    <m/>
    <x v="0"/>
    <x v="95"/>
    <x v="203"/>
    <n v="38951671"/>
    <s v="AU.KB3068-B-0208-DRE"/>
    <n v="935"/>
    <n v="878.9"/>
    <m/>
    <m/>
    <s v="20250513-15.04.2025"/>
    <x v="1"/>
    <x v="1"/>
    <x v="0"/>
    <m/>
  </r>
  <r>
    <x v="0"/>
    <x v="0"/>
    <x v="54"/>
    <x v="44"/>
    <x v="102"/>
    <s v="094290350-0000 "/>
    <n v="0"/>
    <n v="0.94"/>
    <n v="1280"/>
    <n v="1203.1999999999998"/>
    <x v="112"/>
    <n v="14"/>
    <n v="2025"/>
    <n v="0"/>
    <x v="44"/>
    <n v="0"/>
    <m/>
    <s v="approved"/>
    <n v="42"/>
    <s v="no"/>
    <m/>
    <m/>
    <m/>
    <m/>
    <m/>
    <m/>
    <x v="0"/>
    <x v="96"/>
    <x v="204"/>
    <n v="38951671"/>
    <s v="AU.KB3068-B-0208-DRE"/>
    <n v="1280"/>
    <n v="1203.1999999999998"/>
    <m/>
    <m/>
    <s v="20250525-22.04.2025"/>
    <x v="1"/>
    <x v="1"/>
    <x v="0"/>
    <m/>
  </r>
  <r>
    <x v="0"/>
    <x v="0"/>
    <x v="54"/>
    <x v="44"/>
    <x v="102"/>
    <s v="094290350-0000 "/>
    <n v="0"/>
    <n v="0.94"/>
    <n v="97"/>
    <n v="91.179999999999993"/>
    <x v="112"/>
    <n v="14"/>
    <n v="2025"/>
    <n v="0"/>
    <x v="44"/>
    <n v="0"/>
    <m/>
    <s v="approved"/>
    <n v="42"/>
    <s v="no"/>
    <m/>
    <m/>
    <m/>
    <m/>
    <m/>
    <m/>
    <x v="0"/>
    <x v="97"/>
    <x v="205"/>
    <n v="38951671"/>
    <s v="AU.KB3068-B-0208-DRE"/>
    <n v="97"/>
    <n v="91.179999999999993"/>
    <m/>
    <m/>
    <s v="20250526-22.04.2025"/>
    <x v="1"/>
    <x v="1"/>
    <x v="0"/>
    <m/>
  </r>
  <r>
    <x v="0"/>
    <x v="0"/>
    <x v="54"/>
    <x v="44"/>
    <x v="102"/>
    <s v="094290350-0000 "/>
    <n v="0"/>
    <n v="0.94"/>
    <n v="288"/>
    <n v="270.71999999999997"/>
    <x v="112"/>
    <n v="14"/>
    <n v="2025"/>
    <n v="0"/>
    <x v="44"/>
    <n v="0"/>
    <m/>
    <s v="approved"/>
    <n v="42"/>
    <s v="no"/>
    <m/>
    <m/>
    <m/>
    <m/>
    <m/>
    <m/>
    <x v="0"/>
    <x v="98"/>
    <x v="206"/>
    <n v="38951671"/>
    <s v="AU.KB3068-B-0208-DRE"/>
    <n v="288"/>
    <n v="270.71999999999997"/>
    <m/>
    <m/>
    <s v="20250543-24.04.2025"/>
    <x v="1"/>
    <x v="1"/>
    <x v="0"/>
    <m/>
  </r>
  <r>
    <x v="0"/>
    <x v="0"/>
    <x v="55"/>
    <x v="45"/>
    <x v="102"/>
    <s v="094290350-0000 "/>
    <n v="0"/>
    <n v="0.94"/>
    <n v="5"/>
    <n v="4.6999999999999993"/>
    <x v="128"/>
    <n v="15"/>
    <n v="2025"/>
    <n v="0"/>
    <x v="44"/>
    <n v="0"/>
    <m/>
    <s v="approved"/>
    <n v="42"/>
    <s v="no"/>
    <m/>
    <m/>
    <m/>
    <m/>
    <m/>
    <m/>
    <x v="0"/>
    <x v="95"/>
    <x v="207"/>
    <n v="38979343"/>
    <s v="AU.KB3068-B-0208-DRE"/>
    <n v="0"/>
    <n v="0"/>
    <m/>
    <s v="PPAP"/>
    <s v="20250512-15.04.2025/20250976-25.07.2025"/>
    <x v="1"/>
    <x v="1"/>
    <x v="0"/>
    <m/>
  </r>
  <r>
    <x v="0"/>
    <x v="0"/>
    <x v="55"/>
    <x v="45"/>
    <x v="102"/>
    <s v="094290350-0000 "/>
    <n v="0"/>
    <n v="0.94"/>
    <n v="992"/>
    <n v="932.4799999999999"/>
    <x v="128"/>
    <n v="15"/>
    <n v="2025"/>
    <n v="0"/>
    <x v="44"/>
    <n v="0"/>
    <m/>
    <s v="approved"/>
    <n v="42"/>
    <s v="no"/>
    <m/>
    <m/>
    <m/>
    <m/>
    <m/>
    <m/>
    <x v="0"/>
    <x v="98"/>
    <x v="208"/>
    <n v="38979343"/>
    <s v="AU.KB3068-B-0208-DRE"/>
    <n v="992"/>
    <n v="932.4799999999999"/>
    <m/>
    <m/>
    <s v="20250544-24.04.2025"/>
    <x v="1"/>
    <x v="1"/>
    <x v="0"/>
    <m/>
  </r>
  <r>
    <x v="0"/>
    <x v="0"/>
    <x v="55"/>
    <x v="45"/>
    <x v="102"/>
    <s v="094290350-0000 "/>
    <n v="0"/>
    <n v="0.94"/>
    <n v="403"/>
    <n v="378.82"/>
    <x v="128"/>
    <n v="15"/>
    <n v="2025"/>
    <n v="0"/>
    <x v="44"/>
    <n v="0"/>
    <m/>
    <s v="approved"/>
    <n v="42"/>
    <s v="no"/>
    <m/>
    <m/>
    <m/>
    <m/>
    <m/>
    <m/>
    <x v="0"/>
    <x v="2"/>
    <x v="209"/>
    <n v="38979343"/>
    <s v="AU.KB3068-B-0208-DRE"/>
    <n v="403"/>
    <n v="378.82"/>
    <m/>
    <m/>
    <s v="20250557-29.04.2025"/>
    <x v="1"/>
    <x v="1"/>
    <x v="0"/>
    <m/>
  </r>
  <r>
    <x v="0"/>
    <x v="0"/>
    <x v="56"/>
    <x v="46"/>
    <x v="102"/>
    <s v="094290350-0000 "/>
    <n v="0"/>
    <n v="0.94"/>
    <n v="1542"/>
    <n v="1449.48"/>
    <x v="129"/>
    <n v="19"/>
    <n v="2025"/>
    <n v="0"/>
    <x v="44"/>
    <n v="0"/>
    <m/>
    <s v="approved"/>
    <n v="42"/>
    <s v="no"/>
    <m/>
    <m/>
    <m/>
    <m/>
    <m/>
    <m/>
    <x v="0"/>
    <x v="99"/>
    <x v="210"/>
    <n v="39080737"/>
    <s v="AU.KB3068-B-0208-DRE"/>
    <n v="1542"/>
    <n v="1449.48"/>
    <m/>
    <m/>
    <s v="20250589-06.05.2025"/>
    <x v="0"/>
    <x v="2"/>
    <x v="0"/>
    <m/>
  </r>
  <r>
    <x v="0"/>
    <x v="1"/>
    <x v="56"/>
    <x v="46"/>
    <x v="102"/>
    <s v="094290350-0000 "/>
    <n v="0"/>
    <n v="0.94"/>
    <n v="1458"/>
    <n v="1370.52"/>
    <x v="129"/>
    <n v="19"/>
    <n v="2025"/>
    <n v="0"/>
    <x v="44"/>
    <n v="0"/>
    <m/>
    <s v="approved"/>
    <n v="42"/>
    <s v="no"/>
    <m/>
    <m/>
    <m/>
    <m/>
    <m/>
    <m/>
    <x v="0"/>
    <x v="128"/>
    <x v="211"/>
    <n v="39080737"/>
    <s v="AU.KB3068-B-0208-DRE"/>
    <n v="0"/>
    <n v="0"/>
    <m/>
    <m/>
    <m/>
    <x v="1"/>
    <x v="2"/>
    <x v="0"/>
    <m/>
  </r>
  <r>
    <x v="0"/>
    <x v="0"/>
    <x v="57"/>
    <x v="46"/>
    <x v="102"/>
    <s v="094290350-0000 "/>
    <n v="0"/>
    <n v="0.94"/>
    <n v="1000"/>
    <n v="940"/>
    <x v="10"/>
    <n v="20"/>
    <n v="2025"/>
    <n v="0"/>
    <x v="44"/>
    <n v="0"/>
    <m/>
    <s v="approved"/>
    <n v="42"/>
    <s v="no"/>
    <m/>
    <m/>
    <m/>
    <m/>
    <m/>
    <m/>
    <x v="0"/>
    <x v="128"/>
    <x v="211"/>
    <n v="39080743"/>
    <s v="AU.KB3068-B-0208-DRE"/>
    <n v="0"/>
    <n v="0"/>
    <m/>
    <m/>
    <m/>
    <x v="1"/>
    <x v="2"/>
    <x v="0"/>
    <m/>
  </r>
  <r>
    <x v="0"/>
    <x v="0"/>
    <x v="58"/>
    <x v="46"/>
    <x v="102"/>
    <s v="094290350-0000 "/>
    <n v="0"/>
    <n v="0.94"/>
    <n v="532"/>
    <n v="500.08"/>
    <x v="0"/>
    <n v="27"/>
    <n v="2025"/>
    <n v="0"/>
    <x v="44"/>
    <n v="0"/>
    <m/>
    <s v="approved"/>
    <n v="42"/>
    <s v="no"/>
    <m/>
    <m/>
    <m/>
    <m/>
    <m/>
    <m/>
    <x v="0"/>
    <x v="12"/>
    <x v="212"/>
    <n v="39593650"/>
    <s v="AU.KB3068-B-0208-DRE"/>
    <n v="532"/>
    <n v="500.08"/>
    <m/>
    <m/>
    <s v="20250850-02.07.2025"/>
    <x v="0"/>
    <x v="0"/>
    <x v="0"/>
    <m/>
  </r>
  <r>
    <x v="0"/>
    <x v="0"/>
    <x v="55"/>
    <x v="45"/>
    <x v="102"/>
    <s v="094290350-0000 "/>
    <n v="0"/>
    <n v="0.94"/>
    <n v="5"/>
    <n v="4.6999999999999993"/>
    <x v="0"/>
    <n v="27"/>
    <n v="2025"/>
    <n v="0"/>
    <x v="44"/>
    <n v="0"/>
    <m/>
    <s v="approved"/>
    <n v="42"/>
    <s v="no"/>
    <m/>
    <m/>
    <m/>
    <m/>
    <m/>
    <m/>
    <x v="0"/>
    <x v="129"/>
    <x v="213"/>
    <n v="38979343"/>
    <s v="AU.KB3068-B-0208-DRE"/>
    <n v="5"/>
    <n v="4.6999999999999993"/>
    <m/>
    <s v="PIESE PTR PPAP"/>
    <s v="20250869-07.07.2025"/>
    <x v="1"/>
    <x v="0"/>
    <x v="0"/>
    <m/>
  </r>
  <r>
    <x v="0"/>
    <x v="0"/>
    <x v="55"/>
    <x v="45"/>
    <x v="102"/>
    <s v="094290350-0000 "/>
    <n v="0"/>
    <n v="0.94"/>
    <n v="1395"/>
    <n v="1311.3"/>
    <x v="0"/>
    <n v="27"/>
    <n v="2025"/>
    <n v="0"/>
    <x v="44"/>
    <n v="0"/>
    <m/>
    <s v="approved"/>
    <n v="42"/>
    <s v="no"/>
    <m/>
    <m/>
    <m/>
    <m/>
    <m/>
    <m/>
    <x v="0"/>
    <x v="23"/>
    <x v="4"/>
    <s v=""/>
    <s v=""/>
    <n v="0"/>
    <n v="0"/>
    <m/>
    <m/>
    <m/>
    <x v="1"/>
    <x v="0"/>
    <x v="0"/>
    <m/>
  </r>
  <r>
    <x v="0"/>
    <x v="1"/>
    <x v="56"/>
    <x v="46"/>
    <x v="102"/>
    <s v="094290350-0000 "/>
    <n v="0"/>
    <n v="0.94"/>
    <n v="3500"/>
    <n v="3290"/>
    <x v="0"/>
    <n v="27"/>
    <n v="2025"/>
    <n v="0"/>
    <x v="44"/>
    <n v="0"/>
    <m/>
    <s v="approved"/>
    <n v="42"/>
    <s v="no"/>
    <m/>
    <m/>
    <m/>
    <m/>
    <m/>
    <m/>
    <x v="0"/>
    <x v="23"/>
    <x v="4"/>
    <s v=""/>
    <s v=""/>
    <n v="0"/>
    <n v="0"/>
    <m/>
    <m/>
    <m/>
    <x v="1"/>
    <x v="0"/>
    <x v="0"/>
    <m/>
  </r>
  <r>
    <x v="0"/>
    <x v="0"/>
    <x v="59"/>
    <x v="35"/>
    <x v="102"/>
    <s v="094290350-0000 "/>
    <n v="0"/>
    <n v="0.94"/>
    <n v="5"/>
    <n v="4.6999999999999993"/>
    <x v="116"/>
    <n v="29"/>
    <n v="2025"/>
    <n v="0"/>
    <x v="44"/>
    <n v="0"/>
    <m/>
    <s v="approved"/>
    <n v="42"/>
    <s v="no"/>
    <m/>
    <m/>
    <m/>
    <m/>
    <m/>
    <m/>
    <x v="0"/>
    <x v="130"/>
    <x v="214"/>
    <n v="39717811"/>
    <s v="AU.KB3068-B-0208-DRE"/>
    <n v="5"/>
    <n v="4.6999999999999993"/>
    <m/>
    <m/>
    <s v="20250931-18.07.2025"/>
    <x v="0"/>
    <x v="8"/>
    <x v="0"/>
    <m/>
  </r>
  <r>
    <x v="0"/>
    <x v="1"/>
    <x v="56"/>
    <x v="46"/>
    <x v="102"/>
    <s v="094290350-0000 "/>
    <n v="0"/>
    <n v="0.94"/>
    <n v="2000"/>
    <n v="1880"/>
    <x v="117"/>
    <n v="31"/>
    <n v="2025"/>
    <n v="0"/>
    <x v="44"/>
    <n v="0"/>
    <m/>
    <s v="approved"/>
    <n v="42"/>
    <s v="no"/>
    <m/>
    <m/>
    <m/>
    <m/>
    <m/>
    <m/>
    <x v="0"/>
    <x v="23"/>
    <x v="4"/>
    <s v=""/>
    <s v=""/>
    <n v="0"/>
    <n v="0"/>
    <m/>
    <m/>
    <m/>
    <x v="1"/>
    <x v="8"/>
    <x v="0"/>
    <m/>
  </r>
  <r>
    <x v="0"/>
    <x v="0"/>
    <x v="60"/>
    <x v="47"/>
    <x v="102"/>
    <s v="094290350-0000 "/>
    <n v="0"/>
    <n v="0.94"/>
    <n v="113"/>
    <n v="106.22"/>
    <x v="130"/>
    <n v="41"/>
    <n v="2025"/>
    <n v="0"/>
    <x v="44"/>
    <n v="0"/>
    <m/>
    <s v="approved"/>
    <n v="2.3541666666666665"/>
    <m/>
    <m/>
    <m/>
    <m/>
    <m/>
    <m/>
    <m/>
    <x v="0"/>
    <x v="131"/>
    <x v="215"/>
    <n v="50333561"/>
    <s v="AU.KB3068-B-0208-DRE"/>
    <n v="113"/>
    <n v="106.22"/>
    <m/>
    <m/>
    <s v="20251257-01.10.2025"/>
    <x v="0"/>
    <x v="11"/>
    <x v="0"/>
    <m/>
  </r>
  <r>
    <x v="0"/>
    <x v="0"/>
    <x v="60"/>
    <x v="47"/>
    <x v="102"/>
    <s v="094290350-0000 "/>
    <n v="0"/>
    <n v="0.94"/>
    <n v="833"/>
    <n v="783.02"/>
    <x v="130"/>
    <n v="41"/>
    <n v="2025"/>
    <n v="0"/>
    <x v="44"/>
    <n v="0"/>
    <m/>
    <s v="approved"/>
    <n v="17.354166666666668"/>
    <m/>
    <m/>
    <m/>
    <m/>
    <m/>
    <m/>
    <m/>
    <x v="0"/>
    <x v="132"/>
    <x v="216"/>
    <n v="50333561"/>
    <s v="AU.KB3068-B-0208-DRE"/>
    <n v="833"/>
    <n v="783.02"/>
    <m/>
    <m/>
    <s v="20251264-02.10.2025"/>
    <x v="0"/>
    <x v="11"/>
    <x v="0"/>
    <m/>
  </r>
  <r>
    <x v="0"/>
    <x v="0"/>
    <x v="60"/>
    <x v="47"/>
    <x v="102"/>
    <s v="094290350-0000 "/>
    <n v="0"/>
    <n v="0.94"/>
    <n v="451"/>
    <n v="423.94"/>
    <x v="130"/>
    <n v="41"/>
    <n v="2025"/>
    <n v="0"/>
    <x v="44"/>
    <n v="0"/>
    <m/>
    <s v="approved"/>
    <n v="9.3958333333333339"/>
    <m/>
    <m/>
    <m/>
    <m/>
    <m/>
    <m/>
    <m/>
    <x v="0"/>
    <x v="133"/>
    <x v="217"/>
    <n v="50333561"/>
    <s v="AU.KB3068-B-0208-DRE"/>
    <n v="451"/>
    <n v="423.94"/>
    <m/>
    <m/>
    <s v="20251272-03.10.2025"/>
    <x v="0"/>
    <x v="11"/>
    <x v="0"/>
    <m/>
  </r>
  <r>
    <x v="0"/>
    <x v="0"/>
    <x v="60"/>
    <x v="47"/>
    <x v="102"/>
    <s v="094290350-0000 "/>
    <n v="0"/>
    <n v="0.94"/>
    <n v="240"/>
    <n v="225.6"/>
    <x v="130"/>
    <n v="41"/>
    <n v="2025"/>
    <n v="0"/>
    <x v="44"/>
    <n v="0"/>
    <m/>
    <s v="approved"/>
    <n v="5"/>
    <m/>
    <m/>
    <m/>
    <m/>
    <m/>
    <m/>
    <m/>
    <x v="0"/>
    <x v="113"/>
    <x v="218"/>
    <n v="50333561"/>
    <s v="AU.KB3068-B-0208-DRE"/>
    <n v="240"/>
    <n v="225.6"/>
    <m/>
    <m/>
    <s v="20251289-07.10.2025"/>
    <x v="0"/>
    <x v="11"/>
    <x v="0"/>
    <m/>
  </r>
  <r>
    <x v="0"/>
    <x v="0"/>
    <x v="60"/>
    <x v="47"/>
    <x v="102"/>
    <s v="094290350-0000 "/>
    <n v="0"/>
    <n v="0.94"/>
    <n v="654"/>
    <n v="614.76"/>
    <x v="130"/>
    <n v="41"/>
    <n v="2025"/>
    <n v="0"/>
    <x v="44"/>
    <n v="0"/>
    <m/>
    <s v="approved"/>
    <n v="13.625"/>
    <m/>
    <m/>
    <m/>
    <m/>
    <m/>
    <m/>
    <m/>
    <x v="0"/>
    <x v="114"/>
    <x v="219"/>
    <n v="50333561"/>
    <s v="AU.KB3068-B-0208-DRE"/>
    <n v="654"/>
    <n v="614.76"/>
    <m/>
    <m/>
    <s v="20251293-09.10.2025"/>
    <x v="0"/>
    <x v="11"/>
    <x v="0"/>
    <m/>
  </r>
  <r>
    <x v="0"/>
    <x v="0"/>
    <x v="60"/>
    <x v="47"/>
    <x v="102"/>
    <s v="094290350-0000 "/>
    <n v="0"/>
    <n v="0.94"/>
    <n v="809"/>
    <n v="760.45999999999992"/>
    <x v="130"/>
    <n v="41"/>
    <n v="2025"/>
    <n v="0"/>
    <x v="44"/>
    <n v="0"/>
    <m/>
    <s v="approved"/>
    <n v="16.854166666666668"/>
    <m/>
    <m/>
    <m/>
    <m/>
    <m/>
    <m/>
    <m/>
    <x v="0"/>
    <x v="115"/>
    <x v="220"/>
    <n v="50333561"/>
    <s v="AU.KB3068-B-0208-DRE"/>
    <n v="809"/>
    <n v="760.45999999999992"/>
    <m/>
    <m/>
    <s v="20251303-14.10.2025"/>
    <x v="1"/>
    <x v="11"/>
    <x v="0"/>
    <m/>
  </r>
  <r>
    <x v="0"/>
    <x v="0"/>
    <x v="61"/>
    <x v="47"/>
    <x v="102"/>
    <s v="094290350-0000 "/>
    <n v="0"/>
    <n v="0.94"/>
    <n v="302"/>
    <n v="283.88"/>
    <x v="131"/>
    <n v="42"/>
    <n v="2025"/>
    <n v="0"/>
    <x v="44"/>
    <n v="0"/>
    <m/>
    <s v="approved"/>
    <n v="6.291666666666667"/>
    <m/>
    <m/>
    <m/>
    <m/>
    <m/>
    <m/>
    <m/>
    <x v="0"/>
    <x v="115"/>
    <x v="221"/>
    <n v="50333562"/>
    <s v="AU.KB3068-B-0208-DRE"/>
    <n v="302"/>
    <n v="283.88"/>
    <m/>
    <m/>
    <s v="20251304-14.10.2025"/>
    <x v="0"/>
    <x v="11"/>
    <x v="0"/>
    <m/>
  </r>
  <r>
    <x v="0"/>
    <x v="0"/>
    <x v="61"/>
    <x v="47"/>
    <x v="102"/>
    <s v="094290350-0000 "/>
    <n v="0"/>
    <n v="0.94"/>
    <n v="718"/>
    <n v="674.92"/>
    <x v="131"/>
    <n v="42"/>
    <n v="2025"/>
    <n v="0"/>
    <x v="44"/>
    <n v="0"/>
    <m/>
    <s v="approved"/>
    <n v="14.958333333333334"/>
    <m/>
    <m/>
    <m/>
    <m/>
    <m/>
    <m/>
    <m/>
    <x v="0"/>
    <x v="31"/>
    <x v="222"/>
    <n v="50333562"/>
    <s v="AU.KB3068-B-0208-DRE"/>
    <n v="718"/>
    <n v="674.92"/>
    <m/>
    <m/>
    <s v="20251313-16.10.2025"/>
    <x v="0"/>
    <x v="11"/>
    <x v="0"/>
    <m/>
  </r>
  <r>
    <x v="0"/>
    <x v="0"/>
    <x v="61"/>
    <x v="47"/>
    <x v="102"/>
    <s v="094290350-0000 "/>
    <n v="0"/>
    <n v="0.94"/>
    <n v="233"/>
    <n v="219.01999999999998"/>
    <x v="131"/>
    <n v="42"/>
    <n v="2025"/>
    <n v="0"/>
    <x v="44"/>
    <n v="0"/>
    <m/>
    <s v="approved"/>
    <n v="4.854166666666667"/>
    <m/>
    <m/>
    <m/>
    <m/>
    <m/>
    <m/>
    <m/>
    <x v="0"/>
    <x v="116"/>
    <x v="223"/>
    <n v="50333562"/>
    <s v="AU.KB3068-B-0208-DRE"/>
    <n v="233"/>
    <n v="219.01999999999998"/>
    <m/>
    <m/>
    <s v="20251320-17.10.2025"/>
    <x v="0"/>
    <x v="11"/>
    <x v="0"/>
    <m/>
  </r>
  <r>
    <x v="0"/>
    <x v="0"/>
    <x v="61"/>
    <x v="47"/>
    <x v="102"/>
    <s v="094290350-0000 "/>
    <n v="0"/>
    <n v="0.94"/>
    <n v="622"/>
    <n v="584.67999999999995"/>
    <x v="131"/>
    <n v="42"/>
    <n v="2025"/>
    <n v="0"/>
    <x v="44"/>
    <n v="0"/>
    <m/>
    <s v="approved"/>
    <n v="12.958333333333334"/>
    <m/>
    <m/>
    <m/>
    <m/>
    <m/>
    <m/>
    <m/>
    <x v="0"/>
    <x v="117"/>
    <x v="224"/>
    <n v="50333562"/>
    <s v="AU.KB3068-B-0208-DRE"/>
    <n v="622"/>
    <n v="584.67999999999995"/>
    <m/>
    <m/>
    <s v="20251338-21.10.2025"/>
    <x v="1"/>
    <x v="11"/>
    <x v="0"/>
    <m/>
  </r>
  <r>
    <x v="0"/>
    <x v="0"/>
    <x v="61"/>
    <x v="47"/>
    <x v="102"/>
    <s v="094290350-0000 "/>
    <n v="0"/>
    <n v="0.94"/>
    <n v="663"/>
    <n v="623.21999999999991"/>
    <x v="131"/>
    <n v="42"/>
    <n v="2025"/>
    <n v="0"/>
    <x v="44"/>
    <n v="0"/>
    <m/>
    <s v="approved"/>
    <n v="13.8125"/>
    <m/>
    <m/>
    <m/>
    <m/>
    <m/>
    <m/>
    <m/>
    <x v="0"/>
    <x v="134"/>
    <x v="225"/>
    <n v="50333562"/>
    <s v="AU.KB3068-B-0208-DRE"/>
    <n v="663"/>
    <n v="623.21999999999991"/>
    <m/>
    <m/>
    <s v="20251347-23.10.2025"/>
    <x v="1"/>
    <x v="11"/>
    <x v="0"/>
    <m/>
  </r>
  <r>
    <x v="0"/>
    <x v="0"/>
    <x v="61"/>
    <x v="47"/>
    <x v="102"/>
    <s v="094290350-0000 "/>
    <n v="0"/>
    <n v="0.94"/>
    <n v="562"/>
    <n v="528.28"/>
    <x v="131"/>
    <n v="42"/>
    <n v="2025"/>
    <n v="0"/>
    <x v="44"/>
    <n v="0"/>
    <m/>
    <s v="approved"/>
    <n v="11.708333333333334"/>
    <m/>
    <m/>
    <m/>
    <m/>
    <m/>
    <m/>
    <m/>
    <x v="0"/>
    <x v="47"/>
    <x v="226"/>
    <n v="50333562"/>
    <s v="AU.KB3068-B-0208-DRE"/>
    <n v="562"/>
    <n v="528.28"/>
    <m/>
    <m/>
    <s v="20251360-28.10.2025"/>
    <x v="1"/>
    <x v="11"/>
    <x v="0"/>
    <m/>
  </r>
  <r>
    <x v="0"/>
    <x v="0"/>
    <x v="62"/>
    <x v="47"/>
    <x v="102"/>
    <s v="094290350-0000 "/>
    <n v="0"/>
    <n v="0.94"/>
    <n v="827"/>
    <n v="777.38"/>
    <x v="132"/>
    <n v="44"/>
    <n v="2025"/>
    <n v="0"/>
    <x v="44"/>
    <n v="0"/>
    <m/>
    <s v="approved"/>
    <n v="17.229166666666668"/>
    <m/>
    <m/>
    <m/>
    <m/>
    <m/>
    <m/>
    <m/>
    <x v="0"/>
    <x v="47"/>
    <x v="227"/>
    <n v="50333564"/>
    <s v="AU.KB3068-B-0208-DRE"/>
    <n v="827"/>
    <n v="777.38"/>
    <m/>
    <m/>
    <s v="20251361-28.10.2025"/>
    <x v="0"/>
    <x v="11"/>
    <x v="0"/>
    <m/>
  </r>
  <r>
    <x v="0"/>
    <x v="0"/>
    <x v="62"/>
    <x v="47"/>
    <x v="102"/>
    <s v="094290350-0000 "/>
    <n v="0"/>
    <n v="0.94"/>
    <n v="847"/>
    <n v="796.18"/>
    <x v="132"/>
    <n v="44"/>
    <n v="2025"/>
    <n v="0"/>
    <x v="44"/>
    <n v="0"/>
    <m/>
    <s v="approved"/>
    <n v="17.645833333333332"/>
    <m/>
    <m/>
    <m/>
    <m/>
    <m/>
    <m/>
    <m/>
    <x v="0"/>
    <x v="49"/>
    <x v="228"/>
    <n v="50333564"/>
    <s v="AU.KB3068-B-0208-DRE"/>
    <n v="847"/>
    <n v="796.18"/>
    <m/>
    <m/>
    <s v="20251394-30.10.2025"/>
    <x v="0"/>
    <x v="11"/>
    <x v="0"/>
    <m/>
  </r>
  <r>
    <x v="0"/>
    <x v="0"/>
    <x v="62"/>
    <x v="47"/>
    <x v="102"/>
    <s v="094290350-0000 "/>
    <n v="0"/>
    <n v="0.94"/>
    <n v="342"/>
    <n v="321.47999999999996"/>
    <x v="132"/>
    <n v="44"/>
    <n v="2025"/>
    <n v="0"/>
    <x v="44"/>
    <n v="0"/>
    <m/>
    <s v="approved"/>
    <n v="7.125"/>
    <m/>
    <m/>
    <m/>
    <m/>
    <m/>
    <m/>
    <m/>
    <x v="0"/>
    <x v="135"/>
    <x v="229"/>
    <n v="50333564"/>
    <s v="AU.KB3068-B-0208-DRE"/>
    <n v="342"/>
    <n v="321.47999999999996"/>
    <m/>
    <m/>
    <s v="20251395-31.10.2025"/>
    <x v="0"/>
    <x v="11"/>
    <x v="0"/>
    <m/>
  </r>
  <r>
    <x v="0"/>
    <x v="0"/>
    <x v="62"/>
    <x v="47"/>
    <x v="102"/>
    <s v="094290350-0000 "/>
    <n v="0"/>
    <n v="0.94"/>
    <n v="298"/>
    <n v="280.12"/>
    <x v="132"/>
    <n v="44"/>
    <n v="2025"/>
    <n v="0"/>
    <x v="44"/>
    <n v="0"/>
    <m/>
    <s v="approved"/>
    <n v="6.208333333333333"/>
    <m/>
    <m/>
    <m/>
    <m/>
    <m/>
    <m/>
    <m/>
    <x v="0"/>
    <x v="118"/>
    <x v="230"/>
    <n v="50333564"/>
    <s v="AU.KB3068-B-0208-DRE"/>
    <n v="298"/>
    <n v="280.12"/>
    <m/>
    <m/>
    <s v="20251405-04.11.2025"/>
    <x v="1"/>
    <x v="11"/>
    <x v="0"/>
    <m/>
  </r>
  <r>
    <x v="0"/>
    <x v="0"/>
    <x v="62"/>
    <x v="47"/>
    <x v="102"/>
    <s v="094290350-0000 "/>
    <n v="0"/>
    <n v="0.94"/>
    <n v="486"/>
    <n v="456.84"/>
    <x v="132"/>
    <n v="44"/>
    <n v="2025"/>
    <n v="0"/>
    <x v="44"/>
    <n v="0"/>
    <m/>
    <s v="approved"/>
    <n v="10.125"/>
    <m/>
    <m/>
    <m/>
    <m/>
    <m/>
    <m/>
    <m/>
    <x v="1"/>
    <x v="3"/>
    <x v="4"/>
    <s v=""/>
    <s v=""/>
    <m/>
    <n v="0"/>
    <m/>
    <m/>
    <m/>
    <x v="1"/>
    <x v="11"/>
    <x v="0"/>
    <m/>
  </r>
  <r>
    <x v="0"/>
    <x v="1"/>
    <x v="56"/>
    <x v="46"/>
    <x v="102"/>
    <s v="094290350-0000 "/>
    <n v="0"/>
    <n v="0.94"/>
    <n v="3500"/>
    <n v="3290"/>
    <x v="121"/>
    <n v="49"/>
    <n v="2025"/>
    <n v="0"/>
    <x v="44"/>
    <n v="0"/>
    <m/>
    <s v="approved"/>
    <n v="42"/>
    <s v="no"/>
    <m/>
    <m/>
    <m/>
    <m/>
    <m/>
    <m/>
    <x v="1"/>
    <x v="3"/>
    <x v="4"/>
    <s v=""/>
    <s v=""/>
    <m/>
    <n v="0"/>
    <m/>
    <m/>
    <m/>
    <x v="2"/>
    <x v="4"/>
    <x v="0"/>
    <m/>
  </r>
  <r>
    <x v="0"/>
    <x v="1"/>
    <x v="56"/>
    <x v="46"/>
    <x v="102"/>
    <s v="094290350-0000 "/>
    <n v="0"/>
    <n v="0.94"/>
    <n v="2000"/>
    <n v="1880"/>
    <x v="122"/>
    <n v="51"/>
    <n v="2025"/>
    <n v="0"/>
    <x v="44"/>
    <n v="0"/>
    <m/>
    <s v="approved"/>
    <n v="42"/>
    <s v="no"/>
    <m/>
    <m/>
    <m/>
    <m/>
    <m/>
    <m/>
    <x v="1"/>
    <x v="3"/>
    <x v="4"/>
    <s v=""/>
    <s v=""/>
    <m/>
    <n v="0"/>
    <m/>
    <m/>
    <m/>
    <x v="2"/>
    <x v="3"/>
    <x v="0"/>
    <m/>
  </r>
  <r>
    <x v="0"/>
    <x v="0"/>
    <x v="63"/>
    <x v="48"/>
    <x v="103"/>
    <s v="302926577-8011"/>
    <n v="0"/>
    <n v="1.36"/>
    <n v="5"/>
    <n v="6.8000000000000007"/>
    <x v="133"/>
    <n v="45"/>
    <n v="2024"/>
    <n v="0"/>
    <x v="44"/>
    <n v="0"/>
    <m/>
    <s v="project"/>
    <n v="42"/>
    <m/>
    <m/>
    <m/>
    <m/>
    <m/>
    <s v="Yes"/>
    <m/>
    <x v="0"/>
    <x v="23"/>
    <x v="4"/>
    <s v=""/>
    <s v=""/>
    <n v="0"/>
    <n v="0"/>
    <m/>
    <m/>
    <m/>
    <x v="1"/>
    <x v="4"/>
    <x v="1"/>
    <m/>
  </r>
  <r>
    <x v="0"/>
    <x v="0"/>
    <x v="64"/>
    <x v="34"/>
    <x v="103"/>
    <s v="302926577-8011"/>
    <n v="0"/>
    <n v="1.36"/>
    <n v="5"/>
    <n v="6.8000000000000007"/>
    <x v="134"/>
    <n v="27"/>
    <n v="2025"/>
    <n v="0"/>
    <x v="44"/>
    <n v="0"/>
    <m/>
    <s v="project"/>
    <n v="0.10416666666666667"/>
    <m/>
    <m/>
    <m/>
    <m/>
    <m/>
    <m/>
    <m/>
    <x v="1"/>
    <x v="3"/>
    <x v="4"/>
    <s v=""/>
    <s v=""/>
    <m/>
    <n v="0"/>
    <m/>
    <m/>
    <m/>
    <x v="1"/>
    <x v="8"/>
    <x v="0"/>
    <m/>
  </r>
  <r>
    <x v="0"/>
    <x v="0"/>
    <x v="65"/>
    <x v="49"/>
    <x v="104"/>
    <n v="0"/>
    <n v="0"/>
    <n v="1.77"/>
    <n v="5"/>
    <n v="8.85"/>
    <x v="133"/>
    <n v="45"/>
    <n v="2024"/>
    <n v="0"/>
    <x v="44"/>
    <n v="0"/>
    <m/>
    <s v="project"/>
    <n v="0.10416666666666667"/>
    <m/>
    <m/>
    <m/>
    <m/>
    <m/>
    <m/>
    <m/>
    <x v="0"/>
    <x v="20"/>
    <x v="231"/>
    <n v="38555118"/>
    <s v="AU.KB50100B-0208-ISB-WW1"/>
    <n v="5"/>
    <n v="8.85"/>
    <m/>
    <m/>
    <s v="20251242-30.09.2025"/>
    <x v="1"/>
    <x v="4"/>
    <x v="1"/>
    <m/>
  </r>
  <r>
    <x v="0"/>
    <x v="0"/>
    <x v="66"/>
    <x v="50"/>
    <x v="104"/>
    <n v="0"/>
    <n v="0"/>
    <n v="1.77"/>
    <n v="5"/>
    <n v="8.85"/>
    <x v="135"/>
    <n v="41"/>
    <n v="2025"/>
    <n v="0"/>
    <x v="44"/>
    <n v="0"/>
    <m/>
    <s v="project"/>
    <n v="0.10416666666666667"/>
    <m/>
    <m/>
    <m/>
    <m/>
    <m/>
    <m/>
    <m/>
    <x v="0"/>
    <x v="114"/>
    <x v="4"/>
    <s v=""/>
    <s v=""/>
    <n v="0"/>
    <n v="0"/>
    <m/>
    <s v="PPAP il cere pe cda asta ptr livrarea din 30"/>
    <m/>
    <x v="0"/>
    <x v="11"/>
    <x v="0"/>
    <m/>
  </r>
  <r>
    <x v="0"/>
    <x v="0"/>
    <x v="67"/>
    <x v="48"/>
    <x v="104"/>
    <n v="0"/>
    <n v="0"/>
    <n v="1.77"/>
    <n v="5"/>
    <n v="8.85"/>
    <x v="133"/>
    <n v="45"/>
    <n v="2024"/>
    <n v="0"/>
    <x v="44"/>
    <n v="0"/>
    <m/>
    <s v="project"/>
    <n v="42"/>
    <m/>
    <m/>
    <m/>
    <m/>
    <m/>
    <s v="Yes"/>
    <m/>
    <x v="0"/>
    <x v="23"/>
    <x v="4"/>
    <s v=""/>
    <s v=""/>
    <n v="0"/>
    <n v="0"/>
    <m/>
    <m/>
    <m/>
    <x v="1"/>
    <x v="4"/>
    <x v="1"/>
    <m/>
  </r>
  <r>
    <x v="2"/>
    <x v="0"/>
    <x v="68"/>
    <x v="51"/>
    <x v="105"/>
    <s v="Stator Bridge milled 39.99"/>
    <n v="2"/>
    <n v="24.24"/>
    <n v="50"/>
    <n v="1212"/>
    <x v="136"/>
    <n v="15"/>
    <n v="2024"/>
    <n v="0"/>
    <x v="45"/>
    <n v="50"/>
    <m/>
    <s v="approved"/>
    <n v="56"/>
    <s v="yes"/>
    <m/>
    <m/>
    <m/>
    <m/>
    <m/>
    <n v="241717"/>
    <x v="0"/>
    <x v="136"/>
    <x v="232"/>
    <n v="7018654120"/>
    <s v="B85300050"/>
    <n v="39"/>
    <n v="945.3599999999999"/>
    <m/>
    <m/>
    <s v="20240558-17.05.2024"/>
    <x v="1"/>
    <x v="1"/>
    <x v="1"/>
    <m/>
  </r>
  <r>
    <x v="2"/>
    <x v="0"/>
    <x v="68"/>
    <x v="51"/>
    <x v="105"/>
    <s v="Stator Bridge milled 39.99"/>
    <n v="2"/>
    <n v="24.24"/>
    <n v="0"/>
    <n v="0"/>
    <x v="136"/>
    <n v="15"/>
    <n v="2024"/>
    <n v="0"/>
    <x v="45"/>
    <n v="50"/>
    <m/>
    <m/>
    <n v="0"/>
    <m/>
    <m/>
    <m/>
    <m/>
    <m/>
    <m/>
    <m/>
    <x v="0"/>
    <x v="68"/>
    <x v="233"/>
    <n v="7018654120"/>
    <s v="B85300050"/>
    <n v="11"/>
    <n v="266.64"/>
    <m/>
    <m/>
    <s v="20240780-25.06.2024"/>
    <x v="1"/>
    <x v="1"/>
    <x v="1"/>
    <m/>
  </r>
  <r>
    <x v="2"/>
    <x v="0"/>
    <x v="69"/>
    <x v="42"/>
    <x v="105"/>
    <s v="Stator Bridge milled 39.99"/>
    <n v="2"/>
    <n v="24.24"/>
    <n v="40"/>
    <n v="969.59999999999991"/>
    <x v="137"/>
    <n v="31"/>
    <n v="2024"/>
    <n v="0"/>
    <x v="45"/>
    <n v="50"/>
    <m/>
    <s v="approved"/>
    <n v="56"/>
    <s v="yes"/>
    <m/>
    <m/>
    <m/>
    <m/>
    <m/>
    <m/>
    <x v="0"/>
    <x v="124"/>
    <x v="234"/>
    <n v="7018682494"/>
    <s v="B85300050"/>
    <n v="40"/>
    <n v="969.59999999999991"/>
    <m/>
    <m/>
    <s v="20240993-05.08.2024"/>
    <x v="0"/>
    <x v="9"/>
    <x v="1"/>
    <m/>
  </r>
  <r>
    <x v="2"/>
    <x v="0"/>
    <x v="70"/>
    <x v="2"/>
    <x v="106"/>
    <s v="P1 A0 CMSD CLAMP NUT"/>
    <n v="3"/>
    <n v="1.41"/>
    <n v="50"/>
    <n v="70.5"/>
    <x v="93"/>
    <n v="31"/>
    <n v="2023"/>
    <n v="0"/>
    <x v="46"/>
    <n v="50"/>
    <m/>
    <s v="project"/>
    <n v="56"/>
    <s v="yes"/>
    <m/>
    <m/>
    <m/>
    <m/>
    <m/>
    <m/>
    <x v="0"/>
    <x v="3"/>
    <x v="4"/>
    <s v=""/>
    <s v=""/>
    <m/>
    <n v="0"/>
    <m/>
    <s v="Proiect Anulat"/>
    <m/>
    <x v="1"/>
    <x v="9"/>
    <x v="2"/>
    <m/>
  </r>
  <r>
    <x v="2"/>
    <x v="0"/>
    <x v="70"/>
    <x v="52"/>
    <x v="107"/>
    <s v="OIL FEED NUT AO"/>
    <n v="42835"/>
    <n v="1.24"/>
    <n v="50"/>
    <n v="62"/>
    <x v="93"/>
    <n v="31"/>
    <n v="2023"/>
    <n v="0"/>
    <x v="47"/>
    <n v="50"/>
    <m/>
    <s v="project"/>
    <n v="42"/>
    <s v="no"/>
    <m/>
    <m/>
    <m/>
    <m/>
    <m/>
    <m/>
    <x v="0"/>
    <x v="3"/>
    <x v="4"/>
    <s v=""/>
    <s v=""/>
    <m/>
    <n v="0"/>
    <m/>
    <s v="Proiect Anulat"/>
    <m/>
    <x v="1"/>
    <x v="9"/>
    <x v="2"/>
    <m/>
  </r>
  <r>
    <x v="2"/>
    <x v="0"/>
    <x v="71"/>
    <x v="2"/>
    <x v="108"/>
    <s v="Main body"/>
    <n v="0"/>
    <n v="67.849999999999994"/>
    <n v="5"/>
    <n v="339.25"/>
    <x v="138"/>
    <n v="26"/>
    <n v="2024"/>
    <n v="0"/>
    <x v="48"/>
    <n v="50"/>
    <m/>
    <s v="project"/>
    <n v="42"/>
    <s v="no"/>
    <m/>
    <m/>
    <m/>
    <m/>
    <m/>
    <m/>
    <x v="0"/>
    <x v="3"/>
    <x v="4"/>
    <s v=""/>
    <s v=""/>
    <n v="0"/>
    <n v="0"/>
    <m/>
    <m/>
    <m/>
    <x v="1"/>
    <x v="0"/>
    <x v="1"/>
    <m/>
  </r>
  <r>
    <x v="4"/>
    <x v="0"/>
    <x v="72"/>
    <x v="53"/>
    <x v="109"/>
    <s v="INTERMEDIATE SHAFT Z27"/>
    <s v="C"/>
    <n v="10.99"/>
    <n v="24"/>
    <n v="263.76"/>
    <x v="139"/>
    <n v="13"/>
    <n v="2024"/>
    <n v="0"/>
    <x v="49"/>
    <n v="0"/>
    <m/>
    <s v="approved"/>
    <n v="42"/>
    <s v="no"/>
    <m/>
    <m/>
    <m/>
    <m/>
    <m/>
    <s v="241306"/>
    <x v="0"/>
    <x v="137"/>
    <x v="235"/>
    <s v="RA118470"/>
    <s v="CZR0003076"/>
    <n v="24"/>
    <n v="263.76"/>
    <m/>
    <m/>
    <s v="20240314-29.03.2024"/>
    <x v="0"/>
    <x v="5"/>
    <x v="1"/>
    <m/>
  </r>
  <r>
    <x v="4"/>
    <x v="0"/>
    <x v="73"/>
    <x v="54"/>
    <x v="110"/>
    <s v="BEVEL GEAR PINION Z_21 "/>
    <s v="A"/>
    <s v=""/>
    <n v="32"/>
    <s v=" "/>
    <x v="140"/>
    <n v="16"/>
    <n v="2024"/>
    <n v="0"/>
    <x v="50"/>
    <n v="0"/>
    <m/>
    <s v="approved"/>
    <n v="42"/>
    <s v="no"/>
    <m/>
    <m/>
    <m/>
    <m/>
    <m/>
    <n v="241720"/>
    <x v="0"/>
    <x v="22"/>
    <x v="236"/>
    <s v="RA118782"/>
    <s v="CZR0015562"/>
    <n v="32"/>
    <e v="#VALUE!"/>
    <m/>
    <m/>
    <s v="20240541-14.05.2024"/>
    <x v="1"/>
    <x v="1"/>
    <x v="1"/>
    <m/>
  </r>
  <r>
    <x v="0"/>
    <x v="0"/>
    <x v="74"/>
    <x v="55"/>
    <x v="111"/>
    <s v="300343426-0000"/>
    <s v="AA"/>
    <n v="7.21"/>
    <n v="66"/>
    <n v="475.86"/>
    <x v="141"/>
    <n v="16"/>
    <n v="2025"/>
    <n v="0"/>
    <x v="51"/>
    <n v="0"/>
    <m/>
    <s v="approved"/>
    <n v="42"/>
    <s v="no"/>
    <m/>
    <m/>
    <m/>
    <m/>
    <m/>
    <m/>
    <x v="0"/>
    <x v="98"/>
    <x v="237"/>
    <n v="39007996"/>
    <s v="EDP KUH.6036-A-M-3001B _"/>
    <n v="66"/>
    <n v="475.86"/>
    <m/>
    <m/>
    <s v="20250546-24.04.2025"/>
    <x v="1"/>
    <x v="1"/>
    <x v="0"/>
    <m/>
  </r>
  <r>
    <x v="0"/>
    <x v="0"/>
    <x v="74"/>
    <x v="55"/>
    <x v="111"/>
    <s v="300343426-0000"/>
    <s v="AA"/>
    <n v="7.21"/>
    <n v="5"/>
    <n v="36.049999999999997"/>
    <x v="141"/>
    <n v="16"/>
    <n v="2025"/>
    <n v="0"/>
    <x v="51"/>
    <n v="0"/>
    <m/>
    <s v="approved"/>
    <n v="42"/>
    <s v="no"/>
    <m/>
    <m/>
    <m/>
    <m/>
    <m/>
    <m/>
    <x v="0"/>
    <x v="138"/>
    <x v="238"/>
    <n v="39007996"/>
    <s v="EDP KUH.6036-A-M-3001B _"/>
    <n v="5"/>
    <n v="36.049999999999997"/>
    <m/>
    <m/>
    <s v="20250547-24.04.2025"/>
    <x v="1"/>
    <x v="1"/>
    <x v="0"/>
    <m/>
  </r>
  <r>
    <x v="0"/>
    <x v="0"/>
    <x v="74"/>
    <x v="55"/>
    <x v="111"/>
    <s v="300343426-0000"/>
    <s v="AA"/>
    <n v="7.21"/>
    <n v="37"/>
    <n v="266.77"/>
    <x v="141"/>
    <n v="16"/>
    <n v="2025"/>
    <n v="0"/>
    <x v="51"/>
    <n v="0"/>
    <m/>
    <s v="approved"/>
    <n v="42"/>
    <s v="no"/>
    <m/>
    <m/>
    <m/>
    <m/>
    <m/>
    <m/>
    <x v="0"/>
    <x v="139"/>
    <x v="239"/>
    <n v="39007996"/>
    <s v="EDP KUH.6036-A-M-3001B _"/>
    <n v="37"/>
    <n v="266.77"/>
    <m/>
    <m/>
    <s v="20250598-09.05.2025"/>
    <x v="1"/>
    <x v="1"/>
    <x v="0"/>
    <m/>
  </r>
  <r>
    <x v="0"/>
    <x v="0"/>
    <x v="74"/>
    <x v="55"/>
    <x v="111"/>
    <s v="300343426-0000"/>
    <s v="AA"/>
    <n v="7.21"/>
    <n v="55"/>
    <n v="396.55"/>
    <x v="141"/>
    <n v="16"/>
    <n v="2025"/>
    <n v="0"/>
    <x v="51"/>
    <n v="0"/>
    <m/>
    <s v="approved"/>
    <n v="42"/>
    <s v="no"/>
    <m/>
    <m/>
    <m/>
    <m/>
    <m/>
    <m/>
    <x v="0"/>
    <x v="140"/>
    <x v="240"/>
    <n v="39007996"/>
    <s v="EDP KUH.6036-A-M-3001B _"/>
    <n v="55"/>
    <n v="396.55"/>
    <m/>
    <m/>
    <s v="20250608-12.05.2025"/>
    <x v="1"/>
    <x v="1"/>
    <x v="0"/>
    <m/>
  </r>
  <r>
    <x v="0"/>
    <x v="0"/>
    <x v="74"/>
    <x v="55"/>
    <x v="111"/>
    <s v="300343426-0000"/>
    <s v="AA"/>
    <n v="7.21"/>
    <n v="32"/>
    <n v="230.72"/>
    <x v="141"/>
    <n v="16"/>
    <n v="2025"/>
    <n v="0"/>
    <x v="51"/>
    <n v="0"/>
    <m/>
    <s v="approved"/>
    <n v="42"/>
    <s v="no"/>
    <m/>
    <m/>
    <m/>
    <m/>
    <m/>
    <m/>
    <x v="0"/>
    <x v="141"/>
    <x v="241"/>
    <n v="39007996"/>
    <s v="EDP KUH.6036-A-M-3001B _"/>
    <n v="32"/>
    <n v="230.72"/>
    <m/>
    <m/>
    <s v="20250611-13.05.2025"/>
    <x v="1"/>
    <x v="1"/>
    <x v="0"/>
    <m/>
  </r>
  <r>
    <x v="0"/>
    <x v="0"/>
    <x v="74"/>
    <x v="55"/>
    <x v="111"/>
    <s v="300343426-0000"/>
    <s v="AA"/>
    <n v="7.21"/>
    <n v="84"/>
    <n v="605.64"/>
    <x v="141"/>
    <n v="16"/>
    <n v="2025"/>
    <n v="0"/>
    <x v="51"/>
    <n v="0"/>
    <m/>
    <s v="approved"/>
    <n v="42"/>
    <s v="no"/>
    <m/>
    <m/>
    <m/>
    <m/>
    <m/>
    <m/>
    <x v="0"/>
    <x v="142"/>
    <x v="242"/>
    <n v="39007996"/>
    <s v="EDP KUH.6036-A-M-3001B _"/>
    <n v="84"/>
    <n v="605.64"/>
    <m/>
    <m/>
    <s v="20250625-15.05.2025"/>
    <x v="1"/>
    <x v="1"/>
    <x v="0"/>
    <m/>
  </r>
  <r>
    <x v="0"/>
    <x v="0"/>
    <x v="74"/>
    <x v="55"/>
    <x v="111"/>
    <s v="300343426-0000"/>
    <s v="AA"/>
    <n v="7.21"/>
    <n v="79"/>
    <n v="569.59"/>
    <x v="141"/>
    <n v="16"/>
    <n v="2025"/>
    <n v="0"/>
    <x v="51"/>
    <n v="0"/>
    <m/>
    <s v="approved"/>
    <n v="42"/>
    <s v="no"/>
    <m/>
    <m/>
    <m/>
    <m/>
    <m/>
    <m/>
    <x v="0"/>
    <x v="143"/>
    <x v="243"/>
    <n v="39007996"/>
    <s v="EDP KUH.6036-A-M-3001B _"/>
    <n v="79"/>
    <n v="569.59"/>
    <m/>
    <m/>
    <s v="20250622-16.05.2025"/>
    <x v="1"/>
    <x v="1"/>
    <x v="0"/>
    <m/>
  </r>
  <r>
    <x v="0"/>
    <x v="0"/>
    <x v="74"/>
    <x v="55"/>
    <x v="111"/>
    <s v="300343426-0000"/>
    <s v="AA"/>
    <n v="7.21"/>
    <n v="39"/>
    <n v="281.19"/>
    <x v="141"/>
    <n v="16"/>
    <n v="2025"/>
    <n v="0"/>
    <x v="51"/>
    <n v="0"/>
    <m/>
    <s v="approved"/>
    <n v="42"/>
    <s v="no"/>
    <m/>
    <m/>
    <m/>
    <m/>
    <m/>
    <m/>
    <x v="0"/>
    <x v="144"/>
    <x v="244"/>
    <n v="39007996"/>
    <s v="EDP KUH.6036-A-M-3001B _"/>
    <n v="39"/>
    <n v="281.19"/>
    <m/>
    <m/>
    <s v="20250638-20.05.2025"/>
    <x v="1"/>
    <x v="1"/>
    <x v="0"/>
    <m/>
  </r>
  <r>
    <x v="0"/>
    <x v="0"/>
    <x v="74"/>
    <x v="55"/>
    <x v="111"/>
    <s v="300343426-0000"/>
    <s v="AA"/>
    <n v="7.21"/>
    <n v="76"/>
    <n v="547.96"/>
    <x v="141"/>
    <n v="16"/>
    <n v="2025"/>
    <n v="0"/>
    <x v="51"/>
    <n v="0"/>
    <m/>
    <s v="approved"/>
    <n v="42"/>
    <s v="no"/>
    <m/>
    <m/>
    <m/>
    <m/>
    <m/>
    <m/>
    <x v="0"/>
    <x v="145"/>
    <x v="245"/>
    <n v="39007996"/>
    <s v="EDP KUH.6036-A-M-3001B _"/>
    <n v="76"/>
    <n v="547.96"/>
    <m/>
    <m/>
    <s v="20250641-21.05.2025"/>
    <x v="1"/>
    <x v="1"/>
    <x v="0"/>
    <m/>
  </r>
  <r>
    <x v="0"/>
    <x v="0"/>
    <x v="74"/>
    <x v="55"/>
    <x v="111"/>
    <s v="300343426-0000"/>
    <s v="AA"/>
    <n v="7.21"/>
    <n v="136"/>
    <n v="980.56"/>
    <x v="141"/>
    <n v="16"/>
    <n v="2025"/>
    <n v="0"/>
    <x v="51"/>
    <n v="0"/>
    <m/>
    <s v="approved"/>
    <n v="42"/>
    <s v="no"/>
    <m/>
    <m/>
    <m/>
    <m/>
    <m/>
    <m/>
    <x v="0"/>
    <x v="146"/>
    <x v="246"/>
    <n v="39007996"/>
    <s v="EDP KUH.6036-A-M-3001B _"/>
    <n v="136"/>
    <n v="980.56"/>
    <m/>
    <m/>
    <s v="20250658-26.05.2025"/>
    <x v="1"/>
    <x v="1"/>
    <x v="0"/>
    <m/>
  </r>
  <r>
    <x v="0"/>
    <x v="0"/>
    <x v="74"/>
    <x v="55"/>
    <x v="111"/>
    <s v="300343426-0000"/>
    <s v="AA"/>
    <n v="7.21"/>
    <n v="49"/>
    <n v="353.29"/>
    <x v="141"/>
    <n v="16"/>
    <n v="2025"/>
    <n v="0"/>
    <x v="51"/>
    <n v="0"/>
    <m/>
    <s v="approved"/>
    <n v="42"/>
    <s v="no"/>
    <m/>
    <m/>
    <m/>
    <m/>
    <m/>
    <m/>
    <x v="0"/>
    <x v="128"/>
    <x v="247"/>
    <n v="39007996"/>
    <s v="EDP KUH.6036-A-M-3001B _"/>
    <n v="49"/>
    <n v="353.29"/>
    <m/>
    <m/>
    <s v="20250663-27.05.2025"/>
    <x v="1"/>
    <x v="1"/>
    <x v="0"/>
    <m/>
  </r>
  <r>
    <x v="0"/>
    <x v="0"/>
    <x v="74"/>
    <x v="55"/>
    <x v="111"/>
    <s v="300343426-0000"/>
    <s v="AA"/>
    <n v="7.21"/>
    <n v="62"/>
    <n v="447.02"/>
    <x v="142"/>
    <n v="16"/>
    <n v="2025"/>
    <n v="0"/>
    <x v="51"/>
    <n v="0"/>
    <m/>
    <s v="approved"/>
    <n v="42"/>
    <s v="no"/>
    <m/>
    <m/>
    <m/>
    <m/>
    <m/>
    <m/>
    <x v="0"/>
    <x v="138"/>
    <x v="248"/>
    <n v="39007996"/>
    <s v="EDP KUH.6036-A-M-3001B _"/>
    <n v="62"/>
    <n v="447.02"/>
    <m/>
    <m/>
    <s v="20250555-25.04.2025"/>
    <x v="1"/>
    <x v="1"/>
    <x v="0"/>
    <m/>
  </r>
  <r>
    <x v="0"/>
    <x v="0"/>
    <x v="75"/>
    <x v="55"/>
    <x v="111"/>
    <s v="300343426-0000"/>
    <s v="AA"/>
    <n v="7.21"/>
    <n v="5"/>
    <n v="36.049999999999997"/>
    <x v="143"/>
    <n v="19"/>
    <n v="2025"/>
    <n v="0"/>
    <x v="51"/>
    <n v="0"/>
    <m/>
    <s v="approved"/>
    <n v="42"/>
    <s v="no"/>
    <m/>
    <m/>
    <m/>
    <m/>
    <m/>
    <m/>
    <x v="0"/>
    <x v="140"/>
    <x v="249"/>
    <n v="39124600"/>
    <s v="EDP KUH.6036-A-M-3001B _"/>
    <n v="5"/>
    <n v="36.049999999999997"/>
    <m/>
    <s v="PPAP"/>
    <s v="20250609-12.05.2025"/>
    <x v="1"/>
    <x v="2"/>
    <x v="0"/>
    <m/>
  </r>
  <r>
    <x v="0"/>
    <x v="0"/>
    <x v="75"/>
    <x v="55"/>
    <x v="111"/>
    <s v="300343426-0000"/>
    <s v="AA"/>
    <n v="7.21"/>
    <n v="41"/>
    <n v="295.61"/>
    <x v="143"/>
    <n v="19"/>
    <n v="2025"/>
    <n v="0"/>
    <x v="51"/>
    <n v="0"/>
    <m/>
    <s v="approved"/>
    <n v="42"/>
    <s v="no"/>
    <m/>
    <m/>
    <m/>
    <m/>
    <m/>
    <m/>
    <x v="0"/>
    <x v="128"/>
    <x v="250"/>
    <n v="39124600"/>
    <s v="EDP KUH.6036-A-M-3001B _"/>
    <n v="41"/>
    <n v="295.61"/>
    <m/>
    <m/>
    <s v="20250664-27.05.2025"/>
    <x v="1"/>
    <x v="2"/>
    <x v="0"/>
    <m/>
  </r>
  <r>
    <x v="0"/>
    <x v="0"/>
    <x v="75"/>
    <x v="55"/>
    <x v="111"/>
    <s v="300343426-0000"/>
    <s v="AA"/>
    <n v="7.21"/>
    <n v="92"/>
    <n v="663.32"/>
    <x v="143"/>
    <n v="19"/>
    <n v="2025"/>
    <n v="0"/>
    <x v="51"/>
    <n v="0"/>
    <m/>
    <s v="approved"/>
    <n v="42"/>
    <s v="no"/>
    <m/>
    <m/>
    <m/>
    <m/>
    <m/>
    <m/>
    <x v="0"/>
    <x v="147"/>
    <x v="251"/>
    <n v="39124600"/>
    <s v="EDP KUH.6036-A-M-3001B _"/>
    <n v="92"/>
    <n v="663.32"/>
    <m/>
    <m/>
    <s v="20250674-29.05.2025"/>
    <x v="1"/>
    <x v="2"/>
    <x v="0"/>
    <m/>
  </r>
  <r>
    <x v="0"/>
    <x v="0"/>
    <x v="75"/>
    <x v="55"/>
    <x v="111"/>
    <s v="300343426-0000"/>
    <s v="AA"/>
    <n v="7.21"/>
    <n v="147"/>
    <n v="1059.8699999999999"/>
    <x v="143"/>
    <n v="19"/>
    <n v="2025"/>
    <n v="0"/>
    <x v="51"/>
    <n v="0"/>
    <m/>
    <s v="approved"/>
    <n v="42"/>
    <s v="no"/>
    <m/>
    <m/>
    <m/>
    <m/>
    <m/>
    <m/>
    <x v="0"/>
    <x v="148"/>
    <x v="252"/>
    <n v="39124600"/>
    <s v="EDP KUH.6036-A-M-3001B _"/>
    <n v="147"/>
    <n v="1059.8699999999999"/>
    <m/>
    <m/>
    <s v="20250696-02.06.2025"/>
    <x v="1"/>
    <x v="2"/>
    <x v="0"/>
    <m/>
  </r>
  <r>
    <x v="0"/>
    <x v="0"/>
    <x v="75"/>
    <x v="55"/>
    <x v="111"/>
    <s v="300343426-0000"/>
    <s v="AA"/>
    <n v="7.21"/>
    <n v="132"/>
    <n v="951.72"/>
    <x v="143"/>
    <n v="19"/>
    <n v="2025"/>
    <n v="0"/>
    <x v="51"/>
    <n v="0"/>
    <m/>
    <s v="approved"/>
    <n v="42"/>
    <s v="no"/>
    <m/>
    <m/>
    <m/>
    <m/>
    <m/>
    <m/>
    <x v="0"/>
    <x v="149"/>
    <x v="253"/>
    <n v="39124600"/>
    <s v="EDP KUH.6036-A-M-3001B _"/>
    <n v="132"/>
    <n v="951.72"/>
    <m/>
    <m/>
    <s v="20250702-04.06.2025"/>
    <x v="1"/>
    <x v="2"/>
    <x v="0"/>
    <m/>
  </r>
  <r>
    <x v="0"/>
    <x v="0"/>
    <x v="75"/>
    <x v="55"/>
    <x v="111"/>
    <s v="300343426-0000"/>
    <s v="AA"/>
    <n v="7.21"/>
    <n v="16"/>
    <n v="115.36"/>
    <x v="143"/>
    <n v="19"/>
    <n v="2025"/>
    <n v="0"/>
    <x v="51"/>
    <n v="0"/>
    <m/>
    <s v="approved"/>
    <n v="42"/>
    <s v="no"/>
    <m/>
    <m/>
    <m/>
    <m/>
    <m/>
    <m/>
    <x v="0"/>
    <x v="149"/>
    <x v="254"/>
    <n v="39124600"/>
    <s v="EDP KUH.6036-A-M-3001B _"/>
    <n v="16"/>
    <n v="115.36"/>
    <m/>
    <m/>
    <s v="20250704-04.06.2025"/>
    <x v="1"/>
    <x v="2"/>
    <x v="0"/>
    <m/>
  </r>
  <r>
    <x v="0"/>
    <x v="0"/>
    <x v="75"/>
    <x v="55"/>
    <x v="111"/>
    <s v="300343426-0000"/>
    <s v="AA"/>
    <n v="7.21"/>
    <n v="92"/>
    <n v="663.32"/>
    <x v="143"/>
    <n v="19"/>
    <n v="2025"/>
    <n v="0"/>
    <x v="51"/>
    <n v="0"/>
    <m/>
    <s v="approved"/>
    <n v="42"/>
    <s v="no"/>
    <m/>
    <m/>
    <m/>
    <m/>
    <m/>
    <m/>
    <x v="0"/>
    <x v="150"/>
    <x v="255"/>
    <n v="39124600"/>
    <s v="EDP KUH.6036-A-M-3001B _"/>
    <n v="0"/>
    <n v="0"/>
    <s v="46 capete + 46   NOK"/>
    <m/>
    <s v="20250706-05.06.2025"/>
    <x v="1"/>
    <x v="2"/>
    <x v="0"/>
    <m/>
  </r>
  <r>
    <x v="0"/>
    <x v="0"/>
    <x v="75"/>
    <x v="55"/>
    <x v="111"/>
    <s v="300343426-0000"/>
    <s v="AA"/>
    <n v="7.21"/>
    <n v="25"/>
    <n v="180.25"/>
    <x v="143"/>
    <n v="19"/>
    <n v="2025"/>
    <n v="0"/>
    <x v="51"/>
    <n v="0"/>
    <m/>
    <s v="approved"/>
    <n v="42"/>
    <s v="no"/>
    <m/>
    <m/>
    <m/>
    <m/>
    <m/>
    <m/>
    <x v="0"/>
    <x v="48"/>
    <x v="256"/>
    <n v="39124600"/>
    <s v="EDP KUH.6036-A-M-3001B _"/>
    <n v="25"/>
    <n v="180.25"/>
    <m/>
    <s v="5 piese livrate pt teste cu avizul 25908 din data de 11.06.2025"/>
    <s v="20250739-13.06.2025"/>
    <x v="1"/>
    <x v="2"/>
    <x v="0"/>
    <m/>
  </r>
  <r>
    <x v="0"/>
    <x v="0"/>
    <x v="75"/>
    <x v="55"/>
    <x v="111"/>
    <s v="300343426-0000"/>
    <s v="AA"/>
    <n v="7.21"/>
    <n v="20"/>
    <n v="144.19999999999999"/>
    <x v="143"/>
    <n v="19"/>
    <n v="2025"/>
    <n v="0"/>
    <x v="51"/>
    <n v="0"/>
    <m/>
    <s v="approved"/>
    <n v="42"/>
    <s v="no"/>
    <m/>
    <m/>
    <m/>
    <m/>
    <m/>
    <m/>
    <x v="0"/>
    <x v="46"/>
    <x v="257"/>
    <n v="39124600"/>
    <s v="EDP KUH.6036-A-M-3001B _"/>
    <n v="20"/>
    <n v="144.19999999999999"/>
    <m/>
    <s v="4 SUNT CU DEROGARE"/>
    <s v="20250751-17.06.2025"/>
    <x v="1"/>
    <x v="2"/>
    <x v="0"/>
    <m/>
  </r>
  <r>
    <x v="0"/>
    <x v="0"/>
    <x v="76"/>
    <x v="56"/>
    <x v="112"/>
    <s v="300343442-0000 "/>
    <s v="AA"/>
    <n v="150"/>
    <n v="5"/>
    <n v="750"/>
    <x v="144"/>
    <n v="9"/>
    <n v="2025"/>
    <m/>
    <x v="51"/>
    <m/>
    <m/>
    <s v="approved"/>
    <m/>
    <s v="no"/>
    <m/>
    <m/>
    <m/>
    <m/>
    <s v="Yes"/>
    <m/>
    <x v="0"/>
    <x v="28"/>
    <x v="258"/>
    <n v="38623824"/>
    <s v="EDP KUH.6217-B-M-3001 004"/>
    <n v="5"/>
    <n v="750"/>
    <m/>
    <m/>
    <s v="20250285-07.03.2025"/>
    <x v="1"/>
    <x v="7"/>
    <x v="0"/>
    <m/>
  </r>
  <r>
    <x v="0"/>
    <x v="0"/>
    <x v="76"/>
    <x v="56"/>
    <x v="113"/>
    <s v="300343442-0000 "/>
    <s v="AA"/>
    <n v="4.51"/>
    <n v="547"/>
    <n v="2466.9699999999998"/>
    <x v="145"/>
    <n v="10"/>
    <n v="2025"/>
    <m/>
    <x v="51"/>
    <m/>
    <m/>
    <s v="approved"/>
    <m/>
    <s v="no"/>
    <m/>
    <m/>
    <m/>
    <m/>
    <s v="Yes"/>
    <m/>
    <x v="0"/>
    <x v="29"/>
    <x v="259"/>
    <n v="38623824"/>
    <s v="EDP KUH.6217-B-M-3001 004_"/>
    <n v="547"/>
    <n v="2466.9699999999998"/>
    <m/>
    <m/>
    <s v="20250302-11.03.2025"/>
    <x v="1"/>
    <x v="5"/>
    <x v="0"/>
    <m/>
  </r>
  <r>
    <x v="0"/>
    <x v="0"/>
    <x v="76"/>
    <x v="56"/>
    <x v="113"/>
    <s v="300343442-0000 "/>
    <s v="AA"/>
    <n v="4.51"/>
    <n v="37"/>
    <n v="166.87"/>
    <x v="145"/>
    <n v="10"/>
    <n v="2025"/>
    <m/>
    <x v="51"/>
    <m/>
    <m/>
    <s v="approved"/>
    <m/>
    <s v="no"/>
    <m/>
    <m/>
    <m/>
    <m/>
    <s v="Yes"/>
    <m/>
    <x v="0"/>
    <x v="128"/>
    <x v="260"/>
    <n v="38623824"/>
    <s v="EDP KUH.6217-B-M-3001 004_"/>
    <n v="37"/>
    <n v="166.87"/>
    <m/>
    <m/>
    <s v="20250662-27.05.2025"/>
    <x v="1"/>
    <x v="5"/>
    <x v="0"/>
    <m/>
  </r>
  <r>
    <x v="0"/>
    <x v="0"/>
    <x v="77"/>
    <x v="57"/>
    <x v="113"/>
    <s v="300343442-0000 "/>
    <s v="AA"/>
    <n v="4.51"/>
    <n v="200"/>
    <n v="902"/>
    <x v="146"/>
    <n v="25"/>
    <n v="2025"/>
    <n v="0"/>
    <x v="51"/>
    <n v="0"/>
    <m/>
    <s v="approved"/>
    <m/>
    <s v="no"/>
    <m/>
    <m/>
    <m/>
    <m/>
    <m/>
    <m/>
    <x v="0"/>
    <x v="151"/>
    <x v="261"/>
    <n v="39384677"/>
    <s v="EDP KUH.6217-B-M-3001 004_"/>
    <n v="200"/>
    <n v="902"/>
    <m/>
    <m/>
    <s v="20250732-12.06.2025"/>
    <x v="0"/>
    <x v="0"/>
    <x v="0"/>
    <m/>
  </r>
  <r>
    <x v="0"/>
    <x v="0"/>
    <x v="77"/>
    <x v="57"/>
    <x v="113"/>
    <s v="300343442-0000 "/>
    <s v="AA"/>
    <n v="4.51"/>
    <n v="116"/>
    <n v="523.16"/>
    <x v="146"/>
    <n v="25"/>
    <n v="2025"/>
    <n v="0"/>
    <x v="51"/>
    <n v="0"/>
    <m/>
    <s v="approved"/>
    <m/>
    <s v="no"/>
    <m/>
    <m/>
    <m/>
    <m/>
    <m/>
    <m/>
    <x v="0"/>
    <x v="48"/>
    <x v="262"/>
    <n v="39384677"/>
    <s v="EDP KUH.6217-B-M-3001 004_"/>
    <n v="116"/>
    <n v="523.16"/>
    <m/>
    <m/>
    <s v="20250738-13.06.2025"/>
    <x v="0"/>
    <x v="0"/>
    <x v="0"/>
    <m/>
  </r>
  <r>
    <x v="0"/>
    <x v="0"/>
    <x v="77"/>
    <x v="57"/>
    <x v="113"/>
    <s v="300343442-0000 "/>
    <s v="AA"/>
    <n v="4.51"/>
    <n v="204"/>
    <n v="920.04"/>
    <x v="146"/>
    <n v="25"/>
    <n v="2025"/>
    <n v="0"/>
    <x v="51"/>
    <n v="0"/>
    <m/>
    <s v="approved"/>
    <m/>
    <s v="no"/>
    <m/>
    <m/>
    <m/>
    <m/>
    <m/>
    <m/>
    <x v="0"/>
    <x v="152"/>
    <x v="263"/>
    <n v="39384677"/>
    <s v="EDP KUH.6217-B-M-3001 004_"/>
    <n v="204"/>
    <n v="920.04"/>
    <m/>
    <m/>
    <s v="20250741-16.06.2025"/>
    <x v="0"/>
    <x v="0"/>
    <x v="0"/>
    <m/>
  </r>
  <r>
    <x v="0"/>
    <x v="0"/>
    <x v="77"/>
    <x v="57"/>
    <x v="113"/>
    <s v="300343442-0000 "/>
    <s v="AA"/>
    <n v="4.51"/>
    <n v="204"/>
    <n v="920.04"/>
    <x v="146"/>
    <n v="25"/>
    <n v="2025"/>
    <n v="0"/>
    <x v="51"/>
    <n v="0"/>
    <m/>
    <s v="approved"/>
    <m/>
    <s v="no"/>
    <m/>
    <m/>
    <m/>
    <m/>
    <m/>
    <m/>
    <x v="0"/>
    <x v="46"/>
    <x v="264"/>
    <n v="39384677"/>
    <s v="EDP KUH.6217-B-M-3001 004_"/>
    <n v="204"/>
    <n v="920.04"/>
    <m/>
    <m/>
    <s v="20250752-17.06.2025"/>
    <x v="0"/>
    <x v="0"/>
    <x v="0"/>
    <m/>
  </r>
  <r>
    <x v="0"/>
    <x v="0"/>
    <x v="77"/>
    <x v="57"/>
    <x v="113"/>
    <s v="300343442-0000 "/>
    <s v="AA"/>
    <n v="4.51"/>
    <n v="138"/>
    <n v="622.38"/>
    <x v="146"/>
    <n v="25"/>
    <n v="2025"/>
    <n v="0"/>
    <x v="51"/>
    <n v="0"/>
    <m/>
    <s v="approved"/>
    <m/>
    <s v="no"/>
    <m/>
    <m/>
    <m/>
    <m/>
    <m/>
    <m/>
    <x v="0"/>
    <x v="153"/>
    <x v="265"/>
    <n v="39384677"/>
    <s v="EDP KUH.6217-B-M-3001 004_"/>
    <n v="138"/>
    <n v="622.38"/>
    <m/>
    <m/>
    <s v="20250757-18.06.2025"/>
    <x v="0"/>
    <x v="0"/>
    <x v="0"/>
    <m/>
  </r>
  <r>
    <x v="0"/>
    <x v="0"/>
    <x v="77"/>
    <x v="57"/>
    <x v="113"/>
    <s v="300343442-0000 "/>
    <s v="AA"/>
    <n v="4.51"/>
    <n v="96"/>
    <n v="432.96"/>
    <x v="146"/>
    <n v="25"/>
    <n v="2025"/>
    <n v="0"/>
    <x v="51"/>
    <n v="0"/>
    <m/>
    <s v="approved"/>
    <m/>
    <s v="no"/>
    <m/>
    <m/>
    <m/>
    <m/>
    <m/>
    <m/>
    <x v="0"/>
    <x v="154"/>
    <x v="266"/>
    <n v="39384677"/>
    <s v="EDP KUH.6217-B-M-3001 004_"/>
    <n v="96"/>
    <n v="432.96"/>
    <m/>
    <m/>
    <s v="20250764-19.06.2025"/>
    <x v="0"/>
    <x v="0"/>
    <x v="0"/>
    <m/>
  </r>
  <r>
    <x v="0"/>
    <x v="0"/>
    <x v="77"/>
    <x v="57"/>
    <x v="113"/>
    <s v="300343442-0000 "/>
    <s v="AA"/>
    <n v="4.51"/>
    <n v="102"/>
    <n v="460.02"/>
    <x v="146"/>
    <n v="25"/>
    <n v="2025"/>
    <n v="0"/>
    <x v="51"/>
    <n v="0"/>
    <m/>
    <s v="approved"/>
    <m/>
    <s v="no"/>
    <m/>
    <m/>
    <m/>
    <m/>
    <m/>
    <m/>
    <x v="0"/>
    <x v="155"/>
    <x v="267"/>
    <n v="39384677"/>
    <s v="EDP KUH.6217-B-M-3001 004_"/>
    <n v="102"/>
    <n v="460.02"/>
    <m/>
    <m/>
    <s v="20250767-20.06.2025"/>
    <x v="0"/>
    <x v="0"/>
    <x v="0"/>
    <m/>
  </r>
  <r>
    <x v="0"/>
    <x v="0"/>
    <x v="77"/>
    <x v="58"/>
    <x v="113"/>
    <s v="300343442-0000 "/>
    <s v="AA"/>
    <n v="4.51"/>
    <n v="140"/>
    <n v="631.4"/>
    <x v="147"/>
    <n v="25"/>
    <n v="2025"/>
    <n v="0"/>
    <x v="51"/>
    <n v="0"/>
    <m/>
    <s v="approved"/>
    <m/>
    <s v="no"/>
    <m/>
    <m/>
    <m/>
    <m/>
    <m/>
    <m/>
    <x v="0"/>
    <x v="156"/>
    <x v="268"/>
    <n v="39384677"/>
    <s v="EDP KUH.6217-B-M-3001 004_"/>
    <n v="140"/>
    <n v="631.4"/>
    <m/>
    <s v="ASTEPTAM CDA PTR DIF DE 20"/>
    <s v="20250776-23.06.2025"/>
    <x v="1"/>
    <x v="0"/>
    <x v="0"/>
    <m/>
  </r>
  <r>
    <x v="0"/>
    <x v="0"/>
    <x v="78"/>
    <x v="57"/>
    <x v="113"/>
    <s v="300343442-0000 "/>
    <s v="AA"/>
    <n v="4.51"/>
    <n v="150"/>
    <n v="676.5"/>
    <x v="0"/>
    <n v="27"/>
    <n v="2025"/>
    <n v="0"/>
    <x v="51"/>
    <n v="0"/>
    <m/>
    <s v="approved"/>
    <m/>
    <s v="no"/>
    <m/>
    <m/>
    <m/>
    <m/>
    <m/>
    <m/>
    <x v="0"/>
    <x v="157"/>
    <x v="269"/>
    <n v="39365334"/>
    <s v="EDP KUH.6217-B-M-3001 004_"/>
    <n v="150"/>
    <n v="676.5"/>
    <m/>
    <m/>
    <s v="20250716-06.06.2025"/>
    <x v="0"/>
    <x v="0"/>
    <x v="0"/>
    <m/>
  </r>
  <r>
    <x v="0"/>
    <x v="0"/>
    <x v="78"/>
    <x v="57"/>
    <x v="113"/>
    <s v="300343442-0000 "/>
    <s v="AA"/>
    <n v="4.51"/>
    <n v="62"/>
    <n v="279.62"/>
    <x v="0"/>
    <n v="27"/>
    <n v="2025"/>
    <n v="0"/>
    <x v="51"/>
    <n v="0"/>
    <m/>
    <s v="approved"/>
    <m/>
    <s v="no"/>
    <m/>
    <m/>
    <m/>
    <m/>
    <m/>
    <m/>
    <x v="0"/>
    <x v="158"/>
    <x v="270"/>
    <n v="39365334"/>
    <s v="EDP KUH.6217-B-M-3001 004_"/>
    <n v="62"/>
    <n v="279.62"/>
    <m/>
    <m/>
    <s v="20250721-10.06.2025"/>
    <x v="0"/>
    <x v="0"/>
    <x v="0"/>
    <m/>
  </r>
  <r>
    <x v="0"/>
    <x v="0"/>
    <x v="78"/>
    <x v="57"/>
    <x v="113"/>
    <s v="300343442-0000 "/>
    <s v="AA"/>
    <n v="4.51"/>
    <n v="178"/>
    <n v="802.78"/>
    <x v="0"/>
    <n v="27"/>
    <n v="2025"/>
    <n v="0"/>
    <x v="51"/>
    <n v="0"/>
    <m/>
    <s v="approved"/>
    <m/>
    <s v="no"/>
    <m/>
    <m/>
    <m/>
    <m/>
    <m/>
    <m/>
    <x v="0"/>
    <x v="159"/>
    <x v="271"/>
    <n v="39365334"/>
    <s v="EDP KUH.6217-B-M-3001 004_"/>
    <n v="178"/>
    <n v="802.78"/>
    <m/>
    <m/>
    <s v="20250722-11.06.2025"/>
    <x v="0"/>
    <x v="0"/>
    <x v="0"/>
    <m/>
  </r>
  <r>
    <x v="0"/>
    <x v="0"/>
    <x v="77"/>
    <x v="57"/>
    <x v="113"/>
    <s v="300343442-0000 "/>
    <s v="AA"/>
    <n v="4.51"/>
    <n v="84"/>
    <n v="378.84"/>
    <x v="0"/>
    <n v="27"/>
    <n v="2025"/>
    <n v="0"/>
    <x v="51"/>
    <n v="0"/>
    <m/>
    <s v="approved"/>
    <m/>
    <s v="no"/>
    <m/>
    <m/>
    <m/>
    <m/>
    <m/>
    <m/>
    <x v="0"/>
    <x v="48"/>
    <x v="272"/>
    <n v="39384677"/>
    <s v="EDP KUH.6217-B-M-3001 004_"/>
    <n v="84"/>
    <n v="378.84"/>
    <m/>
    <m/>
    <s v="20250737-13.06.2025"/>
    <x v="0"/>
    <x v="0"/>
    <x v="0"/>
    <m/>
  </r>
  <r>
    <x v="0"/>
    <x v="0"/>
    <x v="79"/>
    <x v="59"/>
    <x v="113"/>
    <s v="300343442-0000 "/>
    <s v="AA"/>
    <n v="4.51"/>
    <n v="344"/>
    <n v="1551.4399999999998"/>
    <x v="148"/>
    <n v="34"/>
    <n v="2025"/>
    <n v="0"/>
    <x v="51"/>
    <n v="0"/>
    <m/>
    <s v="approved"/>
    <m/>
    <s v="no"/>
    <m/>
    <m/>
    <m/>
    <m/>
    <m/>
    <m/>
    <x v="0"/>
    <x v="160"/>
    <x v="273"/>
    <n v="39839943"/>
    <s v="EDP KUH.6217-B-M-3001 004_"/>
    <n v="344"/>
    <n v="1551.4399999999998"/>
    <m/>
    <m/>
    <s v="20251092-21.08.2025"/>
    <x v="1"/>
    <x v="9"/>
    <x v="0"/>
    <m/>
  </r>
  <r>
    <x v="0"/>
    <x v="0"/>
    <x v="79"/>
    <x v="59"/>
    <x v="113"/>
    <s v="300343442-0000 "/>
    <s v="AA"/>
    <n v="4.51"/>
    <n v="321"/>
    <n v="1447.71"/>
    <x v="148"/>
    <n v="34"/>
    <n v="2025"/>
    <n v="0"/>
    <x v="51"/>
    <n v="0"/>
    <m/>
    <s v="approved"/>
    <m/>
    <s v="no"/>
    <m/>
    <m/>
    <m/>
    <m/>
    <m/>
    <m/>
    <x v="0"/>
    <x v="44"/>
    <x v="274"/>
    <n v="39839943"/>
    <s v="EDP KUH.6217-B-M-3001 004_"/>
    <n v="321"/>
    <n v="1447.71"/>
    <m/>
    <m/>
    <s v="20251111-26.08.2025"/>
    <x v="1"/>
    <x v="9"/>
    <x v="0"/>
    <m/>
  </r>
  <r>
    <x v="0"/>
    <x v="0"/>
    <x v="79"/>
    <x v="59"/>
    <x v="113"/>
    <s v="300343442-0000 "/>
    <s v="AA"/>
    <n v="4.51"/>
    <n v="122"/>
    <n v="550.22"/>
    <x v="148"/>
    <n v="34"/>
    <n v="2025"/>
    <n v="0"/>
    <x v="51"/>
    <n v="0"/>
    <m/>
    <s v="approved"/>
    <m/>
    <s v="no"/>
    <m/>
    <m/>
    <m/>
    <m/>
    <m/>
    <m/>
    <x v="0"/>
    <x v="103"/>
    <x v="275"/>
    <n v="39839943"/>
    <s v="EDP KUH.6217-B-M-3001 004_"/>
    <n v="122"/>
    <n v="550.22"/>
    <m/>
    <m/>
    <s v="20251119-27.08.2025"/>
    <x v="1"/>
    <x v="9"/>
    <x v="0"/>
    <m/>
  </r>
  <r>
    <x v="0"/>
    <x v="0"/>
    <x v="79"/>
    <x v="59"/>
    <x v="113"/>
    <s v="300343442-0000 "/>
    <s v="AA"/>
    <n v="4.51"/>
    <n v="50"/>
    <n v="225.5"/>
    <x v="148"/>
    <n v="34"/>
    <n v="2025"/>
    <n v="0"/>
    <x v="51"/>
    <n v="0"/>
    <m/>
    <s v="approved"/>
    <m/>
    <s v="no"/>
    <m/>
    <m/>
    <m/>
    <m/>
    <m/>
    <m/>
    <x v="0"/>
    <x v="104"/>
    <x v="276"/>
    <n v="39839943"/>
    <s v="EDP KUH.6217-B-M-3001 004_"/>
    <n v="50"/>
    <n v="225.5"/>
    <m/>
    <m/>
    <s v="20251123-28.08.2025"/>
    <x v="1"/>
    <x v="9"/>
    <x v="0"/>
    <m/>
  </r>
  <r>
    <x v="0"/>
    <x v="0"/>
    <x v="79"/>
    <x v="59"/>
    <x v="113"/>
    <s v="300343442-0000 "/>
    <s v="AA"/>
    <n v="4.51"/>
    <n v="168"/>
    <n v="757.68"/>
    <x v="148"/>
    <n v="34"/>
    <n v="2025"/>
    <n v="0"/>
    <x v="51"/>
    <n v="0"/>
    <m/>
    <s v="approved"/>
    <m/>
    <s v="no"/>
    <m/>
    <m/>
    <m/>
    <m/>
    <m/>
    <m/>
    <x v="0"/>
    <x v="161"/>
    <x v="277"/>
    <n v="39839943"/>
    <s v="EDP KUH.6217-B-M-3001 004_"/>
    <n v="168"/>
    <n v="757.68"/>
    <m/>
    <m/>
    <s v="20251129-29.08.2025"/>
    <x v="1"/>
    <x v="9"/>
    <x v="0"/>
    <m/>
  </r>
  <r>
    <x v="0"/>
    <x v="0"/>
    <x v="79"/>
    <x v="59"/>
    <x v="113"/>
    <s v="300343442-0000 "/>
    <s v="AA"/>
    <n v="4.51"/>
    <n v="27"/>
    <n v="121.77"/>
    <x v="148"/>
    <n v="34"/>
    <n v="2025"/>
    <n v="0"/>
    <x v="51"/>
    <n v="0"/>
    <m/>
    <s v="approved"/>
    <m/>
    <s v="no"/>
    <m/>
    <m/>
    <m/>
    <m/>
    <m/>
    <m/>
    <x v="0"/>
    <x v="162"/>
    <x v="278"/>
    <n v="39839943"/>
    <s v="EDP KUH.6217-B-M-3001 004_"/>
    <n v="27"/>
    <n v="121.77"/>
    <m/>
    <m/>
    <s v="20251131-31.08.2025"/>
    <x v="1"/>
    <x v="9"/>
    <x v="0"/>
    <m/>
  </r>
  <r>
    <x v="0"/>
    <x v="0"/>
    <x v="80"/>
    <x v="60"/>
    <x v="113"/>
    <s v="300343442-0000 "/>
    <s v="AA"/>
    <n v="4.51"/>
    <n v="400"/>
    <n v="1804"/>
    <x v="149"/>
    <n v="47"/>
    <n v="2025"/>
    <n v="0"/>
    <x v="51"/>
    <n v="0"/>
    <m/>
    <s v="approved"/>
    <m/>
    <s v="no"/>
    <m/>
    <m/>
    <m/>
    <m/>
    <m/>
    <m/>
    <x v="1"/>
    <x v="3"/>
    <x v="4"/>
    <s v=""/>
    <s v=""/>
    <m/>
    <n v="0"/>
    <m/>
    <m/>
    <m/>
    <x v="2"/>
    <x v="4"/>
    <x v="0"/>
    <m/>
  </r>
  <r>
    <x v="0"/>
    <x v="0"/>
    <x v="80"/>
    <x v="60"/>
    <x v="113"/>
    <s v="300343442-0000 "/>
    <s v="AA"/>
    <n v="4.51"/>
    <n v="240"/>
    <n v="1082.3999999999999"/>
    <x v="150"/>
    <n v="51"/>
    <n v="2025"/>
    <n v="0"/>
    <x v="51"/>
    <n v="0"/>
    <m/>
    <s v="approved"/>
    <m/>
    <s v="no"/>
    <m/>
    <m/>
    <m/>
    <m/>
    <m/>
    <m/>
    <x v="1"/>
    <x v="3"/>
    <x v="4"/>
    <s v=""/>
    <s v=""/>
    <m/>
    <n v="0"/>
    <m/>
    <m/>
    <m/>
    <x v="2"/>
    <x v="3"/>
    <x v="0"/>
    <m/>
  </r>
  <r>
    <x v="0"/>
    <x v="0"/>
    <x v="81"/>
    <x v="47"/>
    <x v="114"/>
    <s v="Colivie"/>
    <s v="AA"/>
    <n v="3.3825350341005129"/>
    <n v="360"/>
    <n v="1217.7126122761847"/>
    <x v="151"/>
    <n v="12"/>
    <n v="2025"/>
    <m/>
    <x v="51"/>
    <n v="0"/>
    <m/>
    <s v="approved"/>
    <n v="7.5"/>
    <m/>
    <m/>
    <m/>
    <m/>
    <m/>
    <m/>
    <m/>
    <x v="0"/>
    <x v="47"/>
    <x v="279"/>
    <n v="50430456"/>
    <s v="EDP KUH.6218-B-M-3001 004"/>
    <n v="360"/>
    <n v="1217.7126122761847"/>
    <m/>
    <m/>
    <s v="20251359-28.10.2025"/>
    <x v="0"/>
    <x v="11"/>
    <x v="0"/>
    <m/>
  </r>
  <r>
    <x v="0"/>
    <x v="0"/>
    <x v="81"/>
    <x v="47"/>
    <x v="114"/>
    <s v="Colivie"/>
    <s v="AA"/>
    <n v="3.3825350341005129"/>
    <n v="1397"/>
    <n v="4725.4014426384165"/>
    <x v="151"/>
    <n v="12"/>
    <n v="2025"/>
    <m/>
    <x v="51"/>
    <n v="0"/>
    <m/>
    <s v="approved"/>
    <n v="29.104166666666668"/>
    <m/>
    <m/>
    <m/>
    <m/>
    <m/>
    <m/>
    <m/>
    <x v="0"/>
    <x v="163"/>
    <x v="280"/>
    <n v="50430456"/>
    <s v="EDP KUH.6218-B-M-3001 004"/>
    <n v="5"/>
    <n v="16.912675170502563"/>
    <m/>
    <s v="PPAP"/>
    <s v="20251362-29.10.2025"/>
    <x v="0"/>
    <x v="11"/>
    <x v="0"/>
    <m/>
  </r>
  <r>
    <x v="0"/>
    <x v="0"/>
    <x v="81"/>
    <x v="47"/>
    <x v="114"/>
    <s v="Colivie"/>
    <s v="AA"/>
    <n v="3.3825350341005129"/>
    <n v="714"/>
    <n v="2415.1300143477661"/>
    <x v="151"/>
    <n v="12"/>
    <n v="2025"/>
    <m/>
    <x v="51"/>
    <n v="0"/>
    <m/>
    <s v="approved"/>
    <n v="14.875"/>
    <m/>
    <m/>
    <m/>
    <m/>
    <m/>
    <m/>
    <m/>
    <x v="0"/>
    <x v="49"/>
    <x v="281"/>
    <n v="50430456"/>
    <s v="EDP KUH.6218-B-M-3001 004"/>
    <n v="714"/>
    <n v="2415.1300143477661"/>
    <m/>
    <m/>
    <s v="20251396-30.10.2025"/>
    <x v="0"/>
    <x v="11"/>
    <x v="0"/>
    <m/>
  </r>
  <r>
    <x v="0"/>
    <x v="0"/>
    <x v="81"/>
    <x v="47"/>
    <x v="114"/>
    <s v="Colivie"/>
    <s v="AA"/>
    <n v="3.3825350341005129"/>
    <n v="348"/>
    <n v="1177.1221918669785"/>
    <x v="151"/>
    <n v="12"/>
    <n v="2025"/>
    <m/>
    <x v="51"/>
    <n v="0"/>
    <m/>
    <s v="approved"/>
    <n v="7.25"/>
    <m/>
    <m/>
    <m/>
    <m/>
    <m/>
    <m/>
    <m/>
    <x v="0"/>
    <x v="135"/>
    <x v="282"/>
    <n v="50430456"/>
    <s v="EDP KUH.6218-B-M-3001 004"/>
    <n v="348"/>
    <n v="1177.1221918669785"/>
    <m/>
    <m/>
    <s v="20251397-31.10.2025"/>
    <x v="0"/>
    <x v="11"/>
    <x v="0"/>
    <m/>
  </r>
  <r>
    <x v="0"/>
    <x v="0"/>
    <x v="81"/>
    <x v="47"/>
    <x v="114"/>
    <s v="Colivie"/>
    <s v="AA"/>
    <n v="3.3825350341005129"/>
    <n v="330"/>
    <n v="1116.2365612531692"/>
    <x v="151"/>
    <n v="12"/>
    <n v="2025"/>
    <m/>
    <x v="51"/>
    <n v="0"/>
    <m/>
    <s v="approved"/>
    <s v="Yes"/>
    <n v="45755"/>
    <n v="25557"/>
    <n v="38782986"/>
    <s v="FAG KUH.6312-M-3001"/>
    <n v="74"/>
    <n v="333"/>
    <m/>
    <x v="0"/>
    <x v="118"/>
    <x v="283"/>
    <n v="50430456"/>
    <s v="EDP KUH.6218-B-M-3001 004"/>
    <n v="330"/>
    <n v="1116.2365612531692"/>
    <m/>
    <m/>
    <s v="20251402-04.11.2025"/>
    <x v="1"/>
    <x v="11"/>
    <x v="0"/>
    <m/>
  </r>
  <r>
    <x v="0"/>
    <x v="0"/>
    <x v="82"/>
    <x v="61"/>
    <x v="115"/>
    <s v="300343434-0000 "/>
    <s v="AA"/>
    <n v="4.78"/>
    <n v="976"/>
    <n v="4665.2800000000007"/>
    <x v="152"/>
    <n v="21"/>
    <n v="2024"/>
    <n v="0"/>
    <x v="51"/>
    <n v="0"/>
    <m/>
    <s v="approved"/>
    <n v="42"/>
    <s v="no"/>
    <m/>
    <m/>
    <m/>
    <m/>
    <m/>
    <s v="241908/242102"/>
    <x v="0"/>
    <x v="164"/>
    <x v="284"/>
    <n v="36762258"/>
    <s v="EDP KUH.6220-A-M-3001 004"/>
    <n v="168"/>
    <n v="803.04000000000008"/>
    <m/>
    <m/>
    <s v="20240599-24.05.2024"/>
    <x v="0"/>
    <x v="2"/>
    <x v="1"/>
    <m/>
  </r>
  <r>
    <x v="0"/>
    <x v="0"/>
    <x v="82"/>
    <x v="61"/>
    <x v="115"/>
    <s v="300343434-0000 "/>
    <s v="AA"/>
    <n v="4.78"/>
    <m/>
    <n v="0"/>
    <x v="152"/>
    <n v="21"/>
    <n v="2024"/>
    <n v="0"/>
    <x v="51"/>
    <n v="0"/>
    <m/>
    <s v="approved"/>
    <n v="42"/>
    <m/>
    <m/>
    <m/>
    <m/>
    <m/>
    <m/>
    <m/>
    <x v="0"/>
    <x v="165"/>
    <x v="285"/>
    <n v="36762258"/>
    <s v="EDP KUH.6220-A-M-3001 004"/>
    <n v="468"/>
    <n v="2237.04"/>
    <m/>
    <m/>
    <s v="20240605-27.05.2024"/>
    <x v="1"/>
    <x v="2"/>
    <x v="1"/>
    <m/>
  </r>
  <r>
    <x v="0"/>
    <x v="0"/>
    <x v="82"/>
    <x v="61"/>
    <x v="115"/>
    <s v="300343434-0000 "/>
    <s v="AA"/>
    <n v="4.78"/>
    <m/>
    <n v="0"/>
    <x v="152"/>
    <n v="21"/>
    <n v="2024"/>
    <n v="0"/>
    <x v="51"/>
    <n v="0"/>
    <m/>
    <s v="approved"/>
    <n v="42"/>
    <m/>
    <m/>
    <m/>
    <m/>
    <m/>
    <m/>
    <m/>
    <x v="0"/>
    <x v="17"/>
    <x v="286"/>
    <n v="36762258"/>
    <s v="EDP KUH.6220-A-M-3001 004"/>
    <n v="304"/>
    <n v="1453.1200000000001"/>
    <n v="31"/>
    <n v="5"/>
    <s v="20240607-28.05.2024"/>
    <x v="1"/>
    <x v="2"/>
    <x v="1"/>
    <m/>
  </r>
  <r>
    <x v="0"/>
    <x v="0"/>
    <x v="83"/>
    <x v="56"/>
    <x v="115"/>
    <s v="300343434-0000 "/>
    <s v="AA"/>
    <n v="4.78"/>
    <n v="5"/>
    <n v="23.900000000000002"/>
    <x v="144"/>
    <n v="9"/>
    <n v="2025"/>
    <n v="0"/>
    <x v="51"/>
    <m/>
    <m/>
    <s v="approved"/>
    <m/>
    <s v="no"/>
    <m/>
    <m/>
    <m/>
    <m/>
    <s v="Yes"/>
    <m/>
    <x v="0"/>
    <x v="166"/>
    <x v="287"/>
    <n v="38623832"/>
    <s v="EDP KUH.6220-A-M-3001 004"/>
    <n v="5"/>
    <n v="23.900000000000002"/>
    <m/>
    <m/>
    <s v="20250272-04.03.2025"/>
    <x v="1"/>
    <x v="7"/>
    <x v="0"/>
    <m/>
  </r>
  <r>
    <x v="0"/>
    <x v="0"/>
    <x v="83"/>
    <x v="56"/>
    <x v="115"/>
    <s v="300343434-0000 "/>
    <s v="AA"/>
    <n v="4.78"/>
    <n v="234"/>
    <n v="1118.52"/>
    <x v="144"/>
    <n v="9"/>
    <n v="2025"/>
    <n v="0"/>
    <x v="51"/>
    <n v="0"/>
    <m/>
    <s v="approved"/>
    <n v="42"/>
    <s v="no"/>
    <m/>
    <m/>
    <m/>
    <m/>
    <s v="Yes"/>
    <m/>
    <x v="0"/>
    <x v="167"/>
    <x v="288"/>
    <n v="38623832"/>
    <s v="EDP KUH.6220-A-M-3001 004"/>
    <n v="234"/>
    <n v="1118.52"/>
    <m/>
    <m/>
    <s v="20250338-18.03.2025"/>
    <x v="1"/>
    <x v="7"/>
    <x v="0"/>
    <m/>
  </r>
  <r>
    <x v="0"/>
    <x v="0"/>
    <x v="83"/>
    <x v="56"/>
    <x v="115"/>
    <s v="300343434-0000 "/>
    <s v="AA"/>
    <n v="4.78"/>
    <n v="186"/>
    <n v="889.08"/>
    <x v="144"/>
    <n v="9"/>
    <n v="2025"/>
    <n v="0"/>
    <x v="51"/>
    <n v="0"/>
    <m/>
    <s v="approved"/>
    <n v="42"/>
    <s v="no"/>
    <m/>
    <m/>
    <m/>
    <m/>
    <s v="Yes"/>
    <m/>
    <x v="0"/>
    <x v="168"/>
    <x v="289"/>
    <n v="38623832"/>
    <s v="EDP KUH.6220-A-M-3001 004"/>
    <n v="186"/>
    <n v="889.08"/>
    <m/>
    <m/>
    <s v="20250356-19.03.2025"/>
    <x v="1"/>
    <x v="7"/>
    <x v="0"/>
    <m/>
  </r>
  <r>
    <x v="0"/>
    <x v="0"/>
    <x v="83"/>
    <x v="56"/>
    <x v="115"/>
    <s v="300343434-0000 "/>
    <s v="AA"/>
    <n v="4.78"/>
    <n v="101"/>
    <n v="482.78000000000003"/>
    <x v="144"/>
    <n v="9"/>
    <n v="2025"/>
    <n v="0"/>
    <x v="51"/>
    <n v="0"/>
    <m/>
    <s v="approved"/>
    <n v="42"/>
    <s v="no"/>
    <m/>
    <m/>
    <m/>
    <m/>
    <m/>
    <m/>
    <x v="0"/>
    <x v="37"/>
    <x v="290"/>
    <n v="38623832"/>
    <s v="EDP KUH.6220-A-M-3001 004"/>
    <n v="101"/>
    <n v="482.78000000000003"/>
    <m/>
    <m/>
    <s v="20250360-20.03.2025"/>
    <x v="1"/>
    <x v="7"/>
    <x v="0"/>
    <m/>
  </r>
  <r>
    <x v="0"/>
    <x v="0"/>
    <x v="83"/>
    <x v="56"/>
    <x v="115"/>
    <s v="300343434-0000 "/>
    <s v="AA"/>
    <n v="4.78"/>
    <n v="115"/>
    <n v="549.70000000000005"/>
    <x v="144"/>
    <n v="9"/>
    <n v="2025"/>
    <n v="0"/>
    <x v="51"/>
    <n v="0"/>
    <m/>
    <s v="approved"/>
    <n v="42"/>
    <s v="no"/>
    <m/>
    <m/>
    <m/>
    <m/>
    <s v="Yes"/>
    <m/>
    <x v="0"/>
    <x v="169"/>
    <x v="291"/>
    <n v="38623832"/>
    <s v="EDP KUH.6220-A-M-3001 004"/>
    <n v="115"/>
    <n v="549.70000000000005"/>
    <m/>
    <m/>
    <s v="20250369-20.03.2025"/>
    <x v="1"/>
    <x v="7"/>
    <x v="0"/>
    <m/>
  </r>
  <r>
    <x v="0"/>
    <x v="0"/>
    <x v="83"/>
    <x v="56"/>
    <x v="115"/>
    <s v="300343434-0000 "/>
    <s v="AA"/>
    <n v="4.78"/>
    <n v="126"/>
    <n v="602.28000000000009"/>
    <x v="144"/>
    <n v="9"/>
    <n v="2025"/>
    <n v="0"/>
    <x v="51"/>
    <n v="0"/>
    <m/>
    <s v="approved"/>
    <n v="42"/>
    <s v="no"/>
    <m/>
    <m/>
    <m/>
    <m/>
    <s v="Yes"/>
    <m/>
    <x v="0"/>
    <x v="170"/>
    <x v="292"/>
    <n v="38623832"/>
    <s v="EDP KUH.6220-A-M-3001 004"/>
    <n v="126"/>
    <n v="602.28000000000009"/>
    <m/>
    <m/>
    <s v="20250373-24.03.2025"/>
    <x v="1"/>
    <x v="7"/>
    <x v="0"/>
    <m/>
  </r>
  <r>
    <x v="0"/>
    <x v="0"/>
    <x v="83"/>
    <x v="56"/>
    <x v="115"/>
    <s v="300343434-0000 "/>
    <s v="AA"/>
    <n v="4.78"/>
    <n v="90"/>
    <n v="430.20000000000005"/>
    <x v="144"/>
    <n v="9"/>
    <n v="2025"/>
    <n v="0"/>
    <x v="51"/>
    <n v="0"/>
    <m/>
    <s v="approved"/>
    <n v="42"/>
    <s v="no"/>
    <m/>
    <m/>
    <m/>
    <m/>
    <s v="Yes"/>
    <m/>
    <x v="0"/>
    <x v="171"/>
    <x v="293"/>
    <n v="38623832"/>
    <s v="EDP KUH.6220-A-M-3001 004"/>
    <n v="90"/>
    <n v="430.20000000000005"/>
    <m/>
    <m/>
    <s v="20250376-25.03.2025"/>
    <x v="1"/>
    <x v="7"/>
    <x v="0"/>
    <m/>
  </r>
  <r>
    <x v="0"/>
    <x v="0"/>
    <x v="83"/>
    <x v="56"/>
    <x v="115"/>
    <s v="300343434-0000 "/>
    <s v="AA"/>
    <n v="4.78"/>
    <n v="90"/>
    <n v="430.20000000000005"/>
    <x v="144"/>
    <n v="9"/>
    <n v="2025"/>
    <n v="0"/>
    <x v="51"/>
    <n v="0"/>
    <m/>
    <s v="approved"/>
    <n v="42"/>
    <s v="no"/>
    <m/>
    <m/>
    <m/>
    <m/>
    <s v="Yes"/>
    <m/>
    <x v="0"/>
    <x v="172"/>
    <x v="294"/>
    <n v="38623832"/>
    <s v="EDP KUH.6220-A-M-3001 004"/>
    <n v="90"/>
    <n v="430.20000000000005"/>
    <m/>
    <m/>
    <s v="20250414-28.03.2025"/>
    <x v="1"/>
    <x v="7"/>
    <x v="0"/>
    <m/>
  </r>
  <r>
    <x v="0"/>
    <x v="0"/>
    <x v="83"/>
    <x v="56"/>
    <x v="115"/>
    <s v="300343434-0000 "/>
    <s v="AA"/>
    <n v="4.78"/>
    <n v="43"/>
    <n v="205.54000000000002"/>
    <x v="144"/>
    <n v="9"/>
    <n v="2025"/>
    <n v="0"/>
    <x v="51"/>
    <n v="0"/>
    <m/>
    <s v="approved"/>
    <n v="42"/>
    <s v="no"/>
    <m/>
    <m/>
    <m/>
    <m/>
    <s v="Yes"/>
    <m/>
    <x v="0"/>
    <x v="3"/>
    <x v="295"/>
    <n v="38623832"/>
    <s v="EDP KUH.6220-A-M-3001 004"/>
    <m/>
    <n v="0"/>
    <m/>
    <m/>
    <m/>
    <x v="1"/>
    <x v="7"/>
    <x v="0"/>
    <m/>
  </r>
  <r>
    <x v="0"/>
    <x v="0"/>
    <x v="84"/>
    <x v="57"/>
    <x v="115"/>
    <s v="300343434-0000 "/>
    <s v="AA"/>
    <n v="4.78"/>
    <n v="72"/>
    <n v="344.16"/>
    <x v="153"/>
    <n v="24"/>
    <n v="2025"/>
    <n v="0"/>
    <x v="51"/>
    <n v="0"/>
    <m/>
    <s v="approved"/>
    <n v="1.5"/>
    <s v="no"/>
    <m/>
    <m/>
    <m/>
    <m/>
    <m/>
    <m/>
    <x v="0"/>
    <x v="149"/>
    <x v="296"/>
    <n v="39359709"/>
    <s v="EDP KUH.6220-A-M-3001 004"/>
    <n v="72"/>
    <n v="344.16"/>
    <m/>
    <m/>
    <s v="20250703-04.06.2025"/>
    <x v="0"/>
    <x v="0"/>
    <x v="0"/>
    <m/>
  </r>
  <r>
    <x v="0"/>
    <x v="0"/>
    <x v="84"/>
    <x v="57"/>
    <x v="115"/>
    <s v="300343434-0000 "/>
    <s v="AA"/>
    <n v="4.78"/>
    <n v="117"/>
    <n v="559.26"/>
    <x v="153"/>
    <n v="24"/>
    <n v="2025"/>
    <n v="0"/>
    <x v="51"/>
    <n v="0"/>
    <m/>
    <s v="approved"/>
    <n v="2.4375"/>
    <s v="no"/>
    <m/>
    <m/>
    <m/>
    <m/>
    <m/>
    <m/>
    <x v="0"/>
    <x v="150"/>
    <x v="297"/>
    <n v="39359709"/>
    <s v="EDP KUH.6220-A-M-3001 004"/>
    <n v="117"/>
    <n v="559.26"/>
    <m/>
    <m/>
    <s v="20250711-05.06.2025"/>
    <x v="0"/>
    <x v="0"/>
    <x v="0"/>
    <m/>
  </r>
  <r>
    <x v="0"/>
    <x v="0"/>
    <x v="84"/>
    <x v="57"/>
    <x v="115"/>
    <s v="300343434-0000 "/>
    <s v="AA"/>
    <n v="4.78"/>
    <n v="60"/>
    <n v="286.8"/>
    <x v="153"/>
    <n v="24"/>
    <n v="2025"/>
    <n v="0"/>
    <x v="51"/>
    <n v="0"/>
    <m/>
    <s v="approved"/>
    <n v="1.25"/>
    <s v="no"/>
    <m/>
    <m/>
    <m/>
    <m/>
    <m/>
    <m/>
    <x v="0"/>
    <x v="150"/>
    <x v="298"/>
    <n v="39359709"/>
    <s v="EDP KUH.6220-A-M-3001 004"/>
    <n v="60"/>
    <n v="286.8"/>
    <m/>
    <m/>
    <s v="20250712-05.06.2025"/>
    <x v="0"/>
    <x v="0"/>
    <x v="0"/>
    <m/>
  </r>
  <r>
    <x v="0"/>
    <x v="0"/>
    <x v="84"/>
    <x v="57"/>
    <x v="115"/>
    <s v="300343434-0000 "/>
    <s v="AA"/>
    <n v="4.78"/>
    <n v="180"/>
    <n v="860.40000000000009"/>
    <x v="153"/>
    <n v="24"/>
    <n v="2025"/>
    <n v="0"/>
    <x v="51"/>
    <n v="0"/>
    <m/>
    <s v="approved"/>
    <n v="3.75"/>
    <s v="no"/>
    <m/>
    <m/>
    <m/>
    <m/>
    <m/>
    <m/>
    <x v="0"/>
    <x v="157"/>
    <x v="299"/>
    <n v="39359709"/>
    <s v="EDP KUH.6220-A-M-3001 004"/>
    <n v="180"/>
    <n v="860.40000000000009"/>
    <m/>
    <m/>
    <s v="20250717-06.06.2025"/>
    <x v="0"/>
    <x v="0"/>
    <x v="0"/>
    <m/>
  </r>
  <r>
    <x v="0"/>
    <x v="0"/>
    <x v="84"/>
    <x v="57"/>
    <x v="115"/>
    <s v="300343434-0000 "/>
    <s v="AA"/>
    <n v="4.78"/>
    <n v="264"/>
    <n v="1261.92"/>
    <x v="153"/>
    <n v="24"/>
    <n v="2025"/>
    <n v="0"/>
    <x v="51"/>
    <n v="0"/>
    <m/>
    <s v="approved"/>
    <n v="5.5"/>
    <s v="no"/>
    <m/>
    <m/>
    <m/>
    <m/>
    <m/>
    <m/>
    <x v="0"/>
    <x v="158"/>
    <x v="300"/>
    <n v="39359709"/>
    <s v="EDP KUH.6220-A-M-3001 004"/>
    <n v="264"/>
    <n v="1261.92"/>
    <m/>
    <m/>
    <s v="20250720-10.06.2025"/>
    <x v="0"/>
    <x v="0"/>
    <x v="0"/>
    <m/>
  </r>
  <r>
    <x v="0"/>
    <x v="0"/>
    <x v="84"/>
    <x v="57"/>
    <x v="115"/>
    <s v="300343434-0000 "/>
    <s v="AA"/>
    <n v="4.78"/>
    <n v="200"/>
    <n v="956"/>
    <x v="153"/>
    <n v="24"/>
    <n v="2025"/>
    <n v="0"/>
    <x v="51"/>
    <n v="0"/>
    <m/>
    <s v="approved"/>
    <n v="4.166666666666667"/>
    <s v="no"/>
    <m/>
    <m/>
    <m/>
    <m/>
    <m/>
    <m/>
    <x v="0"/>
    <x v="159"/>
    <x v="301"/>
    <n v="39359709"/>
    <s v="EDP KUH.6220-A-M-3001 004"/>
    <n v="200"/>
    <n v="956"/>
    <m/>
    <m/>
    <s v="20250723-11.06.2025"/>
    <x v="0"/>
    <x v="0"/>
    <x v="0"/>
    <m/>
  </r>
  <r>
    <x v="0"/>
    <x v="0"/>
    <x v="84"/>
    <x v="57"/>
    <x v="115"/>
    <s v="300343434-0000 "/>
    <s v="AA"/>
    <n v="4.78"/>
    <n v="186"/>
    <n v="889.08"/>
    <x v="153"/>
    <n v="24"/>
    <n v="2025"/>
    <n v="0"/>
    <x v="51"/>
    <n v="0"/>
    <m/>
    <s v="approved"/>
    <n v="3.875"/>
    <s v="no"/>
    <m/>
    <m/>
    <m/>
    <m/>
    <m/>
    <m/>
    <x v="0"/>
    <x v="151"/>
    <x v="302"/>
    <n v="39359709"/>
    <s v="EDP KUH.6220-A-M-3001 004"/>
    <n v="186"/>
    <n v="889.08"/>
    <m/>
    <m/>
    <s v="20250731-12.06.2025"/>
    <x v="0"/>
    <x v="0"/>
    <x v="0"/>
    <m/>
  </r>
  <r>
    <x v="0"/>
    <x v="0"/>
    <x v="84"/>
    <x v="57"/>
    <x v="115"/>
    <s v="300343434-0000 "/>
    <s v="AA"/>
    <n v="4.78"/>
    <n v="200"/>
    <n v="956"/>
    <x v="153"/>
    <n v="24"/>
    <n v="2025"/>
    <n v="0"/>
    <x v="51"/>
    <n v="0"/>
    <m/>
    <s v="approved"/>
    <n v="4.166666666666667"/>
    <s v="no"/>
    <m/>
    <m/>
    <m/>
    <m/>
    <m/>
    <m/>
    <x v="0"/>
    <x v="48"/>
    <x v="303"/>
    <n v="39359709"/>
    <s v="EDP KUH.6220-A-M-3001 004"/>
    <n v="200"/>
    <n v="956"/>
    <m/>
    <m/>
    <s v="20250736-13.06.2025"/>
    <x v="0"/>
    <x v="0"/>
    <x v="0"/>
    <m/>
  </r>
  <r>
    <x v="0"/>
    <x v="0"/>
    <x v="84"/>
    <x v="57"/>
    <x v="115"/>
    <s v="300343434-0000 "/>
    <s v="AA"/>
    <n v="4.78"/>
    <n v="233"/>
    <n v="1113.74"/>
    <x v="153"/>
    <n v="24"/>
    <n v="2025"/>
    <n v="0"/>
    <x v="51"/>
    <n v="0"/>
    <m/>
    <s v="approved"/>
    <n v="4.854166666666667"/>
    <s v="no"/>
    <m/>
    <m/>
    <m/>
    <m/>
    <m/>
    <m/>
    <x v="0"/>
    <x v="152"/>
    <x v="304"/>
    <n v="39359709"/>
    <s v="EDP KUH.6220-A-M-3001 004"/>
    <n v="233"/>
    <n v="1113.74"/>
    <m/>
    <m/>
    <s v="20250740-16.06.2025"/>
    <x v="1"/>
    <x v="0"/>
    <x v="0"/>
    <m/>
  </r>
  <r>
    <x v="0"/>
    <x v="0"/>
    <x v="84"/>
    <x v="57"/>
    <x v="115"/>
    <s v="300343434-0000 "/>
    <s v="AA"/>
    <n v="4.78"/>
    <n v="48"/>
    <n v="229.44"/>
    <x v="153"/>
    <n v="24"/>
    <n v="2025"/>
    <n v="0"/>
    <x v="51"/>
    <n v="0"/>
    <m/>
    <s v="approved"/>
    <n v="1"/>
    <s v="no"/>
    <m/>
    <m/>
    <m/>
    <m/>
    <m/>
    <m/>
    <x v="0"/>
    <x v="46"/>
    <x v="305"/>
    <n v="39359709"/>
    <s v="EDP KUH.6220-A-M-3001 004"/>
    <n v="48"/>
    <n v="229.44"/>
    <m/>
    <m/>
    <s v="20250753-17.06.2025"/>
    <x v="1"/>
    <x v="0"/>
    <x v="0"/>
    <m/>
  </r>
  <r>
    <x v="0"/>
    <x v="0"/>
    <x v="84"/>
    <x v="57"/>
    <x v="115"/>
    <s v="300343434-0000 "/>
    <s v="AA"/>
    <n v="4.78"/>
    <n v="114"/>
    <n v="544.92000000000007"/>
    <x v="153"/>
    <n v="24"/>
    <n v="2025"/>
    <n v="0"/>
    <x v="51"/>
    <n v="0"/>
    <m/>
    <s v="approved"/>
    <n v="2.375"/>
    <s v="no"/>
    <m/>
    <m/>
    <m/>
    <m/>
    <m/>
    <m/>
    <x v="0"/>
    <x v="153"/>
    <x v="306"/>
    <n v="39359709"/>
    <s v="EDP KUH.6220-A-M-3001 004"/>
    <n v="114"/>
    <n v="544.92000000000007"/>
    <m/>
    <m/>
    <s v="20250758-18.06.2025"/>
    <x v="1"/>
    <x v="0"/>
    <x v="0"/>
    <m/>
  </r>
  <r>
    <x v="0"/>
    <x v="0"/>
    <x v="84"/>
    <x v="57"/>
    <x v="115"/>
    <s v="300343434-0000 "/>
    <s v="AA"/>
    <n v="4.78"/>
    <n v="66"/>
    <n v="315.48"/>
    <x v="153"/>
    <n v="24"/>
    <n v="2025"/>
    <n v="0"/>
    <x v="51"/>
    <n v="0"/>
    <m/>
    <s v="approved"/>
    <n v="1.375"/>
    <s v="no"/>
    <m/>
    <m/>
    <m/>
    <m/>
    <m/>
    <m/>
    <x v="0"/>
    <x v="154"/>
    <x v="307"/>
    <n v="39359709"/>
    <s v="EDP KUH.6220-A-M-3001 004"/>
    <n v="66"/>
    <n v="315.48"/>
    <m/>
    <m/>
    <s v="20250763-19.06.2025"/>
    <x v="1"/>
    <x v="0"/>
    <x v="0"/>
    <m/>
  </r>
  <r>
    <x v="0"/>
    <x v="0"/>
    <x v="84"/>
    <x v="58"/>
    <x v="115"/>
    <s v="300343434-0000 "/>
    <s v="AA"/>
    <n v="4.78"/>
    <n v="4"/>
    <n v="19.12"/>
    <x v="154"/>
    <n v="24"/>
    <n v="2025"/>
    <n v="0"/>
    <x v="51"/>
    <n v="0"/>
    <m/>
    <s v="approved"/>
    <n v="8.3333333333333329E-2"/>
    <s v="no"/>
    <m/>
    <m/>
    <m/>
    <m/>
    <m/>
    <m/>
    <x v="0"/>
    <x v="155"/>
    <x v="308"/>
    <n v="39359709"/>
    <s v="EDP KUH.6220-A-M-3001 004"/>
    <n v="0"/>
    <n v="0"/>
    <n v="4"/>
    <m/>
    <s v="20250766-20.06.2025"/>
    <x v="1"/>
    <x v="0"/>
    <x v="0"/>
    <m/>
  </r>
  <r>
    <x v="0"/>
    <x v="0"/>
    <x v="85"/>
    <x v="60"/>
    <x v="115"/>
    <s v="300343434-0000 "/>
    <s v="AA"/>
    <n v="4.78"/>
    <n v="174"/>
    <n v="831.72"/>
    <x v="155"/>
    <n v="35"/>
    <n v="2025"/>
    <n v="0"/>
    <x v="51"/>
    <n v="0"/>
    <m/>
    <s v="approved"/>
    <n v="42"/>
    <s v="no"/>
    <m/>
    <m/>
    <m/>
    <m/>
    <m/>
    <m/>
    <x v="0"/>
    <x v="44"/>
    <x v="309"/>
    <n v="50016345"/>
    <s v="EDP KUH.6220-A-M-3001 004"/>
    <n v="174"/>
    <n v="831.72"/>
    <m/>
    <m/>
    <s v="20251113-26.08.2025"/>
    <x v="0"/>
    <x v="9"/>
    <x v="0"/>
    <m/>
  </r>
  <r>
    <x v="0"/>
    <x v="0"/>
    <x v="85"/>
    <x v="60"/>
    <x v="115"/>
    <s v="300343434-0000 "/>
    <s v="AA"/>
    <n v="4.78"/>
    <n v="173"/>
    <n v="826.94"/>
    <x v="155"/>
    <n v="35"/>
    <n v="2025"/>
    <n v="0"/>
    <x v="51"/>
    <n v="0"/>
    <m/>
    <s v="approved"/>
    <n v="42"/>
    <s v="no"/>
    <m/>
    <m/>
    <m/>
    <m/>
    <s v="Yes"/>
    <m/>
    <x v="0"/>
    <x v="103"/>
    <x v="310"/>
    <n v="50016345"/>
    <s v="EDP KUH.6220-A-M-3001 004"/>
    <n v="173"/>
    <n v="826.94"/>
    <m/>
    <m/>
    <s v="20251120-27.08.2025"/>
    <x v="1"/>
    <x v="9"/>
    <x v="0"/>
    <m/>
  </r>
  <r>
    <x v="0"/>
    <x v="0"/>
    <x v="85"/>
    <x v="60"/>
    <x v="115"/>
    <s v="300343434-0000 "/>
    <s v="AA"/>
    <n v="4.78"/>
    <n v="209"/>
    <n v="999.0200000000001"/>
    <x v="155"/>
    <n v="35"/>
    <n v="2025"/>
    <n v="0"/>
    <x v="51"/>
    <n v="0"/>
    <m/>
    <s v="approved"/>
    <n v="42"/>
    <s v="no"/>
    <m/>
    <m/>
    <m/>
    <m/>
    <s v="Yes"/>
    <m/>
    <x v="0"/>
    <x v="104"/>
    <x v="311"/>
    <n v="50016345"/>
    <s v="EDP KUH.6220-A-M-3001 004"/>
    <n v="209"/>
    <n v="999.0200000000001"/>
    <m/>
    <m/>
    <s v="20251126-28.08.2025"/>
    <x v="1"/>
    <x v="9"/>
    <x v="0"/>
    <m/>
  </r>
  <r>
    <x v="0"/>
    <x v="0"/>
    <x v="85"/>
    <x v="60"/>
    <x v="115"/>
    <s v="300343434-0000 "/>
    <s v="AA"/>
    <n v="4.78"/>
    <n v="234"/>
    <n v="1118.52"/>
    <x v="155"/>
    <n v="35"/>
    <n v="2025"/>
    <n v="0"/>
    <x v="51"/>
    <n v="0"/>
    <m/>
    <s v="approved"/>
    <n v="42"/>
    <s v="no"/>
    <m/>
    <m/>
    <m/>
    <m/>
    <s v="Yes"/>
    <m/>
    <x v="0"/>
    <x v="161"/>
    <x v="312"/>
    <n v="50016345"/>
    <s v="EDP KUH.6220-A-M-3001 004"/>
    <n v="234"/>
    <n v="1118.52"/>
    <m/>
    <m/>
    <s v="20251130-29.08.2025"/>
    <x v="1"/>
    <x v="9"/>
    <x v="0"/>
    <m/>
  </r>
  <r>
    <x v="0"/>
    <x v="0"/>
    <x v="85"/>
    <x v="60"/>
    <x v="115"/>
    <s v="300343434-0000 "/>
    <s v="AA"/>
    <n v="4.78"/>
    <n v="452"/>
    <n v="2160.56"/>
    <x v="155"/>
    <n v="35"/>
    <n v="2025"/>
    <n v="0"/>
    <x v="51"/>
    <n v="0"/>
    <m/>
    <s v="approved"/>
    <n v="42"/>
    <s v="no"/>
    <m/>
    <m/>
    <m/>
    <m/>
    <s v="Yes"/>
    <m/>
    <x v="0"/>
    <x v="162"/>
    <x v="313"/>
    <n v="50016345"/>
    <s v="EDP KUH.6220-A-M-3001 004"/>
    <n v="452"/>
    <n v="2160.56"/>
    <m/>
    <m/>
    <s v="20251132-31.08.2025"/>
    <x v="1"/>
    <x v="9"/>
    <x v="0"/>
    <m/>
  </r>
  <r>
    <x v="0"/>
    <x v="0"/>
    <x v="86"/>
    <x v="62"/>
    <x v="115"/>
    <s v="300343434-0000 "/>
    <s v="AA"/>
    <n v="4.78"/>
    <n v="22"/>
    <n v="105.16000000000001"/>
    <x v="40"/>
    <n v="35"/>
    <n v="2025"/>
    <n v="0"/>
    <x v="51"/>
    <n v="0"/>
    <m/>
    <s v="approved"/>
    <n v="42"/>
    <s v="no"/>
    <m/>
    <m/>
    <m/>
    <m/>
    <s v="Yes"/>
    <m/>
    <x v="0"/>
    <x v="162"/>
    <x v="314"/>
    <n v="50041011"/>
    <s v="EDP KUH.6220-A-M-3001 004"/>
    <n v="22"/>
    <n v="105.16000000000001"/>
    <m/>
    <m/>
    <s v="20251133-01.09.2025"/>
    <x v="0"/>
    <x v="9"/>
    <x v="0"/>
    <m/>
  </r>
  <r>
    <x v="0"/>
    <x v="0"/>
    <x v="86"/>
    <x v="62"/>
    <x v="115"/>
    <s v="300343434-0000 "/>
    <s v="AA"/>
    <n v="4.78"/>
    <n v="290"/>
    <n v="1386.2"/>
    <x v="40"/>
    <n v="35"/>
    <n v="2025"/>
    <n v="0"/>
    <x v="51"/>
    <n v="0"/>
    <m/>
    <s v="approved"/>
    <n v="42"/>
    <s v="no"/>
    <m/>
    <m/>
    <m/>
    <m/>
    <s v="Yes"/>
    <m/>
    <x v="0"/>
    <x v="173"/>
    <x v="315"/>
    <n v="50041011"/>
    <s v="EDP KUH.6220-A-M-3001 004"/>
    <n v="230"/>
    <n v="1099.4000000000001"/>
    <n v="60"/>
    <s v="21 AVIZ FICTIV"/>
    <s v="20251146-02.09.2025/20251307-15.10.2025"/>
    <x v="1"/>
    <x v="9"/>
    <x v="0"/>
    <m/>
  </r>
  <r>
    <x v="0"/>
    <x v="0"/>
    <x v="80"/>
    <x v="60"/>
    <x v="115"/>
    <s v="300343434-0000 "/>
    <s v="AA"/>
    <n v="4.78"/>
    <n v="780"/>
    <n v="3728.4"/>
    <x v="156"/>
    <n v="48"/>
    <n v="2025"/>
    <n v="0"/>
    <x v="51"/>
    <n v="0"/>
    <m/>
    <s v="approved"/>
    <n v="42"/>
    <s v="no"/>
    <m/>
    <m/>
    <m/>
    <m/>
    <s v="Yes"/>
    <m/>
    <x v="1"/>
    <x v="3"/>
    <x v="4"/>
    <s v=""/>
    <s v=""/>
    <m/>
    <n v="0"/>
    <m/>
    <m/>
    <m/>
    <x v="2"/>
    <x v="4"/>
    <x v="0"/>
    <m/>
  </r>
  <r>
    <x v="0"/>
    <x v="0"/>
    <x v="87"/>
    <x v="63"/>
    <x v="116"/>
    <s v="096458526-0000"/>
    <s v="AA"/>
    <n v="4.92"/>
    <n v="500"/>
    <n v="2460"/>
    <x v="140"/>
    <n v="16"/>
    <n v="2024"/>
    <n v="0"/>
    <x v="51"/>
    <n v="0"/>
    <m/>
    <s v="approved"/>
    <n v="42"/>
    <s v="no"/>
    <m/>
    <m/>
    <m/>
    <m/>
    <m/>
    <s v="241513/241604"/>
    <x v="0"/>
    <x v="174"/>
    <x v="316"/>
    <n v="36541725"/>
    <s v="EDP KUH.6315-A-M-3001 004"/>
    <n v="96"/>
    <n v="472.32"/>
    <m/>
    <m/>
    <s v="20240442-24.04.2024"/>
    <x v="1"/>
    <x v="1"/>
    <x v="1"/>
    <m/>
  </r>
  <r>
    <x v="0"/>
    <x v="0"/>
    <x v="87"/>
    <x v="63"/>
    <x v="116"/>
    <s v="096458526-0000"/>
    <s v="AA"/>
    <n v="4.92"/>
    <m/>
    <n v="0"/>
    <x v="140"/>
    <n v="16"/>
    <n v="2024"/>
    <n v="0"/>
    <x v="51"/>
    <n v="0"/>
    <m/>
    <m/>
    <n v="42"/>
    <m/>
    <m/>
    <m/>
    <m/>
    <m/>
    <m/>
    <m/>
    <x v="0"/>
    <x v="175"/>
    <x v="317"/>
    <n v="36541725"/>
    <s v="EDP KUH.6315-A-M-3001 004"/>
    <n v="76"/>
    <n v="373.92"/>
    <m/>
    <m/>
    <s v="20240449-25.04.2024"/>
    <x v="1"/>
    <x v="1"/>
    <x v="1"/>
    <m/>
  </r>
  <r>
    <x v="0"/>
    <x v="0"/>
    <x v="87"/>
    <x v="63"/>
    <x v="116"/>
    <s v="096458526-0000"/>
    <s v="AA"/>
    <n v="4.92"/>
    <m/>
    <n v="0"/>
    <x v="140"/>
    <n v="16"/>
    <n v="2024"/>
    <n v="0"/>
    <x v="51"/>
    <n v="0"/>
    <m/>
    <m/>
    <n v="42"/>
    <m/>
    <m/>
    <m/>
    <m/>
    <m/>
    <m/>
    <m/>
    <x v="0"/>
    <x v="14"/>
    <x v="318"/>
    <n v="36541725"/>
    <s v="EDP KUH.6315-A-M-3001 004"/>
    <n v="234"/>
    <n v="1151.28"/>
    <m/>
    <m/>
    <s v="20240455-26.04.2024"/>
    <x v="1"/>
    <x v="1"/>
    <x v="1"/>
    <m/>
  </r>
  <r>
    <x v="0"/>
    <x v="0"/>
    <x v="87"/>
    <x v="63"/>
    <x v="116"/>
    <s v="096458526-0000"/>
    <s v="AA"/>
    <n v="4.92"/>
    <m/>
    <n v="0"/>
    <x v="140"/>
    <n v="16"/>
    <n v="2024"/>
    <n v="0"/>
    <x v="51"/>
    <n v="0"/>
    <m/>
    <m/>
    <n v="42"/>
    <m/>
    <m/>
    <m/>
    <m/>
    <m/>
    <m/>
    <m/>
    <x v="0"/>
    <x v="14"/>
    <x v="319"/>
    <n v="36541725"/>
    <s v="EDP KUH.6315-A-M-3001 004"/>
    <n v="76"/>
    <n v="373.92"/>
    <n v="11"/>
    <m/>
    <s v="20240458-26.04.2024"/>
    <x v="1"/>
    <x v="1"/>
    <x v="1"/>
    <m/>
  </r>
  <r>
    <x v="0"/>
    <x v="0"/>
    <x v="87"/>
    <x v="63"/>
    <x v="116"/>
    <s v="096458526-0000"/>
    <s v="AA"/>
    <n v="4.92"/>
    <m/>
    <n v="0"/>
    <x v="140"/>
    <n v="16"/>
    <n v="2024"/>
    <n v="0"/>
    <x v="51"/>
    <n v="0"/>
    <m/>
    <m/>
    <n v="42"/>
    <m/>
    <m/>
    <m/>
    <m/>
    <m/>
    <m/>
    <m/>
    <x v="0"/>
    <x v="176"/>
    <x v="320"/>
    <n v="36541725"/>
    <s v="EDP KUH.6315-A-M-3001 004"/>
    <n v="7"/>
    <n v="34.44"/>
    <m/>
    <s v="5 VALIDARE"/>
    <s v="20240619-29.05.2024"/>
    <x v="1"/>
    <x v="1"/>
    <x v="1"/>
    <m/>
  </r>
  <r>
    <x v="0"/>
    <x v="0"/>
    <x v="88"/>
    <x v="55"/>
    <x v="117"/>
    <s v="096287888-0000"/>
    <s v="AA"/>
    <n v="3.44"/>
    <n v="1"/>
    <n v="3.44"/>
    <x v="157"/>
    <n v="17"/>
    <n v="2025"/>
    <n v="0"/>
    <x v="51"/>
    <n v="0"/>
    <m/>
    <s v="aproved"/>
    <n v="42"/>
    <s v="no"/>
    <m/>
    <m/>
    <m/>
    <m/>
    <m/>
    <m/>
    <x v="0"/>
    <x v="95"/>
    <x v="321"/>
    <n v="39007963"/>
    <s v="EDP KUH.6316-A-M-3001 004"/>
    <n v="1"/>
    <n v="3.44"/>
    <m/>
    <m/>
    <s v="20250516-15.04.2025"/>
    <x v="0"/>
    <x v="1"/>
    <x v="0"/>
    <m/>
  </r>
  <r>
    <x v="0"/>
    <x v="0"/>
    <x v="88"/>
    <x v="55"/>
    <x v="117"/>
    <s v="096287888-0000"/>
    <s v="AA"/>
    <n v="3.44"/>
    <n v="4"/>
    <n v="13.76"/>
    <x v="157"/>
    <n v="17"/>
    <n v="2025"/>
    <n v="0"/>
    <x v="51"/>
    <n v="0"/>
    <m/>
    <s v="aproved"/>
    <n v="42"/>
    <s v="no"/>
    <m/>
    <m/>
    <m/>
    <m/>
    <m/>
    <m/>
    <x v="0"/>
    <x v="95"/>
    <x v="322"/>
    <n v="39007963"/>
    <s v="EDP KUH.6316-A-M-3001 004"/>
    <n v="4"/>
    <n v="13.76"/>
    <m/>
    <m/>
    <s v="20250511-15.04.2025"/>
    <x v="0"/>
    <x v="1"/>
    <x v="0"/>
    <m/>
  </r>
  <r>
    <x v="0"/>
    <x v="0"/>
    <x v="88"/>
    <x v="55"/>
    <x v="117"/>
    <s v="096287888-0000"/>
    <s v="AA"/>
    <n v="3.44"/>
    <n v="37"/>
    <n v="127.28"/>
    <x v="157"/>
    <n v="17"/>
    <n v="2025"/>
    <n v="0"/>
    <x v="51"/>
    <n v="0"/>
    <m/>
    <s v="aproved"/>
    <n v="42"/>
    <s v="no"/>
    <m/>
    <m/>
    <m/>
    <m/>
    <m/>
    <m/>
    <x v="0"/>
    <x v="95"/>
    <x v="322"/>
    <n v="39007963"/>
    <s v="EDP KUH.6316-A-M-3001 004"/>
    <n v="35"/>
    <n v="120.39999999999999"/>
    <m/>
    <s v="2 piese reclamate 1200097322"/>
    <s v="20250511-15.04.2025/20250579-06.05.2025"/>
    <x v="0"/>
    <x v="1"/>
    <x v="0"/>
    <m/>
  </r>
  <r>
    <x v="0"/>
    <x v="0"/>
    <x v="88"/>
    <x v="55"/>
    <x v="117"/>
    <s v="096287888-0000"/>
    <s v="AA"/>
    <n v="3.44"/>
    <n v="120"/>
    <n v="412.8"/>
    <x v="157"/>
    <n v="17"/>
    <n v="2025"/>
    <n v="0"/>
    <x v="51"/>
    <n v="0"/>
    <m/>
    <s v="aproved"/>
    <n v="42"/>
    <s v="no"/>
    <m/>
    <m/>
    <m/>
    <m/>
    <m/>
    <m/>
    <x v="0"/>
    <x v="177"/>
    <x v="323"/>
    <n v="39007963"/>
    <s v="EDP KUH.6316-A-M-3001 004"/>
    <n v="120"/>
    <n v="412.8"/>
    <m/>
    <m/>
    <s v="20250517-16.04.2025"/>
    <x v="0"/>
    <x v="1"/>
    <x v="0"/>
    <m/>
  </r>
  <r>
    <x v="0"/>
    <x v="0"/>
    <x v="88"/>
    <x v="55"/>
    <x v="117"/>
    <s v="096287888-0000"/>
    <s v="AA"/>
    <n v="3.44"/>
    <n v="168"/>
    <n v="577.91999999999996"/>
    <x v="157"/>
    <n v="17"/>
    <n v="2025"/>
    <n v="0"/>
    <x v="51"/>
    <n v="0"/>
    <m/>
    <s v="aproved"/>
    <n v="42"/>
    <s v="no"/>
    <m/>
    <m/>
    <m/>
    <m/>
    <m/>
    <m/>
    <x v="0"/>
    <x v="96"/>
    <x v="324"/>
    <n v="39007963"/>
    <s v="EDP KUH.6316-A-M-3001 004"/>
    <n v="168"/>
    <n v="577.91999999999996"/>
    <m/>
    <m/>
    <s v="20250523-22.04.2025"/>
    <x v="0"/>
    <x v="1"/>
    <x v="0"/>
    <m/>
  </r>
  <r>
    <x v="0"/>
    <x v="0"/>
    <x v="88"/>
    <x v="55"/>
    <x v="117"/>
    <s v="096287888-0000"/>
    <s v="AA"/>
    <n v="3.44"/>
    <n v="97"/>
    <n v="333.68"/>
    <x v="157"/>
    <n v="17"/>
    <n v="2025"/>
    <n v="0"/>
    <x v="51"/>
    <n v="0"/>
    <m/>
    <s v="aproved"/>
    <n v="42"/>
    <s v="no"/>
    <m/>
    <m/>
    <m/>
    <m/>
    <m/>
    <m/>
    <x v="0"/>
    <x v="91"/>
    <x v="325"/>
    <n v="39007963"/>
    <s v="EDP KUH.6316-A-M-3001 004"/>
    <n v="97"/>
    <n v="333.68"/>
    <m/>
    <m/>
    <s v="20250594-08.05.2025"/>
    <x v="1"/>
    <x v="1"/>
    <x v="0"/>
    <m/>
  </r>
  <r>
    <x v="0"/>
    <x v="0"/>
    <x v="88"/>
    <x v="55"/>
    <x v="117"/>
    <s v="096287888-0000"/>
    <s v="AA"/>
    <n v="3.44"/>
    <n v="42"/>
    <n v="144.47999999999999"/>
    <x v="157"/>
    <n v="17"/>
    <n v="2025"/>
    <n v="0"/>
    <x v="51"/>
    <n v="0"/>
    <m/>
    <s v="aproved"/>
    <n v="42"/>
    <s v="no"/>
    <m/>
    <m/>
    <m/>
    <m/>
    <m/>
    <m/>
    <x v="0"/>
    <x v="139"/>
    <x v="326"/>
    <n v="39007963"/>
    <s v="EDP KUH.6316-A-M-3001 004"/>
    <n v="42"/>
    <n v="144.47999999999999"/>
    <m/>
    <m/>
    <s v="20250599-09.05.2025"/>
    <x v="1"/>
    <x v="1"/>
    <x v="0"/>
    <m/>
  </r>
  <r>
    <x v="0"/>
    <x v="0"/>
    <x v="88"/>
    <x v="55"/>
    <x v="117"/>
    <s v="096287888-0000"/>
    <s v="AA"/>
    <n v="3.44"/>
    <n v="1"/>
    <n v="3.44"/>
    <x v="157"/>
    <n v="17"/>
    <n v="2025"/>
    <n v="0"/>
    <x v="51"/>
    <n v="0"/>
    <m/>
    <s v="aproved"/>
    <n v="42"/>
    <s v="no"/>
    <m/>
    <m/>
    <m/>
    <m/>
    <m/>
    <m/>
    <x v="0"/>
    <x v="139"/>
    <x v="327"/>
    <n v="39007963"/>
    <s v="EDP KUH.6316-A-M-3001 004"/>
    <n v="1"/>
    <n v="3.44"/>
    <m/>
    <m/>
    <s v="20250600-09.05.2025"/>
    <x v="1"/>
    <x v="1"/>
    <x v="0"/>
    <m/>
  </r>
  <r>
    <x v="0"/>
    <x v="0"/>
    <x v="88"/>
    <x v="55"/>
    <x v="117"/>
    <s v="096287888-0000"/>
    <s v="AA"/>
    <n v="3.44"/>
    <n v="34"/>
    <n v="116.96"/>
    <x v="157"/>
    <n v="17"/>
    <n v="2025"/>
    <n v="0"/>
    <x v="51"/>
    <n v="0"/>
    <m/>
    <s v="aproved"/>
    <n v="42"/>
    <s v="no"/>
    <m/>
    <m/>
    <m/>
    <m/>
    <m/>
    <m/>
    <x v="0"/>
    <x v="140"/>
    <x v="328"/>
    <n v="39007963"/>
    <s v="EDP KUH.6316-A-M-3001 004"/>
    <n v="34"/>
    <n v="116.96"/>
    <m/>
    <m/>
    <s v="20250607-12.05.2025"/>
    <x v="1"/>
    <x v="1"/>
    <x v="0"/>
    <m/>
  </r>
  <r>
    <x v="0"/>
    <x v="0"/>
    <x v="88"/>
    <x v="55"/>
    <x v="117"/>
    <s v="096287888-0000"/>
    <s v="AA"/>
    <n v="3.44"/>
    <n v="4"/>
    <n v="13.76"/>
    <x v="157"/>
    <n v="17"/>
    <n v="2025"/>
    <n v="0"/>
    <x v="51"/>
    <n v="0"/>
    <m/>
    <s v="aproved"/>
    <n v="42"/>
    <s v="no"/>
    <m/>
    <m/>
    <m/>
    <m/>
    <m/>
    <m/>
    <x v="0"/>
    <x v="141"/>
    <x v="329"/>
    <n v="39007963"/>
    <s v="EDP KUH.6316-A-M-3001 004"/>
    <n v="4"/>
    <n v="13.76"/>
    <m/>
    <m/>
    <s v="20250615-13.05.2025"/>
    <x v="1"/>
    <x v="1"/>
    <x v="0"/>
    <m/>
  </r>
  <r>
    <x v="0"/>
    <x v="0"/>
    <x v="88"/>
    <x v="55"/>
    <x v="117"/>
    <s v="096287888-0000"/>
    <s v="AA"/>
    <n v="3.44"/>
    <n v="144"/>
    <n v="495.36"/>
    <x v="158"/>
    <n v="17"/>
    <n v="2025"/>
    <n v="0"/>
    <x v="51"/>
    <n v="0"/>
    <m/>
    <s v="aproved"/>
    <n v="42"/>
    <s v="no"/>
    <m/>
    <m/>
    <m/>
    <m/>
    <m/>
    <m/>
    <x v="0"/>
    <x v="97"/>
    <x v="330"/>
    <n v="39007963"/>
    <s v="EDP KUH.6316-A-M-3001 004"/>
    <n v="144"/>
    <n v="495.36"/>
    <m/>
    <m/>
    <s v="20250529-22.04.2025"/>
    <x v="0"/>
    <x v="1"/>
    <x v="0"/>
    <m/>
  </r>
  <r>
    <x v="0"/>
    <x v="0"/>
    <x v="88"/>
    <x v="55"/>
    <x v="117"/>
    <s v="096287888-0000"/>
    <s v="AA"/>
    <n v="3.44"/>
    <n v="288"/>
    <n v="990.72"/>
    <x v="158"/>
    <n v="17"/>
    <n v="2025"/>
    <n v="0"/>
    <x v="51"/>
    <n v="0"/>
    <m/>
    <s v="aproved"/>
    <n v="42"/>
    <s v="no"/>
    <m/>
    <m/>
    <m/>
    <m/>
    <m/>
    <m/>
    <x v="0"/>
    <x v="33"/>
    <x v="331"/>
    <n v="39007963"/>
    <s v="EDP KUH.6316-A-M-3001 004"/>
    <n v="288"/>
    <n v="990.72"/>
    <m/>
    <m/>
    <s v="20250537-23.04.2025"/>
    <x v="0"/>
    <x v="1"/>
    <x v="0"/>
    <m/>
  </r>
  <r>
    <x v="0"/>
    <x v="0"/>
    <x v="88"/>
    <x v="55"/>
    <x v="117"/>
    <s v="096287888-0000"/>
    <s v="AA"/>
    <n v="3.44"/>
    <n v="264"/>
    <n v="908.16"/>
    <x v="158"/>
    <n v="17"/>
    <n v="2025"/>
    <n v="0"/>
    <x v="51"/>
    <n v="0"/>
    <m/>
    <s v="aproved"/>
    <n v="42"/>
    <s v="no"/>
    <m/>
    <m/>
    <m/>
    <m/>
    <m/>
    <m/>
    <x v="0"/>
    <x v="98"/>
    <x v="332"/>
    <n v="39007963"/>
    <s v="EDP KUH.6316-A-M-3001 004"/>
    <n v="264"/>
    <n v="908.16"/>
    <m/>
    <m/>
    <s v="20250545-24.04.2025"/>
    <x v="0"/>
    <x v="1"/>
    <x v="0"/>
    <m/>
  </r>
  <r>
    <x v="0"/>
    <x v="0"/>
    <x v="88"/>
    <x v="55"/>
    <x v="117"/>
    <s v="096287888-0000"/>
    <s v="AA"/>
    <n v="3.44"/>
    <n v="101"/>
    <n v="347.44"/>
    <x v="158"/>
    <n v="17"/>
    <n v="2025"/>
    <n v="0"/>
    <x v="51"/>
    <n v="0"/>
    <m/>
    <s v="aproved"/>
    <n v="42"/>
    <s v="no"/>
    <m/>
    <m/>
    <m/>
    <m/>
    <m/>
    <m/>
    <x v="0"/>
    <x v="138"/>
    <x v="333"/>
    <n v="39007963"/>
    <s v="EDP KUH.6316-A-M-3001 004"/>
    <n v="101"/>
    <n v="347.44"/>
    <m/>
    <m/>
    <s v="20250554-25.04.2025"/>
    <x v="0"/>
    <x v="1"/>
    <x v="0"/>
    <m/>
  </r>
  <r>
    <x v="0"/>
    <x v="0"/>
    <x v="89"/>
    <x v="64"/>
    <x v="117"/>
    <s v="096287888-0000"/>
    <s v="AA"/>
    <n v="3.44"/>
    <n v="0"/>
    <n v="0"/>
    <x v="0"/>
    <n v="27"/>
    <n v="2025"/>
    <n v="0"/>
    <x v="51"/>
    <n v="0"/>
    <m/>
    <s v="aproved"/>
    <n v="42"/>
    <s v="no"/>
    <m/>
    <m/>
    <m/>
    <m/>
    <m/>
    <m/>
    <x v="0"/>
    <x v="150"/>
    <x v="334"/>
    <n v="39454706"/>
    <s v="EDP KUH.6316-A-M-3001 004"/>
    <n v="0"/>
    <n v="0"/>
    <n v="8"/>
    <m/>
    <s v="20250714-05.06.2025"/>
    <x v="0"/>
    <x v="0"/>
    <x v="0"/>
    <m/>
  </r>
  <r>
    <x v="0"/>
    <x v="0"/>
    <x v="89"/>
    <x v="64"/>
    <x v="117"/>
    <s v="096287888-0000"/>
    <s v="AA"/>
    <n v="3.44"/>
    <n v="5"/>
    <n v="17.2"/>
    <x v="0"/>
    <n v="27"/>
    <n v="2025"/>
    <n v="0"/>
    <x v="51"/>
    <n v="0"/>
    <m/>
    <s v="aproved"/>
    <n v="0.10416666666666667"/>
    <s v="no"/>
    <m/>
    <m/>
    <m/>
    <m/>
    <m/>
    <m/>
    <x v="0"/>
    <x v="178"/>
    <x v="335"/>
    <n v="39454706"/>
    <s v="EDP KUH.6316-A-M-3001 004"/>
    <n v="5"/>
    <n v="17.2"/>
    <m/>
    <s v="pentru PPAP"/>
    <s v="20250789-26.06.2025"/>
    <x v="0"/>
    <x v="0"/>
    <x v="0"/>
    <m/>
  </r>
  <r>
    <x v="0"/>
    <x v="0"/>
    <x v="89"/>
    <x v="64"/>
    <x v="117"/>
    <s v="096287888-0000"/>
    <s v="AA"/>
    <n v="3.44"/>
    <n v="126"/>
    <n v="433.44"/>
    <x v="0"/>
    <n v="27"/>
    <n v="2025"/>
    <n v="0"/>
    <x v="51"/>
    <n v="0"/>
    <m/>
    <s v="aproved"/>
    <n v="2.625"/>
    <s v="no"/>
    <m/>
    <m/>
    <m/>
    <m/>
    <m/>
    <m/>
    <x v="0"/>
    <x v="179"/>
    <x v="336"/>
    <n v="39454706"/>
    <s v="EDP KUH.6316-A-M-3001 004"/>
    <n v="126"/>
    <n v="433.44"/>
    <m/>
    <s v="sunt piesele intoarse"/>
    <s v="20250824-30.06.2025/20250940-18.07.2025/20250941-18.07.2025"/>
    <x v="0"/>
    <x v="0"/>
    <x v="0"/>
    <m/>
  </r>
  <r>
    <x v="0"/>
    <x v="0"/>
    <x v="89"/>
    <x v="64"/>
    <x v="117"/>
    <s v="096287888-0000"/>
    <s v="AA"/>
    <n v="3.44"/>
    <n v="140"/>
    <n v="481.59999999999997"/>
    <x v="0"/>
    <n v="27"/>
    <n v="2025"/>
    <n v="0"/>
    <x v="51"/>
    <n v="0"/>
    <m/>
    <s v="aproved"/>
    <n v="2.9166666666666665"/>
    <s v="no"/>
    <m/>
    <m/>
    <m/>
    <m/>
    <m/>
    <m/>
    <x v="0"/>
    <x v="180"/>
    <x v="337"/>
    <n v="39454706"/>
    <s v="EDP KUH.6316-A-M-3001 004"/>
    <n v="140"/>
    <n v="481.59999999999997"/>
    <m/>
    <s v="sunt piesele intoarse"/>
    <s v="20250790-26.06.2025/20250939-18.07.2025/20250941-18.07.2025"/>
    <x v="0"/>
    <x v="0"/>
    <x v="0"/>
    <m/>
  </r>
  <r>
    <x v="0"/>
    <x v="0"/>
    <x v="89"/>
    <x v="64"/>
    <x v="117"/>
    <s v="096287888-0000"/>
    <s v="AA"/>
    <n v="3.44"/>
    <n v="671"/>
    <n v="2308.2399999999998"/>
    <x v="0"/>
    <n v="27"/>
    <n v="2025"/>
    <n v="0"/>
    <x v="51"/>
    <n v="0"/>
    <m/>
    <s v="aproved"/>
    <n v="13.979166666666666"/>
    <s v="no"/>
    <m/>
    <m/>
    <m/>
    <m/>
    <m/>
    <m/>
    <x v="0"/>
    <x v="181"/>
    <x v="338"/>
    <n v="39454706"/>
    <s v="EDP KUH.6316-A-M-3001 004"/>
    <n v="671"/>
    <n v="2308.2399999999998"/>
    <m/>
    <m/>
    <s v="20250921-15.07.2025"/>
    <x v="1"/>
    <x v="0"/>
    <x v="0"/>
    <m/>
  </r>
  <r>
    <x v="0"/>
    <x v="0"/>
    <x v="89"/>
    <x v="64"/>
    <x v="117"/>
    <s v="096287888-0000"/>
    <s v="AA"/>
    <n v="3.44"/>
    <n v="49"/>
    <n v="168.56"/>
    <x v="0"/>
    <n v="27"/>
    <n v="2025"/>
    <n v="0"/>
    <x v="51"/>
    <n v="0"/>
    <m/>
    <s v="aproved"/>
    <n v="1.0208333333333333"/>
    <s v="no"/>
    <m/>
    <m/>
    <m/>
    <m/>
    <m/>
    <m/>
    <x v="0"/>
    <x v="182"/>
    <x v="339"/>
    <n v="39454706"/>
    <s v="EDP KUH.6316-A-M-3001 004"/>
    <m/>
    <n v="0"/>
    <n v="34"/>
    <s v="2 BUC AU FOST PE CDA 39007963"/>
    <s v="20250995-28.07.2025 / 20250994-28.07.2025"/>
    <x v="1"/>
    <x v="0"/>
    <x v="0"/>
    <m/>
  </r>
  <r>
    <x v="0"/>
    <x v="0"/>
    <x v="89"/>
    <x v="64"/>
    <x v="117"/>
    <s v="096287888-0000"/>
    <s v="AA"/>
    <n v="3.44"/>
    <n v="0"/>
    <n v="0"/>
    <x v="0"/>
    <n v="27"/>
    <n v="2025"/>
    <n v="0"/>
    <x v="51"/>
    <n v="0"/>
    <m/>
    <s v="aproved"/>
    <n v="42"/>
    <s v="no"/>
    <m/>
    <m/>
    <m/>
    <m/>
    <m/>
    <m/>
    <x v="0"/>
    <x v="3"/>
    <x v="4"/>
    <s v=""/>
    <s v=""/>
    <m/>
    <n v="0"/>
    <m/>
    <m/>
    <m/>
    <x v="1"/>
    <x v="0"/>
    <x v="0"/>
    <m/>
  </r>
  <r>
    <x v="0"/>
    <x v="0"/>
    <x v="90"/>
    <x v="65"/>
    <x v="117"/>
    <s v="096287888-0000"/>
    <s v="AA"/>
    <n v="3.44"/>
    <n v="5"/>
    <n v="17.2"/>
    <x v="159"/>
    <n v="28"/>
    <n v="2025"/>
    <n v="0"/>
    <x v="51"/>
    <n v="0"/>
    <m/>
    <s v="aproved"/>
    <n v="0.10416666666666667"/>
    <m/>
    <m/>
    <m/>
    <m/>
    <m/>
    <m/>
    <m/>
    <x v="0"/>
    <x v="100"/>
    <x v="340"/>
    <n v="39659110"/>
    <s v="EDP KUH.6316-A-M-3001 004"/>
    <n v="5"/>
    <n v="17.2"/>
    <m/>
    <m/>
    <s v="20250952-18.07.2025"/>
    <x v="0"/>
    <x v="8"/>
    <x v="0"/>
    <m/>
  </r>
  <r>
    <x v="0"/>
    <x v="0"/>
    <x v="91"/>
    <x v="64"/>
    <x v="117"/>
    <s v="096287888-0000"/>
    <s v="AA"/>
    <n v="3.44"/>
    <n v="102"/>
    <n v="350.88"/>
    <x v="148"/>
    <n v="34"/>
    <n v="2025"/>
    <n v="0"/>
    <x v="51"/>
    <n v="0"/>
    <m/>
    <s v="aproved"/>
    <n v="2.125"/>
    <s v="no"/>
    <m/>
    <m/>
    <m/>
    <m/>
    <m/>
    <m/>
    <x v="0"/>
    <x v="183"/>
    <x v="341"/>
    <n v="39852082"/>
    <s v="EDP KUH.6316-A-M-3001 004"/>
    <n v="102"/>
    <n v="350.88"/>
    <m/>
    <m/>
    <s v="20251058-14.08.2025"/>
    <x v="0"/>
    <x v="9"/>
    <x v="0"/>
    <m/>
  </r>
  <r>
    <x v="0"/>
    <x v="0"/>
    <x v="91"/>
    <x v="64"/>
    <x v="117"/>
    <s v="096287888-0000"/>
    <s v="AA"/>
    <n v="3.44"/>
    <n v="72"/>
    <n v="247.68"/>
    <x v="148"/>
    <n v="34"/>
    <n v="2025"/>
    <n v="0"/>
    <x v="51"/>
    <n v="0"/>
    <m/>
    <s v="aproved"/>
    <n v="1.5"/>
    <s v="no"/>
    <m/>
    <m/>
    <m/>
    <m/>
    <m/>
    <m/>
    <x v="0"/>
    <x v="184"/>
    <x v="342"/>
    <n v="39852082"/>
    <s v="EDP KUH.6316-A-M-3001 004"/>
    <n v="72"/>
    <n v="247.68"/>
    <m/>
    <m/>
    <s v="20251061-14.08.2025"/>
    <x v="0"/>
    <x v="9"/>
    <x v="0"/>
    <m/>
  </r>
  <r>
    <x v="0"/>
    <x v="0"/>
    <x v="92"/>
    <x v="64"/>
    <x v="117"/>
    <s v="096287888-0000"/>
    <s v="AA"/>
    <n v="3.44"/>
    <n v="52"/>
    <n v="178.88"/>
    <x v="148"/>
    <n v="34"/>
    <n v="2025"/>
    <n v="0"/>
    <x v="51"/>
    <n v="0"/>
    <m/>
    <s v="aproved"/>
    <n v="1.0833333333333333"/>
    <s v="no"/>
    <m/>
    <m/>
    <m/>
    <m/>
    <m/>
    <m/>
    <x v="0"/>
    <x v="185"/>
    <x v="343"/>
    <n v="39839923"/>
    <s v="EDP KUH.6316-A-M-3001 004"/>
    <n v="52"/>
    <n v="178.88"/>
    <m/>
    <m/>
    <s v="20251074-14.08.2025"/>
    <x v="0"/>
    <x v="9"/>
    <x v="0"/>
    <m/>
  </r>
  <r>
    <x v="0"/>
    <x v="0"/>
    <x v="91"/>
    <x v="64"/>
    <x v="117"/>
    <s v="096287888-0000"/>
    <s v="AA"/>
    <n v="3.44"/>
    <n v="92"/>
    <n v="316.48"/>
    <x v="148"/>
    <n v="34"/>
    <n v="2025"/>
    <n v="0"/>
    <x v="51"/>
    <n v="0"/>
    <m/>
    <s v="aproved"/>
    <n v="1.9166666666666667"/>
    <s v="no"/>
    <m/>
    <m/>
    <m/>
    <m/>
    <m/>
    <m/>
    <x v="0"/>
    <x v="185"/>
    <x v="344"/>
    <n v="39852082"/>
    <s v="EDP KUH.6316-A-M-3001 004"/>
    <n v="92"/>
    <n v="316.48"/>
    <m/>
    <m/>
    <s v="20251075-14.08.2025"/>
    <x v="0"/>
    <x v="9"/>
    <x v="0"/>
    <m/>
  </r>
  <r>
    <x v="0"/>
    <x v="0"/>
    <x v="92"/>
    <x v="64"/>
    <x v="117"/>
    <s v="096287888-0000"/>
    <s v="AA"/>
    <n v="3.44"/>
    <n v="216"/>
    <n v="743.04"/>
    <x v="148"/>
    <n v="34"/>
    <n v="2025"/>
    <n v="0"/>
    <x v="51"/>
    <n v="0"/>
    <m/>
    <s v="aproved"/>
    <n v="4.5"/>
    <s v="no"/>
    <m/>
    <m/>
    <m/>
    <m/>
    <m/>
    <m/>
    <x v="0"/>
    <x v="186"/>
    <x v="345"/>
    <n v="39839923"/>
    <s v="EDP KUH.6316-A-M-3001 004"/>
    <n v="216"/>
    <n v="743.04"/>
    <m/>
    <m/>
    <s v="20251066-14.08.2025"/>
    <x v="0"/>
    <x v="9"/>
    <x v="0"/>
    <m/>
  </r>
  <r>
    <x v="0"/>
    <x v="0"/>
    <x v="92"/>
    <x v="64"/>
    <x v="117"/>
    <s v="096287888-0000"/>
    <s v="AA"/>
    <n v="3.44"/>
    <n v="108"/>
    <n v="371.52"/>
    <x v="148"/>
    <n v="34"/>
    <n v="2025"/>
    <n v="0"/>
    <x v="51"/>
    <n v="0"/>
    <m/>
    <s v="aproved"/>
    <n v="2.25"/>
    <s v="no"/>
    <m/>
    <m/>
    <m/>
    <m/>
    <m/>
    <m/>
    <x v="0"/>
    <x v="187"/>
    <x v="346"/>
    <n v="39839923"/>
    <s v="EDP KUH.6316-A-M-3001 004"/>
    <n v="108"/>
    <n v="371.52"/>
    <m/>
    <m/>
    <s v="20251083-18.08.2025"/>
    <x v="0"/>
    <x v="9"/>
    <x v="0"/>
    <m/>
  </r>
  <r>
    <x v="0"/>
    <x v="0"/>
    <x v="92"/>
    <x v="64"/>
    <x v="117"/>
    <s v="096287888-0000"/>
    <s v="AA"/>
    <n v="3.44"/>
    <n v="264"/>
    <n v="908.16"/>
    <x v="148"/>
    <n v="34"/>
    <n v="2025"/>
    <n v="0"/>
    <x v="51"/>
    <n v="0"/>
    <m/>
    <s v="aproved"/>
    <n v="5.5"/>
    <s v="no"/>
    <m/>
    <m/>
    <m/>
    <m/>
    <m/>
    <m/>
    <x v="0"/>
    <x v="188"/>
    <x v="347"/>
    <n v="39839923"/>
    <s v="EDP KUH.6316-A-M-3001 004"/>
    <n v="245"/>
    <n v="842.8"/>
    <n v="19"/>
    <m/>
    <s v="20251085-19.08.2025"/>
    <x v="0"/>
    <x v="9"/>
    <x v="0"/>
    <m/>
  </r>
  <r>
    <x v="0"/>
    <x v="1"/>
    <x v="80"/>
    <x v="64"/>
    <x v="117"/>
    <s v="096287888-0000"/>
    <s v="AA"/>
    <n v="3.44"/>
    <n v="168"/>
    <n v="577.91999999999996"/>
    <x v="119"/>
    <n v="40"/>
    <n v="2025"/>
    <n v="0"/>
    <x v="51"/>
    <n v="0"/>
    <m/>
    <s v="aproved"/>
    <n v="3.5"/>
    <s v="no"/>
    <m/>
    <m/>
    <m/>
    <m/>
    <m/>
    <m/>
    <x v="0"/>
    <x v="3"/>
    <x v="4"/>
    <s v=""/>
    <s v=""/>
    <n v="0"/>
    <n v="0"/>
    <m/>
    <s v="comenzi anulate"/>
    <m/>
    <x v="1"/>
    <x v="10"/>
    <x v="0"/>
    <m/>
  </r>
  <r>
    <x v="0"/>
    <x v="0"/>
    <x v="93"/>
    <x v="66"/>
    <x v="117"/>
    <s v="096287888-0000"/>
    <s v="AA"/>
    <n v="3.44"/>
    <n v="359"/>
    <n v="1234.96"/>
    <x v="160"/>
    <n v="42"/>
    <n v="2025"/>
    <n v="0"/>
    <x v="51"/>
    <n v="0"/>
    <m/>
    <s v="aproved"/>
    <n v="7.479166666666667"/>
    <m/>
    <m/>
    <m/>
    <m/>
    <m/>
    <m/>
    <m/>
    <x v="0"/>
    <x v="113"/>
    <x v="348"/>
    <n v="50340765"/>
    <s v="EDP KUH.6316-A-M-3001 004"/>
    <n v="359"/>
    <n v="1234.96"/>
    <m/>
    <m/>
    <s v="20251290-07.10.2025"/>
    <x v="0"/>
    <x v="11"/>
    <x v="0"/>
    <m/>
  </r>
  <r>
    <x v="0"/>
    <x v="0"/>
    <x v="93"/>
    <x v="66"/>
    <x v="117"/>
    <s v="096287888-0000"/>
    <s v="AA"/>
    <n v="3.44"/>
    <n v="277"/>
    <n v="952.88"/>
    <x v="160"/>
    <n v="42"/>
    <n v="2025"/>
    <n v="0"/>
    <x v="51"/>
    <n v="0"/>
    <m/>
    <s v="aproved"/>
    <n v="5.770833333333333"/>
    <m/>
    <m/>
    <m/>
    <m/>
    <m/>
    <m/>
    <m/>
    <x v="0"/>
    <x v="114"/>
    <x v="349"/>
    <n v="50340765"/>
    <s v="EDP KUH.6316-A-M-3001 004"/>
    <n v="277"/>
    <n v="952.88"/>
    <m/>
    <m/>
    <s v="20251297-09.10.2025"/>
    <x v="0"/>
    <x v="11"/>
    <x v="0"/>
    <m/>
  </r>
  <r>
    <x v="0"/>
    <x v="0"/>
    <x v="94"/>
    <x v="67"/>
    <x v="117"/>
    <s v="096287888-0000"/>
    <s v="AA"/>
    <n v="3.44"/>
    <n v="155"/>
    <n v="533.20000000000005"/>
    <x v="161"/>
    <n v="42"/>
    <n v="2025"/>
    <n v="0"/>
    <x v="51"/>
    <n v="0"/>
    <m/>
    <s v="aproved"/>
    <n v="3.2291666666666665"/>
    <m/>
    <m/>
    <m/>
    <m/>
    <m/>
    <m/>
    <m/>
    <x v="0"/>
    <x v="114"/>
    <x v="349"/>
    <n v="50347683"/>
    <s v="EDP KUH.6316-A-M-3001 004"/>
    <n v="155"/>
    <n v="533.20000000000005"/>
    <m/>
    <m/>
    <s v="20251298-09.10.2025"/>
    <x v="0"/>
    <x v="11"/>
    <x v="0"/>
    <m/>
  </r>
  <r>
    <x v="0"/>
    <x v="0"/>
    <x v="94"/>
    <x v="67"/>
    <x v="117"/>
    <s v="096287888-0000"/>
    <s v="AA"/>
    <n v="3.44"/>
    <n v="169"/>
    <n v="581.36"/>
    <x v="161"/>
    <n v="42"/>
    <n v="2025"/>
    <n v="0"/>
    <x v="51"/>
    <n v="0"/>
    <m/>
    <s v="aproved"/>
    <n v="3.5208333333333335"/>
    <m/>
    <m/>
    <m/>
    <m/>
    <m/>
    <m/>
    <m/>
    <x v="0"/>
    <x v="115"/>
    <x v="350"/>
    <n v="50347683"/>
    <s v="EDP KUH.6316-A-M-3001 004"/>
    <n v="147"/>
    <n v="505.68"/>
    <n v="22"/>
    <m/>
    <s v="20251306-14.10.2025"/>
    <x v="0"/>
    <x v="11"/>
    <x v="0"/>
    <m/>
  </r>
  <r>
    <x v="0"/>
    <x v="0"/>
    <x v="94"/>
    <x v="67"/>
    <x v="117"/>
    <s v="096287888-0000"/>
    <s v="AA"/>
    <n v="3.44"/>
    <n v="12"/>
    <n v="41.28"/>
    <x v="161"/>
    <n v="42"/>
    <n v="2025"/>
    <n v="0"/>
    <x v="51"/>
    <n v="0"/>
    <m/>
    <s v="aproved"/>
    <n v="0.25"/>
    <s v="no"/>
    <m/>
    <m/>
    <m/>
    <m/>
    <m/>
    <m/>
    <x v="0"/>
    <x v="116"/>
    <x v="4"/>
    <s v=""/>
    <s v=""/>
    <m/>
    <n v="0"/>
    <m/>
    <s v="Aliniat cu Onofrei"/>
    <m/>
    <x v="0"/>
    <x v="11"/>
    <x v="0"/>
    <m/>
  </r>
  <r>
    <x v="0"/>
    <x v="1"/>
    <x v="80"/>
    <x v="64"/>
    <x v="117"/>
    <s v="096287888-0000"/>
    <s v="AA"/>
    <n v="3.44"/>
    <n v="462"/>
    <n v="1589.28"/>
    <x v="121"/>
    <n v="49"/>
    <n v="2025"/>
    <n v="0"/>
    <x v="51"/>
    <n v="0"/>
    <m/>
    <s v="aproved"/>
    <n v="9.625"/>
    <s v="no"/>
    <m/>
    <m/>
    <m/>
    <m/>
    <m/>
    <m/>
    <x v="1"/>
    <x v="3"/>
    <x v="4"/>
    <s v=""/>
    <s v=""/>
    <m/>
    <n v="0"/>
    <m/>
    <m/>
    <m/>
    <x v="2"/>
    <x v="4"/>
    <x v="0"/>
    <m/>
  </r>
  <r>
    <x v="0"/>
    <x v="0"/>
    <x v="95"/>
    <x v="63"/>
    <x v="118"/>
    <s v="096486538-0000"/>
    <s v="AA"/>
    <n v="3.44"/>
    <n v="207"/>
    <n v="712.08"/>
    <x v="162"/>
    <n v="16"/>
    <n v="2024"/>
    <n v="0"/>
    <x v="51"/>
    <n v="0"/>
    <m/>
    <s v="approved"/>
    <n v="42"/>
    <s v="no"/>
    <m/>
    <m/>
    <m/>
    <m/>
    <m/>
    <n v="241501"/>
    <x v="0"/>
    <x v="175"/>
    <x v="351"/>
    <n v="36541754"/>
    <s v="EDP KUH.6317-A-M-3001 004"/>
    <n v="152"/>
    <n v="522.88"/>
    <m/>
    <m/>
    <s v="20240454-25.04.2024"/>
    <x v="1"/>
    <x v="1"/>
    <x v="1"/>
    <m/>
  </r>
  <r>
    <x v="0"/>
    <x v="0"/>
    <x v="96"/>
    <x v="68"/>
    <x v="118"/>
    <s v="096486538-0000"/>
    <s v="AA"/>
    <n v="3.44"/>
    <n v="303"/>
    <n v="1042.32"/>
    <x v="162"/>
    <n v="16"/>
    <n v="2024"/>
    <n v="0"/>
    <x v="51"/>
    <n v="0"/>
    <m/>
    <s v="approved"/>
    <n v="42"/>
    <s v="no"/>
    <m/>
    <m/>
    <m/>
    <m/>
    <m/>
    <n v="241711"/>
    <x v="0"/>
    <x v="175"/>
    <x v="352"/>
    <n v="36550892"/>
    <s v="EDP KUH.6317-A-M-3001 004"/>
    <n v="8"/>
    <n v="27.52"/>
    <m/>
    <s v="DIN PIESELE TRIMISE LA ANALIZA"/>
    <s v="20240461-25.04.2024"/>
    <x v="1"/>
    <x v="1"/>
    <x v="1"/>
    <m/>
  </r>
  <r>
    <x v="0"/>
    <x v="0"/>
    <x v="95"/>
    <x v="63"/>
    <x v="118"/>
    <s v="096486538-0000"/>
    <s v="AA"/>
    <n v="3.44"/>
    <m/>
    <n v="0"/>
    <x v="162"/>
    <n v="16"/>
    <n v="2024"/>
    <n v="0"/>
    <x v="51"/>
    <n v="0"/>
    <m/>
    <m/>
    <n v="42"/>
    <m/>
    <m/>
    <m/>
    <m/>
    <m/>
    <m/>
    <m/>
    <x v="0"/>
    <x v="14"/>
    <x v="353"/>
    <n v="36541754"/>
    <s v="EDP KUH.6317-A-M-3001 004"/>
    <n v="55"/>
    <n v="189.2"/>
    <m/>
    <m/>
    <s v="20240456-26.04.2024"/>
    <x v="1"/>
    <x v="1"/>
    <x v="1"/>
    <m/>
  </r>
  <r>
    <x v="0"/>
    <x v="0"/>
    <x v="96"/>
    <x v="68"/>
    <x v="118"/>
    <s v="096486538-0000"/>
    <s v="AA"/>
    <n v="3.44"/>
    <m/>
    <n v="0"/>
    <x v="162"/>
    <n v="16"/>
    <n v="2024"/>
    <n v="0"/>
    <x v="51"/>
    <n v="0"/>
    <m/>
    <m/>
    <n v="42"/>
    <m/>
    <m/>
    <m/>
    <m/>
    <m/>
    <m/>
    <m/>
    <x v="0"/>
    <x v="14"/>
    <x v="354"/>
    <n v="36550892"/>
    <s v="EDP KUH.6317-A-M-3001 004"/>
    <n v="45"/>
    <n v="154.80000000000001"/>
    <m/>
    <m/>
    <s v="20240457-26.04.2024"/>
    <x v="1"/>
    <x v="1"/>
    <x v="1"/>
    <m/>
  </r>
  <r>
    <x v="0"/>
    <x v="0"/>
    <x v="96"/>
    <x v="68"/>
    <x v="118"/>
    <s v="096486538-0000"/>
    <s v="AA"/>
    <n v="3.44"/>
    <m/>
    <n v="0"/>
    <x v="162"/>
    <n v="16"/>
    <n v="2024"/>
    <n v="0"/>
    <x v="51"/>
    <n v="0"/>
    <m/>
    <m/>
    <n v="42"/>
    <m/>
    <m/>
    <m/>
    <m/>
    <m/>
    <m/>
    <m/>
    <x v="0"/>
    <x v="14"/>
    <x v="355"/>
    <n v="36550892"/>
    <s v="EDP KUH.6317-A-M-3001 004"/>
    <n v="30"/>
    <n v="103.2"/>
    <m/>
    <m/>
    <s v="20240459-26.04.2024"/>
    <x v="1"/>
    <x v="1"/>
    <x v="1"/>
    <m/>
  </r>
  <r>
    <x v="0"/>
    <x v="0"/>
    <x v="96"/>
    <x v="68"/>
    <x v="118"/>
    <s v="096486538-0000"/>
    <s v="AA"/>
    <n v="3.44"/>
    <m/>
    <n v="0"/>
    <x v="162"/>
    <n v="16"/>
    <n v="2024"/>
    <n v="0"/>
    <x v="51"/>
    <n v="0"/>
    <m/>
    <m/>
    <n v="42"/>
    <m/>
    <m/>
    <m/>
    <m/>
    <m/>
    <m/>
    <m/>
    <x v="0"/>
    <x v="14"/>
    <x v="356"/>
    <n v="36550892"/>
    <s v="EDP KUH.6317-A-M-3001 004"/>
    <n v="86"/>
    <n v="295.83999999999997"/>
    <m/>
    <m/>
    <s v="20240462-26.04.2024"/>
    <x v="1"/>
    <x v="1"/>
    <x v="1"/>
    <m/>
  </r>
  <r>
    <x v="0"/>
    <x v="0"/>
    <x v="96"/>
    <x v="68"/>
    <x v="118"/>
    <s v="096486538-0000"/>
    <s v="AA"/>
    <n v="3.44"/>
    <m/>
    <n v="0"/>
    <x v="162"/>
    <n v="16"/>
    <n v="2024"/>
    <n v="0"/>
    <x v="51"/>
    <n v="0"/>
    <m/>
    <m/>
    <n v="42"/>
    <m/>
    <m/>
    <m/>
    <m/>
    <m/>
    <m/>
    <m/>
    <x v="0"/>
    <x v="189"/>
    <x v="357"/>
    <n v="36550892"/>
    <s v="EDP KUH.6317-A-M-3001 004"/>
    <n v="66"/>
    <n v="227.04"/>
    <m/>
    <m/>
    <s v="20240463-27.04.2024"/>
    <x v="1"/>
    <x v="1"/>
    <x v="1"/>
    <m/>
  </r>
  <r>
    <x v="0"/>
    <x v="0"/>
    <x v="96"/>
    <x v="68"/>
    <x v="118"/>
    <s v="096486538-0000"/>
    <s v="AA"/>
    <n v="3.44"/>
    <m/>
    <n v="0"/>
    <x v="162"/>
    <n v="16"/>
    <n v="2024"/>
    <n v="0"/>
    <x v="51"/>
    <n v="0"/>
    <m/>
    <m/>
    <n v="42"/>
    <m/>
    <m/>
    <m/>
    <m/>
    <m/>
    <m/>
    <m/>
    <x v="0"/>
    <x v="189"/>
    <x v="358"/>
    <n v="36550892"/>
    <s v="EDP KUH.6317-A-M-3001 004"/>
    <n v="54"/>
    <n v="185.76"/>
    <n v="14"/>
    <s v="din total 6 piese de validare"/>
    <m/>
    <x v="1"/>
    <x v="1"/>
    <x v="1"/>
    <m/>
  </r>
  <r>
    <x v="0"/>
    <x v="0"/>
    <x v="97"/>
    <x v="69"/>
    <x v="118"/>
    <s v="096486538-0000"/>
    <s v="AA"/>
    <n v="3.44"/>
    <n v="5"/>
    <n v="17.2"/>
    <x v="163"/>
    <n v="9"/>
    <n v="2025"/>
    <m/>
    <x v="51"/>
    <m/>
    <m/>
    <s v="approved"/>
    <m/>
    <s v="no"/>
    <m/>
    <m/>
    <m/>
    <m/>
    <s v="Yes"/>
    <m/>
    <x v="0"/>
    <x v="190"/>
    <x v="359"/>
    <n v="38594919"/>
    <s v="EDP KUH.6317-A-M-3001 004"/>
    <n v="5"/>
    <n v="17.2"/>
    <m/>
    <m/>
    <s v="20250213-25.02.2025"/>
    <x v="0"/>
    <x v="7"/>
    <x v="0"/>
    <m/>
  </r>
  <r>
    <x v="0"/>
    <x v="0"/>
    <x v="97"/>
    <x v="69"/>
    <x v="118"/>
    <s v="096486538-0000"/>
    <s v="AA"/>
    <n v="3.44"/>
    <n v="455"/>
    <n v="1565.2"/>
    <x v="163"/>
    <n v="9"/>
    <n v="2025"/>
    <m/>
    <x v="51"/>
    <m/>
    <m/>
    <s v="approved"/>
    <m/>
    <s v="no"/>
    <m/>
    <m/>
    <m/>
    <m/>
    <s v="Yes"/>
    <m/>
    <x v="0"/>
    <x v="191"/>
    <x v="360"/>
    <n v="38594919"/>
    <s v="EDP KUH.6317-A-M-3001 004"/>
    <n v="446"/>
    <n v="1534.24"/>
    <n v="9"/>
    <m/>
    <s v="20250242-28.02.2025"/>
    <x v="1"/>
    <x v="7"/>
    <x v="0"/>
    <m/>
  </r>
  <r>
    <x v="0"/>
    <x v="0"/>
    <x v="98"/>
    <x v="70"/>
    <x v="118"/>
    <s v="096486538-0000"/>
    <s v="AA"/>
    <n v="3.44"/>
    <n v="30"/>
    <n v="103.2"/>
    <x v="164"/>
    <n v="9"/>
    <n v="2025"/>
    <m/>
    <x v="51"/>
    <n v="0"/>
    <m/>
    <s v="approved"/>
    <n v="42"/>
    <s v="no"/>
    <m/>
    <m/>
    <m/>
    <m/>
    <m/>
    <m/>
    <x v="0"/>
    <x v="192"/>
    <x v="361"/>
    <n v="38698799"/>
    <s v="EDP KUH.6317-A-M-3001 004"/>
    <n v="30"/>
    <n v="103.2"/>
    <m/>
    <m/>
    <s v="20250307-12.03.2025"/>
    <x v="1"/>
    <x v="7"/>
    <x v="0"/>
    <m/>
  </r>
  <r>
    <x v="0"/>
    <x v="0"/>
    <x v="97"/>
    <x v="69"/>
    <x v="118"/>
    <s v="096486538-0000"/>
    <s v="AA"/>
    <n v="3.44"/>
    <n v="126"/>
    <n v="433.44"/>
    <x v="0"/>
    <n v="27"/>
    <n v="2025"/>
    <n v="0"/>
    <x v="51"/>
    <m/>
    <m/>
    <s v="approved"/>
    <n v="2.625"/>
    <s v="no"/>
    <m/>
    <m/>
    <m/>
    <m/>
    <m/>
    <m/>
    <x v="0"/>
    <x v="12"/>
    <x v="362"/>
    <n v="38594919"/>
    <s v="EDP KUH.6317-A-M-3001 004"/>
    <n v="126"/>
    <n v="433.44"/>
    <m/>
    <m/>
    <s v="20250818-30.06.2025"/>
    <x v="0"/>
    <x v="0"/>
    <x v="0"/>
    <m/>
  </r>
  <r>
    <x v="0"/>
    <x v="0"/>
    <x v="97"/>
    <x v="69"/>
    <x v="118"/>
    <s v="096486538-0000"/>
    <s v="AA"/>
    <n v="3.44"/>
    <n v="144"/>
    <n v="495.36"/>
    <x v="0"/>
    <n v="27"/>
    <n v="2025"/>
    <n v="0"/>
    <x v="51"/>
    <m/>
    <m/>
    <s v="approved"/>
    <n v="3"/>
    <s v="no"/>
    <m/>
    <m/>
    <m/>
    <m/>
    <m/>
    <m/>
    <x v="0"/>
    <x v="193"/>
    <x v="363"/>
    <n v="38594919"/>
    <s v="EDP KUH.6317-A-M-3001 004"/>
    <n v="144"/>
    <n v="495.36"/>
    <m/>
    <m/>
    <s v="20250845-02.07.2025"/>
    <x v="0"/>
    <x v="0"/>
    <x v="0"/>
    <m/>
  </r>
  <r>
    <x v="0"/>
    <x v="0"/>
    <x v="97"/>
    <x v="69"/>
    <x v="118"/>
    <s v="096486538-0000"/>
    <s v="AA"/>
    <n v="3.44"/>
    <n v="144"/>
    <n v="495.36"/>
    <x v="0"/>
    <n v="27"/>
    <n v="2025"/>
    <n v="0"/>
    <x v="51"/>
    <m/>
    <m/>
    <s v="approved"/>
    <n v="3"/>
    <s v="no"/>
    <m/>
    <m/>
    <m/>
    <m/>
    <m/>
    <m/>
    <x v="0"/>
    <x v="194"/>
    <x v="364"/>
    <n v="38594919"/>
    <s v="EDP KUH.6317-A-M-3001 004"/>
    <n v="144"/>
    <n v="495.36"/>
    <m/>
    <m/>
    <s v="20250852-02.07.2025"/>
    <x v="0"/>
    <x v="0"/>
    <x v="0"/>
    <m/>
  </r>
  <r>
    <x v="0"/>
    <x v="0"/>
    <x v="99"/>
    <x v="69"/>
    <x v="118"/>
    <s v="096486538-0000"/>
    <s v="AA"/>
    <n v="3.44"/>
    <n v="84"/>
    <n v="288.95999999999998"/>
    <x v="0"/>
    <n v="27"/>
    <n v="2025"/>
    <n v="0"/>
    <x v="51"/>
    <m/>
    <m/>
    <s v="approved"/>
    <n v="1.75"/>
    <s v="no"/>
    <m/>
    <m/>
    <m/>
    <m/>
    <m/>
    <m/>
    <x v="0"/>
    <x v="195"/>
    <x v="365"/>
    <n v="39546441"/>
    <s v="EDP KUH.6317-A-M-3001 004"/>
    <n v="84"/>
    <n v="288.95999999999998"/>
    <m/>
    <s v="A fost avizul cu 144 (dat de depozit cant) si s-a facut corectie cu 84 "/>
    <s v="20250854-02.07.2025/20250901-11.07.2025/20250900-11.07.2025"/>
    <x v="1"/>
    <x v="0"/>
    <x v="0"/>
    <m/>
  </r>
  <r>
    <x v="0"/>
    <x v="0"/>
    <x v="97"/>
    <x v="69"/>
    <x v="118"/>
    <s v="096486538-0000"/>
    <s v="AA"/>
    <n v="3.44"/>
    <n v="157"/>
    <n v="540.08000000000004"/>
    <x v="0"/>
    <n v="27"/>
    <n v="2025"/>
    <n v="0"/>
    <x v="51"/>
    <m/>
    <m/>
    <s v="approved"/>
    <n v="3.2708333333333335"/>
    <s v="no"/>
    <m/>
    <m/>
    <m/>
    <m/>
    <m/>
    <m/>
    <x v="0"/>
    <x v="196"/>
    <x v="366"/>
    <n v="38594919"/>
    <s v="EDP KUH.6317-A-M-3001 004"/>
    <n v="157"/>
    <n v="540.08000000000004"/>
    <m/>
    <m/>
    <s v="20250858-04.07.2025"/>
    <x v="1"/>
    <x v="0"/>
    <x v="0"/>
    <m/>
  </r>
  <r>
    <x v="0"/>
    <x v="0"/>
    <x v="100"/>
    <x v="71"/>
    <x v="118"/>
    <s v="096486538-0000"/>
    <s v="AA"/>
    <n v="3.44"/>
    <n v="66"/>
    <n v="227.04"/>
    <x v="165"/>
    <n v="31"/>
    <n v="2025"/>
    <n v="0"/>
    <x v="51"/>
    <m/>
    <m/>
    <s v="approved"/>
    <n v="1.375"/>
    <s v="no"/>
    <m/>
    <m/>
    <m/>
    <m/>
    <m/>
    <m/>
    <x v="0"/>
    <x v="197"/>
    <x v="367"/>
    <n v="39745683"/>
    <s v="EDP KUH.6317-A-M-3001 004"/>
    <n v="66"/>
    <n v="227.04"/>
    <m/>
    <m/>
    <s v="20250984-25.07.2025"/>
    <x v="0"/>
    <x v="8"/>
    <x v="0"/>
    <m/>
  </r>
  <r>
    <x v="0"/>
    <x v="0"/>
    <x v="100"/>
    <x v="71"/>
    <x v="118"/>
    <s v="096486538-0000"/>
    <s v="AA"/>
    <n v="3.44"/>
    <n v="66"/>
    <n v="227.04"/>
    <x v="165"/>
    <n v="31"/>
    <n v="2025"/>
    <n v="0"/>
    <x v="51"/>
    <m/>
    <m/>
    <s v="approved"/>
    <n v="1.375"/>
    <s v="no"/>
    <m/>
    <m/>
    <m/>
    <m/>
    <m/>
    <m/>
    <x v="0"/>
    <x v="198"/>
    <x v="368"/>
    <n v="39745683"/>
    <s v="EDP KUH.6317-A-M-3001 004"/>
    <n v="66"/>
    <n v="227.04"/>
    <m/>
    <m/>
    <s v="20250989-25.07.2025"/>
    <x v="0"/>
    <x v="8"/>
    <x v="0"/>
    <m/>
  </r>
  <r>
    <x v="0"/>
    <x v="0"/>
    <x v="100"/>
    <x v="71"/>
    <x v="118"/>
    <s v="096486538-0000"/>
    <s v="AA"/>
    <n v="3.44"/>
    <n v="132"/>
    <n v="454.08"/>
    <x v="165"/>
    <n v="31"/>
    <n v="2025"/>
    <n v="0"/>
    <x v="51"/>
    <m/>
    <m/>
    <s v="approved"/>
    <n v="2.75"/>
    <s v="no"/>
    <m/>
    <m/>
    <m/>
    <m/>
    <m/>
    <m/>
    <x v="0"/>
    <x v="182"/>
    <x v="369"/>
    <n v="39745683"/>
    <s v="EDP KUH.6317-A-M-3001 004"/>
    <n v="132"/>
    <n v="454.08"/>
    <m/>
    <m/>
    <s v="20250991-28.07.2025"/>
    <x v="0"/>
    <x v="8"/>
    <x v="0"/>
    <m/>
  </r>
  <r>
    <x v="0"/>
    <x v="0"/>
    <x v="100"/>
    <x v="71"/>
    <x v="118"/>
    <s v="096486538-0000"/>
    <s v="AA"/>
    <n v="3.44"/>
    <n v="234"/>
    <n v="804.96"/>
    <x v="165"/>
    <n v="31"/>
    <n v="2025"/>
    <n v="0"/>
    <x v="51"/>
    <m/>
    <m/>
    <s v="approved"/>
    <n v="4.875"/>
    <s v="no"/>
    <m/>
    <m/>
    <m/>
    <m/>
    <m/>
    <m/>
    <x v="0"/>
    <x v="199"/>
    <x v="370"/>
    <n v="39745683"/>
    <s v="EDP KUH.6317-A-M-3001 004"/>
    <n v="234"/>
    <n v="804.96"/>
    <m/>
    <m/>
    <s v="20250996/29.07"/>
    <x v="0"/>
    <x v="8"/>
    <x v="0"/>
    <m/>
  </r>
  <r>
    <x v="0"/>
    <x v="0"/>
    <x v="100"/>
    <x v="71"/>
    <x v="118"/>
    <s v="096486538-0000"/>
    <s v="AA"/>
    <n v="3.44"/>
    <n v="198"/>
    <n v="681.12"/>
    <x v="165"/>
    <n v="31"/>
    <n v="2025"/>
    <n v="0"/>
    <x v="51"/>
    <m/>
    <m/>
    <s v="approved"/>
    <n v="4.125"/>
    <s v="no"/>
    <m/>
    <m/>
    <m/>
    <m/>
    <m/>
    <m/>
    <x v="0"/>
    <x v="200"/>
    <x v="371"/>
    <n v="39745683"/>
    <s v="EDP KUH.6317-A-M-3001 004"/>
    <n v="198"/>
    <n v="681.12"/>
    <m/>
    <m/>
    <s v="20251009/30.07.2025"/>
    <x v="0"/>
    <x v="8"/>
    <x v="0"/>
    <m/>
  </r>
  <r>
    <x v="0"/>
    <x v="0"/>
    <x v="100"/>
    <x v="71"/>
    <x v="118"/>
    <s v="096486538-0000"/>
    <s v="AA"/>
    <n v="3.44"/>
    <n v="95"/>
    <n v="326.8"/>
    <x v="165"/>
    <n v="31"/>
    <n v="2025"/>
    <n v="0"/>
    <x v="51"/>
    <m/>
    <m/>
    <s v="approved"/>
    <n v="1.9791666666666667"/>
    <s v="no"/>
    <m/>
    <m/>
    <m/>
    <m/>
    <m/>
    <m/>
    <x v="0"/>
    <x v="26"/>
    <x v="372"/>
    <n v="39745683"/>
    <s v="EDP KUH.6317-A-M-3001 004"/>
    <n v="95"/>
    <n v="326.8"/>
    <m/>
    <m/>
    <s v="20251010/31.07.2025"/>
    <x v="0"/>
    <x v="8"/>
    <x v="0"/>
    <m/>
  </r>
  <r>
    <x v="0"/>
    <x v="0"/>
    <x v="100"/>
    <x v="71"/>
    <x v="118"/>
    <s v="096486538-0000"/>
    <s v="AA"/>
    <n v="3.44"/>
    <n v="132"/>
    <n v="454.08"/>
    <x v="165"/>
    <n v="31"/>
    <n v="2025"/>
    <n v="0"/>
    <x v="51"/>
    <m/>
    <m/>
    <s v="approved"/>
    <n v="2.75"/>
    <s v="no"/>
    <m/>
    <m/>
    <m/>
    <m/>
    <m/>
    <m/>
    <x v="0"/>
    <x v="201"/>
    <x v="373"/>
    <n v="39745683"/>
    <s v="EDP KUH.6317-A-M-3001 004"/>
    <n v="132"/>
    <n v="454.08"/>
    <m/>
    <m/>
    <s v="20251024-06.08.2025"/>
    <x v="0"/>
    <x v="8"/>
    <x v="0"/>
    <m/>
  </r>
  <r>
    <x v="0"/>
    <x v="0"/>
    <x v="100"/>
    <x v="71"/>
    <x v="118"/>
    <s v="096486538-0000"/>
    <s v="AA"/>
    <n v="3.44"/>
    <n v="202"/>
    <n v="694.88"/>
    <x v="165"/>
    <n v="31"/>
    <n v="2025"/>
    <n v="0"/>
    <x v="51"/>
    <m/>
    <m/>
    <s v="approved"/>
    <n v="4.208333333333333"/>
    <s v="no"/>
    <m/>
    <m/>
    <m/>
    <m/>
    <m/>
    <m/>
    <x v="0"/>
    <x v="202"/>
    <x v="374"/>
    <n v="39745683"/>
    <s v="EDP KUH.6317-A-M-3001 004"/>
    <n v="202"/>
    <n v="694.88"/>
    <m/>
    <m/>
    <s v="20251025-06.08.2025"/>
    <x v="1"/>
    <x v="8"/>
    <x v="0"/>
    <m/>
  </r>
  <r>
    <x v="0"/>
    <x v="0"/>
    <x v="101"/>
    <x v="71"/>
    <x v="118"/>
    <s v="096486538-0000"/>
    <s v="AA"/>
    <n v="3.44"/>
    <n v="62"/>
    <n v="213.28"/>
    <x v="165"/>
    <n v="31"/>
    <n v="2025"/>
    <n v="0"/>
    <x v="51"/>
    <m/>
    <m/>
    <s v="approved"/>
    <n v="1.2916666666666667"/>
    <s v="no"/>
    <m/>
    <m/>
    <m/>
    <m/>
    <m/>
    <m/>
    <x v="0"/>
    <x v="202"/>
    <x v="375"/>
    <n v="39754368"/>
    <s v="EDP KUH.6317-A-M-3001 004"/>
    <n v="62"/>
    <n v="213.28"/>
    <m/>
    <m/>
    <s v="20251030-06.08.2025"/>
    <x v="1"/>
    <x v="8"/>
    <x v="0"/>
    <m/>
  </r>
  <r>
    <x v="0"/>
    <x v="0"/>
    <x v="101"/>
    <x v="71"/>
    <x v="118"/>
    <s v="096486538-0000"/>
    <s v="AA"/>
    <n v="3.44"/>
    <n v="264"/>
    <n v="908.16"/>
    <x v="165"/>
    <n v="31"/>
    <n v="2025"/>
    <n v="0"/>
    <x v="51"/>
    <m/>
    <m/>
    <s v="approved"/>
    <n v="5.5"/>
    <s v="no"/>
    <m/>
    <m/>
    <m/>
    <m/>
    <m/>
    <m/>
    <x v="0"/>
    <x v="23"/>
    <x v="376"/>
    <n v="39754368"/>
    <s v="EDP KUH.6317-A-M-3001 004"/>
    <n v="264"/>
    <n v="908.16"/>
    <m/>
    <m/>
    <s v="20251044-07.08.2025"/>
    <x v="1"/>
    <x v="8"/>
    <x v="0"/>
    <m/>
  </r>
  <r>
    <x v="0"/>
    <x v="0"/>
    <x v="101"/>
    <x v="71"/>
    <x v="118"/>
    <s v="096486538-0000"/>
    <s v="AA"/>
    <n v="3.44"/>
    <n v="194"/>
    <n v="667.36"/>
    <x v="165"/>
    <n v="31"/>
    <n v="2025"/>
    <n v="0"/>
    <x v="51"/>
    <m/>
    <m/>
    <s v="approved"/>
    <n v="4.041666666666667"/>
    <s v="no"/>
    <m/>
    <m/>
    <m/>
    <m/>
    <m/>
    <m/>
    <x v="0"/>
    <x v="203"/>
    <x v="377"/>
    <n v="39754368"/>
    <s v="EDP KUH.6317-A-M-3001 004"/>
    <n v="194"/>
    <n v="667.36"/>
    <m/>
    <m/>
    <s v="20251045-08.08.2025"/>
    <x v="1"/>
    <x v="8"/>
    <x v="0"/>
    <m/>
  </r>
  <r>
    <x v="0"/>
    <x v="0"/>
    <x v="102"/>
    <x v="71"/>
    <x v="118"/>
    <s v="096486538-0000"/>
    <s v="AA"/>
    <n v="3.44"/>
    <n v="109"/>
    <n v="374.96"/>
    <x v="166"/>
    <n v="36"/>
    <n v="2025"/>
    <n v="0"/>
    <x v="51"/>
    <m/>
    <m/>
    <s v="approved"/>
    <n v="2.2708333333333335"/>
    <s v="no"/>
    <m/>
    <m/>
    <m/>
    <m/>
    <m/>
    <m/>
    <x v="0"/>
    <x v="203"/>
    <x v="378"/>
    <n v="39839933"/>
    <s v="EDP KUH.6317-A-M-3001 004"/>
    <n v="109"/>
    <n v="374.96"/>
    <m/>
    <m/>
    <s v="20251046-08.08.2025"/>
    <x v="0"/>
    <x v="9"/>
    <x v="0"/>
    <m/>
  </r>
  <r>
    <x v="0"/>
    <x v="0"/>
    <x v="102"/>
    <x v="71"/>
    <x v="118"/>
    <s v="096486538-0000"/>
    <s v="AA"/>
    <n v="3.44"/>
    <n v="132"/>
    <n v="454.08"/>
    <x v="166"/>
    <n v="36"/>
    <n v="2025"/>
    <n v="0"/>
    <x v="51"/>
    <m/>
    <m/>
    <s v="approved"/>
    <n v="2.75"/>
    <s v="no"/>
    <m/>
    <m/>
    <m/>
    <m/>
    <m/>
    <m/>
    <x v="0"/>
    <x v="183"/>
    <x v="379"/>
    <n v="39839933"/>
    <s v="EDP KUH.6317-A-M-3001 004"/>
    <n v="132"/>
    <n v="454.08"/>
    <m/>
    <m/>
    <s v="20251057-14.08.2025"/>
    <x v="0"/>
    <x v="9"/>
    <x v="0"/>
    <m/>
  </r>
  <r>
    <x v="0"/>
    <x v="0"/>
    <x v="102"/>
    <x v="71"/>
    <x v="118"/>
    <s v="096486538-0000"/>
    <s v="AA"/>
    <n v="3.44"/>
    <n v="264"/>
    <n v="908.16"/>
    <x v="166"/>
    <n v="36"/>
    <n v="2025"/>
    <n v="0"/>
    <x v="51"/>
    <m/>
    <m/>
    <s v="approved"/>
    <n v="5.5"/>
    <s v="no"/>
    <m/>
    <m/>
    <m/>
    <m/>
    <m/>
    <m/>
    <x v="0"/>
    <x v="184"/>
    <x v="380"/>
    <n v="39839933"/>
    <s v="EDP KUH.6317-A-M-3001 004"/>
    <n v="264"/>
    <n v="908.16"/>
    <m/>
    <m/>
    <s v="20251060-14.08.2025"/>
    <x v="0"/>
    <x v="9"/>
    <x v="0"/>
    <m/>
  </r>
  <r>
    <x v="0"/>
    <x v="0"/>
    <x v="102"/>
    <x v="71"/>
    <x v="118"/>
    <s v="096486538-0000"/>
    <s v="AA"/>
    <n v="3.44"/>
    <n v="264"/>
    <n v="908.16"/>
    <x v="166"/>
    <n v="36"/>
    <n v="2025"/>
    <n v="0"/>
    <x v="51"/>
    <m/>
    <m/>
    <s v="approved"/>
    <n v="5.5"/>
    <s v="no"/>
    <m/>
    <m/>
    <m/>
    <m/>
    <m/>
    <m/>
    <x v="0"/>
    <x v="185"/>
    <x v="381"/>
    <n v="39839933"/>
    <s v="EDP KUH.6317-A-M-3001 004"/>
    <n v="264"/>
    <n v="908.16"/>
    <m/>
    <m/>
    <s v="20251071-14.08.2025"/>
    <x v="0"/>
    <x v="9"/>
    <x v="0"/>
    <m/>
  </r>
  <r>
    <x v="0"/>
    <x v="0"/>
    <x v="102"/>
    <x v="71"/>
    <x v="118"/>
    <s v="096486538-0000"/>
    <s v="AA"/>
    <n v="3.44"/>
    <n v="198"/>
    <n v="681.12"/>
    <x v="166"/>
    <n v="36"/>
    <n v="2025"/>
    <n v="0"/>
    <x v="51"/>
    <m/>
    <m/>
    <s v="approved"/>
    <n v="4.125"/>
    <s v="no"/>
    <m/>
    <m/>
    <m/>
    <m/>
    <m/>
    <m/>
    <x v="0"/>
    <x v="186"/>
    <x v="382"/>
    <n v="39839933"/>
    <s v="EDP KUH.6317-A-M-3001 004"/>
    <n v="198"/>
    <n v="681.12"/>
    <m/>
    <m/>
    <s v="20251065-14.08.2025"/>
    <x v="0"/>
    <x v="9"/>
    <x v="0"/>
    <m/>
  </r>
  <r>
    <x v="0"/>
    <x v="0"/>
    <x v="102"/>
    <x v="71"/>
    <x v="118"/>
    <s v="096486538-0000"/>
    <s v="AA"/>
    <n v="3.44"/>
    <n v="198"/>
    <n v="681.12"/>
    <x v="166"/>
    <n v="36"/>
    <n v="2025"/>
    <n v="0"/>
    <x v="51"/>
    <m/>
    <m/>
    <s v="approved"/>
    <n v="4.125"/>
    <s v="no"/>
    <m/>
    <m/>
    <m/>
    <m/>
    <m/>
    <m/>
    <x v="0"/>
    <x v="188"/>
    <x v="383"/>
    <n v="39839933"/>
    <s v="EDP KUH.6317-A-M-3001 004"/>
    <n v="198"/>
    <n v="681.12"/>
    <m/>
    <m/>
    <s v="20251086-19.08.2025"/>
    <x v="0"/>
    <x v="9"/>
    <x v="0"/>
    <m/>
  </r>
  <r>
    <x v="0"/>
    <x v="0"/>
    <x v="102"/>
    <x v="71"/>
    <x v="118"/>
    <s v="096486538-0000"/>
    <s v="AA"/>
    <n v="3.44"/>
    <n v="15"/>
    <n v="51.6"/>
    <x v="166"/>
    <n v="36"/>
    <n v="2025"/>
    <n v="0"/>
    <x v="51"/>
    <m/>
    <m/>
    <s v="approved"/>
    <n v="0.3125"/>
    <s v="no"/>
    <m/>
    <m/>
    <m/>
    <m/>
    <m/>
    <m/>
    <x v="0"/>
    <x v="204"/>
    <x v="384"/>
    <n v="39839933"/>
    <s v="EDP KUH.6317-A-M-3001 004"/>
    <n v="15"/>
    <n v="51.6"/>
    <m/>
    <m/>
    <s v="20251089-20.08.2025"/>
    <x v="0"/>
    <x v="9"/>
    <x v="0"/>
    <m/>
  </r>
  <r>
    <x v="0"/>
    <x v="0"/>
    <x v="103"/>
    <x v="7"/>
    <x v="118"/>
    <s v="096486538-0000"/>
    <s v="AA"/>
    <n v="3.44"/>
    <n v="792"/>
    <n v="2724.48"/>
    <x v="79"/>
    <n v="43"/>
    <n v="2025"/>
    <n v="0"/>
    <x v="51"/>
    <m/>
    <m/>
    <s v="approved"/>
    <n v="16.5"/>
    <m/>
    <m/>
    <m/>
    <m/>
    <m/>
    <m/>
    <m/>
    <x v="0"/>
    <x v="31"/>
    <x v="385"/>
    <n v="50380743"/>
    <s v="EDP KUH.6317-A-M-3001 004"/>
    <n v="792"/>
    <n v="2724.48"/>
    <m/>
    <m/>
    <s v="20251313-16.10.2025"/>
    <x v="0"/>
    <x v="11"/>
    <x v="0"/>
    <m/>
  </r>
  <r>
    <x v="0"/>
    <x v="0"/>
    <x v="103"/>
    <x v="7"/>
    <x v="118"/>
    <s v="096486538-0000"/>
    <s v="AA"/>
    <n v="3.44"/>
    <n v="148"/>
    <n v="509.12"/>
    <x v="79"/>
    <n v="43"/>
    <n v="2025"/>
    <n v="0"/>
    <x v="51"/>
    <m/>
    <m/>
    <s v="approved"/>
    <n v="3.0833333333333335"/>
    <s v="no"/>
    <m/>
    <m/>
    <m/>
    <m/>
    <m/>
    <m/>
    <x v="0"/>
    <x v="116"/>
    <x v="386"/>
    <n v="50380743"/>
    <s v="EDP KUH.6317-A-M-3001 004"/>
    <n v="148"/>
    <n v="509.12"/>
    <m/>
    <m/>
    <s v="20251321-17.10.2025"/>
    <x v="0"/>
    <x v="11"/>
    <x v="0"/>
    <m/>
  </r>
  <r>
    <x v="0"/>
    <x v="0"/>
    <x v="80"/>
    <x v="71"/>
    <x v="118"/>
    <s v="096486538-0000"/>
    <s v="AA"/>
    <n v="3.44"/>
    <n v="1705"/>
    <n v="5865.2"/>
    <x v="150"/>
    <n v="51"/>
    <n v="2025"/>
    <n v="0"/>
    <x v="51"/>
    <m/>
    <m/>
    <s v="approved"/>
    <n v="35.520833333333336"/>
    <s v="no"/>
    <m/>
    <m/>
    <m/>
    <m/>
    <m/>
    <m/>
    <x v="1"/>
    <x v="3"/>
    <x v="4"/>
    <s v=""/>
    <s v=""/>
    <m/>
    <n v="0"/>
    <m/>
    <m/>
    <m/>
    <x v="2"/>
    <x v="3"/>
    <x v="0"/>
    <m/>
  </r>
  <r>
    <x v="9"/>
    <x v="0"/>
    <x v="104"/>
    <x v="37"/>
    <x v="119"/>
    <s v="005152879-0000"/>
    <s v="AI"/>
    <n v="21.41"/>
    <n v="20"/>
    <n v="428.2"/>
    <x v="167"/>
    <n v="23"/>
    <n v="2024"/>
    <n v="0"/>
    <x v="1"/>
    <n v="50"/>
    <m/>
    <s v="project"/>
    <n v="56"/>
    <s v="no"/>
    <m/>
    <m/>
    <m/>
    <m/>
    <m/>
    <n v="242210"/>
    <x v="0"/>
    <x v="205"/>
    <x v="387"/>
    <n v="36618901"/>
    <s v="EDP PL.LFDL52-B-0021 000"/>
    <n v="20"/>
    <n v="428.2"/>
    <m/>
    <s v="5 de PPAP"/>
    <s v="20241166-11.09.2024"/>
    <x v="1"/>
    <x v="0"/>
    <x v="1"/>
    <m/>
  </r>
  <r>
    <x v="9"/>
    <x v="0"/>
    <x v="105"/>
    <x v="72"/>
    <x v="119"/>
    <s v="005152879-0000"/>
    <s v="AI"/>
    <n v="21.41"/>
    <n v="33"/>
    <n v="706.53"/>
    <x v="168"/>
    <n v="23"/>
    <n v="2025"/>
    <n v="0"/>
    <x v="1"/>
    <n v="0"/>
    <m/>
    <s v="approved"/>
    <n v="56"/>
    <s v="yes"/>
    <m/>
    <m/>
    <s v="yes"/>
    <m/>
    <m/>
    <m/>
    <x v="0"/>
    <x v="7"/>
    <x v="388"/>
    <n v="38973385"/>
    <s v="EDP PL.LFDL52-B-0021 000"/>
    <n v="33"/>
    <n v="706.53"/>
    <m/>
    <m/>
    <s v="20250967-24.07.2025"/>
    <x v="1"/>
    <x v="0"/>
    <x v="0"/>
    <m/>
  </r>
  <r>
    <x v="9"/>
    <x v="0"/>
    <x v="106"/>
    <x v="73"/>
    <x v="120"/>
    <s v="005084350-0000"/>
    <s v="AA"/>
    <n v="9.8000000000000007"/>
    <n v="30"/>
    <n v="294"/>
    <x v="167"/>
    <n v="23"/>
    <n v="2024"/>
    <n v="0"/>
    <x v="1"/>
    <n v="50"/>
    <m/>
    <s v="approved"/>
    <n v="56"/>
    <s v="yes"/>
    <m/>
    <m/>
    <m/>
    <m/>
    <m/>
    <n v="242112"/>
    <x v="0"/>
    <x v="32"/>
    <x v="389"/>
    <n v="36653481"/>
    <s v="EDP PLLFDL52B-0011 000"/>
    <n v="28"/>
    <n v="274.40000000000003"/>
    <m/>
    <s v="5 pcs validare"/>
    <s v="20240851-05.07.2024"/>
    <x v="1"/>
    <x v="0"/>
    <x v="1"/>
    <m/>
  </r>
  <r>
    <x v="9"/>
    <x v="0"/>
    <x v="107"/>
    <x v="72"/>
    <x v="120"/>
    <s v="005084350-0000"/>
    <s v="AA"/>
    <n v="9.8000000000000007"/>
    <n v="20"/>
    <n v="196"/>
    <x v="168"/>
    <n v="23"/>
    <n v="2025"/>
    <n v="0"/>
    <x v="1"/>
    <n v="0"/>
    <m/>
    <s v="approved"/>
    <n v="56"/>
    <s v="yes"/>
    <m/>
    <m/>
    <s v="yes"/>
    <m/>
    <m/>
    <m/>
    <x v="0"/>
    <x v="12"/>
    <x v="390"/>
    <n v="38973388"/>
    <s v="EDP PLLFDL52B-0011 000"/>
    <n v="20"/>
    <n v="196"/>
    <m/>
    <m/>
    <m/>
    <x v="1"/>
    <x v="0"/>
    <x v="0"/>
    <m/>
  </r>
  <r>
    <x v="9"/>
    <x v="0"/>
    <x v="107"/>
    <x v="72"/>
    <x v="120"/>
    <s v="005084350-0000"/>
    <s v="AA"/>
    <n v="9.8000000000000007"/>
    <n v="9"/>
    <n v="88.2"/>
    <x v="168"/>
    <n v="23"/>
    <n v="2025"/>
    <n v="0"/>
    <x v="1"/>
    <n v="0"/>
    <m/>
    <s v="approved"/>
    <n v="56"/>
    <s v="yes"/>
    <m/>
    <m/>
    <s v="yes"/>
    <m/>
    <m/>
    <m/>
    <x v="0"/>
    <x v="7"/>
    <x v="391"/>
    <n v="38973388"/>
    <s v="EDP PLLFDL52B-0011 000"/>
    <n v="9"/>
    <n v="88.2"/>
    <m/>
    <m/>
    <s v="20250966-24.07.2025"/>
    <x v="1"/>
    <x v="0"/>
    <x v="0"/>
    <m/>
  </r>
  <r>
    <x v="0"/>
    <x v="0"/>
    <x v="108"/>
    <x v="74"/>
    <x v="121"/>
    <s v="096353970-0000 "/>
    <s v="AC"/>
    <n v="5.69"/>
    <n v="20"/>
    <n v="113.80000000000001"/>
    <x v="169"/>
    <n v="12"/>
    <n v="2024"/>
    <n v="0"/>
    <x v="51"/>
    <n v="0"/>
    <m/>
    <s v="project"/>
    <n v="42"/>
    <s v="no"/>
    <m/>
    <m/>
    <m/>
    <m/>
    <m/>
    <n v="241209"/>
    <x v="0"/>
    <x v="206"/>
    <x v="392"/>
    <n v="36368369"/>
    <s v="EDS F-801631-1031.RKKM.ZL-M3A"/>
    <n v="5"/>
    <n v="28.450000000000003"/>
    <m/>
    <s v="VALIDARE"/>
    <s v="20240378-15.04.2024"/>
    <x v="1"/>
    <x v="5"/>
    <x v="1"/>
    <m/>
  </r>
  <r>
    <x v="0"/>
    <x v="0"/>
    <x v="109"/>
    <x v="75"/>
    <x v="122"/>
    <s v="300784627-0000"/>
    <s v="AA"/>
    <n v="0.76"/>
    <n v="1308"/>
    <n v="994.08"/>
    <x v="170"/>
    <n v="24"/>
    <n v="2024"/>
    <n v="0"/>
    <x v="51"/>
    <n v="500"/>
    <m/>
    <s v="approved"/>
    <n v="42"/>
    <s v="no"/>
    <m/>
    <m/>
    <m/>
    <m/>
    <m/>
    <s v="242309/242505"/>
    <x v="0"/>
    <x v="122"/>
    <x v="393"/>
    <n v="36895643"/>
    <s v="EDS RKDK.N217-E-Y3-1042 000 AA"/>
    <n v="390"/>
    <n v="296.39999999999998"/>
    <m/>
    <m/>
    <s v="20240695-14.06.2024"/>
    <x v="0"/>
    <x v="0"/>
    <x v="1"/>
    <m/>
  </r>
  <r>
    <x v="0"/>
    <x v="0"/>
    <x v="109"/>
    <x v="75"/>
    <x v="122"/>
    <s v="300784627-0000"/>
    <s v="AA"/>
    <n v="0.76"/>
    <m/>
    <n v="0"/>
    <x v="170"/>
    <n v="24"/>
    <n v="2024"/>
    <n v="0"/>
    <x v="51"/>
    <n v="500"/>
    <m/>
    <m/>
    <n v="0"/>
    <m/>
    <m/>
    <m/>
    <m/>
    <m/>
    <m/>
    <m/>
    <x v="0"/>
    <x v="64"/>
    <x v="394"/>
    <n v="36895643"/>
    <s v="EDS RKDK.N217-E-Y3-1042 000 AA"/>
    <n v="438"/>
    <n v="332.88"/>
    <m/>
    <m/>
    <s v="20240705-17.06.2024"/>
    <x v="1"/>
    <x v="0"/>
    <x v="1"/>
    <m/>
  </r>
  <r>
    <x v="0"/>
    <x v="0"/>
    <x v="109"/>
    <x v="75"/>
    <x v="122"/>
    <s v="300784627-0000"/>
    <s v="AA"/>
    <n v="0.76"/>
    <m/>
    <n v="0"/>
    <x v="170"/>
    <n v="24"/>
    <n v="2024"/>
    <n v="0"/>
    <x v="51"/>
    <n v="500"/>
    <m/>
    <m/>
    <n v="0"/>
    <m/>
    <m/>
    <m/>
    <m/>
    <m/>
    <m/>
    <m/>
    <x v="0"/>
    <x v="65"/>
    <x v="395"/>
    <n v="36895643"/>
    <s v="EDS RKDK.N217-E-Y3-1042 000 AA"/>
    <n v="149"/>
    <n v="113.24"/>
    <m/>
    <m/>
    <s v="20240709-18.06.2024"/>
    <x v="1"/>
    <x v="0"/>
    <x v="1"/>
    <m/>
  </r>
  <r>
    <x v="0"/>
    <x v="0"/>
    <x v="109"/>
    <x v="75"/>
    <x v="122"/>
    <s v="300784627-0000"/>
    <s v="AA"/>
    <n v="0.76"/>
    <m/>
    <n v="0"/>
    <x v="170"/>
    <n v="24"/>
    <n v="2024"/>
    <n v="0"/>
    <x v="51"/>
    <n v="500"/>
    <m/>
    <m/>
    <n v="0"/>
    <m/>
    <m/>
    <m/>
    <m/>
    <m/>
    <m/>
    <m/>
    <x v="0"/>
    <x v="66"/>
    <x v="396"/>
    <n v="36895643"/>
    <s v="EDS RKDK.N217-E-Y3-1042 000 AA"/>
    <n v="226"/>
    <n v="171.76"/>
    <m/>
    <m/>
    <s v="20240726-19.06.2024"/>
    <x v="1"/>
    <x v="0"/>
    <x v="1"/>
    <m/>
  </r>
  <r>
    <x v="0"/>
    <x v="0"/>
    <x v="109"/>
    <x v="75"/>
    <x v="122"/>
    <s v="300784627-0000"/>
    <s v="AA"/>
    <n v="0.76"/>
    <m/>
    <n v="0"/>
    <x v="170"/>
    <n v="24"/>
    <n v="2024"/>
    <n v="0"/>
    <x v="51"/>
    <n v="500"/>
    <m/>
    <m/>
    <n v="0"/>
    <m/>
    <m/>
    <m/>
    <m/>
    <m/>
    <m/>
    <m/>
    <x v="0"/>
    <x v="67"/>
    <x v="397"/>
    <n v="36895643"/>
    <s v="EDS RKDK.N217-E-Y3-1042 000 AA"/>
    <n v="105"/>
    <n v="79.8"/>
    <m/>
    <m/>
    <s v="20240735-21.06.2024"/>
    <x v="1"/>
    <x v="0"/>
    <x v="1"/>
    <m/>
  </r>
  <r>
    <x v="0"/>
    <x v="0"/>
    <x v="110"/>
    <x v="76"/>
    <x v="122"/>
    <s v="300784627-0000"/>
    <s v="AA"/>
    <n v="0.76"/>
    <n v="1650"/>
    <n v="1254"/>
    <x v="171"/>
    <n v="34"/>
    <n v="2024"/>
    <n v="0"/>
    <x v="51"/>
    <n v="500"/>
    <m/>
    <s v="approved"/>
    <n v="42"/>
    <s v="no"/>
    <m/>
    <m/>
    <m/>
    <m/>
    <m/>
    <m/>
    <x v="0"/>
    <x v="87"/>
    <x v="398"/>
    <n v="37392580"/>
    <s v="EDS RKDK.N217-E-Y3-1042 000 AA"/>
    <n v="1495"/>
    <n v="1136.2"/>
    <m/>
    <m/>
    <s v="20241073-19.08.2024"/>
    <x v="0"/>
    <x v="9"/>
    <x v="1"/>
    <m/>
  </r>
  <r>
    <x v="0"/>
    <x v="0"/>
    <x v="110"/>
    <x v="77"/>
    <x v="122"/>
    <s v="300784627-0000"/>
    <s v="AA"/>
    <n v="0.76"/>
    <m/>
    <n v="0"/>
    <x v="171"/>
    <n v="34"/>
    <n v="2024"/>
    <n v="0"/>
    <x v="51"/>
    <n v="500"/>
    <m/>
    <m/>
    <n v="0"/>
    <m/>
    <m/>
    <m/>
    <m/>
    <m/>
    <m/>
    <m/>
    <x v="0"/>
    <x v="127"/>
    <x v="399"/>
    <n v="37392580"/>
    <s v="EDS RKDK.N217-E-Y3-1042 000 AA"/>
    <n v="155"/>
    <n v="117.8"/>
    <m/>
    <m/>
    <s v="20241084-20.08.2024"/>
    <x v="0"/>
    <x v="9"/>
    <x v="1"/>
    <m/>
  </r>
  <r>
    <x v="4"/>
    <x v="0"/>
    <x v="72"/>
    <x v="53"/>
    <x v="123"/>
    <s v=" "/>
    <s v=""/>
    <s v=""/>
    <n v="22"/>
    <s v=" "/>
    <x v="139"/>
    <n v="13"/>
    <n v="2024"/>
    <s v=" "/>
    <x v="52"/>
    <s v="Not Found"/>
    <m/>
    <s v="approved"/>
    <n v="0.45833333333333331"/>
    <s v="no"/>
    <m/>
    <m/>
    <m/>
    <m/>
    <m/>
    <s v="241304"/>
    <x v="0"/>
    <x v="207"/>
    <x v="400"/>
    <s v="RA118470"/>
    <s v="EJD0000017112"/>
    <n v="22"/>
    <e v="#VALUE!"/>
    <m/>
    <m/>
    <m/>
    <x v="0"/>
    <x v="5"/>
    <x v="1"/>
    <m/>
  </r>
  <r>
    <x v="10"/>
    <x v="0"/>
    <x v="111"/>
    <x v="78"/>
    <x v="124"/>
    <n v="0"/>
    <n v="0"/>
    <n v="1"/>
    <n v="40"/>
    <n v="40"/>
    <x v="172"/>
    <n v="46"/>
    <n v="2025"/>
    <n v="0"/>
    <x v="0"/>
    <n v="0"/>
    <n v="43"/>
    <m/>
    <n v="0"/>
    <s v="yes"/>
    <m/>
    <m/>
    <m/>
    <m/>
    <m/>
    <m/>
    <x v="1"/>
    <x v="3"/>
    <x v="4"/>
    <s v=""/>
    <s v=""/>
    <m/>
    <n v="0"/>
    <m/>
    <m/>
    <m/>
    <x v="2"/>
    <x v="4"/>
    <x v="0"/>
    <m/>
  </r>
  <r>
    <x v="10"/>
    <x v="0"/>
    <x v="111"/>
    <x v="78"/>
    <x v="125"/>
    <n v="0"/>
    <n v="0"/>
    <n v="1"/>
    <n v="7"/>
    <n v="7"/>
    <x v="173"/>
    <n v="46"/>
    <n v="2025"/>
    <n v="0"/>
    <x v="0"/>
    <n v="0"/>
    <n v="44"/>
    <m/>
    <n v="0"/>
    <s v="yes"/>
    <m/>
    <m/>
    <m/>
    <m/>
    <m/>
    <m/>
    <x v="1"/>
    <x v="3"/>
    <x v="4"/>
    <s v=""/>
    <s v=""/>
    <m/>
    <n v="0"/>
    <m/>
    <m/>
    <m/>
    <x v="2"/>
    <x v="4"/>
    <x v="0"/>
    <m/>
  </r>
  <r>
    <x v="0"/>
    <x v="0"/>
    <x v="112"/>
    <x v="79"/>
    <x v="126"/>
    <s v="009692185-0000"/>
    <n v="0"/>
    <n v="5.32"/>
    <n v="5"/>
    <n v="26.6"/>
    <x v="120"/>
    <n v="44"/>
    <n v="2025"/>
    <n v="0"/>
    <x v="0"/>
    <n v="0"/>
    <m/>
    <s v="project"/>
    <n v="0.10416666666666667"/>
    <m/>
    <m/>
    <m/>
    <m/>
    <m/>
    <m/>
    <m/>
    <x v="1"/>
    <x v="3"/>
    <x v="4"/>
    <s v=""/>
    <s v=""/>
    <m/>
    <n v="0"/>
    <m/>
    <m/>
    <m/>
    <x v="1"/>
    <x v="11"/>
    <x v="0"/>
    <m/>
  </r>
  <r>
    <x v="0"/>
    <x v="0"/>
    <x v="112"/>
    <x v="79"/>
    <x v="126"/>
    <s v="009692185-0000"/>
    <n v="0"/>
    <n v="5.32"/>
    <n v="500"/>
    <n v="2660"/>
    <x v="120"/>
    <n v="44"/>
    <n v="2025"/>
    <n v="0"/>
    <x v="0"/>
    <n v="0"/>
    <m/>
    <s v="project"/>
    <n v="10.416666666666666"/>
    <m/>
    <m/>
    <m/>
    <m/>
    <m/>
    <m/>
    <m/>
    <x v="0"/>
    <x v="116"/>
    <x v="401"/>
    <n v="50443246"/>
    <s v="F-154085.6-111 /108 "/>
    <n v="500"/>
    <n v="2660"/>
    <m/>
    <m/>
    <s v="20251325-17.10.2025"/>
    <x v="0"/>
    <x v="11"/>
    <x v="0"/>
    <m/>
  </r>
  <r>
    <x v="0"/>
    <x v="0"/>
    <x v="113"/>
    <x v="80"/>
    <x v="127"/>
    <s v="096214309-0000 "/>
    <s v="AG"/>
    <n v="24.97"/>
    <n v="104"/>
    <n v="2596.88"/>
    <x v="174"/>
    <n v="14"/>
    <n v="2024"/>
    <n v="0"/>
    <x v="0"/>
    <n v="100"/>
    <m/>
    <s v="approved"/>
    <n v="42"/>
    <s v="no"/>
    <m/>
    <m/>
    <m/>
    <m/>
    <m/>
    <s v="241404 / 241614"/>
    <x v="0"/>
    <x v="208"/>
    <x v="402"/>
    <n v="36473916"/>
    <s v="F-155077-13-WW1"/>
    <n v="88"/>
    <n v="2197.3599999999997"/>
    <n v="9"/>
    <m/>
    <s v="20240410-18.04.2024"/>
    <x v="1"/>
    <x v="1"/>
    <x v="1"/>
    <m/>
  </r>
  <r>
    <x v="0"/>
    <x v="0"/>
    <x v="113"/>
    <x v="80"/>
    <x v="127"/>
    <s v="096214309-0000 "/>
    <s v="AG"/>
    <n v="24.97"/>
    <m/>
    <n v="0"/>
    <x v="174"/>
    <n v="14"/>
    <n v="2024"/>
    <n v="0"/>
    <x v="0"/>
    <n v="100"/>
    <m/>
    <m/>
    <n v="42"/>
    <m/>
    <m/>
    <m/>
    <m/>
    <m/>
    <m/>
    <m/>
    <x v="0"/>
    <x v="59"/>
    <x v="403"/>
    <n v="36473916"/>
    <s v="F-155077-13-WW1"/>
    <n v="5"/>
    <n v="124.85"/>
    <n v="2"/>
    <s v="5 PCS VALIDARE"/>
    <s v="20240493-30.04.2024"/>
    <x v="1"/>
    <x v="1"/>
    <x v="1"/>
    <m/>
  </r>
  <r>
    <x v="0"/>
    <x v="0"/>
    <x v="114"/>
    <x v="54"/>
    <x v="127"/>
    <s v="096214309-0000 "/>
    <s v="AG"/>
    <n v="24.97"/>
    <n v="70"/>
    <n v="1747.8999999999999"/>
    <x v="96"/>
    <n v="19"/>
    <n v="2024"/>
    <n v="0"/>
    <x v="0"/>
    <n v="100"/>
    <m/>
    <s v="approved"/>
    <n v="42"/>
    <s v="no"/>
    <m/>
    <m/>
    <m/>
    <m/>
    <m/>
    <n v="241704"/>
    <x v="0"/>
    <x v="209"/>
    <x v="404"/>
    <n v="36626472"/>
    <s v="F-155077-13-WW1"/>
    <n v="70"/>
    <n v="1747.8999999999999"/>
    <m/>
    <m/>
    <s v="20240553-16.05.2024"/>
    <x v="1"/>
    <x v="2"/>
    <x v="1"/>
    <m/>
  </r>
  <r>
    <x v="0"/>
    <x v="0"/>
    <x v="114"/>
    <x v="54"/>
    <x v="127"/>
    <s v="096214309-0000 "/>
    <s v="AG"/>
    <n v="24.97"/>
    <n v="82"/>
    <n v="2047.54"/>
    <x v="96"/>
    <n v="19"/>
    <n v="2024"/>
    <n v="0"/>
    <x v="0"/>
    <n v="100"/>
    <m/>
    <m/>
    <n v="42"/>
    <m/>
    <m/>
    <m/>
    <m/>
    <m/>
    <m/>
    <m/>
    <x v="0"/>
    <x v="136"/>
    <x v="405"/>
    <n v="36626472"/>
    <s v="F-155077-13-WW1"/>
    <n v="74"/>
    <n v="1847.78"/>
    <n v="8"/>
    <s v="3 DIN CELE 74 SUNT CU DEROGARE"/>
    <s v="20240566-17.05.2024"/>
    <x v="1"/>
    <x v="2"/>
    <x v="1"/>
    <m/>
  </r>
  <r>
    <x v="0"/>
    <x v="0"/>
    <x v="115"/>
    <x v="81"/>
    <x v="127"/>
    <s v="096214309-0000 "/>
    <s v="AG"/>
    <n v="24.97"/>
    <n v="100"/>
    <n v="2497"/>
    <x v="175"/>
    <n v="27"/>
    <n v="2024"/>
    <n v="0"/>
    <x v="0"/>
    <n v="100"/>
    <m/>
    <s v="approved"/>
    <n v="42"/>
    <s v="no"/>
    <m/>
    <m/>
    <m/>
    <m/>
    <m/>
    <n v="242513"/>
    <x v="0"/>
    <x v="61"/>
    <x v="406"/>
    <n v="36920678"/>
    <s v="F-155077-13-WW1"/>
    <n v="95"/>
    <n v="2372.15"/>
    <n v="5"/>
    <m/>
    <s v="20240903-18.07.2024"/>
    <x v="1"/>
    <x v="8"/>
    <x v="1"/>
    <m/>
  </r>
  <r>
    <x v="0"/>
    <x v="0"/>
    <x v="116"/>
    <x v="82"/>
    <x v="127"/>
    <s v="096214309-0000 "/>
    <s v="AG"/>
    <n v="24.97"/>
    <n v="110"/>
    <n v="2746.7"/>
    <x v="176"/>
    <n v="36"/>
    <n v="2024"/>
    <n v="0"/>
    <x v="0"/>
    <n v="100"/>
    <m/>
    <s v="approved"/>
    <n v="42"/>
    <s v="no"/>
    <m/>
    <m/>
    <m/>
    <s v="08.08.2024"/>
    <m/>
    <m/>
    <x v="0"/>
    <x v="210"/>
    <x v="407"/>
    <n v="37423922"/>
    <s v="F-155077-13-WW1"/>
    <n v="102"/>
    <n v="2546.94"/>
    <n v="8"/>
    <m/>
    <s v="20241205-18.09.2024"/>
    <x v="1"/>
    <x v="10"/>
    <x v="1"/>
    <m/>
  </r>
  <r>
    <x v="0"/>
    <x v="1"/>
    <x v="80"/>
    <x v="83"/>
    <x v="127"/>
    <s v="096214309-0000 "/>
    <s v="AG"/>
    <n v="24.97"/>
    <n v="100"/>
    <n v="2497"/>
    <x v="177"/>
    <n v="47"/>
    <n v="2024"/>
    <n v="0"/>
    <x v="0"/>
    <n v="100"/>
    <m/>
    <s v="approved"/>
    <n v="42"/>
    <s v="no"/>
    <m/>
    <m/>
    <m/>
    <m/>
    <s v="cand se primeste material de la client"/>
    <m/>
    <x v="0"/>
    <x v="3"/>
    <x v="4"/>
    <s v=""/>
    <s v=""/>
    <n v="0"/>
    <n v="0"/>
    <m/>
    <s v="Comenzi anulate"/>
    <m/>
    <x v="1"/>
    <x v="4"/>
    <x v="1"/>
    <m/>
  </r>
  <r>
    <x v="0"/>
    <x v="1"/>
    <x v="80"/>
    <x v="84"/>
    <x v="127"/>
    <s v="096214309-0000 "/>
    <s v="AG"/>
    <n v="24.97"/>
    <n v="100"/>
    <n v="2497"/>
    <x v="178"/>
    <n v="51"/>
    <n v="2024"/>
    <n v="0"/>
    <x v="0"/>
    <n v="100"/>
    <m/>
    <s v="approved"/>
    <n v="42"/>
    <s v="no"/>
    <m/>
    <m/>
    <m/>
    <m/>
    <m/>
    <m/>
    <x v="0"/>
    <x v="3"/>
    <x v="4"/>
    <s v=""/>
    <s v=""/>
    <n v="0"/>
    <n v="0"/>
    <m/>
    <s v="Comenzi anulate"/>
    <m/>
    <x v="1"/>
    <x v="3"/>
    <x v="1"/>
    <m/>
  </r>
  <r>
    <x v="0"/>
    <x v="0"/>
    <x v="117"/>
    <x v="85"/>
    <x v="127"/>
    <s v="096214309-0000 "/>
    <s v="AG"/>
    <n v="24.97"/>
    <n v="98"/>
    <n v="2447.06"/>
    <x v="179"/>
    <n v="8"/>
    <n v="2025"/>
    <n v="0"/>
    <x v="0"/>
    <n v="100"/>
    <m/>
    <s v="approved"/>
    <n v="42"/>
    <s v="no"/>
    <m/>
    <m/>
    <m/>
    <m/>
    <s v="Yes"/>
    <m/>
    <x v="0"/>
    <x v="191"/>
    <x v="408"/>
    <n v="38565465"/>
    <s v="F-155077-13-WW1"/>
    <n v="93"/>
    <n v="2322.21"/>
    <n v="6"/>
    <m/>
    <s v="20250244-28.02.2025"/>
    <x v="1"/>
    <x v="7"/>
    <x v="0"/>
    <m/>
  </r>
  <r>
    <x v="0"/>
    <x v="0"/>
    <x v="118"/>
    <x v="61"/>
    <x v="128"/>
    <s v="097204102-0000 "/>
    <s v="AB"/>
    <n v="18.63"/>
    <n v="150"/>
    <n v="2794.5"/>
    <x v="95"/>
    <n v="18"/>
    <n v="2024"/>
    <n v="0"/>
    <x v="0"/>
    <n v="100"/>
    <m/>
    <s v="approved"/>
    <n v="42"/>
    <s v="no"/>
    <m/>
    <m/>
    <m/>
    <m/>
    <m/>
    <n v="242307"/>
    <x v="0"/>
    <x v="122"/>
    <x v="409"/>
    <n v="36671455"/>
    <s v="F-155077-43-WW1"/>
    <n v="150"/>
    <n v="2794.5"/>
    <s v="3 NOK"/>
    <m/>
    <s v="20240697-14.06.2024"/>
    <x v="1"/>
    <x v="1"/>
    <x v="1"/>
    <m/>
  </r>
  <r>
    <x v="0"/>
    <x v="0"/>
    <x v="119"/>
    <x v="86"/>
    <x v="128"/>
    <s v="097204102-0000 "/>
    <s v="AB"/>
    <n v="18.63"/>
    <n v="100"/>
    <n v="1863"/>
    <x v="180"/>
    <n v="26"/>
    <n v="2024"/>
    <n v="0"/>
    <x v="0"/>
    <n v="100"/>
    <m/>
    <s v="approved"/>
    <n v="42"/>
    <s v="no"/>
    <m/>
    <m/>
    <m/>
    <m/>
    <m/>
    <n v="242512"/>
    <x v="0"/>
    <x v="75"/>
    <x v="410"/>
    <n v="36956361"/>
    <s v="F-155077-43-WW1"/>
    <n v="98"/>
    <n v="1825.74"/>
    <n v="2"/>
    <m/>
    <s v="20240893-16.07.2024"/>
    <x v="1"/>
    <x v="0"/>
    <x v="1"/>
    <m/>
  </r>
  <r>
    <x v="0"/>
    <x v="0"/>
    <x v="120"/>
    <x v="4"/>
    <x v="128"/>
    <s v="097204102-0000 "/>
    <s v="AB"/>
    <n v="18.63"/>
    <n v="53"/>
    <n v="987.39"/>
    <x v="181"/>
    <n v="31"/>
    <n v="2024"/>
    <n v="0"/>
    <x v="0"/>
    <n v="100"/>
    <m/>
    <s v="approved"/>
    <n v="42"/>
    <s v="no"/>
    <m/>
    <m/>
    <m/>
    <m/>
    <m/>
    <m/>
    <x v="0"/>
    <x v="123"/>
    <x v="411"/>
    <n v="37290739"/>
    <s v="F-155077-43-WW1"/>
    <n v="46"/>
    <n v="856.9799999999999"/>
    <n v="7"/>
    <m/>
    <s v="20240980-05.08.2024"/>
    <x v="0"/>
    <x v="9"/>
    <x v="1"/>
    <m/>
  </r>
  <r>
    <x v="0"/>
    <x v="0"/>
    <x v="121"/>
    <x v="82"/>
    <x v="128"/>
    <s v="097204102-0000 "/>
    <s v="AB"/>
    <n v="18.63"/>
    <n v="110"/>
    <n v="2049.2999999999997"/>
    <x v="176"/>
    <n v="36"/>
    <n v="2024"/>
    <n v="0"/>
    <x v="0"/>
    <n v="100"/>
    <m/>
    <s v="approved"/>
    <n v="42"/>
    <s v="no"/>
    <m/>
    <m/>
    <m/>
    <s v="08.08.2024"/>
    <m/>
    <m/>
    <x v="0"/>
    <x v="211"/>
    <x v="412"/>
    <n v="37423933"/>
    <s v="F-155077-43-WW1"/>
    <n v="109"/>
    <n v="2030.6699999999998"/>
    <n v="1"/>
    <m/>
    <s v="20241088-21.08.2024"/>
    <x v="0"/>
    <x v="10"/>
    <x v="1"/>
    <m/>
  </r>
  <r>
    <x v="0"/>
    <x v="1"/>
    <x v="80"/>
    <x v="83"/>
    <x v="128"/>
    <s v="097204102-0000 "/>
    <s v="AB"/>
    <n v="18.63"/>
    <n v="100"/>
    <n v="1863"/>
    <x v="177"/>
    <n v="47"/>
    <n v="2024"/>
    <n v="0"/>
    <x v="0"/>
    <n v="100"/>
    <m/>
    <s v="approved"/>
    <n v="42"/>
    <s v="no"/>
    <m/>
    <m/>
    <m/>
    <m/>
    <s v="cand se primeste material de la client"/>
    <m/>
    <x v="0"/>
    <x v="3"/>
    <x v="4"/>
    <s v=""/>
    <s v=""/>
    <n v="0"/>
    <n v="0"/>
    <m/>
    <s v="Comanda anulata"/>
    <m/>
    <x v="1"/>
    <x v="4"/>
    <x v="1"/>
    <m/>
  </r>
  <r>
    <x v="0"/>
    <x v="0"/>
    <x v="122"/>
    <x v="87"/>
    <x v="129"/>
    <s v="096215143-0000 "/>
    <s v="AC"/>
    <n v="23.79"/>
    <n v="214"/>
    <n v="5091.0599999999995"/>
    <x v="182"/>
    <n v="23"/>
    <n v="2024"/>
    <n v="0"/>
    <x v="0"/>
    <n v="100"/>
    <m/>
    <s v="approved"/>
    <n v="42"/>
    <s v="no"/>
    <m/>
    <m/>
    <m/>
    <m/>
    <m/>
    <n v="242315"/>
    <x v="0"/>
    <x v="70"/>
    <x v="413"/>
    <n v="36754988"/>
    <s v="F-229209-0022-WW1"/>
    <n v="207"/>
    <n v="4924.53"/>
    <n v="6"/>
    <s v="3 buc cu derogare"/>
    <s v="20240762-27.06.2024/20241170-16.09.2024"/>
    <x v="1"/>
    <x v="0"/>
    <x v="1"/>
    <m/>
  </r>
  <r>
    <x v="0"/>
    <x v="0"/>
    <x v="123"/>
    <x v="88"/>
    <x v="129"/>
    <s v="096215143-0000 "/>
    <s v="AC"/>
    <n v="23.79"/>
    <n v="57"/>
    <n v="1356.03"/>
    <x v="183"/>
    <n v="44"/>
    <n v="2024"/>
    <n v="0"/>
    <x v="0"/>
    <n v="100"/>
    <m/>
    <s v="approved"/>
    <n v="42"/>
    <s v="no"/>
    <m/>
    <m/>
    <m/>
    <m/>
    <m/>
    <m/>
    <x v="0"/>
    <x v="212"/>
    <x v="414"/>
    <n v="37848147"/>
    <s v="F-229209-0022-WW1"/>
    <n v="56"/>
    <n v="1332.24"/>
    <n v="1"/>
    <m/>
    <s v="20241417-11.11.2024"/>
    <x v="1"/>
    <x v="11"/>
    <x v="1"/>
    <m/>
  </r>
  <r>
    <x v="0"/>
    <x v="0"/>
    <x v="124"/>
    <x v="89"/>
    <x v="129"/>
    <s v="096215143-0000 "/>
    <s v="AC"/>
    <n v="23.79"/>
    <n v="86"/>
    <n v="2045.9399999999998"/>
    <x v="184"/>
    <n v="11"/>
    <n v="2025"/>
    <n v="0"/>
    <x v="0"/>
    <n v="100"/>
    <m/>
    <s v="approved"/>
    <n v="42"/>
    <m/>
    <m/>
    <m/>
    <m/>
    <m/>
    <m/>
    <m/>
    <x v="0"/>
    <x v="177"/>
    <x v="415"/>
    <n v="38733787"/>
    <s v="F-229209-0022-WW1"/>
    <n v="86"/>
    <n v="2045.9399999999998"/>
    <m/>
    <m/>
    <s v="20250520-16.04.2025"/>
    <x v="1"/>
    <x v="5"/>
    <x v="0"/>
    <m/>
  </r>
  <r>
    <x v="0"/>
    <x v="0"/>
    <x v="124"/>
    <x v="89"/>
    <x v="129"/>
    <s v="096215143-0000 "/>
    <s v="AC"/>
    <n v="23.79"/>
    <n v="162"/>
    <n v="3853.98"/>
    <x v="184"/>
    <n v="11"/>
    <n v="2025"/>
    <n v="0"/>
    <x v="0"/>
    <n v="100"/>
    <m/>
    <s v="approved"/>
    <n v="42"/>
    <s v="no"/>
    <m/>
    <m/>
    <m/>
    <m/>
    <m/>
    <m/>
    <x v="0"/>
    <x v="141"/>
    <x v="416"/>
    <n v="38733787"/>
    <s v="F-229209-0022-WW1"/>
    <n v="161"/>
    <n v="3830.19"/>
    <n v="1"/>
    <m/>
    <s v="20250610-13.05.2025"/>
    <x v="1"/>
    <x v="5"/>
    <x v="0"/>
    <m/>
  </r>
  <r>
    <x v="0"/>
    <x v="0"/>
    <x v="125"/>
    <x v="89"/>
    <x v="129"/>
    <s v="096215143-0000 "/>
    <s v="AC"/>
    <n v="23.79"/>
    <n v="80"/>
    <n v="1903.1999999999998"/>
    <x v="153"/>
    <n v="24"/>
    <n v="2025"/>
    <n v="0"/>
    <x v="0"/>
    <n v="100"/>
    <m/>
    <s v="approved"/>
    <n v="1.6666666666666667"/>
    <m/>
    <m/>
    <m/>
    <m/>
    <m/>
    <m/>
    <m/>
    <x v="0"/>
    <x v="151"/>
    <x v="417"/>
    <n v="39363921"/>
    <s v="F-229209-0022-WW1"/>
    <n v="80"/>
    <n v="1903.1999999999998"/>
    <m/>
    <m/>
    <s v="20250733-12.06.2025"/>
    <x v="0"/>
    <x v="0"/>
    <x v="0"/>
    <m/>
  </r>
  <r>
    <x v="0"/>
    <x v="0"/>
    <x v="125"/>
    <x v="89"/>
    <x v="129"/>
    <s v="096215143-0000 "/>
    <s v="AC"/>
    <n v="23.79"/>
    <n v="98"/>
    <n v="2331.42"/>
    <x v="153"/>
    <n v="24"/>
    <n v="2025"/>
    <n v="0"/>
    <x v="0"/>
    <n v="100"/>
    <m/>
    <s v="approved"/>
    <n v="2.0416666666666665"/>
    <m/>
    <m/>
    <m/>
    <m/>
    <m/>
    <m/>
    <m/>
    <x v="0"/>
    <x v="46"/>
    <x v="418"/>
    <n v="39363921"/>
    <s v="F-229209-0022-WW1"/>
    <n v="95"/>
    <n v="2260.0499999999997"/>
    <n v="3"/>
    <m/>
    <s v="20250750-17.06.2025"/>
    <x v="1"/>
    <x v="0"/>
    <x v="0"/>
    <m/>
  </r>
  <r>
    <x v="0"/>
    <x v="0"/>
    <x v="126"/>
    <x v="80"/>
    <x v="130"/>
    <s v="096215194-0000"/>
    <s v="AI"/>
    <n v="36.44"/>
    <n v="203"/>
    <n v="7397.32"/>
    <x v="162"/>
    <n v="16"/>
    <n v="2024"/>
    <n v="0"/>
    <x v="0"/>
    <n v="100"/>
    <m/>
    <s v="approved"/>
    <n v="42"/>
    <s v="no"/>
    <m/>
    <m/>
    <m/>
    <m/>
    <m/>
    <s v="241613/241710"/>
    <x v="0"/>
    <x v="213"/>
    <x v="419"/>
    <n v="36470109"/>
    <s v="F-229209-12-WW1"/>
    <n v="90"/>
    <n v="3279.6"/>
    <m/>
    <m/>
    <s v="20240577-21.05.2024"/>
    <x v="1"/>
    <x v="1"/>
    <x v="1"/>
    <m/>
  </r>
  <r>
    <x v="0"/>
    <x v="0"/>
    <x v="126"/>
    <x v="80"/>
    <x v="130"/>
    <s v="096215194-0000"/>
    <s v="AI"/>
    <n v="36.44"/>
    <m/>
    <n v="0"/>
    <x v="162"/>
    <n v="16"/>
    <n v="2024"/>
    <n v="0"/>
    <x v="0"/>
    <n v="100"/>
    <m/>
    <m/>
    <n v="42"/>
    <m/>
    <m/>
    <m/>
    <m/>
    <m/>
    <m/>
    <m/>
    <x v="0"/>
    <x v="164"/>
    <x v="420"/>
    <n v="36470109"/>
    <s v="F-229209-12-WW1"/>
    <n v="98"/>
    <n v="3571.12"/>
    <n v="15"/>
    <s v="5 buc revalidare"/>
    <s v="20240594-24.05.2024"/>
    <x v="1"/>
    <x v="1"/>
    <x v="1"/>
    <m/>
  </r>
  <r>
    <x v="0"/>
    <x v="0"/>
    <x v="127"/>
    <x v="90"/>
    <x v="130"/>
    <s v="096215194-0000"/>
    <s v="AI"/>
    <n v="36.44"/>
    <n v="110"/>
    <n v="4008.3999999999996"/>
    <x v="185"/>
    <n v="33"/>
    <n v="2024"/>
    <n v="0"/>
    <x v="0"/>
    <n v="100"/>
    <m/>
    <s v="approved"/>
    <n v="42"/>
    <s v="no"/>
    <m/>
    <m/>
    <m/>
    <m/>
    <m/>
    <m/>
    <x v="0"/>
    <x v="214"/>
    <x v="421"/>
    <n v="37373984"/>
    <s v="F-229209-12-WW1"/>
    <n v="99"/>
    <n v="3607.56"/>
    <n v="11"/>
    <m/>
    <s v="20241173-13.09.2024"/>
    <x v="1"/>
    <x v="9"/>
    <x v="1"/>
    <m/>
  </r>
  <r>
    <x v="0"/>
    <x v="0"/>
    <x v="128"/>
    <x v="91"/>
    <x v="130"/>
    <s v="096215194-0000"/>
    <s v="AI"/>
    <n v="36.44"/>
    <n v="90"/>
    <n v="3279.6"/>
    <x v="127"/>
    <n v="45"/>
    <n v="2024"/>
    <n v="0"/>
    <x v="0"/>
    <n v="100"/>
    <m/>
    <s v="approved"/>
    <n v="42"/>
    <s v="no"/>
    <m/>
    <m/>
    <m/>
    <s v="24.10.2024"/>
    <m/>
    <m/>
    <x v="0"/>
    <x v="215"/>
    <x v="422"/>
    <n v="37886571"/>
    <s v="F-229209-12-WW1"/>
    <n v="83"/>
    <n v="3024.52"/>
    <n v="7"/>
    <m/>
    <s v="20241490-29.11.2024"/>
    <x v="1"/>
    <x v="4"/>
    <x v="1"/>
    <m/>
  </r>
  <r>
    <x v="0"/>
    <x v="0"/>
    <x v="129"/>
    <x v="92"/>
    <x v="130"/>
    <s v="096215194-0000"/>
    <s v="AI"/>
    <n v="36.44"/>
    <n v="110"/>
    <n v="4008.3999999999996"/>
    <x v="186"/>
    <n v="16"/>
    <n v="2025"/>
    <n v="0"/>
    <x v="0"/>
    <n v="100"/>
    <m/>
    <m/>
    <n v="42"/>
    <s v="no"/>
    <m/>
    <m/>
    <m/>
    <m/>
    <m/>
    <m/>
    <x v="0"/>
    <x v="216"/>
    <x v="423"/>
    <n v="38521910"/>
    <s v="F-229209-12-WW1"/>
    <n v="107"/>
    <n v="3899.08"/>
    <n v="3"/>
    <m/>
    <s v="20250284-06.03.2025"/>
    <x v="0"/>
    <x v="1"/>
    <x v="0"/>
    <m/>
  </r>
  <r>
    <x v="0"/>
    <x v="1"/>
    <x v="128"/>
    <x v="91"/>
    <x v="130"/>
    <s v="096215194-0000"/>
    <s v="AI"/>
    <n v="36.44"/>
    <n v="274"/>
    <n v="9984.56"/>
    <x v="146"/>
    <n v="25"/>
    <n v="2025"/>
    <n v="0"/>
    <x v="0"/>
    <n v="100"/>
    <m/>
    <s v="approved"/>
    <n v="5.708333333333333"/>
    <s v="no"/>
    <m/>
    <m/>
    <m/>
    <m/>
    <m/>
    <m/>
    <x v="0"/>
    <x v="3"/>
    <x v="4"/>
    <s v=""/>
    <s v=""/>
    <n v="0"/>
    <n v="0"/>
    <m/>
    <s v="Comanda anulata"/>
    <m/>
    <x v="1"/>
    <x v="0"/>
    <x v="0"/>
    <m/>
  </r>
  <r>
    <x v="0"/>
    <x v="0"/>
    <x v="130"/>
    <x v="93"/>
    <x v="130"/>
    <s v="096215194-0000"/>
    <s v="AI"/>
    <n v="36.44"/>
    <n v="111"/>
    <n v="4044.8399999999997"/>
    <x v="135"/>
    <n v="41"/>
    <n v="2025"/>
    <n v="0"/>
    <x v="0"/>
    <n v="100"/>
    <m/>
    <m/>
    <n v="2.3125"/>
    <m/>
    <m/>
    <m/>
    <m/>
    <m/>
    <m/>
    <m/>
    <x v="0"/>
    <x v="20"/>
    <x v="424"/>
    <n v="50067741"/>
    <s v="F-229209-12-WW1"/>
    <n v="111"/>
    <n v="4044.8399999999997"/>
    <m/>
    <m/>
    <s v="20251262-30.09.2025"/>
    <x v="0"/>
    <x v="11"/>
    <x v="0"/>
    <m/>
  </r>
  <r>
    <x v="0"/>
    <x v="0"/>
    <x v="130"/>
    <x v="93"/>
    <x v="130"/>
    <s v="096215194-0000"/>
    <s v="AI"/>
    <n v="36.44"/>
    <n v="38"/>
    <n v="1384.7199999999998"/>
    <x v="135"/>
    <n v="41"/>
    <n v="2025"/>
    <n v="0"/>
    <x v="0"/>
    <n v="100"/>
    <m/>
    <m/>
    <n v="0.79166666666666663"/>
    <m/>
    <m/>
    <m/>
    <m/>
    <m/>
    <m/>
    <m/>
    <x v="0"/>
    <x v="113"/>
    <x v="425"/>
    <n v="50067741"/>
    <s v="F-229209-12-WW1"/>
    <n v="29"/>
    <n v="1056.76"/>
    <n v="9"/>
    <m/>
    <s v="20251292-07.10.2025"/>
    <x v="0"/>
    <x v="11"/>
    <x v="0"/>
    <m/>
  </r>
  <r>
    <x v="0"/>
    <x v="0"/>
    <x v="130"/>
    <x v="93"/>
    <x v="130"/>
    <s v="096215194-0000"/>
    <s v="AI"/>
    <n v="36.44"/>
    <n v="3"/>
    <n v="109.32"/>
    <x v="135"/>
    <n v="41"/>
    <n v="2025"/>
    <n v="0"/>
    <x v="0"/>
    <n v="100"/>
    <m/>
    <m/>
    <n v="42"/>
    <s v="no"/>
    <m/>
    <m/>
    <m/>
    <m/>
    <m/>
    <m/>
    <x v="1"/>
    <x v="3"/>
    <x v="4"/>
    <s v=""/>
    <s v=""/>
    <m/>
    <n v="0"/>
    <m/>
    <m/>
    <m/>
    <x v="1"/>
    <x v="11"/>
    <x v="0"/>
    <m/>
  </r>
  <r>
    <x v="0"/>
    <x v="0"/>
    <x v="131"/>
    <x v="94"/>
    <x v="131"/>
    <s v="096215500-0000 "/>
    <s v="AG"/>
    <n v="18.37"/>
    <n v="106"/>
    <n v="1947.22"/>
    <x v="187"/>
    <n v="11"/>
    <n v="2024"/>
    <n v="0"/>
    <x v="0"/>
    <n v="100"/>
    <m/>
    <s v="approved"/>
    <n v="42"/>
    <s v="no"/>
    <m/>
    <m/>
    <m/>
    <m/>
    <m/>
    <s v="241205 / 241316"/>
    <x v="0"/>
    <x v="217"/>
    <x v="426"/>
    <n v="36313644"/>
    <s v="F-229461-12-WW1"/>
    <n v="104"/>
    <n v="1910.48"/>
    <n v="2"/>
    <s v="5 - validare"/>
    <s v="20240321-01.04.2024"/>
    <x v="1"/>
    <x v="5"/>
    <x v="1"/>
    <m/>
  </r>
  <r>
    <x v="0"/>
    <x v="0"/>
    <x v="132"/>
    <x v="87"/>
    <x v="131"/>
    <s v="096215500-0000 "/>
    <s v="AG"/>
    <n v="18.37"/>
    <n v="123"/>
    <n v="2259.5100000000002"/>
    <x v="98"/>
    <n v="23"/>
    <n v="2024"/>
    <n v="0"/>
    <x v="0"/>
    <n v="100"/>
    <m/>
    <s v="approved"/>
    <n v="42"/>
    <s v="no"/>
    <m/>
    <m/>
    <m/>
    <m/>
    <m/>
    <n v="242116"/>
    <x v="0"/>
    <x v="218"/>
    <x v="427"/>
    <n v="36754936"/>
    <s v="F-229461-12-WW1"/>
    <n v="120"/>
    <n v="2204.4"/>
    <n v="3"/>
    <m/>
    <s v="20240657-06.06.2024"/>
    <x v="0"/>
    <x v="0"/>
    <x v="1"/>
    <m/>
  </r>
  <r>
    <x v="0"/>
    <x v="0"/>
    <x v="133"/>
    <x v="41"/>
    <x v="131"/>
    <s v="096215500-0000 "/>
    <s v="AG"/>
    <n v="18.37"/>
    <n v="80"/>
    <n v="1469.6000000000001"/>
    <x v="188"/>
    <n v="29"/>
    <n v="2024"/>
    <n v="0"/>
    <x v="0"/>
    <n v="100"/>
    <m/>
    <s v="approved"/>
    <n v="42"/>
    <s v="no"/>
    <m/>
    <m/>
    <m/>
    <m/>
    <m/>
    <n v="242717"/>
    <x v="0"/>
    <x v="123"/>
    <x v="428"/>
    <n v="37158756"/>
    <s v="F-229461-12-WW1"/>
    <n v="78"/>
    <n v="1432.8600000000001"/>
    <n v="2"/>
    <m/>
    <s v="20240981-05.08.2024"/>
    <x v="1"/>
    <x v="8"/>
    <x v="1"/>
    <m/>
  </r>
  <r>
    <x v="0"/>
    <x v="0"/>
    <x v="134"/>
    <x v="86"/>
    <x v="132"/>
    <s v="096215283-0000 "/>
    <s v="AH "/>
    <n v="24.63"/>
    <n v="80"/>
    <n v="1970.3999999999999"/>
    <x v="189"/>
    <n v="27"/>
    <n v="2024"/>
    <n v="0"/>
    <x v="0"/>
    <n v="200"/>
    <m/>
    <s v="project"/>
    <n v="42"/>
    <s v="no"/>
    <m/>
    <m/>
    <m/>
    <m/>
    <m/>
    <n v="242504"/>
    <x v="0"/>
    <x v="9"/>
    <x v="429"/>
    <n v="36915968"/>
    <s v="F-235905-0013-WW1"/>
    <n v="75"/>
    <n v="1847.25"/>
    <n v="5"/>
    <m/>
    <s v="20240822-04.07.2024"/>
    <x v="0"/>
    <x v="8"/>
    <x v="1"/>
    <m/>
  </r>
  <r>
    <x v="0"/>
    <x v="0"/>
    <x v="135"/>
    <x v="95"/>
    <x v="132"/>
    <s v="096215283-0000 "/>
    <s v="AH "/>
    <n v="24.63"/>
    <n v="156"/>
    <n v="3842.2799999999997"/>
    <x v="190"/>
    <n v="34"/>
    <n v="2024"/>
    <n v="0"/>
    <x v="0"/>
    <n v="200"/>
    <m/>
    <s v="project"/>
    <n v="42"/>
    <s v="no"/>
    <m/>
    <m/>
    <m/>
    <s v="07.08.2024"/>
    <m/>
    <m/>
    <x v="0"/>
    <x v="219"/>
    <x v="430"/>
    <n v="37412823"/>
    <s v="F-235905-0013-WW1"/>
    <n v="152"/>
    <n v="3743.7599999999998"/>
    <n v="4"/>
    <m/>
    <s v="20241052-13.08.2024"/>
    <x v="0"/>
    <x v="9"/>
    <x v="1"/>
    <m/>
  </r>
  <r>
    <x v="0"/>
    <x v="0"/>
    <x v="136"/>
    <x v="84"/>
    <x v="132"/>
    <s v="096215283-0000 "/>
    <s v="AH "/>
    <n v="24.63"/>
    <n v="163"/>
    <n v="4014.69"/>
    <x v="191"/>
    <n v="43"/>
    <n v="2024"/>
    <n v="0"/>
    <x v="0"/>
    <n v="200"/>
    <m/>
    <s v="approved"/>
    <n v="42"/>
    <s v="no"/>
    <m/>
    <m/>
    <m/>
    <m/>
    <m/>
    <m/>
    <x v="0"/>
    <x v="220"/>
    <x v="431"/>
    <n v="37764010"/>
    <s v="F-235905-0013-WW1"/>
    <n v="163"/>
    <n v="4014.69"/>
    <m/>
    <s v="INCLUDE TOOLING COST=3106 EUR"/>
    <s v="20241336-22.10.2024"/>
    <x v="0"/>
    <x v="11"/>
    <x v="1"/>
    <m/>
  </r>
  <r>
    <x v="0"/>
    <x v="0"/>
    <x v="136"/>
    <x v="96"/>
    <x v="132"/>
    <s v="096215283-0000 "/>
    <s v="AH "/>
    <n v="24.63"/>
    <n v="6"/>
    <n v="147.78"/>
    <x v="191"/>
    <n v="43"/>
    <n v="2024"/>
    <n v="0"/>
    <x v="0"/>
    <n v="200"/>
    <m/>
    <s v="approved"/>
    <n v="42"/>
    <s v="no"/>
    <m/>
    <m/>
    <m/>
    <m/>
    <m/>
    <m/>
    <x v="0"/>
    <x v="221"/>
    <x v="432"/>
    <n v="37764010"/>
    <s v="F-235905-0013-WW1"/>
    <n v="6"/>
    <n v="147.78"/>
    <m/>
    <m/>
    <s v="20241368-31.10.2024"/>
    <x v="1"/>
    <x v="11"/>
    <x v="1"/>
    <m/>
  </r>
  <r>
    <x v="0"/>
    <x v="0"/>
    <x v="136"/>
    <x v="84"/>
    <x v="132"/>
    <s v="096215283-0000 "/>
    <s v="AH "/>
    <n v="24.63"/>
    <n v="50"/>
    <n v="1231.5"/>
    <x v="191"/>
    <n v="43"/>
    <n v="2024"/>
    <n v="0"/>
    <x v="0"/>
    <n v="200"/>
    <m/>
    <s v="approved"/>
    <n v="42"/>
    <s v="no"/>
    <m/>
    <m/>
    <m/>
    <m/>
    <s v="cand se primeste material de la client"/>
    <m/>
    <x v="0"/>
    <x v="215"/>
    <x v="433"/>
    <n v="37764010"/>
    <s v="F-235905-0013-WW1"/>
    <n v="50"/>
    <n v="1231.5"/>
    <m/>
    <m/>
    <s v="20241490-29.11.2024"/>
    <x v="1"/>
    <x v="11"/>
    <x v="1"/>
    <m/>
  </r>
  <r>
    <x v="0"/>
    <x v="1"/>
    <x v="80"/>
    <x v="84"/>
    <x v="132"/>
    <s v="096215283-0000 "/>
    <s v="AH "/>
    <n v="24.63"/>
    <n v="108"/>
    <n v="2660.04"/>
    <x v="192"/>
    <n v="44"/>
    <n v="2024"/>
    <n v="0"/>
    <x v="0"/>
    <n v="200"/>
    <m/>
    <s v="approved"/>
    <n v="42"/>
    <s v="no"/>
    <m/>
    <m/>
    <m/>
    <m/>
    <s v="cand se primeste material de la client"/>
    <m/>
    <x v="0"/>
    <x v="3"/>
    <x v="4"/>
    <s v=""/>
    <s v=""/>
    <n v="0"/>
    <n v="0"/>
    <m/>
    <s v="comenzi anulate"/>
    <m/>
    <x v="1"/>
    <x v="4"/>
    <x v="1"/>
    <m/>
  </r>
  <r>
    <x v="0"/>
    <x v="1"/>
    <x v="80"/>
    <x v="84"/>
    <x v="132"/>
    <s v="096215283-0000 "/>
    <s v="AH "/>
    <n v="24.63"/>
    <n v="108"/>
    <n v="2660.04"/>
    <x v="193"/>
    <n v="1"/>
    <n v="2025"/>
    <n v="0"/>
    <x v="0"/>
    <n v="200"/>
    <m/>
    <s v="approved"/>
    <n v="42"/>
    <s v="no"/>
    <m/>
    <m/>
    <m/>
    <m/>
    <m/>
    <m/>
    <x v="0"/>
    <x v="3"/>
    <x v="4"/>
    <s v=""/>
    <s v=""/>
    <n v="0"/>
    <n v="0"/>
    <m/>
    <s v="comenzi anulate"/>
    <m/>
    <x v="1"/>
    <x v="6"/>
    <x v="0"/>
    <m/>
  </r>
  <r>
    <x v="0"/>
    <x v="1"/>
    <x v="80"/>
    <x v="84"/>
    <x v="132"/>
    <s v="096215283-0000 "/>
    <s v="AH "/>
    <n v="24.63"/>
    <n v="108"/>
    <n v="2660.04"/>
    <x v="194"/>
    <n v="5"/>
    <n v="2025"/>
    <n v="0"/>
    <x v="0"/>
    <n v="200"/>
    <m/>
    <s v="approved"/>
    <n v="42"/>
    <s v="no"/>
    <m/>
    <m/>
    <m/>
    <m/>
    <m/>
    <m/>
    <x v="0"/>
    <x v="3"/>
    <x v="4"/>
    <s v=""/>
    <s v=""/>
    <n v="0"/>
    <n v="0"/>
    <m/>
    <s v="comenzi anulate"/>
    <m/>
    <x v="1"/>
    <x v="7"/>
    <x v="0"/>
    <m/>
  </r>
  <r>
    <x v="0"/>
    <x v="0"/>
    <x v="137"/>
    <x v="49"/>
    <x v="132"/>
    <s v="096215283-0000 "/>
    <s v="AH "/>
    <n v="24.63"/>
    <n v="76"/>
    <n v="1871.8799999999999"/>
    <x v="195"/>
    <n v="8"/>
    <n v="2025"/>
    <n v="0"/>
    <x v="0"/>
    <n v="200"/>
    <m/>
    <s v="approved"/>
    <n v="42"/>
    <s v="no"/>
    <m/>
    <m/>
    <m/>
    <m/>
    <s v="Yes"/>
    <m/>
    <x v="0"/>
    <x v="36"/>
    <x v="434"/>
    <n v="38554437"/>
    <s v="F-235905-0013-WW1"/>
    <n v="76"/>
    <n v="1871.8799999999999"/>
    <m/>
    <m/>
    <s v="20250163-17.02.2025"/>
    <x v="0"/>
    <x v="7"/>
    <x v="0"/>
    <m/>
  </r>
  <r>
    <x v="0"/>
    <x v="0"/>
    <x v="137"/>
    <x v="49"/>
    <x v="132"/>
    <s v="096215283-0000 "/>
    <s v="AH "/>
    <n v="24.63"/>
    <n v="50"/>
    <n v="1231.5"/>
    <x v="195"/>
    <n v="8"/>
    <n v="2025"/>
    <n v="0"/>
    <x v="0"/>
    <n v="200"/>
    <m/>
    <s v="approved"/>
    <n v="42"/>
    <s v="no"/>
    <m/>
    <m/>
    <m/>
    <m/>
    <s v="Yes"/>
    <m/>
    <x v="0"/>
    <x v="222"/>
    <x v="435"/>
    <n v="38554437"/>
    <s v="F-235905-0013-WW1"/>
    <n v="47"/>
    <n v="1157.6099999999999"/>
    <n v="3"/>
    <m/>
    <s v="20250182-18.02.2025"/>
    <x v="0"/>
    <x v="7"/>
    <x v="0"/>
    <m/>
  </r>
  <r>
    <x v="0"/>
    <x v="1"/>
    <x v="80"/>
    <x v="84"/>
    <x v="132"/>
    <s v="096215283-0000 "/>
    <s v="AH "/>
    <n v="24.63"/>
    <n v="108"/>
    <n v="2660.04"/>
    <x v="196"/>
    <n v="9"/>
    <n v="2025"/>
    <n v="0"/>
    <x v="0"/>
    <n v="200"/>
    <m/>
    <s v="approved"/>
    <n v="42"/>
    <s v="no"/>
    <m/>
    <m/>
    <m/>
    <m/>
    <m/>
    <m/>
    <x v="0"/>
    <x v="3"/>
    <x v="4"/>
    <s v=""/>
    <s v=""/>
    <n v="0"/>
    <n v="0"/>
    <m/>
    <s v="comenzi anulate"/>
    <m/>
    <x v="1"/>
    <x v="5"/>
    <x v="0"/>
    <m/>
  </r>
  <r>
    <x v="0"/>
    <x v="0"/>
    <x v="138"/>
    <x v="97"/>
    <x v="132"/>
    <s v="096215283-0000 "/>
    <s v="AH "/>
    <n v="24.63"/>
    <n v="81"/>
    <n v="1995.03"/>
    <x v="197"/>
    <n v="11"/>
    <n v="2025"/>
    <m/>
    <x v="0"/>
    <n v="200"/>
    <m/>
    <s v="approved"/>
    <n v="42"/>
    <s v="no"/>
    <m/>
    <m/>
    <m/>
    <m/>
    <m/>
    <m/>
    <x v="0"/>
    <x v="192"/>
    <x v="436"/>
    <n v="38708622"/>
    <s v="F-235905-0013-WW1"/>
    <n v="81"/>
    <n v="1995.03"/>
    <m/>
    <m/>
    <s v="20250308-12.03.2025"/>
    <x v="0"/>
    <x v="5"/>
    <x v="0"/>
    <m/>
  </r>
  <r>
    <x v="0"/>
    <x v="1"/>
    <x v="80"/>
    <x v="84"/>
    <x v="132"/>
    <s v="096215283-0000 "/>
    <s v="AH "/>
    <n v="24.63"/>
    <n v="108"/>
    <n v="2660.04"/>
    <x v="111"/>
    <n v="14"/>
    <n v="2025"/>
    <n v="0"/>
    <x v="0"/>
    <n v="200"/>
    <m/>
    <s v="approved"/>
    <n v="42"/>
    <s v="no"/>
    <m/>
    <m/>
    <m/>
    <m/>
    <m/>
    <m/>
    <x v="0"/>
    <x v="3"/>
    <x v="4"/>
    <s v=""/>
    <s v=""/>
    <n v="0"/>
    <n v="0"/>
    <m/>
    <s v="comenzi anulate"/>
    <m/>
    <x v="1"/>
    <x v="1"/>
    <x v="0"/>
    <m/>
  </r>
  <r>
    <x v="0"/>
    <x v="0"/>
    <x v="139"/>
    <x v="98"/>
    <x v="133"/>
    <s v="096215305-0000_x000d_"/>
    <s v="AD"/>
    <n v="10.44"/>
    <n v="100"/>
    <n v="1044"/>
    <x v="1"/>
    <n v="15"/>
    <n v="2024"/>
    <n v="0"/>
    <x v="0"/>
    <n v="200"/>
    <m/>
    <s v="approved"/>
    <n v="42"/>
    <s v="no"/>
    <m/>
    <m/>
    <m/>
    <m/>
    <m/>
    <s v="242717"/>
    <x v="0"/>
    <x v="223"/>
    <x v="437"/>
    <n v="5364229"/>
    <s v="F-235905-0042-WW1"/>
    <n v="200"/>
    <n v="2088"/>
    <m/>
    <m/>
    <s v="20240401-17.04.2024"/>
    <x v="1"/>
    <x v="1"/>
    <x v="1"/>
    <m/>
  </r>
  <r>
    <x v="0"/>
    <x v="0"/>
    <x v="139"/>
    <x v="29"/>
    <x v="133"/>
    <s v="096215305-0000_x000d_"/>
    <s v="AD"/>
    <n v="10.44"/>
    <n v="200"/>
    <n v="2088"/>
    <x v="198"/>
    <n v="22"/>
    <n v="2024"/>
    <n v="0"/>
    <x v="0"/>
    <n v="200"/>
    <m/>
    <s v="approved"/>
    <n v="42"/>
    <s v="no"/>
    <m/>
    <m/>
    <m/>
    <m/>
    <m/>
    <n v="241410"/>
    <x v="0"/>
    <x v="63"/>
    <x v="438"/>
    <n v="5364229"/>
    <s v="F-235905-0042-WW1"/>
    <n v="200"/>
    <n v="2088"/>
    <m/>
    <m/>
    <s v="20240647-04.06.2024"/>
    <x v="1"/>
    <x v="2"/>
    <x v="1"/>
    <m/>
  </r>
  <r>
    <x v="0"/>
    <x v="0"/>
    <x v="139"/>
    <x v="29"/>
    <x v="133"/>
    <s v="096215305-0000_x000d_"/>
    <s v="AD"/>
    <n v="10.44"/>
    <n v="200"/>
    <n v="2088"/>
    <x v="199"/>
    <n v="28"/>
    <n v="2024"/>
    <n v="0"/>
    <x v="0"/>
    <n v="200"/>
    <m/>
    <s v="approved"/>
    <n v="42"/>
    <s v="no"/>
    <m/>
    <m/>
    <m/>
    <m/>
    <m/>
    <s v="241804"/>
    <x v="0"/>
    <x v="18"/>
    <x v="439"/>
    <n v="5364229"/>
    <s v="F-235905-0042-WW1"/>
    <n v="191"/>
    <n v="1994.04"/>
    <n v="9"/>
    <m/>
    <s v="20240929-23.07.2024"/>
    <x v="1"/>
    <x v="8"/>
    <x v="1"/>
    <m/>
  </r>
  <r>
    <x v="0"/>
    <x v="0"/>
    <x v="139"/>
    <x v="99"/>
    <x v="133"/>
    <s v="096215305-0000_x000d_"/>
    <s v="AD"/>
    <n v="10.44"/>
    <n v="200"/>
    <n v="2088"/>
    <x v="37"/>
    <n v="42"/>
    <n v="2024"/>
    <n v="0"/>
    <x v="0"/>
    <n v="200"/>
    <m/>
    <s v="approved"/>
    <n v="42"/>
    <s v="no"/>
    <m/>
    <m/>
    <m/>
    <m/>
    <m/>
    <m/>
    <x v="0"/>
    <x v="224"/>
    <x v="440"/>
    <n v="5364229"/>
    <s v="F-235905-0042-WW1"/>
    <n v="199"/>
    <n v="2077.56"/>
    <n v="1"/>
    <m/>
    <s v="20241236-27.09.2024"/>
    <x v="0"/>
    <x v="11"/>
    <x v="1"/>
    <m/>
  </r>
  <r>
    <x v="0"/>
    <x v="0"/>
    <x v="139"/>
    <x v="100"/>
    <x v="133"/>
    <s v="096215305-0000_x000d_"/>
    <s v="AD"/>
    <n v="10.44"/>
    <n v="42"/>
    <n v="438.47999999999996"/>
    <x v="23"/>
    <n v="44"/>
    <n v="2024"/>
    <n v="0"/>
    <x v="0"/>
    <n v="200"/>
    <m/>
    <s v="approved"/>
    <n v="42"/>
    <s v="no"/>
    <m/>
    <m/>
    <m/>
    <m/>
    <s v="cand se primeste material de la client"/>
    <m/>
    <x v="0"/>
    <x v="225"/>
    <x v="441"/>
    <n v="5364229"/>
    <s v="F-235905-0042-WW1"/>
    <n v="42"/>
    <n v="438.47999999999996"/>
    <m/>
    <m/>
    <s v="20250095-29.01.2025"/>
    <x v="1"/>
    <x v="11"/>
    <x v="1"/>
    <m/>
  </r>
  <r>
    <x v="0"/>
    <x v="0"/>
    <x v="139"/>
    <x v="99"/>
    <x v="133"/>
    <s v="096215305-0000_x000d_"/>
    <s v="AD"/>
    <n v="10.44"/>
    <n v="120"/>
    <n v="1252.8"/>
    <x v="177"/>
    <n v="47"/>
    <n v="2024"/>
    <n v="0"/>
    <x v="0"/>
    <n v="200"/>
    <m/>
    <s v="approved"/>
    <n v="42"/>
    <s v="no"/>
    <m/>
    <m/>
    <m/>
    <m/>
    <m/>
    <m/>
    <x v="0"/>
    <x v="226"/>
    <x v="442"/>
    <n v="5364229"/>
    <s v="F-235905-0042-WW1"/>
    <n v="119"/>
    <n v="1242.3599999999999"/>
    <n v="1"/>
    <m/>
    <s v="20241478-25.11.2024"/>
    <x v="1"/>
    <x v="4"/>
    <x v="1"/>
    <m/>
  </r>
  <r>
    <x v="0"/>
    <x v="0"/>
    <x v="139"/>
    <x v="100"/>
    <x v="133"/>
    <s v="096215305-0000_x000d_"/>
    <s v="AD"/>
    <n v="10.44"/>
    <n v="22"/>
    <n v="229.67999999999998"/>
    <x v="200"/>
    <n v="49"/>
    <n v="2024"/>
    <n v="0"/>
    <x v="0"/>
    <n v="200"/>
    <m/>
    <s v="approved"/>
    <n v="42"/>
    <s v="no"/>
    <m/>
    <m/>
    <m/>
    <m/>
    <m/>
    <m/>
    <x v="0"/>
    <x v="225"/>
    <x v="441"/>
    <n v="5364229"/>
    <s v="F-235905-0042-WW1"/>
    <n v="22"/>
    <n v="229.67999999999998"/>
    <m/>
    <m/>
    <m/>
    <x v="1"/>
    <x v="3"/>
    <x v="1"/>
    <m/>
  </r>
  <r>
    <x v="0"/>
    <x v="0"/>
    <x v="139"/>
    <x v="100"/>
    <x v="133"/>
    <s v="096215305-0000_x000d_"/>
    <s v="AD"/>
    <n v="10.44"/>
    <n v="35"/>
    <n v="365.4"/>
    <x v="178"/>
    <n v="51"/>
    <n v="2024"/>
    <n v="0"/>
    <x v="0"/>
    <n v="200"/>
    <m/>
    <s v="approved"/>
    <n v="42"/>
    <s v="no"/>
    <m/>
    <m/>
    <m/>
    <m/>
    <m/>
    <m/>
    <x v="0"/>
    <x v="225"/>
    <x v="441"/>
    <n v="5364229"/>
    <s v="F-235905-0042-WW1"/>
    <n v="31"/>
    <n v="323.64"/>
    <n v="4"/>
    <m/>
    <m/>
    <x v="1"/>
    <x v="3"/>
    <x v="1"/>
    <m/>
  </r>
  <r>
    <x v="0"/>
    <x v="1"/>
    <x v="139"/>
    <x v="100"/>
    <x v="133"/>
    <s v="096215305-0000_x000d_"/>
    <s v="AD"/>
    <n v="10.44"/>
    <n v="160"/>
    <n v="1670.3999999999999"/>
    <x v="39"/>
    <n v="11"/>
    <n v="2025"/>
    <n v="0"/>
    <x v="0"/>
    <n v="200"/>
    <m/>
    <s v="approved"/>
    <n v="42"/>
    <s v="no"/>
    <m/>
    <m/>
    <m/>
    <m/>
    <m/>
    <m/>
    <x v="0"/>
    <x v="3"/>
    <x v="4"/>
    <s v=""/>
    <s v=""/>
    <n v="0"/>
    <n v="0"/>
    <m/>
    <s v="comenzi anulate"/>
    <m/>
    <x v="1"/>
    <x v="5"/>
    <x v="0"/>
    <m/>
  </r>
  <r>
    <x v="0"/>
    <x v="0"/>
    <x v="139"/>
    <x v="100"/>
    <x v="133"/>
    <s v="096215305-0000_x000d_"/>
    <s v="AD"/>
    <n v="10.44"/>
    <n v="100"/>
    <n v="1044"/>
    <x v="5"/>
    <n v="17"/>
    <n v="2025"/>
    <n v="0"/>
    <x v="0"/>
    <n v="200"/>
    <m/>
    <s v="approved"/>
    <n v="42"/>
    <s v="no"/>
    <m/>
    <m/>
    <m/>
    <m/>
    <m/>
    <m/>
    <x v="0"/>
    <x v="128"/>
    <x v="443"/>
    <n v="5364229"/>
    <s v="F-235905-0042-WW1"/>
    <n v="100"/>
    <n v="1044"/>
    <m/>
    <m/>
    <s v="20250665-27.05.2025"/>
    <x v="1"/>
    <x v="1"/>
    <x v="0"/>
    <m/>
  </r>
  <r>
    <x v="0"/>
    <x v="1"/>
    <x v="139"/>
    <x v="100"/>
    <x v="133"/>
    <s v="096215305-0000_x000d_"/>
    <s v="AD"/>
    <n v="10.44"/>
    <n v="80"/>
    <n v="835.19999999999993"/>
    <x v="129"/>
    <n v="19"/>
    <n v="2025"/>
    <n v="0"/>
    <x v="0"/>
    <n v="200"/>
    <m/>
    <s v="approved"/>
    <n v="42"/>
    <s v="no"/>
    <m/>
    <m/>
    <m/>
    <m/>
    <m/>
    <m/>
    <x v="0"/>
    <x v="3"/>
    <x v="4"/>
    <s v=""/>
    <s v=""/>
    <n v="0"/>
    <n v="0"/>
    <m/>
    <s v="comenzi anulate"/>
    <m/>
    <x v="1"/>
    <x v="2"/>
    <x v="0"/>
    <m/>
  </r>
  <r>
    <x v="0"/>
    <x v="1"/>
    <x v="139"/>
    <x v="100"/>
    <x v="133"/>
    <s v="096215305-0000_x000d_"/>
    <s v="AD"/>
    <n v="10.44"/>
    <n v="90"/>
    <n v="939.59999999999991"/>
    <x v="70"/>
    <n v="23"/>
    <n v="2025"/>
    <n v="0"/>
    <x v="0"/>
    <n v="200"/>
    <m/>
    <s v="approved"/>
    <n v="42"/>
    <s v="no"/>
    <m/>
    <m/>
    <m/>
    <m/>
    <m/>
    <m/>
    <x v="0"/>
    <x v="3"/>
    <x v="4"/>
    <s v=""/>
    <s v=""/>
    <n v="0"/>
    <n v="0"/>
    <m/>
    <s v="comenzi anulate"/>
    <m/>
    <x v="1"/>
    <x v="0"/>
    <x v="0"/>
    <m/>
  </r>
  <r>
    <x v="0"/>
    <x v="1"/>
    <x v="139"/>
    <x v="100"/>
    <x v="133"/>
    <s v="096215305-0000_x000d_"/>
    <s v="AD"/>
    <n v="10.44"/>
    <n v="80"/>
    <n v="835.19999999999993"/>
    <x v="201"/>
    <n v="28"/>
    <n v="2025"/>
    <n v="0"/>
    <x v="0"/>
    <n v="200"/>
    <m/>
    <s v="approved"/>
    <n v="42"/>
    <s v="no"/>
    <m/>
    <m/>
    <m/>
    <m/>
    <m/>
    <m/>
    <x v="0"/>
    <x v="3"/>
    <x v="4"/>
    <s v=""/>
    <s v=""/>
    <n v="0"/>
    <n v="0"/>
    <m/>
    <s v="comenzi anulate"/>
    <m/>
    <x v="1"/>
    <x v="8"/>
    <x v="0"/>
    <m/>
  </r>
  <r>
    <x v="0"/>
    <x v="1"/>
    <x v="139"/>
    <x v="100"/>
    <x v="133"/>
    <s v="096215305-0000_x000d_"/>
    <s v="AD"/>
    <n v="10.44"/>
    <n v="80"/>
    <n v="835.19999999999993"/>
    <x v="202"/>
    <n v="29"/>
    <n v="2025"/>
    <n v="0"/>
    <x v="0"/>
    <n v="200"/>
    <m/>
    <s v="approved"/>
    <n v="42"/>
    <s v="no"/>
    <m/>
    <m/>
    <m/>
    <m/>
    <m/>
    <m/>
    <x v="0"/>
    <x v="3"/>
    <x v="4"/>
    <s v=""/>
    <s v=""/>
    <n v="0"/>
    <n v="0"/>
    <m/>
    <s v="comenzi anulate"/>
    <m/>
    <x v="1"/>
    <x v="8"/>
    <x v="0"/>
    <m/>
  </r>
  <r>
    <x v="0"/>
    <x v="1"/>
    <x v="139"/>
    <x v="100"/>
    <x v="133"/>
    <s v="096215305-0000_x000d_"/>
    <s v="AD"/>
    <n v="10.44"/>
    <n v="80"/>
    <n v="835.19999999999993"/>
    <x v="203"/>
    <n v="37"/>
    <n v="2025"/>
    <n v="0"/>
    <x v="0"/>
    <n v="200"/>
    <m/>
    <s v="approved"/>
    <n v="42"/>
    <s v="no"/>
    <m/>
    <m/>
    <m/>
    <m/>
    <m/>
    <m/>
    <x v="0"/>
    <x v="3"/>
    <x v="4"/>
    <s v=""/>
    <s v=""/>
    <n v="0"/>
    <n v="0"/>
    <m/>
    <s v="comenzi anulate"/>
    <m/>
    <x v="1"/>
    <x v="10"/>
    <x v="0"/>
    <m/>
  </r>
  <r>
    <x v="0"/>
    <x v="1"/>
    <x v="139"/>
    <x v="100"/>
    <x v="133"/>
    <s v="096215305-0000_x000d_"/>
    <s v="AD"/>
    <n v="10.44"/>
    <n v="80"/>
    <n v="835.19999999999993"/>
    <x v="204"/>
    <n v="41"/>
    <n v="2025"/>
    <n v="0"/>
    <x v="0"/>
    <n v="200"/>
    <m/>
    <s v="approved"/>
    <n v="42"/>
    <s v="no"/>
    <m/>
    <m/>
    <m/>
    <m/>
    <m/>
    <m/>
    <x v="0"/>
    <x v="227"/>
    <x v="4"/>
    <s v=""/>
    <s v=""/>
    <n v="0"/>
    <n v="0"/>
    <m/>
    <s v="comenzi anulate"/>
    <m/>
    <x v="0"/>
    <x v="11"/>
    <x v="0"/>
    <m/>
  </r>
  <r>
    <x v="0"/>
    <x v="1"/>
    <x v="139"/>
    <x v="100"/>
    <x v="133"/>
    <s v="096215305-0000_x000d_"/>
    <s v="AD"/>
    <n v="10.44"/>
    <n v="80"/>
    <n v="835.19999999999993"/>
    <x v="205"/>
    <n v="45"/>
    <n v="2025"/>
    <n v="0"/>
    <x v="0"/>
    <n v="200"/>
    <m/>
    <s v="approved"/>
    <n v="42"/>
    <s v="no"/>
    <m/>
    <m/>
    <m/>
    <m/>
    <m/>
    <m/>
    <x v="0"/>
    <x v="3"/>
    <x v="4"/>
    <s v=""/>
    <s v=""/>
    <n v="0"/>
    <n v="0"/>
    <m/>
    <s v="comenzi anulate"/>
    <m/>
    <x v="1"/>
    <x v="4"/>
    <x v="0"/>
    <m/>
  </r>
  <r>
    <x v="0"/>
    <x v="1"/>
    <x v="139"/>
    <x v="100"/>
    <x v="133"/>
    <s v="096215305-0000_x000d_"/>
    <s v="AD"/>
    <n v="10.44"/>
    <n v="140"/>
    <n v="1461.6"/>
    <x v="156"/>
    <n v="48"/>
    <n v="2025"/>
    <n v="0"/>
    <x v="0"/>
    <n v="200"/>
    <m/>
    <s v="approved"/>
    <n v="42"/>
    <s v="no"/>
    <m/>
    <m/>
    <m/>
    <m/>
    <m/>
    <m/>
    <x v="0"/>
    <x v="3"/>
    <x v="4"/>
    <s v=""/>
    <s v=""/>
    <n v="0"/>
    <n v="0"/>
    <m/>
    <s v="comenzi anulate"/>
    <m/>
    <x v="2"/>
    <x v="4"/>
    <x v="0"/>
    <m/>
  </r>
  <r>
    <x v="0"/>
    <x v="1"/>
    <x v="139"/>
    <x v="100"/>
    <x v="133"/>
    <s v="096215305-0000_x000d_"/>
    <s v="AD"/>
    <n v="10.44"/>
    <n v="80"/>
    <n v="835.19999999999993"/>
    <x v="83"/>
    <n v="49"/>
    <n v="2025"/>
    <n v="0"/>
    <x v="0"/>
    <n v="200"/>
    <m/>
    <s v="approved"/>
    <n v="42"/>
    <s v="no"/>
    <m/>
    <m/>
    <m/>
    <m/>
    <m/>
    <m/>
    <x v="0"/>
    <x v="3"/>
    <x v="4"/>
    <s v=""/>
    <s v=""/>
    <n v="0"/>
    <n v="0"/>
    <m/>
    <s v="comenzi anulate"/>
    <m/>
    <x v="2"/>
    <x v="3"/>
    <x v="0"/>
    <m/>
  </r>
  <r>
    <x v="0"/>
    <x v="1"/>
    <x v="139"/>
    <x v="100"/>
    <x v="133"/>
    <s v="096215305-0000_x000d_"/>
    <s v="AD"/>
    <n v="0"/>
    <n v="80"/>
    <n v="0"/>
    <x v="206"/>
    <n v="2"/>
    <n v="2026"/>
    <n v="0"/>
    <x v="0"/>
    <n v="200"/>
    <m/>
    <s v="approved"/>
    <n v="42"/>
    <s v="no"/>
    <m/>
    <m/>
    <m/>
    <m/>
    <m/>
    <m/>
    <x v="0"/>
    <x v="3"/>
    <x v="4"/>
    <s v=""/>
    <s v=""/>
    <n v="0"/>
    <n v="0"/>
    <m/>
    <s v="comenzi anulate"/>
    <m/>
    <x v="2"/>
    <x v="6"/>
    <x v="3"/>
    <m/>
  </r>
  <r>
    <x v="0"/>
    <x v="1"/>
    <x v="139"/>
    <x v="100"/>
    <x v="133"/>
    <s v="096215305-0000_x000d_"/>
    <s v="AD"/>
    <n v="0"/>
    <n v="33"/>
    <n v="0"/>
    <x v="27"/>
    <n v="10"/>
    <n v="2026"/>
    <n v="0"/>
    <x v="0"/>
    <n v="200"/>
    <m/>
    <s v="approved"/>
    <n v="42"/>
    <s v="no"/>
    <m/>
    <m/>
    <m/>
    <m/>
    <m/>
    <m/>
    <x v="0"/>
    <x v="3"/>
    <x v="4"/>
    <s v=""/>
    <s v=""/>
    <n v="0"/>
    <n v="0"/>
    <m/>
    <s v="comenzi anulate"/>
    <m/>
    <x v="2"/>
    <x v="5"/>
    <x v="3"/>
    <m/>
  </r>
  <r>
    <x v="9"/>
    <x v="0"/>
    <x v="140"/>
    <x v="36"/>
    <x v="134"/>
    <s v="096999527-0000"/>
    <s v="AB"/>
    <n v="18.38"/>
    <n v="42"/>
    <n v="771.95999999999992"/>
    <x v="207"/>
    <n v="18"/>
    <n v="2024"/>
    <n v="0"/>
    <x v="53"/>
    <n v="65"/>
    <m/>
    <s v="project"/>
    <n v="42"/>
    <s v="yes"/>
    <m/>
    <m/>
    <m/>
    <m/>
    <m/>
    <s v="242208"/>
    <x v="0"/>
    <x v="73"/>
    <x v="444"/>
    <n v="36508461"/>
    <s v="F-320745-0321.APL.ACT"/>
    <n v="42"/>
    <n v="771.95999999999992"/>
    <m/>
    <s v="2 PCS VALIDARE"/>
    <s v="20240827-03.07.2024"/>
    <x v="1"/>
    <x v="2"/>
    <x v="1"/>
    <m/>
  </r>
  <r>
    <x v="9"/>
    <x v="0"/>
    <x v="141"/>
    <x v="101"/>
    <x v="134"/>
    <s v="096999527-0000"/>
    <s v="AB"/>
    <n v="18.38"/>
    <n v="65"/>
    <n v="1194.7"/>
    <x v="208"/>
    <n v="40"/>
    <n v="2024"/>
    <n v="0"/>
    <x v="53"/>
    <n v="65"/>
    <m/>
    <s v="approved"/>
    <n v="42"/>
    <s v="yes"/>
    <m/>
    <m/>
    <m/>
    <m/>
    <m/>
    <m/>
    <x v="0"/>
    <x v="228"/>
    <x v="445"/>
    <n v="37307401"/>
    <s v="F-320745-0321.APL.ACT"/>
    <n v="65"/>
    <n v="1194.7"/>
    <m/>
    <m/>
    <s v="20241298-12.10.2024"/>
    <x v="1"/>
    <x v="11"/>
    <x v="1"/>
    <m/>
  </r>
  <r>
    <x v="9"/>
    <x v="0"/>
    <x v="141"/>
    <x v="101"/>
    <x v="134"/>
    <s v="096999527-0000"/>
    <s v="AB"/>
    <n v="18.38"/>
    <n v="5"/>
    <n v="91.899999999999991"/>
    <x v="208"/>
    <n v="40"/>
    <n v="2024"/>
    <n v="0"/>
    <x v="53"/>
    <n v="65"/>
    <m/>
    <s v="approved"/>
    <n v="42"/>
    <s v="yes"/>
    <m/>
    <m/>
    <m/>
    <m/>
    <s v="Yes"/>
    <s v="need asap"/>
    <x v="0"/>
    <x v="36"/>
    <x v="446"/>
    <n v="37307401"/>
    <s v="F-320745-0321.APL.ACT"/>
    <n v="5"/>
    <n v="91.899999999999991"/>
    <m/>
    <s v="aviz de mana: 20242060"/>
    <s v="20250173-15.02.2025"/>
    <x v="1"/>
    <x v="11"/>
    <x v="1"/>
    <m/>
  </r>
  <r>
    <x v="9"/>
    <x v="2"/>
    <x v="142"/>
    <x v="98"/>
    <x v="134"/>
    <s v="096999527-0000"/>
    <s v="AB"/>
    <n v="18.38"/>
    <n v="260"/>
    <n v="4778.8"/>
    <x v="209"/>
    <n v="12"/>
    <n v="2026"/>
    <n v="0"/>
    <x v="53"/>
    <n v="65"/>
    <m/>
    <s v="approved"/>
    <n v="42"/>
    <s v="yes"/>
    <m/>
    <m/>
    <m/>
    <m/>
    <s v="Yes"/>
    <m/>
    <x v="1"/>
    <x v="3"/>
    <x v="4"/>
    <s v=""/>
    <s v=""/>
    <m/>
    <n v="0"/>
    <m/>
    <m/>
    <m/>
    <x v="2"/>
    <x v="5"/>
    <x v="3"/>
    <m/>
  </r>
  <r>
    <x v="9"/>
    <x v="0"/>
    <x v="143"/>
    <x v="102"/>
    <x v="135"/>
    <s v="096999438-0000"/>
    <s v="AD"/>
    <n v="15.38"/>
    <n v="42"/>
    <n v="645.96"/>
    <x v="207"/>
    <n v="18"/>
    <n v="2024"/>
    <n v="0"/>
    <x v="54"/>
    <n v="65"/>
    <m/>
    <s v="project"/>
    <n v="42"/>
    <s v="yes"/>
    <m/>
    <m/>
    <m/>
    <m/>
    <m/>
    <s v="242006"/>
    <x v="0"/>
    <x v="73"/>
    <x v="447"/>
    <n v="36575603"/>
    <s v="F-320745-1401.BZ.ACT"/>
    <n v="42"/>
    <n v="645.96"/>
    <m/>
    <s v="2 buc. de PPAP"/>
    <s v="20240830-04.07.2024"/>
    <x v="1"/>
    <x v="2"/>
    <x v="1"/>
    <m/>
  </r>
  <r>
    <x v="9"/>
    <x v="0"/>
    <x v="144"/>
    <x v="101"/>
    <x v="135"/>
    <s v="096999438-0000"/>
    <s v="AD"/>
    <n v="15.38"/>
    <n v="35"/>
    <n v="538.30000000000007"/>
    <x v="208"/>
    <n v="40"/>
    <n v="2024"/>
    <n v="0"/>
    <x v="54"/>
    <n v="65"/>
    <m/>
    <s v="approved"/>
    <n v="42"/>
    <s v="no"/>
    <m/>
    <m/>
    <m/>
    <m/>
    <m/>
    <m/>
    <x v="0"/>
    <x v="228"/>
    <x v="448"/>
    <n v="37307397"/>
    <s v="F-320745-1401.BZ.ACT"/>
    <n v="35"/>
    <n v="538.30000000000007"/>
    <m/>
    <m/>
    <s v="20241296-12.10.2024"/>
    <x v="1"/>
    <x v="11"/>
    <x v="1"/>
    <m/>
  </r>
  <r>
    <x v="9"/>
    <x v="0"/>
    <x v="144"/>
    <x v="101"/>
    <x v="135"/>
    <s v="096999438-0000"/>
    <s v="AD"/>
    <n v="15.38"/>
    <n v="35"/>
    <n v="538.30000000000007"/>
    <x v="208"/>
    <n v="40"/>
    <n v="2024"/>
    <n v="0"/>
    <x v="54"/>
    <n v="65"/>
    <m/>
    <s v="approved"/>
    <n v="42"/>
    <s v="no"/>
    <m/>
    <m/>
    <m/>
    <m/>
    <m/>
    <m/>
    <x v="0"/>
    <x v="229"/>
    <x v="449"/>
    <n v="37307397"/>
    <s v="F-320745-1401.BZ.ACT"/>
    <n v="35"/>
    <n v="538.30000000000007"/>
    <m/>
    <m/>
    <s v="20241356-28.10.2024"/>
    <x v="1"/>
    <x v="11"/>
    <x v="1"/>
    <m/>
  </r>
  <r>
    <x v="9"/>
    <x v="0"/>
    <x v="144"/>
    <x v="101"/>
    <x v="135"/>
    <s v="096999438-0000"/>
    <s v="AD"/>
    <n v="15.38"/>
    <n v="5"/>
    <n v="76.900000000000006"/>
    <x v="208"/>
    <n v="40"/>
    <n v="2024"/>
    <n v="0"/>
    <x v="54"/>
    <n v="65"/>
    <m/>
    <m/>
    <n v="0.10416666666666667"/>
    <s v="no"/>
    <m/>
    <m/>
    <m/>
    <m/>
    <s v="Yes"/>
    <m/>
    <x v="0"/>
    <x v="96"/>
    <x v="450"/>
    <n v="37307397"/>
    <s v="F-320745-1401.BZ.ACT"/>
    <n v="5"/>
    <n v="76.900000000000006"/>
    <m/>
    <m/>
    <s v="20250536-22.04.2025"/>
    <x v="1"/>
    <x v="11"/>
    <x v="1"/>
    <m/>
  </r>
  <r>
    <x v="9"/>
    <x v="2"/>
    <x v="145"/>
    <x v="98"/>
    <x v="135"/>
    <s v="096999438-0000"/>
    <s v="AD"/>
    <n v="15.38"/>
    <n v="143"/>
    <n v="2199.34"/>
    <x v="209"/>
    <n v="12"/>
    <n v="2026"/>
    <n v="0"/>
    <x v="54"/>
    <n v="65"/>
    <m/>
    <s v="approved"/>
    <n v="42"/>
    <s v="yes"/>
    <m/>
    <m/>
    <m/>
    <m/>
    <m/>
    <m/>
    <x v="1"/>
    <x v="3"/>
    <x v="4"/>
    <s v=""/>
    <s v=""/>
    <m/>
    <n v="0"/>
    <m/>
    <m/>
    <m/>
    <x v="2"/>
    <x v="5"/>
    <x v="3"/>
    <m/>
  </r>
  <r>
    <x v="9"/>
    <x v="0"/>
    <x v="146"/>
    <x v="36"/>
    <x v="136"/>
    <s v="096999411-0000"/>
    <s v="AA"/>
    <n v="15.03"/>
    <n v="42"/>
    <n v="631.26"/>
    <x v="207"/>
    <n v="18"/>
    <n v="2024"/>
    <n v="0"/>
    <x v="43"/>
    <n v="65"/>
    <m/>
    <s v="project"/>
    <n v="42"/>
    <s v="yes"/>
    <m/>
    <m/>
    <m/>
    <m/>
    <m/>
    <s v="242212"/>
    <x v="0"/>
    <x v="73"/>
    <x v="451"/>
    <n v="36508379"/>
    <s v="F-320745-1701.HUE.ACT"/>
    <n v="42"/>
    <n v="631.26"/>
    <m/>
    <s v="2 buc de PPAP"/>
    <s v="20240828-03.07.2024"/>
    <x v="1"/>
    <x v="2"/>
    <x v="1"/>
    <m/>
  </r>
  <r>
    <x v="9"/>
    <x v="0"/>
    <x v="147"/>
    <x v="101"/>
    <x v="136"/>
    <s v="096999411-0000"/>
    <s v="AA"/>
    <n v="15.03"/>
    <n v="48"/>
    <n v="721.43999999999994"/>
    <x v="208"/>
    <n v="40"/>
    <n v="2024"/>
    <n v="0"/>
    <x v="43"/>
    <n v="65"/>
    <m/>
    <s v="approved"/>
    <n v="42"/>
    <s v="yes"/>
    <m/>
    <m/>
    <m/>
    <m/>
    <m/>
    <m/>
    <x v="0"/>
    <x v="228"/>
    <x v="452"/>
    <n v="37307399"/>
    <s v="F-320745-1701.HUE.ACT"/>
    <n v="48"/>
    <n v="721.43999999999994"/>
    <m/>
    <m/>
    <s v="20241297-12.10.2024"/>
    <x v="1"/>
    <x v="11"/>
    <x v="1"/>
    <m/>
  </r>
  <r>
    <x v="9"/>
    <x v="0"/>
    <x v="147"/>
    <x v="101"/>
    <x v="136"/>
    <s v="096999411-0000"/>
    <s v="AA"/>
    <n v="15.03"/>
    <n v="27"/>
    <n v="405.81"/>
    <x v="208"/>
    <n v="40"/>
    <n v="2024"/>
    <n v="0"/>
    <x v="43"/>
    <n v="65"/>
    <m/>
    <s v="approved"/>
    <n v="42"/>
    <s v="yes"/>
    <m/>
    <m/>
    <m/>
    <m/>
    <s v="Yes"/>
    <s v="need asap"/>
    <x v="0"/>
    <x v="230"/>
    <x v="453"/>
    <n v="37307399"/>
    <s v="F-320745-1701.HUE.ACT"/>
    <n v="27"/>
    <n v="405.81"/>
    <m/>
    <m/>
    <s v="20250276-05.03.2025"/>
    <x v="1"/>
    <x v="11"/>
    <x v="1"/>
    <m/>
  </r>
  <r>
    <x v="9"/>
    <x v="2"/>
    <x v="148"/>
    <x v="98"/>
    <x v="136"/>
    <s v="096999411-0000"/>
    <s v="AA"/>
    <n v="15.03"/>
    <n v="260"/>
    <n v="3907.7999999999997"/>
    <x v="209"/>
    <n v="12"/>
    <n v="2026"/>
    <n v="0"/>
    <x v="43"/>
    <n v="65"/>
    <m/>
    <s v="approved"/>
    <n v="42"/>
    <s v="yes"/>
    <m/>
    <m/>
    <m/>
    <m/>
    <s v="Yes"/>
    <m/>
    <x v="1"/>
    <x v="3"/>
    <x v="4"/>
    <s v=""/>
    <s v=""/>
    <m/>
    <n v="0"/>
    <m/>
    <m/>
    <m/>
    <x v="2"/>
    <x v="5"/>
    <x v="3"/>
    <m/>
  </r>
  <r>
    <x v="9"/>
    <x v="0"/>
    <x v="149"/>
    <x v="36"/>
    <x v="137"/>
    <s v="096999497-0000"/>
    <s v="AA"/>
    <n v="23.48"/>
    <n v="32"/>
    <n v="751.36"/>
    <x v="207"/>
    <n v="18"/>
    <n v="2024"/>
    <n v="0"/>
    <x v="55"/>
    <n v="65"/>
    <m/>
    <s v="project"/>
    <n v="56"/>
    <s v="yes"/>
    <m/>
    <m/>
    <m/>
    <m/>
    <m/>
    <s v="242213/242301"/>
    <x v="0"/>
    <x v="79"/>
    <x v="454"/>
    <n v="36508525"/>
    <s v="F-320745-1901.DL.ACT15"/>
    <n v="32"/>
    <n v="751.36"/>
    <m/>
    <s v="2 buc PPAP"/>
    <s v="20240958-24.07.2024"/>
    <x v="1"/>
    <x v="2"/>
    <x v="1"/>
    <m/>
  </r>
  <r>
    <x v="9"/>
    <x v="0"/>
    <x v="149"/>
    <x v="36"/>
    <x v="137"/>
    <s v="096999497-0000"/>
    <s v="AA"/>
    <n v="23.48"/>
    <n v="10"/>
    <n v="234.8"/>
    <x v="207"/>
    <n v="18"/>
    <n v="2024"/>
    <n v="0"/>
    <x v="55"/>
    <n v="65"/>
    <m/>
    <m/>
    <n v="0.20833333333333334"/>
    <m/>
    <m/>
    <m/>
    <m/>
    <m/>
    <m/>
    <m/>
    <x v="0"/>
    <x v="228"/>
    <x v="455"/>
    <n v="36508525"/>
    <s v="F-320745-1901.DL.ACT15"/>
    <n v="10"/>
    <n v="234.8"/>
    <m/>
    <m/>
    <s v="20241293-12.10.2024"/>
    <x v="1"/>
    <x v="2"/>
    <x v="1"/>
    <m/>
  </r>
  <r>
    <x v="9"/>
    <x v="0"/>
    <x v="150"/>
    <x v="101"/>
    <x v="137"/>
    <s v="096999497-0000"/>
    <s v="AA"/>
    <n v="23.48"/>
    <n v="70"/>
    <n v="1643.6000000000001"/>
    <x v="208"/>
    <n v="40"/>
    <n v="2024"/>
    <n v="0"/>
    <x v="55"/>
    <n v="65"/>
    <m/>
    <s v="approved"/>
    <n v="56"/>
    <s v="yes"/>
    <m/>
    <m/>
    <m/>
    <n v="45534"/>
    <m/>
    <m/>
    <x v="0"/>
    <x v="228"/>
    <x v="456"/>
    <n v="37307402"/>
    <s v="F-320745-1901.DL.ACT15"/>
    <n v="70"/>
    <n v="1643.6000000000001"/>
    <m/>
    <m/>
    <s v="20241294-12.10.2024"/>
    <x v="1"/>
    <x v="11"/>
    <x v="1"/>
    <m/>
  </r>
  <r>
    <x v="9"/>
    <x v="2"/>
    <x v="151"/>
    <x v="98"/>
    <x v="137"/>
    <s v="096999497-0000"/>
    <s v="AA"/>
    <n v="23.48"/>
    <n v="148"/>
    <n v="3475.04"/>
    <x v="209"/>
    <n v="12"/>
    <n v="2026"/>
    <n v="0"/>
    <x v="55"/>
    <n v="65"/>
    <m/>
    <s v="approved"/>
    <n v="56"/>
    <s v="yes"/>
    <m/>
    <m/>
    <m/>
    <m/>
    <m/>
    <m/>
    <x v="1"/>
    <x v="3"/>
    <x v="4"/>
    <s v=""/>
    <s v=""/>
    <m/>
    <n v="0"/>
    <m/>
    <m/>
    <m/>
    <x v="2"/>
    <x v="5"/>
    <x v="3"/>
    <m/>
  </r>
  <r>
    <x v="9"/>
    <x v="0"/>
    <x v="152"/>
    <x v="103"/>
    <x v="138"/>
    <s v="096999276-0000"/>
    <s v="AB"/>
    <n v="11.43"/>
    <n v="42"/>
    <n v="480.06"/>
    <x v="207"/>
    <n v="18"/>
    <n v="2024"/>
    <n v="0"/>
    <x v="56"/>
    <n v="65"/>
    <m/>
    <s v="project"/>
    <n v="42"/>
    <s v="yes"/>
    <m/>
    <m/>
    <m/>
    <m/>
    <m/>
    <s v="242211"/>
    <x v="0"/>
    <x v="73"/>
    <x v="457"/>
    <n v="36498988"/>
    <s v="F-320745-9001.VSHR.ACT"/>
    <n v="42"/>
    <n v="480.06"/>
    <m/>
    <s v="2 buc. de PPAP"/>
    <s v="20240829-03.07.2024"/>
    <x v="1"/>
    <x v="2"/>
    <x v="1"/>
    <m/>
  </r>
  <r>
    <x v="9"/>
    <x v="0"/>
    <x v="153"/>
    <x v="101"/>
    <x v="138"/>
    <s v="096999276-0000"/>
    <s v="AB"/>
    <n v="11.43"/>
    <n v="38"/>
    <n v="434.34"/>
    <x v="208"/>
    <n v="40"/>
    <n v="2024"/>
    <n v="0"/>
    <x v="56"/>
    <n v="65"/>
    <m/>
    <s v="approved"/>
    <n v="42"/>
    <s v="yes"/>
    <m/>
    <m/>
    <m/>
    <m/>
    <m/>
    <m/>
    <x v="0"/>
    <x v="228"/>
    <x v="458"/>
    <n v="37186920"/>
    <s v="F-320745-9001.VSHR.ACT"/>
    <n v="38"/>
    <n v="434.34"/>
    <m/>
    <m/>
    <s v="20241295-12.10.2024"/>
    <x v="1"/>
    <x v="11"/>
    <x v="1"/>
    <m/>
  </r>
  <r>
    <x v="9"/>
    <x v="0"/>
    <x v="153"/>
    <x v="101"/>
    <x v="138"/>
    <s v="096999276-0000"/>
    <s v="AB"/>
    <n v="11.43"/>
    <n v="35"/>
    <n v="400.05"/>
    <x v="208"/>
    <n v="40"/>
    <n v="2024"/>
    <n v="0"/>
    <x v="56"/>
    <n v="65"/>
    <m/>
    <s v="approved"/>
    <n v="42"/>
    <s v="yes"/>
    <m/>
    <m/>
    <m/>
    <m/>
    <s v="Yes"/>
    <s v="need asap"/>
    <x v="0"/>
    <x v="36"/>
    <x v="459"/>
    <n v="37186920"/>
    <s v="F-320745-9001.VSHR.ACT"/>
    <n v="35"/>
    <n v="400.05"/>
    <m/>
    <s v="aviz de mana: BVOLS.20242060"/>
    <s v="20250172-15.02.2025"/>
    <x v="1"/>
    <x v="11"/>
    <x v="1"/>
    <m/>
  </r>
  <r>
    <x v="9"/>
    <x v="2"/>
    <x v="154"/>
    <x v="80"/>
    <x v="138"/>
    <s v="096999276-0000"/>
    <s v="AB"/>
    <n v="0"/>
    <n v="145"/>
    <n v="0"/>
    <x v="209"/>
    <n v="12"/>
    <n v="2026"/>
    <n v="0"/>
    <x v="56"/>
    <n v="65"/>
    <m/>
    <s v="approved"/>
    <n v="42"/>
    <s v="yes"/>
    <m/>
    <m/>
    <m/>
    <m/>
    <s v="Yes"/>
    <m/>
    <x v="1"/>
    <x v="3"/>
    <x v="4"/>
    <s v=""/>
    <s v=""/>
    <m/>
    <n v="0"/>
    <m/>
    <m/>
    <m/>
    <x v="2"/>
    <x v="5"/>
    <x v="3"/>
    <m/>
  </r>
  <r>
    <x v="0"/>
    <x v="0"/>
    <x v="155"/>
    <x v="104"/>
    <x v="139"/>
    <s v="096393580-0000"/>
    <s v="AC"/>
    <n v="16.68"/>
    <n v="5"/>
    <n v="83.4"/>
    <x v="210"/>
    <n v="45"/>
    <n v="2024"/>
    <n v="0"/>
    <x v="57"/>
    <n v="0"/>
    <m/>
    <s v="project"/>
    <n v="0.10416666666666667"/>
    <m/>
    <m/>
    <m/>
    <m/>
    <s v="ETA 25.10.2024"/>
    <s v="produse 5 buc"/>
    <m/>
    <x v="0"/>
    <x v="212"/>
    <x v="460"/>
    <n v="37890712"/>
    <s v="F-552663-0011.AU.VU"/>
    <n v="5"/>
    <n v="83.4"/>
    <m/>
    <m/>
    <s v="20241415-11.11.2024"/>
    <x v="1"/>
    <x v="4"/>
    <x v="1"/>
    <m/>
  </r>
  <r>
    <x v="0"/>
    <x v="0"/>
    <x v="155"/>
    <x v="104"/>
    <x v="139"/>
    <s v="096393580-0000"/>
    <s v="AC"/>
    <n v="16.68"/>
    <n v="5"/>
    <n v="83.4"/>
    <x v="210"/>
    <n v="45"/>
    <n v="2024"/>
    <n v="0"/>
    <x v="57"/>
    <n v="0"/>
    <m/>
    <m/>
    <n v="0"/>
    <m/>
    <m/>
    <m/>
    <m/>
    <m/>
    <m/>
    <m/>
    <x v="0"/>
    <x v="23"/>
    <x v="4"/>
    <s v=""/>
    <s v=""/>
    <n v="0"/>
    <n v="0"/>
    <m/>
    <m/>
    <m/>
    <x v="1"/>
    <x v="4"/>
    <x v="1"/>
    <m/>
  </r>
  <r>
    <x v="0"/>
    <x v="0"/>
    <x v="156"/>
    <x v="104"/>
    <x v="140"/>
    <s v="096403977-0000"/>
    <s v="AG"/>
    <n v="21.28"/>
    <n v="10"/>
    <n v="212.8"/>
    <x v="210"/>
    <n v="45"/>
    <n v="2024"/>
    <n v="0"/>
    <x v="57"/>
    <n v="0"/>
    <m/>
    <s v="project"/>
    <n v="0"/>
    <m/>
    <m/>
    <m/>
    <m/>
    <s v="ETA 25.10.2024"/>
    <m/>
    <m/>
    <x v="0"/>
    <x v="23"/>
    <x v="4"/>
    <s v=""/>
    <s v=""/>
    <n v="0"/>
    <n v="0"/>
    <m/>
    <m/>
    <m/>
    <x v="1"/>
    <x v="4"/>
    <x v="1"/>
    <m/>
  </r>
  <r>
    <x v="0"/>
    <x v="0"/>
    <x v="157"/>
    <x v="105"/>
    <x v="141"/>
    <s v="096403993-0000"/>
    <s v="AB"/>
    <n v="16.14"/>
    <n v="70"/>
    <n v="1129.8"/>
    <x v="124"/>
    <n v="17"/>
    <n v="2024"/>
    <n v="0"/>
    <x v="58"/>
    <n v="200"/>
    <m/>
    <s v="approved"/>
    <n v="42"/>
    <s v="no"/>
    <m/>
    <m/>
    <m/>
    <m/>
    <m/>
    <n v="241504"/>
    <x v="0"/>
    <x v="4"/>
    <x v="461"/>
    <n v="36559483"/>
    <s v="F-552668.01-0012"/>
    <n v="70"/>
    <n v="1129.8"/>
    <m/>
    <m/>
    <s v="20240369-11.04.2024"/>
    <x v="0"/>
    <x v="1"/>
    <x v="1"/>
    <m/>
  </r>
  <r>
    <x v="0"/>
    <x v="0"/>
    <x v="157"/>
    <x v="105"/>
    <x v="141"/>
    <s v="096403993-0000"/>
    <s v="AB"/>
    <n v="16.14"/>
    <n v="27"/>
    <n v="435.78000000000003"/>
    <x v="124"/>
    <n v="17"/>
    <n v="2024"/>
    <n v="0"/>
    <x v="58"/>
    <n v="200"/>
    <m/>
    <m/>
    <n v="42"/>
    <m/>
    <m/>
    <m/>
    <m/>
    <m/>
    <m/>
    <m/>
    <x v="0"/>
    <x v="5"/>
    <x v="462"/>
    <n v="36559483"/>
    <s v="F-552668.01-0012"/>
    <n v="27"/>
    <n v="435.78000000000003"/>
    <m/>
    <m/>
    <s v="20240374-12.04.2024"/>
    <x v="0"/>
    <x v="1"/>
    <x v="1"/>
    <m/>
  </r>
  <r>
    <x v="0"/>
    <x v="0"/>
    <x v="158"/>
    <x v="106"/>
    <x v="141"/>
    <s v="096403993-0000"/>
    <s v="AB"/>
    <n v="16.14"/>
    <n v="72"/>
    <n v="1162.08"/>
    <x v="211"/>
    <n v="25"/>
    <n v="2024"/>
    <n v="0"/>
    <x v="58"/>
    <n v="200"/>
    <m/>
    <s v="approved"/>
    <n v="42"/>
    <s v="no"/>
    <m/>
    <m/>
    <m/>
    <m/>
    <m/>
    <n v="242314"/>
    <x v="0"/>
    <x v="64"/>
    <x v="463"/>
    <n v="36903285"/>
    <s v="F-552668.01-0012"/>
    <n v="72"/>
    <n v="1162.08"/>
    <m/>
    <m/>
    <s v="20240701-17.06.2024"/>
    <x v="0"/>
    <x v="0"/>
    <x v="1"/>
    <m/>
  </r>
  <r>
    <x v="0"/>
    <x v="0"/>
    <x v="158"/>
    <x v="106"/>
    <x v="141"/>
    <s v="096403993-0000"/>
    <s v="AB"/>
    <n v="16.14"/>
    <n v="56"/>
    <n v="903.84"/>
    <x v="211"/>
    <n v="25"/>
    <n v="2024"/>
    <n v="0"/>
    <x v="58"/>
    <n v="200"/>
    <m/>
    <s v="approved"/>
    <n v="1.1666666666666667"/>
    <s v="no"/>
    <m/>
    <m/>
    <m/>
    <m/>
    <m/>
    <m/>
    <x v="0"/>
    <x v="68"/>
    <x v="464"/>
    <n v="36903285"/>
    <s v="F-552668.01-0012"/>
    <n v="56"/>
    <n v="903.84"/>
    <n v="1"/>
    <m/>
    <s v="20240755-25.06.2024"/>
    <x v="1"/>
    <x v="0"/>
    <x v="1"/>
    <m/>
  </r>
  <r>
    <x v="0"/>
    <x v="0"/>
    <x v="159"/>
    <x v="107"/>
    <x v="141"/>
    <s v="096403993-0000"/>
    <s v="AB"/>
    <n v="16.14"/>
    <n v="30"/>
    <n v="484.20000000000005"/>
    <x v="212"/>
    <n v="31"/>
    <n v="2024"/>
    <n v="0"/>
    <x v="58"/>
    <n v="200"/>
    <m/>
    <s v="approved"/>
    <n v="42"/>
    <s v="no"/>
    <m/>
    <m/>
    <m/>
    <m/>
    <m/>
    <n v="242808"/>
    <x v="0"/>
    <x v="231"/>
    <x v="465"/>
    <n v="37187238"/>
    <s v="F-552668.01-0012"/>
    <n v="30"/>
    <n v="484.20000000000005"/>
    <m/>
    <m/>
    <s v="20240872-12.07.2024"/>
    <x v="0"/>
    <x v="8"/>
    <x v="1"/>
    <m/>
  </r>
  <r>
    <x v="0"/>
    <x v="0"/>
    <x v="159"/>
    <x v="107"/>
    <x v="141"/>
    <s v="096403993-0000"/>
    <s v="AB"/>
    <n v="16.14"/>
    <n v="110"/>
    <n v="1775.4"/>
    <x v="212"/>
    <n v="31"/>
    <n v="2024"/>
    <n v="0"/>
    <x v="58"/>
    <n v="200"/>
    <m/>
    <s v="approved"/>
    <n v="2.2916666666666665"/>
    <s v="no"/>
    <m/>
    <m/>
    <m/>
    <m/>
    <m/>
    <m/>
    <x v="0"/>
    <x v="77"/>
    <x v="466"/>
    <n v="37187238"/>
    <s v="F-552668.01-0012"/>
    <n v="110"/>
    <n v="1775.4"/>
    <m/>
    <m/>
    <s v="20240905-19.07.2024"/>
    <x v="0"/>
    <x v="8"/>
    <x v="1"/>
    <m/>
  </r>
  <r>
    <x v="0"/>
    <x v="0"/>
    <x v="159"/>
    <x v="107"/>
    <x v="141"/>
    <s v="096403993-0000"/>
    <s v="AB"/>
    <n v="16.14"/>
    <n v="47"/>
    <n v="758.58"/>
    <x v="212"/>
    <n v="31"/>
    <n v="2024"/>
    <n v="0"/>
    <x v="58"/>
    <n v="200"/>
    <m/>
    <s v="approved"/>
    <n v="0.97916666666666663"/>
    <s v="no"/>
    <m/>
    <m/>
    <m/>
    <m/>
    <m/>
    <m/>
    <x v="0"/>
    <x v="81"/>
    <x v="467"/>
    <n v="37187238"/>
    <s v="F-552668.01-0012"/>
    <n v="47"/>
    <n v="758.58"/>
    <m/>
    <m/>
    <s v="20240963-26.07.2024"/>
    <x v="0"/>
    <x v="8"/>
    <x v="1"/>
    <m/>
  </r>
  <r>
    <x v="0"/>
    <x v="0"/>
    <x v="160"/>
    <x v="108"/>
    <x v="141"/>
    <s v="096403993-0000"/>
    <s v="AB"/>
    <n v="16.14"/>
    <n v="91"/>
    <n v="1468.74"/>
    <x v="213"/>
    <n v="33"/>
    <n v="2024"/>
    <n v="0"/>
    <x v="58"/>
    <n v="200"/>
    <m/>
    <s v="approved"/>
    <n v="42"/>
    <s v="no"/>
    <m/>
    <m/>
    <m/>
    <m/>
    <m/>
    <m/>
    <x v="0"/>
    <x v="85"/>
    <x v="468"/>
    <n v="37346485"/>
    <s v="F-552668.01-0012"/>
    <n v="91"/>
    <n v="1468.74"/>
    <n v="2"/>
    <m/>
    <s v="20241024-08.08.2024"/>
    <x v="0"/>
    <x v="9"/>
    <x v="1"/>
    <m/>
  </r>
  <r>
    <x v="0"/>
    <x v="0"/>
    <x v="160"/>
    <x v="108"/>
    <x v="141"/>
    <s v="096403993-0000"/>
    <s v="AB"/>
    <n v="16.14"/>
    <n v="119"/>
    <n v="1920.66"/>
    <x v="213"/>
    <n v="33"/>
    <n v="2024"/>
    <n v="0"/>
    <x v="58"/>
    <n v="200"/>
    <m/>
    <s v="approved"/>
    <n v="2.4791666666666665"/>
    <s v="no"/>
    <m/>
    <m/>
    <m/>
    <m/>
    <m/>
    <m/>
    <x v="0"/>
    <x v="87"/>
    <x v="469"/>
    <n v="37346485"/>
    <s v="F-552668.01-0012"/>
    <n v="119"/>
    <n v="1920.66"/>
    <m/>
    <m/>
    <s v="20241075-19.08.2024"/>
    <x v="1"/>
    <x v="9"/>
    <x v="1"/>
    <m/>
  </r>
  <r>
    <x v="0"/>
    <x v="0"/>
    <x v="161"/>
    <x v="81"/>
    <x v="141"/>
    <s v="096403993-0000"/>
    <s v="AB"/>
    <n v="16.14"/>
    <n v="8"/>
    <n v="129.12"/>
    <x v="107"/>
    <n v="40"/>
    <n v="2024"/>
    <n v="0"/>
    <x v="58"/>
    <n v="200"/>
    <m/>
    <s v="approved"/>
    <n v="42"/>
    <s v="no"/>
    <m/>
    <m/>
    <m/>
    <m/>
    <m/>
    <m/>
    <x v="0"/>
    <x v="232"/>
    <x v="470"/>
    <n v="5409659"/>
    <s v="F-552668.01-0012"/>
    <n v="7"/>
    <n v="112.98"/>
    <m/>
    <s v="48 returnate"/>
    <s v="20241238-30.09.2024/20241566-18.12.2024"/>
    <x v="0"/>
    <x v="11"/>
    <x v="1"/>
    <m/>
  </r>
  <r>
    <x v="0"/>
    <x v="0"/>
    <x v="161"/>
    <x v="81"/>
    <x v="141"/>
    <s v="096403993-0000"/>
    <s v="AB"/>
    <n v="16.14"/>
    <n v="51"/>
    <n v="823.14"/>
    <x v="107"/>
    <n v="40"/>
    <n v="2024"/>
    <n v="0"/>
    <x v="58"/>
    <n v="200"/>
    <m/>
    <s v="approved"/>
    <n v="42"/>
    <s v="no"/>
    <m/>
    <m/>
    <m/>
    <m/>
    <m/>
    <m/>
    <x v="0"/>
    <x v="233"/>
    <x v="471"/>
    <n v="5409659"/>
    <s v="F-552668.01-0012"/>
    <n v="51"/>
    <n v="823.14"/>
    <n v="3"/>
    <m/>
    <s v="20241260-03.10.2024"/>
    <x v="0"/>
    <x v="11"/>
    <x v="1"/>
    <m/>
  </r>
  <r>
    <x v="0"/>
    <x v="0"/>
    <x v="161"/>
    <x v="81"/>
    <x v="141"/>
    <s v="096403993-0000"/>
    <s v="AB"/>
    <n v="16.14"/>
    <n v="48"/>
    <n v="774.72"/>
    <x v="107"/>
    <n v="40"/>
    <n v="2024"/>
    <n v="0"/>
    <x v="58"/>
    <n v="200"/>
    <m/>
    <s v="approved"/>
    <n v="42"/>
    <s v="no"/>
    <m/>
    <m/>
    <m/>
    <m/>
    <m/>
    <m/>
    <x v="0"/>
    <x v="234"/>
    <x v="472"/>
    <n v="5409659"/>
    <s v="F-552668.01-0012"/>
    <n v="48"/>
    <n v="774.72"/>
    <m/>
    <s v="NU SE FACTUREAZA"/>
    <m/>
    <x v="1"/>
    <x v="11"/>
    <x v="1"/>
    <m/>
  </r>
  <r>
    <x v="0"/>
    <x v="0"/>
    <x v="161"/>
    <x v="82"/>
    <x v="141"/>
    <s v="096403993-0000"/>
    <s v="AB"/>
    <n v="16.14"/>
    <n v="100"/>
    <n v="1614"/>
    <x v="214"/>
    <n v="42"/>
    <n v="2024"/>
    <n v="0"/>
    <x v="58"/>
    <n v="200"/>
    <m/>
    <s v="approved"/>
    <n v="42"/>
    <s v="no"/>
    <m/>
    <m/>
    <m/>
    <m/>
    <m/>
    <m/>
    <x v="0"/>
    <x v="235"/>
    <x v="473"/>
    <n v="5409659"/>
    <s v="F-552668.01-0012"/>
    <n v="100"/>
    <n v="1614"/>
    <m/>
    <m/>
    <s v="20241320-17.10.2024"/>
    <x v="0"/>
    <x v="11"/>
    <x v="1"/>
    <m/>
  </r>
  <r>
    <x v="0"/>
    <x v="0"/>
    <x v="161"/>
    <x v="109"/>
    <x v="141"/>
    <s v="096403993-0000"/>
    <s v="AB"/>
    <n v="16.14"/>
    <n v="70"/>
    <n v="1129.8"/>
    <x v="177"/>
    <n v="47"/>
    <n v="2024"/>
    <n v="0"/>
    <x v="58"/>
    <n v="200"/>
    <m/>
    <s v="approved"/>
    <n v="42"/>
    <s v="no"/>
    <m/>
    <m/>
    <m/>
    <m/>
    <s v="cand se primeste material de la client"/>
    <m/>
    <x v="0"/>
    <x v="51"/>
    <x v="474"/>
    <n v="5409659"/>
    <s v="F-552668.01-0012"/>
    <n v="70"/>
    <n v="1129.8"/>
    <m/>
    <m/>
    <s v="20241502-03.12.2024"/>
    <x v="1"/>
    <x v="4"/>
    <x v="1"/>
    <m/>
  </r>
  <r>
    <x v="0"/>
    <x v="0"/>
    <x v="161"/>
    <x v="109"/>
    <x v="141"/>
    <s v="096403993-0000"/>
    <s v="AB"/>
    <n v="16.14"/>
    <n v="50"/>
    <n v="807"/>
    <x v="177"/>
    <n v="47"/>
    <n v="2024"/>
    <n v="0"/>
    <x v="58"/>
    <n v="200"/>
    <m/>
    <s v="approved"/>
    <n v="42"/>
    <s v="no"/>
    <m/>
    <m/>
    <m/>
    <m/>
    <m/>
    <m/>
    <x v="0"/>
    <x v="236"/>
    <x v="475"/>
    <n v="5409659"/>
    <s v="F-552668.01-0012"/>
    <n v="50"/>
    <n v="807"/>
    <m/>
    <m/>
    <s v="20241515-05.12.2024"/>
    <x v="1"/>
    <x v="4"/>
    <x v="1"/>
    <m/>
  </r>
  <r>
    <x v="0"/>
    <x v="0"/>
    <x v="161"/>
    <x v="109"/>
    <x v="141"/>
    <s v="096403993-0000"/>
    <s v="AB"/>
    <n v="16.14"/>
    <n v="74"/>
    <n v="1194.3600000000001"/>
    <x v="178"/>
    <n v="51"/>
    <n v="2024"/>
    <n v="0"/>
    <x v="58"/>
    <n v="200"/>
    <m/>
    <s v="approved"/>
    <n v="42"/>
    <s v="no"/>
    <m/>
    <m/>
    <m/>
    <m/>
    <m/>
    <m/>
    <x v="0"/>
    <x v="237"/>
    <x v="476"/>
    <n v="5409659"/>
    <s v="F-552668.01-0012"/>
    <n v="73"/>
    <n v="1178.22"/>
    <n v="1"/>
    <s v="initial 152 pcs comandate, 76 returnate, aviz: 2511"/>
    <s v="20250036-16.01.2025"/>
    <x v="1"/>
    <x v="3"/>
    <x v="1"/>
    <m/>
  </r>
  <r>
    <x v="0"/>
    <x v="0"/>
    <x v="161"/>
    <x v="109"/>
    <x v="141"/>
    <s v="096403993-0000"/>
    <s v="AB"/>
    <n v="16.14"/>
    <n v="100"/>
    <n v="1614"/>
    <x v="179"/>
    <n v="8"/>
    <n v="2025"/>
    <n v="0"/>
    <x v="58"/>
    <n v="200"/>
    <m/>
    <s v="approved"/>
    <n v="42"/>
    <s v="no"/>
    <m/>
    <m/>
    <m/>
    <m/>
    <m/>
    <m/>
    <x v="0"/>
    <x v="238"/>
    <x v="477"/>
    <n v="5409659"/>
    <s v="F-552668.01-0012"/>
    <n v="100"/>
    <n v="1614"/>
    <n v="1"/>
    <m/>
    <s v="20250185-19.02.2025"/>
    <x v="0"/>
    <x v="7"/>
    <x v="0"/>
    <m/>
  </r>
  <r>
    <x v="0"/>
    <x v="0"/>
    <x v="161"/>
    <x v="109"/>
    <x v="141"/>
    <s v="096403993-0000"/>
    <s v="AB"/>
    <n v="16.14"/>
    <n v="141"/>
    <n v="2275.7400000000002"/>
    <x v="215"/>
    <n v="24"/>
    <n v="2025"/>
    <n v="0"/>
    <x v="58"/>
    <n v="200"/>
    <m/>
    <s v="approved"/>
    <n v="2.9375"/>
    <s v="no"/>
    <m/>
    <m/>
    <m/>
    <m/>
    <m/>
    <m/>
    <x v="0"/>
    <x v="151"/>
    <x v="478"/>
    <n v="5409659"/>
    <s v="F-552668.01-0012"/>
    <n v="140"/>
    <n v="2259.6"/>
    <n v="1"/>
    <m/>
    <s v="20250730-12.06.2025"/>
    <x v="0"/>
    <x v="0"/>
    <x v="0"/>
    <m/>
  </r>
  <r>
    <x v="0"/>
    <x v="0"/>
    <x v="162"/>
    <x v="110"/>
    <x v="141"/>
    <s v="096403993-0000"/>
    <s v="AB"/>
    <n v="16.14"/>
    <n v="76"/>
    <n v="1226.6400000000001"/>
    <x v="215"/>
    <n v="24"/>
    <n v="2025"/>
    <n v="0"/>
    <x v="58"/>
    <n v="200"/>
    <m/>
    <s v="approved"/>
    <n v="1.5833333333333333"/>
    <s v="no"/>
    <m/>
    <m/>
    <m/>
    <m/>
    <m/>
    <m/>
    <x v="0"/>
    <x v="12"/>
    <x v="479"/>
    <n v="39384075"/>
    <s v="F-552668.01-0012"/>
    <n v="76"/>
    <n v="1226.6400000000001"/>
    <m/>
    <m/>
    <s v="20250819-30.06.2025"/>
    <x v="1"/>
    <x v="0"/>
    <x v="0"/>
    <m/>
  </r>
  <r>
    <x v="0"/>
    <x v="0"/>
    <x v="161"/>
    <x v="110"/>
    <x v="141"/>
    <s v="096403993-0000"/>
    <s v="AB"/>
    <n v="16.14"/>
    <n v="68"/>
    <n v="1097.52"/>
    <x v="215"/>
    <n v="24"/>
    <n v="2025"/>
    <n v="0"/>
    <x v="58"/>
    <n v="200"/>
    <m/>
    <s v="approved"/>
    <n v="1.4166666666666667"/>
    <s v="no"/>
    <m/>
    <m/>
    <m/>
    <m/>
    <m/>
    <m/>
    <x v="0"/>
    <x v="181"/>
    <x v="480"/>
    <n v="5409659"/>
    <s v="F-552668.01-0012"/>
    <n v="68"/>
    <n v="1097.52"/>
    <m/>
    <m/>
    <s v="20250920-15.07.2025"/>
    <x v="1"/>
    <x v="0"/>
    <x v="0"/>
    <m/>
  </r>
  <r>
    <x v="0"/>
    <x v="0"/>
    <x v="161"/>
    <x v="110"/>
    <x v="141"/>
    <s v="096403993-0000"/>
    <s v="AB"/>
    <n v="16.14"/>
    <n v="82"/>
    <n v="1323.48"/>
    <x v="216"/>
    <n v="26"/>
    <n v="2025"/>
    <n v="0"/>
    <x v="58"/>
    <n v="200"/>
    <m/>
    <s v="approved"/>
    <n v="1.7083333333333333"/>
    <s v="no"/>
    <m/>
    <m/>
    <m/>
    <m/>
    <m/>
    <m/>
    <x v="0"/>
    <x v="239"/>
    <x v="481"/>
    <n v="5409659"/>
    <s v="F-552668.01-0012"/>
    <n v="81"/>
    <n v="1307.3400000000001"/>
    <n v="1"/>
    <m/>
    <s v="20250933-17.07.2025"/>
    <x v="1"/>
    <x v="0"/>
    <x v="0"/>
    <m/>
  </r>
  <r>
    <x v="0"/>
    <x v="0"/>
    <x v="161"/>
    <x v="111"/>
    <x v="141"/>
    <s v="096403993-0000"/>
    <s v="AB"/>
    <n v="16.14"/>
    <n v="116"/>
    <n v="1872.24"/>
    <x v="117"/>
    <n v="31"/>
    <n v="2025"/>
    <n v="0"/>
    <x v="58"/>
    <n v="200"/>
    <m/>
    <s v="approved"/>
    <n v="2.4166666666666665"/>
    <s v="no"/>
    <m/>
    <m/>
    <m/>
    <m/>
    <m/>
    <m/>
    <x v="0"/>
    <x v="197"/>
    <x v="482"/>
    <n v="5409659"/>
    <s v="F-552668.01-0012"/>
    <n v="116"/>
    <n v="1872.24"/>
    <m/>
    <m/>
    <s v="20250985-25.07.2025"/>
    <x v="0"/>
    <x v="8"/>
    <x v="0"/>
    <m/>
  </r>
  <r>
    <x v="0"/>
    <x v="0"/>
    <x v="161"/>
    <x v="111"/>
    <x v="141"/>
    <s v="096403993-0000"/>
    <s v="AB"/>
    <n v="16.14"/>
    <n v="29"/>
    <n v="468.06"/>
    <x v="117"/>
    <n v="31"/>
    <n v="2025"/>
    <n v="0"/>
    <x v="58"/>
    <n v="200"/>
    <m/>
    <s v="approved"/>
    <n v="0.60416666666666663"/>
    <s v="no"/>
    <m/>
    <m/>
    <m/>
    <m/>
    <m/>
    <m/>
    <x v="0"/>
    <x v="198"/>
    <x v="483"/>
    <n v="5409659"/>
    <s v="F-552668.01-0012"/>
    <n v="29"/>
    <n v="468.06"/>
    <n v="2"/>
    <m/>
    <s v="20250986-25.07.2025"/>
    <x v="0"/>
    <x v="8"/>
    <x v="0"/>
    <m/>
  </r>
  <r>
    <x v="0"/>
    <x v="0"/>
    <x v="161"/>
    <x v="112"/>
    <x v="141"/>
    <s v="096403993-0000"/>
    <s v="AB"/>
    <n v="16.14"/>
    <n v="60"/>
    <n v="968.40000000000009"/>
    <x v="40"/>
    <n v="35"/>
    <n v="2025"/>
    <n v="0"/>
    <x v="58"/>
    <n v="200"/>
    <m/>
    <s v="approved"/>
    <n v="1.25"/>
    <s v="no"/>
    <m/>
    <m/>
    <m/>
    <m/>
    <m/>
    <m/>
    <x v="0"/>
    <x v="105"/>
    <x v="484"/>
    <n v="5409659"/>
    <s v="F-552668.01-0012"/>
    <n v="60"/>
    <n v="968.40000000000009"/>
    <m/>
    <m/>
    <s v="20251154-05.09.2025"/>
    <x v="1"/>
    <x v="9"/>
    <x v="0"/>
    <m/>
  </r>
  <r>
    <x v="0"/>
    <x v="0"/>
    <x v="161"/>
    <x v="112"/>
    <x v="141"/>
    <s v="096403993-0000"/>
    <s v="AB"/>
    <n v="16.14"/>
    <n v="56"/>
    <n v="903.84"/>
    <x v="40"/>
    <n v="35"/>
    <n v="2025"/>
    <n v="0"/>
    <x v="58"/>
    <n v="200"/>
    <m/>
    <s v="approved"/>
    <n v="1.1666666666666667"/>
    <s v="no"/>
    <m/>
    <m/>
    <m/>
    <m/>
    <m/>
    <m/>
    <x v="0"/>
    <x v="240"/>
    <x v="485"/>
    <n v="5409659"/>
    <s v="F-552668.01-0012"/>
    <n v="56"/>
    <n v="903.84"/>
    <m/>
    <m/>
    <s v="20251169-11.09.2025"/>
    <x v="1"/>
    <x v="9"/>
    <x v="0"/>
    <m/>
  </r>
  <r>
    <x v="0"/>
    <x v="0"/>
    <x v="161"/>
    <x v="112"/>
    <x v="141"/>
    <s v="096403993-0000"/>
    <s v="AB"/>
    <n v="16.14"/>
    <n v="26"/>
    <n v="419.64"/>
    <x v="40"/>
    <n v="35"/>
    <n v="2025"/>
    <n v="0"/>
    <x v="58"/>
    <n v="200"/>
    <m/>
    <s v="approved"/>
    <n v="0.54166666666666663"/>
    <s v="no"/>
    <m/>
    <m/>
    <m/>
    <m/>
    <m/>
    <m/>
    <x v="0"/>
    <x v="241"/>
    <x v="486"/>
    <n v="5409659"/>
    <s v="F-552668.01-0012"/>
    <n v="24"/>
    <n v="387.36"/>
    <n v="1"/>
    <m/>
    <s v="20251170/12.09"/>
    <x v="1"/>
    <x v="9"/>
    <x v="0"/>
    <m/>
  </r>
  <r>
    <x v="0"/>
    <x v="0"/>
    <x v="161"/>
    <x v="113"/>
    <x v="141"/>
    <s v="096403993-0000"/>
    <s v="AB"/>
    <n v="16.14"/>
    <n v="149"/>
    <n v="2404.86"/>
    <x v="217"/>
    <n v="37"/>
    <n v="2025"/>
    <n v="0"/>
    <x v="58"/>
    <n v="200"/>
    <m/>
    <s v="approved"/>
    <n v="3.1041666666666665"/>
    <s v="no"/>
    <m/>
    <m/>
    <m/>
    <m/>
    <m/>
    <m/>
    <x v="0"/>
    <x v="109"/>
    <x v="487"/>
    <n v="5409659"/>
    <s v="F-552668.01-0012"/>
    <n v="149"/>
    <n v="2404.86"/>
    <m/>
    <m/>
    <s v="20251216-23.09.2025"/>
    <x v="1"/>
    <x v="10"/>
    <x v="0"/>
    <m/>
  </r>
  <r>
    <x v="0"/>
    <x v="0"/>
    <x v="161"/>
    <x v="111"/>
    <x v="141"/>
    <s v="096403993-0000"/>
    <s v="AB"/>
    <n v="16.14"/>
    <n v="167"/>
    <n v="2695.38"/>
    <x v="119"/>
    <n v="40"/>
    <n v="2025"/>
    <n v="0"/>
    <x v="58"/>
    <n v="200"/>
    <m/>
    <s v="approved"/>
    <n v="3.4791666666666665"/>
    <s v="no"/>
    <m/>
    <m/>
    <m/>
    <m/>
    <m/>
    <m/>
    <x v="0"/>
    <x v="20"/>
    <x v="488"/>
    <n v="5409659"/>
    <s v="F-552668.01-0012"/>
    <n v="166"/>
    <n v="2679.2400000000002"/>
    <n v="1"/>
    <m/>
    <s v="20251256-30.09.2025"/>
    <x v="0"/>
    <x v="10"/>
    <x v="0"/>
    <m/>
  </r>
  <r>
    <x v="0"/>
    <x v="0"/>
    <x v="161"/>
    <x v="111"/>
    <x v="141"/>
    <s v="096403993-0000"/>
    <s v="AB"/>
    <n v="16.14"/>
    <n v="180"/>
    <n v="2905.2000000000003"/>
    <x v="121"/>
    <n v="49"/>
    <n v="2025"/>
    <n v="0"/>
    <x v="58"/>
    <n v="200"/>
    <m/>
    <s v="approved"/>
    <n v="3.75"/>
    <s v="no"/>
    <m/>
    <m/>
    <m/>
    <m/>
    <m/>
    <m/>
    <x v="1"/>
    <x v="3"/>
    <x v="4"/>
    <s v=""/>
    <s v=""/>
    <m/>
    <n v="0"/>
    <m/>
    <m/>
    <m/>
    <x v="2"/>
    <x v="4"/>
    <x v="0"/>
    <m/>
  </r>
  <r>
    <x v="0"/>
    <x v="0"/>
    <x v="161"/>
    <x v="111"/>
    <x v="141"/>
    <s v="096403993-0000"/>
    <s v="AB"/>
    <n v="16.14"/>
    <n v="300"/>
    <n v="4842"/>
    <x v="150"/>
    <n v="51"/>
    <n v="2025"/>
    <n v="0"/>
    <x v="58"/>
    <n v="200"/>
    <m/>
    <s v="approved"/>
    <n v="6.25"/>
    <s v="no"/>
    <m/>
    <m/>
    <m/>
    <m/>
    <m/>
    <m/>
    <x v="1"/>
    <x v="3"/>
    <x v="4"/>
    <s v=""/>
    <s v=""/>
    <m/>
    <n v="0"/>
    <m/>
    <m/>
    <m/>
    <x v="2"/>
    <x v="3"/>
    <x v="0"/>
    <m/>
  </r>
  <r>
    <x v="0"/>
    <x v="0"/>
    <x v="163"/>
    <x v="114"/>
    <x v="142"/>
    <n v="0"/>
    <n v="0"/>
    <n v="9.9600000000000009"/>
    <n v="10"/>
    <n v="99.600000000000009"/>
    <x v="218"/>
    <n v="38"/>
    <n v="2024"/>
    <n v="0"/>
    <x v="59"/>
    <n v="0"/>
    <m/>
    <s v="project"/>
    <n v="0.20833333333333334"/>
    <m/>
    <m/>
    <m/>
    <m/>
    <m/>
    <m/>
    <m/>
    <x v="0"/>
    <x v="23"/>
    <x v="4"/>
    <s v=""/>
    <s v=""/>
    <n v="0"/>
    <n v="0"/>
    <m/>
    <m/>
    <m/>
    <x v="1"/>
    <x v="10"/>
    <x v="1"/>
    <m/>
  </r>
  <r>
    <x v="0"/>
    <x v="0"/>
    <x v="164"/>
    <x v="115"/>
    <x v="143"/>
    <s v="097122009-0000 "/>
    <s v="AC"/>
    <n v="10.01"/>
    <n v="8"/>
    <n v="80.08"/>
    <x v="35"/>
    <n v="13"/>
    <n v="2024"/>
    <n v="0"/>
    <x v="60"/>
    <n v="200"/>
    <m/>
    <s v="project"/>
    <n v="42"/>
    <s v="no"/>
    <m/>
    <m/>
    <m/>
    <m/>
    <m/>
    <n v="241612"/>
    <x v="0"/>
    <x v="218"/>
    <x v="489"/>
    <n v="36396926"/>
    <s v="F-552668.01-0014"/>
    <n v="5"/>
    <n v="50.05"/>
    <m/>
    <s v="validare"/>
    <s v="20240656-06.06.2024"/>
    <x v="1"/>
    <x v="5"/>
    <x v="1"/>
    <m/>
  </r>
  <r>
    <x v="0"/>
    <x v="0"/>
    <x v="165"/>
    <x v="116"/>
    <x v="143"/>
    <s v="097122009-0000 "/>
    <s v="AC"/>
    <n v="10.01"/>
    <n v="200"/>
    <n v="2002"/>
    <x v="189"/>
    <n v="27"/>
    <n v="2024"/>
    <n v="0"/>
    <x v="60"/>
    <n v="200"/>
    <m/>
    <s v="approved"/>
    <n v="42"/>
    <s v="no"/>
    <m/>
    <m/>
    <m/>
    <m/>
    <m/>
    <n v="242601"/>
    <x v="0"/>
    <x v="75"/>
    <x v="490"/>
    <n v="37007023"/>
    <s v="F-552668.01-0014"/>
    <n v="182"/>
    <n v="1821.82"/>
    <n v="18"/>
    <m/>
    <s v="20240892-16.07.2024"/>
    <x v="1"/>
    <x v="8"/>
    <x v="1"/>
    <m/>
  </r>
  <r>
    <x v="0"/>
    <x v="0"/>
    <x v="166"/>
    <x v="61"/>
    <x v="143"/>
    <s v="097122009-0000 "/>
    <s v="AC"/>
    <n v="10.01"/>
    <n v="212"/>
    <n v="2122.12"/>
    <x v="212"/>
    <n v="31"/>
    <n v="2024"/>
    <n v="0"/>
    <x v="60"/>
    <n v="200"/>
    <m/>
    <s v="approved"/>
    <n v="42"/>
    <s v="no"/>
    <m/>
    <m/>
    <m/>
    <m/>
    <m/>
    <m/>
    <x v="0"/>
    <x v="219"/>
    <x v="491"/>
    <n v="37269840"/>
    <s v="F-552668.01-0014"/>
    <n v="200"/>
    <n v="2002"/>
    <n v="12"/>
    <m/>
    <s v="20241051-13.08.2024"/>
    <x v="1"/>
    <x v="8"/>
    <x v="1"/>
    <m/>
  </r>
  <r>
    <x v="0"/>
    <x v="0"/>
    <x v="167"/>
    <x v="117"/>
    <x v="143"/>
    <s v="097122009-0000 "/>
    <s v="AC"/>
    <n v="10.01"/>
    <n v="288"/>
    <n v="2882.88"/>
    <x v="219"/>
    <n v="34"/>
    <n v="2024"/>
    <n v="0"/>
    <x v="60"/>
    <n v="200"/>
    <m/>
    <s v="approved"/>
    <n v="42"/>
    <s v="no"/>
    <m/>
    <m/>
    <m/>
    <m/>
    <m/>
    <m/>
    <x v="0"/>
    <x v="39"/>
    <x v="492"/>
    <n v="37404984"/>
    <s v="F-552668.01-0014"/>
    <n v="287"/>
    <n v="2872.87"/>
    <n v="1"/>
    <m/>
    <s v="20241143-03.09.2024"/>
    <x v="1"/>
    <x v="9"/>
    <x v="1"/>
    <m/>
  </r>
  <r>
    <x v="0"/>
    <x v="0"/>
    <x v="168"/>
    <x v="61"/>
    <x v="143"/>
    <s v="097122009-0000 "/>
    <s v="AC"/>
    <n v="10.01"/>
    <n v="400"/>
    <n v="4004"/>
    <x v="220"/>
    <n v="41"/>
    <n v="2024"/>
    <n v="0"/>
    <x v="60"/>
    <n v="200"/>
    <m/>
    <s v="approved"/>
    <n v="42"/>
    <s v="no"/>
    <m/>
    <m/>
    <m/>
    <m/>
    <m/>
    <m/>
    <x v="0"/>
    <x v="88"/>
    <x v="493"/>
    <n v="37705431"/>
    <s v="F-552668.01-0014"/>
    <n v="380"/>
    <n v="3803.7999999999997"/>
    <n v="20"/>
    <m/>
    <s v="20241254-30.09.2024"/>
    <x v="0"/>
    <x v="11"/>
    <x v="1"/>
    <m/>
  </r>
  <r>
    <x v="0"/>
    <x v="0"/>
    <x v="169"/>
    <x v="61"/>
    <x v="143"/>
    <s v="097122009-0000 "/>
    <s v="AC"/>
    <n v="10.01"/>
    <n v="384"/>
    <n v="3843.84"/>
    <x v="221"/>
    <n v="43"/>
    <n v="2024"/>
    <n v="0"/>
    <x v="60"/>
    <n v="200"/>
    <m/>
    <s v="approved"/>
    <n v="42"/>
    <s v="no"/>
    <m/>
    <m/>
    <m/>
    <m/>
    <m/>
    <m/>
    <x v="0"/>
    <x v="220"/>
    <x v="494"/>
    <n v="37783861"/>
    <s v="F-552668.01-0014"/>
    <n v="384"/>
    <n v="3843.84"/>
    <m/>
    <m/>
    <s v="20241335-22.10.2024"/>
    <x v="0"/>
    <x v="11"/>
    <x v="1"/>
    <m/>
  </r>
  <r>
    <x v="0"/>
    <x v="0"/>
    <x v="169"/>
    <x v="61"/>
    <x v="143"/>
    <s v="097122009-0000 "/>
    <s v="AC"/>
    <n v="10.01"/>
    <n v="42"/>
    <n v="420.42"/>
    <x v="221"/>
    <n v="43"/>
    <n v="2024"/>
    <n v="0"/>
    <x v="60"/>
    <n v="200"/>
    <m/>
    <s v="approved"/>
    <n v="42"/>
    <s v="no"/>
    <m/>
    <m/>
    <m/>
    <m/>
    <m/>
    <m/>
    <x v="0"/>
    <x v="212"/>
    <x v="495"/>
    <n v="37783861"/>
    <s v="F-552668.01-0014"/>
    <n v="17"/>
    <n v="170.17"/>
    <n v="25"/>
    <s v="12 cu derogare"/>
    <s v="20241416-11.11.2024"/>
    <x v="1"/>
    <x v="11"/>
    <x v="1"/>
    <m/>
  </r>
  <r>
    <x v="0"/>
    <x v="0"/>
    <x v="170"/>
    <x v="61"/>
    <x v="143"/>
    <s v="097122009-0000 "/>
    <s v="AC"/>
    <n v="10.01"/>
    <n v="262"/>
    <n v="2622.62"/>
    <x v="177"/>
    <n v="47"/>
    <n v="2024"/>
    <n v="0"/>
    <x v="60"/>
    <n v="200"/>
    <m/>
    <s v="approved"/>
    <n v="42"/>
    <s v="no"/>
    <m/>
    <m/>
    <m/>
    <m/>
    <m/>
    <m/>
    <x v="0"/>
    <x v="226"/>
    <x v="496"/>
    <n v="37970966"/>
    <s v="F-552668.01-0014"/>
    <n v="259"/>
    <n v="2592.59"/>
    <n v="3"/>
    <m/>
    <s v="20241479-25.11.2024"/>
    <x v="1"/>
    <x v="4"/>
    <x v="1"/>
    <m/>
  </r>
  <r>
    <x v="0"/>
    <x v="0"/>
    <x v="171"/>
    <x v="61"/>
    <x v="143"/>
    <s v="097122009-0000 "/>
    <s v="AC"/>
    <n v="10.01"/>
    <n v="194"/>
    <n v="1941.94"/>
    <x v="178"/>
    <n v="51"/>
    <n v="2024"/>
    <n v="0"/>
    <x v="60"/>
    <n v="200"/>
    <m/>
    <s v="approved"/>
    <n v="42"/>
    <s v="no"/>
    <m/>
    <m/>
    <m/>
    <m/>
    <m/>
    <m/>
    <x v="0"/>
    <x v="56"/>
    <x v="497"/>
    <n v="38160981"/>
    <s v="F-552668.01-0014"/>
    <n v="192"/>
    <n v="1921.92"/>
    <n v="2"/>
    <m/>
    <s v="20241590-17.12.2024"/>
    <x v="0"/>
    <x v="3"/>
    <x v="1"/>
    <m/>
  </r>
  <r>
    <x v="0"/>
    <x v="0"/>
    <x v="172"/>
    <x v="118"/>
    <x v="143"/>
    <s v="097122009-0000 "/>
    <s v="AC"/>
    <n v="10.01"/>
    <n v="144"/>
    <n v="1441.44"/>
    <x v="222"/>
    <n v="6"/>
    <n v="2025"/>
    <n v="0"/>
    <x v="60"/>
    <n v="200"/>
    <m/>
    <s v="approved"/>
    <n v="42"/>
    <s v="no"/>
    <m/>
    <m/>
    <m/>
    <m/>
    <m/>
    <m/>
    <x v="0"/>
    <x v="225"/>
    <x v="498"/>
    <n v="38454901"/>
    <s v="F-552668.01-0014"/>
    <n v="144"/>
    <n v="1441.44"/>
    <m/>
    <m/>
    <s v="20250096-29.01.2025"/>
    <x v="0"/>
    <x v="7"/>
    <x v="0"/>
    <m/>
  </r>
  <r>
    <x v="0"/>
    <x v="0"/>
    <x v="172"/>
    <x v="118"/>
    <x v="143"/>
    <s v="097122009-0000 "/>
    <s v="AC"/>
    <n v="10.01"/>
    <n v="268"/>
    <n v="2682.68"/>
    <x v="222"/>
    <n v="6"/>
    <n v="2025"/>
    <n v="0"/>
    <x v="60"/>
    <n v="200"/>
    <m/>
    <s v="approved"/>
    <n v="42"/>
    <s v="no"/>
    <m/>
    <m/>
    <m/>
    <m/>
    <m/>
    <m/>
    <x v="0"/>
    <x v="242"/>
    <x v="499"/>
    <n v="38454901"/>
    <s v="F-552668.01-0014"/>
    <n v="265"/>
    <n v="2652.65"/>
    <n v="3"/>
    <m/>
    <s v="20250105-31.01.2025"/>
    <x v="0"/>
    <x v="7"/>
    <x v="0"/>
    <m/>
  </r>
  <r>
    <x v="0"/>
    <x v="0"/>
    <x v="173"/>
    <x v="49"/>
    <x v="143"/>
    <s v="097122009-0000 "/>
    <s v="AC"/>
    <n v="10.01"/>
    <n v="184"/>
    <n v="1841.84"/>
    <x v="164"/>
    <n v="9"/>
    <n v="2025"/>
    <n v="0"/>
    <x v="60"/>
    <n v="200"/>
    <m/>
    <s v="approved"/>
    <n v="42"/>
    <s v="no"/>
    <m/>
    <m/>
    <m/>
    <m/>
    <m/>
    <m/>
    <x v="0"/>
    <x v="243"/>
    <x v="500"/>
    <n v="38554800"/>
    <s v="F-552668.01-0014"/>
    <n v="184"/>
    <n v="1841.84"/>
    <m/>
    <m/>
    <s v="20250168-17.02.2025"/>
    <x v="0"/>
    <x v="7"/>
    <x v="0"/>
    <m/>
  </r>
  <r>
    <x v="0"/>
    <x v="0"/>
    <x v="173"/>
    <x v="49"/>
    <x v="143"/>
    <s v="097122009-0000 "/>
    <s v="AC"/>
    <n v="10.01"/>
    <n v="215"/>
    <n v="2152.15"/>
    <x v="164"/>
    <n v="9"/>
    <n v="2025"/>
    <n v="0"/>
    <x v="60"/>
    <n v="200"/>
    <m/>
    <s v="approved"/>
    <n v="42"/>
    <s v="no"/>
    <m/>
    <m/>
    <m/>
    <m/>
    <m/>
    <m/>
    <x v="0"/>
    <x v="222"/>
    <x v="501"/>
    <n v="38554800"/>
    <s v="F-552668.01-0014"/>
    <n v="215"/>
    <n v="2152.15"/>
    <m/>
    <m/>
    <s v="20250181-18.02.2025"/>
    <x v="0"/>
    <x v="7"/>
    <x v="0"/>
    <m/>
  </r>
  <r>
    <x v="0"/>
    <x v="0"/>
    <x v="173"/>
    <x v="49"/>
    <x v="143"/>
    <s v="097122009-0000 "/>
    <s v="AC"/>
    <n v="10.01"/>
    <n v="88"/>
    <n v="880.88"/>
    <x v="164"/>
    <n v="9"/>
    <n v="2025"/>
    <n v="0"/>
    <x v="60"/>
    <n v="200"/>
    <m/>
    <s v="approved"/>
    <n v="42"/>
    <s v="no"/>
    <m/>
    <m/>
    <m/>
    <m/>
    <m/>
    <m/>
    <x v="0"/>
    <x v="128"/>
    <x v="502"/>
    <n v="38554800"/>
    <s v="F-552668.01-0014"/>
    <n v="88"/>
    <n v="880.88"/>
    <m/>
    <m/>
    <s v="20250801-37.06.2025"/>
    <x v="1"/>
    <x v="7"/>
    <x v="0"/>
    <m/>
  </r>
  <r>
    <x v="0"/>
    <x v="0"/>
    <x v="173"/>
    <x v="49"/>
    <x v="143"/>
    <s v="097122009-0000 "/>
    <s v="AC"/>
    <n v="10.01"/>
    <n v="1"/>
    <n v="10.01"/>
    <x v="164"/>
    <n v="9"/>
    <n v="2025"/>
    <n v="0"/>
    <x v="60"/>
    <n v="200"/>
    <m/>
    <s v="approved"/>
    <n v="42"/>
    <s v="no"/>
    <m/>
    <m/>
    <m/>
    <m/>
    <m/>
    <m/>
    <x v="0"/>
    <x v="3"/>
    <x v="4"/>
    <s v=""/>
    <s v=""/>
    <n v="0"/>
    <n v="0"/>
    <m/>
    <s v="Comanda anulata"/>
    <m/>
    <x v="1"/>
    <x v="7"/>
    <x v="0"/>
    <m/>
  </r>
  <r>
    <x v="0"/>
    <x v="0"/>
    <x v="162"/>
    <x v="49"/>
    <x v="143"/>
    <s v="097122009-0000 "/>
    <s v="AC"/>
    <n v="10.01"/>
    <n v="128"/>
    <n v="1281.28"/>
    <x v="0"/>
    <n v="27"/>
    <n v="2025"/>
    <n v="0"/>
    <x v="60"/>
    <n v="200"/>
    <m/>
    <s v="approved"/>
    <n v="42"/>
    <s v="no"/>
    <m/>
    <m/>
    <m/>
    <m/>
    <m/>
    <m/>
    <x v="0"/>
    <x v="180"/>
    <x v="503"/>
    <n v="39384075"/>
    <s v="F-552668.01-0014"/>
    <n v="128"/>
    <n v="1281.28"/>
    <m/>
    <m/>
    <s v="20250800-27.06.2025"/>
    <x v="0"/>
    <x v="0"/>
    <x v="0"/>
    <m/>
  </r>
  <r>
    <x v="0"/>
    <x v="0"/>
    <x v="162"/>
    <x v="49"/>
    <x v="143"/>
    <s v="097122009-0000 "/>
    <s v="AC"/>
    <n v="10.01"/>
    <n v="76"/>
    <n v="760.76"/>
    <x v="0"/>
    <n v="27"/>
    <n v="2025"/>
    <n v="0"/>
    <x v="60"/>
    <n v="200"/>
    <m/>
    <s v="approved"/>
    <n v="42"/>
    <s v="no"/>
    <m/>
    <m/>
    <m/>
    <m/>
    <m/>
    <m/>
    <x v="0"/>
    <x v="12"/>
    <x v="479"/>
    <n v="39384075"/>
    <s v="F-552668.01-0014"/>
    <n v="76"/>
    <n v="760.76"/>
    <m/>
    <m/>
    <m/>
    <x v="0"/>
    <x v="0"/>
    <x v="0"/>
    <m/>
  </r>
  <r>
    <x v="0"/>
    <x v="1"/>
    <x v="174"/>
    <x v="8"/>
    <x v="143"/>
    <s v="097122009-0000 "/>
    <s v="AC"/>
    <n v="10.01"/>
    <n v="56"/>
    <n v="560.55999999999995"/>
    <x v="0"/>
    <n v="27"/>
    <n v="2025"/>
    <n v="0"/>
    <x v="60"/>
    <n v="200"/>
    <m/>
    <s v="approved"/>
    <n v="1.1666666666666667"/>
    <s v="no"/>
    <m/>
    <m/>
    <m/>
    <m/>
    <m/>
    <m/>
    <x v="0"/>
    <x v="23"/>
    <x v="4"/>
    <s v=""/>
    <s v=""/>
    <n v="0"/>
    <n v="0"/>
    <m/>
    <m/>
    <m/>
    <x v="1"/>
    <x v="0"/>
    <x v="0"/>
    <m/>
  </r>
  <r>
    <x v="0"/>
    <x v="0"/>
    <x v="162"/>
    <x v="49"/>
    <x v="143"/>
    <s v="097122009-0000 "/>
    <s v="AC"/>
    <n v="10.01"/>
    <n v="116"/>
    <n v="1161.1600000000001"/>
    <x v="223"/>
    <n v="28"/>
    <n v="2025"/>
    <n v="0"/>
    <x v="60"/>
    <n v="200"/>
    <m/>
    <s v="approved"/>
    <n v="42"/>
    <s v="no"/>
    <m/>
    <m/>
    <m/>
    <m/>
    <m/>
    <m/>
    <x v="0"/>
    <x v="195"/>
    <x v="504"/>
    <n v="39384075"/>
    <s v="F-552668.01-0014"/>
    <n v="107"/>
    <n v="1071.07"/>
    <n v="9"/>
    <m/>
    <s v="20250855-02.07.2025"/>
    <x v="0"/>
    <x v="8"/>
    <x v="0"/>
    <m/>
  </r>
  <r>
    <x v="0"/>
    <x v="0"/>
    <x v="80"/>
    <x v="0"/>
    <x v="144"/>
    <s v="Inel interior"/>
    <n v="0"/>
    <n v="11.84"/>
    <n v="150"/>
    <n v="1776"/>
    <x v="120"/>
    <n v="44"/>
    <n v="2025"/>
    <n v="0"/>
    <x v="58"/>
    <n v="0"/>
    <m/>
    <s v="approved"/>
    <n v="0"/>
    <s v="no"/>
    <m/>
    <m/>
    <m/>
    <m/>
    <m/>
    <m/>
    <x v="1"/>
    <x v="3"/>
    <x v="4"/>
    <s v=""/>
    <s v=""/>
    <m/>
    <n v="0"/>
    <m/>
    <m/>
    <m/>
    <x v="1"/>
    <x v="11"/>
    <x v="0"/>
    <m/>
  </r>
  <r>
    <x v="0"/>
    <x v="0"/>
    <x v="80"/>
    <x v="0"/>
    <x v="144"/>
    <s v="Inel interior"/>
    <n v="0"/>
    <n v="11.84"/>
    <n v="150"/>
    <n v="1776"/>
    <x v="121"/>
    <n v="49"/>
    <n v="2025"/>
    <n v="0"/>
    <x v="58"/>
    <n v="0"/>
    <m/>
    <s v="approved"/>
    <n v="0"/>
    <s v="no"/>
    <m/>
    <m/>
    <m/>
    <m/>
    <m/>
    <m/>
    <x v="1"/>
    <x v="3"/>
    <x v="4"/>
    <s v=""/>
    <s v=""/>
    <m/>
    <n v="0"/>
    <m/>
    <m/>
    <m/>
    <x v="2"/>
    <x v="4"/>
    <x v="0"/>
    <m/>
  </r>
  <r>
    <x v="0"/>
    <x v="0"/>
    <x v="80"/>
    <x v="0"/>
    <x v="144"/>
    <s v="Inel interior"/>
    <n v="0"/>
    <n v="11.84"/>
    <n v="150"/>
    <n v="1776"/>
    <x v="150"/>
    <n v="51"/>
    <n v="2025"/>
    <n v="0"/>
    <x v="58"/>
    <n v="0"/>
    <m/>
    <s v="approved"/>
    <n v="0"/>
    <s v="no"/>
    <m/>
    <m/>
    <m/>
    <m/>
    <m/>
    <m/>
    <x v="1"/>
    <x v="3"/>
    <x v="4"/>
    <s v=""/>
    <s v=""/>
    <m/>
    <n v="0"/>
    <m/>
    <m/>
    <m/>
    <x v="2"/>
    <x v="3"/>
    <x v="0"/>
    <m/>
  </r>
  <r>
    <x v="0"/>
    <x v="0"/>
    <x v="175"/>
    <x v="74"/>
    <x v="145"/>
    <s v="097122220-0000"/>
    <s v="AB"/>
    <n v="12.5"/>
    <n v="20"/>
    <n v="250"/>
    <x v="169"/>
    <n v="12"/>
    <n v="2024"/>
    <n v="0"/>
    <x v="60"/>
    <n v="100"/>
    <m/>
    <s v="project"/>
    <n v="42"/>
    <s v="no"/>
    <m/>
    <m/>
    <m/>
    <m/>
    <m/>
    <n v="241210"/>
    <x v="0"/>
    <x v="80"/>
    <x v="505"/>
    <n v="36368343"/>
    <s v="F-552668-0024-DRE"/>
    <n v="0"/>
    <n v="0"/>
    <n v="20"/>
    <m/>
    <s v="20240956-25.07.2024"/>
    <x v="1"/>
    <x v="5"/>
    <x v="1"/>
    <m/>
  </r>
  <r>
    <x v="0"/>
    <x v="0"/>
    <x v="176"/>
    <x v="115"/>
    <x v="145"/>
    <s v="097122220-0000"/>
    <s v="AB"/>
    <n v="12.5"/>
    <n v="8"/>
    <n v="100"/>
    <x v="35"/>
    <n v="13"/>
    <n v="2024"/>
    <n v="0"/>
    <x v="60"/>
    <n v="100"/>
    <m/>
    <s v="project"/>
    <n v="42"/>
    <s v="no"/>
    <m/>
    <m/>
    <m/>
    <m/>
    <m/>
    <n v="242010"/>
    <x v="0"/>
    <x v="34"/>
    <x v="506"/>
    <n v="36396903"/>
    <s v="F-552668-0024-DRE"/>
    <n v="5"/>
    <n v="62.5"/>
    <m/>
    <m/>
    <s v="20240626-30.05.2024"/>
    <x v="1"/>
    <x v="5"/>
    <x v="1"/>
    <m/>
  </r>
  <r>
    <x v="0"/>
    <x v="0"/>
    <x v="177"/>
    <x v="116"/>
    <x v="145"/>
    <s v="097122220-0000"/>
    <s v="AB"/>
    <n v="12.5"/>
    <n v="100"/>
    <n v="1250"/>
    <x v="189"/>
    <n v="27"/>
    <n v="2024"/>
    <n v="0"/>
    <x v="60"/>
    <n v="100"/>
    <m/>
    <s v="approved"/>
    <n v="42"/>
    <s v="no"/>
    <m/>
    <m/>
    <m/>
    <m/>
    <m/>
    <n v="242901"/>
    <x v="0"/>
    <x v="123"/>
    <x v="507"/>
    <n v="37007022"/>
    <s v="F-552668-0024-DRE"/>
    <n v="89"/>
    <n v="1112.5"/>
    <n v="11"/>
    <m/>
    <s v="20240978-05.08.2024"/>
    <x v="1"/>
    <x v="8"/>
    <x v="1"/>
    <m/>
  </r>
  <r>
    <x v="0"/>
    <x v="0"/>
    <x v="178"/>
    <x v="61"/>
    <x v="145"/>
    <s v="097122220-0000"/>
    <s v="AB"/>
    <n v="12.5"/>
    <n v="100"/>
    <n v="1250"/>
    <x v="212"/>
    <n v="31"/>
    <n v="2024"/>
    <n v="0"/>
    <x v="60"/>
    <n v="100"/>
    <m/>
    <s v="approved"/>
    <n v="42"/>
    <s v="no"/>
    <m/>
    <m/>
    <m/>
    <m/>
    <m/>
    <m/>
    <x v="0"/>
    <x v="123"/>
    <x v="508"/>
    <n v="37269975"/>
    <s v="F-552668-0024-DRE"/>
    <n v="90"/>
    <n v="1125"/>
    <n v="11"/>
    <m/>
    <s v="20240979-05.08.2024"/>
    <x v="0"/>
    <x v="8"/>
    <x v="1"/>
    <m/>
  </r>
  <r>
    <x v="0"/>
    <x v="0"/>
    <x v="179"/>
    <x v="117"/>
    <x v="145"/>
    <s v="097122220-0000"/>
    <s v="AB"/>
    <n v="12.5"/>
    <n v="140"/>
    <n v="1750"/>
    <x v="219"/>
    <n v="34"/>
    <n v="2024"/>
    <n v="0"/>
    <x v="60"/>
    <n v="100"/>
    <m/>
    <s v="approved"/>
    <n v="42"/>
    <s v="no"/>
    <m/>
    <m/>
    <m/>
    <m/>
    <m/>
    <m/>
    <x v="0"/>
    <x v="39"/>
    <x v="509"/>
    <n v="37404987"/>
    <s v="F-552668-0024-DRE"/>
    <n v="139"/>
    <n v="1737.5"/>
    <n v="1"/>
    <m/>
    <s v="20241142-03.09.2024"/>
    <x v="1"/>
    <x v="9"/>
    <x v="1"/>
    <m/>
  </r>
  <r>
    <x v="0"/>
    <x v="0"/>
    <x v="180"/>
    <x v="119"/>
    <x v="145"/>
    <s v="097122220-0000"/>
    <s v="AB"/>
    <n v="12.5"/>
    <n v="78"/>
    <n v="975"/>
    <x v="224"/>
    <n v="39"/>
    <n v="2024"/>
    <n v="0"/>
    <x v="60"/>
    <n v="100"/>
    <m/>
    <s v="approved"/>
    <n v="42"/>
    <s v="no"/>
    <m/>
    <m/>
    <m/>
    <m/>
    <m/>
    <m/>
    <x v="0"/>
    <x v="233"/>
    <x v="510"/>
    <n v="37614741"/>
    <s v="F-552668-0024-DRE"/>
    <n v="71"/>
    <n v="887.5"/>
    <n v="8"/>
    <m/>
    <s v="20241259-03.10.2024"/>
    <x v="1"/>
    <x v="10"/>
    <x v="1"/>
    <m/>
  </r>
  <r>
    <x v="0"/>
    <x v="0"/>
    <x v="181"/>
    <x v="120"/>
    <x v="145"/>
    <s v="097122220-0000"/>
    <s v="AB"/>
    <n v="12.5"/>
    <n v="170"/>
    <n v="2125"/>
    <x v="192"/>
    <n v="44"/>
    <n v="2024"/>
    <n v="0"/>
    <x v="60"/>
    <n v="100"/>
    <m/>
    <s v="approved"/>
    <n v="42"/>
    <s v="no"/>
    <m/>
    <m/>
    <m/>
    <m/>
    <m/>
    <m/>
    <x v="0"/>
    <x v="244"/>
    <x v="511"/>
    <n v="37841471"/>
    <s v="F-552668-0024-DRE"/>
    <n v="166"/>
    <n v="2075"/>
    <n v="4"/>
    <m/>
    <s v="20241445-18.11.2024"/>
    <x v="1"/>
    <x v="4"/>
    <x v="1"/>
    <m/>
  </r>
  <r>
    <x v="0"/>
    <x v="0"/>
    <x v="182"/>
    <x v="121"/>
    <x v="145"/>
    <s v="097122220-0000"/>
    <s v="AB"/>
    <n v="12.5"/>
    <n v="300"/>
    <n v="3750"/>
    <x v="178"/>
    <n v="51"/>
    <n v="2024"/>
    <n v="0"/>
    <x v="60"/>
    <n v="100"/>
    <m/>
    <s v="approved"/>
    <n v="42"/>
    <s v="no"/>
    <m/>
    <m/>
    <m/>
    <m/>
    <m/>
    <m/>
    <x v="0"/>
    <x v="245"/>
    <x v="512"/>
    <n v="38160988"/>
    <s v="F-552668-0024-DRE"/>
    <n v="296"/>
    <n v="3700"/>
    <n v="4"/>
    <s v="41 pcs cu derogare"/>
    <s v="20250009-10.01.2025"/>
    <x v="1"/>
    <x v="3"/>
    <x v="1"/>
    <m/>
  </r>
  <r>
    <x v="0"/>
    <x v="0"/>
    <x v="183"/>
    <x v="122"/>
    <x v="145"/>
    <s v="097122220-0000"/>
    <s v="AB"/>
    <n v="12.5"/>
    <n v="300"/>
    <n v="3750"/>
    <x v="225"/>
    <n v="7"/>
    <n v="2025"/>
    <n v="0"/>
    <x v="60"/>
    <n v="100"/>
    <m/>
    <s v="approved"/>
    <n v="6.25"/>
    <s v="no"/>
    <m/>
    <m/>
    <m/>
    <m/>
    <m/>
    <m/>
    <x v="0"/>
    <x v="246"/>
    <x v="513"/>
    <n v="38438122"/>
    <s v="F-552668-0024-DRE"/>
    <n v="300"/>
    <n v="3750"/>
    <m/>
    <m/>
    <m/>
    <x v="0"/>
    <x v="7"/>
    <x v="0"/>
    <m/>
  </r>
  <r>
    <x v="0"/>
    <x v="0"/>
    <x v="184"/>
    <x v="123"/>
    <x v="145"/>
    <s v="097122220-0000"/>
    <s v="AB"/>
    <n v="12.5"/>
    <n v="240"/>
    <n v="3000"/>
    <x v="0"/>
    <n v="27"/>
    <n v="2025"/>
    <m/>
    <x v="60"/>
    <m/>
    <m/>
    <m/>
    <m/>
    <m/>
    <m/>
    <m/>
    <m/>
    <m/>
    <m/>
    <m/>
    <x v="0"/>
    <x v="151"/>
    <x v="514"/>
    <n v="39050203"/>
    <s v="F-552668-0024-DRE"/>
    <n v="234"/>
    <n v="2925"/>
    <n v="6"/>
    <m/>
    <s v="20250729-12.06.2025"/>
    <x v="0"/>
    <x v="0"/>
    <x v="0"/>
    <m/>
  </r>
  <r>
    <x v="0"/>
    <x v="0"/>
    <x v="185"/>
    <x v="114"/>
    <x v="146"/>
    <n v="0"/>
    <n v="0"/>
    <n v="17.600000000000001"/>
    <n v="10"/>
    <n v="176"/>
    <x v="218"/>
    <n v="38"/>
    <n v="2024"/>
    <n v="0"/>
    <x v="59"/>
    <n v="0"/>
    <m/>
    <s v="project"/>
    <n v="0.20833333333333334"/>
    <m/>
    <m/>
    <m/>
    <m/>
    <m/>
    <m/>
    <m/>
    <x v="0"/>
    <x v="23"/>
    <x v="4"/>
    <s v=""/>
    <s v=""/>
    <n v="0"/>
    <n v="0"/>
    <m/>
    <m/>
    <m/>
    <x v="1"/>
    <x v="10"/>
    <x v="1"/>
    <m/>
  </r>
  <r>
    <x v="0"/>
    <x v="0"/>
    <x v="186"/>
    <x v="115"/>
    <x v="147"/>
    <s v="097122211-0000"/>
    <s v="AB"/>
    <n v="9.14"/>
    <n v="8"/>
    <n v="73.12"/>
    <x v="34"/>
    <n v="13"/>
    <n v="2024"/>
    <n v="0"/>
    <x v="60"/>
    <n v="200"/>
    <m/>
    <s v="approved"/>
    <n v="42"/>
    <s v="no"/>
    <m/>
    <m/>
    <m/>
    <m/>
    <m/>
    <s v="241607/ 241911"/>
    <x v="0"/>
    <x v="209"/>
    <x v="515"/>
    <n v="36396934"/>
    <s v="F-552668-0044-DRE"/>
    <n v="5"/>
    <n v="45.7"/>
    <m/>
    <m/>
    <s v="20240601-16.05.2024"/>
    <x v="1"/>
    <x v="5"/>
    <x v="1"/>
    <m/>
  </r>
  <r>
    <x v="0"/>
    <x v="0"/>
    <x v="187"/>
    <x v="86"/>
    <x v="147"/>
    <s v="097122211-0000"/>
    <s v="AB"/>
    <n v="9.14"/>
    <n v="200"/>
    <n v="1828"/>
    <x v="226"/>
    <n v="25"/>
    <n v="2024"/>
    <n v="0"/>
    <x v="60"/>
    <n v="200"/>
    <m/>
    <s v="approved"/>
    <n v="42"/>
    <s v="no"/>
    <m/>
    <m/>
    <m/>
    <m/>
    <m/>
    <n v="242701"/>
    <x v="0"/>
    <x v="247"/>
    <x v="516"/>
    <n v="37007025"/>
    <s v="F-552668-0044-DRE"/>
    <n v="198"/>
    <n v="1809.72"/>
    <n v="2"/>
    <m/>
    <s v="20240875-09.07.2024"/>
    <x v="1"/>
    <x v="0"/>
    <x v="1"/>
    <m/>
  </r>
  <r>
    <x v="0"/>
    <x v="0"/>
    <x v="188"/>
    <x v="86"/>
    <x v="147"/>
    <s v="097122211-0000"/>
    <s v="AB"/>
    <n v="9.14"/>
    <n v="200"/>
    <n v="1828"/>
    <x v="212"/>
    <n v="31"/>
    <n v="2024"/>
    <n v="0"/>
    <x v="60"/>
    <n v="200"/>
    <m/>
    <s v="approved"/>
    <n v="42"/>
    <s v="no"/>
    <m/>
    <m/>
    <m/>
    <s v="yes"/>
    <m/>
    <n v="242701"/>
    <x v="0"/>
    <x v="87"/>
    <x v="517"/>
    <n v="37269825"/>
    <s v="F-552668-0044-DRE"/>
    <n v="200"/>
    <n v="1828"/>
    <m/>
    <m/>
    <s v="20241076-19.08.2024"/>
    <x v="1"/>
    <x v="8"/>
    <x v="1"/>
    <m/>
  </r>
  <r>
    <x v="0"/>
    <x v="0"/>
    <x v="189"/>
    <x v="86"/>
    <x v="147"/>
    <s v="097122211-0000"/>
    <s v="AB"/>
    <n v="9.14"/>
    <n v="286"/>
    <n v="2614.04"/>
    <x v="227"/>
    <n v="34"/>
    <n v="2024"/>
    <n v="0"/>
    <x v="60"/>
    <n v="200"/>
    <m/>
    <s v="approved"/>
    <n v="42"/>
    <s v="no"/>
    <m/>
    <m/>
    <m/>
    <m/>
    <m/>
    <m/>
    <x v="0"/>
    <x v="87"/>
    <x v="518"/>
    <n v="37404981"/>
    <s v="F-552668-0044-DRE"/>
    <n v="83"/>
    <n v="758.62"/>
    <n v="3"/>
    <m/>
    <s v="20241077-19.08.2024"/>
    <x v="0"/>
    <x v="9"/>
    <x v="1"/>
    <m/>
  </r>
  <r>
    <x v="0"/>
    <x v="0"/>
    <x v="189"/>
    <x v="86"/>
    <x v="147"/>
    <s v="097122211-0000"/>
    <s v="AB"/>
    <n v="9.14"/>
    <n v="0"/>
    <n v="0"/>
    <x v="227"/>
    <n v="34"/>
    <n v="2024"/>
    <n v="0"/>
    <x v="60"/>
    <n v="200"/>
    <m/>
    <s v="approved"/>
    <n v="42"/>
    <s v="no"/>
    <m/>
    <m/>
    <m/>
    <m/>
    <m/>
    <m/>
    <x v="0"/>
    <x v="211"/>
    <x v="519"/>
    <n v="37404981"/>
    <s v="F-552668-0044-DRE"/>
    <n v="200"/>
    <n v="1828"/>
    <m/>
    <m/>
    <s v="20241086-21.08.2024"/>
    <x v="0"/>
    <x v="9"/>
    <x v="1"/>
    <m/>
  </r>
  <r>
    <x v="0"/>
    <x v="0"/>
    <x v="190"/>
    <x v="119"/>
    <x v="147"/>
    <s v="097122211-0000"/>
    <s v="AB"/>
    <n v="9.14"/>
    <n v="400"/>
    <n v="3656"/>
    <x v="228"/>
    <n v="39"/>
    <n v="2024"/>
    <n v="0"/>
    <x v="60"/>
    <n v="200"/>
    <m/>
    <s v="approved"/>
    <n v="42"/>
    <s v="no"/>
    <m/>
    <m/>
    <m/>
    <m/>
    <m/>
    <m/>
    <x v="0"/>
    <x v="41"/>
    <x v="520"/>
    <n v="37614735"/>
    <s v="F-552668-0044-DRE"/>
    <n v="398"/>
    <n v="3637.7200000000003"/>
    <n v="2"/>
    <m/>
    <s v="20241211-20.09.2024"/>
    <x v="0"/>
    <x v="10"/>
    <x v="1"/>
    <m/>
  </r>
  <r>
    <x v="0"/>
    <x v="0"/>
    <x v="191"/>
    <x v="124"/>
    <x v="147"/>
    <s v="097122211-0000"/>
    <s v="AB"/>
    <n v="9.14"/>
    <n v="493"/>
    <n v="4506.0200000000004"/>
    <x v="221"/>
    <n v="43"/>
    <n v="2024"/>
    <n v="0"/>
    <x v="60"/>
    <n v="200"/>
    <m/>
    <s v="approved"/>
    <n v="42"/>
    <s v="no"/>
    <m/>
    <m/>
    <m/>
    <m/>
    <m/>
    <m/>
    <x v="0"/>
    <x v="52"/>
    <x v="521"/>
    <n v="37783862"/>
    <s v="F-552668-0044-DRE"/>
    <n v="492"/>
    <n v="4496.88"/>
    <n v="1"/>
    <m/>
    <s v="20241436-14.11.2024"/>
    <x v="1"/>
    <x v="11"/>
    <x v="1"/>
    <m/>
  </r>
  <r>
    <x v="0"/>
    <x v="0"/>
    <x v="192"/>
    <x v="121"/>
    <x v="147"/>
    <s v="097122211-0000"/>
    <s v="AB"/>
    <n v="9.14"/>
    <n v="398"/>
    <n v="4003.32"/>
    <x v="229"/>
    <n v="52"/>
    <n v="2024"/>
    <n v="0"/>
    <x v="60"/>
    <n v="200"/>
    <m/>
    <s v="approved"/>
    <n v="42"/>
    <s v="no"/>
    <m/>
    <m/>
    <m/>
    <m/>
    <m/>
    <m/>
    <x v="0"/>
    <x v="248"/>
    <x v="522"/>
    <n v="38160995"/>
    <s v="F-552668-0044-DRE"/>
    <n v="398"/>
    <n v="3637.7200000000003"/>
    <m/>
    <m/>
    <s v="20250062-21.01.2025"/>
    <x v="1"/>
    <x v="3"/>
    <x v="1"/>
    <m/>
  </r>
  <r>
    <x v="0"/>
    <x v="0"/>
    <x v="192"/>
    <x v="121"/>
    <x v="147"/>
    <s v="097122211-0000"/>
    <s v="AB"/>
    <n v="9.14"/>
    <n v="40"/>
    <n v="365.6"/>
    <x v="229"/>
    <n v="52"/>
    <n v="2024"/>
    <n v="0"/>
    <x v="60"/>
    <n v="200"/>
    <m/>
    <s v="approved"/>
    <n v="42"/>
    <s v="no"/>
    <m/>
    <m/>
    <m/>
    <m/>
    <m/>
    <m/>
    <x v="0"/>
    <x v="248"/>
    <x v="523"/>
    <n v="38160995"/>
    <s v="F-552668-0044-DRE"/>
    <n v="40"/>
    <n v="365.6"/>
    <m/>
    <m/>
    <s v="20250063-21.01.2025"/>
    <x v="1"/>
    <x v="3"/>
    <x v="1"/>
    <m/>
  </r>
  <r>
    <x v="0"/>
    <x v="0"/>
    <x v="193"/>
    <x v="118"/>
    <x v="147"/>
    <s v="097122211-0000"/>
    <s v="AB"/>
    <n v="9.14"/>
    <n v="400"/>
    <n v="3656"/>
    <x v="222"/>
    <n v="6"/>
    <n v="2025"/>
    <n v="0"/>
    <x v="60"/>
    <n v="200"/>
    <m/>
    <s v="approved"/>
    <n v="42"/>
    <s v="no"/>
    <m/>
    <m/>
    <m/>
    <m/>
    <m/>
    <m/>
    <x v="0"/>
    <x v="249"/>
    <x v="524"/>
    <n v="38454905"/>
    <s v="F-552668-0044-DRE"/>
    <n v="398"/>
    <n v="3637.7200000000003"/>
    <n v="2"/>
    <m/>
    <s v="20250125-07.02.2025"/>
    <x v="0"/>
    <x v="7"/>
    <x v="0"/>
    <m/>
  </r>
  <r>
    <x v="0"/>
    <x v="0"/>
    <x v="194"/>
    <x v="121"/>
    <x v="147"/>
    <s v="097122211-0000"/>
    <s v="AB"/>
    <n v="9.14"/>
    <n v="367"/>
    <n v="3354.38"/>
    <x v="0"/>
    <n v="27"/>
    <n v="2025"/>
    <n v="0"/>
    <x v="60"/>
    <n v="200"/>
    <m/>
    <s v="approved"/>
    <n v="7.645833333333333"/>
    <m/>
    <m/>
    <m/>
    <m/>
    <m/>
    <m/>
    <m/>
    <x v="0"/>
    <x v="250"/>
    <x v="525"/>
    <n v="39384091"/>
    <s v="F-552668-0044-DRE"/>
    <n v="364"/>
    <n v="3326.96"/>
    <n v="3"/>
    <m/>
    <s v="20250884-08.07.2025"/>
    <x v="1"/>
    <x v="0"/>
    <x v="0"/>
    <m/>
  </r>
  <r>
    <x v="0"/>
    <x v="0"/>
    <x v="195"/>
    <x v="0"/>
    <x v="148"/>
    <s v="Inel exterior"/>
    <n v="0"/>
    <n v="13.44"/>
    <n v="50"/>
    <n v="672"/>
    <x v="230"/>
    <n v="26"/>
    <n v="2025"/>
    <n v="0"/>
    <x v="58"/>
    <n v="0"/>
    <m/>
    <s v="approved"/>
    <n v="0"/>
    <s v="no"/>
    <m/>
    <m/>
    <m/>
    <m/>
    <m/>
    <m/>
    <x v="0"/>
    <x v="178"/>
    <x v="526"/>
    <n v="39517789"/>
    <s v="F-552669-0022"/>
    <n v="50"/>
    <n v="672"/>
    <m/>
    <s v="5 pcs PPAP(AVIZ 25982)"/>
    <s v="BVOLS20250830/30.06.2025"/>
    <x v="0"/>
    <x v="0"/>
    <x v="0"/>
    <m/>
  </r>
  <r>
    <x v="0"/>
    <x v="0"/>
    <x v="195"/>
    <x v="0"/>
    <x v="148"/>
    <s v="Inel exterior"/>
    <n v="0"/>
    <n v="13.44"/>
    <n v="5"/>
    <n v="67.2"/>
    <x v="230"/>
    <n v="26"/>
    <n v="2025"/>
    <n v="0"/>
    <x v="58"/>
    <n v="0"/>
    <m/>
    <s v="approved"/>
    <n v="0"/>
    <s v="no"/>
    <m/>
    <m/>
    <m/>
    <m/>
    <m/>
    <m/>
    <x v="0"/>
    <x v="178"/>
    <x v="527"/>
    <n v="39517789"/>
    <s v="F-552669-0022"/>
    <n v="5"/>
    <n v="67.2"/>
    <m/>
    <s v="20250787-26.06.2025"/>
    <s v="BVOLS20250780/24.06.2025"/>
    <x v="0"/>
    <x v="0"/>
    <x v="0"/>
    <m/>
  </r>
  <r>
    <x v="0"/>
    <x v="0"/>
    <x v="195"/>
    <x v="0"/>
    <x v="148"/>
    <s v="Inel exterior"/>
    <n v="0"/>
    <n v="13.44"/>
    <n v="94"/>
    <n v="1263.3599999999999"/>
    <x v="230"/>
    <n v="26"/>
    <n v="2025"/>
    <n v="0"/>
    <x v="58"/>
    <n v="0"/>
    <m/>
    <s v="approved"/>
    <n v="0"/>
    <s v="no"/>
    <m/>
    <m/>
    <m/>
    <m/>
    <m/>
    <m/>
    <x v="0"/>
    <x v="180"/>
    <x v="528"/>
    <n v="39517789"/>
    <s v="F-552669-0022"/>
    <n v="92"/>
    <n v="1236.48"/>
    <n v="2"/>
    <m/>
    <s v="20250829-30.06.2025"/>
    <x v="0"/>
    <x v="0"/>
    <x v="0"/>
    <m/>
  </r>
  <r>
    <x v="0"/>
    <x v="0"/>
    <x v="196"/>
    <x v="125"/>
    <x v="148"/>
    <s v="Inel exterior"/>
    <n v="0"/>
    <n v="13.44"/>
    <n v="80"/>
    <n v="1075.2"/>
    <x v="201"/>
    <n v="28"/>
    <n v="2025"/>
    <n v="0"/>
    <x v="58"/>
    <n v="0"/>
    <m/>
    <s v="approved"/>
    <n v="0"/>
    <s v="no"/>
    <m/>
    <m/>
    <m/>
    <m/>
    <m/>
    <m/>
    <x v="0"/>
    <x v="196"/>
    <x v="529"/>
    <n v="39584075"/>
    <s v="F-552669-0022"/>
    <n v="80"/>
    <n v="1075.2"/>
    <m/>
    <m/>
    <s v="20250857-04.07.2025"/>
    <x v="0"/>
    <x v="8"/>
    <x v="0"/>
    <m/>
  </r>
  <r>
    <x v="0"/>
    <x v="0"/>
    <x v="197"/>
    <x v="126"/>
    <x v="148"/>
    <s v="Inel exterior"/>
    <n v="0"/>
    <n v="13.44"/>
    <n v="144"/>
    <n v="1935.36"/>
    <x v="223"/>
    <n v="28"/>
    <n v="2025"/>
    <n v="0"/>
    <x v="58"/>
    <n v="0"/>
    <m/>
    <s v="approved"/>
    <n v="0"/>
    <s v="no"/>
    <m/>
    <m/>
    <m/>
    <m/>
    <m/>
    <m/>
    <x v="0"/>
    <x v="251"/>
    <x v="530"/>
    <n v="39601375"/>
    <s v="F-552669-0022"/>
    <n v="144"/>
    <n v="1935.36"/>
    <m/>
    <m/>
    <s v="20250891-09.07.2025"/>
    <x v="0"/>
    <x v="8"/>
    <x v="0"/>
    <m/>
  </r>
  <r>
    <x v="0"/>
    <x v="0"/>
    <x v="197"/>
    <x v="126"/>
    <x v="148"/>
    <s v="Inel exterior"/>
    <n v="0"/>
    <n v="13.44"/>
    <n v="11"/>
    <n v="147.84"/>
    <x v="231"/>
    <n v="29"/>
    <n v="2025"/>
    <n v="0"/>
    <x v="58"/>
    <n v="0"/>
    <m/>
    <s v="approved"/>
    <n v="0"/>
    <s v="no"/>
    <m/>
    <m/>
    <m/>
    <m/>
    <m/>
    <m/>
    <x v="0"/>
    <x v="100"/>
    <x v="531"/>
    <n v="39601375"/>
    <s v="F-552669-0022"/>
    <n v="11"/>
    <n v="147.84"/>
    <n v="1"/>
    <m/>
    <s v="20250895-10.07.2025"/>
    <x v="0"/>
    <x v="8"/>
    <x v="0"/>
    <m/>
  </r>
  <r>
    <x v="0"/>
    <x v="0"/>
    <x v="198"/>
    <x v="127"/>
    <x v="148"/>
    <s v="Inel exterior"/>
    <n v="0"/>
    <n v="13.44"/>
    <n v="220"/>
    <n v="2956.7999999999997"/>
    <x v="232"/>
    <n v="33"/>
    <n v="2025"/>
    <n v="0"/>
    <x v="58"/>
    <n v="0"/>
    <m/>
    <s v="approved"/>
    <n v="4.583333333333333"/>
    <s v="no"/>
    <m/>
    <m/>
    <m/>
    <m/>
    <m/>
    <m/>
    <x v="0"/>
    <x v="23"/>
    <x v="532"/>
    <n v="39812564"/>
    <s v="F-552669-0022"/>
    <n v="220"/>
    <n v="2956.7999999999997"/>
    <m/>
    <m/>
    <s v="20251043-07.08.2025"/>
    <x v="0"/>
    <x v="9"/>
    <x v="0"/>
    <m/>
  </r>
  <r>
    <x v="0"/>
    <x v="0"/>
    <x v="199"/>
    <x v="128"/>
    <x v="148"/>
    <s v="Inel exterior"/>
    <n v="0"/>
    <n v="13.44"/>
    <n v="248"/>
    <n v="3333.12"/>
    <x v="233"/>
    <n v="35"/>
    <n v="2025"/>
    <n v="0"/>
    <x v="58"/>
    <n v="0"/>
    <m/>
    <s v="approved"/>
    <n v="5.166666666666667"/>
    <s v="no"/>
    <m/>
    <m/>
    <m/>
    <m/>
    <m/>
    <m/>
    <x v="0"/>
    <x v="252"/>
    <x v="533"/>
    <n v="39880187"/>
    <s v="F-552669-0022"/>
    <n v="248"/>
    <n v="3333.12"/>
    <m/>
    <m/>
    <s v="20251105-22.08.2025"/>
    <x v="0"/>
    <x v="9"/>
    <x v="0"/>
    <m/>
  </r>
  <r>
    <x v="0"/>
    <x v="1"/>
    <x v="80"/>
    <x v="129"/>
    <x v="148"/>
    <s v="Inel exterior"/>
    <n v="0"/>
    <n v="13.44"/>
    <n v="150"/>
    <n v="2016"/>
    <x v="120"/>
    <n v="44"/>
    <n v="2025"/>
    <n v="0"/>
    <x v="58"/>
    <n v="0"/>
    <m/>
    <s v="approved"/>
    <n v="3.125"/>
    <s v="no"/>
    <m/>
    <m/>
    <m/>
    <m/>
    <m/>
    <m/>
    <x v="1"/>
    <x v="3"/>
    <x v="4"/>
    <s v=""/>
    <s v=""/>
    <m/>
    <n v="0"/>
    <m/>
    <m/>
    <m/>
    <x v="1"/>
    <x v="11"/>
    <x v="0"/>
    <m/>
  </r>
  <r>
    <x v="0"/>
    <x v="1"/>
    <x v="80"/>
    <x v="129"/>
    <x v="148"/>
    <s v="Inel exterior"/>
    <n v="0"/>
    <n v="13.44"/>
    <n v="150"/>
    <n v="2016"/>
    <x v="121"/>
    <n v="49"/>
    <n v="2025"/>
    <n v="0"/>
    <x v="58"/>
    <n v="0"/>
    <m/>
    <s v="approved"/>
    <n v="3.125"/>
    <s v="no"/>
    <m/>
    <m/>
    <m/>
    <m/>
    <m/>
    <m/>
    <x v="1"/>
    <x v="3"/>
    <x v="4"/>
    <s v=""/>
    <s v=""/>
    <m/>
    <n v="0"/>
    <m/>
    <m/>
    <m/>
    <x v="2"/>
    <x v="4"/>
    <x v="0"/>
    <m/>
  </r>
  <r>
    <x v="0"/>
    <x v="1"/>
    <x v="80"/>
    <x v="129"/>
    <x v="148"/>
    <s v="Inel exterior"/>
    <n v="0"/>
    <n v="13.44"/>
    <n v="150"/>
    <n v="2016"/>
    <x v="150"/>
    <n v="51"/>
    <n v="2025"/>
    <n v="0"/>
    <x v="58"/>
    <n v="0"/>
    <m/>
    <s v="approved"/>
    <n v="3.125"/>
    <s v="no"/>
    <m/>
    <m/>
    <m/>
    <m/>
    <m/>
    <m/>
    <x v="1"/>
    <x v="3"/>
    <x v="4"/>
    <s v=""/>
    <s v=""/>
    <m/>
    <n v="0"/>
    <m/>
    <m/>
    <m/>
    <x v="2"/>
    <x v="3"/>
    <x v="0"/>
    <m/>
  </r>
  <r>
    <x v="0"/>
    <x v="0"/>
    <x v="200"/>
    <x v="130"/>
    <x v="149"/>
    <s v="096311223-0000 "/>
    <s v="AG"/>
    <n v="18.239999999999998"/>
    <n v="187"/>
    <n v="3410.8799999999997"/>
    <x v="234"/>
    <n v="15"/>
    <n v="2024"/>
    <n v="0"/>
    <x v="0"/>
    <n v="100"/>
    <m/>
    <s v="approved"/>
    <n v="42"/>
    <s v="no"/>
    <m/>
    <m/>
    <m/>
    <m/>
    <m/>
    <s v="241508/ 241605"/>
    <x v="0"/>
    <x v="58"/>
    <x v="534"/>
    <n v="36528585"/>
    <s v="F-556440-0013.AU.XU-WW1"/>
    <n v="187"/>
    <n v="3410.8799999999997"/>
    <n v="8"/>
    <s v="7 - CU DEROGARE"/>
    <s v="20240385-16.04.2024"/>
    <x v="1"/>
    <x v="1"/>
    <x v="1"/>
    <m/>
  </r>
  <r>
    <x v="0"/>
    <x v="0"/>
    <x v="200"/>
    <x v="130"/>
    <x v="149"/>
    <s v="096311223-0000 "/>
    <s v="AG"/>
    <n v="18.239999999999998"/>
    <n v="8"/>
    <n v="145.91999999999999"/>
    <x v="234"/>
    <n v="15"/>
    <n v="2024"/>
    <n v="0"/>
    <x v="0"/>
    <n v="100"/>
    <m/>
    <s v="approved"/>
    <n v="42"/>
    <s v="no"/>
    <m/>
    <m/>
    <m/>
    <m/>
    <m/>
    <s v="241508/ 241605"/>
    <x v="0"/>
    <x v="59"/>
    <x v="535"/>
    <n v="36528585"/>
    <s v="F-556440-0013.AU.XU-WW1"/>
    <n v="5"/>
    <n v="91.199999999999989"/>
    <m/>
    <s v="4 pcs de validare"/>
    <s v="20240492-30.04.2024"/>
    <x v="1"/>
    <x v="1"/>
    <x v="1"/>
    <m/>
  </r>
  <r>
    <x v="0"/>
    <x v="0"/>
    <x v="201"/>
    <x v="48"/>
    <x v="149"/>
    <s v="096311223-0000 "/>
    <s v="AG"/>
    <n v="18.239999999999998"/>
    <n v="187"/>
    <n v="3410.8799999999997"/>
    <x v="235"/>
    <n v="46"/>
    <n v="2024"/>
    <n v="0"/>
    <x v="0"/>
    <n v="100"/>
    <m/>
    <m/>
    <n v="42"/>
    <m/>
    <m/>
    <m/>
    <m/>
    <m/>
    <m/>
    <m/>
    <x v="0"/>
    <x v="253"/>
    <x v="536"/>
    <n v="37930050"/>
    <s v="F-556440-0013.AU.XU-WW1"/>
    <n v="185"/>
    <n v="3374.3999999999996"/>
    <n v="2"/>
    <m/>
    <s v="20241543-10.12.2024"/>
    <x v="1"/>
    <x v="4"/>
    <x v="1"/>
    <m/>
  </r>
  <r>
    <x v="0"/>
    <x v="0"/>
    <x v="201"/>
    <x v="48"/>
    <x v="149"/>
    <s v="096311223-0000 "/>
    <s v="AG"/>
    <n v="18.239999999999998"/>
    <n v="13"/>
    <n v="237.11999999999998"/>
    <x v="235"/>
    <n v="46"/>
    <n v="2024"/>
    <n v="0"/>
    <x v="0"/>
    <n v="100"/>
    <n v="60"/>
    <s v="approved"/>
    <n v="42"/>
    <s v="no"/>
    <m/>
    <m/>
    <m/>
    <m/>
    <m/>
    <m/>
    <x v="0"/>
    <x v="254"/>
    <x v="537"/>
    <n v="37930050"/>
    <s v="F-556440-0013.AU.XU-WW1"/>
    <n v="13"/>
    <n v="237.11999999999998"/>
    <m/>
    <m/>
    <s v="20241544-11.12.2024"/>
    <x v="1"/>
    <x v="4"/>
    <x v="1"/>
    <m/>
  </r>
  <r>
    <x v="0"/>
    <x v="0"/>
    <x v="202"/>
    <x v="131"/>
    <x v="149"/>
    <s v="096311223-0000 "/>
    <s v="AG"/>
    <n v="18.239999999999998"/>
    <n v="114"/>
    <n v="3465.6"/>
    <x v="76"/>
    <n v="3"/>
    <n v="2025"/>
    <n v="0"/>
    <x v="0"/>
    <n v="100"/>
    <n v="60"/>
    <s v="approved"/>
    <n v="42"/>
    <s v="no"/>
    <m/>
    <m/>
    <m/>
    <m/>
    <m/>
    <m/>
    <x v="0"/>
    <x v="255"/>
    <x v="538"/>
    <n v="38143771"/>
    <s v="F-556440-0013.AU.XU-WW1"/>
    <n v="114"/>
    <n v="2079.3599999999997"/>
    <m/>
    <m/>
    <s v="20250064-22.01.2025"/>
    <x v="1"/>
    <x v="6"/>
    <x v="0"/>
    <m/>
  </r>
  <r>
    <x v="0"/>
    <x v="0"/>
    <x v="202"/>
    <x v="131"/>
    <x v="149"/>
    <s v="096311223-0000 "/>
    <s v="AG"/>
    <n v="18.239999999999998"/>
    <n v="76"/>
    <n v="1386.2399999999998"/>
    <x v="76"/>
    <n v="3"/>
    <n v="2025"/>
    <n v="0"/>
    <x v="0"/>
    <n v="100"/>
    <n v="60"/>
    <s v="approved"/>
    <n v="42"/>
    <s v="no"/>
    <m/>
    <m/>
    <m/>
    <m/>
    <m/>
    <m/>
    <x v="0"/>
    <x v="246"/>
    <x v="539"/>
    <n v="38143771"/>
    <s v="F-556440-0013.AU.XU-WW1"/>
    <n v="75"/>
    <n v="1367.9999999999998"/>
    <n v="1"/>
    <m/>
    <m/>
    <x v="1"/>
    <x v="6"/>
    <x v="0"/>
    <m/>
  </r>
  <r>
    <x v="0"/>
    <x v="0"/>
    <x v="203"/>
    <x v="97"/>
    <x v="149"/>
    <s v="096311223-0000 "/>
    <s v="AG"/>
    <n v="18.239999999999998"/>
    <n v="117"/>
    <n v="2134.08"/>
    <x v="197"/>
    <n v="11"/>
    <n v="2025"/>
    <n v="0"/>
    <x v="0"/>
    <n v="100"/>
    <n v="60"/>
    <s v="approved"/>
    <n v="42"/>
    <s v="no"/>
    <m/>
    <m/>
    <m/>
    <m/>
    <m/>
    <m/>
    <x v="0"/>
    <x v="177"/>
    <x v="540"/>
    <n v="38708616"/>
    <s v="F-556440-0013.AU.XU-WW1"/>
    <n v="117"/>
    <n v="2134.08"/>
    <m/>
    <m/>
    <s v="20250519-16.04.2025"/>
    <x v="1"/>
    <x v="5"/>
    <x v="0"/>
    <m/>
  </r>
  <r>
    <x v="0"/>
    <x v="0"/>
    <x v="203"/>
    <x v="97"/>
    <x v="149"/>
    <s v="096311223-0000 "/>
    <s v="AG"/>
    <n v="18.239999999999998"/>
    <n v="83"/>
    <n v="1513.9199999999998"/>
    <x v="197"/>
    <n v="11"/>
    <n v="2025"/>
    <n v="0"/>
    <x v="0"/>
    <n v="100"/>
    <m/>
    <s v="approved"/>
    <n v="42"/>
    <s v="no"/>
    <m/>
    <m/>
    <m/>
    <m/>
    <m/>
    <m/>
    <x v="0"/>
    <x v="96"/>
    <x v="541"/>
    <n v="38708616"/>
    <s v="F-556440-0013.AU.XU-WW1"/>
    <n v="60"/>
    <n v="1094.3999999999999"/>
    <n v="23"/>
    <m/>
    <s v="20250524-22.04.2025"/>
    <x v="1"/>
    <x v="5"/>
    <x v="0"/>
    <m/>
  </r>
  <r>
    <x v="0"/>
    <x v="0"/>
    <x v="204"/>
    <x v="36"/>
    <x v="150"/>
    <s v="300921586-8011"/>
    <s v="AB"/>
    <n v="5.56"/>
    <n v="100"/>
    <n v="556"/>
    <x v="236"/>
    <n v="15"/>
    <n v="2024"/>
    <n v="0"/>
    <x v="61"/>
    <n v="0"/>
    <m/>
    <s v="approved"/>
    <n v="42"/>
    <s v="no"/>
    <m/>
    <m/>
    <m/>
    <m/>
    <m/>
    <s v="241416"/>
    <x v="0"/>
    <x v="256"/>
    <x v="542"/>
    <n v="36508913"/>
    <s v="F-607694-1038.TK.KWVE20BNL-ISB-WW1"/>
    <n v="52"/>
    <n v="289.12"/>
    <m/>
    <m/>
    <s v="2024324-09.04.2024"/>
    <x v="0"/>
    <x v="1"/>
    <x v="1"/>
    <m/>
  </r>
  <r>
    <x v="0"/>
    <x v="0"/>
    <x v="204"/>
    <x v="36"/>
    <x v="150"/>
    <s v="300921586-8011"/>
    <s v="AB"/>
    <n v="5.56"/>
    <m/>
    <n v="0"/>
    <x v="236"/>
    <n v="15"/>
    <n v="2024"/>
    <n v="0"/>
    <x v="61"/>
    <n v="0"/>
    <m/>
    <s v="approved"/>
    <n v="42"/>
    <m/>
    <m/>
    <m/>
    <m/>
    <m/>
    <m/>
    <m/>
    <x v="0"/>
    <x v="58"/>
    <x v="543"/>
    <n v="36508913"/>
    <s v="F-607694-1038.TK.KWVE20BNL-ISB-WW1"/>
    <n v="48"/>
    <n v="266.88"/>
    <m/>
    <m/>
    <s v="20240389-16.04.2024"/>
    <x v="1"/>
    <x v="1"/>
    <x v="1"/>
    <m/>
  </r>
  <r>
    <x v="0"/>
    <x v="0"/>
    <x v="205"/>
    <x v="30"/>
    <x v="150"/>
    <s v="300921586-8011"/>
    <s v="AB"/>
    <n v="5.56"/>
    <n v="150"/>
    <n v="833.99999999999989"/>
    <x v="97"/>
    <n v="21"/>
    <n v="2024"/>
    <n v="0"/>
    <x v="61"/>
    <n v="0"/>
    <m/>
    <s v="approved"/>
    <n v="42"/>
    <s v="no"/>
    <m/>
    <m/>
    <m/>
    <m/>
    <m/>
    <n v="242201"/>
    <x v="0"/>
    <x v="257"/>
    <x v="544"/>
    <n v="36789862"/>
    <s v="F-607694-1038.TK.KWVE20BNL-ISB-WW1"/>
    <n v="150"/>
    <n v="833.99999999999989"/>
    <m/>
    <m/>
    <s v="20240590-23.05.2024"/>
    <x v="0"/>
    <x v="2"/>
    <x v="1"/>
    <m/>
  </r>
  <r>
    <x v="0"/>
    <x v="0"/>
    <x v="205"/>
    <x v="30"/>
    <x v="150"/>
    <s v="300921586-8011"/>
    <s v="AB"/>
    <n v="5.56"/>
    <n v="150"/>
    <n v="833.99999999999989"/>
    <x v="237"/>
    <n v="21"/>
    <n v="2024"/>
    <n v="0"/>
    <x v="61"/>
    <n v="0"/>
    <m/>
    <s v="approved"/>
    <n v="42"/>
    <s v="no"/>
    <m/>
    <m/>
    <m/>
    <m/>
    <m/>
    <n v="242108"/>
    <x v="0"/>
    <x v="257"/>
    <x v="545"/>
    <n v="36789862"/>
    <s v="F-607694-1038.TK.KWVE20BNL-ISB-WW1"/>
    <n v="132"/>
    <n v="733.92"/>
    <m/>
    <m/>
    <s v="20240591-23.05.2024"/>
    <x v="0"/>
    <x v="2"/>
    <x v="1"/>
    <m/>
  </r>
  <r>
    <x v="0"/>
    <x v="0"/>
    <x v="205"/>
    <x v="30"/>
    <x v="150"/>
    <s v="300921586-8011"/>
    <s v="AB"/>
    <n v="5.56"/>
    <m/>
    <n v="0"/>
    <x v="237"/>
    <n v="21"/>
    <n v="2024"/>
    <n v="0"/>
    <x v="61"/>
    <n v="0"/>
    <m/>
    <s v="approved"/>
    <n v="42"/>
    <m/>
    <m/>
    <m/>
    <m/>
    <m/>
    <m/>
    <m/>
    <x v="0"/>
    <x v="164"/>
    <x v="546"/>
    <n v="36789862"/>
    <s v="F-607694-1038.TK.KWVE20BNL-ISB-WW1"/>
    <n v="18"/>
    <n v="100.08"/>
    <m/>
    <m/>
    <s v="20240596-24.05.2024"/>
    <x v="0"/>
    <x v="2"/>
    <x v="1"/>
    <m/>
  </r>
  <r>
    <x v="0"/>
    <x v="0"/>
    <x v="205"/>
    <x v="30"/>
    <x v="150"/>
    <s v="300921586-8011"/>
    <s v="AB"/>
    <n v="5.56"/>
    <n v="150"/>
    <n v="833.99999999999989"/>
    <x v="238"/>
    <n v="22"/>
    <n v="2024"/>
    <n v="0"/>
    <x v="61"/>
    <n v="0"/>
    <m/>
    <s v="approved"/>
    <n v="42"/>
    <s v="no"/>
    <m/>
    <m/>
    <m/>
    <m/>
    <m/>
    <n v="242108"/>
    <x v="0"/>
    <x v="164"/>
    <x v="546"/>
    <n v="36789862"/>
    <s v="F-607694-1038.TK.KWVE20BNL-ISB-WW1"/>
    <n v="150"/>
    <n v="833.99999999999989"/>
    <m/>
    <m/>
    <m/>
    <x v="0"/>
    <x v="2"/>
    <x v="1"/>
    <m/>
  </r>
  <r>
    <x v="0"/>
    <x v="0"/>
    <x v="206"/>
    <x v="132"/>
    <x v="150"/>
    <s v="300921586-8011"/>
    <s v="AB"/>
    <n v="5.56"/>
    <n v="150"/>
    <n v="833.99999999999989"/>
    <x v="238"/>
    <n v="22"/>
    <n v="2024"/>
    <n v="0"/>
    <x v="61"/>
    <n v="0"/>
    <m/>
    <s v="approved"/>
    <n v="42"/>
    <s v="no"/>
    <m/>
    <m/>
    <m/>
    <m/>
    <m/>
    <n v="242201"/>
    <x v="0"/>
    <x v="258"/>
    <x v="547"/>
    <n v="36854678"/>
    <s v="F-607694-1038.TK.KWVE20BNL-ISB-WW1"/>
    <n v="104"/>
    <n v="578.24"/>
    <m/>
    <m/>
    <s v="20240645-31.05.2024"/>
    <x v="1"/>
    <x v="2"/>
    <x v="1"/>
    <m/>
  </r>
  <r>
    <x v="0"/>
    <x v="0"/>
    <x v="206"/>
    <x v="132"/>
    <x v="150"/>
    <s v="300921586-8011"/>
    <s v="AB"/>
    <n v="5.56"/>
    <m/>
    <n v="0"/>
    <x v="238"/>
    <n v="22"/>
    <n v="2024"/>
    <n v="0"/>
    <x v="61"/>
    <n v="0"/>
    <m/>
    <s v="approved"/>
    <n v="42"/>
    <m/>
    <m/>
    <m/>
    <m/>
    <m/>
    <m/>
    <m/>
    <x v="0"/>
    <x v="259"/>
    <x v="548"/>
    <n v="36854678"/>
    <s v="F-607694-1038.TK.KWVE20BNL-ISB-WW1"/>
    <n v="46"/>
    <n v="255.76"/>
    <m/>
    <m/>
    <s v="20240652-05.06.2024"/>
    <x v="1"/>
    <x v="2"/>
    <x v="1"/>
    <m/>
  </r>
  <r>
    <x v="0"/>
    <x v="0"/>
    <x v="207"/>
    <x v="31"/>
    <x v="150"/>
    <s v="300921586-8011"/>
    <s v="AB"/>
    <n v="5.56"/>
    <n v="100"/>
    <n v="556"/>
    <x v="98"/>
    <n v="23"/>
    <n v="2024"/>
    <n v="0"/>
    <x v="61"/>
    <n v="0"/>
    <m/>
    <s v="approved"/>
    <n v="42"/>
    <s v="no"/>
    <m/>
    <m/>
    <m/>
    <m/>
    <m/>
    <n v="242201"/>
    <x v="0"/>
    <x v="259"/>
    <x v="549"/>
    <n v="36861753"/>
    <s v="F-607694-1038.TK.KWVE20BNL-ISB-WW1"/>
    <n v="100"/>
    <n v="556"/>
    <m/>
    <m/>
    <s v="20240653-05.06.2024"/>
    <x v="0"/>
    <x v="0"/>
    <x v="1"/>
    <m/>
  </r>
  <r>
    <x v="0"/>
    <x v="0"/>
    <x v="207"/>
    <x v="31"/>
    <x v="150"/>
    <s v="300921586-8011"/>
    <s v="AB"/>
    <n v="5.56"/>
    <n v="100"/>
    <n v="556"/>
    <x v="182"/>
    <n v="23"/>
    <n v="2024"/>
    <n v="0"/>
    <x v="61"/>
    <n v="0"/>
    <m/>
    <s v="approved"/>
    <n v="42"/>
    <s v="no"/>
    <m/>
    <m/>
    <m/>
    <m/>
    <m/>
    <s v="242201/242401"/>
    <x v="0"/>
    <x v="218"/>
    <x v="550"/>
    <n v="36861753"/>
    <s v="F-607694-1038.TK.KWVE20BNL-ISB-WW1"/>
    <n v="100"/>
    <n v="556"/>
    <m/>
    <m/>
    <s v="20240654-06.06.2024"/>
    <x v="0"/>
    <x v="0"/>
    <x v="1"/>
    <m/>
  </r>
  <r>
    <x v="0"/>
    <x v="0"/>
    <x v="208"/>
    <x v="31"/>
    <x v="150"/>
    <s v="300921586-8011"/>
    <s v="AB"/>
    <n v="5.56"/>
    <n v="150"/>
    <n v="833.99999999999989"/>
    <x v="99"/>
    <n v="24"/>
    <n v="2024"/>
    <n v="0"/>
    <x v="61"/>
    <n v="0"/>
    <m/>
    <s v="approved"/>
    <n v="42"/>
    <s v="no"/>
    <m/>
    <m/>
    <m/>
    <m/>
    <m/>
    <n v="242401"/>
    <x v="0"/>
    <x v="218"/>
    <x v="551"/>
    <n v="36861770"/>
    <s v="F-607694-1038.TK.KWVE20BNL-ISB-WW1"/>
    <n v="100"/>
    <n v="556"/>
    <m/>
    <m/>
    <s v="20240655-06.06.2024"/>
    <x v="0"/>
    <x v="0"/>
    <x v="1"/>
    <m/>
  </r>
  <r>
    <x v="0"/>
    <x v="0"/>
    <x v="208"/>
    <x v="31"/>
    <x v="150"/>
    <s v="300921586-8011"/>
    <s v="AB"/>
    <n v="5.56"/>
    <m/>
    <n v="0"/>
    <x v="99"/>
    <n v="24"/>
    <n v="2024"/>
    <n v="0"/>
    <x v="61"/>
    <n v="0"/>
    <m/>
    <s v="approved"/>
    <n v="42"/>
    <m/>
    <m/>
    <m/>
    <m/>
    <m/>
    <m/>
    <m/>
    <x v="0"/>
    <x v="260"/>
    <x v="552"/>
    <n v="36861770"/>
    <s v="F-607694-1038.TK.KWVE20BNL-ISB-WW1"/>
    <n v="50"/>
    <n v="278"/>
    <m/>
    <m/>
    <s v="20240666-07.06.2024"/>
    <x v="0"/>
    <x v="0"/>
    <x v="1"/>
    <m/>
  </r>
  <r>
    <x v="0"/>
    <x v="0"/>
    <x v="208"/>
    <x v="31"/>
    <x v="150"/>
    <s v="300921586-8011"/>
    <s v="AB"/>
    <n v="5.56"/>
    <n v="150"/>
    <n v="833.99999999999989"/>
    <x v="239"/>
    <n v="24"/>
    <n v="2024"/>
    <n v="0"/>
    <x v="61"/>
    <n v="0"/>
    <m/>
    <s v="approved"/>
    <n v="42"/>
    <s v="no"/>
    <m/>
    <m/>
    <m/>
    <m/>
    <m/>
    <n v="242401"/>
    <x v="0"/>
    <x v="261"/>
    <x v="553"/>
    <n v="36861770"/>
    <s v="F-607694-1038.TK.KWVE20BNL-ISB-WW1"/>
    <n v="150"/>
    <n v="833.99999999999989"/>
    <m/>
    <m/>
    <s v="20240680-12.06.2024"/>
    <x v="0"/>
    <x v="0"/>
    <x v="1"/>
    <m/>
  </r>
  <r>
    <x v="0"/>
    <x v="0"/>
    <x v="209"/>
    <x v="31"/>
    <x v="150"/>
    <s v="300921586-8011"/>
    <s v="AB"/>
    <n v="5.56"/>
    <n v="150"/>
    <n v="833.99999999999989"/>
    <x v="100"/>
    <n v="25"/>
    <n v="2024"/>
    <n v="0"/>
    <x v="61"/>
    <n v="0"/>
    <m/>
    <s v="approved"/>
    <n v="42"/>
    <s v="no"/>
    <m/>
    <m/>
    <m/>
    <m/>
    <m/>
    <n v="242401"/>
    <x v="0"/>
    <x v="121"/>
    <x v="554"/>
    <n v="36861777"/>
    <s v="F-607694-1038.TK.KWVE20BNL-ISB-WW1"/>
    <n v="94"/>
    <n v="522.64"/>
    <m/>
    <m/>
    <s v="20240686-13.06.2024"/>
    <x v="0"/>
    <x v="0"/>
    <x v="1"/>
    <m/>
  </r>
  <r>
    <x v="0"/>
    <x v="0"/>
    <x v="209"/>
    <x v="31"/>
    <x v="150"/>
    <s v="300921586-8011"/>
    <s v="AB"/>
    <n v="5.56"/>
    <m/>
    <n v="0"/>
    <x v="100"/>
    <n v="25"/>
    <n v="2024"/>
    <n v="0"/>
    <x v="61"/>
    <n v="0"/>
    <m/>
    <s v="approved"/>
    <n v="42"/>
    <m/>
    <m/>
    <m/>
    <m/>
    <m/>
    <m/>
    <m/>
    <x v="0"/>
    <x v="65"/>
    <x v="555"/>
    <n v="36861777"/>
    <s v="F-607694-1038.TK.KWVE20BNL-ISB-WW1"/>
    <n v="56"/>
    <n v="311.35999999999996"/>
    <m/>
    <m/>
    <s v="20240712-18.06.2024"/>
    <x v="0"/>
    <x v="0"/>
    <x v="1"/>
    <m/>
  </r>
  <r>
    <x v="0"/>
    <x v="0"/>
    <x v="209"/>
    <x v="31"/>
    <x v="150"/>
    <s v="300921586-8011"/>
    <s v="AB"/>
    <n v="5.56"/>
    <n v="150"/>
    <n v="833.99999999999989"/>
    <x v="226"/>
    <n v="25"/>
    <n v="2024"/>
    <n v="0"/>
    <x v="61"/>
    <n v="0"/>
    <m/>
    <s v="approved"/>
    <n v="42"/>
    <s v="no"/>
    <m/>
    <m/>
    <m/>
    <m/>
    <m/>
    <n v="242401"/>
    <x v="0"/>
    <x v="65"/>
    <x v="555"/>
    <n v="36861777"/>
    <s v="F-607694-1038.TK.KWVE20BNL-ISB-WW1"/>
    <n v="48"/>
    <n v="266.88"/>
    <m/>
    <m/>
    <m/>
    <x v="0"/>
    <x v="0"/>
    <x v="1"/>
    <m/>
  </r>
  <r>
    <x v="0"/>
    <x v="0"/>
    <x v="209"/>
    <x v="31"/>
    <x v="150"/>
    <s v="300921586-8011"/>
    <s v="AB"/>
    <n v="5.56"/>
    <m/>
    <n v="0"/>
    <x v="226"/>
    <n v="25"/>
    <n v="2024"/>
    <n v="0"/>
    <x v="61"/>
    <n v="0"/>
    <m/>
    <s v="approved"/>
    <n v="42"/>
    <m/>
    <m/>
    <m/>
    <m/>
    <m/>
    <m/>
    <m/>
    <x v="0"/>
    <x v="66"/>
    <x v="556"/>
    <n v="36861777"/>
    <s v="F-607694-1038.TK.KWVE20BNL-ISB-WW1"/>
    <n v="52"/>
    <n v="289.12"/>
    <m/>
    <m/>
    <s v="20240720-19.06.2024"/>
    <x v="0"/>
    <x v="0"/>
    <x v="1"/>
    <m/>
  </r>
  <r>
    <x v="0"/>
    <x v="0"/>
    <x v="209"/>
    <x v="31"/>
    <x v="150"/>
    <s v="300921586-8011"/>
    <s v="AB"/>
    <n v="5.56"/>
    <m/>
    <n v="0"/>
    <x v="226"/>
    <n v="25"/>
    <n v="2024"/>
    <n v="0"/>
    <x v="61"/>
    <n v="0"/>
    <m/>
    <s v="approved"/>
    <n v="42"/>
    <m/>
    <m/>
    <m/>
    <m/>
    <m/>
    <m/>
    <m/>
    <x v="0"/>
    <x v="25"/>
    <x v="557"/>
    <n v="36861777"/>
    <s v="F-607694-1038.TK.KWVE20BNL-ISB-WW1"/>
    <n v="50"/>
    <n v="278"/>
    <m/>
    <m/>
    <s v="20240730-20.06.2024"/>
    <x v="0"/>
    <x v="0"/>
    <x v="1"/>
    <m/>
  </r>
  <r>
    <x v="0"/>
    <x v="0"/>
    <x v="210"/>
    <x v="31"/>
    <x v="150"/>
    <s v="300921586-8011"/>
    <s v="AB"/>
    <n v="5.56"/>
    <n v="150"/>
    <n v="833.99999999999989"/>
    <x v="240"/>
    <n v="26"/>
    <n v="2024"/>
    <n v="0"/>
    <x v="61"/>
    <n v="0"/>
    <m/>
    <s v="approved"/>
    <n v="42"/>
    <s v="no"/>
    <m/>
    <m/>
    <m/>
    <m/>
    <m/>
    <n v="242401"/>
    <x v="0"/>
    <x v="25"/>
    <x v="558"/>
    <n v="36861789"/>
    <s v="F-607694-1038.TK.KWVE20BNL-ISB-WW1"/>
    <n v="150"/>
    <n v="833.99999999999989"/>
    <m/>
    <m/>
    <m/>
    <x v="0"/>
    <x v="0"/>
    <x v="1"/>
    <m/>
  </r>
  <r>
    <x v="0"/>
    <x v="0"/>
    <x v="210"/>
    <x v="31"/>
    <x v="150"/>
    <s v="300921586-8011"/>
    <s v="AB"/>
    <n v="5.56"/>
    <n v="150"/>
    <n v="833.99999999999989"/>
    <x v="180"/>
    <n v="26"/>
    <n v="2024"/>
    <n v="0"/>
    <x v="61"/>
    <n v="0"/>
    <m/>
    <s v="approved"/>
    <n v="42"/>
    <s v="no"/>
    <m/>
    <m/>
    <m/>
    <m/>
    <m/>
    <n v="242401"/>
    <x v="0"/>
    <x v="25"/>
    <x v="558"/>
    <n v="36861789"/>
    <s v="F-607694-1038.TK.KWVE20BNL-ISB-WW1"/>
    <n v="150"/>
    <n v="833.99999999999989"/>
    <m/>
    <m/>
    <s v="20240731-20.06.2024"/>
    <x v="0"/>
    <x v="0"/>
    <x v="1"/>
    <m/>
  </r>
  <r>
    <x v="0"/>
    <x v="0"/>
    <x v="211"/>
    <x v="133"/>
    <x v="150"/>
    <s v="300921586-8011"/>
    <s v="AB"/>
    <n v="5.56"/>
    <n v="250"/>
    <n v="1390"/>
    <x v="241"/>
    <n v="27"/>
    <n v="2024"/>
    <n v="0"/>
    <x v="61"/>
    <n v="0"/>
    <m/>
    <s v="approved"/>
    <n v="42"/>
    <s v="no"/>
    <m/>
    <m/>
    <m/>
    <m/>
    <m/>
    <n v="242712"/>
    <x v="0"/>
    <x v="9"/>
    <x v="559"/>
    <n v="37069482"/>
    <s v="F-607694-1038.TK.KWVE20BNL-ISB-WW1"/>
    <n v="250"/>
    <n v="1390"/>
    <m/>
    <m/>
    <s v="20240820-04.07.2024"/>
    <x v="0"/>
    <x v="8"/>
    <x v="1"/>
    <m/>
  </r>
  <r>
    <x v="0"/>
    <x v="0"/>
    <x v="211"/>
    <x v="133"/>
    <x v="150"/>
    <s v="300921586-8011"/>
    <s v="AB"/>
    <n v="5.56"/>
    <n v="250"/>
    <n v="1390"/>
    <x v="101"/>
    <n v="27"/>
    <n v="2024"/>
    <n v="0"/>
    <x v="61"/>
    <n v="0"/>
    <m/>
    <s v="approved"/>
    <n v="42"/>
    <s v="no"/>
    <m/>
    <m/>
    <m/>
    <m/>
    <m/>
    <s v="242712/242713"/>
    <x v="0"/>
    <x v="262"/>
    <x v="560"/>
    <n v="37069482"/>
    <s v="F-607694-1038.TK.KWVE20BNL-ISB-WW1"/>
    <n v="81"/>
    <n v="450.35999999999996"/>
    <m/>
    <m/>
    <s v="20240847-08.07.2024"/>
    <x v="1"/>
    <x v="8"/>
    <x v="1"/>
    <m/>
  </r>
  <r>
    <x v="0"/>
    <x v="0"/>
    <x v="211"/>
    <x v="133"/>
    <x v="150"/>
    <s v="300921586-8011"/>
    <s v="AB"/>
    <n v="5.56"/>
    <m/>
    <n v="0"/>
    <x v="101"/>
    <n v="27"/>
    <n v="2024"/>
    <n v="0"/>
    <x v="61"/>
    <n v="0"/>
    <m/>
    <s v="approved"/>
    <n v="42"/>
    <m/>
    <m/>
    <m/>
    <m/>
    <m/>
    <m/>
    <m/>
    <x v="0"/>
    <x v="247"/>
    <x v="561"/>
    <n v="37069482"/>
    <s v="F-607694-1038.TK.KWVE20BNL-ISB-WW1"/>
    <n v="98"/>
    <n v="544.88"/>
    <m/>
    <m/>
    <s v="20240865-09.07.2024"/>
    <x v="1"/>
    <x v="8"/>
    <x v="1"/>
    <m/>
  </r>
  <r>
    <x v="0"/>
    <x v="0"/>
    <x v="211"/>
    <x v="133"/>
    <x v="150"/>
    <s v="300921586-8011"/>
    <s v="AB"/>
    <n v="5.56"/>
    <m/>
    <n v="0"/>
    <x v="101"/>
    <n v="27"/>
    <n v="2024"/>
    <n v="0"/>
    <x v="61"/>
    <n v="0"/>
    <m/>
    <s v="approved"/>
    <n v="42"/>
    <m/>
    <m/>
    <m/>
    <m/>
    <m/>
    <m/>
    <m/>
    <x v="0"/>
    <x v="263"/>
    <x v="562"/>
    <n v="37069482"/>
    <s v="F-607694-1038.TK.KWVE20BNL-ISB-WW1"/>
    <n v="71"/>
    <n v="394.76"/>
    <m/>
    <m/>
    <s v="20240866-10.07.2024"/>
    <x v="1"/>
    <x v="8"/>
    <x v="1"/>
    <m/>
  </r>
  <r>
    <x v="0"/>
    <x v="0"/>
    <x v="212"/>
    <x v="133"/>
    <x v="150"/>
    <s v="300921586-8011"/>
    <s v="AB"/>
    <n v="5.56"/>
    <n v="250"/>
    <n v="1390"/>
    <x v="125"/>
    <n v="28"/>
    <n v="2024"/>
    <n v="0"/>
    <x v="61"/>
    <n v="0"/>
    <m/>
    <s v="approved"/>
    <n v="42"/>
    <s v="no"/>
    <m/>
    <m/>
    <m/>
    <m/>
    <m/>
    <n v="242713"/>
    <x v="0"/>
    <x v="263"/>
    <x v="563"/>
    <n v="37069487"/>
    <s v="F-607694-1038.TK.KWVE20BNL-ISB-WW1"/>
    <n v="71"/>
    <n v="394.76"/>
    <m/>
    <m/>
    <s v="20240867-10.07.2024"/>
    <x v="0"/>
    <x v="8"/>
    <x v="1"/>
    <m/>
  </r>
  <r>
    <x v="0"/>
    <x v="0"/>
    <x v="212"/>
    <x v="133"/>
    <x v="150"/>
    <s v="300921586-8011"/>
    <s v="AB"/>
    <n v="5.56"/>
    <m/>
    <n v="0"/>
    <x v="125"/>
    <n v="28"/>
    <n v="2024"/>
    <n v="0"/>
    <x v="61"/>
    <n v="0"/>
    <m/>
    <s v="approved"/>
    <n v="42"/>
    <m/>
    <m/>
    <m/>
    <m/>
    <m/>
    <m/>
    <m/>
    <x v="0"/>
    <x v="264"/>
    <x v="564"/>
    <n v="37069487"/>
    <s v="F-607694-1038.TK.KWVE20BNL-ISB-WW1"/>
    <n v="116"/>
    <n v="644.95999999999992"/>
    <m/>
    <m/>
    <s v="20240868-10.07.2024"/>
    <x v="0"/>
    <x v="8"/>
    <x v="1"/>
    <m/>
  </r>
  <r>
    <x v="0"/>
    <x v="0"/>
    <x v="212"/>
    <x v="133"/>
    <x v="150"/>
    <s v="300921586-8011"/>
    <s v="AB"/>
    <n v="5.56"/>
    <m/>
    <n v="0"/>
    <x v="125"/>
    <n v="28"/>
    <n v="2024"/>
    <n v="0"/>
    <x v="61"/>
    <n v="0"/>
    <m/>
    <s v="approved"/>
    <n v="42"/>
    <m/>
    <m/>
    <m/>
    <m/>
    <m/>
    <m/>
    <m/>
    <x v="0"/>
    <x v="231"/>
    <x v="565"/>
    <n v="37069487"/>
    <s v="F-607694-1038.TK.KWVE20BNL-ISB-WW1"/>
    <n v="63"/>
    <n v="350.28"/>
    <m/>
    <m/>
    <s v="20240871-12.07.2024"/>
    <x v="1"/>
    <x v="8"/>
    <x v="1"/>
    <m/>
  </r>
  <r>
    <x v="0"/>
    <x v="0"/>
    <x v="212"/>
    <x v="133"/>
    <x v="150"/>
    <s v="300921586-8011"/>
    <s v="AB"/>
    <n v="5.56"/>
    <n v="250"/>
    <n v="1390"/>
    <x v="102"/>
    <n v="28"/>
    <n v="2024"/>
    <n v="0"/>
    <x v="61"/>
    <n v="0"/>
    <m/>
    <s v="approved"/>
    <n v="42"/>
    <s v="no"/>
    <m/>
    <m/>
    <m/>
    <m/>
    <m/>
    <m/>
    <x v="0"/>
    <x v="231"/>
    <x v="565"/>
    <n v="37069487"/>
    <s v="F-607694-1038.TK.KWVE20BNL-ISB-WW1"/>
    <n v="47"/>
    <n v="261.32"/>
    <m/>
    <m/>
    <s v="20240871-12.07.2024"/>
    <x v="0"/>
    <x v="8"/>
    <x v="1"/>
    <m/>
  </r>
  <r>
    <x v="0"/>
    <x v="0"/>
    <x v="212"/>
    <x v="133"/>
    <x v="150"/>
    <s v="300921586-8011"/>
    <s v="AB"/>
    <n v="5.56"/>
    <m/>
    <n v="0"/>
    <x v="102"/>
    <n v="28"/>
    <n v="2024"/>
    <n v="0"/>
    <x v="61"/>
    <n v="0"/>
    <m/>
    <s v="approved"/>
    <n v="42"/>
    <m/>
    <m/>
    <m/>
    <m/>
    <m/>
    <m/>
    <m/>
    <x v="0"/>
    <x v="74"/>
    <x v="566"/>
    <n v="37069487"/>
    <s v="F-607694-1038.TK.KWVE20BNL-ISB-WW1"/>
    <n v="46"/>
    <n v="255.76"/>
    <m/>
    <m/>
    <s v="20240888-15.07.2024"/>
    <x v="1"/>
    <x v="8"/>
    <x v="1"/>
    <m/>
  </r>
  <r>
    <x v="0"/>
    <x v="0"/>
    <x v="212"/>
    <x v="133"/>
    <x v="150"/>
    <s v="300921586-8011"/>
    <s v="AB"/>
    <n v="5.56"/>
    <m/>
    <n v="0"/>
    <x v="102"/>
    <n v="28"/>
    <n v="2024"/>
    <n v="0"/>
    <x v="61"/>
    <n v="0"/>
    <m/>
    <s v="approved"/>
    <n v="42"/>
    <m/>
    <m/>
    <m/>
    <m/>
    <m/>
    <m/>
    <m/>
    <x v="0"/>
    <x v="76"/>
    <x v="567"/>
    <n v="37069487"/>
    <s v="F-607694-1038.TK.KWVE20BNL-ISB-WW1"/>
    <n v="157"/>
    <n v="872.92"/>
    <m/>
    <m/>
    <s v="20240897-17.07.2024"/>
    <x v="1"/>
    <x v="8"/>
    <x v="1"/>
    <m/>
  </r>
  <r>
    <x v="0"/>
    <x v="0"/>
    <x v="213"/>
    <x v="32"/>
    <x v="150"/>
    <s v="300921586-8011"/>
    <s v="AB"/>
    <n v="5.56"/>
    <n v="200"/>
    <n v="1112"/>
    <x v="242"/>
    <n v="36"/>
    <n v="2024"/>
    <n v="0"/>
    <x v="61"/>
    <n v="0"/>
    <m/>
    <s v="approved"/>
    <n v="42"/>
    <m/>
    <m/>
    <m/>
    <m/>
    <m/>
    <m/>
    <m/>
    <x v="0"/>
    <x v="39"/>
    <x v="568"/>
    <n v="37521217"/>
    <s v="F-607694-1038.TK.KWVE20BNL-ISB-WW1"/>
    <n v="142"/>
    <n v="789.52"/>
    <m/>
    <m/>
    <s v="20241141-03.09.2024"/>
    <x v="0"/>
    <x v="10"/>
    <x v="1"/>
    <m/>
  </r>
  <r>
    <x v="0"/>
    <x v="0"/>
    <x v="213"/>
    <x v="32"/>
    <x v="150"/>
    <s v="300921586-8011"/>
    <s v="AB"/>
    <n v="5.56"/>
    <n v="0"/>
    <n v="0"/>
    <x v="242"/>
    <n v="36"/>
    <n v="2024"/>
    <n v="0"/>
    <x v="61"/>
    <n v="0"/>
    <m/>
    <s v="approved"/>
    <n v="42"/>
    <m/>
    <m/>
    <m/>
    <m/>
    <m/>
    <m/>
    <m/>
    <x v="0"/>
    <x v="40"/>
    <x v="569"/>
    <n v="37521217"/>
    <s v="F-607694-1038.TK.KWVE20BNL-ISB-WW1"/>
    <n v="58"/>
    <n v="322.47999999999996"/>
    <m/>
    <m/>
    <s v="20241149-05.09.2024"/>
    <x v="1"/>
    <x v="10"/>
    <x v="1"/>
    <m/>
  </r>
  <r>
    <x v="0"/>
    <x v="0"/>
    <x v="213"/>
    <x v="32"/>
    <x v="150"/>
    <s v="300921586-8011"/>
    <s v="AB"/>
    <n v="5.56"/>
    <n v="200"/>
    <n v="1112"/>
    <x v="243"/>
    <n v="37"/>
    <n v="2024"/>
    <n v="0"/>
    <x v="61"/>
    <n v="0"/>
    <m/>
    <s v="approved"/>
    <n v="42"/>
    <m/>
    <m/>
    <m/>
    <m/>
    <m/>
    <m/>
    <m/>
    <x v="0"/>
    <x v="40"/>
    <x v="569"/>
    <n v="37521217"/>
    <s v="F-607694-1038.TK.KWVE20BNL-ISB-WW1"/>
    <n v="44"/>
    <n v="244.64"/>
    <m/>
    <m/>
    <s v="20241149-05.09.2024"/>
    <x v="0"/>
    <x v="10"/>
    <x v="1"/>
    <m/>
  </r>
  <r>
    <x v="0"/>
    <x v="0"/>
    <x v="213"/>
    <x v="32"/>
    <x v="150"/>
    <s v="300921586-8011"/>
    <s v="AB"/>
    <n v="5.56"/>
    <n v="0"/>
    <n v="0"/>
    <x v="243"/>
    <n v="37"/>
    <n v="2024"/>
    <n v="0"/>
    <x v="61"/>
    <n v="0"/>
    <m/>
    <s v="approved"/>
    <n v="42"/>
    <m/>
    <m/>
    <m/>
    <m/>
    <m/>
    <m/>
    <m/>
    <x v="0"/>
    <x v="265"/>
    <x v="570"/>
    <n v="37521217"/>
    <s v="F-607694-1038.TK.KWVE20BNL-ISB-WW1"/>
    <n v="156"/>
    <n v="867.3599999999999"/>
    <m/>
    <m/>
    <s v="20241164-10.09.2024"/>
    <x v="0"/>
    <x v="10"/>
    <x v="1"/>
    <m/>
  </r>
  <r>
    <x v="0"/>
    <x v="0"/>
    <x v="213"/>
    <x v="32"/>
    <x v="150"/>
    <s v="300921586-8011"/>
    <s v="AB"/>
    <n v="5.56"/>
    <n v="200"/>
    <n v="1112"/>
    <x v="218"/>
    <n v="38"/>
    <n v="2024"/>
    <n v="0"/>
    <x v="61"/>
    <n v="0"/>
    <m/>
    <s v="approved"/>
    <n v="42"/>
    <m/>
    <m/>
    <m/>
    <m/>
    <m/>
    <m/>
    <m/>
    <x v="0"/>
    <x v="265"/>
    <x v="570"/>
    <n v="37521217"/>
    <s v="F-607694-1038.TK.KWVE20BNL-ISB-WW1"/>
    <n v="44"/>
    <n v="244.64"/>
    <m/>
    <m/>
    <s v="20241164-10.09.2024"/>
    <x v="0"/>
    <x v="10"/>
    <x v="1"/>
    <m/>
  </r>
  <r>
    <x v="0"/>
    <x v="0"/>
    <x v="213"/>
    <x v="32"/>
    <x v="150"/>
    <s v="300921586-8011"/>
    <s v="AB"/>
    <n v="5.56"/>
    <n v="0"/>
    <n v="0"/>
    <x v="218"/>
    <n v="38"/>
    <n v="2024"/>
    <n v="0"/>
    <x v="61"/>
    <n v="0"/>
    <m/>
    <s v="approved"/>
    <n v="42"/>
    <m/>
    <m/>
    <m/>
    <m/>
    <m/>
    <m/>
    <m/>
    <x v="0"/>
    <x v="266"/>
    <x v="571"/>
    <n v="37521217"/>
    <s v="F-607694-1038.TK.KWVE20BNL-ISB-WW1"/>
    <n v="156"/>
    <n v="867.3599999999999"/>
    <m/>
    <m/>
    <s v="20241187-17.09.2024"/>
    <x v="0"/>
    <x v="10"/>
    <x v="1"/>
    <m/>
  </r>
  <r>
    <x v="0"/>
    <x v="0"/>
    <x v="213"/>
    <x v="32"/>
    <x v="150"/>
    <s v="300921586-8011"/>
    <s v="AB"/>
    <n v="5.56"/>
    <n v="200"/>
    <n v="1112"/>
    <x v="244"/>
    <n v="38"/>
    <n v="2024"/>
    <n v="0"/>
    <x v="61"/>
    <n v="0"/>
    <m/>
    <s v="approved"/>
    <n v="42"/>
    <m/>
    <m/>
    <m/>
    <m/>
    <n v="45512"/>
    <m/>
    <m/>
    <x v="0"/>
    <x v="266"/>
    <x v="571"/>
    <n v="37521217"/>
    <s v="F-607694-1038.TK.KWVE20BNL-ISB-WW1"/>
    <n v="200"/>
    <n v="1112"/>
    <m/>
    <m/>
    <s v="20241187-17.09.2024"/>
    <x v="0"/>
    <x v="10"/>
    <x v="1"/>
    <m/>
  </r>
  <r>
    <x v="0"/>
    <x v="0"/>
    <x v="214"/>
    <x v="12"/>
    <x v="150"/>
    <s v="300921586-8011"/>
    <s v="AB"/>
    <n v="5.56"/>
    <n v="200"/>
    <n v="1112"/>
    <x v="107"/>
    <n v="40"/>
    <n v="2024"/>
    <n v="0"/>
    <x v="61"/>
    <n v="0"/>
    <m/>
    <s v="approved"/>
    <n v="42"/>
    <m/>
    <m/>
    <m/>
    <m/>
    <m/>
    <m/>
    <m/>
    <x v="0"/>
    <x v="88"/>
    <x v="572"/>
    <n v="37672816"/>
    <s v="F-607694-1038.TK.KWVE20BNL-ISB-WW1"/>
    <n v="200"/>
    <n v="1112"/>
    <m/>
    <m/>
    <s v="20241243-30.09.2024"/>
    <x v="0"/>
    <x v="11"/>
    <x v="1"/>
    <m/>
  </r>
  <r>
    <x v="0"/>
    <x v="0"/>
    <x v="215"/>
    <x v="12"/>
    <x v="150"/>
    <s v="300921586-8011"/>
    <s v="AB"/>
    <n v="5.56"/>
    <n v="200"/>
    <n v="1112"/>
    <x v="108"/>
    <n v="41"/>
    <n v="2024"/>
    <n v="0"/>
    <x v="61"/>
    <n v="0"/>
    <m/>
    <s v="approved"/>
    <n v="42"/>
    <m/>
    <m/>
    <m/>
    <m/>
    <m/>
    <m/>
    <m/>
    <x v="0"/>
    <x v="88"/>
    <x v="573"/>
    <n v="37672817"/>
    <s v="F-607694-1038.TK.KWVE20BNL-ISB-WW1"/>
    <n v="162"/>
    <n v="900.71999999999991"/>
    <m/>
    <m/>
    <s v="20241244-30.09.2024"/>
    <x v="0"/>
    <x v="11"/>
    <x v="1"/>
    <m/>
  </r>
  <r>
    <x v="0"/>
    <x v="0"/>
    <x v="215"/>
    <x v="12"/>
    <x v="150"/>
    <s v="300921586-8011"/>
    <s v="AB"/>
    <n v="5.56"/>
    <n v="0"/>
    <n v="0"/>
    <x v="108"/>
    <n v="41"/>
    <n v="2024"/>
    <n v="0"/>
    <x v="61"/>
    <n v="0"/>
    <m/>
    <s v="approved"/>
    <n v="0"/>
    <m/>
    <m/>
    <m/>
    <m/>
    <m/>
    <m/>
    <m/>
    <x v="0"/>
    <x v="8"/>
    <x v="574"/>
    <n v="37672817"/>
    <s v="F-607694-1038.TK.KWVE20BNL-ISB-WW1"/>
    <n v="38"/>
    <n v="211.27999999999997"/>
    <m/>
    <m/>
    <s v="20241311-16.10.2024"/>
    <x v="1"/>
    <x v="11"/>
    <x v="1"/>
    <m/>
  </r>
  <r>
    <x v="0"/>
    <x v="0"/>
    <x v="216"/>
    <x v="12"/>
    <x v="150"/>
    <s v="300921586-8011"/>
    <s v="AB"/>
    <n v="5.56"/>
    <n v="170"/>
    <n v="945.19999999999993"/>
    <x v="245"/>
    <n v="42"/>
    <n v="2024"/>
    <n v="0"/>
    <x v="61"/>
    <n v="0"/>
    <m/>
    <s v="approved"/>
    <n v="42"/>
    <m/>
    <m/>
    <m/>
    <m/>
    <m/>
    <m/>
    <m/>
    <x v="0"/>
    <x v="8"/>
    <x v="575"/>
    <n v="37672818"/>
    <s v="F-607694-1038.TK.KWVE20BNL-ISB-WW1"/>
    <n v="170"/>
    <n v="945.19999999999993"/>
    <m/>
    <m/>
    <s v="20241312-16.10.2024"/>
    <x v="0"/>
    <x v="11"/>
    <x v="1"/>
    <m/>
  </r>
  <r>
    <x v="0"/>
    <x v="0"/>
    <x v="216"/>
    <x v="12"/>
    <x v="150"/>
    <s v="300921586-8011"/>
    <s v="AB"/>
    <n v="5.56"/>
    <n v="30"/>
    <n v="166.79999999999998"/>
    <x v="245"/>
    <n v="42"/>
    <n v="2024"/>
    <n v="0"/>
    <x v="61"/>
    <n v="0"/>
    <n v="60"/>
    <s v="approved"/>
    <n v="42"/>
    <s v="yes"/>
    <m/>
    <m/>
    <m/>
    <m/>
    <m/>
    <m/>
    <x v="0"/>
    <x v="13"/>
    <x v="576"/>
    <n v="37672818"/>
    <s v="F-607694-1038.TK.KWVE20BNL-ISB-WW1"/>
    <n v="30"/>
    <n v="166.79999999999998"/>
    <m/>
    <m/>
    <s v="20241329-18.10.2024"/>
    <x v="1"/>
    <x v="11"/>
    <x v="1"/>
    <m/>
  </r>
  <r>
    <x v="0"/>
    <x v="0"/>
    <x v="217"/>
    <x v="12"/>
    <x v="150"/>
    <s v="300921586-8011"/>
    <s v="AB"/>
    <n v="5.56"/>
    <n v="210"/>
    <n v="1167.5999999999999"/>
    <x v="246"/>
    <n v="43"/>
    <n v="2024"/>
    <n v="0"/>
    <x v="61"/>
    <n v="0"/>
    <n v="60"/>
    <s v="approved"/>
    <n v="42"/>
    <s v="yes"/>
    <m/>
    <m/>
    <m/>
    <m/>
    <m/>
    <m/>
    <x v="0"/>
    <x v="13"/>
    <x v="577"/>
    <n v="37672820"/>
    <s v="F-607694-1038.TK.KWVE20BNL-ISB-WW1"/>
    <n v="210"/>
    <n v="1167.5999999999999"/>
    <m/>
    <m/>
    <s v="20241330-18.10.2024"/>
    <x v="0"/>
    <x v="11"/>
    <x v="1"/>
    <m/>
  </r>
  <r>
    <x v="0"/>
    <x v="0"/>
    <x v="217"/>
    <x v="12"/>
    <x v="150"/>
    <s v="300921586-8011"/>
    <s v="AB"/>
    <n v="5.56"/>
    <n v="240"/>
    <n v="1334.3999999999999"/>
    <x v="246"/>
    <n v="43"/>
    <n v="2024"/>
    <n v="0"/>
    <x v="61"/>
    <n v="0"/>
    <m/>
    <s v="approved"/>
    <n v="42"/>
    <m/>
    <m/>
    <m/>
    <m/>
    <m/>
    <m/>
    <m/>
    <x v="0"/>
    <x v="220"/>
    <x v="578"/>
    <n v="37672820"/>
    <s v="F-607694-1038.TK.KWVE20BNL-ISB-WW1"/>
    <n v="240"/>
    <n v="1334.3999999999999"/>
    <m/>
    <m/>
    <s v="20241337-22.10.2024"/>
    <x v="0"/>
    <x v="11"/>
    <x v="1"/>
    <m/>
  </r>
  <r>
    <x v="0"/>
    <x v="0"/>
    <x v="218"/>
    <x v="12"/>
    <x v="150"/>
    <s v="300921586-8011"/>
    <s v="AB"/>
    <n v="5.56"/>
    <n v="240"/>
    <n v="1334.3999999999999"/>
    <x v="23"/>
    <n v="44"/>
    <n v="2024"/>
    <n v="0"/>
    <x v="61"/>
    <n v="0"/>
    <m/>
    <s v="approved"/>
    <n v="42"/>
    <m/>
    <m/>
    <m/>
    <m/>
    <m/>
    <m/>
    <m/>
    <x v="0"/>
    <x v="267"/>
    <x v="579"/>
    <n v="37672821"/>
    <s v="F-607694-1038.TK.KWVE20BNL-ISB-WW1"/>
    <n v="240"/>
    <n v="1334.3999999999999"/>
    <m/>
    <m/>
    <s v="20241341-25.10.2024"/>
    <x v="0"/>
    <x v="11"/>
    <x v="1"/>
    <m/>
  </r>
  <r>
    <x v="0"/>
    <x v="0"/>
    <x v="218"/>
    <x v="12"/>
    <x v="150"/>
    <s v="300921586-8011"/>
    <s v="AB"/>
    <n v="5.56"/>
    <n v="210"/>
    <n v="1167.5999999999999"/>
    <x v="23"/>
    <n v="44"/>
    <n v="2024"/>
    <n v="0"/>
    <x v="61"/>
    <n v="0"/>
    <m/>
    <s v="approved"/>
    <n v="42"/>
    <m/>
    <m/>
    <m/>
    <m/>
    <m/>
    <m/>
    <m/>
    <x v="0"/>
    <x v="268"/>
    <x v="580"/>
    <n v="37672821"/>
    <s v="F-607694-1038.TK.KWVE20BNL-ISB-WW1"/>
    <n v="210"/>
    <n v="1167.5999999999999"/>
    <m/>
    <m/>
    <s v="20241358-29.10.2024"/>
    <x v="0"/>
    <x v="11"/>
    <x v="1"/>
    <m/>
  </r>
  <r>
    <x v="0"/>
    <x v="0"/>
    <x v="219"/>
    <x v="134"/>
    <x v="150"/>
    <s v="300921586-8011"/>
    <s v="AB"/>
    <n v="5.56"/>
    <n v="63"/>
    <n v="350.28"/>
    <x v="247"/>
    <n v="46"/>
    <n v="2024"/>
    <n v="0"/>
    <x v="61"/>
    <n v="0"/>
    <m/>
    <s v="approved"/>
    <n v="42"/>
    <m/>
    <m/>
    <m/>
    <m/>
    <m/>
    <m/>
    <m/>
    <x v="0"/>
    <x v="269"/>
    <x v="581"/>
    <n v="37935136"/>
    <s v="F-607694-1038.TK.KWVE20BNL-ISB-WW1"/>
    <n v="63"/>
    <n v="350.28"/>
    <m/>
    <m/>
    <s v="20241438-12.11.2024"/>
    <x v="0"/>
    <x v="4"/>
    <x v="1"/>
    <m/>
  </r>
  <r>
    <x v="0"/>
    <x v="0"/>
    <x v="219"/>
    <x v="134"/>
    <x v="150"/>
    <s v="300921586-8011"/>
    <s v="AB"/>
    <n v="5.56"/>
    <n v="137"/>
    <n v="761.71999999999991"/>
    <x v="247"/>
    <n v="46"/>
    <n v="2024"/>
    <n v="0"/>
    <x v="61"/>
    <n v="0"/>
    <m/>
    <s v="approved"/>
    <n v="42"/>
    <s v="no"/>
    <m/>
    <m/>
    <m/>
    <m/>
    <m/>
    <m/>
    <x v="0"/>
    <x v="270"/>
    <x v="582"/>
    <n v="37935136"/>
    <s v="F-607694-1038.TK.KWVE20BNL-ISB-WW1"/>
    <n v="137"/>
    <n v="761.71999999999991"/>
    <m/>
    <m/>
    <s v="20241458-21.11.2024"/>
    <x v="1"/>
    <x v="4"/>
    <x v="1"/>
    <m/>
  </r>
  <r>
    <x v="0"/>
    <x v="0"/>
    <x v="219"/>
    <x v="134"/>
    <x v="150"/>
    <s v="300921586-8011"/>
    <s v="AB"/>
    <n v="5.56"/>
    <n v="22"/>
    <n v="122.32"/>
    <x v="248"/>
    <n v="47"/>
    <n v="2024"/>
    <n v="0"/>
    <x v="61"/>
    <n v="0"/>
    <m/>
    <s v="approved"/>
    <n v="42"/>
    <s v="no"/>
    <m/>
    <m/>
    <m/>
    <m/>
    <m/>
    <m/>
    <x v="0"/>
    <x v="270"/>
    <x v="583"/>
    <n v="37935136"/>
    <s v="F-607694-1038.TK.KWVE20BNL-ISB-WW1"/>
    <n v="22"/>
    <n v="122.32"/>
    <m/>
    <m/>
    <s v="20241454-21.11.2024"/>
    <x v="0"/>
    <x v="4"/>
    <x v="1"/>
    <m/>
  </r>
  <r>
    <x v="0"/>
    <x v="0"/>
    <x v="219"/>
    <x v="134"/>
    <x v="150"/>
    <s v="300921586-8011"/>
    <s v="AB"/>
    <n v="5.56"/>
    <n v="29"/>
    <n v="161.23999999999998"/>
    <x v="248"/>
    <n v="47"/>
    <n v="2024"/>
    <n v="0"/>
    <x v="61"/>
    <n v="0"/>
    <m/>
    <s v="approved"/>
    <n v="42"/>
    <s v="no"/>
    <m/>
    <m/>
    <m/>
    <m/>
    <m/>
    <m/>
    <x v="0"/>
    <x v="270"/>
    <x v="582"/>
    <n v="37935136"/>
    <s v="F-607694-1038.TK.KWVE20BNL-ISB-WW1"/>
    <n v="29"/>
    <n v="161.23999999999998"/>
    <m/>
    <m/>
    <s v="20241458-21.11.2024"/>
    <x v="0"/>
    <x v="4"/>
    <x v="1"/>
    <m/>
  </r>
  <r>
    <x v="0"/>
    <x v="0"/>
    <x v="219"/>
    <x v="134"/>
    <x v="150"/>
    <s v="300921586-8011"/>
    <s v="AB"/>
    <n v="5.56"/>
    <n v="171"/>
    <n v="950.75999999999988"/>
    <x v="248"/>
    <n v="47"/>
    <n v="2024"/>
    <n v="0"/>
    <x v="61"/>
    <n v="0"/>
    <m/>
    <s v="approved"/>
    <n v="42"/>
    <s v="no"/>
    <m/>
    <m/>
    <m/>
    <m/>
    <m/>
    <m/>
    <x v="0"/>
    <x v="270"/>
    <x v="583"/>
    <n v="37935136"/>
    <s v="F-607694-1038.TK.KWVE20BNL-ISB-WW1"/>
    <n v="171"/>
    <n v="950.75999999999988"/>
    <m/>
    <m/>
    <s v="20241454-21.11.2024"/>
    <x v="0"/>
    <x v="4"/>
    <x v="1"/>
    <m/>
  </r>
  <r>
    <x v="0"/>
    <x v="0"/>
    <x v="220"/>
    <x v="32"/>
    <x v="150"/>
    <s v="300921586-8011"/>
    <s v="AB"/>
    <n v="5.56"/>
    <n v="4"/>
    <n v="22.24"/>
    <x v="249"/>
    <n v="48"/>
    <n v="2024"/>
    <n v="0"/>
    <x v="61"/>
    <n v="0"/>
    <m/>
    <s v="approved"/>
    <n v="42"/>
    <s v="no"/>
    <m/>
    <m/>
    <m/>
    <m/>
    <m/>
    <m/>
    <x v="0"/>
    <x v="171"/>
    <x v="584"/>
    <n v="37520907"/>
    <s v="F-607694-1038.TK.KWVE20BNL-ISB-WW1"/>
    <n v="4"/>
    <n v="22.24"/>
    <m/>
    <s v="PPAP"/>
    <s v="20250379-25.03.2025"/>
    <x v="1"/>
    <x v="4"/>
    <x v="1"/>
    <m/>
  </r>
  <r>
    <x v="0"/>
    <x v="0"/>
    <x v="221"/>
    <x v="135"/>
    <x v="150"/>
    <s v="300921586-8011"/>
    <s v="AB"/>
    <n v="5.56"/>
    <n v="230"/>
    <n v="1278.8"/>
    <x v="110"/>
    <n v="49"/>
    <n v="2024"/>
    <n v="0"/>
    <x v="61"/>
    <n v="0"/>
    <m/>
    <s v="approved"/>
    <n v="42"/>
    <s v="no"/>
    <m/>
    <m/>
    <m/>
    <m/>
    <m/>
    <m/>
    <x v="0"/>
    <x v="253"/>
    <x v="585"/>
    <n v="38082577"/>
    <s v="F-607694-1038.TK.KWVE20BNL-ISB-WW1"/>
    <n v="230"/>
    <n v="1278.8"/>
    <m/>
    <m/>
    <s v="20241540-10.12.2024"/>
    <x v="1"/>
    <x v="3"/>
    <x v="1"/>
    <m/>
  </r>
  <r>
    <x v="0"/>
    <x v="0"/>
    <x v="221"/>
    <x v="135"/>
    <x v="150"/>
    <s v="300921586-8011"/>
    <s v="AB"/>
    <n v="5.56"/>
    <n v="120"/>
    <n v="667.19999999999993"/>
    <x v="110"/>
    <n v="49"/>
    <n v="2024"/>
    <n v="0"/>
    <x v="61"/>
    <n v="0"/>
    <m/>
    <s v="approved"/>
    <n v="42"/>
    <m/>
    <m/>
    <m/>
    <m/>
    <m/>
    <m/>
    <m/>
    <x v="0"/>
    <x v="56"/>
    <x v="586"/>
    <n v="38082577"/>
    <s v="F-607694-1038.TK.KWVE20BNL-ISB-WW1"/>
    <n v="120"/>
    <n v="667.19999999999993"/>
    <m/>
    <m/>
    <s v="20241589-17.12.2024"/>
    <x v="1"/>
    <x v="3"/>
    <x v="1"/>
    <m/>
  </r>
  <r>
    <x v="0"/>
    <x v="0"/>
    <x v="221"/>
    <x v="135"/>
    <x v="150"/>
    <s v="300921586-8011"/>
    <s v="AB"/>
    <n v="5.56"/>
    <n v="350"/>
    <n v="1945.9999999999998"/>
    <x v="250"/>
    <n v="50"/>
    <n v="2024"/>
    <n v="0"/>
    <x v="61"/>
    <n v="0"/>
    <m/>
    <s v="approved"/>
    <n v="42"/>
    <m/>
    <m/>
    <m/>
    <m/>
    <m/>
    <m/>
    <m/>
    <x v="0"/>
    <x v="56"/>
    <x v="586"/>
    <n v="38082577"/>
    <s v="F-607694-1038.TK.KWVE20BNL-ISB-WW1"/>
    <n v="350"/>
    <n v="1945.9999999999998"/>
    <m/>
    <m/>
    <s v="20241589-17.12.2024"/>
    <x v="1"/>
    <x v="3"/>
    <x v="1"/>
    <m/>
  </r>
  <r>
    <x v="0"/>
    <x v="0"/>
    <x v="222"/>
    <x v="136"/>
    <x v="150"/>
    <s v="300921586-8011"/>
    <s v="AB"/>
    <n v="5.56"/>
    <n v="111"/>
    <n v="617.16"/>
    <x v="251"/>
    <n v="2"/>
    <n v="2025"/>
    <n v="0"/>
    <x v="61"/>
    <n v="0"/>
    <m/>
    <s v="approved"/>
    <n v="42"/>
    <s v="no"/>
    <m/>
    <m/>
    <m/>
    <m/>
    <m/>
    <m/>
    <x v="0"/>
    <x v="271"/>
    <x v="587"/>
    <n v="38216062"/>
    <s v="F-607694-1038.TK.KWVE20BNL-ISB-WW1"/>
    <n v="111"/>
    <n v="617.16"/>
    <m/>
    <m/>
    <s v="20250004-09.01.2025"/>
    <x v="0"/>
    <x v="6"/>
    <x v="0"/>
    <m/>
  </r>
  <r>
    <x v="0"/>
    <x v="0"/>
    <x v="222"/>
    <x v="136"/>
    <x v="150"/>
    <s v="300921586-8011"/>
    <s v="AB"/>
    <n v="5.56"/>
    <n v="289"/>
    <n v="1606.84"/>
    <x v="251"/>
    <n v="2"/>
    <n v="2025"/>
    <n v="0"/>
    <x v="61"/>
    <n v="0"/>
    <m/>
    <s v="approved"/>
    <n v="42"/>
    <s v="no"/>
    <m/>
    <m/>
    <m/>
    <m/>
    <m/>
    <m/>
    <x v="0"/>
    <x v="245"/>
    <x v="588"/>
    <n v="38216062"/>
    <s v="F-607694-1038.TK.KWVE20BNL-ISB-WW1"/>
    <n v="289"/>
    <n v="1606.84"/>
    <m/>
    <m/>
    <s v="20250011-10.01.2025"/>
    <x v="0"/>
    <x v="6"/>
    <x v="0"/>
    <m/>
  </r>
  <r>
    <x v="0"/>
    <x v="0"/>
    <x v="222"/>
    <x v="136"/>
    <x v="150"/>
    <s v="300921586-8011"/>
    <s v="AB"/>
    <n v="5.56"/>
    <n v="400"/>
    <n v="2224"/>
    <x v="252"/>
    <n v="3"/>
    <n v="2025"/>
    <n v="0"/>
    <x v="61"/>
    <n v="0"/>
    <m/>
    <s v="approved"/>
    <n v="42"/>
    <s v="no"/>
    <m/>
    <m/>
    <m/>
    <m/>
    <m/>
    <m/>
    <x v="0"/>
    <x v="272"/>
    <x v="589"/>
    <n v="38216062"/>
    <s v="F-607694-1038.TK.KWVE20BNL-ISB-WW1"/>
    <n v="400"/>
    <n v="2224"/>
    <m/>
    <m/>
    <s v="20250031-14.01.2025"/>
    <x v="0"/>
    <x v="6"/>
    <x v="0"/>
    <m/>
  </r>
  <r>
    <x v="0"/>
    <x v="0"/>
    <x v="223"/>
    <x v="137"/>
    <x v="150"/>
    <s v="300921586-8011"/>
    <s v="AB"/>
    <n v="5.56"/>
    <n v="194"/>
    <n v="1078.6399999999999"/>
    <x v="253"/>
    <n v="4"/>
    <n v="2025"/>
    <n v="0"/>
    <x v="61"/>
    <n v="0"/>
    <m/>
    <s v="approved"/>
    <n v="42"/>
    <s v="no"/>
    <m/>
    <m/>
    <m/>
    <m/>
    <m/>
    <m/>
    <x v="0"/>
    <x v="242"/>
    <x v="590"/>
    <n v="38397726"/>
    <s v="F-607694-1038.TK.KWVE20BNL-ISB-WW1"/>
    <n v="194"/>
    <n v="1078.6399999999999"/>
    <m/>
    <m/>
    <s v="20250107-31.01.2025"/>
    <x v="1"/>
    <x v="6"/>
    <x v="0"/>
    <m/>
  </r>
  <r>
    <x v="0"/>
    <x v="0"/>
    <x v="223"/>
    <x v="137"/>
    <x v="150"/>
    <s v="300921586-8011"/>
    <s v="AB"/>
    <n v="5.56"/>
    <n v="10"/>
    <n v="55.599999999999994"/>
    <x v="253"/>
    <n v="4"/>
    <n v="2025"/>
    <n v="0"/>
    <x v="61"/>
    <n v="0"/>
    <m/>
    <s v="approved"/>
    <n v="42"/>
    <s v="no"/>
    <m/>
    <m/>
    <m/>
    <m/>
    <m/>
    <m/>
    <x v="0"/>
    <x v="242"/>
    <x v="591"/>
    <n v="38397726"/>
    <s v="F-607694-1038.TK.KWVE20BNL-ISB-WW1"/>
    <n v="10"/>
    <n v="55.599999999999994"/>
    <m/>
    <m/>
    <s v="20250108-31.01.2025"/>
    <x v="1"/>
    <x v="6"/>
    <x v="0"/>
    <m/>
  </r>
  <r>
    <x v="0"/>
    <x v="0"/>
    <x v="223"/>
    <x v="137"/>
    <x v="150"/>
    <s v="300921586-8011"/>
    <s v="AB"/>
    <n v="5.56"/>
    <n v="503"/>
    <n v="2796.68"/>
    <x v="253"/>
    <n v="4"/>
    <n v="2025"/>
    <n v="0"/>
    <x v="61"/>
    <n v="0"/>
    <m/>
    <s v="approved"/>
    <n v="42"/>
    <s v="no"/>
    <m/>
    <m/>
    <m/>
    <m/>
    <m/>
    <m/>
    <x v="0"/>
    <x v="42"/>
    <x v="592"/>
    <n v="38397726"/>
    <s v="F-607694-1038.TK.KWVE20BNL-ISB-WW1"/>
    <n v="503"/>
    <n v="2796.68"/>
    <m/>
    <m/>
    <s v="20250118-07.02.2025"/>
    <x v="1"/>
    <x v="6"/>
    <x v="0"/>
    <m/>
  </r>
  <r>
    <x v="0"/>
    <x v="0"/>
    <x v="223"/>
    <x v="137"/>
    <x v="150"/>
    <s v="300921586-8011"/>
    <s v="AB"/>
    <n v="5.56"/>
    <n v="184"/>
    <n v="1023.04"/>
    <x v="253"/>
    <n v="4"/>
    <n v="2025"/>
    <n v="0"/>
    <x v="61"/>
    <n v="0"/>
    <m/>
    <s v="approved"/>
    <n v="42"/>
    <s v="no"/>
    <m/>
    <m/>
    <m/>
    <m/>
    <s v="Yes"/>
    <m/>
    <x v="0"/>
    <x v="249"/>
    <x v="593"/>
    <n v="38397726"/>
    <s v="F-607694-1038.TK.KWVE20BNL-ISB-WW1"/>
    <n v="184"/>
    <n v="1023.04"/>
    <m/>
    <m/>
    <s v="20250119-07.02.2025"/>
    <x v="1"/>
    <x v="6"/>
    <x v="0"/>
    <m/>
  </r>
  <r>
    <x v="0"/>
    <x v="0"/>
    <x v="223"/>
    <x v="137"/>
    <x v="150"/>
    <s v="300921586-8011"/>
    <s v="AB"/>
    <n v="5.56"/>
    <n v="109"/>
    <n v="606.04"/>
    <x v="253"/>
    <n v="4"/>
    <n v="2025"/>
    <n v="0"/>
    <x v="61"/>
    <n v="0"/>
    <m/>
    <s v="approved"/>
    <n v="42"/>
    <s v="no"/>
    <m/>
    <m/>
    <m/>
    <m/>
    <s v="Yes"/>
    <m/>
    <x v="0"/>
    <x v="273"/>
    <x v="594"/>
    <n v="38397726"/>
    <s v="F-607694-1038.TK.KWVE20BNL-ISB-WW1"/>
    <n v="109"/>
    <n v="606.04"/>
    <m/>
    <m/>
    <s v="20250145-11.02.2025"/>
    <x v="1"/>
    <x v="6"/>
    <x v="0"/>
    <m/>
  </r>
  <r>
    <x v="0"/>
    <x v="0"/>
    <x v="224"/>
    <x v="138"/>
    <x v="150"/>
    <s v="300921586-8011"/>
    <s v="AB"/>
    <n v="5.56"/>
    <n v="140"/>
    <n v="778.4"/>
    <x v="163"/>
    <n v="9"/>
    <n v="2025"/>
    <n v="0"/>
    <x v="61"/>
    <n v="0"/>
    <m/>
    <s v="approved"/>
    <n v="42"/>
    <s v="no"/>
    <m/>
    <m/>
    <m/>
    <m/>
    <m/>
    <m/>
    <x v="0"/>
    <x v="273"/>
    <x v="595"/>
    <n v="38537148"/>
    <s v="F-607694-1038.TK.KWVE20BNL-ISB-WW1"/>
    <n v="140"/>
    <n v="778.4"/>
    <m/>
    <m/>
    <s v="20250146-11.02.2025"/>
    <x v="0"/>
    <x v="7"/>
    <x v="0"/>
    <m/>
  </r>
  <r>
    <x v="0"/>
    <x v="0"/>
    <x v="224"/>
    <x v="138"/>
    <x v="150"/>
    <s v="300921586-8011"/>
    <s v="AB"/>
    <n v="5.56"/>
    <n v="120"/>
    <n v="667.19999999999993"/>
    <x v="163"/>
    <n v="9"/>
    <n v="2025"/>
    <n v="0"/>
    <x v="61"/>
    <n v="0"/>
    <m/>
    <s v="approved"/>
    <n v="42"/>
    <m/>
    <m/>
    <m/>
    <m/>
    <m/>
    <m/>
    <m/>
    <x v="0"/>
    <x v="274"/>
    <x v="596"/>
    <n v="38537148"/>
    <s v="F-607694-1038.TK.KWVE20BNL-ISB-WW1"/>
    <n v="120"/>
    <n v="667.19999999999993"/>
    <m/>
    <m/>
    <s v="20250226-27.02.2025"/>
    <x v="0"/>
    <x v="7"/>
    <x v="0"/>
    <m/>
  </r>
  <r>
    <x v="0"/>
    <x v="0"/>
    <x v="224"/>
    <x v="138"/>
    <x v="150"/>
    <s v="300921586-8011"/>
    <s v="AB"/>
    <n v="5.56"/>
    <n v="280"/>
    <n v="1556.8"/>
    <x v="163"/>
    <n v="9"/>
    <n v="2025"/>
    <n v="0"/>
    <x v="61"/>
    <n v="0"/>
    <m/>
    <s v="approved"/>
    <n v="42"/>
    <s v="no"/>
    <m/>
    <m/>
    <m/>
    <m/>
    <m/>
    <m/>
    <x v="0"/>
    <x v="166"/>
    <x v="597"/>
    <n v="38537148"/>
    <s v="F-607694-1038.TK.KWVE20BNL-ISB-WW1"/>
    <n v="280"/>
    <n v="1556.8"/>
    <m/>
    <m/>
    <s v="20250268-04.03.2025"/>
    <x v="1"/>
    <x v="7"/>
    <x v="0"/>
    <m/>
  </r>
  <r>
    <x v="0"/>
    <x v="0"/>
    <x v="225"/>
    <x v="139"/>
    <x v="150"/>
    <s v="300921586-8011"/>
    <s v="AB"/>
    <n v="5.56"/>
    <n v="75"/>
    <n v="416.99999999999994"/>
    <x v="254"/>
    <n v="10"/>
    <n v="2025"/>
    <m/>
    <x v="61"/>
    <n v="0"/>
    <m/>
    <s v="approved"/>
    <n v="42"/>
    <s v="no"/>
    <m/>
    <m/>
    <m/>
    <m/>
    <m/>
    <m/>
    <x v="0"/>
    <x v="166"/>
    <x v="598"/>
    <n v="38676823"/>
    <s v="F-607694-1038.TK.KWVE20BNL-ISB-WW1"/>
    <n v="75"/>
    <n v="416.99999999999994"/>
    <m/>
    <m/>
    <s v="20250271-04.03.2025"/>
    <x v="0"/>
    <x v="5"/>
    <x v="0"/>
    <m/>
  </r>
  <r>
    <x v="0"/>
    <x v="0"/>
    <x v="225"/>
    <x v="139"/>
    <x v="150"/>
    <s v="300921586-8011"/>
    <s v="AB"/>
    <n v="5.56"/>
    <n v="92"/>
    <n v="511.52"/>
    <x v="254"/>
    <n v="10"/>
    <n v="2025"/>
    <n v="0"/>
    <x v="61"/>
    <n v="0"/>
    <m/>
    <s v="approved"/>
    <n v="42"/>
    <s v="no"/>
    <m/>
    <m/>
    <m/>
    <m/>
    <m/>
    <m/>
    <x v="0"/>
    <x v="169"/>
    <x v="599"/>
    <n v="38676823"/>
    <s v="F-607694-1038.TK.KWVE20BNL-ISB-WW1"/>
    <n v="92"/>
    <n v="511.52"/>
    <m/>
    <m/>
    <s v="20250368-20.03.2025"/>
    <x v="1"/>
    <x v="5"/>
    <x v="0"/>
    <m/>
  </r>
  <r>
    <x v="0"/>
    <x v="0"/>
    <x v="225"/>
    <x v="139"/>
    <x v="150"/>
    <s v="300921586-8011"/>
    <s v="AB"/>
    <n v="5.56"/>
    <n v="82"/>
    <n v="455.91999999999996"/>
    <x v="254"/>
    <n v="10"/>
    <n v="2025"/>
    <n v="0"/>
    <x v="61"/>
    <n v="0"/>
    <m/>
    <s v="approved"/>
    <n v="42"/>
    <s v="no"/>
    <m/>
    <m/>
    <m/>
    <m/>
    <m/>
    <m/>
    <x v="0"/>
    <x v="171"/>
    <x v="600"/>
    <n v="38676823"/>
    <s v="F-607694-1038.TK.KWVE20BNL-ISB-WW1"/>
    <n v="82"/>
    <n v="455.91999999999996"/>
    <m/>
    <m/>
    <s v="20250380-25.03.2025"/>
    <x v="1"/>
    <x v="5"/>
    <x v="0"/>
    <m/>
  </r>
  <r>
    <x v="0"/>
    <x v="0"/>
    <x v="225"/>
    <x v="139"/>
    <x v="150"/>
    <s v="300921586-8011"/>
    <s v="AB"/>
    <n v="5.56"/>
    <n v="32"/>
    <n v="177.92"/>
    <x v="254"/>
    <n v="10"/>
    <n v="2025"/>
    <n v="0"/>
    <x v="61"/>
    <n v="0"/>
    <m/>
    <s v="approved"/>
    <n v="42"/>
    <s v="no"/>
    <m/>
    <m/>
    <m/>
    <m/>
    <m/>
    <m/>
    <x v="0"/>
    <x v="275"/>
    <x v="601"/>
    <n v="38676823"/>
    <s v="F-607694-1038.TK.KWVE20BNL-ISB-WW1"/>
    <n v="32"/>
    <n v="177.92"/>
    <m/>
    <m/>
    <s v="20250404-27.03.2025"/>
    <x v="1"/>
    <x v="5"/>
    <x v="0"/>
    <m/>
  </r>
  <r>
    <x v="0"/>
    <x v="0"/>
    <x v="225"/>
    <x v="139"/>
    <x v="150"/>
    <s v="300921586-8011"/>
    <s v="AB"/>
    <n v="5.56"/>
    <n v="19"/>
    <n v="105.63999999999999"/>
    <x v="254"/>
    <n v="10"/>
    <n v="2025"/>
    <n v="0"/>
    <x v="61"/>
    <n v="0"/>
    <m/>
    <s v="approved"/>
    <n v="42"/>
    <s v="no"/>
    <m/>
    <m/>
    <m/>
    <m/>
    <m/>
    <m/>
    <x v="0"/>
    <x v="276"/>
    <x v="602"/>
    <n v="38676823"/>
    <s v="F-607694-1038.TK.KWVE20BNL-ISB-WW1"/>
    <n v="19"/>
    <n v="105.63999999999999"/>
    <m/>
    <m/>
    <s v="20250450-03.04.2025"/>
    <x v="1"/>
    <x v="5"/>
    <x v="0"/>
    <m/>
  </r>
  <r>
    <x v="0"/>
    <x v="0"/>
    <x v="225"/>
    <x v="139"/>
    <x v="150"/>
    <s v="300921586-8011"/>
    <s v="AB"/>
    <n v="5.56"/>
    <n v="72"/>
    <n v="400.32"/>
    <x v="255"/>
    <n v="11"/>
    <n v="2025"/>
    <n v="0"/>
    <x v="61"/>
    <n v="0"/>
    <m/>
    <s v="approved"/>
    <n v="42"/>
    <s v="no"/>
    <m/>
    <m/>
    <m/>
    <m/>
    <m/>
    <m/>
    <x v="0"/>
    <x v="276"/>
    <x v="602"/>
    <n v="38676823"/>
    <s v="F-607694-1038.TK.KWVE20BNL-ISB-WW1"/>
    <n v="72"/>
    <n v="400.32"/>
    <m/>
    <m/>
    <s v="20250450-03.04.2025"/>
    <x v="1"/>
    <x v="5"/>
    <x v="0"/>
    <m/>
  </r>
  <r>
    <x v="0"/>
    <x v="0"/>
    <x v="225"/>
    <x v="139"/>
    <x v="150"/>
    <s v="300921586-8011"/>
    <s v="AB"/>
    <n v="5.56"/>
    <n v="72"/>
    <n v="400.32"/>
    <x v="255"/>
    <n v="11"/>
    <n v="2025"/>
    <n v="0"/>
    <x v="61"/>
    <n v="0"/>
    <m/>
    <s v="approved"/>
    <n v="42"/>
    <s v="no"/>
    <m/>
    <m/>
    <m/>
    <m/>
    <m/>
    <m/>
    <x v="0"/>
    <x v="277"/>
    <x v="603"/>
    <n v="38676823"/>
    <s v="F-607694-1038.TK.KWVE20BNL-ISB-WW1"/>
    <n v="72"/>
    <n v="400.32"/>
    <m/>
    <m/>
    <s v="20250453-04.04.2025"/>
    <x v="1"/>
    <x v="5"/>
    <x v="0"/>
    <m/>
  </r>
  <r>
    <x v="0"/>
    <x v="0"/>
    <x v="225"/>
    <x v="139"/>
    <x v="150"/>
    <s v="300921586-8011"/>
    <s v="AB"/>
    <n v="5.56"/>
    <n v="149"/>
    <n v="828.43999999999994"/>
    <x v="255"/>
    <n v="11"/>
    <n v="2025"/>
    <n v="0"/>
    <x v="61"/>
    <n v="0"/>
    <m/>
    <s v="approved"/>
    <n v="42"/>
    <s v="no"/>
    <m/>
    <m/>
    <m/>
    <m/>
    <m/>
    <m/>
    <x v="0"/>
    <x v="2"/>
    <x v="604"/>
    <n v="38676823"/>
    <s v="F-607694-1038.TK.KWVE20BNL-ISB-WW1"/>
    <n v="149"/>
    <n v="828.43999999999994"/>
    <m/>
    <m/>
    <s v="20250558-29.04.2025"/>
    <x v="1"/>
    <x v="5"/>
    <x v="0"/>
    <m/>
  </r>
  <r>
    <x v="0"/>
    <x v="0"/>
    <x v="225"/>
    <x v="139"/>
    <x v="150"/>
    <s v="300921586-8011"/>
    <s v="AB"/>
    <n v="5.56"/>
    <n v="89"/>
    <n v="494.84"/>
    <x v="256"/>
    <n v="12"/>
    <n v="2025"/>
    <n v="0"/>
    <x v="61"/>
    <n v="0"/>
    <m/>
    <s v="approved"/>
    <n v="42"/>
    <s v="no"/>
    <m/>
    <m/>
    <m/>
    <m/>
    <m/>
    <m/>
    <x v="0"/>
    <x v="278"/>
    <x v="605"/>
    <n v="38676823"/>
    <s v="F-607694-1038.TK.KWVE20BNL-ISB-WW1"/>
    <n v="89"/>
    <n v="494.84"/>
    <m/>
    <m/>
    <s v="20250567-30.04.2025"/>
    <x v="1"/>
    <x v="5"/>
    <x v="0"/>
    <m/>
  </r>
  <r>
    <x v="0"/>
    <x v="0"/>
    <x v="225"/>
    <x v="139"/>
    <x v="150"/>
    <s v="300921586-8011"/>
    <s v="AB"/>
    <n v="5.56"/>
    <n v="118"/>
    <n v="656.07999999999993"/>
    <x v="256"/>
    <n v="12"/>
    <n v="2025"/>
    <n v="0"/>
    <x v="61"/>
    <n v="0"/>
    <m/>
    <s v="approved"/>
    <n v="42"/>
    <s v="no"/>
    <m/>
    <m/>
    <m/>
    <m/>
    <m/>
    <m/>
    <x v="0"/>
    <x v="99"/>
    <x v="606"/>
    <n v="38676823"/>
    <s v="F-607694-1038.TK.KWVE20BNL-ISB-WW1"/>
    <n v="118"/>
    <n v="656.07999999999993"/>
    <m/>
    <m/>
    <s v="20250581-06.05.2025"/>
    <x v="1"/>
    <x v="5"/>
    <x v="0"/>
    <m/>
  </r>
  <r>
    <x v="0"/>
    <x v="0"/>
    <x v="226"/>
    <x v="46"/>
    <x v="150"/>
    <s v="300921586-8011"/>
    <s v="AB"/>
    <n v="5.56"/>
    <n v="38"/>
    <n v="211.27999999999997"/>
    <x v="257"/>
    <n v="19"/>
    <n v="2025"/>
    <n v="0"/>
    <x v="61"/>
    <n v="0"/>
    <m/>
    <s v="approved"/>
    <n v="42"/>
    <s v="no"/>
    <m/>
    <m/>
    <m/>
    <m/>
    <m/>
    <m/>
    <x v="0"/>
    <x v="99"/>
    <x v="607"/>
    <n v="39072055"/>
    <s v="F-607694-1038.TK.KWVE20BNL-ISB-WW1"/>
    <n v="38"/>
    <n v="211.27999999999997"/>
    <m/>
    <m/>
    <s v="20250582-06.05.2025"/>
    <x v="0"/>
    <x v="2"/>
    <x v="0"/>
    <m/>
  </r>
  <r>
    <x v="0"/>
    <x v="0"/>
    <x v="226"/>
    <x v="46"/>
    <x v="150"/>
    <s v="300921586-8011"/>
    <s v="AB"/>
    <n v="5.56"/>
    <n v="364"/>
    <n v="2023.84"/>
    <x v="129"/>
    <n v="19"/>
    <n v="2025"/>
    <n v="0"/>
    <x v="61"/>
    <n v="0"/>
    <m/>
    <s v="approved"/>
    <n v="42"/>
    <s v="no"/>
    <m/>
    <m/>
    <m/>
    <m/>
    <m/>
    <m/>
    <x v="0"/>
    <x v="91"/>
    <x v="608"/>
    <n v="39072055"/>
    <s v="F-607694-1038.TK.KWVE20BNL-ISB-WW1"/>
    <n v="364"/>
    <n v="2023.84"/>
    <m/>
    <m/>
    <s v="20250592-08.05.2025"/>
    <x v="1"/>
    <x v="2"/>
    <x v="0"/>
    <m/>
  </r>
  <r>
    <x v="0"/>
    <x v="0"/>
    <x v="226"/>
    <x v="46"/>
    <x v="150"/>
    <s v="300921586-8011"/>
    <s v="AB"/>
    <n v="5.56"/>
    <n v="298"/>
    <n v="1656.8799999999999"/>
    <x v="10"/>
    <n v="20"/>
    <n v="2025"/>
    <n v="0"/>
    <x v="61"/>
    <n v="0"/>
    <m/>
    <s v="approved"/>
    <n v="42"/>
    <s v="no"/>
    <m/>
    <m/>
    <m/>
    <m/>
    <m/>
    <m/>
    <x v="0"/>
    <x v="141"/>
    <x v="609"/>
    <n v="39072055"/>
    <s v="F-607694-1038.TK.KWVE20BNL-ISB-WW1"/>
    <n v="298"/>
    <n v="1656.8799999999999"/>
    <m/>
    <m/>
    <s v="20250612-13.05.2025"/>
    <x v="0"/>
    <x v="2"/>
    <x v="0"/>
    <m/>
  </r>
  <r>
    <x v="0"/>
    <x v="0"/>
    <x v="226"/>
    <x v="46"/>
    <x v="150"/>
    <s v="300921586-8011"/>
    <s v="AB"/>
    <n v="5.56"/>
    <n v="112"/>
    <n v="622.71999999999991"/>
    <x v="258"/>
    <n v="21"/>
    <n v="2025"/>
    <n v="0"/>
    <x v="61"/>
    <n v="0"/>
    <m/>
    <s v="approved"/>
    <n v="42"/>
    <s v="no"/>
    <m/>
    <m/>
    <m/>
    <m/>
    <m/>
    <m/>
    <x v="0"/>
    <x v="141"/>
    <x v="610"/>
    <n v="39072055"/>
    <s v="F-607694-1038.TK.KWVE20BNL-ISB-WW1"/>
    <n v="112"/>
    <n v="622.71999999999991"/>
    <m/>
    <m/>
    <s v="20250614-13.05.2025"/>
    <x v="0"/>
    <x v="2"/>
    <x v="0"/>
    <m/>
  </r>
  <r>
    <x v="0"/>
    <x v="0"/>
    <x v="226"/>
    <x v="46"/>
    <x v="150"/>
    <s v="300921586-8011"/>
    <s v="AB"/>
    <n v="5.56"/>
    <n v="317"/>
    <n v="1762.52"/>
    <x v="258"/>
    <n v="21"/>
    <n v="2025"/>
    <n v="0"/>
    <x v="61"/>
    <n v="0"/>
    <m/>
    <s v="approved"/>
    <n v="42"/>
    <s v="no"/>
    <m/>
    <m/>
    <m/>
    <m/>
    <m/>
    <m/>
    <x v="0"/>
    <x v="279"/>
    <x v="611"/>
    <n v="39072055"/>
    <s v="F-607694-1038.TK.KWVE20BNL-ISB-WW1"/>
    <n v="317"/>
    <n v="1762.52"/>
    <m/>
    <m/>
    <s v="20250621-15.05.2025"/>
    <x v="0"/>
    <x v="2"/>
    <x v="0"/>
    <m/>
  </r>
  <r>
    <x v="0"/>
    <x v="0"/>
    <x v="226"/>
    <x v="46"/>
    <x v="150"/>
    <s v="300921586-8011"/>
    <s v="AB"/>
    <n v="5.56"/>
    <n v="224"/>
    <n v="1245.4399999999998"/>
    <x v="259"/>
    <n v="22"/>
    <n v="2025"/>
    <n v="0"/>
    <x v="61"/>
    <n v="0"/>
    <m/>
    <s v="approved"/>
    <n v="42"/>
    <s v="no"/>
    <m/>
    <m/>
    <m/>
    <m/>
    <m/>
    <m/>
    <x v="0"/>
    <x v="144"/>
    <x v="612"/>
    <n v="39072055"/>
    <s v="F-607694-1038.TK.KWVE20BNL-ISB-WW1"/>
    <n v="224"/>
    <n v="1245.4399999999998"/>
    <m/>
    <m/>
    <s v="20250637-20.05.2025"/>
    <x v="0"/>
    <x v="2"/>
    <x v="0"/>
    <m/>
  </r>
  <r>
    <x v="0"/>
    <x v="0"/>
    <x v="226"/>
    <x v="46"/>
    <x v="150"/>
    <s v="300921586-8011"/>
    <s v="AB"/>
    <n v="5.56"/>
    <n v="47"/>
    <n v="261.32"/>
    <x v="259"/>
    <n v="22"/>
    <n v="2025"/>
    <n v="0"/>
    <x v="61"/>
    <n v="0"/>
    <m/>
    <s v="approved"/>
    <n v="42"/>
    <s v="no"/>
    <m/>
    <m/>
    <m/>
    <m/>
    <m/>
    <m/>
    <x v="0"/>
    <x v="280"/>
    <x v="613"/>
    <n v="39072055"/>
    <s v="F-607694-1038.TK.KWVE20BNL-ISB-WW1"/>
    <n v="47"/>
    <n v="261.32"/>
    <m/>
    <m/>
    <s v="20250642-22.05.2025"/>
    <x v="0"/>
    <x v="2"/>
    <x v="0"/>
    <m/>
  </r>
  <r>
    <x v="0"/>
    <x v="0"/>
    <x v="227"/>
    <x v="46"/>
    <x v="150"/>
    <s v="300921586-8011"/>
    <s v="AB"/>
    <n v="5.56"/>
    <n v="114"/>
    <n v="633.83999999999992"/>
    <x v="168"/>
    <n v="23"/>
    <n v="2025"/>
    <n v="0"/>
    <x v="61"/>
    <n v="0"/>
    <m/>
    <s v="approved"/>
    <n v="42"/>
    <s v="no"/>
    <m/>
    <m/>
    <m/>
    <m/>
    <m/>
    <m/>
    <x v="0"/>
    <x v="180"/>
    <x v="614"/>
    <n v="39319603"/>
    <s v="F-607694-1038.TK.KWVE20BNL-ISB-WW1"/>
    <n v="114"/>
    <n v="633.83999999999992"/>
    <m/>
    <m/>
    <s v="20250823-30.06.2025"/>
    <x v="1"/>
    <x v="0"/>
    <x v="0"/>
    <m/>
  </r>
  <r>
    <x v="0"/>
    <x v="0"/>
    <x v="227"/>
    <x v="46"/>
    <x v="150"/>
    <s v="300921586-8011"/>
    <s v="AB"/>
    <n v="5.56"/>
    <n v="151"/>
    <n v="839.56"/>
    <x v="168"/>
    <n v="23"/>
    <n v="2025"/>
    <n v="0"/>
    <x v="61"/>
    <n v="0"/>
    <m/>
    <s v="approved"/>
    <n v="42"/>
    <s v="no"/>
    <m/>
    <m/>
    <m/>
    <m/>
    <m/>
    <m/>
    <x v="0"/>
    <x v="12"/>
    <x v="615"/>
    <n v="39319603"/>
    <s v="F-607694-1038.TK.KWVE20BNL-ISB-WW1"/>
    <n v="151"/>
    <n v="839.56"/>
    <m/>
    <m/>
    <s v="20250825-30.06.2025"/>
    <x v="1"/>
    <x v="0"/>
    <x v="0"/>
    <m/>
  </r>
  <r>
    <x v="0"/>
    <x v="0"/>
    <x v="227"/>
    <x v="46"/>
    <x v="150"/>
    <s v="300921586-8011"/>
    <s v="AB"/>
    <n v="5.56"/>
    <n v="363"/>
    <n v="2018.2799999999997"/>
    <x v="168"/>
    <n v="23"/>
    <n v="2025"/>
    <n v="0"/>
    <x v="61"/>
    <n v="0"/>
    <m/>
    <s v="approved"/>
    <n v="42"/>
    <s v="no"/>
    <m/>
    <m/>
    <m/>
    <m/>
    <m/>
    <m/>
    <x v="0"/>
    <x v="196"/>
    <x v="616"/>
    <n v="39319603"/>
    <s v="F-607694-1038.TK.KWVE20BNL-ISB-WW1"/>
    <n v="363"/>
    <n v="2018.2799999999997"/>
    <m/>
    <m/>
    <s v="20250862-04.07.2025"/>
    <x v="1"/>
    <x v="0"/>
    <x v="0"/>
    <m/>
  </r>
  <r>
    <x v="0"/>
    <x v="0"/>
    <x v="227"/>
    <x v="46"/>
    <x v="150"/>
    <s v="300921586-8011"/>
    <s v="AB"/>
    <n v="5.56"/>
    <n v="166"/>
    <n v="922.95999999999992"/>
    <x v="260"/>
    <n v="24"/>
    <n v="2025"/>
    <n v="0"/>
    <x v="61"/>
    <n v="0"/>
    <m/>
    <s v="approved"/>
    <n v="42"/>
    <s v="no"/>
    <m/>
    <m/>
    <m/>
    <m/>
    <m/>
    <m/>
    <x v="0"/>
    <x v="129"/>
    <x v="617"/>
    <n v="39319603"/>
    <s v="F-607694-1038.TK.KWVE20BNL-ISB-WW1"/>
    <n v="166"/>
    <n v="922.95999999999992"/>
    <m/>
    <m/>
    <s v="20250867-07.07.2025"/>
    <x v="1"/>
    <x v="0"/>
    <x v="0"/>
    <m/>
  </r>
  <r>
    <x v="0"/>
    <x v="0"/>
    <x v="227"/>
    <x v="46"/>
    <x v="150"/>
    <s v="300921586-8011"/>
    <s v="AB"/>
    <n v="5.56"/>
    <n v="168"/>
    <n v="934.07999999999993"/>
    <x v="260"/>
    <n v="24"/>
    <n v="2025"/>
    <n v="0"/>
    <x v="61"/>
    <n v="0"/>
    <m/>
    <s v="approved"/>
    <n v="42"/>
    <s v="no"/>
    <m/>
    <m/>
    <m/>
    <m/>
    <m/>
    <m/>
    <x v="0"/>
    <x v="250"/>
    <x v="618"/>
    <n v="39319603"/>
    <s v="F-607694-1038.TK.KWVE20BNL-ISB-WW1"/>
    <n v="168"/>
    <n v="934.07999999999993"/>
    <m/>
    <m/>
    <s v="20250886-08.07.2025"/>
    <x v="1"/>
    <x v="0"/>
    <x v="0"/>
    <m/>
  </r>
  <r>
    <x v="0"/>
    <x v="0"/>
    <x v="227"/>
    <x v="46"/>
    <x v="150"/>
    <s v="300921586-8011"/>
    <s v="AB"/>
    <n v="5.56"/>
    <n v="134"/>
    <n v="745.04"/>
    <x v="260"/>
    <n v="24"/>
    <n v="2025"/>
    <n v="0"/>
    <x v="61"/>
    <n v="0"/>
    <m/>
    <s v="approved"/>
    <n v="42"/>
    <s v="no"/>
    <m/>
    <m/>
    <m/>
    <m/>
    <m/>
    <m/>
    <x v="0"/>
    <x v="251"/>
    <x v="619"/>
    <n v="39319603"/>
    <s v="F-607694-1038.TK.KWVE20BNL-ISB-WW1"/>
    <n v="134"/>
    <n v="745.04"/>
    <m/>
    <m/>
    <s v="20250890-09.07.2025"/>
    <x v="1"/>
    <x v="0"/>
    <x v="0"/>
    <m/>
  </r>
  <r>
    <x v="0"/>
    <x v="0"/>
    <x v="228"/>
    <x v="140"/>
    <x v="150"/>
    <s v="300921586-8011"/>
    <s v="AB"/>
    <n v="5.56"/>
    <n v="352"/>
    <n v="1957.12"/>
    <x v="261"/>
    <n v="25"/>
    <n v="2025"/>
    <n v="0"/>
    <x v="61"/>
    <n v="0"/>
    <m/>
    <s v="approved"/>
    <n v="42"/>
    <s v="no"/>
    <m/>
    <m/>
    <m/>
    <m/>
    <m/>
    <m/>
    <x v="0"/>
    <x v="181"/>
    <x v="620"/>
    <n v="39536241"/>
    <s v="F-607694-1038.TK.KWVE20BNL-ISB-WW1"/>
    <n v="352"/>
    <n v="1957.12"/>
    <m/>
    <m/>
    <s v="20250918-15.07.2025"/>
    <x v="1"/>
    <x v="0"/>
    <x v="0"/>
    <m/>
  </r>
  <r>
    <x v="0"/>
    <x v="0"/>
    <x v="228"/>
    <x v="140"/>
    <x v="150"/>
    <s v="300921586-8011"/>
    <s v="AB"/>
    <n v="5.56"/>
    <n v="208"/>
    <n v="1156.48"/>
    <x v="261"/>
    <n v="25"/>
    <n v="2025"/>
    <n v="0"/>
    <x v="61"/>
    <n v="0"/>
    <m/>
    <s v="approved"/>
    <n v="42"/>
    <s v="no"/>
    <m/>
    <m/>
    <m/>
    <m/>
    <m/>
    <m/>
    <x v="0"/>
    <x v="239"/>
    <x v="621"/>
    <n v="39536241"/>
    <s v="F-607694-1038.TK.KWVE20BNL-ISB-WW1"/>
    <n v="208"/>
    <n v="1156.48"/>
    <m/>
    <m/>
    <s v="20250936-17.07.2025"/>
    <x v="1"/>
    <x v="0"/>
    <x v="0"/>
    <m/>
  </r>
  <r>
    <x v="0"/>
    <x v="0"/>
    <x v="227"/>
    <x v="46"/>
    <x v="150"/>
    <s v="300921586-8011"/>
    <s v="AB"/>
    <n v="5.56"/>
    <n v="106"/>
    <n v="589.36"/>
    <x v="262"/>
    <n v="25"/>
    <n v="2025"/>
    <n v="0"/>
    <x v="61"/>
    <n v="0"/>
    <m/>
    <s v="approved"/>
    <n v="42"/>
    <s v="no"/>
    <m/>
    <m/>
    <m/>
    <m/>
    <m/>
    <m/>
    <x v="0"/>
    <x v="100"/>
    <x v="622"/>
    <n v="39319603"/>
    <s v="F-607694-1038.TK.KWVE20BNL-ISB-WW1"/>
    <n v="106"/>
    <n v="589.36"/>
    <m/>
    <m/>
    <s v="20250898-10.07.2025"/>
    <x v="1"/>
    <x v="0"/>
    <x v="0"/>
    <m/>
  </r>
  <r>
    <x v="0"/>
    <x v="0"/>
    <x v="227"/>
    <x v="46"/>
    <x v="150"/>
    <s v="300921586-8011"/>
    <s v="AB"/>
    <n v="5.56"/>
    <n v="187"/>
    <n v="1039.72"/>
    <x v="262"/>
    <n v="25"/>
    <n v="2025"/>
    <n v="0"/>
    <x v="61"/>
    <n v="0"/>
    <m/>
    <s v="approved"/>
    <n v="42"/>
    <s v="no"/>
    <m/>
    <m/>
    <m/>
    <m/>
    <m/>
    <m/>
    <x v="0"/>
    <x v="281"/>
    <x v="623"/>
    <n v="39319603"/>
    <s v="F-607694-1038.TK.KWVE20BNL-ISB-WW1"/>
    <n v="187"/>
    <n v="1039.72"/>
    <m/>
    <m/>
    <s v="20250902-11.07.2025"/>
    <x v="1"/>
    <x v="0"/>
    <x v="0"/>
    <m/>
  </r>
  <r>
    <x v="0"/>
    <x v="0"/>
    <x v="227"/>
    <x v="46"/>
    <x v="150"/>
    <s v="300921586-8011"/>
    <s v="AB"/>
    <n v="5.56"/>
    <n v="208"/>
    <n v="1156.48"/>
    <x v="262"/>
    <n v="25"/>
    <n v="2025"/>
    <n v="0"/>
    <x v="61"/>
    <n v="0"/>
    <m/>
    <s v="approved"/>
    <n v="42"/>
    <s v="no"/>
    <m/>
    <m/>
    <m/>
    <m/>
    <m/>
    <m/>
    <x v="0"/>
    <x v="282"/>
    <x v="624"/>
    <n v="39319603"/>
    <s v="F-607694-1038.TK.KWVE20BNL-ISB-WW1"/>
    <n v="208"/>
    <n v="1156.48"/>
    <m/>
    <m/>
    <s v="20250915-14.07.2025"/>
    <x v="1"/>
    <x v="0"/>
    <x v="0"/>
    <m/>
  </r>
  <r>
    <x v="0"/>
    <x v="0"/>
    <x v="228"/>
    <x v="111"/>
    <x v="150"/>
    <s v="300921586-8011"/>
    <s v="AB"/>
    <n v="5.56"/>
    <n v="96"/>
    <n v="533.76"/>
    <x v="263"/>
    <n v="26"/>
    <n v="2025"/>
    <n v="0"/>
    <x v="61"/>
    <n v="0"/>
    <m/>
    <s v="approved"/>
    <n v="42"/>
    <s v="no"/>
    <m/>
    <m/>
    <m/>
    <m/>
    <m/>
    <m/>
    <x v="0"/>
    <x v="197"/>
    <x v="625"/>
    <n v="39536241"/>
    <s v="F-607694-1038.TK.KWVE20BNL-ISB-WW1"/>
    <n v="96"/>
    <n v="533.76"/>
    <m/>
    <m/>
    <s v="20250981-25.07.2025"/>
    <x v="1"/>
    <x v="0"/>
    <x v="0"/>
    <m/>
  </r>
  <r>
    <x v="0"/>
    <x v="0"/>
    <x v="229"/>
    <x v="111"/>
    <x v="150"/>
    <s v="300921586-8011"/>
    <s v="AB"/>
    <n v="5.56"/>
    <n v="152"/>
    <n v="845.11999999999989"/>
    <x v="264"/>
    <n v="32"/>
    <n v="2025"/>
    <n v="0"/>
    <x v="61"/>
    <n v="0"/>
    <m/>
    <s v="approved"/>
    <n v="42"/>
    <s v="no"/>
    <m/>
    <m/>
    <m/>
    <m/>
    <m/>
    <m/>
    <x v="0"/>
    <x v="23"/>
    <x v="626"/>
    <n v="39726789"/>
    <s v="F-607694-1038.TK.KWVE20BNL-ISB-WW1"/>
    <n v="152"/>
    <n v="845.11999999999989"/>
    <m/>
    <m/>
    <s v="20251041-07.08.2025"/>
    <x v="0"/>
    <x v="9"/>
    <x v="0"/>
    <m/>
  </r>
  <r>
    <x v="0"/>
    <x v="0"/>
    <x v="229"/>
    <x v="111"/>
    <x v="150"/>
    <s v="300921586-8011"/>
    <s v="AB"/>
    <n v="5.56"/>
    <n v="48"/>
    <n v="266.88"/>
    <x v="264"/>
    <n v="32"/>
    <n v="2025"/>
    <n v="0"/>
    <x v="61"/>
    <n v="0"/>
    <m/>
    <s v="approved"/>
    <n v="42"/>
    <s v="no"/>
    <m/>
    <m/>
    <m/>
    <m/>
    <m/>
    <m/>
    <x v="0"/>
    <x v="203"/>
    <x v="627"/>
    <n v="39726789"/>
    <s v="F-607694-1038.TK.KWVE20BNL-ISB-WW1"/>
    <m/>
    <n v="0"/>
    <m/>
    <m/>
    <s v="20251048-08.08.2025"/>
    <x v="0"/>
    <x v="9"/>
    <x v="0"/>
    <m/>
  </r>
  <r>
    <x v="0"/>
    <x v="0"/>
    <x v="229"/>
    <x v="111"/>
    <x v="150"/>
    <s v="300921586-8011"/>
    <s v="AB"/>
    <n v="5.56"/>
    <n v="200"/>
    <n v="1112"/>
    <x v="265"/>
    <n v="33"/>
    <n v="2025"/>
    <n v="0"/>
    <x v="61"/>
    <n v="0"/>
    <m/>
    <s v="approved"/>
    <n v="42"/>
    <s v="no"/>
    <m/>
    <m/>
    <m/>
    <m/>
    <m/>
    <m/>
    <x v="0"/>
    <x v="203"/>
    <x v="627"/>
    <n v="39726789"/>
    <s v="F-607694-1038.TK.KWVE20BNL-ISB-WW1"/>
    <m/>
    <n v="0"/>
    <m/>
    <m/>
    <s v="20251048-08.08.2025"/>
    <x v="0"/>
    <x v="9"/>
    <x v="0"/>
    <m/>
  </r>
  <r>
    <x v="0"/>
    <x v="0"/>
    <x v="229"/>
    <x v="111"/>
    <x v="150"/>
    <s v="300921586-8011"/>
    <s v="AB"/>
    <n v="5.56"/>
    <n v="200"/>
    <n v="1112"/>
    <x v="92"/>
    <n v="34"/>
    <n v="2025"/>
    <n v="0"/>
    <x v="61"/>
    <n v="0"/>
    <m/>
    <s v="approved"/>
    <n v="42"/>
    <s v="no"/>
    <m/>
    <m/>
    <m/>
    <m/>
    <m/>
    <m/>
    <x v="0"/>
    <x v="183"/>
    <x v="628"/>
    <n v="39726789"/>
    <s v="F-607694-1038.TK.KWVE20BNL-ISB-WW1"/>
    <n v="200"/>
    <n v="1112"/>
    <m/>
    <m/>
    <s v="20251054-14.08.2025"/>
    <x v="0"/>
    <x v="9"/>
    <x v="0"/>
    <m/>
  </r>
  <r>
    <x v="0"/>
    <x v="0"/>
    <x v="229"/>
    <x v="111"/>
    <x v="150"/>
    <s v="300921586-8011"/>
    <s v="AB"/>
    <n v="5.56"/>
    <n v="40"/>
    <n v="222.39999999999998"/>
    <x v="266"/>
    <n v="35"/>
    <n v="2025"/>
    <n v="0"/>
    <x v="61"/>
    <n v="0"/>
    <m/>
    <s v="approved"/>
    <n v="42"/>
    <s v="no"/>
    <m/>
    <m/>
    <m/>
    <m/>
    <m/>
    <m/>
    <x v="0"/>
    <x v="183"/>
    <x v="628"/>
    <n v="39726789"/>
    <s v="F-607694-1038.TK.KWVE20BNL-ISB-WW1"/>
    <n v="40"/>
    <n v="222.39999999999998"/>
    <m/>
    <m/>
    <s v="20251054-14.08.2025"/>
    <x v="0"/>
    <x v="9"/>
    <x v="0"/>
    <m/>
  </r>
  <r>
    <x v="0"/>
    <x v="0"/>
    <x v="229"/>
    <x v="111"/>
    <x v="150"/>
    <s v="300921586-8011"/>
    <s v="AB"/>
    <n v="5.56"/>
    <n v="232"/>
    <n v="1289.9199999999998"/>
    <x v="266"/>
    <n v="35"/>
    <n v="2025"/>
    <n v="0"/>
    <x v="61"/>
    <n v="0"/>
    <m/>
    <s v="approved"/>
    <n v="42"/>
    <s v="no"/>
    <m/>
    <m/>
    <m/>
    <m/>
    <m/>
    <m/>
    <x v="0"/>
    <x v="184"/>
    <x v="629"/>
    <n v="39726789"/>
    <s v="F-607694-1038.TK.KWVE20BNL-ISB-WW1"/>
    <n v="232"/>
    <n v="1289.9199999999998"/>
    <m/>
    <m/>
    <s v="20251059-14.08.2025"/>
    <x v="0"/>
    <x v="9"/>
    <x v="0"/>
    <m/>
  </r>
  <r>
    <x v="0"/>
    <x v="0"/>
    <x v="229"/>
    <x v="111"/>
    <x v="150"/>
    <s v="300921586-8011"/>
    <s v="AB"/>
    <n v="5.56"/>
    <n v="235"/>
    <n v="1306.5999999999999"/>
    <x v="266"/>
    <n v="35"/>
    <n v="2025"/>
    <n v="0"/>
    <x v="61"/>
    <n v="0"/>
    <m/>
    <s v="approved"/>
    <n v="42"/>
    <s v="no"/>
    <m/>
    <m/>
    <m/>
    <m/>
    <m/>
    <m/>
    <x v="0"/>
    <x v="185"/>
    <x v="630"/>
    <n v="39726789"/>
    <s v="F-607694-1038.TK.KWVE20BNL-ISB-WW1"/>
    <n v="235"/>
    <n v="1306.5999999999999"/>
    <m/>
    <m/>
    <s v="20251072-14.08.2025"/>
    <x v="0"/>
    <x v="9"/>
    <x v="0"/>
    <m/>
  </r>
  <r>
    <x v="0"/>
    <x v="0"/>
    <x v="229"/>
    <x v="111"/>
    <x v="150"/>
    <s v="300921586-8011"/>
    <s v="AB"/>
    <n v="5.56"/>
    <n v="93"/>
    <n v="517.07999999999993"/>
    <x v="266"/>
    <n v="35"/>
    <n v="2025"/>
    <n v="0"/>
    <x v="61"/>
    <n v="0"/>
    <m/>
    <s v="approved"/>
    <n v="42"/>
    <s v="no"/>
    <m/>
    <m/>
    <m/>
    <m/>
    <m/>
    <m/>
    <x v="0"/>
    <x v="186"/>
    <x v="631"/>
    <n v="39726789"/>
    <s v="F-607694-1038.TK.KWVE20BNL-ISB-WW1"/>
    <n v="93"/>
    <n v="517.07999999999993"/>
    <m/>
    <m/>
    <s v="20251064-14.08.2025"/>
    <x v="0"/>
    <x v="9"/>
    <x v="0"/>
    <m/>
  </r>
  <r>
    <x v="0"/>
    <x v="0"/>
    <x v="229"/>
    <x v="46"/>
    <x v="150"/>
    <s v="300921586-8011"/>
    <s v="AB"/>
    <n v="5.56"/>
    <n v="17"/>
    <n v="94.52"/>
    <x v="119"/>
    <n v="40"/>
    <n v="2025"/>
    <n v="0"/>
    <x v="61"/>
    <n v="0"/>
    <m/>
    <s v="approved"/>
    <n v="42"/>
    <s v="no"/>
    <m/>
    <m/>
    <m/>
    <m/>
    <m/>
    <m/>
    <x v="0"/>
    <x v="186"/>
    <x v="631"/>
    <n v="39726789"/>
    <s v="F-607694-1038.TK.KWVE20BNL-ISB-WW1"/>
    <n v="17"/>
    <n v="94.52"/>
    <m/>
    <m/>
    <s v="20251064-14.08.2025"/>
    <x v="0"/>
    <x v="10"/>
    <x v="0"/>
    <m/>
  </r>
  <r>
    <x v="0"/>
    <x v="0"/>
    <x v="229"/>
    <x v="46"/>
    <x v="150"/>
    <s v="300921586-8011"/>
    <s v="AB"/>
    <n v="5.56"/>
    <n v="228"/>
    <n v="1267.6799999999998"/>
    <x v="119"/>
    <n v="40"/>
    <n v="2025"/>
    <n v="0"/>
    <x v="61"/>
    <n v="0"/>
    <m/>
    <s v="approved"/>
    <n v="42"/>
    <s v="no"/>
    <m/>
    <m/>
    <m/>
    <m/>
    <m/>
    <m/>
    <x v="0"/>
    <x v="3"/>
    <x v="4"/>
    <s v=""/>
    <s v=""/>
    <n v="0"/>
    <n v="0"/>
    <m/>
    <s v="comenzi anulate"/>
    <m/>
    <x v="1"/>
    <x v="10"/>
    <x v="0"/>
    <m/>
  </r>
  <r>
    <x v="0"/>
    <x v="0"/>
    <x v="230"/>
    <x v="141"/>
    <x v="150"/>
    <s v="300921586-8011"/>
    <s v="AB"/>
    <n v="5.56"/>
    <n v="555"/>
    <n v="3085.7999999999997"/>
    <x v="267"/>
    <n v="40"/>
    <n v="2025"/>
    <n v="0"/>
    <x v="61"/>
    <n v="0"/>
    <m/>
    <s v="approved"/>
    <n v="42"/>
    <s v="no"/>
    <m/>
    <m/>
    <m/>
    <m/>
    <m/>
    <m/>
    <x v="0"/>
    <x v="162"/>
    <x v="632"/>
    <n v="50105801"/>
    <s v="F-607694-1038.TK.KWVE20BNL-ISB-WW1"/>
    <n v="555"/>
    <n v="3085.7999999999997"/>
    <m/>
    <m/>
    <s v="20251139-01.09.2025"/>
    <x v="0"/>
    <x v="11"/>
    <x v="0"/>
    <m/>
  </r>
  <r>
    <x v="0"/>
    <x v="0"/>
    <x v="229"/>
    <x v="46"/>
    <x v="150"/>
    <s v="300921586-8011"/>
    <s v="AB"/>
    <n v="5.56"/>
    <n v="104"/>
    <n v="578.24"/>
    <x v="120"/>
    <n v="44"/>
    <n v="2025"/>
    <n v="0"/>
    <x v="61"/>
    <n v="0"/>
    <m/>
    <s v="approved"/>
    <n v="2.1666666666666665"/>
    <m/>
    <m/>
    <m/>
    <m/>
    <m/>
    <m/>
    <m/>
    <x v="0"/>
    <x v="116"/>
    <x v="633"/>
    <n v="39726789"/>
    <s v="F-607694-1038.TK.KWVE20BNL-ISB-WW1"/>
    <n v="104"/>
    <n v="578.24"/>
    <m/>
    <m/>
    <s v="2025251-17.10.2025"/>
    <x v="0"/>
    <x v="11"/>
    <x v="0"/>
    <m/>
  </r>
  <r>
    <x v="0"/>
    <x v="0"/>
    <x v="231"/>
    <x v="142"/>
    <x v="150"/>
    <s v="300921586-8011"/>
    <s v="AB"/>
    <n v="5.56"/>
    <n v="364"/>
    <n v="2023.84"/>
    <x v="120"/>
    <n v="44"/>
    <n v="2025"/>
    <n v="0"/>
    <x v="61"/>
    <n v="0"/>
    <m/>
    <s v="approved"/>
    <n v="7.583333333333333"/>
    <m/>
    <m/>
    <m/>
    <m/>
    <m/>
    <m/>
    <m/>
    <x v="0"/>
    <x v="117"/>
    <x v="634"/>
    <n v="50234536"/>
    <s v="F-607694-1038.TK.KWVE20BNL-ISB-WW1"/>
    <n v="364"/>
    <n v="2023.84"/>
    <m/>
    <m/>
    <s v="20251340-21.10.2025"/>
    <x v="0"/>
    <x v="11"/>
    <x v="0"/>
    <m/>
  </r>
  <r>
    <x v="0"/>
    <x v="0"/>
    <x v="231"/>
    <x v="142"/>
    <x v="150"/>
    <s v="300921586-8011"/>
    <s v="AB"/>
    <n v="5.56"/>
    <n v="520"/>
    <n v="2891.2"/>
    <x v="120"/>
    <n v="44"/>
    <n v="2025"/>
    <n v="0"/>
    <x v="61"/>
    <n v="0"/>
    <m/>
    <s v="approved"/>
    <n v="10.833333333333334"/>
    <m/>
    <m/>
    <m/>
    <m/>
    <m/>
    <m/>
    <m/>
    <x v="0"/>
    <x v="134"/>
    <x v="635"/>
    <n v="50234536"/>
    <s v="F-607694-1038.TK.KWVE20BNL-ISB-WW1"/>
    <n v="520"/>
    <n v="2891.2"/>
    <m/>
    <m/>
    <s v="20251349-23.10.2025"/>
    <x v="0"/>
    <x v="11"/>
    <x v="0"/>
    <m/>
  </r>
  <r>
    <x v="0"/>
    <x v="0"/>
    <x v="231"/>
    <x v="142"/>
    <x v="150"/>
    <s v="300921586-8011"/>
    <s v="AB"/>
    <n v="5.56"/>
    <n v="52"/>
    <n v="289.12"/>
    <x v="120"/>
    <n v="44"/>
    <n v="2025"/>
    <n v="0"/>
    <x v="61"/>
    <n v="0"/>
    <m/>
    <s v="approved"/>
    <n v="42"/>
    <s v="no"/>
    <m/>
    <m/>
    <m/>
    <m/>
    <m/>
    <m/>
    <x v="0"/>
    <x v="163"/>
    <x v="636"/>
    <n v="50234536"/>
    <s v="F-607694-1038.TK.KWVE20BNL-ISB-WW1"/>
    <n v="52"/>
    <n v="289.12"/>
    <m/>
    <m/>
    <s v="20251358-28.10.2025"/>
    <x v="0"/>
    <x v="11"/>
    <x v="0"/>
    <m/>
  </r>
  <r>
    <x v="0"/>
    <x v="0"/>
    <x v="232"/>
    <x v="143"/>
    <x v="150"/>
    <s v="300921586-8011"/>
    <s v="AB"/>
    <n v="5.56"/>
    <n v="1285"/>
    <n v="7144.5999999999995"/>
    <x v="268"/>
    <n v="47"/>
    <n v="2025"/>
    <n v="0"/>
    <x v="61"/>
    <n v="0"/>
    <m/>
    <s v="approved"/>
    <n v="26.770833333333332"/>
    <m/>
    <m/>
    <m/>
    <m/>
    <m/>
    <m/>
    <m/>
    <x v="0"/>
    <x v="118"/>
    <x v="637"/>
    <n v="50472498"/>
    <s v="F-607694-1038.TK.KWVE20BNL-ISB-WW1"/>
    <n v="1285"/>
    <n v="7144.5999999999995"/>
    <m/>
    <m/>
    <s v="20251408-04.11.2025"/>
    <x v="0"/>
    <x v="4"/>
    <x v="0"/>
    <m/>
  </r>
  <r>
    <x v="0"/>
    <x v="0"/>
    <x v="232"/>
    <x v="143"/>
    <x v="150"/>
    <s v="300921586-8011"/>
    <s v="AB"/>
    <n v="5.56"/>
    <n v="515"/>
    <n v="2863.3999999999996"/>
    <x v="268"/>
    <n v="47"/>
    <n v="2025"/>
    <n v="0"/>
    <x v="61"/>
    <n v="0"/>
    <m/>
    <s v="approved"/>
    <n v="42"/>
    <s v="no"/>
    <m/>
    <m/>
    <m/>
    <m/>
    <m/>
    <m/>
    <x v="1"/>
    <x v="3"/>
    <x v="4"/>
    <s v=""/>
    <s v=""/>
    <m/>
    <n v="0"/>
    <m/>
    <m/>
    <m/>
    <x v="2"/>
    <x v="4"/>
    <x v="0"/>
    <m/>
  </r>
  <r>
    <x v="0"/>
    <x v="0"/>
    <x v="232"/>
    <x v="143"/>
    <x v="150"/>
    <s v="300921586-8011"/>
    <s v="AB"/>
    <n v="5.56"/>
    <n v="1800"/>
    <n v="10008"/>
    <x v="269"/>
    <n v="48"/>
    <n v="2025"/>
    <n v="0"/>
    <x v="61"/>
    <n v="0"/>
    <m/>
    <s v="approved"/>
    <n v="37.5"/>
    <m/>
    <m/>
    <m/>
    <m/>
    <m/>
    <m/>
    <m/>
    <x v="1"/>
    <x v="3"/>
    <x v="4"/>
    <s v=""/>
    <s v=""/>
    <m/>
    <n v="0"/>
    <m/>
    <m/>
    <m/>
    <x v="2"/>
    <x v="4"/>
    <x v="0"/>
    <m/>
  </r>
  <r>
    <x v="0"/>
    <x v="1"/>
    <x v="80"/>
    <x v="46"/>
    <x v="150"/>
    <s v="300921586-8011"/>
    <s v="AB"/>
    <n v="5.56"/>
    <n v="700"/>
    <n v="3891.9999999999995"/>
    <x v="270"/>
    <n v="52"/>
    <n v="2025"/>
    <n v="0"/>
    <x v="61"/>
    <n v="0"/>
    <m/>
    <s v="approved"/>
    <n v="42"/>
    <s v="no"/>
    <m/>
    <m/>
    <m/>
    <m/>
    <m/>
    <m/>
    <x v="1"/>
    <x v="3"/>
    <x v="4"/>
    <s v=""/>
    <s v=""/>
    <m/>
    <n v="0"/>
    <m/>
    <m/>
    <m/>
    <x v="2"/>
    <x v="3"/>
    <x v="0"/>
    <m/>
  </r>
  <r>
    <x v="0"/>
    <x v="1"/>
    <x v="80"/>
    <x v="46"/>
    <x v="150"/>
    <s v="300921586-8011"/>
    <s v="AB"/>
    <n v="5.56"/>
    <n v="700"/>
    <n v="3891.9999999999995"/>
    <x v="271"/>
    <n v="53"/>
    <n v="2025"/>
    <n v="0"/>
    <x v="61"/>
    <n v="0"/>
    <m/>
    <s v="approved"/>
    <n v="42"/>
    <s v="no"/>
    <m/>
    <m/>
    <m/>
    <m/>
    <m/>
    <m/>
    <x v="1"/>
    <x v="3"/>
    <x v="4"/>
    <s v=""/>
    <s v=""/>
    <m/>
    <n v="0"/>
    <m/>
    <m/>
    <m/>
    <x v="2"/>
    <x v="3"/>
    <x v="0"/>
    <m/>
  </r>
  <r>
    <x v="0"/>
    <x v="0"/>
    <x v="233"/>
    <x v="144"/>
    <x v="151"/>
    <s v="301277508-8011"/>
    <s v="AB"/>
    <n v="2.86"/>
    <n v="100"/>
    <n v="286"/>
    <x v="102"/>
    <n v="28"/>
    <n v="2024"/>
    <n v="0"/>
    <x v="62"/>
    <n v="0"/>
    <m/>
    <s v="project"/>
    <n v="42"/>
    <s v="no"/>
    <m/>
    <m/>
    <m/>
    <m/>
    <m/>
    <s v="242"/>
    <x v="0"/>
    <x v="264"/>
    <x v="638"/>
    <n v="36488943"/>
    <s v="F-625593.03-0005.PKO-WW1"/>
    <n v="100"/>
    <n v="286"/>
    <m/>
    <m/>
    <s v="20240869-10.07.2024"/>
    <x v="0"/>
    <x v="8"/>
    <x v="1"/>
    <m/>
  </r>
  <r>
    <x v="0"/>
    <x v="0"/>
    <x v="234"/>
    <x v="144"/>
    <x v="151"/>
    <s v="301277508-8011"/>
    <s v="AB"/>
    <n v="2.86"/>
    <n v="5"/>
    <n v="14.299999999999999"/>
    <x v="102"/>
    <n v="28"/>
    <n v="2024"/>
    <n v="0"/>
    <x v="62"/>
    <n v="0"/>
    <m/>
    <s v="project"/>
    <n v="42"/>
    <s v="no"/>
    <m/>
    <m/>
    <m/>
    <m/>
    <m/>
    <s v="242009"/>
    <x v="0"/>
    <x v="74"/>
    <x v="639"/>
    <n v="36488705"/>
    <s v="F-625593.03-0005.PKO-WW1"/>
    <n v="5"/>
    <n v="14.299999999999999"/>
    <m/>
    <s v="pcs de validare"/>
    <s v="20240890-15.07.2024"/>
    <x v="1"/>
    <x v="8"/>
    <x v="1"/>
    <m/>
  </r>
  <r>
    <x v="0"/>
    <x v="0"/>
    <x v="235"/>
    <x v="48"/>
    <x v="151"/>
    <s v="301277508-8011"/>
    <s v="AB"/>
    <n v="2.86"/>
    <n v="1022"/>
    <n v="2922.92"/>
    <x v="235"/>
    <n v="46"/>
    <n v="2024"/>
    <n v="0"/>
    <x v="62"/>
    <n v="0"/>
    <m/>
    <s v="project"/>
    <n v="42"/>
    <m/>
    <m/>
    <m/>
    <m/>
    <m/>
    <m/>
    <m/>
    <x v="0"/>
    <x v="283"/>
    <x v="640"/>
    <n v="37977745"/>
    <s v="F-625593.03-0005.PKO-WW1"/>
    <n v="1022"/>
    <n v="2922.92"/>
    <m/>
    <s v="facturate cu denumirea F-625593-Prestrunjire"/>
    <s v="20241418-08.11.2024"/>
    <x v="0"/>
    <x v="4"/>
    <x v="1"/>
    <m/>
  </r>
  <r>
    <x v="0"/>
    <x v="0"/>
    <x v="236"/>
    <x v="104"/>
    <x v="151"/>
    <s v="301277508-8011"/>
    <s v="AB"/>
    <n v="2.86"/>
    <n v="2000"/>
    <n v="5720"/>
    <x v="272"/>
    <n v="47"/>
    <n v="2024"/>
    <n v="0"/>
    <x v="62"/>
    <n v="0"/>
    <m/>
    <s v="project"/>
    <n v="42"/>
    <s v="no"/>
    <m/>
    <m/>
    <m/>
    <m/>
    <s v="ITU"/>
    <m/>
    <x v="0"/>
    <x v="284"/>
    <x v="211"/>
    <n v="35698486"/>
    <s v="F-625593.03-0005.PKO-WW1"/>
    <n v="0"/>
    <n v="0"/>
    <m/>
    <m/>
    <m/>
    <x v="1"/>
    <x v="4"/>
    <x v="1"/>
    <m/>
  </r>
  <r>
    <x v="0"/>
    <x v="0"/>
    <x v="237"/>
    <x v="104"/>
    <x v="151"/>
    <s v="301277508-8011"/>
    <s v="AB"/>
    <n v="2.86"/>
    <n v="558"/>
    <n v="1595.8799999999999"/>
    <x v="272"/>
    <n v="47"/>
    <n v="2024"/>
    <n v="0"/>
    <x v="62"/>
    <n v="0"/>
    <m/>
    <s v="project"/>
    <n v="42"/>
    <s v="no"/>
    <m/>
    <m/>
    <m/>
    <m/>
    <s v="ITU"/>
    <m/>
    <x v="0"/>
    <x v="284"/>
    <x v="211"/>
    <n v="35545314"/>
    <s v="F-625593.03-0005.PKO-WW1"/>
    <n v="0"/>
    <n v="0"/>
    <m/>
    <m/>
    <m/>
    <x v="1"/>
    <x v="4"/>
    <x v="1"/>
    <m/>
  </r>
  <r>
    <x v="0"/>
    <x v="0"/>
    <x v="238"/>
    <x v="145"/>
    <x v="151"/>
    <s v="301277508-8011"/>
    <s v="AB"/>
    <n v="2.86"/>
    <n v="995"/>
    <n v="2845.7"/>
    <x v="272"/>
    <n v="47"/>
    <n v="2024"/>
    <n v="0"/>
    <x v="62"/>
    <n v="0"/>
    <m/>
    <s v="project"/>
    <n v="42"/>
    <m/>
    <m/>
    <m/>
    <m/>
    <m/>
    <s v="ITU"/>
    <m/>
    <x v="0"/>
    <x v="284"/>
    <x v="211"/>
    <n v="37373633"/>
    <s v="F-625593.03-0005.PKO-WW1"/>
    <n v="0"/>
    <n v="0"/>
    <m/>
    <m/>
    <m/>
    <x v="1"/>
    <x v="4"/>
    <x v="1"/>
    <m/>
  </r>
  <r>
    <x v="0"/>
    <x v="0"/>
    <x v="238"/>
    <x v="145"/>
    <x v="152"/>
    <n v="0"/>
    <n v="0"/>
    <n v="150"/>
    <n v="5"/>
    <n v="750"/>
    <x v="272"/>
    <n v="47"/>
    <n v="2024"/>
    <n v="0"/>
    <x v="62"/>
    <n v="0"/>
    <m/>
    <s v="project"/>
    <n v="0"/>
    <s v="no"/>
    <m/>
    <m/>
    <m/>
    <m/>
    <s v="project"/>
    <m/>
    <x v="0"/>
    <x v="285"/>
    <x v="641"/>
    <n v="37373633"/>
    <s v="F-625593.03-0005.PKO-WW1 - PPAP"/>
    <n v="5"/>
    <n v="750"/>
    <m/>
    <s v="PPAP/se va emite fc de Prestari Servicii"/>
    <s v="20241268-08.10.2024/20241319-18.10.2024"/>
    <x v="0"/>
    <x v="4"/>
    <x v="1"/>
    <m/>
  </r>
  <r>
    <x v="9"/>
    <x v="0"/>
    <x v="239"/>
    <x v="146"/>
    <x v="153"/>
    <s v="shaft"/>
    <n v="0"/>
    <n v="7.67"/>
    <n v="5"/>
    <n v="38.35"/>
    <x v="96"/>
    <n v="19"/>
    <n v="2024"/>
    <n v="0"/>
    <x v="49"/>
    <n v="50"/>
    <m/>
    <s v="project"/>
    <n v="56"/>
    <s v="no"/>
    <m/>
    <m/>
    <m/>
    <m/>
    <m/>
    <n v="242216"/>
    <x v="0"/>
    <x v="69"/>
    <x v="642"/>
    <n v="36654144"/>
    <s v="F-688038.02-0111.W.WE36"/>
    <n v="5"/>
    <n v="38.35"/>
    <m/>
    <s v="pcs test "/>
    <s v="20240788-26.06.2024"/>
    <x v="1"/>
    <x v="2"/>
    <x v="1"/>
    <m/>
  </r>
  <r>
    <x v="9"/>
    <x v="0"/>
    <x v="240"/>
    <x v="147"/>
    <x v="153"/>
    <s v="shaft"/>
    <n v="0"/>
    <n v="7.67"/>
    <n v="30"/>
    <n v="230.1"/>
    <x v="185"/>
    <n v="33"/>
    <n v="2024"/>
    <n v="0"/>
    <x v="49"/>
    <n v="50"/>
    <m/>
    <s v="project"/>
    <n v="56"/>
    <s v="no"/>
    <m/>
    <m/>
    <m/>
    <m/>
    <m/>
    <m/>
    <x v="0"/>
    <x v="286"/>
    <x v="643"/>
    <n v="37347643"/>
    <s v="F-688038.02-0111.W.WE36"/>
    <n v="25"/>
    <n v="191.75"/>
    <m/>
    <s v="5 de PPAP"/>
    <s v="20241213-21.09.2024/20241420-14.11.2024"/>
    <x v="1"/>
    <x v="9"/>
    <x v="1"/>
    <m/>
  </r>
  <r>
    <x v="9"/>
    <x v="0"/>
    <x v="240"/>
    <x v="147"/>
    <x v="153"/>
    <s v="shaft"/>
    <n v="0"/>
    <n v="7.67"/>
    <n v="113"/>
    <n v="866.71"/>
    <x v="185"/>
    <n v="33"/>
    <n v="2024"/>
    <n v="0"/>
    <x v="49"/>
    <n v="50"/>
    <m/>
    <s v="project"/>
    <n v="56"/>
    <m/>
    <m/>
    <m/>
    <m/>
    <m/>
    <m/>
    <m/>
    <x v="0"/>
    <x v="287"/>
    <x v="644"/>
    <n v="37347643"/>
    <s v="F-688038.02-0111.W.WE36"/>
    <n v="113"/>
    <n v="866.71"/>
    <m/>
    <m/>
    <s v="20241264-05.10.2024"/>
    <x v="1"/>
    <x v="9"/>
    <x v="1"/>
    <m/>
  </r>
  <r>
    <x v="9"/>
    <x v="0"/>
    <x v="240"/>
    <x v="147"/>
    <x v="153"/>
    <s v="shaft"/>
    <n v="0"/>
    <n v="7.67"/>
    <n v="89"/>
    <n v="682.63"/>
    <x v="185"/>
    <n v="33"/>
    <n v="2024"/>
    <n v="0"/>
    <x v="49"/>
    <n v="50"/>
    <m/>
    <s v="project"/>
    <n v="56"/>
    <m/>
    <m/>
    <m/>
    <m/>
    <m/>
    <m/>
    <m/>
    <x v="0"/>
    <x v="228"/>
    <x v="645"/>
    <n v="37347643"/>
    <s v="F-688038.02-0111.W.WE36"/>
    <n v="89"/>
    <n v="682.63"/>
    <m/>
    <m/>
    <s v="20241299-12.10.2024"/>
    <x v="1"/>
    <x v="9"/>
    <x v="1"/>
    <m/>
  </r>
  <r>
    <x v="9"/>
    <x v="0"/>
    <x v="240"/>
    <x v="147"/>
    <x v="153"/>
    <s v="shaft"/>
    <n v="0"/>
    <n v="7.67"/>
    <n v="36"/>
    <n v="276.12"/>
    <x v="185"/>
    <n v="33"/>
    <n v="2024"/>
    <n v="0"/>
    <x v="49"/>
    <n v="50"/>
    <m/>
    <s v="project"/>
    <n v="56"/>
    <m/>
    <m/>
    <m/>
    <m/>
    <m/>
    <m/>
    <m/>
    <x v="0"/>
    <x v="288"/>
    <x v="646"/>
    <n v="37347643"/>
    <s v="F-688038.02-0111.W.WE36"/>
    <n v="16"/>
    <n v="122.72"/>
    <m/>
    <s v="nok 20 venite retur 07.04.2025"/>
    <s v="20241327-19.10.2024/20250460-08.04.2025"/>
    <x v="1"/>
    <x v="9"/>
    <x v="1"/>
    <m/>
  </r>
  <r>
    <x v="9"/>
    <x v="0"/>
    <x v="240"/>
    <x v="147"/>
    <x v="153"/>
    <s v="shaft"/>
    <n v="0"/>
    <n v="7.67"/>
    <n v="24"/>
    <n v="184.07999999999998"/>
    <x v="185"/>
    <n v="33"/>
    <n v="2024"/>
    <n v="0"/>
    <x v="49"/>
    <n v="50"/>
    <m/>
    <s v="project"/>
    <n v="56"/>
    <m/>
    <m/>
    <m/>
    <m/>
    <m/>
    <m/>
    <m/>
    <x v="0"/>
    <x v="229"/>
    <x v="647"/>
    <n v="37347643"/>
    <s v="F-688038.02-0111.W.WE36"/>
    <n v="24"/>
    <n v="184.07999999999998"/>
    <m/>
    <m/>
    <s v="20241355-28.10.2024"/>
    <x v="1"/>
    <x v="9"/>
    <x v="1"/>
    <m/>
  </r>
  <r>
    <x v="9"/>
    <x v="0"/>
    <x v="240"/>
    <x v="147"/>
    <x v="153"/>
    <s v="shaft"/>
    <n v="0"/>
    <n v="7.67"/>
    <n v="378"/>
    <n v="2899.2599999999998"/>
    <x v="185"/>
    <n v="33"/>
    <n v="2024"/>
    <n v="0"/>
    <x v="49"/>
    <n v="50"/>
    <m/>
    <s v="project"/>
    <n v="56"/>
    <m/>
    <m/>
    <m/>
    <m/>
    <m/>
    <m/>
    <m/>
    <x v="0"/>
    <x v="89"/>
    <x v="648"/>
    <n v="37347643"/>
    <s v="F-688038.02-0111.W.WE36"/>
    <n v="378"/>
    <n v="2899.2599999999998"/>
    <m/>
    <m/>
    <s v="20241396-05.11.2024 "/>
    <x v="1"/>
    <x v="9"/>
    <x v="1"/>
    <m/>
  </r>
  <r>
    <x v="9"/>
    <x v="0"/>
    <x v="240"/>
    <x v="147"/>
    <x v="153"/>
    <s v="shaft"/>
    <n v="0"/>
    <n v="7.67"/>
    <n v="84"/>
    <n v="644.28"/>
    <x v="185"/>
    <n v="33"/>
    <n v="2024"/>
    <n v="0"/>
    <x v="49"/>
    <n v="50"/>
    <m/>
    <s v="project"/>
    <n v="56"/>
    <m/>
    <m/>
    <m/>
    <m/>
    <m/>
    <m/>
    <m/>
    <x v="0"/>
    <x v="269"/>
    <x v="649"/>
    <n v="37347643"/>
    <s v="F-688038.02-0111.W.WE36"/>
    <n v="84"/>
    <n v="644.28"/>
    <m/>
    <m/>
    <s v="20241425-12.11.2024"/>
    <x v="1"/>
    <x v="9"/>
    <x v="1"/>
    <m/>
  </r>
  <r>
    <x v="9"/>
    <x v="0"/>
    <x v="240"/>
    <x v="147"/>
    <x v="153"/>
    <s v="shaft"/>
    <n v="0"/>
    <n v="7.67"/>
    <n v="311"/>
    <n v="2385.37"/>
    <x v="185"/>
    <n v="33"/>
    <n v="2024"/>
    <n v="0"/>
    <x v="49"/>
    <n v="50"/>
    <m/>
    <s v="project"/>
    <n v="56"/>
    <m/>
    <m/>
    <m/>
    <m/>
    <m/>
    <m/>
    <m/>
    <x v="0"/>
    <x v="270"/>
    <x v="650"/>
    <n v="37347643"/>
    <s v="F-688038.02-0111.W.WE36"/>
    <n v="311"/>
    <n v="2385.37"/>
    <m/>
    <m/>
    <s v="20241451-21.11.2024"/>
    <x v="1"/>
    <x v="9"/>
    <x v="1"/>
    <m/>
  </r>
  <r>
    <x v="9"/>
    <x v="0"/>
    <x v="240"/>
    <x v="147"/>
    <x v="153"/>
    <s v="shaft"/>
    <n v="0"/>
    <n v="7.67"/>
    <n v="317"/>
    <n v="2431.39"/>
    <x v="185"/>
    <n v="33"/>
    <n v="2024"/>
    <n v="0"/>
    <x v="49"/>
    <n v="50"/>
    <m/>
    <s v="project"/>
    <n v="56"/>
    <m/>
    <m/>
    <m/>
    <m/>
    <m/>
    <m/>
    <m/>
    <x v="0"/>
    <x v="289"/>
    <x v="651"/>
    <n v="37347643"/>
    <s v="F-688038.02-0111.W.WE36"/>
    <n v="317"/>
    <n v="2431.39"/>
    <m/>
    <m/>
    <s v="20241486-26.11.2024"/>
    <x v="1"/>
    <x v="9"/>
    <x v="1"/>
    <m/>
  </r>
  <r>
    <x v="9"/>
    <x v="0"/>
    <x v="240"/>
    <x v="147"/>
    <x v="153"/>
    <s v="shaft"/>
    <n v="0"/>
    <n v="7.67"/>
    <n v="348"/>
    <n v="2669.16"/>
    <x v="185"/>
    <n v="33"/>
    <n v="2024"/>
    <n v="0"/>
    <x v="49"/>
    <n v="50"/>
    <m/>
    <s v="project"/>
    <n v="56"/>
    <m/>
    <m/>
    <m/>
    <m/>
    <m/>
    <m/>
    <m/>
    <x v="0"/>
    <x v="90"/>
    <x v="652"/>
    <n v="37347643"/>
    <s v="F-688038.02-0111.W.WE36"/>
    <n v="348"/>
    <n v="2669.16"/>
    <m/>
    <m/>
    <s v="20241505-03.12.2024"/>
    <x v="1"/>
    <x v="9"/>
    <x v="1"/>
    <m/>
  </r>
  <r>
    <x v="9"/>
    <x v="0"/>
    <x v="240"/>
    <x v="147"/>
    <x v="153"/>
    <s v="shaft"/>
    <n v="0"/>
    <n v="7.67"/>
    <n v="156"/>
    <n v="1196.52"/>
    <x v="185"/>
    <n v="33"/>
    <n v="2024"/>
    <n v="0"/>
    <x v="49"/>
    <n v="50"/>
    <m/>
    <s v="project"/>
    <n v="56"/>
    <m/>
    <m/>
    <m/>
    <m/>
    <m/>
    <m/>
    <m/>
    <x v="0"/>
    <x v="290"/>
    <x v="653"/>
    <n v="37347643"/>
    <s v="F-688038.02-0111.W.WE36"/>
    <n v="156"/>
    <n v="1196.52"/>
    <m/>
    <m/>
    <s v="20241532-06.12.2024"/>
    <x v="1"/>
    <x v="9"/>
    <x v="1"/>
    <m/>
  </r>
  <r>
    <x v="9"/>
    <x v="0"/>
    <x v="240"/>
    <x v="147"/>
    <x v="153"/>
    <s v="shaft"/>
    <n v="0"/>
    <n v="7.67"/>
    <n v="420"/>
    <n v="3221.4"/>
    <x v="185"/>
    <n v="33"/>
    <n v="2024"/>
    <n v="0"/>
    <x v="49"/>
    <n v="50"/>
    <m/>
    <s v="project"/>
    <n v="56"/>
    <m/>
    <m/>
    <m/>
    <m/>
    <m/>
    <m/>
    <m/>
    <x v="0"/>
    <x v="291"/>
    <x v="654"/>
    <n v="37347643"/>
    <s v="F-688038.02-0111.W.WE36"/>
    <n v="420"/>
    <n v="3221.4"/>
    <m/>
    <m/>
    <s v="20241577-14.12.2024"/>
    <x v="1"/>
    <x v="9"/>
    <x v="1"/>
    <m/>
  </r>
  <r>
    <x v="9"/>
    <x v="0"/>
    <x v="240"/>
    <x v="147"/>
    <x v="153"/>
    <s v="shaft"/>
    <n v="0"/>
    <n v="7.67"/>
    <n v="121"/>
    <n v="928.06999999999994"/>
    <x v="185"/>
    <n v="33"/>
    <n v="2024"/>
    <n v="0"/>
    <x v="49"/>
    <n v="50"/>
    <m/>
    <s v="project"/>
    <n v="56"/>
    <m/>
    <m/>
    <m/>
    <m/>
    <m/>
    <m/>
    <m/>
    <x v="0"/>
    <x v="291"/>
    <x v="654"/>
    <n v="37347643"/>
    <s v="F-688038.02-0111.W.WE36"/>
    <n v="121"/>
    <n v="928.06999999999994"/>
    <m/>
    <m/>
    <s v="20241577-14.12.2024"/>
    <x v="1"/>
    <x v="9"/>
    <x v="1"/>
    <m/>
  </r>
  <r>
    <x v="9"/>
    <x v="0"/>
    <x v="240"/>
    <x v="147"/>
    <x v="153"/>
    <s v="shaft"/>
    <n v="0"/>
    <n v="7.67"/>
    <n v="527"/>
    <n v="4042.09"/>
    <x v="185"/>
    <n v="33"/>
    <n v="2024"/>
    <n v="0"/>
    <x v="49"/>
    <n v="50"/>
    <m/>
    <s v="project"/>
    <n v="56"/>
    <m/>
    <m/>
    <m/>
    <m/>
    <m/>
    <m/>
    <m/>
    <x v="0"/>
    <x v="292"/>
    <x v="655"/>
    <n v="37347643"/>
    <s v="F-688038.02-0111.W.WE36"/>
    <n v="527"/>
    <n v="4042.09"/>
    <m/>
    <s v="pe aviz 540, livrat 527 pcs =&gt; stornare diferenta"/>
    <s v="20241607-20.12.2024/20250021-13.01.2025"/>
    <x v="1"/>
    <x v="9"/>
    <x v="1"/>
    <m/>
  </r>
  <r>
    <x v="9"/>
    <x v="0"/>
    <x v="240"/>
    <x v="147"/>
    <x v="153"/>
    <s v="shaft"/>
    <n v="0"/>
    <n v="7.67"/>
    <n v="778"/>
    <n v="5967.26"/>
    <x v="185"/>
    <n v="33"/>
    <n v="2024"/>
    <n v="0"/>
    <x v="49"/>
    <n v="50"/>
    <m/>
    <s v="project"/>
    <n v="56"/>
    <m/>
    <m/>
    <m/>
    <m/>
    <m/>
    <m/>
    <m/>
    <x v="0"/>
    <x v="293"/>
    <x v="656"/>
    <n v="37347643"/>
    <s v="F-688038.02-0111.W.WE36"/>
    <n v="778"/>
    <n v="5967.26"/>
    <m/>
    <m/>
    <s v="20250052-18.01.2025"/>
    <x v="1"/>
    <x v="9"/>
    <x v="1"/>
    <m/>
  </r>
  <r>
    <x v="9"/>
    <x v="0"/>
    <x v="240"/>
    <x v="147"/>
    <x v="153"/>
    <s v="shaft"/>
    <n v="0"/>
    <n v="7.67"/>
    <n v="258"/>
    <n v="1978.86"/>
    <x v="185"/>
    <n v="33"/>
    <n v="2024"/>
    <n v="0"/>
    <x v="49"/>
    <n v="50"/>
    <m/>
    <s v="project"/>
    <n v="56"/>
    <m/>
    <m/>
    <m/>
    <m/>
    <m/>
    <m/>
    <m/>
    <x v="0"/>
    <x v="294"/>
    <x v="657"/>
    <n v="37347643"/>
    <s v="F-688038.02-0111.W.WE36"/>
    <n v="258"/>
    <n v="1978.86"/>
    <m/>
    <m/>
    <s v="20250077-27.01.2025"/>
    <x v="1"/>
    <x v="9"/>
    <x v="1"/>
    <m/>
  </r>
  <r>
    <x v="9"/>
    <x v="0"/>
    <x v="240"/>
    <x v="147"/>
    <x v="153"/>
    <s v="shaft"/>
    <n v="0"/>
    <n v="7.67"/>
    <n v="407"/>
    <n v="3121.69"/>
    <x v="185"/>
    <n v="33"/>
    <n v="2024"/>
    <n v="0"/>
    <x v="49"/>
    <n v="50"/>
    <m/>
    <m/>
    <n v="8.4791666666666661"/>
    <m/>
    <m/>
    <m/>
    <m/>
    <m/>
    <m/>
    <m/>
    <x v="0"/>
    <x v="295"/>
    <x v="658"/>
    <n v="37347643"/>
    <s v="F-688038.02-0111.W.WE36"/>
    <n v="407"/>
    <n v="3121.69"/>
    <m/>
    <m/>
    <s v="20250111-31.01.2025"/>
    <x v="1"/>
    <x v="9"/>
    <x v="1"/>
    <m/>
  </r>
  <r>
    <x v="9"/>
    <x v="0"/>
    <x v="240"/>
    <x v="147"/>
    <x v="153"/>
    <s v="shaft"/>
    <n v="0"/>
    <n v="7.67"/>
    <n v="36"/>
    <n v="276.12"/>
    <x v="185"/>
    <n v="33"/>
    <n v="2024"/>
    <n v="0"/>
    <x v="49"/>
    <n v="50"/>
    <m/>
    <s v="project"/>
    <n v="56"/>
    <m/>
    <m/>
    <m/>
    <m/>
    <m/>
    <m/>
    <m/>
    <x v="0"/>
    <x v="296"/>
    <x v="659"/>
    <n v="37347643"/>
    <s v="F-688038.02-0111.W.WE36"/>
    <n v="36"/>
    <n v="276.12"/>
    <m/>
    <m/>
    <s v="20250248-28.02.2025"/>
    <x v="1"/>
    <x v="9"/>
    <x v="1"/>
    <m/>
  </r>
  <r>
    <x v="9"/>
    <x v="0"/>
    <x v="240"/>
    <x v="147"/>
    <x v="153"/>
    <s v="shaft"/>
    <n v="0"/>
    <n v="7.67"/>
    <n v="336"/>
    <n v="2577.12"/>
    <x v="185"/>
    <n v="33"/>
    <n v="2024"/>
    <n v="0"/>
    <x v="49"/>
    <n v="50"/>
    <m/>
    <s v="project"/>
    <n v="56"/>
    <m/>
    <m/>
    <m/>
    <m/>
    <m/>
    <s v="Yes"/>
    <m/>
    <x v="0"/>
    <x v="230"/>
    <x v="660"/>
    <n v="37347643"/>
    <s v="F-688038.02-0111.W.WE36"/>
    <n v="336"/>
    <n v="2577.12"/>
    <m/>
    <m/>
    <s v="20250274-05.03.2025"/>
    <x v="1"/>
    <x v="9"/>
    <x v="1"/>
    <m/>
  </r>
  <r>
    <x v="9"/>
    <x v="0"/>
    <x v="240"/>
    <x v="147"/>
    <x v="153"/>
    <s v="shaft"/>
    <n v="0"/>
    <n v="7.67"/>
    <n v="141"/>
    <n v="1081.47"/>
    <x v="185"/>
    <n v="33"/>
    <n v="2024"/>
    <n v="0"/>
    <x v="49"/>
    <n v="50"/>
    <m/>
    <m/>
    <n v="2.9375"/>
    <m/>
    <m/>
    <m/>
    <m/>
    <m/>
    <m/>
    <m/>
    <x v="0"/>
    <x v="297"/>
    <x v="661"/>
    <n v="37347643"/>
    <s v="F-688038.02-0111.W.WE36"/>
    <n v="141"/>
    <n v="1081.47"/>
    <m/>
    <s v="aviz de mana: 20242072"/>
    <s v="20250295-08.03.2025"/>
    <x v="1"/>
    <x v="9"/>
    <x v="1"/>
    <m/>
  </r>
  <r>
    <x v="9"/>
    <x v="0"/>
    <x v="240"/>
    <x v="147"/>
    <x v="153"/>
    <s v="shaft"/>
    <n v="0"/>
    <n v="7.67"/>
    <n v="57"/>
    <n v="437.19"/>
    <x v="185"/>
    <n v="33"/>
    <n v="2024"/>
    <n v="0"/>
    <x v="49"/>
    <n v="50"/>
    <m/>
    <s v="project"/>
    <n v="56"/>
    <m/>
    <m/>
    <m/>
    <m/>
    <m/>
    <s v="Yes"/>
    <m/>
    <x v="0"/>
    <x v="192"/>
    <x v="662"/>
    <n v="37347643"/>
    <s v="F-688038.02-0111.W.WE36"/>
    <n v="57"/>
    <n v="437.19"/>
    <m/>
    <m/>
    <s v="20250309-12.03.2025"/>
    <x v="1"/>
    <x v="9"/>
    <x v="1"/>
    <m/>
  </r>
  <r>
    <x v="9"/>
    <x v="0"/>
    <x v="240"/>
    <x v="147"/>
    <x v="153"/>
    <s v="shaft"/>
    <n v="0"/>
    <n v="7.67"/>
    <n v="186"/>
    <n v="1426.62"/>
    <x v="185"/>
    <n v="33"/>
    <n v="2024"/>
    <n v="0"/>
    <x v="49"/>
    <n v="50"/>
    <m/>
    <s v="project"/>
    <n v="56"/>
    <m/>
    <m/>
    <m/>
    <m/>
    <m/>
    <m/>
    <m/>
    <x v="0"/>
    <x v="298"/>
    <x v="663"/>
    <n v="37347643"/>
    <s v="F-688038.02-0111.W.WE36"/>
    <n v="186"/>
    <n v="1426.62"/>
    <m/>
    <s v="aviz de mana: 20242080"/>
    <s v="20250328-15.03.2025"/>
    <x v="1"/>
    <x v="9"/>
    <x v="1"/>
    <m/>
  </r>
  <r>
    <x v="9"/>
    <x v="0"/>
    <x v="240"/>
    <x v="147"/>
    <x v="153"/>
    <s v="shaft"/>
    <n v="0"/>
    <n v="7.67"/>
    <n v="310"/>
    <n v="2377.6999999999998"/>
    <x v="185"/>
    <n v="33"/>
    <n v="2024"/>
    <n v="0"/>
    <x v="49"/>
    <n v="50"/>
    <m/>
    <s v="project"/>
    <n v="56"/>
    <m/>
    <m/>
    <m/>
    <m/>
    <m/>
    <s v="Yes"/>
    <m/>
    <x v="0"/>
    <x v="168"/>
    <x v="664"/>
    <n v="37347643"/>
    <s v="F-688038.02-0111.W.WE36"/>
    <n v="310"/>
    <n v="2377.6999999999998"/>
    <m/>
    <m/>
    <s v="20250350-19.03.2025"/>
    <x v="1"/>
    <x v="9"/>
    <x v="1"/>
    <m/>
  </r>
  <r>
    <x v="9"/>
    <x v="0"/>
    <x v="240"/>
    <x v="147"/>
    <x v="153"/>
    <s v="shaft"/>
    <n v="0"/>
    <n v="7.67"/>
    <n v="222"/>
    <n v="1702.74"/>
    <x v="185"/>
    <n v="33"/>
    <n v="2024"/>
    <n v="0"/>
    <x v="49"/>
    <n v="50"/>
    <m/>
    <s v="project"/>
    <n v="56"/>
    <m/>
    <m/>
    <m/>
    <m/>
    <m/>
    <s v="Yes"/>
    <m/>
    <x v="0"/>
    <x v="169"/>
    <x v="665"/>
    <n v="37347643"/>
    <s v="F-688038.02-0111.W.WE36"/>
    <n v="222"/>
    <n v="1702.74"/>
    <m/>
    <m/>
    <s v="20250363-20.03.2025"/>
    <x v="1"/>
    <x v="9"/>
    <x v="1"/>
    <m/>
  </r>
  <r>
    <x v="9"/>
    <x v="0"/>
    <x v="240"/>
    <x v="147"/>
    <x v="153"/>
    <s v="shaft"/>
    <n v="0"/>
    <n v="7.67"/>
    <n v="142"/>
    <n v="1089.1400000000001"/>
    <x v="185"/>
    <n v="33"/>
    <n v="2024"/>
    <n v="0"/>
    <x v="49"/>
    <n v="50"/>
    <m/>
    <s v="project"/>
    <n v="56"/>
    <m/>
    <m/>
    <m/>
    <m/>
    <m/>
    <s v="Yes"/>
    <m/>
    <x v="0"/>
    <x v="299"/>
    <x v="666"/>
    <n v="37347643"/>
    <s v="F-688038.02-0111.W.WE36"/>
    <n v="142"/>
    <n v="1089.1400000000001"/>
    <m/>
    <m/>
    <s v="20250390-25.03.2025"/>
    <x v="1"/>
    <x v="9"/>
    <x v="1"/>
    <m/>
  </r>
  <r>
    <x v="9"/>
    <x v="0"/>
    <x v="240"/>
    <x v="147"/>
    <x v="153"/>
    <s v="shaft"/>
    <n v="0"/>
    <n v="7.67"/>
    <n v="178"/>
    <n v="1365.26"/>
    <x v="185"/>
    <n v="33"/>
    <n v="2024"/>
    <n v="0"/>
    <x v="49"/>
    <n v="50"/>
    <m/>
    <s v="project"/>
    <n v="56"/>
    <m/>
    <m/>
    <m/>
    <m/>
    <m/>
    <m/>
    <m/>
    <x v="0"/>
    <x v="300"/>
    <x v="667"/>
    <n v="37347643"/>
    <s v="F-688038.02-0111.W.WE36"/>
    <n v="178"/>
    <n v="1365.26"/>
    <m/>
    <m/>
    <s v="20250447-04.04.2025"/>
    <x v="1"/>
    <x v="9"/>
    <x v="1"/>
    <m/>
  </r>
  <r>
    <x v="9"/>
    <x v="0"/>
    <x v="240"/>
    <x v="147"/>
    <x v="153"/>
    <s v="shaft"/>
    <n v="0"/>
    <n v="7.67"/>
    <n v="340"/>
    <n v="2607.8000000000002"/>
    <x v="185"/>
    <n v="33"/>
    <n v="2024"/>
    <n v="0"/>
    <x v="49"/>
    <n v="50"/>
    <m/>
    <s v="project"/>
    <n v="56"/>
    <m/>
    <m/>
    <m/>
    <m/>
    <m/>
    <s v="Yes"/>
    <m/>
    <x v="0"/>
    <x v="92"/>
    <x v="668"/>
    <n v="37347643"/>
    <s v="F-688038.02-0111.W.WE36"/>
    <n v="340"/>
    <n v="2607.8000000000002"/>
    <m/>
    <m/>
    <s v="20250483-09.04.2025"/>
    <x v="1"/>
    <x v="9"/>
    <x v="1"/>
    <m/>
  </r>
  <r>
    <x v="9"/>
    <x v="0"/>
    <x v="240"/>
    <x v="147"/>
    <x v="153"/>
    <s v="shaft"/>
    <n v="0"/>
    <n v="7.67"/>
    <n v="72"/>
    <n v="552.24"/>
    <x v="185"/>
    <n v="33"/>
    <n v="2024"/>
    <n v="0"/>
    <x v="49"/>
    <n v="50"/>
    <m/>
    <s v="project"/>
    <n v="56"/>
    <m/>
    <m/>
    <m/>
    <m/>
    <m/>
    <s v="Yes"/>
    <m/>
    <x v="0"/>
    <x v="92"/>
    <x v="669"/>
    <n v="37347643"/>
    <s v="F-688038.02-0111.W.WE36"/>
    <n v="72"/>
    <n v="552.24"/>
    <m/>
    <m/>
    <s v="20250484-09.04.2025"/>
    <x v="1"/>
    <x v="9"/>
    <x v="1"/>
    <m/>
  </r>
  <r>
    <x v="9"/>
    <x v="0"/>
    <x v="240"/>
    <x v="147"/>
    <x v="153"/>
    <s v="shaft"/>
    <n v="0"/>
    <n v="7.67"/>
    <n v="268"/>
    <n v="2055.56"/>
    <x v="185"/>
    <n v="33"/>
    <n v="2024"/>
    <n v="0"/>
    <x v="49"/>
    <n v="50"/>
    <m/>
    <s v="project"/>
    <n v="56"/>
    <m/>
    <m/>
    <m/>
    <m/>
    <m/>
    <s v="Yes"/>
    <m/>
    <x v="0"/>
    <x v="301"/>
    <x v="670"/>
    <n v="37347643"/>
    <s v="F-688038.02-0111.W.WE36"/>
    <n v="268"/>
    <n v="2055.56"/>
    <m/>
    <m/>
    <s v="20250501-11.04.2025"/>
    <x v="1"/>
    <x v="9"/>
    <x v="1"/>
    <m/>
  </r>
  <r>
    <x v="9"/>
    <x v="0"/>
    <x v="240"/>
    <x v="147"/>
    <x v="153"/>
    <s v="shaft"/>
    <n v="0"/>
    <n v="7.67"/>
    <n v="69"/>
    <n v="529.23"/>
    <x v="185"/>
    <n v="33"/>
    <n v="2024"/>
    <n v="0"/>
    <x v="49"/>
    <n v="50"/>
    <m/>
    <s v="project"/>
    <n v="56"/>
    <m/>
    <m/>
    <m/>
    <m/>
    <m/>
    <m/>
    <m/>
    <x v="0"/>
    <x v="96"/>
    <x v="671"/>
    <n v="37347643"/>
    <s v="F-688038.02-0111.W.WE36"/>
    <n v="69"/>
    <n v="529.23"/>
    <m/>
    <m/>
    <s v="20250534-22.04.2025"/>
    <x v="1"/>
    <x v="9"/>
    <x v="1"/>
    <m/>
  </r>
  <r>
    <x v="9"/>
    <x v="0"/>
    <x v="240"/>
    <x v="147"/>
    <x v="153"/>
    <s v="shaft"/>
    <n v="0"/>
    <n v="7.67"/>
    <n v="6"/>
    <n v="46.019999999999996"/>
    <x v="185"/>
    <n v="33"/>
    <n v="2024"/>
    <n v="0"/>
    <x v="2"/>
    <n v="50"/>
    <m/>
    <m/>
    <n v="0.125"/>
    <m/>
    <m/>
    <m/>
    <m/>
    <m/>
    <m/>
    <m/>
    <x v="0"/>
    <x v="302"/>
    <x v="672"/>
    <n v="37347643"/>
    <s v="F-688038.02-0111.W.WE36"/>
    <n v="6"/>
    <n v="46.019999999999996"/>
    <m/>
    <m/>
    <s v="20250578-01.05.2025"/>
    <x v="1"/>
    <x v="9"/>
    <x v="1"/>
    <m/>
  </r>
  <r>
    <x v="9"/>
    <x v="0"/>
    <x v="240"/>
    <x v="147"/>
    <x v="153"/>
    <s v="shaft"/>
    <n v="0"/>
    <n v="7.67"/>
    <n v="117"/>
    <n v="897.39"/>
    <x v="185"/>
    <n v="33"/>
    <n v="2024"/>
    <n v="0"/>
    <x v="49"/>
    <n v="50"/>
    <m/>
    <s v="project"/>
    <n v="2.4375"/>
    <m/>
    <m/>
    <m/>
    <m/>
    <m/>
    <m/>
    <m/>
    <x v="0"/>
    <x v="139"/>
    <x v="673"/>
    <n v="37347643"/>
    <s v="F-688038.02-0111.W.WE36"/>
    <n v="117"/>
    <n v="897.39"/>
    <m/>
    <m/>
    <s v="20250605-09.05.2025"/>
    <x v="1"/>
    <x v="9"/>
    <x v="1"/>
    <m/>
  </r>
  <r>
    <x v="9"/>
    <x v="0"/>
    <x v="240"/>
    <x v="147"/>
    <x v="153"/>
    <s v="shaft"/>
    <n v="0"/>
    <n v="7.67"/>
    <n v="109"/>
    <n v="836.03"/>
    <x v="185"/>
    <n v="33"/>
    <n v="2024"/>
    <n v="0"/>
    <x v="49"/>
    <n v="50"/>
    <m/>
    <s v="project"/>
    <n v="56"/>
    <m/>
    <m/>
    <m/>
    <m/>
    <m/>
    <m/>
    <m/>
    <x v="0"/>
    <x v="279"/>
    <x v="674"/>
    <n v="37347643"/>
    <s v="F-688038.02-0111.W.WE36"/>
    <n v="109"/>
    <n v="836.03"/>
    <m/>
    <m/>
    <s v="20250636-19.05.2025"/>
    <x v="1"/>
    <x v="9"/>
    <x v="1"/>
    <m/>
  </r>
  <r>
    <x v="9"/>
    <x v="0"/>
    <x v="240"/>
    <x v="147"/>
    <x v="153"/>
    <s v="shaft"/>
    <n v="0"/>
    <n v="7.67"/>
    <n v="5"/>
    <n v="38.35"/>
    <x v="185"/>
    <n v="33"/>
    <n v="2024"/>
    <n v="0"/>
    <x v="49"/>
    <n v="50"/>
    <m/>
    <s v="project"/>
    <n v="56"/>
    <m/>
    <m/>
    <m/>
    <m/>
    <m/>
    <m/>
    <m/>
    <x v="0"/>
    <x v="279"/>
    <x v="674"/>
    <n v="37347643"/>
    <s v="F-688038.02-0111.W.WE36"/>
    <n v="5"/>
    <n v="38.35"/>
    <m/>
    <s v="PPAP"/>
    <m/>
    <x v="1"/>
    <x v="9"/>
    <x v="1"/>
    <m/>
  </r>
  <r>
    <x v="9"/>
    <x v="0"/>
    <x v="240"/>
    <x v="147"/>
    <x v="153"/>
    <s v="shaft"/>
    <n v="0"/>
    <n v="7.67"/>
    <n v="140"/>
    <n v="1073.8"/>
    <x v="185"/>
    <n v="33"/>
    <n v="2024"/>
    <n v="0"/>
    <x v="49"/>
    <n v="50"/>
    <m/>
    <s v="project"/>
    <n v="56"/>
    <m/>
    <m/>
    <m/>
    <m/>
    <m/>
    <m/>
    <m/>
    <x v="0"/>
    <x v="279"/>
    <x v="675"/>
    <n v="37347643"/>
    <s v="F-688038.02-0111.W.WE36"/>
    <n v="140"/>
    <n v="1073.8"/>
    <m/>
    <m/>
    <s v="20250635-19.05.2025"/>
    <x v="1"/>
    <x v="9"/>
    <x v="1"/>
    <m/>
  </r>
  <r>
    <x v="9"/>
    <x v="0"/>
    <x v="240"/>
    <x v="147"/>
    <x v="153"/>
    <s v="shaft"/>
    <n v="0"/>
    <n v="7.67"/>
    <n v="54"/>
    <n v="414.18"/>
    <x v="185"/>
    <n v="33"/>
    <n v="2024"/>
    <n v="0"/>
    <x v="49"/>
    <n v="50"/>
    <m/>
    <s v="project"/>
    <n v="56"/>
    <m/>
    <m/>
    <m/>
    <m/>
    <m/>
    <s v="Yes"/>
    <m/>
    <x v="1"/>
    <x v="3"/>
    <x v="4"/>
    <s v=""/>
    <s v=""/>
    <m/>
    <n v="0"/>
    <m/>
    <m/>
    <m/>
    <x v="1"/>
    <x v="9"/>
    <x v="1"/>
    <m/>
  </r>
  <r>
    <x v="9"/>
    <x v="0"/>
    <x v="240"/>
    <x v="147"/>
    <x v="154"/>
    <n v="0"/>
    <n v="0"/>
    <n v="0.73"/>
    <n v="5"/>
    <n v="3.65"/>
    <x v="185"/>
    <n v="33"/>
    <n v="2024"/>
    <n v="0"/>
    <x v="63"/>
    <n v="0"/>
    <m/>
    <m/>
    <n v="0.10416666666666667"/>
    <m/>
    <m/>
    <m/>
    <m/>
    <m/>
    <m/>
    <m/>
    <x v="0"/>
    <x v="303"/>
    <x v="676"/>
    <n v="37347643"/>
    <s v="F-688038.02-0121.SHB.WE36"/>
    <n v="5"/>
    <n v="3.65"/>
    <m/>
    <s v="pt PPAP"/>
    <s v="20241067-16.08.2024"/>
    <x v="0"/>
    <x v="9"/>
    <x v="1"/>
    <m/>
  </r>
  <r>
    <x v="9"/>
    <x v="0"/>
    <x v="240"/>
    <x v="147"/>
    <x v="154"/>
    <n v="0"/>
    <n v="0"/>
    <n v="0.73"/>
    <n v="322"/>
    <n v="235.06"/>
    <x v="185"/>
    <n v="33"/>
    <n v="2024"/>
    <n v="0"/>
    <x v="63"/>
    <n v="0"/>
    <m/>
    <m/>
    <n v="6.708333333333333"/>
    <m/>
    <m/>
    <m/>
    <m/>
    <m/>
    <m/>
    <m/>
    <x v="0"/>
    <x v="304"/>
    <x v="677"/>
    <n v="37347643"/>
    <s v="F-688038.02-0121.SHB.WE36"/>
    <n v="322"/>
    <n v="235.06"/>
    <m/>
    <m/>
    <s v="20241096-26.08.2024"/>
    <x v="1"/>
    <x v="9"/>
    <x v="1"/>
    <m/>
  </r>
  <r>
    <x v="9"/>
    <x v="0"/>
    <x v="240"/>
    <x v="147"/>
    <x v="154"/>
    <n v="0"/>
    <n v="0"/>
    <n v="0.73"/>
    <n v="800"/>
    <n v="584"/>
    <x v="185"/>
    <n v="33"/>
    <n v="2024"/>
    <n v="0"/>
    <x v="63"/>
    <n v="0"/>
    <m/>
    <m/>
    <n v="16.666666666666668"/>
    <m/>
    <m/>
    <m/>
    <m/>
    <m/>
    <m/>
    <m/>
    <x v="0"/>
    <x v="305"/>
    <x v="678"/>
    <n v="37347643"/>
    <s v="F-688038.02-0121.SHB.WE36"/>
    <n v="800"/>
    <n v="584"/>
    <m/>
    <m/>
    <s v="20241119-31.08.2024"/>
    <x v="1"/>
    <x v="9"/>
    <x v="1"/>
    <m/>
  </r>
  <r>
    <x v="9"/>
    <x v="0"/>
    <x v="240"/>
    <x v="148"/>
    <x v="154"/>
    <n v="0"/>
    <n v="0"/>
    <n v="0.73"/>
    <n v="1700"/>
    <n v="1241"/>
    <x v="185"/>
    <n v="33"/>
    <n v="2024"/>
    <n v="0"/>
    <x v="63"/>
    <n v="0"/>
    <m/>
    <m/>
    <n v="35.416666666666664"/>
    <m/>
    <m/>
    <m/>
    <m/>
    <m/>
    <m/>
    <m/>
    <x v="0"/>
    <x v="21"/>
    <x v="679"/>
    <n v="37347643"/>
    <s v="F-688038.02-0121.SHB.WE36"/>
    <n v="1700"/>
    <n v="1241"/>
    <m/>
    <m/>
    <s v="20241150-07.09.2024"/>
    <x v="1"/>
    <x v="9"/>
    <x v="1"/>
    <m/>
  </r>
  <r>
    <x v="9"/>
    <x v="0"/>
    <x v="240"/>
    <x v="148"/>
    <x v="154"/>
    <n v="0"/>
    <n v="0"/>
    <n v="0.73"/>
    <n v="2400"/>
    <n v="1752"/>
    <x v="185"/>
    <n v="33"/>
    <n v="2024"/>
    <n v="0"/>
    <x v="63"/>
    <n v="0"/>
    <m/>
    <m/>
    <n v="50"/>
    <m/>
    <m/>
    <m/>
    <m/>
    <m/>
    <m/>
    <m/>
    <x v="0"/>
    <x v="306"/>
    <x v="680"/>
    <n v="37347643"/>
    <s v="F-688038.02-0121.SHB.WE36"/>
    <n v="2400"/>
    <n v="1752"/>
    <m/>
    <m/>
    <s v="20241169-14.09.2024"/>
    <x v="1"/>
    <x v="9"/>
    <x v="1"/>
    <m/>
  </r>
  <r>
    <x v="9"/>
    <x v="0"/>
    <x v="240"/>
    <x v="148"/>
    <x v="154"/>
    <n v="0"/>
    <n v="0"/>
    <n v="0.73"/>
    <n v="2400"/>
    <n v="1752"/>
    <x v="185"/>
    <n v="33"/>
    <n v="2024"/>
    <n v="0"/>
    <x v="63"/>
    <n v="0"/>
    <m/>
    <m/>
    <n v="50"/>
    <m/>
    <m/>
    <m/>
    <m/>
    <m/>
    <m/>
    <m/>
    <x v="0"/>
    <x v="286"/>
    <x v="643"/>
    <n v="37347643"/>
    <s v="F-688038.02-0121.SHB.WE36"/>
    <n v="2400"/>
    <n v="1752"/>
    <m/>
    <m/>
    <s v="20241213-21.09.2024"/>
    <x v="1"/>
    <x v="9"/>
    <x v="1"/>
    <m/>
  </r>
  <r>
    <x v="9"/>
    <x v="0"/>
    <x v="240"/>
    <x v="148"/>
    <x v="154"/>
    <n v="0"/>
    <n v="0"/>
    <n v="0.73"/>
    <n v="2000"/>
    <n v="1460"/>
    <x v="185"/>
    <n v="33"/>
    <n v="2024"/>
    <n v="0"/>
    <x v="63"/>
    <n v="0"/>
    <m/>
    <m/>
    <n v="41.666666666666664"/>
    <m/>
    <m/>
    <m/>
    <m/>
    <m/>
    <m/>
    <m/>
    <x v="0"/>
    <x v="307"/>
    <x v="681"/>
    <n v="37347643"/>
    <s v="F-688038.02-0121.SHB.WE36"/>
    <n v="2000"/>
    <n v="1460"/>
    <m/>
    <m/>
    <s v="20241233-28.09.2024"/>
    <x v="1"/>
    <x v="9"/>
    <x v="1"/>
    <m/>
  </r>
  <r>
    <x v="9"/>
    <x v="0"/>
    <x v="240"/>
    <x v="149"/>
    <x v="154"/>
    <n v="0"/>
    <n v="0"/>
    <n v="0.73"/>
    <n v="2000"/>
    <n v="1460"/>
    <x v="185"/>
    <n v="33"/>
    <n v="2024"/>
    <n v="0"/>
    <x v="63"/>
    <n v="0"/>
    <m/>
    <m/>
    <n v="41.666666666666664"/>
    <m/>
    <m/>
    <m/>
    <m/>
    <m/>
    <m/>
    <m/>
    <x v="0"/>
    <x v="287"/>
    <x v="644"/>
    <n v="37347643"/>
    <s v="F-688038.02-0121.SHB.WE36"/>
    <n v="2000"/>
    <n v="1460"/>
    <m/>
    <m/>
    <s v="20241264-05.10.2024"/>
    <x v="1"/>
    <x v="9"/>
    <x v="1"/>
    <m/>
  </r>
  <r>
    <x v="9"/>
    <x v="0"/>
    <x v="240"/>
    <x v="149"/>
    <x v="154"/>
    <n v="0"/>
    <n v="0"/>
    <n v="0.73"/>
    <n v="950"/>
    <n v="693.5"/>
    <x v="185"/>
    <n v="33"/>
    <n v="2024"/>
    <n v="0"/>
    <x v="63"/>
    <n v="0"/>
    <m/>
    <m/>
    <n v="19.791666666666668"/>
    <m/>
    <m/>
    <m/>
    <m/>
    <m/>
    <m/>
    <m/>
    <x v="0"/>
    <x v="228"/>
    <x v="645"/>
    <n v="37347643"/>
    <s v="F-688038.02-0121.SHB.WE36"/>
    <n v="950"/>
    <n v="693.5"/>
    <m/>
    <m/>
    <s v="20241299-12.10.2024"/>
    <x v="1"/>
    <x v="9"/>
    <x v="1"/>
    <m/>
  </r>
  <r>
    <x v="9"/>
    <x v="0"/>
    <x v="240"/>
    <x v="149"/>
    <x v="154"/>
    <n v="0"/>
    <n v="0"/>
    <n v="0.73"/>
    <n v="900"/>
    <n v="657"/>
    <x v="185"/>
    <n v="33"/>
    <n v="2024"/>
    <n v="0"/>
    <x v="63"/>
    <n v="0"/>
    <m/>
    <m/>
    <n v="18.75"/>
    <m/>
    <m/>
    <m/>
    <m/>
    <m/>
    <m/>
    <m/>
    <x v="0"/>
    <x v="288"/>
    <x v="646"/>
    <n v="37347643"/>
    <s v="F-688038.02-0121.SHB.WE36"/>
    <n v="900"/>
    <n v="657"/>
    <m/>
    <m/>
    <s v="20241327-19.10.2024"/>
    <x v="1"/>
    <x v="9"/>
    <x v="1"/>
    <m/>
  </r>
  <r>
    <x v="9"/>
    <x v="0"/>
    <x v="240"/>
    <x v="149"/>
    <x v="154"/>
    <n v="0"/>
    <n v="0"/>
    <n v="0.73"/>
    <n v="2950"/>
    <n v="2153.5"/>
    <x v="185"/>
    <n v="33"/>
    <n v="2024"/>
    <n v="0"/>
    <x v="63"/>
    <n v="0"/>
    <m/>
    <m/>
    <n v="61.458333333333336"/>
    <m/>
    <m/>
    <m/>
    <m/>
    <m/>
    <m/>
    <m/>
    <x v="0"/>
    <x v="229"/>
    <x v="647"/>
    <n v="37347643"/>
    <s v="F-688038.02-0121.SHB.WE36"/>
    <n v="2950"/>
    <n v="2153.5"/>
    <m/>
    <m/>
    <s v="20241355-28.10.2024"/>
    <x v="1"/>
    <x v="9"/>
    <x v="1"/>
    <m/>
  </r>
  <r>
    <x v="9"/>
    <x v="0"/>
    <x v="240"/>
    <x v="149"/>
    <x v="154"/>
    <n v="0"/>
    <n v="0"/>
    <n v="0.73"/>
    <n v="550"/>
    <n v="401.5"/>
    <x v="185"/>
    <n v="33"/>
    <n v="2024"/>
    <n v="0"/>
    <x v="63"/>
    <n v="0"/>
    <m/>
    <m/>
    <n v="11.458333333333334"/>
    <m/>
    <m/>
    <m/>
    <m/>
    <m/>
    <m/>
    <m/>
    <x v="0"/>
    <x v="89"/>
    <x v="682"/>
    <n v="37347643"/>
    <s v="F-688038.02-0121.SHB.WE36"/>
    <n v="550"/>
    <n v="401.5"/>
    <m/>
    <m/>
    <s v="20241393-05.11.2024"/>
    <x v="1"/>
    <x v="9"/>
    <x v="1"/>
    <m/>
  </r>
  <r>
    <x v="9"/>
    <x v="0"/>
    <x v="240"/>
    <x v="149"/>
    <x v="154"/>
    <n v="0"/>
    <n v="0"/>
    <n v="0.73"/>
    <n v="859"/>
    <n v="627.06999999999994"/>
    <x v="185"/>
    <n v="33"/>
    <n v="2024"/>
    <n v="0"/>
    <x v="63"/>
    <n v="0"/>
    <m/>
    <m/>
    <n v="17.895833333333332"/>
    <m/>
    <m/>
    <m/>
    <m/>
    <m/>
    <m/>
    <m/>
    <x v="0"/>
    <x v="295"/>
    <x v="658"/>
    <n v="37347643"/>
    <s v="F-688038.02-0121.SHB.WE36"/>
    <n v="859"/>
    <n v="627.06999999999994"/>
    <m/>
    <m/>
    <s v="20250111-31.01.2025"/>
    <x v="1"/>
    <x v="9"/>
    <x v="1"/>
    <m/>
  </r>
  <r>
    <x v="9"/>
    <x v="0"/>
    <x v="240"/>
    <x v="149"/>
    <x v="154"/>
    <n v="0"/>
    <n v="0"/>
    <n v="0.73"/>
    <n v="2305"/>
    <n v="1682.6499999999999"/>
    <x v="185"/>
    <n v="33"/>
    <n v="2024"/>
    <n v="0"/>
    <x v="63"/>
    <n v="0"/>
    <m/>
    <m/>
    <n v="48.020833333333336"/>
    <m/>
    <m/>
    <m/>
    <m/>
    <m/>
    <m/>
    <m/>
    <x v="0"/>
    <x v="296"/>
    <x v="683"/>
    <n v="37347643"/>
    <s v="F-688038.02-0121.SHB.WE36"/>
    <n v="2305"/>
    <n v="1682.6499999999999"/>
    <m/>
    <m/>
    <s v="20250247-28.02.2025"/>
    <x v="1"/>
    <x v="9"/>
    <x v="1"/>
    <m/>
  </r>
  <r>
    <x v="9"/>
    <x v="0"/>
    <x v="240"/>
    <x v="149"/>
    <x v="154"/>
    <n v="0"/>
    <n v="0"/>
    <n v="0.73"/>
    <n v="109"/>
    <n v="79.569999999999993"/>
    <x v="185"/>
    <n v="33"/>
    <n v="2024"/>
    <n v="0"/>
    <x v="63"/>
    <n v="0"/>
    <m/>
    <m/>
    <n v="2.2708333333333335"/>
    <m/>
    <m/>
    <m/>
    <m/>
    <m/>
    <s v="Yes"/>
    <m/>
    <x v="0"/>
    <x v="168"/>
    <x v="684"/>
    <n v="37347643"/>
    <s v="F-688038.02-0121.SHB.WE36"/>
    <n v="109"/>
    <n v="79.569999999999993"/>
    <m/>
    <m/>
    <s v="20250351-19.03.2025"/>
    <x v="1"/>
    <x v="9"/>
    <x v="1"/>
    <m/>
  </r>
  <r>
    <x v="9"/>
    <x v="0"/>
    <x v="241"/>
    <x v="108"/>
    <x v="155"/>
    <n v="0"/>
    <n v="0"/>
    <n v="7.71"/>
    <n v="44"/>
    <n v="339.24"/>
    <x v="185"/>
    <n v="33"/>
    <n v="2024"/>
    <n v="0"/>
    <x v="49"/>
    <n v="0"/>
    <m/>
    <s v="project"/>
    <n v="0.91666666666666663"/>
    <s v="no"/>
    <m/>
    <m/>
    <m/>
    <m/>
    <m/>
    <m/>
    <x v="0"/>
    <x v="228"/>
    <x v="685"/>
    <n v="37349251"/>
    <s v="F-688038.02-0211.W.WE36"/>
    <n v="44"/>
    <n v="339.24"/>
    <m/>
    <m/>
    <s v="20241300-12.10.2024"/>
    <x v="1"/>
    <x v="9"/>
    <x v="1"/>
    <m/>
  </r>
  <r>
    <x v="9"/>
    <x v="0"/>
    <x v="241"/>
    <x v="108"/>
    <x v="155"/>
    <n v="0"/>
    <n v="0"/>
    <n v="7.71"/>
    <n v="16"/>
    <n v="123.36"/>
    <x v="185"/>
    <n v="33"/>
    <n v="2024"/>
    <n v="0"/>
    <x v="49"/>
    <n v="0"/>
    <m/>
    <s v="project"/>
    <n v="0.33333333333333331"/>
    <s v="no"/>
    <m/>
    <m/>
    <m/>
    <m/>
    <m/>
    <m/>
    <x v="0"/>
    <x v="288"/>
    <x v="686"/>
    <n v="37349251"/>
    <s v="F-688038.02-0211.W.WE36"/>
    <n v="16"/>
    <n v="123.36"/>
    <m/>
    <m/>
    <s v="20241326-19.10.2024"/>
    <x v="1"/>
    <x v="9"/>
    <x v="1"/>
    <m/>
  </r>
  <r>
    <x v="9"/>
    <x v="0"/>
    <x v="241"/>
    <x v="108"/>
    <x v="155"/>
    <n v="0"/>
    <n v="0"/>
    <n v="7.71"/>
    <n v="78"/>
    <n v="601.38"/>
    <x v="185"/>
    <n v="33"/>
    <n v="2024"/>
    <n v="0"/>
    <x v="49"/>
    <n v="0"/>
    <m/>
    <s v="project"/>
    <n v="1.625"/>
    <s v="no"/>
    <m/>
    <m/>
    <m/>
    <m/>
    <m/>
    <m/>
    <x v="0"/>
    <x v="229"/>
    <x v="687"/>
    <n v="37349251"/>
    <s v="F-688038.02-0211.W.WE36"/>
    <n v="78"/>
    <n v="601.38"/>
    <m/>
    <m/>
    <s v="20241353-28.10.2024"/>
    <x v="1"/>
    <x v="9"/>
    <x v="1"/>
    <m/>
  </r>
  <r>
    <x v="9"/>
    <x v="0"/>
    <x v="241"/>
    <x v="108"/>
    <x v="155"/>
    <n v="0"/>
    <n v="0"/>
    <n v="7.71"/>
    <n v="5"/>
    <n v="38.549999999999997"/>
    <x v="185"/>
    <n v="33"/>
    <n v="2024"/>
    <n v="0"/>
    <x v="49"/>
    <n v="0"/>
    <m/>
    <s v="project"/>
    <n v="0.10416666666666667"/>
    <s v="no"/>
    <m/>
    <m/>
    <m/>
    <m/>
    <m/>
    <m/>
    <x v="0"/>
    <x v="89"/>
    <x v="688"/>
    <n v="37349251"/>
    <s v="F-688038.02-0211.W.WE36"/>
    <n v="5"/>
    <n v="38.549999999999997"/>
    <m/>
    <s v="PPAP"/>
    <s v="20241394-05.11.2024"/>
    <x v="1"/>
    <x v="9"/>
    <x v="1"/>
    <m/>
  </r>
  <r>
    <x v="9"/>
    <x v="0"/>
    <x v="241"/>
    <x v="108"/>
    <x v="155"/>
    <n v="0"/>
    <n v="0"/>
    <n v="7.71"/>
    <n v="82"/>
    <n v="632.22"/>
    <x v="185"/>
    <n v="33"/>
    <n v="2024"/>
    <n v="0"/>
    <x v="49"/>
    <n v="0"/>
    <m/>
    <s v="project"/>
    <n v="1.7083333333333333"/>
    <s v="no"/>
    <m/>
    <m/>
    <m/>
    <m/>
    <m/>
    <m/>
    <x v="0"/>
    <x v="291"/>
    <x v="689"/>
    <n v="37349251"/>
    <s v="F-688038.02-0211.W.WE36"/>
    <n v="82"/>
    <n v="632.22"/>
    <m/>
    <m/>
    <s v="20241578-14.12.2024"/>
    <x v="1"/>
    <x v="9"/>
    <x v="1"/>
    <m/>
  </r>
  <r>
    <x v="9"/>
    <x v="0"/>
    <x v="241"/>
    <x v="108"/>
    <x v="155"/>
    <n v="0"/>
    <n v="0"/>
    <n v="7.71"/>
    <n v="25"/>
    <n v="192.75"/>
    <x v="185"/>
    <n v="33"/>
    <n v="2024"/>
    <n v="0"/>
    <x v="49"/>
    <n v="0"/>
    <m/>
    <s v="project"/>
    <n v="0.52083333333333337"/>
    <s v="no"/>
    <m/>
    <m/>
    <m/>
    <m/>
    <m/>
    <m/>
    <x v="0"/>
    <x v="292"/>
    <x v="690"/>
    <n v="37349251"/>
    <s v="F-688038.02-0211.W.WE36"/>
    <n v="26"/>
    <n v="200.46"/>
    <m/>
    <m/>
    <s v="20241605-20.12.2024"/>
    <x v="1"/>
    <x v="9"/>
    <x v="1"/>
    <m/>
  </r>
  <r>
    <x v="9"/>
    <x v="0"/>
    <x v="239"/>
    <x v="73"/>
    <x v="156"/>
    <s v="shaft"/>
    <n v="0"/>
    <n v="5.92"/>
    <n v="5"/>
    <n v="29.6"/>
    <x v="96"/>
    <n v="19"/>
    <n v="2024"/>
    <n v="0"/>
    <x v="49"/>
    <n v="50"/>
    <m/>
    <s v="project"/>
    <n v="56"/>
    <s v="no"/>
    <m/>
    <m/>
    <m/>
    <m/>
    <m/>
    <n v="242214"/>
    <x v="0"/>
    <x v="78"/>
    <x v="691"/>
    <n v="36654144"/>
    <s v="F-688038.02-0311.W.WE36"/>
    <n v="5"/>
    <n v="29.6"/>
    <m/>
    <m/>
    <s v="20241064-16.08.2024"/>
    <x v="1"/>
    <x v="2"/>
    <x v="1"/>
    <m/>
  </r>
  <r>
    <x v="9"/>
    <x v="0"/>
    <x v="239"/>
    <x v="61"/>
    <x v="156"/>
    <s v="shaft"/>
    <n v="0"/>
    <n v="5.92"/>
    <n v="0"/>
    <n v="0"/>
    <x v="273"/>
    <n v="19"/>
    <n v="2024"/>
    <n v="0"/>
    <x v="49"/>
    <n v="50"/>
    <m/>
    <s v="project"/>
    <n v="0"/>
    <s v="no"/>
    <m/>
    <m/>
    <m/>
    <m/>
    <m/>
    <m/>
    <x v="0"/>
    <x v="81"/>
    <x v="692"/>
    <n v="36654144"/>
    <s v="F-688038.02-0311.W.WE36"/>
    <n v="5"/>
    <n v="29.6"/>
    <m/>
    <m/>
    <m/>
    <x v="1"/>
    <x v="2"/>
    <x v="1"/>
    <m/>
  </r>
  <r>
    <x v="9"/>
    <x v="0"/>
    <x v="241"/>
    <x v="150"/>
    <x v="156"/>
    <s v="shaft"/>
    <n v="0"/>
    <n v="5.92"/>
    <n v="4"/>
    <n v="23.68"/>
    <x v="185"/>
    <n v="33"/>
    <n v="2024"/>
    <n v="0"/>
    <x v="49"/>
    <n v="50"/>
    <m/>
    <s v="project"/>
    <n v="56"/>
    <s v="no"/>
    <m/>
    <m/>
    <m/>
    <m/>
    <s v="Yes"/>
    <m/>
    <x v="0"/>
    <x v="229"/>
    <x v="693"/>
    <n v="37349251"/>
    <s v="F-688038.02-0311.W.WE36"/>
    <n v="4"/>
    <n v="23.68"/>
    <m/>
    <m/>
    <s v="20241357-28.10.2024"/>
    <x v="1"/>
    <x v="9"/>
    <x v="1"/>
    <m/>
  </r>
  <r>
    <x v="9"/>
    <x v="0"/>
    <x v="241"/>
    <x v="150"/>
    <x v="156"/>
    <s v="shaft"/>
    <n v="0"/>
    <n v="5.92"/>
    <n v="48"/>
    <n v="284.15999999999997"/>
    <x v="185"/>
    <n v="33"/>
    <n v="2024"/>
    <n v="0"/>
    <x v="49"/>
    <n v="50"/>
    <m/>
    <s v="project"/>
    <n v="56"/>
    <s v="no"/>
    <m/>
    <m/>
    <m/>
    <m/>
    <m/>
    <m/>
    <x v="0"/>
    <x v="89"/>
    <x v="694"/>
    <n v="37349251"/>
    <s v="F-688038.02-0311.W.WE36"/>
    <n v="48"/>
    <n v="284.15999999999997"/>
    <m/>
    <m/>
    <s v="20241397-05.11.2024"/>
    <x v="1"/>
    <x v="9"/>
    <x v="1"/>
    <m/>
  </r>
  <r>
    <x v="9"/>
    <x v="0"/>
    <x v="241"/>
    <x v="150"/>
    <x v="156"/>
    <s v="shaft"/>
    <n v="0"/>
    <n v="5.92"/>
    <n v="40"/>
    <n v="236.8"/>
    <x v="185"/>
    <n v="33"/>
    <n v="2024"/>
    <n v="0"/>
    <x v="49"/>
    <n v="50"/>
    <m/>
    <s v="project"/>
    <n v="56"/>
    <s v="no"/>
    <m/>
    <m/>
    <m/>
    <m/>
    <m/>
    <m/>
    <x v="0"/>
    <x v="269"/>
    <x v="695"/>
    <n v="37349251"/>
    <s v="F-688038.02-0311.W.WE36"/>
    <n v="40"/>
    <n v="236.8"/>
    <m/>
    <m/>
    <s v="20241423-12.11.2024"/>
    <x v="1"/>
    <x v="9"/>
    <x v="1"/>
    <m/>
  </r>
  <r>
    <x v="9"/>
    <x v="0"/>
    <x v="241"/>
    <x v="150"/>
    <x v="156"/>
    <s v="shaft"/>
    <n v="0"/>
    <n v="5.92"/>
    <n v="39"/>
    <n v="230.88"/>
    <x v="185"/>
    <n v="33"/>
    <n v="2024"/>
    <n v="0"/>
    <x v="49"/>
    <n v="50"/>
    <m/>
    <s v="project"/>
    <n v="56"/>
    <s v="no"/>
    <m/>
    <m/>
    <m/>
    <m/>
    <m/>
    <m/>
    <x v="0"/>
    <x v="270"/>
    <x v="696"/>
    <n v="37349251"/>
    <s v="F-688038.02-0311.W.WE36"/>
    <n v="39"/>
    <n v="230.88"/>
    <m/>
    <m/>
    <s v="20241450-21.11.2024 "/>
    <x v="1"/>
    <x v="9"/>
    <x v="1"/>
    <m/>
  </r>
  <r>
    <x v="9"/>
    <x v="0"/>
    <x v="241"/>
    <x v="150"/>
    <x v="156"/>
    <s v="shaft"/>
    <n v="0"/>
    <n v="5.92"/>
    <n v="21"/>
    <n v="124.32"/>
    <x v="185"/>
    <n v="33"/>
    <n v="2024"/>
    <n v="0"/>
    <x v="49"/>
    <n v="50"/>
    <m/>
    <s v="project"/>
    <n v="56"/>
    <s v="no"/>
    <m/>
    <m/>
    <m/>
    <m/>
    <m/>
    <m/>
    <x v="0"/>
    <x v="245"/>
    <x v="697"/>
    <n v="37349251"/>
    <s v="F-688038.02-0311.W.WE36"/>
    <n v="21"/>
    <n v="124.32"/>
    <m/>
    <m/>
    <s v="20250008-10.01.2025"/>
    <x v="1"/>
    <x v="9"/>
    <x v="1"/>
    <m/>
  </r>
  <r>
    <x v="9"/>
    <x v="0"/>
    <x v="241"/>
    <x v="150"/>
    <x v="156"/>
    <s v="shaft"/>
    <n v="0"/>
    <n v="5.92"/>
    <n v="98"/>
    <n v="580.16"/>
    <x v="185"/>
    <n v="33"/>
    <n v="2024"/>
    <n v="0"/>
    <x v="49"/>
    <n v="50"/>
    <m/>
    <s v="project"/>
    <n v="56"/>
    <s v="no"/>
    <m/>
    <m/>
    <m/>
    <m/>
    <s v="Yes"/>
    <m/>
    <x v="0"/>
    <x v="192"/>
    <x v="698"/>
    <n v="37349251"/>
    <s v="F-688038.02-0311.W.WE36"/>
    <n v="98"/>
    <n v="580.16"/>
    <m/>
    <m/>
    <s v="20250310-12.03.2025"/>
    <x v="1"/>
    <x v="9"/>
    <x v="1"/>
    <m/>
  </r>
  <r>
    <x v="9"/>
    <x v="0"/>
    <x v="242"/>
    <x v="151"/>
    <x v="157"/>
    <n v="0"/>
    <n v="0"/>
    <n v="7.36"/>
    <n v="111"/>
    <n v="816.96"/>
    <x v="274"/>
    <n v="27"/>
    <n v="2024"/>
    <n v="0"/>
    <x v="2"/>
    <n v="0"/>
    <m/>
    <m/>
    <n v="2.3125"/>
    <m/>
    <m/>
    <m/>
    <m/>
    <m/>
    <m/>
    <m/>
    <x v="0"/>
    <x v="12"/>
    <x v="699"/>
    <n v="37357865"/>
    <s v="F-688038.02-0411.WH.WE36"/>
    <n v="111"/>
    <n v="816.96"/>
    <m/>
    <s v="poligrat:260025"/>
    <s v="20250839-30.06.2025"/>
    <x v="1"/>
    <x v="0"/>
    <x v="1"/>
    <m/>
  </r>
  <r>
    <x v="9"/>
    <x v="0"/>
    <x v="242"/>
    <x v="151"/>
    <x v="157"/>
    <n v="0"/>
    <n v="0"/>
    <n v="7.36"/>
    <n v="61"/>
    <n v="448.96000000000004"/>
    <x v="22"/>
    <n v="35"/>
    <n v="2024"/>
    <n v="0"/>
    <x v="49"/>
    <n v="0"/>
    <m/>
    <m/>
    <n v="1.2708333333333333"/>
    <s v="yes"/>
    <m/>
    <m/>
    <m/>
    <m/>
    <m/>
    <m/>
    <x v="0"/>
    <x v="308"/>
    <x v="700"/>
    <n v="37357865"/>
    <s v="F-688038.02-0411.WH.WE36"/>
    <n v="61"/>
    <n v="448.96000000000004"/>
    <m/>
    <s v="aviz poligrat: 202401312"/>
    <s v="20241516 -9/12/2024"/>
    <x v="1"/>
    <x v="9"/>
    <x v="1"/>
    <m/>
  </r>
  <r>
    <x v="9"/>
    <x v="0"/>
    <x v="242"/>
    <x v="151"/>
    <x v="157"/>
    <n v="0"/>
    <n v="0"/>
    <n v="7.36"/>
    <n v="271"/>
    <n v="1994.5600000000002"/>
    <x v="22"/>
    <n v="35"/>
    <n v="2024"/>
    <n v="0"/>
    <x v="49"/>
    <n v="0"/>
    <m/>
    <m/>
    <n v="5.645833333333333"/>
    <s v="yes"/>
    <m/>
    <m/>
    <m/>
    <m/>
    <m/>
    <m/>
    <x v="0"/>
    <x v="283"/>
    <x v="701"/>
    <n v="37357865"/>
    <s v="F-688038.02-0411.WH.WE36"/>
    <n v="271"/>
    <n v="1994.5600000000002"/>
    <m/>
    <s v="aviz poligrat: 202401362"/>
    <s v="20241517 - 9/12/2024"/>
    <x v="1"/>
    <x v="9"/>
    <x v="1"/>
    <m/>
  </r>
  <r>
    <x v="9"/>
    <x v="0"/>
    <x v="242"/>
    <x v="151"/>
    <x v="157"/>
    <n v="0"/>
    <n v="0"/>
    <n v="7.36"/>
    <n v="5"/>
    <n v="36.800000000000004"/>
    <x v="22"/>
    <n v="35"/>
    <n v="2024"/>
    <n v="0"/>
    <x v="49"/>
    <n v="0"/>
    <m/>
    <m/>
    <n v="0.10416666666666667"/>
    <s v="yes"/>
    <m/>
    <m/>
    <m/>
    <m/>
    <m/>
    <m/>
    <x v="0"/>
    <x v="283"/>
    <x v="702"/>
    <n v="37357865"/>
    <s v="F-688038.02-0411.WH.WE36"/>
    <n v="5"/>
    <n v="36.800000000000004"/>
    <m/>
    <s v="ppap - aviz poligrat: 202401363"/>
    <s v="20241518 - 9/12/2024"/>
    <x v="1"/>
    <x v="9"/>
    <x v="1"/>
    <m/>
  </r>
  <r>
    <x v="9"/>
    <x v="0"/>
    <x v="242"/>
    <x v="151"/>
    <x v="157"/>
    <n v="0"/>
    <n v="0"/>
    <n v="7.36"/>
    <n v="753"/>
    <n v="5542.08"/>
    <x v="22"/>
    <n v="35"/>
    <n v="2024"/>
    <n v="0"/>
    <x v="49"/>
    <n v="0"/>
    <m/>
    <m/>
    <n v="15.6875"/>
    <s v="yes"/>
    <m/>
    <m/>
    <m/>
    <m/>
    <m/>
    <m/>
    <x v="0"/>
    <x v="270"/>
    <x v="703"/>
    <n v="37357865"/>
    <s v="F-688038.02-0411.WH.WE36"/>
    <n v="753"/>
    <n v="5542.08"/>
    <m/>
    <s v="aviz poligrat: 202401413"/>
    <s v="202415179 -9/12/2024"/>
    <x v="1"/>
    <x v="9"/>
    <x v="1"/>
    <m/>
  </r>
  <r>
    <x v="9"/>
    <x v="0"/>
    <x v="242"/>
    <x v="151"/>
    <x v="157"/>
    <n v="0"/>
    <n v="0"/>
    <n v="7.36"/>
    <n v="207"/>
    <n v="1523.52"/>
    <x v="22"/>
    <n v="35"/>
    <n v="2024"/>
    <n v="0"/>
    <x v="49"/>
    <n v="0"/>
    <m/>
    <m/>
    <n v="4.3125"/>
    <s v="yes"/>
    <m/>
    <m/>
    <m/>
    <m/>
    <m/>
    <m/>
    <x v="0"/>
    <x v="289"/>
    <x v="704"/>
    <n v="37357865"/>
    <s v="F-688038.02-0411.WH.WE36"/>
    <n v="207"/>
    <n v="1523.52"/>
    <m/>
    <s v="aviz poligrat: 202401443"/>
    <s v="20241522 -9/12/2024"/>
    <x v="1"/>
    <x v="9"/>
    <x v="1"/>
    <m/>
  </r>
  <r>
    <x v="9"/>
    <x v="0"/>
    <x v="242"/>
    <x v="151"/>
    <x v="157"/>
    <n v="0"/>
    <n v="0"/>
    <n v="7.36"/>
    <n v="150"/>
    <n v="1104"/>
    <x v="22"/>
    <n v="35"/>
    <n v="2024"/>
    <n v="0"/>
    <x v="49"/>
    <n v="0"/>
    <m/>
    <m/>
    <n v="3.125"/>
    <s v="yes"/>
    <m/>
    <m/>
    <m/>
    <m/>
    <m/>
    <m/>
    <x v="0"/>
    <x v="90"/>
    <x v="705"/>
    <n v="37357865"/>
    <s v="F-688038.02-0411.WH.WE36"/>
    <n v="150"/>
    <n v="1104"/>
    <m/>
    <s v="aviz poligrat: 202401460"/>
    <s v="20241523 - 9/12/2024"/>
    <x v="1"/>
    <x v="9"/>
    <x v="1"/>
    <m/>
  </r>
  <r>
    <x v="9"/>
    <x v="0"/>
    <x v="242"/>
    <x v="151"/>
    <x v="157"/>
    <n v="0"/>
    <n v="0"/>
    <n v="7.36"/>
    <n v="571"/>
    <n v="4202.5600000000004"/>
    <x v="22"/>
    <n v="35"/>
    <n v="2024"/>
    <n v="0"/>
    <x v="49"/>
    <n v="0"/>
    <m/>
    <m/>
    <n v="11.895833333333334"/>
    <s v="yes"/>
    <m/>
    <m/>
    <m/>
    <m/>
    <m/>
    <m/>
    <x v="0"/>
    <x v="291"/>
    <x v="706"/>
    <n v="37357865"/>
    <s v="F-688038.02-0411.WH.WE36"/>
    <n v="571"/>
    <n v="4202.5600000000004"/>
    <m/>
    <s v="aviz poligrat: 202401540"/>
    <s v="20241585-14.12.2024"/>
    <x v="1"/>
    <x v="9"/>
    <x v="1"/>
    <m/>
  </r>
  <r>
    <x v="9"/>
    <x v="0"/>
    <x v="242"/>
    <x v="151"/>
    <x v="157"/>
    <n v="0"/>
    <n v="0"/>
    <n v="7.36"/>
    <n v="338"/>
    <n v="2487.6800000000003"/>
    <x v="22"/>
    <n v="35"/>
    <n v="2024"/>
    <n v="0"/>
    <x v="49"/>
    <n v="0"/>
    <m/>
    <m/>
    <n v="7.041666666666667"/>
    <s v="yes"/>
    <m/>
    <m/>
    <m/>
    <m/>
    <m/>
    <m/>
    <x v="0"/>
    <x v="291"/>
    <x v="706"/>
    <n v="37357865"/>
    <s v="F-688038.02-0411.WH.WE36"/>
    <n v="338"/>
    <n v="2487.6800000000003"/>
    <m/>
    <s v="aviz poligrat: 202401540"/>
    <s v="20241585-14.12.2024"/>
    <x v="1"/>
    <x v="9"/>
    <x v="1"/>
    <m/>
  </r>
  <r>
    <x v="9"/>
    <x v="0"/>
    <x v="242"/>
    <x v="151"/>
    <x v="157"/>
    <n v="0"/>
    <n v="0"/>
    <n v="7.36"/>
    <n v="712"/>
    <n v="5240.3200000000006"/>
    <x v="22"/>
    <n v="35"/>
    <n v="2024"/>
    <n v="0"/>
    <x v="49"/>
    <n v="0"/>
    <m/>
    <m/>
    <n v="14.833333333333334"/>
    <s v="yes"/>
    <m/>
    <m/>
    <m/>
    <m/>
    <m/>
    <m/>
    <x v="0"/>
    <x v="309"/>
    <x v="707"/>
    <n v="37357865"/>
    <s v="F-688038.02-0411.WH.WE36"/>
    <n v="712"/>
    <n v="5240.3200000000006"/>
    <m/>
    <s v="aviz poligrat: 202401571"/>
    <s v="20241594-18.12.2024"/>
    <x v="1"/>
    <x v="9"/>
    <x v="1"/>
    <m/>
  </r>
  <r>
    <x v="9"/>
    <x v="0"/>
    <x v="242"/>
    <x v="151"/>
    <x v="157"/>
    <n v="0"/>
    <n v="0"/>
    <n v="7.36"/>
    <n v="545"/>
    <n v="4011.2000000000003"/>
    <x v="22"/>
    <n v="35"/>
    <n v="2024"/>
    <n v="0"/>
    <x v="49"/>
    <n v="0"/>
    <m/>
    <m/>
    <n v="11.354166666666666"/>
    <s v="yes"/>
    <m/>
    <m/>
    <m/>
    <m/>
    <m/>
    <m/>
    <x v="0"/>
    <x v="293"/>
    <x v="708"/>
    <n v="37357865"/>
    <s v="F-688038.02-0411.WH.WE36"/>
    <n v="545"/>
    <n v="4011.2000000000003"/>
    <m/>
    <s v="aviz poligrat: BVOLS2552"/>
    <s v="20250057-18.01.2025"/>
    <x v="1"/>
    <x v="9"/>
    <x v="1"/>
    <m/>
  </r>
  <r>
    <x v="9"/>
    <x v="0"/>
    <x v="242"/>
    <x v="151"/>
    <x v="157"/>
    <n v="0"/>
    <n v="0"/>
    <n v="7.36"/>
    <n v="580"/>
    <n v="4268.8"/>
    <x v="22"/>
    <n v="35"/>
    <n v="2024"/>
    <n v="0"/>
    <x v="49"/>
    <n v="0"/>
    <m/>
    <m/>
    <n v="12.083333333333334"/>
    <s v="yes"/>
    <m/>
    <m/>
    <m/>
    <m/>
    <m/>
    <m/>
    <x v="0"/>
    <x v="294"/>
    <x v="709"/>
    <n v="37357865"/>
    <s v="F-688038.02-0411.WH.WE36"/>
    <n v="580"/>
    <n v="4268.8"/>
    <m/>
    <s v="aviz poligrat: 20242047"/>
    <s v="20250080-27.01.2025"/>
    <x v="1"/>
    <x v="9"/>
    <x v="1"/>
    <m/>
  </r>
  <r>
    <x v="9"/>
    <x v="0"/>
    <x v="242"/>
    <x v="151"/>
    <x v="157"/>
    <n v="0"/>
    <n v="0"/>
    <n v="7.36"/>
    <n v="393"/>
    <n v="2892.48"/>
    <x v="22"/>
    <n v="35"/>
    <n v="2024"/>
    <n v="0"/>
    <x v="49"/>
    <n v="0"/>
    <m/>
    <m/>
    <n v="8.1875"/>
    <s v="yes"/>
    <m/>
    <m/>
    <m/>
    <m/>
    <m/>
    <m/>
    <x v="0"/>
    <x v="36"/>
    <x v="710"/>
    <n v="37357865"/>
    <s v="F-688038.02-0411.WH.WE36"/>
    <n v="393"/>
    <n v="2892.48"/>
    <m/>
    <s v="aviz poligrat: 20242061"/>
    <s v="20250175-15.02.2025"/>
    <x v="1"/>
    <x v="9"/>
    <x v="1"/>
    <m/>
  </r>
  <r>
    <x v="9"/>
    <x v="0"/>
    <x v="242"/>
    <x v="151"/>
    <x v="157"/>
    <n v="0"/>
    <n v="0"/>
    <n v="7.36"/>
    <n v="790"/>
    <n v="5814.4000000000005"/>
    <x v="22"/>
    <n v="35"/>
    <n v="2024"/>
    <n v="0"/>
    <x v="49"/>
    <n v="0"/>
    <m/>
    <m/>
    <n v="16.458333333333332"/>
    <s v="yes"/>
    <m/>
    <m/>
    <m/>
    <m/>
    <m/>
    <m/>
    <x v="0"/>
    <x v="296"/>
    <x v="711"/>
    <n v="37357865"/>
    <s v="F-688038.02-0411.WH.WE36"/>
    <n v="790"/>
    <n v="5814.4000000000005"/>
    <m/>
    <s v="aviz poligrat: 25289"/>
    <s v="20250250-28.02.2025"/>
    <x v="1"/>
    <x v="9"/>
    <x v="1"/>
    <m/>
  </r>
  <r>
    <x v="9"/>
    <x v="0"/>
    <x v="242"/>
    <x v="151"/>
    <x v="157"/>
    <n v="0"/>
    <n v="0"/>
    <n v="7.36"/>
    <n v="245"/>
    <n v="1803.2"/>
    <x v="22"/>
    <n v="35"/>
    <n v="2024"/>
    <n v="0"/>
    <x v="49"/>
    <n v="0"/>
    <m/>
    <m/>
    <n v="5.104166666666667"/>
    <s v="yes"/>
    <m/>
    <m/>
    <m/>
    <m/>
    <m/>
    <m/>
    <x v="0"/>
    <x v="297"/>
    <x v="712"/>
    <n v="37357865"/>
    <s v="F-688038.02-0411.WH.WE36"/>
    <n v="245"/>
    <n v="1803.2"/>
    <m/>
    <s v="aviz poligrat: 20242073"/>
    <s v="20250297-08.03.2025"/>
    <x v="1"/>
    <x v="9"/>
    <x v="1"/>
    <m/>
  </r>
  <r>
    <x v="9"/>
    <x v="0"/>
    <x v="242"/>
    <x v="151"/>
    <x v="157"/>
    <n v="0"/>
    <n v="0"/>
    <n v="7.36"/>
    <n v="592"/>
    <n v="4357.12"/>
    <x v="22"/>
    <n v="35"/>
    <n v="2024"/>
    <n v="0"/>
    <x v="49"/>
    <n v="0"/>
    <m/>
    <m/>
    <n v="12.333333333333334"/>
    <s v="yes"/>
    <m/>
    <m/>
    <m/>
    <m/>
    <m/>
    <m/>
    <x v="0"/>
    <x v="298"/>
    <x v="713"/>
    <n v="37357865"/>
    <s v="F-688038.02-0411.WH.WE36"/>
    <n v="592"/>
    <n v="4357.12"/>
    <m/>
    <s v="aviz poligrat: 20242079"/>
    <s v="20250330-15.03.2025"/>
    <x v="1"/>
    <x v="9"/>
    <x v="1"/>
    <m/>
  </r>
  <r>
    <x v="9"/>
    <x v="0"/>
    <x v="242"/>
    <x v="151"/>
    <x v="157"/>
    <n v="0"/>
    <n v="0"/>
    <n v="7.36"/>
    <n v="343"/>
    <n v="2524.48"/>
    <x v="22"/>
    <n v="35"/>
    <n v="2024"/>
    <n v="0"/>
    <x v="49"/>
    <n v="0"/>
    <m/>
    <m/>
    <n v="7.145833333333333"/>
    <s v="yes"/>
    <m/>
    <m/>
    <m/>
    <m/>
    <m/>
    <m/>
    <x v="0"/>
    <x v="301"/>
    <x v="714"/>
    <n v="37357865"/>
    <s v="F-688038.02-0411.WH.WE36"/>
    <n v="343"/>
    <n v="2524.48"/>
    <m/>
    <s v="aviz Poligrat 25593"/>
    <s v="20250506-11.04.2025"/>
    <x v="1"/>
    <x v="9"/>
    <x v="1"/>
    <m/>
  </r>
  <r>
    <x v="9"/>
    <x v="0"/>
    <x v="242"/>
    <x v="151"/>
    <x v="157"/>
    <n v="0"/>
    <n v="0"/>
    <n v="7.36"/>
    <n v="563"/>
    <n v="4143.68"/>
    <x v="22"/>
    <n v="35"/>
    <n v="2024"/>
    <n v="0"/>
    <x v="49"/>
    <n v="0"/>
    <m/>
    <m/>
    <n v="11.729166666666666"/>
    <s v="yes"/>
    <m/>
    <m/>
    <m/>
    <m/>
    <m/>
    <m/>
    <x v="0"/>
    <x v="96"/>
    <x v="715"/>
    <n v="37357865"/>
    <s v="F-688038.02-0411.WH.WE36"/>
    <n v="563"/>
    <n v="4143.68"/>
    <m/>
    <s v="aviz Poligrat: 25646"/>
    <s v="20250535-22.04.2025"/>
    <x v="1"/>
    <x v="9"/>
    <x v="1"/>
    <m/>
  </r>
  <r>
    <x v="9"/>
    <x v="0"/>
    <x v="242"/>
    <x v="151"/>
    <x v="157"/>
    <n v="0"/>
    <n v="0"/>
    <n v="7.36"/>
    <n v="230"/>
    <n v="1692.8000000000002"/>
    <x v="22"/>
    <n v="35"/>
    <n v="2024"/>
    <n v="0"/>
    <x v="49"/>
    <n v="0"/>
    <m/>
    <m/>
    <n v="4.791666666666667"/>
    <m/>
    <m/>
    <m/>
    <m/>
    <m/>
    <m/>
    <m/>
    <x v="0"/>
    <x v="302"/>
    <x v="716"/>
    <n v="37357865"/>
    <s v="F-688038.02-0411.WH.WE36"/>
    <n v="230"/>
    <n v="1692.8000000000002"/>
    <m/>
    <s v="poligrat: 25712"/>
    <s v="20250577-01.05.2025"/>
    <x v="1"/>
    <x v="9"/>
    <x v="1"/>
    <m/>
  </r>
  <r>
    <x v="9"/>
    <x v="0"/>
    <x v="242"/>
    <x v="151"/>
    <x v="157"/>
    <n v="0"/>
    <n v="0"/>
    <n v="7.36"/>
    <n v="51"/>
    <n v="375.36"/>
    <x v="22"/>
    <n v="35"/>
    <n v="2024"/>
    <n v="0"/>
    <x v="49"/>
    <n v="0"/>
    <m/>
    <m/>
    <n v="1.0625"/>
    <m/>
    <m/>
    <m/>
    <m/>
    <m/>
    <m/>
    <m/>
    <x v="0"/>
    <x v="139"/>
    <x v="717"/>
    <n v="37357865"/>
    <s v="F-688038.02-0411.WH.WE36"/>
    <n v="51"/>
    <n v="375.36"/>
    <m/>
    <s v="poligrat:25746"/>
    <s v="20250604-09.05.2025"/>
    <x v="1"/>
    <x v="9"/>
    <x v="1"/>
    <m/>
  </r>
  <r>
    <x v="9"/>
    <x v="0"/>
    <x v="242"/>
    <x v="151"/>
    <x v="157"/>
    <n v="0"/>
    <n v="0"/>
    <n v="7.36"/>
    <n v="24"/>
    <n v="176.64000000000001"/>
    <x v="22"/>
    <n v="35"/>
    <n v="2024"/>
    <n v="0"/>
    <x v="49"/>
    <n v="0"/>
    <m/>
    <m/>
    <n v="0.5"/>
    <s v="yes"/>
    <m/>
    <m/>
    <m/>
    <m/>
    <m/>
    <m/>
    <x v="1"/>
    <x v="3"/>
    <x v="4"/>
    <s v=""/>
    <s v=""/>
    <m/>
    <n v="0"/>
    <m/>
    <m/>
    <m/>
    <x v="1"/>
    <x v="9"/>
    <x v="1"/>
    <m/>
  </r>
  <r>
    <x v="9"/>
    <x v="0"/>
    <x v="240"/>
    <x v="95"/>
    <x v="158"/>
    <n v="0"/>
    <n v="0"/>
    <n v="3.57"/>
    <n v="5"/>
    <n v="17.849999999999998"/>
    <x v="185"/>
    <n v="33"/>
    <n v="2024"/>
    <n v="0"/>
    <x v="64"/>
    <n v="0"/>
    <m/>
    <m/>
    <n v="0.10416666666666667"/>
    <m/>
    <m/>
    <m/>
    <m/>
    <m/>
    <m/>
    <m/>
    <x v="0"/>
    <x v="303"/>
    <x v="718"/>
    <n v="37347643"/>
    <s v="F-688038.02-0421.GEH.WE36"/>
    <n v="5"/>
    <n v="17.849999999999998"/>
    <m/>
    <s v="pt PPAP"/>
    <s v="20241068-16.08.2024"/>
    <x v="0"/>
    <x v="9"/>
    <x v="1"/>
    <m/>
  </r>
  <r>
    <x v="9"/>
    <x v="0"/>
    <x v="240"/>
    <x v="95"/>
    <x v="158"/>
    <n v="0"/>
    <n v="0"/>
    <n v="3.57"/>
    <n v="528"/>
    <n v="1884.9599999999998"/>
    <x v="185"/>
    <n v="33"/>
    <n v="2024"/>
    <n v="0"/>
    <x v="64"/>
    <n v="0"/>
    <m/>
    <m/>
    <n v="11"/>
    <m/>
    <m/>
    <m/>
    <m/>
    <m/>
    <m/>
    <m/>
    <x v="0"/>
    <x v="304"/>
    <x v="677"/>
    <n v="37347643"/>
    <s v="F-688038.02-0421.GEH.WE36"/>
    <n v="0"/>
    <n v="0"/>
    <m/>
    <s v="returnate"/>
    <s v="20241096-26.08.2024/20241220-26.09.2024"/>
    <x v="1"/>
    <x v="9"/>
    <x v="1"/>
    <m/>
  </r>
  <r>
    <x v="9"/>
    <x v="0"/>
    <x v="240"/>
    <x v="95"/>
    <x v="158"/>
    <n v="0"/>
    <n v="0"/>
    <n v="3.57"/>
    <n v="616"/>
    <n v="2199.12"/>
    <x v="185"/>
    <n v="33"/>
    <n v="2024"/>
    <n v="0"/>
    <x v="64"/>
    <n v="0"/>
    <m/>
    <m/>
    <n v="12.833333333333334"/>
    <m/>
    <m/>
    <m/>
    <m/>
    <m/>
    <m/>
    <m/>
    <x v="0"/>
    <x v="305"/>
    <x v="678"/>
    <n v="37347643"/>
    <s v="F-688038.02-0421.GEH.WE36"/>
    <n v="0"/>
    <n v="0"/>
    <m/>
    <s v="returnate"/>
    <s v="20241119-31.08.2024/20241221-26.09.2024"/>
    <x v="1"/>
    <x v="9"/>
    <x v="1"/>
    <m/>
  </r>
  <r>
    <x v="9"/>
    <x v="0"/>
    <x v="240"/>
    <x v="95"/>
    <x v="158"/>
    <n v="0"/>
    <n v="0"/>
    <n v="3.57"/>
    <n v="792"/>
    <n v="2827.44"/>
    <x v="185"/>
    <n v="33"/>
    <n v="2024"/>
    <n v="0"/>
    <x v="64"/>
    <n v="0"/>
    <m/>
    <m/>
    <n v="16.5"/>
    <m/>
    <m/>
    <m/>
    <m/>
    <m/>
    <m/>
    <m/>
    <x v="0"/>
    <x v="21"/>
    <x v="679"/>
    <n v="37347643"/>
    <s v="F-688038.02-0421.GEH.WE36"/>
    <n v="0"/>
    <n v="0"/>
    <m/>
    <s v="returnate"/>
    <s v="20241150-07.09.2024/20241222-26.09.2024"/>
    <x v="1"/>
    <x v="9"/>
    <x v="1"/>
    <m/>
  </r>
  <r>
    <x v="9"/>
    <x v="0"/>
    <x v="240"/>
    <x v="95"/>
    <x v="158"/>
    <n v="0"/>
    <n v="0"/>
    <n v="3.57"/>
    <n v="352"/>
    <n v="1256.6399999999999"/>
    <x v="185"/>
    <n v="33"/>
    <n v="2024"/>
    <n v="0"/>
    <x v="64"/>
    <n v="0"/>
    <m/>
    <m/>
    <n v="7.333333333333333"/>
    <m/>
    <m/>
    <m/>
    <m/>
    <m/>
    <m/>
    <m/>
    <x v="0"/>
    <x v="306"/>
    <x v="680"/>
    <n v="37347643"/>
    <s v="F-688038.02-0421.GEH.WE36"/>
    <n v="352"/>
    <n v="1256.6399999999999"/>
    <m/>
    <m/>
    <s v="20241169-14.09.2024"/>
    <x v="1"/>
    <x v="9"/>
    <x v="1"/>
    <m/>
  </r>
  <r>
    <x v="9"/>
    <x v="0"/>
    <x v="240"/>
    <x v="95"/>
    <x v="158"/>
    <n v="0"/>
    <n v="0"/>
    <n v="3.57"/>
    <n v="352"/>
    <n v="1256.6399999999999"/>
    <x v="185"/>
    <n v="33"/>
    <n v="2024"/>
    <n v="0"/>
    <x v="64"/>
    <n v="0"/>
    <m/>
    <m/>
    <n v="7.333333333333333"/>
    <m/>
    <m/>
    <m/>
    <m/>
    <m/>
    <m/>
    <m/>
    <x v="0"/>
    <x v="286"/>
    <x v="643"/>
    <n v="37347643"/>
    <s v="F-688038.02-0421.GEH.WE36"/>
    <n v="275"/>
    <n v="981.75"/>
    <n v="5"/>
    <s v="5 pcs NOK for TEST"/>
    <s v="20241213-21.09.2024/20241420-14.11.2024"/>
    <x v="1"/>
    <x v="9"/>
    <x v="1"/>
    <m/>
  </r>
  <r>
    <x v="9"/>
    <x v="0"/>
    <x v="240"/>
    <x v="95"/>
    <x v="158"/>
    <n v="0"/>
    <n v="0"/>
    <n v="3.57"/>
    <n v="968"/>
    <n v="3455.7599999999998"/>
    <x v="185"/>
    <n v="33"/>
    <n v="2024"/>
    <n v="0"/>
    <x v="64"/>
    <n v="0"/>
    <m/>
    <m/>
    <n v="20.166666666666668"/>
    <m/>
    <m/>
    <m/>
    <m/>
    <m/>
    <m/>
    <m/>
    <x v="0"/>
    <x v="307"/>
    <x v="681"/>
    <n v="37347643"/>
    <s v="F-688038.02-0421.GEH.WE36"/>
    <n v="968"/>
    <n v="3455.7599999999998"/>
    <m/>
    <m/>
    <s v="20241233-28.09.2024"/>
    <x v="1"/>
    <x v="9"/>
    <x v="1"/>
    <m/>
  </r>
  <r>
    <x v="9"/>
    <x v="0"/>
    <x v="240"/>
    <x v="95"/>
    <x v="158"/>
    <n v="0"/>
    <n v="0"/>
    <n v="3.57"/>
    <n v="269"/>
    <n v="960.32999999999993"/>
    <x v="185"/>
    <n v="33"/>
    <n v="2024"/>
    <n v="0"/>
    <x v="64"/>
    <n v="0"/>
    <m/>
    <m/>
    <n v="5.604166666666667"/>
    <m/>
    <m/>
    <m/>
    <m/>
    <m/>
    <m/>
    <m/>
    <x v="0"/>
    <x v="287"/>
    <x v="644"/>
    <n v="37347643"/>
    <s v="F-688038.02-0421.GEH.WE36"/>
    <n v="269"/>
    <n v="960.32999999999993"/>
    <m/>
    <s v="5 PPAP"/>
    <s v="20241264-05.10.2024"/>
    <x v="1"/>
    <x v="9"/>
    <x v="1"/>
    <m/>
  </r>
  <r>
    <x v="9"/>
    <x v="0"/>
    <x v="240"/>
    <x v="95"/>
    <x v="158"/>
    <n v="0"/>
    <n v="0"/>
    <n v="3.57"/>
    <n v="264"/>
    <n v="942.4799999999999"/>
    <x v="185"/>
    <n v="33"/>
    <n v="2024"/>
    <n v="0"/>
    <x v="64"/>
    <n v="0"/>
    <m/>
    <m/>
    <n v="5.5"/>
    <m/>
    <m/>
    <m/>
    <m/>
    <m/>
    <m/>
    <m/>
    <x v="0"/>
    <x v="288"/>
    <x v="646"/>
    <n v="37347643"/>
    <s v="F-688038.02-0421.GEH.WE36"/>
    <n v="264"/>
    <n v="942.4799999999999"/>
    <m/>
    <m/>
    <s v="20241327-19.10.2024"/>
    <x v="1"/>
    <x v="9"/>
    <x v="1"/>
    <m/>
  </r>
  <r>
    <x v="9"/>
    <x v="0"/>
    <x v="240"/>
    <x v="114"/>
    <x v="158"/>
    <n v="0"/>
    <n v="0"/>
    <n v="3.57"/>
    <n v="1320"/>
    <n v="4712.3999999999996"/>
    <x v="185"/>
    <n v="33"/>
    <n v="2024"/>
    <n v="0"/>
    <x v="64"/>
    <n v="0"/>
    <m/>
    <m/>
    <n v="27.5"/>
    <m/>
    <m/>
    <m/>
    <m/>
    <m/>
    <m/>
    <m/>
    <x v="0"/>
    <x v="229"/>
    <x v="719"/>
    <n v="37347643"/>
    <s v="F-688038.02-0421.GEH.WE36"/>
    <n v="1320"/>
    <n v="4712.3999999999996"/>
    <m/>
    <s v="initial 1320, stornate 264 "/>
    <s v="20241352-28.10.2024 / 20241564-17/12/2024"/>
    <x v="1"/>
    <x v="9"/>
    <x v="1"/>
    <m/>
  </r>
  <r>
    <x v="9"/>
    <x v="0"/>
    <x v="240"/>
    <x v="114"/>
    <x v="158"/>
    <n v="0"/>
    <n v="0"/>
    <n v="3.57"/>
    <n v="1232"/>
    <n v="4398.24"/>
    <x v="185"/>
    <n v="33"/>
    <n v="2024"/>
    <n v="0"/>
    <x v="64"/>
    <n v="0"/>
    <m/>
    <m/>
    <n v="25.666666666666668"/>
    <m/>
    <m/>
    <m/>
    <m/>
    <m/>
    <m/>
    <m/>
    <x v="0"/>
    <x v="89"/>
    <x v="682"/>
    <n v="37347643"/>
    <s v="F-688038.02-0421.GEH.WE36"/>
    <n v="1232"/>
    <n v="4398.24"/>
    <m/>
    <m/>
    <s v="20241393-05.11.2024"/>
    <x v="1"/>
    <x v="9"/>
    <x v="1"/>
    <m/>
  </r>
  <r>
    <x v="9"/>
    <x v="0"/>
    <x v="240"/>
    <x v="114"/>
    <x v="158"/>
    <n v="0"/>
    <n v="0"/>
    <n v="3.57"/>
    <n v="264"/>
    <n v="942.4799999999999"/>
    <x v="185"/>
    <n v="33"/>
    <n v="2024"/>
    <n v="0"/>
    <x v="64"/>
    <n v="0"/>
    <m/>
    <m/>
    <n v="5.5"/>
    <m/>
    <m/>
    <m/>
    <m/>
    <m/>
    <m/>
    <m/>
    <x v="0"/>
    <x v="269"/>
    <x v="649"/>
    <n v="37347643"/>
    <s v="F-688038.02-0421.GEH.WE36"/>
    <n v="264"/>
    <n v="942.4799999999999"/>
    <m/>
    <m/>
    <s v="20241425-12.11.2024"/>
    <x v="1"/>
    <x v="9"/>
    <x v="1"/>
    <m/>
  </r>
  <r>
    <x v="9"/>
    <x v="0"/>
    <x v="240"/>
    <x v="114"/>
    <x v="158"/>
    <n v="0"/>
    <n v="0"/>
    <n v="3.57"/>
    <n v="616"/>
    <n v="2199.12"/>
    <x v="185"/>
    <n v="33"/>
    <n v="2024"/>
    <n v="0"/>
    <x v="64"/>
    <n v="0"/>
    <m/>
    <m/>
    <n v="12.833333333333334"/>
    <m/>
    <m/>
    <m/>
    <m/>
    <m/>
    <m/>
    <m/>
    <x v="0"/>
    <x v="270"/>
    <x v="650"/>
    <n v="37347643"/>
    <s v="F-688038.02-0421.GEH.WE36"/>
    <n v="616"/>
    <n v="2199.12"/>
    <m/>
    <m/>
    <s v="20241451-21.11.2024"/>
    <x v="1"/>
    <x v="9"/>
    <x v="1"/>
    <m/>
  </r>
  <r>
    <x v="9"/>
    <x v="0"/>
    <x v="240"/>
    <x v="114"/>
    <x v="158"/>
    <n v="0"/>
    <n v="0"/>
    <n v="3.57"/>
    <n v="726"/>
    <n v="2591.8199999999997"/>
    <x v="185"/>
    <n v="33"/>
    <n v="2024"/>
    <n v="0"/>
    <x v="64"/>
    <n v="0"/>
    <m/>
    <m/>
    <n v="15.125"/>
    <m/>
    <m/>
    <m/>
    <m/>
    <m/>
    <m/>
    <m/>
    <x v="0"/>
    <x v="289"/>
    <x v="651"/>
    <n v="37347643"/>
    <s v="F-688038.02-0421.GEH.WE36"/>
    <n v="726"/>
    <n v="2591.8199999999997"/>
    <m/>
    <m/>
    <s v="20241486-26.11.2024"/>
    <x v="1"/>
    <x v="9"/>
    <x v="1"/>
    <m/>
  </r>
  <r>
    <x v="9"/>
    <x v="0"/>
    <x v="240"/>
    <x v="114"/>
    <x v="158"/>
    <n v="0"/>
    <n v="0"/>
    <n v="3.57"/>
    <n v="880"/>
    <n v="3141.6"/>
    <x v="185"/>
    <n v="33"/>
    <n v="2024"/>
    <n v="0"/>
    <x v="64"/>
    <n v="0"/>
    <m/>
    <m/>
    <n v="18.333333333333332"/>
    <m/>
    <m/>
    <m/>
    <m/>
    <m/>
    <m/>
    <m/>
    <x v="0"/>
    <x v="90"/>
    <x v="652"/>
    <n v="37347643"/>
    <s v="F-688038.02-0421.GEH.WE36"/>
    <n v="880"/>
    <n v="3141.6"/>
    <m/>
    <m/>
    <s v="20241505-03.12.2024"/>
    <x v="1"/>
    <x v="9"/>
    <x v="1"/>
    <m/>
  </r>
  <r>
    <x v="9"/>
    <x v="0"/>
    <x v="240"/>
    <x v="114"/>
    <x v="158"/>
    <n v="0"/>
    <n v="0"/>
    <n v="3.57"/>
    <n v="72"/>
    <n v="257.03999999999996"/>
    <x v="185"/>
    <n v="33"/>
    <n v="2024"/>
    <n v="0"/>
    <x v="64"/>
    <n v="0"/>
    <m/>
    <m/>
    <n v="1.5"/>
    <m/>
    <m/>
    <m/>
    <m/>
    <m/>
    <m/>
    <m/>
    <x v="0"/>
    <x v="290"/>
    <x v="653"/>
    <n v="37347643"/>
    <s v="F-688038.02-0421.GEH.WE36"/>
    <n v="72"/>
    <n v="257.03999999999996"/>
    <m/>
    <m/>
    <s v="20241532-06.12.2024"/>
    <x v="1"/>
    <x v="9"/>
    <x v="1"/>
    <m/>
  </r>
  <r>
    <x v="9"/>
    <x v="0"/>
    <x v="240"/>
    <x v="114"/>
    <x v="158"/>
    <n v="0"/>
    <n v="0"/>
    <n v="3.57"/>
    <n v="264"/>
    <n v="942.4799999999999"/>
    <x v="185"/>
    <n v="33"/>
    <n v="2024"/>
    <n v="0"/>
    <x v="64"/>
    <n v="0"/>
    <m/>
    <m/>
    <n v="5.5"/>
    <m/>
    <m/>
    <m/>
    <m/>
    <m/>
    <m/>
    <m/>
    <x v="0"/>
    <x v="291"/>
    <x v="720"/>
    <n v="37347643"/>
    <s v="F-688038.02-0421.GEH.WE36"/>
    <n v="237"/>
    <n v="846.08999999999992"/>
    <m/>
    <s v="27 returnate 07.04.2025"/>
    <s v="20241579-14.12.2024/20250461-08.04.2025"/>
    <x v="1"/>
    <x v="9"/>
    <x v="1"/>
    <m/>
  </r>
  <r>
    <x v="9"/>
    <x v="0"/>
    <x v="240"/>
    <x v="114"/>
    <x v="158"/>
    <n v="0"/>
    <n v="0"/>
    <n v="3.57"/>
    <n v="480"/>
    <n v="1713.6"/>
    <x v="185"/>
    <n v="33"/>
    <n v="2024"/>
    <n v="0"/>
    <x v="64"/>
    <n v="0"/>
    <m/>
    <m/>
    <n v="10"/>
    <m/>
    <m/>
    <m/>
    <m/>
    <m/>
    <m/>
    <m/>
    <x v="0"/>
    <x v="291"/>
    <x v="720"/>
    <n v="37347643"/>
    <s v="F-688038.02-0421.GEH.WE36"/>
    <n v="0"/>
    <n v="0"/>
    <m/>
    <s v="480 returnate 07.04.2025"/>
    <s v="20241579-14.12.2024/20250461-08.04.2025"/>
    <x v="1"/>
    <x v="9"/>
    <x v="1"/>
    <m/>
  </r>
  <r>
    <x v="9"/>
    <x v="0"/>
    <x v="240"/>
    <x v="114"/>
    <x v="158"/>
    <n v="0"/>
    <n v="0"/>
    <n v="3.57"/>
    <n v="374"/>
    <n v="1335.1799999999998"/>
    <x v="185"/>
    <n v="33"/>
    <n v="2024"/>
    <n v="0"/>
    <x v="64"/>
    <n v="0"/>
    <m/>
    <m/>
    <n v="7.791666666666667"/>
    <m/>
    <m/>
    <m/>
    <m/>
    <m/>
    <m/>
    <m/>
    <x v="0"/>
    <x v="292"/>
    <x v="721"/>
    <n v="37347643"/>
    <s v="F-688038.02-0421.GEH.WE36"/>
    <n v="374"/>
    <n v="1335.1799999999998"/>
    <m/>
    <m/>
    <s v="20241608-20.12.2024"/>
    <x v="1"/>
    <x v="9"/>
    <x v="1"/>
    <m/>
  </r>
  <r>
    <x v="9"/>
    <x v="0"/>
    <x v="240"/>
    <x v="114"/>
    <x v="158"/>
    <n v="0"/>
    <n v="0"/>
    <n v="3.57"/>
    <n v="424"/>
    <n v="1513.6799999999998"/>
    <x v="185"/>
    <n v="33"/>
    <n v="2024"/>
    <n v="0"/>
    <x v="64"/>
    <n v="0"/>
    <m/>
    <m/>
    <n v="8.8333333333333339"/>
    <m/>
    <m/>
    <m/>
    <m/>
    <m/>
    <m/>
    <m/>
    <x v="0"/>
    <x v="294"/>
    <x v="657"/>
    <n v="37347643"/>
    <s v="F-688038.02-0421.GEH.WE36"/>
    <n v="0"/>
    <n v="0"/>
    <m/>
    <s v="424 nok retur in 07.04.2025"/>
    <s v="20250077-27.01.2025/20250462-08.04.2025"/>
    <x v="1"/>
    <x v="9"/>
    <x v="1"/>
    <m/>
  </r>
  <r>
    <x v="9"/>
    <x v="0"/>
    <x v="240"/>
    <x v="114"/>
    <x v="158"/>
    <n v="0"/>
    <n v="0"/>
    <n v="3.57"/>
    <n v="264"/>
    <n v="942.4799999999999"/>
    <x v="185"/>
    <n v="33"/>
    <n v="2024"/>
    <n v="0"/>
    <x v="64"/>
    <n v="0"/>
    <m/>
    <m/>
    <n v="5.5"/>
    <m/>
    <m/>
    <m/>
    <m/>
    <m/>
    <m/>
    <m/>
    <x v="0"/>
    <x v="295"/>
    <x v="658"/>
    <n v="37347643"/>
    <s v="F-688038.02-0421.GEH.WE36"/>
    <n v="264"/>
    <n v="942.4799999999999"/>
    <m/>
    <m/>
    <s v="20250111-31.01.2025"/>
    <x v="1"/>
    <x v="9"/>
    <x v="1"/>
    <m/>
  </r>
  <r>
    <x v="9"/>
    <x v="0"/>
    <x v="240"/>
    <x v="114"/>
    <x v="158"/>
    <n v="0"/>
    <n v="0"/>
    <n v="3.57"/>
    <n v="244"/>
    <n v="871.07999999999993"/>
    <x v="185"/>
    <n v="33"/>
    <n v="2024"/>
    <n v="0"/>
    <x v="64"/>
    <n v="0"/>
    <m/>
    <m/>
    <n v="5.083333333333333"/>
    <m/>
    <m/>
    <m/>
    <m/>
    <m/>
    <m/>
    <m/>
    <x v="0"/>
    <x v="36"/>
    <x v="722"/>
    <n v="37347643"/>
    <s v="F-688038.02-0421.GEH.WE36"/>
    <n v="244"/>
    <n v="871.07999999999993"/>
    <m/>
    <s v="aviz de mana: 20242060"/>
    <s v="20250174-15.02.2025"/>
    <x v="1"/>
    <x v="9"/>
    <x v="1"/>
    <m/>
  </r>
  <r>
    <x v="9"/>
    <x v="0"/>
    <x v="240"/>
    <x v="114"/>
    <x v="158"/>
    <n v="0"/>
    <n v="0"/>
    <n v="3.57"/>
    <n v="425"/>
    <n v="1517.25"/>
    <x v="185"/>
    <n v="33"/>
    <n v="2024"/>
    <n v="0"/>
    <x v="64"/>
    <n v="0"/>
    <m/>
    <m/>
    <n v="8.8541666666666661"/>
    <m/>
    <m/>
    <m/>
    <m/>
    <m/>
    <m/>
    <m/>
    <x v="0"/>
    <x v="296"/>
    <x v="683"/>
    <n v="37347643"/>
    <s v="F-688038.02-0421.GEH.WE36"/>
    <n v="425"/>
    <n v="1517.25"/>
    <m/>
    <m/>
    <s v="20250247-28.02.2025"/>
    <x v="1"/>
    <x v="9"/>
    <x v="1"/>
    <m/>
  </r>
  <r>
    <x v="9"/>
    <x v="0"/>
    <x v="240"/>
    <x v="114"/>
    <x v="158"/>
    <n v="0"/>
    <n v="0"/>
    <n v="3.57"/>
    <n v="106"/>
    <n v="378.41999999999996"/>
    <x v="185"/>
    <n v="33"/>
    <n v="2024"/>
    <n v="0"/>
    <x v="64"/>
    <n v="0"/>
    <m/>
    <m/>
    <n v="2.2083333333333335"/>
    <m/>
    <m/>
    <m/>
    <m/>
    <m/>
    <s v="yes - 4400"/>
    <m/>
    <x v="0"/>
    <x v="230"/>
    <x v="723"/>
    <n v="37347643"/>
    <s v="F-688038.02-0421.GEH.WE36"/>
    <n v="106"/>
    <n v="378.41999999999996"/>
    <m/>
    <m/>
    <s v="20250277-05.03.2025"/>
    <x v="1"/>
    <x v="9"/>
    <x v="1"/>
    <m/>
  </r>
  <r>
    <x v="9"/>
    <x v="0"/>
    <x v="240"/>
    <x v="114"/>
    <x v="158"/>
    <n v="0"/>
    <n v="0"/>
    <n v="3.57"/>
    <n v="372"/>
    <n v="1328.04"/>
    <x v="185"/>
    <n v="33"/>
    <n v="2024"/>
    <n v="0"/>
    <x v="64"/>
    <n v="0"/>
    <m/>
    <m/>
    <n v="7.75"/>
    <m/>
    <m/>
    <m/>
    <m/>
    <m/>
    <m/>
    <m/>
    <x v="0"/>
    <x v="298"/>
    <x v="663"/>
    <n v="37347643"/>
    <s v="F-688038.02-0421.GEH.WE36"/>
    <n v="180"/>
    <n v="642.6"/>
    <m/>
    <s v="aviz de mana: 20242081/192 nok returnate 07.04.2025"/>
    <s v="20250329-15.03.2025/20250463-08.04.2025"/>
    <x v="1"/>
    <x v="9"/>
    <x v="1"/>
    <m/>
  </r>
  <r>
    <x v="9"/>
    <x v="0"/>
    <x v="240"/>
    <x v="114"/>
    <x v="158"/>
    <n v="0"/>
    <n v="0"/>
    <n v="3.57"/>
    <n v="203"/>
    <n v="724.70999999999992"/>
    <x v="185"/>
    <n v="33"/>
    <n v="2024"/>
    <n v="0"/>
    <x v="64"/>
    <n v="0"/>
    <m/>
    <m/>
    <n v="4.229166666666667"/>
    <m/>
    <m/>
    <m/>
    <m/>
    <m/>
    <s v="yes - 4400"/>
    <m/>
    <x v="0"/>
    <x v="299"/>
    <x v="724"/>
    <n v="37347643"/>
    <s v="F-688038.02-0421.GEH.WE36"/>
    <n v="203"/>
    <n v="724.70999999999992"/>
    <m/>
    <m/>
    <s v="20250391-25.03.2025"/>
    <x v="1"/>
    <x v="9"/>
    <x v="1"/>
    <m/>
  </r>
  <r>
    <x v="9"/>
    <x v="0"/>
    <x v="240"/>
    <x v="114"/>
    <x v="158"/>
    <n v="0"/>
    <n v="0"/>
    <n v="3.57"/>
    <n v="394"/>
    <n v="1406.58"/>
    <x v="185"/>
    <n v="33"/>
    <n v="2024"/>
    <n v="0"/>
    <x v="64"/>
    <n v="0"/>
    <m/>
    <m/>
    <n v="8.2083333333333339"/>
    <m/>
    <m/>
    <m/>
    <m/>
    <m/>
    <s v="yes - 4400"/>
    <m/>
    <x v="0"/>
    <x v="92"/>
    <x v="725"/>
    <n v="37347643"/>
    <s v="F-688038.02-0421.GEH.WE36"/>
    <n v="394"/>
    <n v="1406.58"/>
    <m/>
    <m/>
    <s v="20250480-09.04.2025"/>
    <x v="1"/>
    <x v="9"/>
    <x v="1"/>
    <m/>
  </r>
  <r>
    <x v="9"/>
    <x v="0"/>
    <x v="240"/>
    <x v="114"/>
    <x v="158"/>
    <n v="0"/>
    <n v="0"/>
    <n v="3.57"/>
    <n v="162"/>
    <n v="578.33999999999992"/>
    <x v="185"/>
    <n v="33"/>
    <n v="2024"/>
    <n v="0"/>
    <x v="64"/>
    <n v="0"/>
    <m/>
    <m/>
    <n v="3.375"/>
    <m/>
    <m/>
    <m/>
    <m/>
    <m/>
    <s v="yes - 4400"/>
    <m/>
    <x v="0"/>
    <x v="301"/>
    <x v="726"/>
    <n v="37347643"/>
    <s v="F-688038.02-0421.GEH.WE36"/>
    <n v="162"/>
    <n v="578.33999999999992"/>
    <m/>
    <m/>
    <s v="20250502-11.04.2025"/>
    <x v="1"/>
    <x v="9"/>
    <x v="1"/>
    <m/>
  </r>
  <r>
    <x v="9"/>
    <x v="0"/>
    <x v="240"/>
    <x v="114"/>
    <x v="158"/>
    <n v="0"/>
    <n v="0"/>
    <n v="3.57"/>
    <n v="257"/>
    <n v="917.49"/>
    <x v="185"/>
    <n v="33"/>
    <n v="2024"/>
    <n v="0"/>
    <x v="64"/>
    <n v="0"/>
    <m/>
    <m/>
    <n v="5.354166666666667"/>
    <m/>
    <m/>
    <m/>
    <m/>
    <m/>
    <m/>
    <m/>
    <x v="0"/>
    <x v="96"/>
    <x v="671"/>
    <n v="37347643"/>
    <s v="F-688038.02-0421.GEH.WE36"/>
    <n v="257"/>
    <n v="917.49"/>
    <m/>
    <m/>
    <s v="20250534-22.04.2025"/>
    <x v="1"/>
    <x v="9"/>
    <x v="1"/>
    <m/>
  </r>
  <r>
    <x v="9"/>
    <x v="0"/>
    <x v="240"/>
    <x v="114"/>
    <x v="158"/>
    <n v="0"/>
    <n v="0"/>
    <n v="3.57"/>
    <n v="492"/>
    <n v="1756.4399999999998"/>
    <x v="185"/>
    <n v="33"/>
    <n v="2024"/>
    <n v="0"/>
    <x v="64"/>
    <n v="0"/>
    <m/>
    <m/>
    <n v="10.25"/>
    <m/>
    <m/>
    <m/>
    <m/>
    <m/>
    <m/>
    <m/>
    <x v="0"/>
    <x v="2"/>
    <x v="727"/>
    <n v="37347643"/>
    <s v="F-688038.02-0421.GEH.WE36"/>
    <n v="492"/>
    <n v="1756.4399999999998"/>
    <m/>
    <m/>
    <s v="20250564-29.04.2025"/>
    <x v="1"/>
    <x v="9"/>
    <x v="1"/>
    <m/>
  </r>
  <r>
    <x v="9"/>
    <x v="0"/>
    <x v="240"/>
    <x v="114"/>
    <x v="158"/>
    <n v="0"/>
    <n v="0"/>
    <n v="3.57"/>
    <n v="401"/>
    <n v="1431.57"/>
    <x v="185"/>
    <n v="33"/>
    <n v="2024"/>
    <n v="0"/>
    <x v="2"/>
    <n v="0"/>
    <m/>
    <m/>
    <n v="8.3541666666666661"/>
    <m/>
    <m/>
    <m/>
    <m/>
    <m/>
    <m/>
    <m/>
    <x v="0"/>
    <x v="302"/>
    <x v="672"/>
    <n v="37347643"/>
    <s v="F-688038.02-0421.GEH.WE36"/>
    <n v="401"/>
    <n v="1431.57"/>
    <m/>
    <m/>
    <s v="20250578-01.05.2025"/>
    <x v="1"/>
    <x v="9"/>
    <x v="1"/>
    <m/>
  </r>
  <r>
    <x v="9"/>
    <x v="0"/>
    <x v="240"/>
    <x v="114"/>
    <x v="158"/>
    <n v="0"/>
    <n v="0"/>
    <n v="3.57"/>
    <n v="5"/>
    <n v="17.849999999999998"/>
    <x v="185"/>
    <n v="33"/>
    <n v="2024"/>
    <n v="0"/>
    <x v="64"/>
    <n v="0"/>
    <m/>
    <m/>
    <n v="0.10416666666666667"/>
    <m/>
    <m/>
    <m/>
    <m/>
    <m/>
    <m/>
    <m/>
    <x v="0"/>
    <x v="139"/>
    <x v="728"/>
    <n v="37347643"/>
    <s v="F-688038.02-0421.GEH.WE36"/>
    <n v="5"/>
    <n v="17.849999999999998"/>
    <m/>
    <m/>
    <s v="20250606-09.05.2025"/>
    <x v="1"/>
    <x v="9"/>
    <x v="1"/>
    <m/>
  </r>
  <r>
    <x v="9"/>
    <x v="0"/>
    <x v="240"/>
    <x v="114"/>
    <x v="158"/>
    <n v="0"/>
    <n v="0"/>
    <n v="3.57"/>
    <n v="364"/>
    <n v="1299.48"/>
    <x v="185"/>
    <n v="33"/>
    <n v="2024"/>
    <n v="0"/>
    <x v="64"/>
    <n v="0"/>
    <m/>
    <m/>
    <n v="7.583333333333333"/>
    <m/>
    <m/>
    <m/>
    <m/>
    <m/>
    <m/>
    <m/>
    <x v="0"/>
    <x v="139"/>
    <x v="728"/>
    <n v="37347643"/>
    <s v="F-688038.02-0421.GEH.WE36"/>
    <n v="364"/>
    <n v="1299.48"/>
    <m/>
    <m/>
    <s v="20250606-09.05.2025"/>
    <x v="1"/>
    <x v="9"/>
    <x v="1"/>
    <m/>
  </r>
  <r>
    <x v="9"/>
    <x v="0"/>
    <x v="240"/>
    <x v="114"/>
    <x v="158"/>
    <n v="0"/>
    <n v="0"/>
    <n v="3.57"/>
    <n v="1015"/>
    <n v="3623.5499999999997"/>
    <x v="185"/>
    <n v="33"/>
    <n v="2024"/>
    <n v="0"/>
    <x v="64"/>
    <n v="0"/>
    <m/>
    <m/>
    <n v="21.145833333333332"/>
    <m/>
    <m/>
    <m/>
    <m/>
    <m/>
    <s v="yes - 4400"/>
    <m/>
    <x v="0"/>
    <x v="279"/>
    <x v="675"/>
    <n v="37347643"/>
    <s v="F-688038.02-0421.GEH.WE36"/>
    <n v="335"/>
    <n v="1195.95"/>
    <m/>
    <m/>
    <s v="20250635-19.05.2025"/>
    <x v="1"/>
    <x v="9"/>
    <x v="1"/>
    <m/>
  </r>
  <r>
    <x v="9"/>
    <x v="0"/>
    <x v="240"/>
    <x v="95"/>
    <x v="158"/>
    <n v="0"/>
    <n v="0"/>
    <n v="3.57"/>
    <n v="704"/>
    <n v="2513.2799999999997"/>
    <x v="275"/>
    <n v="33"/>
    <n v="2024"/>
    <n v="0"/>
    <x v="64"/>
    <n v="0"/>
    <m/>
    <m/>
    <n v="14.666666666666666"/>
    <m/>
    <m/>
    <m/>
    <m/>
    <m/>
    <m/>
    <m/>
    <x v="0"/>
    <x v="300"/>
    <x v="667"/>
    <n v="37347643"/>
    <s v="F-688038.02-0421.GEH.WE36"/>
    <n v="704"/>
    <n v="2513.2799999999997"/>
    <m/>
    <m/>
    <s v="20250447-04.04.2025"/>
    <x v="1"/>
    <x v="9"/>
    <x v="1"/>
    <m/>
  </r>
  <r>
    <x v="9"/>
    <x v="0"/>
    <x v="243"/>
    <x v="108"/>
    <x v="159"/>
    <n v="0"/>
    <n v="0"/>
    <n v="10.31"/>
    <n v="177"/>
    <n v="1824.8700000000001"/>
    <x v="22"/>
    <n v="35"/>
    <n v="2024"/>
    <n v="0"/>
    <x v="64"/>
    <n v="0"/>
    <m/>
    <m/>
    <n v="3.6875"/>
    <m/>
    <m/>
    <m/>
    <m/>
    <m/>
    <m/>
    <m/>
    <x v="0"/>
    <x v="289"/>
    <x v="729"/>
    <n v="37347702"/>
    <s v="F-688038.02-0611.GEH.WE36"/>
    <n v="177"/>
    <n v="1824.8700000000001"/>
    <m/>
    <m/>
    <s v="20241487-26.11.2024"/>
    <x v="1"/>
    <x v="9"/>
    <x v="1"/>
    <m/>
  </r>
  <r>
    <x v="9"/>
    <x v="0"/>
    <x v="243"/>
    <x v="108"/>
    <x v="159"/>
    <n v="0"/>
    <n v="0"/>
    <n v="10.31"/>
    <n v="14"/>
    <n v="144.34"/>
    <x v="22"/>
    <n v="35"/>
    <n v="2024"/>
    <n v="0"/>
    <x v="64"/>
    <n v="0"/>
    <m/>
    <m/>
    <n v="0.29166666666666669"/>
    <m/>
    <m/>
    <m/>
    <m/>
    <m/>
    <m/>
    <m/>
    <x v="0"/>
    <x v="292"/>
    <x v="730"/>
    <n v="37347702"/>
    <s v="F-688038.02-0611.GEH.WE36"/>
    <n v="14"/>
    <n v="144.34"/>
    <m/>
    <m/>
    <s v="20241604-20.12.2024"/>
    <x v="1"/>
    <x v="9"/>
    <x v="1"/>
    <m/>
  </r>
  <r>
    <x v="9"/>
    <x v="0"/>
    <x v="243"/>
    <x v="108"/>
    <x v="159"/>
    <n v="0"/>
    <n v="0"/>
    <n v="10.31"/>
    <n v="5"/>
    <n v="51.550000000000004"/>
    <x v="22"/>
    <n v="35"/>
    <n v="2024"/>
    <n v="0"/>
    <x v="64"/>
    <n v="0"/>
    <m/>
    <m/>
    <n v="0.10416666666666667"/>
    <m/>
    <m/>
    <m/>
    <m/>
    <m/>
    <m/>
    <m/>
    <x v="0"/>
    <x v="293"/>
    <x v="731"/>
    <n v="37347702"/>
    <s v="F-688038.02-0611.GEH.WE36"/>
    <n v="5"/>
    <n v="51.550000000000004"/>
    <m/>
    <m/>
    <s v="20250048-18.01.2025"/>
    <x v="1"/>
    <x v="9"/>
    <x v="1"/>
    <m/>
  </r>
  <r>
    <x v="9"/>
    <x v="0"/>
    <x v="243"/>
    <x v="108"/>
    <x v="159"/>
    <n v="0"/>
    <n v="0"/>
    <n v="10.31"/>
    <n v="29"/>
    <n v="298.99"/>
    <x v="22"/>
    <n v="35"/>
    <n v="2024"/>
    <n v="0"/>
    <x v="64"/>
    <n v="0"/>
    <m/>
    <m/>
    <n v="0.60416666666666663"/>
    <m/>
    <m/>
    <m/>
    <m/>
    <m/>
    <m/>
    <m/>
    <x v="0"/>
    <x v="295"/>
    <x v="732"/>
    <n v="37347702"/>
    <s v="F-688038.02-0611.GEH.WE36"/>
    <n v="29"/>
    <n v="298.99"/>
    <m/>
    <m/>
    <s v="20250112-31.01.2025"/>
    <x v="1"/>
    <x v="9"/>
    <x v="1"/>
    <m/>
  </r>
  <r>
    <x v="9"/>
    <x v="0"/>
    <x v="243"/>
    <x v="108"/>
    <x v="159"/>
    <n v="0"/>
    <n v="0"/>
    <n v="10.31"/>
    <n v="40"/>
    <n v="412.40000000000003"/>
    <x v="22"/>
    <n v="35"/>
    <n v="2024"/>
    <n v="0"/>
    <x v="64"/>
    <n v="0"/>
    <m/>
    <m/>
    <n v="0.83333333333333337"/>
    <m/>
    <m/>
    <m/>
    <m/>
    <m/>
    <s v="Yes"/>
    <m/>
    <x v="0"/>
    <x v="192"/>
    <x v="733"/>
    <n v="37347702"/>
    <s v="F-688038.02-0611.GEH.WE36"/>
    <n v="40"/>
    <n v="412.40000000000003"/>
    <m/>
    <m/>
    <s v="20250311-12.03.2025"/>
    <x v="1"/>
    <x v="9"/>
    <x v="1"/>
    <m/>
  </r>
  <r>
    <x v="9"/>
    <x v="0"/>
    <x v="243"/>
    <x v="108"/>
    <x v="159"/>
    <n v="0"/>
    <n v="0"/>
    <n v="10.31"/>
    <n v="81"/>
    <n v="835.11"/>
    <x v="22"/>
    <n v="35"/>
    <n v="2024"/>
    <n v="0"/>
    <x v="64"/>
    <n v="0"/>
    <m/>
    <m/>
    <n v="1.6875"/>
    <m/>
    <m/>
    <m/>
    <m/>
    <m/>
    <m/>
    <m/>
    <x v="0"/>
    <x v="298"/>
    <x v="734"/>
    <n v="37347702"/>
    <s v="F-688038.02-0611.GEH.WE36"/>
    <n v="81"/>
    <n v="835.11"/>
    <m/>
    <s v="aviz de mana: 20242081"/>
    <s v="20250325-15.03.2025"/>
    <x v="1"/>
    <x v="9"/>
    <x v="1"/>
    <m/>
  </r>
  <r>
    <x v="9"/>
    <x v="0"/>
    <x v="243"/>
    <x v="108"/>
    <x v="159"/>
    <n v="0"/>
    <n v="0"/>
    <n v="10.31"/>
    <n v="62"/>
    <n v="639.22"/>
    <x v="22"/>
    <n v="35"/>
    <n v="2024"/>
    <n v="0"/>
    <x v="64"/>
    <n v="0"/>
    <m/>
    <m/>
    <n v="1.2916666666666667"/>
    <m/>
    <m/>
    <m/>
    <m/>
    <m/>
    <s v="Yes"/>
    <m/>
    <x v="0"/>
    <x v="301"/>
    <x v="735"/>
    <n v="37347702"/>
    <s v="F-688038.02-0611.GEH.WE36"/>
    <n v="62"/>
    <n v="639.22"/>
    <m/>
    <m/>
    <s v="20250503-11.04.2025"/>
    <x v="1"/>
    <x v="9"/>
    <x v="1"/>
    <m/>
  </r>
  <r>
    <x v="9"/>
    <x v="0"/>
    <x v="243"/>
    <x v="108"/>
    <x v="159"/>
    <n v="0"/>
    <n v="0"/>
    <n v="10.31"/>
    <n v="10"/>
    <n v="103.10000000000001"/>
    <x v="22"/>
    <n v="35"/>
    <n v="2024"/>
    <n v="0"/>
    <x v="64"/>
    <n v="0"/>
    <m/>
    <m/>
    <n v="0.20833333333333334"/>
    <m/>
    <m/>
    <m/>
    <m/>
    <m/>
    <s v="Yes"/>
    <m/>
    <x v="0"/>
    <x v="301"/>
    <x v="736"/>
    <n v="37347702"/>
    <s v="F-688038.02-0611.GEH.WE36"/>
    <n v="10"/>
    <n v="103.10000000000001"/>
    <m/>
    <m/>
    <s v="20250504-11.04.2025"/>
    <x v="1"/>
    <x v="9"/>
    <x v="1"/>
    <m/>
  </r>
  <r>
    <x v="9"/>
    <x v="0"/>
    <x v="243"/>
    <x v="108"/>
    <x v="159"/>
    <n v="0"/>
    <n v="0"/>
    <n v="10.31"/>
    <n v="93"/>
    <n v="958.83"/>
    <x v="22"/>
    <n v="35"/>
    <n v="2024"/>
    <n v="0"/>
    <x v="64"/>
    <n v="0"/>
    <m/>
    <m/>
    <n v="1.9375"/>
    <m/>
    <m/>
    <m/>
    <m/>
    <m/>
    <s v="Yes"/>
    <m/>
    <x v="0"/>
    <x v="96"/>
    <x v="737"/>
    <n v="37347702"/>
    <s v="F-688038.02-0611.GEH.WE36"/>
    <n v="93"/>
    <n v="958.83"/>
    <m/>
    <m/>
    <s v="20250532-22.04.2025"/>
    <x v="1"/>
    <x v="9"/>
    <x v="1"/>
    <m/>
  </r>
  <r>
    <x v="9"/>
    <x v="0"/>
    <x v="243"/>
    <x v="108"/>
    <x v="159"/>
    <n v="0"/>
    <n v="0"/>
    <n v="10.31"/>
    <n v="139"/>
    <n v="1433.0900000000001"/>
    <x v="82"/>
    <n v="35"/>
    <n v="2024"/>
    <n v="0"/>
    <x v="64"/>
    <n v="0"/>
    <m/>
    <m/>
    <n v="2.8958333333333335"/>
    <m/>
    <m/>
    <m/>
    <m/>
    <m/>
    <m/>
    <m/>
    <x v="0"/>
    <x v="294"/>
    <x v="738"/>
    <n v="37347702"/>
    <s v="F-688038.02-0611.GEH.WE36"/>
    <n v="139"/>
    <n v="1433.0900000000001"/>
    <m/>
    <m/>
    <s v="20250078-27.01.2025"/>
    <x v="1"/>
    <x v="9"/>
    <x v="1"/>
    <m/>
  </r>
  <r>
    <x v="9"/>
    <x v="0"/>
    <x v="243"/>
    <x v="150"/>
    <x v="160"/>
    <n v="0"/>
    <n v="0"/>
    <n v="4.55"/>
    <n v="104"/>
    <n v="473.2"/>
    <x v="22"/>
    <n v="35"/>
    <n v="2024"/>
    <n v="0"/>
    <x v="64"/>
    <n v="0"/>
    <m/>
    <s v="project"/>
    <n v="2.1666666666666665"/>
    <m/>
    <m/>
    <m/>
    <m/>
    <m/>
    <m/>
    <m/>
    <x v="0"/>
    <x v="229"/>
    <x v="739"/>
    <n v="37347702"/>
    <s v="F-688038.02-0621.GEH.WE36"/>
    <n v="104"/>
    <n v="473.2"/>
    <m/>
    <m/>
    <s v="20241351-28.10.2024"/>
    <x v="1"/>
    <x v="9"/>
    <x v="1"/>
    <m/>
  </r>
  <r>
    <x v="9"/>
    <x v="0"/>
    <x v="243"/>
    <x v="150"/>
    <x v="160"/>
    <n v="0"/>
    <n v="0"/>
    <n v="4.55"/>
    <n v="5"/>
    <n v="22.75"/>
    <x v="22"/>
    <n v="35"/>
    <n v="2024"/>
    <n v="0"/>
    <x v="64"/>
    <n v="0"/>
    <m/>
    <s v="project"/>
    <n v="0.10416666666666667"/>
    <m/>
    <m/>
    <m/>
    <m/>
    <m/>
    <m/>
    <m/>
    <x v="0"/>
    <x v="89"/>
    <x v="740"/>
    <n v="37347702"/>
    <s v="F-688038.02-0621.GEH.WE36"/>
    <n v="5"/>
    <n v="22.75"/>
    <m/>
    <s v="PPAP"/>
    <s v="20241395-05.11.2024"/>
    <x v="1"/>
    <x v="9"/>
    <x v="1"/>
    <m/>
  </r>
  <r>
    <x v="9"/>
    <x v="0"/>
    <x v="243"/>
    <x v="150"/>
    <x v="160"/>
    <n v="0"/>
    <n v="0"/>
    <n v="4.55"/>
    <n v="224"/>
    <n v="1019.1999999999999"/>
    <x v="22"/>
    <n v="35"/>
    <n v="2024"/>
    <n v="0"/>
    <x v="64"/>
    <n v="0"/>
    <m/>
    <s v="project"/>
    <n v="4.666666666666667"/>
    <m/>
    <m/>
    <m/>
    <m/>
    <m/>
    <m/>
    <m/>
    <x v="0"/>
    <x v="89"/>
    <x v="740"/>
    <n v="37347702"/>
    <s v="F-688038.02-0621.GEH.WE36"/>
    <n v="224"/>
    <n v="1019.1999999999999"/>
    <m/>
    <m/>
    <s v="20241395-05.11.2024"/>
    <x v="1"/>
    <x v="9"/>
    <x v="1"/>
    <m/>
  </r>
  <r>
    <x v="9"/>
    <x v="0"/>
    <x v="243"/>
    <x v="150"/>
    <x v="160"/>
    <n v="0"/>
    <n v="0"/>
    <n v="4.55"/>
    <n v="101"/>
    <n v="459.54999999999995"/>
    <x v="22"/>
    <n v="35"/>
    <n v="2024"/>
    <n v="0"/>
    <x v="64"/>
    <n v="0"/>
    <m/>
    <s v="project"/>
    <n v="2.1041666666666665"/>
    <m/>
    <m/>
    <m/>
    <m/>
    <m/>
    <m/>
    <m/>
    <x v="0"/>
    <x v="269"/>
    <x v="741"/>
    <n v="37347702"/>
    <s v="F-688038.02-0621.GEH.WE36"/>
    <n v="101"/>
    <n v="459.54999999999995"/>
    <m/>
    <m/>
    <s v="20241424-12.11.2024"/>
    <x v="1"/>
    <x v="9"/>
    <x v="1"/>
    <m/>
  </r>
  <r>
    <x v="9"/>
    <x v="0"/>
    <x v="243"/>
    <x v="150"/>
    <x v="160"/>
    <n v="0"/>
    <n v="0"/>
    <n v="4.55"/>
    <n v="41"/>
    <n v="186.54999999999998"/>
    <x v="22"/>
    <n v="35"/>
    <n v="2024"/>
    <n v="0"/>
    <x v="64"/>
    <n v="0"/>
    <m/>
    <s v="project"/>
    <n v="0.85416666666666663"/>
    <m/>
    <m/>
    <m/>
    <m/>
    <m/>
    <m/>
    <m/>
    <x v="0"/>
    <x v="293"/>
    <x v="742"/>
    <n v="37347702"/>
    <s v="F-688038.02-0621.GEH.WE36"/>
    <n v="41"/>
    <n v="186.54999999999998"/>
    <m/>
    <m/>
    <s v="20250049-18.01.2025"/>
    <x v="1"/>
    <x v="9"/>
    <x v="1"/>
    <m/>
  </r>
  <r>
    <x v="9"/>
    <x v="0"/>
    <x v="243"/>
    <x v="150"/>
    <x v="160"/>
    <n v="0"/>
    <n v="0"/>
    <n v="4.55"/>
    <n v="151"/>
    <n v="687.05"/>
    <x v="22"/>
    <n v="35"/>
    <n v="2024"/>
    <n v="0"/>
    <x v="64"/>
    <n v="0"/>
    <m/>
    <s v="project"/>
    <n v="3.1458333333333335"/>
    <m/>
    <m/>
    <m/>
    <m/>
    <m/>
    <m/>
    <m/>
    <x v="0"/>
    <x v="294"/>
    <x v="738"/>
    <n v="37347702"/>
    <s v="F-688038.02-0621.GEH.WE36"/>
    <n v="151"/>
    <n v="687.05"/>
    <m/>
    <m/>
    <s v="20250078-27.01.2025"/>
    <x v="1"/>
    <x v="9"/>
    <x v="1"/>
    <m/>
  </r>
  <r>
    <x v="9"/>
    <x v="0"/>
    <x v="243"/>
    <x v="150"/>
    <x v="160"/>
    <n v="0"/>
    <n v="0"/>
    <n v="4.55"/>
    <n v="12"/>
    <n v="54.599999999999994"/>
    <x v="22"/>
    <n v="35"/>
    <n v="2024"/>
    <n v="0"/>
    <x v="64"/>
    <n v="0"/>
    <m/>
    <s v="project"/>
    <n v="0.25"/>
    <m/>
    <m/>
    <m/>
    <m/>
    <m/>
    <m/>
    <m/>
    <x v="0"/>
    <x v="297"/>
    <x v="743"/>
    <n v="37347702"/>
    <s v="F-688038.02-0621.GEH.WE36"/>
    <n v="12"/>
    <n v="54.599999999999994"/>
    <m/>
    <s v="aviz de mana: 20242072"/>
    <s v="20250296-08.03.2025"/>
    <x v="1"/>
    <x v="9"/>
    <x v="1"/>
    <m/>
  </r>
  <r>
    <x v="9"/>
    <x v="0"/>
    <x v="243"/>
    <x v="150"/>
    <x v="160"/>
    <n v="0"/>
    <n v="0"/>
    <n v="4.55"/>
    <n v="24"/>
    <n v="109.19999999999999"/>
    <x v="22"/>
    <n v="35"/>
    <n v="2024"/>
    <n v="0"/>
    <x v="64"/>
    <n v="0"/>
    <m/>
    <s v="project"/>
    <n v="0.5"/>
    <m/>
    <m/>
    <m/>
    <m/>
    <m/>
    <s v="Yes"/>
    <m/>
    <x v="0"/>
    <x v="297"/>
    <x v="743"/>
    <n v="37347702"/>
    <s v="F-688038.02-0621.GEH.WE36"/>
    <n v="24"/>
    <n v="109.19999999999999"/>
    <m/>
    <s v="aviz de mana: 20242072"/>
    <s v="20250296-08.03.2025"/>
    <x v="1"/>
    <x v="9"/>
    <x v="1"/>
    <m/>
  </r>
  <r>
    <x v="9"/>
    <x v="0"/>
    <x v="243"/>
    <x v="150"/>
    <x v="161"/>
    <n v="0"/>
    <n v="0"/>
    <n v="3.76"/>
    <n v="75"/>
    <n v="282"/>
    <x v="22"/>
    <n v="35"/>
    <n v="2024"/>
    <n v="0"/>
    <x v="64"/>
    <n v="0"/>
    <m/>
    <m/>
    <n v="1.5625"/>
    <m/>
    <m/>
    <m/>
    <m/>
    <m/>
    <m/>
    <m/>
    <x v="0"/>
    <x v="269"/>
    <x v="741"/>
    <n v="37347702"/>
    <s v="F-688038.02-0631.GEH.WE36"/>
    <n v="75"/>
    <n v="282"/>
    <m/>
    <m/>
    <s v="20241424-12.11.2024 "/>
    <x v="1"/>
    <x v="9"/>
    <x v="1"/>
    <m/>
  </r>
  <r>
    <x v="9"/>
    <x v="0"/>
    <x v="243"/>
    <x v="150"/>
    <x v="161"/>
    <n v="0"/>
    <n v="0"/>
    <n v="3.76"/>
    <n v="167"/>
    <n v="627.91999999999996"/>
    <x v="22"/>
    <n v="35"/>
    <n v="2024"/>
    <n v="0"/>
    <x v="64"/>
    <n v="0"/>
    <m/>
    <m/>
    <n v="3.4791666666666665"/>
    <m/>
    <m/>
    <m/>
    <m/>
    <m/>
    <m/>
    <m/>
    <x v="0"/>
    <x v="270"/>
    <x v="744"/>
    <n v="37347702"/>
    <s v="F-688038.02-0631.GEH.WE36"/>
    <n v="167"/>
    <n v="627.91999999999996"/>
    <m/>
    <m/>
    <s v="20241452-21.11.2024 "/>
    <x v="1"/>
    <x v="9"/>
    <x v="1"/>
    <m/>
  </r>
  <r>
    <x v="9"/>
    <x v="0"/>
    <x v="243"/>
    <x v="150"/>
    <x v="161"/>
    <n v="0"/>
    <n v="0"/>
    <n v="3.76"/>
    <n v="329"/>
    <n v="1237.04"/>
    <x v="22"/>
    <n v="35"/>
    <n v="2024"/>
    <n v="0"/>
    <x v="64"/>
    <n v="0"/>
    <m/>
    <m/>
    <n v="6.854166666666667"/>
    <m/>
    <m/>
    <m/>
    <m/>
    <m/>
    <m/>
    <m/>
    <x v="0"/>
    <x v="290"/>
    <x v="745"/>
    <n v="37347702"/>
    <s v="F-688038.02-0631.GEH.WE36"/>
    <n v="329"/>
    <n v="1237.04"/>
    <m/>
    <m/>
    <s v="20241530-06.12.2024"/>
    <x v="1"/>
    <x v="9"/>
    <x v="1"/>
    <m/>
  </r>
  <r>
    <x v="9"/>
    <x v="0"/>
    <x v="243"/>
    <x v="150"/>
    <x v="161"/>
    <n v="0"/>
    <n v="0"/>
    <n v="3.76"/>
    <n v="117"/>
    <n v="439.91999999999996"/>
    <x v="22"/>
    <n v="35"/>
    <n v="2024"/>
    <n v="0"/>
    <x v="64"/>
    <n v="0"/>
    <m/>
    <m/>
    <n v="2.4375"/>
    <m/>
    <m/>
    <m/>
    <m/>
    <m/>
    <m/>
    <m/>
    <x v="0"/>
    <x v="291"/>
    <x v="746"/>
    <n v="37347702"/>
    <s v="F-688038.02-0631.GEH.WE36"/>
    <n v="117"/>
    <n v="439.91999999999996"/>
    <m/>
    <m/>
    <s v="20241580-14.12.2024"/>
    <x v="1"/>
    <x v="9"/>
    <x v="1"/>
    <m/>
  </r>
  <r>
    <x v="9"/>
    <x v="0"/>
    <x v="243"/>
    <x v="150"/>
    <x v="162"/>
    <n v="0"/>
    <n v="0"/>
    <n v="16.420000000000002"/>
    <n v="40"/>
    <n v="656.80000000000007"/>
    <x v="22"/>
    <n v="35"/>
    <n v="2024"/>
    <n v="0"/>
    <x v="63"/>
    <n v="0"/>
    <m/>
    <m/>
    <n v="0.83333333333333337"/>
    <s v="yes"/>
    <m/>
    <m/>
    <m/>
    <m/>
    <m/>
    <m/>
    <x v="0"/>
    <x v="90"/>
    <x v="747"/>
    <n v="37347702"/>
    <s v="F-688038.02-0711.BZ.WE"/>
    <n v="40"/>
    <n v="656.80000000000007"/>
    <m/>
    <s v="aviz poligrat: 202401460"/>
    <s v="20241524 - 9/12/2024"/>
    <x v="1"/>
    <x v="9"/>
    <x v="1"/>
    <m/>
  </r>
  <r>
    <x v="9"/>
    <x v="0"/>
    <x v="243"/>
    <x v="150"/>
    <x v="162"/>
    <n v="0"/>
    <n v="0"/>
    <n v="16.420000000000002"/>
    <n v="24"/>
    <n v="394.08000000000004"/>
    <x v="22"/>
    <n v="35"/>
    <n v="2024"/>
    <n v="0"/>
    <x v="63"/>
    <n v="0"/>
    <m/>
    <m/>
    <n v="0.5"/>
    <m/>
    <m/>
    <m/>
    <m/>
    <m/>
    <m/>
    <m/>
    <x v="0"/>
    <x v="290"/>
    <x v="748"/>
    <n v="37347702"/>
    <s v="F-688038.02-0711.BZ.WE"/>
    <n v="24"/>
    <n v="394.08000000000004"/>
    <m/>
    <s v="aviz poligrat: 202401489"/>
    <s v="20241533-11.12.2024"/>
    <x v="1"/>
    <x v="9"/>
    <x v="1"/>
    <m/>
  </r>
  <r>
    <x v="9"/>
    <x v="0"/>
    <x v="243"/>
    <x v="150"/>
    <x v="162"/>
    <n v="0"/>
    <n v="0"/>
    <n v="16.420000000000002"/>
    <n v="54"/>
    <n v="886.68000000000006"/>
    <x v="22"/>
    <n v="35"/>
    <n v="2024"/>
    <n v="0"/>
    <x v="63"/>
    <n v="0"/>
    <m/>
    <m/>
    <n v="1.125"/>
    <s v="yes"/>
    <m/>
    <m/>
    <m/>
    <m/>
    <m/>
    <m/>
    <x v="0"/>
    <x v="291"/>
    <x v="749"/>
    <n v="37347702"/>
    <s v="F-688038.02-0711.BZ.WE"/>
    <n v="54"/>
    <n v="886.68000000000006"/>
    <m/>
    <s v="aviz poligat: 202401541"/>
    <s v="20241584-14.12.2024"/>
    <x v="1"/>
    <x v="9"/>
    <x v="1"/>
    <m/>
  </r>
  <r>
    <x v="9"/>
    <x v="0"/>
    <x v="243"/>
    <x v="150"/>
    <x v="162"/>
    <n v="0"/>
    <n v="0"/>
    <n v="16.420000000000002"/>
    <n v="31"/>
    <n v="509.02000000000004"/>
    <x v="22"/>
    <n v="35"/>
    <n v="2024"/>
    <n v="0"/>
    <x v="63"/>
    <n v="0"/>
    <m/>
    <m/>
    <n v="0.64583333333333337"/>
    <s v="yes"/>
    <m/>
    <m/>
    <m/>
    <m/>
    <m/>
    <m/>
    <x v="0"/>
    <x v="309"/>
    <x v="750"/>
    <n v="37347702"/>
    <s v="F-688038.02-0711.BZ.WE"/>
    <n v="31"/>
    <n v="509.02000000000004"/>
    <m/>
    <s v="aviz poligrat: 202401578"/>
    <s v="20241597-18.12.2024"/>
    <x v="1"/>
    <x v="9"/>
    <x v="1"/>
    <m/>
  </r>
  <r>
    <x v="9"/>
    <x v="0"/>
    <x v="243"/>
    <x v="150"/>
    <x v="162"/>
    <n v="0"/>
    <n v="0"/>
    <n v="16.420000000000002"/>
    <n v="74"/>
    <n v="1215.0800000000002"/>
    <x v="22"/>
    <n v="35"/>
    <n v="2024"/>
    <n v="0"/>
    <x v="63"/>
    <n v="0"/>
    <m/>
    <m/>
    <n v="1.5416666666666667"/>
    <s v="yes"/>
    <m/>
    <m/>
    <m/>
    <m/>
    <m/>
    <m/>
    <x v="0"/>
    <x v="310"/>
    <x v="751"/>
    <n v="37347702"/>
    <s v="F-688038.02-0711.BZ.WE"/>
    <n v="74"/>
    <n v="1215.0800000000002"/>
    <m/>
    <s v="aviz poligrat: 20242033"/>
    <s v="20250003-09.01.2025"/>
    <x v="1"/>
    <x v="9"/>
    <x v="1"/>
    <m/>
  </r>
  <r>
    <x v="9"/>
    <x v="0"/>
    <x v="243"/>
    <x v="150"/>
    <x v="162"/>
    <n v="0"/>
    <n v="0"/>
    <n v="16.420000000000002"/>
    <n v="41"/>
    <n v="673.22"/>
    <x v="22"/>
    <n v="35"/>
    <n v="2024"/>
    <n v="0"/>
    <x v="63"/>
    <n v="0"/>
    <m/>
    <m/>
    <n v="0.85416666666666663"/>
    <s v="yes"/>
    <m/>
    <m/>
    <m/>
    <m/>
    <m/>
    <m/>
    <x v="0"/>
    <x v="293"/>
    <x v="752"/>
    <n v="37347702"/>
    <s v="F-688038.02-0711.BZ.WE"/>
    <n v="41"/>
    <n v="673.22"/>
    <m/>
    <s v="aviz poligrat: BVOLS2546"/>
    <s v="20250054-18.01.2025"/>
    <x v="1"/>
    <x v="9"/>
    <x v="1"/>
    <m/>
  </r>
  <r>
    <x v="9"/>
    <x v="0"/>
    <x v="243"/>
    <x v="150"/>
    <x v="162"/>
    <n v="0"/>
    <n v="0"/>
    <n v="16.420000000000002"/>
    <n v="24"/>
    <n v="394.08000000000004"/>
    <x v="22"/>
    <n v="35"/>
    <n v="2024"/>
    <n v="0"/>
    <x v="63"/>
    <n v="0"/>
    <m/>
    <m/>
    <n v="0.5"/>
    <s v="yes"/>
    <m/>
    <m/>
    <m/>
    <m/>
    <m/>
    <m/>
    <x v="0"/>
    <x v="249"/>
    <x v="753"/>
    <n v="37347702"/>
    <s v="F-688038.02-0711.BZ.WE"/>
    <n v="24"/>
    <n v="394.08000000000004"/>
    <m/>
    <s v="aviz Poligrat 25161"/>
    <s v="20250143-10.02.2025"/>
    <x v="1"/>
    <x v="9"/>
    <x v="1"/>
    <m/>
  </r>
  <r>
    <x v="9"/>
    <x v="0"/>
    <x v="243"/>
    <x v="150"/>
    <x v="162"/>
    <n v="0"/>
    <n v="0"/>
    <n v="16.420000000000002"/>
    <n v="119"/>
    <n v="1953.9800000000002"/>
    <x v="22"/>
    <n v="35"/>
    <n v="2024"/>
    <n v="0"/>
    <x v="63"/>
    <n v="0"/>
    <m/>
    <m/>
    <n v="2.4791666666666665"/>
    <s v="yes"/>
    <m/>
    <m/>
    <m/>
    <m/>
    <m/>
    <m/>
    <x v="0"/>
    <x v="36"/>
    <x v="754"/>
    <n v="37347702"/>
    <s v="F-688038.02-0711.BZ.WE"/>
    <n v="119"/>
    <n v="1953.9800000000002"/>
    <m/>
    <s v="aviz poligrat: 20242061"/>
    <s v="20250176-15.02.2025"/>
    <x v="1"/>
    <x v="9"/>
    <x v="1"/>
    <m/>
  </r>
  <r>
    <x v="9"/>
    <x v="0"/>
    <x v="243"/>
    <x v="150"/>
    <x v="162"/>
    <n v="0"/>
    <n v="0"/>
    <n v="16.420000000000002"/>
    <n v="131"/>
    <n v="2151.0200000000004"/>
    <x v="22"/>
    <n v="35"/>
    <n v="2024"/>
    <n v="0"/>
    <x v="63"/>
    <n v="0"/>
    <m/>
    <m/>
    <n v="2.7291666666666665"/>
    <s v="yes"/>
    <m/>
    <m/>
    <m/>
    <m/>
    <m/>
    <m/>
    <x v="0"/>
    <x v="296"/>
    <x v="755"/>
    <n v="37347702"/>
    <s v="F-688038.02-0711.BZ.WE"/>
    <n v="131"/>
    <n v="2151.0200000000004"/>
    <m/>
    <s v="aviz poligrat: 25288"/>
    <s v="20250249-28.02.2025"/>
    <x v="1"/>
    <x v="9"/>
    <x v="1"/>
    <m/>
  </r>
  <r>
    <x v="9"/>
    <x v="0"/>
    <x v="243"/>
    <x v="150"/>
    <x v="162"/>
    <n v="0"/>
    <n v="0"/>
    <n v="16.420000000000002"/>
    <n v="5"/>
    <n v="82.100000000000009"/>
    <x v="22"/>
    <n v="35"/>
    <n v="2024"/>
    <n v="0"/>
    <x v="63"/>
    <n v="0"/>
    <m/>
    <m/>
    <n v="0.10416666666666667"/>
    <s v="yes"/>
    <m/>
    <m/>
    <m/>
    <m/>
    <m/>
    <m/>
    <x v="0"/>
    <x v="297"/>
    <x v="756"/>
    <n v="37347702"/>
    <s v="F-688038.02-0711.BZ.WE"/>
    <n v="5"/>
    <n v="82.100000000000009"/>
    <m/>
    <s v="pcs for PPAP"/>
    <s v="20250298-08.03.2025"/>
    <x v="1"/>
    <x v="9"/>
    <x v="1"/>
    <m/>
  </r>
  <r>
    <x v="9"/>
    <x v="0"/>
    <x v="243"/>
    <x v="150"/>
    <x v="162"/>
    <n v="0"/>
    <n v="0"/>
    <n v="16.420000000000002"/>
    <n v="37"/>
    <n v="607.54000000000008"/>
    <x v="22"/>
    <n v="35"/>
    <n v="2024"/>
    <n v="0"/>
    <x v="63"/>
    <n v="0"/>
    <m/>
    <m/>
    <n v="0.77083333333333337"/>
    <s v="yes"/>
    <m/>
    <m/>
    <m/>
    <m/>
    <s v="yes -96"/>
    <m/>
    <x v="0"/>
    <x v="92"/>
    <x v="757"/>
    <n v="37347702"/>
    <s v="F-688038.02-0711.BZ.WE"/>
    <n v="37"/>
    <n v="607.54000000000008"/>
    <m/>
    <s v="aviz Poligrat 25551"/>
    <s v="20250479-09.04.2025"/>
    <x v="1"/>
    <x v="9"/>
    <x v="1"/>
    <m/>
  </r>
  <r>
    <x v="9"/>
    <x v="0"/>
    <x v="243"/>
    <x v="150"/>
    <x v="162"/>
    <n v="0"/>
    <n v="0"/>
    <n v="16.420000000000002"/>
    <n v="70"/>
    <n v="1149.4000000000001"/>
    <x v="82"/>
    <n v="35"/>
    <n v="2024"/>
    <n v="0"/>
    <x v="63"/>
    <n v="0"/>
    <m/>
    <m/>
    <n v="1.4583333333333333"/>
    <s v="yes"/>
    <m/>
    <m/>
    <m/>
    <m/>
    <m/>
    <m/>
    <x v="0"/>
    <x v="300"/>
    <x v="758"/>
    <n v="37347702"/>
    <s v="F-688038.02-0711.BZ.WE"/>
    <n v="70"/>
    <n v="1149.4000000000001"/>
    <m/>
    <s v="aviz poligrat: 25518"/>
    <s v="20250448-04.04.2025"/>
    <x v="1"/>
    <x v="9"/>
    <x v="1"/>
    <m/>
  </r>
  <r>
    <x v="9"/>
    <x v="0"/>
    <x v="243"/>
    <x v="152"/>
    <x v="163"/>
    <n v="0"/>
    <n v="0"/>
    <n v="1.81"/>
    <n v="150"/>
    <n v="271.5"/>
    <x v="22"/>
    <n v="35"/>
    <n v="2024"/>
    <n v="0"/>
    <x v="63"/>
    <n v="0"/>
    <m/>
    <m/>
    <n v="3.125"/>
    <m/>
    <m/>
    <m/>
    <m/>
    <m/>
    <m/>
    <m/>
    <x v="0"/>
    <x v="215"/>
    <x v="759"/>
    <n v="37347702"/>
    <s v="F-688038.02-0721.SHB.WE36"/>
    <n v="150"/>
    <n v="271.5"/>
    <m/>
    <m/>
    <s v="20241489-29.11.2024"/>
    <x v="1"/>
    <x v="9"/>
    <x v="1"/>
    <m/>
  </r>
  <r>
    <x v="9"/>
    <x v="0"/>
    <x v="243"/>
    <x v="152"/>
    <x v="163"/>
    <n v="0"/>
    <n v="0"/>
    <n v="1.81"/>
    <n v="499"/>
    <n v="903.19"/>
    <x v="22"/>
    <n v="35"/>
    <n v="2024"/>
    <n v="0"/>
    <x v="63"/>
    <n v="0"/>
    <m/>
    <m/>
    <n v="10.395833333333334"/>
    <m/>
    <m/>
    <m/>
    <m/>
    <s v="ETA 30oct"/>
    <m/>
    <m/>
    <x v="0"/>
    <x v="90"/>
    <x v="760"/>
    <n v="37347702"/>
    <s v="F-688038.02-0721.SHB.WE36"/>
    <n v="499"/>
    <n v="903.19"/>
    <m/>
    <s v="5 de ppap"/>
    <s v="20241506-03.12.2024"/>
    <x v="1"/>
    <x v="9"/>
    <x v="1"/>
    <m/>
  </r>
  <r>
    <x v="9"/>
    <x v="0"/>
    <x v="243"/>
    <x v="152"/>
    <x v="163"/>
    <n v="0"/>
    <n v="0"/>
    <n v="1.81"/>
    <n v="1"/>
    <n v="1.81"/>
    <x v="22"/>
    <n v="35"/>
    <n v="2024"/>
    <n v="0"/>
    <x v="63"/>
    <n v="0"/>
    <m/>
    <m/>
    <n v="2.0833333333333332E-2"/>
    <m/>
    <m/>
    <m/>
    <m/>
    <m/>
    <m/>
    <m/>
    <x v="1"/>
    <x v="3"/>
    <x v="4"/>
    <s v=""/>
    <s v=""/>
    <m/>
    <n v="0"/>
    <m/>
    <m/>
    <m/>
    <x v="1"/>
    <x v="9"/>
    <x v="1"/>
    <m/>
  </r>
  <r>
    <x v="9"/>
    <x v="0"/>
    <x v="243"/>
    <x v="108"/>
    <x v="164"/>
    <n v="0"/>
    <n v="0"/>
    <n v="0.68"/>
    <n v="650"/>
    <n v="442.00000000000006"/>
    <x v="22"/>
    <n v="35"/>
    <n v="2024"/>
    <n v="0"/>
    <x v="63"/>
    <n v="0"/>
    <m/>
    <m/>
    <n v="13.541666666666666"/>
    <m/>
    <m/>
    <m/>
    <m/>
    <m/>
    <m/>
    <n v="244001"/>
    <x v="0"/>
    <x v="287"/>
    <x v="761"/>
    <n v="37347702"/>
    <s v="F-688038.02-0731.SHB.WE36"/>
    <n v="98"/>
    <n v="66.64"/>
    <m/>
    <s v="5 PPAP"/>
    <s v="20241263-05.10.2024"/>
    <x v="1"/>
    <x v="9"/>
    <x v="1"/>
    <m/>
  </r>
  <r>
    <x v="9"/>
    <x v="0"/>
    <x v="243"/>
    <x v="108"/>
    <x v="164"/>
    <n v="0"/>
    <n v="0"/>
    <n v="0.68"/>
    <n v="0"/>
    <n v="0"/>
    <x v="22"/>
    <n v="35"/>
    <n v="2024"/>
    <n v="0"/>
    <x v="63"/>
    <n v="0"/>
    <m/>
    <m/>
    <n v="0"/>
    <m/>
    <m/>
    <m/>
    <m/>
    <m/>
    <m/>
    <m/>
    <x v="0"/>
    <x v="228"/>
    <x v="762"/>
    <n v="37347702"/>
    <s v="F-688038.02-0731.SHB.WE36"/>
    <n v="450"/>
    <n v="306"/>
    <m/>
    <m/>
    <s v="20241301-12.10.2024"/>
    <x v="1"/>
    <x v="9"/>
    <x v="1"/>
    <m/>
  </r>
  <r>
    <x v="9"/>
    <x v="0"/>
    <x v="243"/>
    <x v="108"/>
    <x v="164"/>
    <n v="0"/>
    <n v="0"/>
    <n v="0.68"/>
    <n v="0"/>
    <n v="0"/>
    <x v="22"/>
    <n v="35"/>
    <n v="2024"/>
    <n v="0"/>
    <x v="63"/>
    <n v="0"/>
    <m/>
    <m/>
    <n v="0"/>
    <m/>
    <m/>
    <m/>
    <m/>
    <m/>
    <m/>
    <n v="244001"/>
    <x v="0"/>
    <x v="288"/>
    <x v="763"/>
    <n v="37347702"/>
    <s v="F-688038.02-0731.SHB.WE36"/>
    <n v="102"/>
    <n v="69.36"/>
    <m/>
    <m/>
    <s v="20241328-19.10.2024"/>
    <x v="1"/>
    <x v="9"/>
    <x v="1"/>
    <m/>
  </r>
  <r>
    <x v="9"/>
    <x v="0"/>
    <x v="243"/>
    <x v="95"/>
    <x v="165"/>
    <n v="0"/>
    <n v="0"/>
    <n v="12.75"/>
    <n v="23"/>
    <n v="293.25"/>
    <x v="22"/>
    <n v="35"/>
    <n v="2024"/>
    <n v="0"/>
    <x v="64"/>
    <n v="0"/>
    <m/>
    <m/>
    <n v="0.47916666666666669"/>
    <m/>
    <m/>
    <m/>
    <m/>
    <m/>
    <m/>
    <m/>
    <x v="0"/>
    <x v="289"/>
    <x v="729"/>
    <n v="37347702"/>
    <s v="F-688038.02-0811.GEH.WE36"/>
    <n v="23"/>
    <n v="293.25"/>
    <m/>
    <m/>
    <s v="20241487-26.11.2024"/>
    <x v="1"/>
    <x v="9"/>
    <x v="1"/>
    <m/>
  </r>
  <r>
    <x v="9"/>
    <x v="0"/>
    <x v="243"/>
    <x v="95"/>
    <x v="165"/>
    <n v="0"/>
    <n v="0"/>
    <n v="12.75"/>
    <n v="40"/>
    <n v="510"/>
    <x v="22"/>
    <n v="35"/>
    <n v="2024"/>
    <n v="0"/>
    <x v="64"/>
    <n v="0"/>
    <m/>
    <m/>
    <n v="0.83333333333333337"/>
    <m/>
    <m/>
    <m/>
    <m/>
    <m/>
    <m/>
    <m/>
    <x v="0"/>
    <x v="290"/>
    <x v="764"/>
    <n v="37347702"/>
    <s v="F-688038.02-0811.GEH.WE36"/>
    <n v="40"/>
    <n v="510"/>
    <m/>
    <s v="aviz omis"/>
    <s v="20250319-14.03.2025"/>
    <x v="1"/>
    <x v="9"/>
    <x v="1"/>
    <m/>
  </r>
  <r>
    <x v="9"/>
    <x v="0"/>
    <x v="243"/>
    <x v="95"/>
    <x v="165"/>
    <n v="0"/>
    <n v="0"/>
    <n v="12.75"/>
    <n v="68"/>
    <n v="867"/>
    <x v="22"/>
    <n v="35"/>
    <n v="2024"/>
    <n v="0"/>
    <x v="64"/>
    <n v="0"/>
    <m/>
    <m/>
    <n v="1.4166666666666667"/>
    <m/>
    <m/>
    <m/>
    <m/>
    <m/>
    <m/>
    <m/>
    <x v="0"/>
    <x v="291"/>
    <x v="765"/>
    <n v="37347702"/>
    <s v="F-688038.02-0811.GEH.WE36"/>
    <n v="68"/>
    <n v="867"/>
    <m/>
    <m/>
    <s v="20241581-14.12.2024"/>
    <x v="1"/>
    <x v="9"/>
    <x v="1"/>
    <m/>
  </r>
  <r>
    <x v="9"/>
    <x v="0"/>
    <x v="243"/>
    <x v="95"/>
    <x v="165"/>
    <n v="0"/>
    <n v="0"/>
    <n v="12.75"/>
    <n v="128"/>
    <n v="1632"/>
    <x v="22"/>
    <n v="35"/>
    <n v="2024"/>
    <n v="0"/>
    <x v="64"/>
    <n v="0"/>
    <m/>
    <m/>
    <n v="2.6666666666666665"/>
    <m/>
    <m/>
    <m/>
    <m/>
    <m/>
    <m/>
    <m/>
    <x v="0"/>
    <x v="291"/>
    <x v="765"/>
    <n v="37347702"/>
    <s v="F-688038.02-0811.GEH.WE36"/>
    <n v="128"/>
    <n v="1632"/>
    <m/>
    <m/>
    <s v="20241581-14.12.2024"/>
    <x v="1"/>
    <x v="9"/>
    <x v="1"/>
    <m/>
  </r>
  <r>
    <x v="9"/>
    <x v="0"/>
    <x v="243"/>
    <x v="95"/>
    <x v="165"/>
    <n v="0"/>
    <n v="0"/>
    <n v="12.75"/>
    <n v="163"/>
    <n v="2078.25"/>
    <x v="22"/>
    <n v="35"/>
    <n v="2024"/>
    <n v="0"/>
    <x v="64"/>
    <n v="0"/>
    <m/>
    <m/>
    <n v="3.3958333333333335"/>
    <m/>
    <m/>
    <m/>
    <m/>
    <m/>
    <m/>
    <m/>
    <x v="0"/>
    <x v="292"/>
    <x v="766"/>
    <n v="37347702"/>
    <s v="F-688038.02-0811.GEH.WE36"/>
    <n v="163"/>
    <n v="2078.25"/>
    <m/>
    <m/>
    <s v="20241606-20.12.2024"/>
    <x v="1"/>
    <x v="9"/>
    <x v="1"/>
    <m/>
  </r>
  <r>
    <x v="9"/>
    <x v="0"/>
    <x v="243"/>
    <x v="95"/>
    <x v="165"/>
    <n v="0"/>
    <n v="0"/>
    <n v="12.75"/>
    <n v="63"/>
    <n v="803.25"/>
    <x v="22"/>
    <n v="35"/>
    <n v="2024"/>
    <n v="0"/>
    <x v="64"/>
    <n v="0"/>
    <m/>
    <m/>
    <n v="1.3125"/>
    <m/>
    <m/>
    <m/>
    <m/>
    <m/>
    <m/>
    <m/>
    <x v="0"/>
    <x v="295"/>
    <x v="732"/>
    <n v="37347702"/>
    <s v="F-688038.02-0811.GEH.WE36"/>
    <n v="63"/>
    <n v="803.25"/>
    <m/>
    <m/>
    <s v="20250112-31.01.2025"/>
    <x v="1"/>
    <x v="9"/>
    <x v="1"/>
    <m/>
  </r>
  <r>
    <x v="9"/>
    <x v="0"/>
    <x v="243"/>
    <x v="95"/>
    <x v="165"/>
    <n v="0"/>
    <n v="0"/>
    <n v="12.75"/>
    <n v="40"/>
    <n v="510"/>
    <x v="22"/>
    <n v="35"/>
    <n v="2024"/>
    <n v="0"/>
    <x v="64"/>
    <n v="0"/>
    <m/>
    <m/>
    <n v="0.83333333333333337"/>
    <m/>
    <m/>
    <m/>
    <m/>
    <m/>
    <s v="yes + 165 rectif."/>
    <m/>
    <x v="0"/>
    <x v="192"/>
    <x v="767"/>
    <n v="37347702"/>
    <s v="F-688038.02-0811.GEH.WE36"/>
    <n v="40"/>
    <n v="510"/>
    <m/>
    <m/>
    <s v="20250312-12.03.2025"/>
    <x v="1"/>
    <x v="9"/>
    <x v="1"/>
    <m/>
  </r>
  <r>
    <x v="9"/>
    <x v="0"/>
    <x v="243"/>
    <x v="95"/>
    <x v="165"/>
    <n v="0"/>
    <n v="0"/>
    <n v="12.75"/>
    <n v="101"/>
    <n v="1287.75"/>
    <x v="22"/>
    <n v="35"/>
    <n v="2024"/>
    <n v="0"/>
    <x v="64"/>
    <n v="0"/>
    <m/>
    <m/>
    <n v="2.1041666666666665"/>
    <m/>
    <m/>
    <m/>
    <m/>
    <m/>
    <s v="yes + 165 rectif."/>
    <m/>
    <x v="0"/>
    <x v="299"/>
    <x v="768"/>
    <n v="37347702"/>
    <s v="F-688038.02-0811.GEH.WE36"/>
    <n v="101"/>
    <n v="1287.75"/>
    <m/>
    <m/>
    <s v="20250388-25.03.2025"/>
    <x v="1"/>
    <x v="9"/>
    <x v="1"/>
    <m/>
  </r>
  <r>
    <x v="9"/>
    <x v="0"/>
    <x v="243"/>
    <x v="95"/>
    <x v="165"/>
    <n v="0"/>
    <n v="0"/>
    <n v="12.75"/>
    <n v="8"/>
    <n v="102"/>
    <x v="22"/>
    <n v="35"/>
    <n v="2024"/>
    <n v="0"/>
    <x v="64"/>
    <n v="0"/>
    <m/>
    <m/>
    <n v="0.16666666666666666"/>
    <m/>
    <m/>
    <m/>
    <m/>
    <m/>
    <s v="yes + 165 rectif."/>
    <m/>
    <x v="0"/>
    <x v="299"/>
    <x v="769"/>
    <n v="37347702"/>
    <s v="F-688038.02-0811.GEH.WE36"/>
    <n v="8"/>
    <n v="102"/>
    <m/>
    <m/>
    <s v="20250387-25.03.2025"/>
    <x v="1"/>
    <x v="9"/>
    <x v="1"/>
    <m/>
  </r>
  <r>
    <x v="9"/>
    <x v="0"/>
    <x v="243"/>
    <x v="95"/>
    <x v="165"/>
    <n v="0"/>
    <n v="0"/>
    <n v="12.75"/>
    <n v="16"/>
    <n v="204"/>
    <x v="22"/>
    <n v="35"/>
    <n v="2024"/>
    <n v="0"/>
    <x v="64"/>
    <n v="0"/>
    <m/>
    <m/>
    <n v="0.33333333333333331"/>
    <m/>
    <m/>
    <m/>
    <m/>
    <m/>
    <s v="yes + 165 rectif."/>
    <m/>
    <x v="0"/>
    <x v="301"/>
    <x v="770"/>
    <n v="37347702"/>
    <s v="F-688038.02-0811.GEH.WE36"/>
    <n v="16"/>
    <n v="204"/>
    <m/>
    <m/>
    <s v="20250505-11.04.2025"/>
    <x v="1"/>
    <x v="9"/>
    <x v="1"/>
    <m/>
  </r>
  <r>
    <x v="9"/>
    <x v="0"/>
    <x v="243"/>
    <x v="150"/>
    <x v="166"/>
    <n v="0"/>
    <n v="0"/>
    <n v="3.8"/>
    <n v="163"/>
    <n v="619.4"/>
    <x v="22"/>
    <n v="35"/>
    <n v="2024"/>
    <n v="0"/>
    <x v="64"/>
    <n v="0"/>
    <m/>
    <m/>
    <n v="3.3958333333333335"/>
    <m/>
    <m/>
    <m/>
    <m/>
    <m/>
    <m/>
    <m/>
    <x v="0"/>
    <x v="270"/>
    <x v="744"/>
    <n v="37347702"/>
    <s v="F-688038.02-0821.GEH.WE36"/>
    <n v="163"/>
    <n v="619.4"/>
    <m/>
    <m/>
    <s v="20241452-21.11.2024"/>
    <x v="1"/>
    <x v="9"/>
    <x v="1"/>
    <m/>
  </r>
  <r>
    <x v="9"/>
    <x v="0"/>
    <x v="243"/>
    <x v="150"/>
    <x v="166"/>
    <n v="0"/>
    <n v="0"/>
    <n v="3.8"/>
    <n v="167"/>
    <n v="634.6"/>
    <x v="22"/>
    <n v="35"/>
    <n v="2024"/>
    <n v="0"/>
    <x v="64"/>
    <n v="0"/>
    <m/>
    <m/>
    <n v="3.4791666666666665"/>
    <m/>
    <m/>
    <m/>
    <m/>
    <m/>
    <m/>
    <m/>
    <x v="0"/>
    <x v="289"/>
    <x v="729"/>
    <n v="37347702"/>
    <s v="F-688038.02-0821.GEH.WE36"/>
    <n v="167"/>
    <n v="634.6"/>
    <m/>
    <m/>
    <s v="20241487-26.11.2024"/>
    <x v="1"/>
    <x v="9"/>
    <x v="1"/>
    <m/>
  </r>
  <r>
    <x v="9"/>
    <x v="0"/>
    <x v="243"/>
    <x v="150"/>
    <x v="166"/>
    <n v="0"/>
    <n v="0"/>
    <n v="3.8"/>
    <n v="110"/>
    <n v="418"/>
    <x v="22"/>
    <n v="35"/>
    <n v="2024"/>
    <n v="0"/>
    <x v="64"/>
    <n v="0"/>
    <m/>
    <m/>
    <n v="2.2916666666666665"/>
    <m/>
    <m/>
    <m/>
    <m/>
    <m/>
    <m/>
    <m/>
    <x v="0"/>
    <x v="290"/>
    <x v="745"/>
    <n v="37347702"/>
    <s v="F-688038.02-0821.GEH.WE36"/>
    <n v="110"/>
    <n v="418"/>
    <m/>
    <m/>
    <s v="20241530-06.12.2024"/>
    <x v="1"/>
    <x v="9"/>
    <x v="1"/>
    <m/>
  </r>
  <r>
    <x v="9"/>
    <x v="0"/>
    <x v="243"/>
    <x v="150"/>
    <x v="166"/>
    <n v="0"/>
    <n v="0"/>
    <n v="3.8"/>
    <n v="165"/>
    <n v="627"/>
    <x v="22"/>
    <n v="35"/>
    <n v="2024"/>
    <n v="0"/>
    <x v="64"/>
    <n v="0"/>
    <m/>
    <m/>
    <n v="3.4375"/>
    <m/>
    <m/>
    <m/>
    <m/>
    <m/>
    <m/>
    <m/>
    <x v="0"/>
    <x v="295"/>
    <x v="732"/>
    <n v="37347702"/>
    <s v="F-688038.02-0821.GEH.WE36"/>
    <n v="165"/>
    <n v="627"/>
    <m/>
    <m/>
    <s v="20250112-31.01.2025"/>
    <x v="1"/>
    <x v="9"/>
    <x v="1"/>
    <m/>
  </r>
  <r>
    <x v="9"/>
    <x v="0"/>
    <x v="243"/>
    <x v="150"/>
    <x v="166"/>
    <n v="0"/>
    <n v="0"/>
    <n v="3.8"/>
    <n v="45"/>
    <n v="171"/>
    <x v="22"/>
    <n v="35"/>
    <n v="2024"/>
    <n v="0"/>
    <x v="64"/>
    <n v="0"/>
    <m/>
    <m/>
    <n v="0.9375"/>
    <m/>
    <m/>
    <m/>
    <m/>
    <m/>
    <s v="Yes"/>
    <m/>
    <x v="0"/>
    <x v="296"/>
    <x v="771"/>
    <n v="37347702"/>
    <s v="F-688038.02-0821.GEH.WE36"/>
    <n v="45"/>
    <n v="171"/>
    <m/>
    <s v="5 au fost de PPAP"/>
    <s v="20250246-28.02.2025"/>
    <x v="1"/>
    <x v="9"/>
    <x v="1"/>
    <m/>
  </r>
  <r>
    <x v="9"/>
    <x v="0"/>
    <x v="243"/>
    <x v="150"/>
    <x v="167"/>
    <n v="0"/>
    <s v="00"/>
    <n v="0.78"/>
    <n v="530"/>
    <n v="413.40000000000003"/>
    <x v="22"/>
    <n v="35"/>
    <n v="2024"/>
    <n v="0"/>
    <x v="63"/>
    <n v="0"/>
    <m/>
    <s v="project"/>
    <n v="11.041666666666666"/>
    <m/>
    <m/>
    <m/>
    <m/>
    <m/>
    <m/>
    <m/>
    <x v="0"/>
    <x v="307"/>
    <x v="772"/>
    <n v="37347702"/>
    <s v="F-688038.02-0831.SHB.WE36"/>
    <n v="530"/>
    <n v="413.40000000000003"/>
    <m/>
    <s v="5 PPAP"/>
    <s v="20241234-28.09.2024"/>
    <x v="1"/>
    <x v="9"/>
    <x v="1"/>
    <m/>
  </r>
  <r>
    <x v="9"/>
    <x v="0"/>
    <x v="243"/>
    <x v="153"/>
    <x v="167"/>
    <n v="0"/>
    <s v="00"/>
    <n v="0.78"/>
    <n v="75"/>
    <n v="58.5"/>
    <x v="22"/>
    <n v="35"/>
    <n v="2024"/>
    <n v="0"/>
    <x v="63"/>
    <n v="0"/>
    <m/>
    <s v="project"/>
    <n v="1.5625"/>
    <m/>
    <m/>
    <m/>
    <m/>
    <m/>
    <m/>
    <m/>
    <x v="0"/>
    <x v="287"/>
    <x v="761"/>
    <n v="37347702"/>
    <s v="F-688038.02-0831.SHB.WE36"/>
    <n v="75"/>
    <n v="58.5"/>
    <m/>
    <m/>
    <s v="20241263-05.10.2024"/>
    <x v="1"/>
    <x v="9"/>
    <x v="1"/>
    <m/>
  </r>
  <r>
    <x v="9"/>
    <x v="0"/>
    <x v="243"/>
    <x v="153"/>
    <x v="167"/>
    <n v="0"/>
    <s v="00"/>
    <n v="0.78"/>
    <n v="17"/>
    <n v="13.26"/>
    <x v="22"/>
    <n v="35"/>
    <n v="2024"/>
    <n v="0"/>
    <x v="63"/>
    <n v="0"/>
    <m/>
    <s v="project"/>
    <n v="0.35416666666666669"/>
    <m/>
    <m/>
    <m/>
    <m/>
    <m/>
    <m/>
    <m/>
    <x v="0"/>
    <x v="229"/>
    <x v="773"/>
    <n v="37347702"/>
    <s v="F-688038.02-0831.SHB.WE36"/>
    <n v="17"/>
    <n v="13.26"/>
    <m/>
    <m/>
    <s v="20241354-28.10.2024"/>
    <x v="1"/>
    <x v="9"/>
    <x v="1"/>
    <m/>
  </r>
  <r>
    <x v="9"/>
    <x v="0"/>
    <x v="243"/>
    <x v="153"/>
    <x v="167"/>
    <n v="0"/>
    <s v="00"/>
    <n v="0.78"/>
    <n v="28"/>
    <n v="21.84"/>
    <x v="22"/>
    <n v="35"/>
    <n v="2024"/>
    <n v="0"/>
    <x v="63"/>
    <n v="0"/>
    <m/>
    <s v="project"/>
    <n v="0.58333333333333337"/>
    <m/>
    <m/>
    <m/>
    <m/>
    <m/>
    <m/>
    <m/>
    <x v="0"/>
    <x v="89"/>
    <x v="740"/>
    <n v="37347702"/>
    <s v="F-688038.02-0831.SHB.WE36"/>
    <n v="28"/>
    <n v="21.84"/>
    <m/>
    <m/>
    <s v="20241395-05.11.2024"/>
    <x v="1"/>
    <x v="9"/>
    <x v="1"/>
    <m/>
  </r>
  <r>
    <x v="9"/>
    <x v="0"/>
    <x v="243"/>
    <x v="150"/>
    <x v="168"/>
    <n v="0"/>
    <n v="0"/>
    <n v="11.29"/>
    <n v="26"/>
    <n v="293.53999999999996"/>
    <x v="22"/>
    <n v="35"/>
    <n v="2024"/>
    <n v="0"/>
    <x v="63"/>
    <n v="0"/>
    <m/>
    <m/>
    <n v="0.54166666666666663"/>
    <s v="yes"/>
    <m/>
    <m/>
    <m/>
    <m/>
    <m/>
    <m/>
    <x v="0"/>
    <x v="270"/>
    <x v="774"/>
    <n v="37347702"/>
    <s v="F-688038.02-0911.BZ.WE"/>
    <n v="26"/>
    <n v="293.53999999999996"/>
    <m/>
    <s v="aviz poligrat: 202401414"/>
    <s v="20241520 - 9/12/2024"/>
    <x v="1"/>
    <x v="9"/>
    <x v="1"/>
    <m/>
  </r>
  <r>
    <x v="9"/>
    <x v="0"/>
    <x v="243"/>
    <x v="150"/>
    <x v="168"/>
    <n v="0"/>
    <n v="0"/>
    <n v="11.29"/>
    <n v="20"/>
    <n v="225.79999999999998"/>
    <x v="22"/>
    <n v="35"/>
    <n v="2024"/>
    <n v="0"/>
    <x v="63"/>
    <n v="0"/>
    <m/>
    <m/>
    <n v="0.41666666666666669"/>
    <s v="yes"/>
    <m/>
    <m/>
    <m/>
    <m/>
    <m/>
    <m/>
    <x v="0"/>
    <x v="289"/>
    <x v="775"/>
    <n v="37347702"/>
    <s v="F-688038.02-0911.BZ.WE"/>
    <n v="20"/>
    <n v="225.79999999999998"/>
    <m/>
    <s v="aviz poligrat: 202401444"/>
    <s v="20241521 -9/12/2024"/>
    <x v="1"/>
    <x v="9"/>
    <x v="1"/>
    <m/>
  </r>
  <r>
    <x v="9"/>
    <x v="0"/>
    <x v="243"/>
    <x v="150"/>
    <x v="168"/>
    <n v="0"/>
    <n v="0"/>
    <n v="11.29"/>
    <n v="5"/>
    <n v="56.449999999999996"/>
    <x v="22"/>
    <n v="35"/>
    <n v="2024"/>
    <n v="0"/>
    <x v="63"/>
    <n v="0"/>
    <m/>
    <m/>
    <n v="0.10416666666666667"/>
    <m/>
    <m/>
    <m/>
    <m/>
    <m/>
    <m/>
    <m/>
    <x v="0"/>
    <x v="290"/>
    <x v="748"/>
    <n v="37347702"/>
    <s v="F-688038.02-0911.BZ.WE"/>
    <n v="5"/>
    <n v="56.449999999999996"/>
    <m/>
    <s v="pcs for PPAP, aviz poligart: 202401489"/>
    <s v="20241533-11.12.2024"/>
    <x v="1"/>
    <x v="9"/>
    <x v="1"/>
    <m/>
  </r>
  <r>
    <x v="9"/>
    <x v="0"/>
    <x v="243"/>
    <x v="150"/>
    <x v="168"/>
    <n v="0"/>
    <n v="0"/>
    <n v="11.29"/>
    <n v="106"/>
    <n v="1196.74"/>
    <x v="22"/>
    <n v="35"/>
    <n v="2024"/>
    <n v="0"/>
    <x v="63"/>
    <n v="0"/>
    <m/>
    <m/>
    <n v="2.2083333333333335"/>
    <s v="yes"/>
    <m/>
    <m/>
    <m/>
    <m/>
    <m/>
    <m/>
    <x v="0"/>
    <x v="309"/>
    <x v="776"/>
    <n v="37347702"/>
    <s v="F-688038.02-0911.BZ.WE"/>
    <n v="106"/>
    <n v="1196.74"/>
    <m/>
    <s v="aviz poligrat: 202401576"/>
    <s v="202401577-18.12.2024"/>
    <x v="1"/>
    <x v="9"/>
    <x v="1"/>
    <m/>
  </r>
  <r>
    <x v="9"/>
    <x v="0"/>
    <x v="243"/>
    <x v="150"/>
    <x v="168"/>
    <n v="0"/>
    <n v="0"/>
    <n v="11.29"/>
    <n v="37"/>
    <n v="417.72999999999996"/>
    <x v="22"/>
    <n v="35"/>
    <n v="2024"/>
    <n v="0"/>
    <x v="63"/>
    <n v="0"/>
    <m/>
    <m/>
    <n v="0.77083333333333337"/>
    <s v="yes"/>
    <m/>
    <m/>
    <m/>
    <m/>
    <m/>
    <m/>
    <x v="0"/>
    <x v="310"/>
    <x v="751"/>
    <n v="37347702"/>
    <s v="F-688038.02-0911.BZ.WE"/>
    <n v="37"/>
    <n v="417.72999999999996"/>
    <m/>
    <s v="aviz poligrat: 20242033"/>
    <s v="20250003-09.01.2025"/>
    <x v="1"/>
    <x v="9"/>
    <x v="1"/>
    <m/>
  </r>
  <r>
    <x v="9"/>
    <x v="0"/>
    <x v="243"/>
    <x v="150"/>
    <x v="168"/>
    <n v="0"/>
    <n v="0"/>
    <n v="11.29"/>
    <n v="13"/>
    <n v="146.76999999999998"/>
    <x v="22"/>
    <n v="35"/>
    <n v="2024"/>
    <n v="0"/>
    <x v="63"/>
    <n v="0"/>
    <m/>
    <m/>
    <n v="0.27083333333333331"/>
    <s v="yes"/>
    <m/>
    <m/>
    <m/>
    <m/>
    <m/>
    <m/>
    <x v="0"/>
    <x v="293"/>
    <x v="777"/>
    <n v="37347702"/>
    <s v="F-688038.02-0911.BZ.WE"/>
    <n v="13"/>
    <n v="146.76999999999998"/>
    <m/>
    <s v="aviz poligrat: BVOLS2548"/>
    <s v="20250055-18.01.2025"/>
    <x v="1"/>
    <x v="9"/>
    <x v="1"/>
    <m/>
  </r>
  <r>
    <x v="9"/>
    <x v="0"/>
    <x v="243"/>
    <x v="150"/>
    <x v="168"/>
    <n v="0"/>
    <n v="0"/>
    <n v="11.29"/>
    <n v="142"/>
    <n v="1603.1799999999998"/>
    <x v="22"/>
    <n v="35"/>
    <n v="2024"/>
    <n v="0"/>
    <x v="63"/>
    <n v="0"/>
    <m/>
    <m/>
    <n v="2.9583333333333335"/>
    <s v="yes"/>
    <m/>
    <m/>
    <m/>
    <m/>
    <m/>
    <m/>
    <x v="0"/>
    <x v="295"/>
    <x v="778"/>
    <n v="37347702"/>
    <s v="F-688038.02-0911.BZ.WE"/>
    <n v="142"/>
    <n v="1603.1799999999998"/>
    <m/>
    <s v="aviz poligrat: 20242050"/>
    <s v="20250114-31.01.2025"/>
    <x v="1"/>
    <x v="9"/>
    <x v="1"/>
    <m/>
  </r>
  <r>
    <x v="9"/>
    <x v="0"/>
    <x v="243"/>
    <x v="150"/>
    <x v="168"/>
    <n v="0"/>
    <n v="0"/>
    <n v="11.29"/>
    <n v="15"/>
    <n v="169.35"/>
    <x v="22"/>
    <n v="35"/>
    <n v="2024"/>
    <n v="0"/>
    <x v="63"/>
    <n v="0"/>
    <m/>
    <m/>
    <n v="0.3125"/>
    <s v="yes"/>
    <m/>
    <m/>
    <m/>
    <m/>
    <m/>
    <m/>
    <x v="0"/>
    <x v="249"/>
    <x v="779"/>
    <n v="37347702"/>
    <s v="F-688038.02-0911.BZ.WE"/>
    <n v="15"/>
    <n v="169.35"/>
    <m/>
    <s v="aviz poligrat BVOLS25160"/>
    <s v="20250142-10.02.2025"/>
    <x v="1"/>
    <x v="9"/>
    <x v="1"/>
    <m/>
  </r>
  <r>
    <x v="9"/>
    <x v="0"/>
    <x v="243"/>
    <x v="150"/>
    <x v="168"/>
    <n v="0"/>
    <n v="0"/>
    <n v="11.29"/>
    <n v="58"/>
    <n v="654.81999999999994"/>
    <x v="22"/>
    <n v="35"/>
    <n v="2024"/>
    <n v="0"/>
    <x v="63"/>
    <n v="0"/>
    <m/>
    <m/>
    <n v="1.2083333333333333"/>
    <s v="yes"/>
    <m/>
    <m/>
    <m/>
    <m/>
    <s v="Yes"/>
    <m/>
    <x v="0"/>
    <x v="168"/>
    <x v="780"/>
    <n v="37347702"/>
    <s v="F-688038.02-0911.BZ.WE"/>
    <n v="58"/>
    <n v="654.81999999999994"/>
    <m/>
    <s v="aviz Poligrat 25411"/>
    <s v="20250355-19.03.2025"/>
    <x v="1"/>
    <x v="9"/>
    <x v="1"/>
    <m/>
  </r>
  <r>
    <x v="9"/>
    <x v="0"/>
    <x v="243"/>
    <x v="150"/>
    <x v="168"/>
    <n v="0"/>
    <n v="0"/>
    <n v="11.29"/>
    <n v="5"/>
    <n v="56.449999999999996"/>
    <x v="22"/>
    <n v="35"/>
    <n v="2024"/>
    <n v="0"/>
    <x v="63"/>
    <n v="0"/>
    <m/>
    <m/>
    <n v="0.10416666666666667"/>
    <s v="yes"/>
    <m/>
    <m/>
    <m/>
    <m/>
    <s v="Yes"/>
    <m/>
    <x v="0"/>
    <x v="169"/>
    <x v="781"/>
    <n v="37347702"/>
    <s v="F-688038.02-0911.BZ.WE"/>
    <n v="5"/>
    <n v="56.449999999999996"/>
    <m/>
    <s v="aviz Poligrat 25439"/>
    <s v="20250366-20.03.2025"/>
    <x v="1"/>
    <x v="9"/>
    <x v="1"/>
    <m/>
  </r>
  <r>
    <x v="9"/>
    <x v="0"/>
    <x v="243"/>
    <x v="150"/>
    <x v="168"/>
    <n v="0"/>
    <n v="0"/>
    <n v="11.29"/>
    <n v="65"/>
    <n v="733.84999999999991"/>
    <x v="22"/>
    <n v="35"/>
    <n v="2024"/>
    <n v="0"/>
    <x v="63"/>
    <n v="0"/>
    <m/>
    <m/>
    <n v="1.3541666666666667"/>
    <s v="yes"/>
    <m/>
    <m/>
    <m/>
    <m/>
    <s v="Yes"/>
    <m/>
    <x v="0"/>
    <x v="169"/>
    <x v="782"/>
    <n v="37347702"/>
    <s v="F-688038.02-0911.BZ.WE"/>
    <n v="65"/>
    <n v="733.84999999999991"/>
    <m/>
    <s v="aviz Poligrat 25440"/>
    <s v="20250367-20.03.2025"/>
    <x v="1"/>
    <x v="9"/>
    <x v="1"/>
    <m/>
  </r>
  <r>
    <x v="9"/>
    <x v="0"/>
    <x v="243"/>
    <x v="150"/>
    <x v="168"/>
    <n v="0"/>
    <n v="0"/>
    <n v="11.29"/>
    <n v="85"/>
    <n v="959.65"/>
    <x v="22"/>
    <n v="35"/>
    <n v="2024"/>
    <n v="0"/>
    <x v="63"/>
    <n v="0"/>
    <m/>
    <m/>
    <n v="1.7708333333333333"/>
    <s v="yes"/>
    <m/>
    <m/>
    <m/>
    <m/>
    <m/>
    <m/>
    <x v="0"/>
    <x v="300"/>
    <x v="758"/>
    <n v="37347702"/>
    <s v="F-688038.02-0911.BZ.WE"/>
    <n v="85"/>
    <n v="959.65"/>
    <m/>
    <s v="aviz poligrat: 25518"/>
    <s v="20250448-04.04.2025"/>
    <x v="1"/>
    <x v="9"/>
    <x v="1"/>
    <m/>
  </r>
  <r>
    <x v="9"/>
    <x v="0"/>
    <x v="243"/>
    <x v="150"/>
    <x v="168"/>
    <n v="0"/>
    <n v="0"/>
    <n v="11.29"/>
    <n v="13"/>
    <n v="146.76999999999998"/>
    <x v="22"/>
    <n v="35"/>
    <n v="2024"/>
    <n v="0"/>
    <x v="63"/>
    <n v="0"/>
    <m/>
    <m/>
    <n v="0.27083333333333331"/>
    <s v="yes"/>
    <m/>
    <m/>
    <m/>
    <m/>
    <s v="Yes"/>
    <m/>
    <x v="1"/>
    <x v="3"/>
    <x v="4"/>
    <s v=""/>
    <s v=""/>
    <m/>
    <n v="0"/>
    <m/>
    <m/>
    <m/>
    <x v="1"/>
    <x v="9"/>
    <x v="1"/>
    <m/>
  </r>
  <r>
    <x v="9"/>
    <x v="0"/>
    <x v="243"/>
    <x v="150"/>
    <x v="168"/>
    <n v="0"/>
    <n v="0"/>
    <n v="11.29"/>
    <n v="60"/>
    <n v="677.4"/>
    <x v="82"/>
    <n v="35"/>
    <n v="2024"/>
    <n v="0"/>
    <x v="63"/>
    <n v="0"/>
    <m/>
    <m/>
    <n v="1.25"/>
    <s v="yes"/>
    <m/>
    <m/>
    <m/>
    <m/>
    <m/>
    <m/>
    <x v="0"/>
    <x v="294"/>
    <x v="783"/>
    <n v="37347702"/>
    <s v="F-688038.02-0911.BZ.WE"/>
    <n v="60"/>
    <n v="677.4"/>
    <m/>
    <s v="aviz poligrat: 20242047"/>
    <s v="20250082-27.01.2025"/>
    <x v="1"/>
    <x v="9"/>
    <x v="1"/>
    <m/>
  </r>
  <r>
    <x v="9"/>
    <x v="0"/>
    <x v="243"/>
    <x v="150"/>
    <x v="169"/>
    <n v="0"/>
    <n v="0"/>
    <n v="1.77"/>
    <n v="650"/>
    <n v="1150.5"/>
    <x v="22"/>
    <n v="35"/>
    <n v="2024"/>
    <n v="0"/>
    <x v="63"/>
    <n v="0"/>
    <m/>
    <s v="project"/>
    <n v="13.541666666666666"/>
    <m/>
    <m/>
    <m/>
    <m/>
    <m/>
    <m/>
    <m/>
    <x v="0"/>
    <x v="286"/>
    <x v="784"/>
    <n v="37347702"/>
    <s v="F-688038-0711.SHB.WE36"/>
    <n v="30"/>
    <n v="53.1"/>
    <m/>
    <s v="5 PPAP"/>
    <s v="20241212-21.09.2024/20250014-13.01.2025/20250015-13.01.2025"/>
    <x v="1"/>
    <x v="9"/>
    <x v="1"/>
    <m/>
  </r>
  <r>
    <x v="9"/>
    <x v="0"/>
    <x v="243"/>
    <x v="150"/>
    <x v="169"/>
    <n v="0"/>
    <n v="0"/>
    <n v="1.77"/>
    <n v="0"/>
    <n v="0"/>
    <x v="22"/>
    <n v="35"/>
    <n v="2024"/>
    <n v="0"/>
    <x v="63"/>
    <n v="0"/>
    <m/>
    <m/>
    <n v="0"/>
    <m/>
    <m/>
    <m/>
    <m/>
    <m/>
    <m/>
    <m/>
    <x v="0"/>
    <x v="286"/>
    <x v="785"/>
    <n v="37347702"/>
    <s v="F-688038-0711.SHB.WE36"/>
    <n v="620"/>
    <n v="1097.4000000000001"/>
    <m/>
    <m/>
    <s v="20241212-21.09.2024/20250014-13.01.2025/20250015-13.01.2025"/>
    <x v="1"/>
    <x v="9"/>
    <x v="1"/>
    <m/>
  </r>
  <r>
    <x v="9"/>
    <x v="0"/>
    <x v="241"/>
    <x v="150"/>
    <x v="170"/>
    <n v="0"/>
    <n v="0"/>
    <n v="6.94"/>
    <n v="54"/>
    <n v="374.76000000000005"/>
    <x v="185"/>
    <n v="33"/>
    <n v="2024"/>
    <n v="0"/>
    <x v="49"/>
    <n v="0"/>
    <m/>
    <m/>
    <n v="1.125"/>
    <m/>
    <m/>
    <m/>
    <m/>
    <m/>
    <m/>
    <m/>
    <x v="0"/>
    <x v="270"/>
    <x v="696"/>
    <n v="37349251"/>
    <s v="F-688040.02-0111.W.WE36"/>
    <n v="54"/>
    <n v="374.76000000000005"/>
    <m/>
    <m/>
    <s v="20241450-21.11.2024"/>
    <x v="1"/>
    <x v="9"/>
    <x v="1"/>
    <m/>
  </r>
  <r>
    <x v="9"/>
    <x v="0"/>
    <x v="241"/>
    <x v="150"/>
    <x v="170"/>
    <n v="0"/>
    <n v="0"/>
    <n v="6.94"/>
    <n v="89"/>
    <n v="617.66000000000008"/>
    <x v="185"/>
    <n v="33"/>
    <n v="2024"/>
    <n v="0"/>
    <x v="49"/>
    <n v="0"/>
    <m/>
    <m/>
    <n v="1.8541666666666667"/>
    <m/>
    <m/>
    <m/>
    <m/>
    <m/>
    <m/>
    <m/>
    <x v="0"/>
    <x v="289"/>
    <x v="786"/>
    <n v="37349251"/>
    <s v="F-688040.02-0111.W.WE36"/>
    <n v="89"/>
    <n v="617.66000000000008"/>
    <m/>
    <m/>
    <s v="20241485-26.11.2024"/>
    <x v="1"/>
    <x v="9"/>
    <x v="1"/>
    <m/>
  </r>
  <r>
    <x v="9"/>
    <x v="0"/>
    <x v="241"/>
    <x v="150"/>
    <x v="170"/>
    <n v="0"/>
    <n v="0"/>
    <n v="6.94"/>
    <n v="111"/>
    <n v="770.34"/>
    <x v="185"/>
    <n v="33"/>
    <n v="2024"/>
    <n v="0"/>
    <x v="49"/>
    <n v="0"/>
    <m/>
    <m/>
    <n v="2.3125"/>
    <m/>
    <m/>
    <m/>
    <m/>
    <m/>
    <m/>
    <m/>
    <x v="0"/>
    <x v="90"/>
    <x v="787"/>
    <n v="37349251"/>
    <s v="F-688040.02-0111.W.WE36"/>
    <n v="111"/>
    <n v="770.34"/>
    <m/>
    <m/>
    <s v="20241507-03.12.2024"/>
    <x v="1"/>
    <x v="9"/>
    <x v="1"/>
    <m/>
  </r>
  <r>
    <x v="9"/>
    <x v="0"/>
    <x v="241"/>
    <x v="150"/>
    <x v="170"/>
    <n v="0"/>
    <n v="0"/>
    <n v="6.94"/>
    <n v="118"/>
    <n v="818.92000000000007"/>
    <x v="185"/>
    <n v="33"/>
    <n v="2024"/>
    <n v="0"/>
    <x v="49"/>
    <n v="0"/>
    <m/>
    <m/>
    <n v="2.4583333333333335"/>
    <m/>
    <m/>
    <m/>
    <m/>
    <m/>
    <m/>
    <m/>
    <x v="0"/>
    <x v="290"/>
    <x v="788"/>
    <n v="37349251"/>
    <s v="F-688040.02-0111.W.WE36"/>
    <n v="118"/>
    <n v="818.92000000000007"/>
    <m/>
    <m/>
    <s v="20241531-06.12.2024"/>
    <x v="1"/>
    <x v="9"/>
    <x v="1"/>
    <m/>
  </r>
  <r>
    <x v="9"/>
    <x v="0"/>
    <x v="241"/>
    <x v="150"/>
    <x v="170"/>
    <n v="0"/>
    <n v="0"/>
    <n v="6.94"/>
    <n v="82"/>
    <n v="569.08000000000004"/>
    <x v="185"/>
    <n v="33"/>
    <n v="2024"/>
    <n v="0"/>
    <x v="49"/>
    <n v="0"/>
    <m/>
    <m/>
    <n v="1.7083333333333333"/>
    <m/>
    <m/>
    <m/>
    <m/>
    <m/>
    <m/>
    <m/>
    <x v="0"/>
    <x v="291"/>
    <x v="789"/>
    <n v="37349251"/>
    <s v="F-688040.02-0111.W.WE36"/>
    <n v="82"/>
    <n v="569.08000000000004"/>
    <m/>
    <m/>
    <s v="20241583-14.12.2024"/>
    <x v="1"/>
    <x v="9"/>
    <x v="1"/>
    <m/>
  </r>
  <r>
    <x v="9"/>
    <x v="0"/>
    <x v="241"/>
    <x v="150"/>
    <x v="170"/>
    <n v="0"/>
    <n v="0"/>
    <n v="6.94"/>
    <n v="20"/>
    <n v="138.80000000000001"/>
    <x v="185"/>
    <n v="33"/>
    <n v="2024"/>
    <n v="0"/>
    <x v="49"/>
    <n v="0"/>
    <m/>
    <m/>
    <n v="0.41666666666666669"/>
    <m/>
    <m/>
    <m/>
    <m/>
    <m/>
    <m/>
    <m/>
    <x v="0"/>
    <x v="291"/>
    <x v="790"/>
    <n v="37349251"/>
    <s v="F-688040.02-0111.W.WE36"/>
    <n v="20"/>
    <n v="138.80000000000001"/>
    <m/>
    <m/>
    <s v="20241583-14.12.2024"/>
    <x v="1"/>
    <x v="9"/>
    <x v="1"/>
    <m/>
  </r>
  <r>
    <x v="9"/>
    <x v="0"/>
    <x v="241"/>
    <x v="150"/>
    <x v="170"/>
    <n v="0"/>
    <n v="0"/>
    <n v="6.94"/>
    <n v="140"/>
    <n v="971.6"/>
    <x v="185"/>
    <n v="33"/>
    <n v="2024"/>
    <n v="0"/>
    <x v="49"/>
    <n v="0"/>
    <m/>
    <m/>
    <n v="2.9166666666666665"/>
    <m/>
    <m/>
    <m/>
    <m/>
    <m/>
    <m/>
    <m/>
    <x v="0"/>
    <x v="292"/>
    <x v="791"/>
    <n v="37349251"/>
    <s v="F-688040.02-0111.W.WE36"/>
    <n v="140"/>
    <n v="971.6"/>
    <m/>
    <s v="initial 280 pcs, livrate 140 pcs =&gt; stornare diferenta"/>
    <s v="20241603-20.12.2024/20250020-13.01.2025"/>
    <x v="1"/>
    <x v="9"/>
    <x v="1"/>
    <m/>
  </r>
  <r>
    <x v="9"/>
    <x v="0"/>
    <x v="241"/>
    <x v="150"/>
    <x v="170"/>
    <n v="0"/>
    <n v="0"/>
    <n v="6.94"/>
    <n v="188"/>
    <n v="1304.72"/>
    <x v="185"/>
    <n v="33"/>
    <n v="2024"/>
    <n v="0"/>
    <x v="49"/>
    <n v="0"/>
    <m/>
    <m/>
    <n v="3.9166666666666665"/>
    <m/>
    <m/>
    <m/>
    <m/>
    <m/>
    <m/>
    <m/>
    <x v="0"/>
    <x v="293"/>
    <x v="792"/>
    <n v="37349251"/>
    <s v="F-688040.02-0111.W.WE36"/>
    <n v="188"/>
    <n v="1304.72"/>
    <m/>
    <m/>
    <s v="20250050-18.01.2025"/>
    <x v="1"/>
    <x v="9"/>
    <x v="1"/>
    <m/>
  </r>
  <r>
    <x v="9"/>
    <x v="0"/>
    <x v="241"/>
    <x v="150"/>
    <x v="170"/>
    <n v="0"/>
    <n v="0"/>
    <n v="6.94"/>
    <n v="34"/>
    <n v="235.96"/>
    <x v="185"/>
    <n v="33"/>
    <n v="2024"/>
    <n v="0"/>
    <x v="49"/>
    <n v="0"/>
    <m/>
    <m/>
    <n v="0.70833333333333337"/>
    <m/>
    <m/>
    <m/>
    <m/>
    <m/>
    <m/>
    <m/>
    <x v="0"/>
    <x v="295"/>
    <x v="793"/>
    <n v="37349251"/>
    <s v="F-688040.02-0111.W.WE36"/>
    <n v="34"/>
    <n v="235.96"/>
    <m/>
    <m/>
    <s v="20250110-31.01.2025"/>
    <x v="1"/>
    <x v="9"/>
    <x v="1"/>
    <m/>
  </r>
  <r>
    <x v="9"/>
    <x v="0"/>
    <x v="241"/>
    <x v="150"/>
    <x v="170"/>
    <n v="0"/>
    <n v="0"/>
    <n v="6.94"/>
    <n v="143"/>
    <n v="992.42000000000007"/>
    <x v="185"/>
    <n v="33"/>
    <n v="2024"/>
    <n v="0"/>
    <x v="49"/>
    <n v="0"/>
    <m/>
    <m/>
    <n v="2.9791666666666665"/>
    <m/>
    <m/>
    <m/>
    <m/>
    <m/>
    <m/>
    <m/>
    <x v="0"/>
    <x v="296"/>
    <x v="794"/>
    <n v="37349251"/>
    <s v="F-688040.02-0111.W.WE36"/>
    <n v="143"/>
    <n v="992.42000000000007"/>
    <m/>
    <m/>
    <s v="20250245-28.02.2025"/>
    <x v="1"/>
    <x v="9"/>
    <x v="1"/>
    <m/>
  </r>
  <r>
    <x v="9"/>
    <x v="0"/>
    <x v="241"/>
    <x v="150"/>
    <x v="170"/>
    <n v="0"/>
    <n v="0"/>
    <n v="6.94"/>
    <n v="76"/>
    <n v="527.44000000000005"/>
    <x v="185"/>
    <n v="33"/>
    <n v="2024"/>
    <n v="0"/>
    <x v="49"/>
    <n v="0"/>
    <m/>
    <m/>
    <n v="1.5833333333333333"/>
    <m/>
    <m/>
    <m/>
    <m/>
    <m/>
    <s v="Yes"/>
    <m/>
    <x v="0"/>
    <x v="230"/>
    <x v="795"/>
    <n v="37349251"/>
    <s v="F-688040.02-0111.W.WE36"/>
    <n v="76"/>
    <n v="527.44000000000005"/>
    <m/>
    <m/>
    <s v="20250273-05.03.2025"/>
    <x v="1"/>
    <x v="9"/>
    <x v="1"/>
    <m/>
  </r>
  <r>
    <x v="9"/>
    <x v="0"/>
    <x v="241"/>
    <x v="150"/>
    <x v="170"/>
    <n v="0"/>
    <n v="0"/>
    <n v="6.94"/>
    <n v="36"/>
    <n v="249.84"/>
    <x v="185"/>
    <n v="33"/>
    <n v="2024"/>
    <n v="0"/>
    <x v="49"/>
    <n v="0"/>
    <m/>
    <m/>
    <n v="0.75"/>
    <m/>
    <m/>
    <m/>
    <m/>
    <m/>
    <m/>
    <m/>
    <x v="0"/>
    <x v="297"/>
    <x v="796"/>
    <n v="37349251"/>
    <s v="F-688040.02-0111.W.WE36"/>
    <n v="36"/>
    <n v="249.84"/>
    <m/>
    <m/>
    <s v="20250294-08.03.2025"/>
    <x v="1"/>
    <x v="9"/>
    <x v="1"/>
    <m/>
  </r>
  <r>
    <x v="9"/>
    <x v="0"/>
    <x v="241"/>
    <x v="150"/>
    <x v="170"/>
    <n v="0"/>
    <n v="0"/>
    <n v="6.94"/>
    <n v="50"/>
    <n v="347"/>
    <x v="185"/>
    <n v="33"/>
    <n v="2024"/>
    <n v="0"/>
    <x v="49"/>
    <n v="0"/>
    <m/>
    <m/>
    <n v="1.0416666666666667"/>
    <m/>
    <m/>
    <m/>
    <m/>
    <m/>
    <m/>
    <m/>
    <x v="0"/>
    <x v="298"/>
    <x v="797"/>
    <n v="37349251"/>
    <s v="F-688040.02-0111.W.WE36"/>
    <n v="50"/>
    <n v="347"/>
    <m/>
    <s v="aviz de mana: 20242081"/>
    <s v="20250327-15.03.2025"/>
    <x v="1"/>
    <x v="9"/>
    <x v="1"/>
    <m/>
  </r>
  <r>
    <x v="9"/>
    <x v="0"/>
    <x v="241"/>
    <x v="150"/>
    <x v="170"/>
    <n v="0"/>
    <n v="0"/>
    <n v="6.94"/>
    <n v="51"/>
    <n v="353.94"/>
    <x v="185"/>
    <n v="33"/>
    <n v="2024"/>
    <n v="0"/>
    <x v="49"/>
    <n v="0"/>
    <m/>
    <m/>
    <n v="1.0625"/>
    <m/>
    <m/>
    <m/>
    <m/>
    <m/>
    <s v="Yes"/>
    <m/>
    <x v="0"/>
    <x v="168"/>
    <x v="798"/>
    <n v="37349251"/>
    <s v="F-688040.02-0111.W.WE36"/>
    <n v="51"/>
    <n v="353.94"/>
    <m/>
    <m/>
    <s v="20250352-19.03.2025"/>
    <x v="1"/>
    <x v="9"/>
    <x v="1"/>
    <m/>
  </r>
  <r>
    <x v="9"/>
    <x v="0"/>
    <x v="241"/>
    <x v="150"/>
    <x v="170"/>
    <n v="0"/>
    <n v="0"/>
    <n v="6.94"/>
    <n v="8"/>
    <n v="55.52"/>
    <x v="185"/>
    <n v="33"/>
    <n v="2024"/>
    <n v="0"/>
    <x v="49"/>
    <n v="0"/>
    <m/>
    <m/>
    <n v="0.16666666666666666"/>
    <m/>
    <m/>
    <m/>
    <m/>
    <m/>
    <s v="Yes"/>
    <m/>
    <x v="0"/>
    <x v="168"/>
    <x v="799"/>
    <n v="37349251"/>
    <s v="F-688040.02-0111.W.WE36"/>
    <n v="8"/>
    <n v="55.52"/>
    <m/>
    <m/>
    <s v="20250354-19.03.2025"/>
    <x v="1"/>
    <x v="9"/>
    <x v="1"/>
    <m/>
  </r>
  <r>
    <x v="9"/>
    <x v="0"/>
    <x v="241"/>
    <x v="150"/>
    <x v="170"/>
    <n v="0"/>
    <n v="0"/>
    <n v="6.94"/>
    <n v="131"/>
    <n v="909.1400000000001"/>
    <x v="185"/>
    <n v="33"/>
    <n v="2024"/>
    <n v="0"/>
    <x v="49"/>
    <n v="0"/>
    <m/>
    <m/>
    <n v="2.7291666666666665"/>
    <m/>
    <m/>
    <m/>
    <m/>
    <m/>
    <s v="Yes"/>
    <m/>
    <x v="0"/>
    <x v="169"/>
    <x v="800"/>
    <n v="37349251"/>
    <s v="F-688040.02-0111.W.WE36"/>
    <n v="131"/>
    <n v="909.1400000000001"/>
    <m/>
    <m/>
    <s v="20250365-20.03.2025"/>
    <x v="1"/>
    <x v="9"/>
    <x v="1"/>
    <m/>
  </r>
  <r>
    <x v="9"/>
    <x v="0"/>
    <x v="241"/>
    <x v="150"/>
    <x v="170"/>
    <n v="0"/>
    <n v="0"/>
    <n v="6.94"/>
    <n v="101"/>
    <n v="700.94"/>
    <x v="185"/>
    <n v="33"/>
    <n v="2024"/>
    <n v="0"/>
    <x v="49"/>
    <n v="0"/>
    <m/>
    <m/>
    <n v="2.1041666666666665"/>
    <m/>
    <m/>
    <m/>
    <m/>
    <m/>
    <s v="Yes"/>
    <m/>
    <x v="0"/>
    <x v="299"/>
    <x v="801"/>
    <n v="37349251"/>
    <s v="F-688040.02-0111.W.WE36"/>
    <n v="101"/>
    <n v="700.94"/>
    <m/>
    <m/>
    <s v="20250389-25.03.2025"/>
    <x v="1"/>
    <x v="9"/>
    <x v="1"/>
    <m/>
  </r>
  <r>
    <x v="9"/>
    <x v="0"/>
    <x v="241"/>
    <x v="150"/>
    <x v="170"/>
    <n v="0"/>
    <n v="0"/>
    <n v="6.94"/>
    <n v="239"/>
    <n v="1658.66"/>
    <x v="185"/>
    <n v="33"/>
    <n v="2024"/>
    <n v="0"/>
    <x v="49"/>
    <n v="0"/>
    <m/>
    <m/>
    <n v="4.979166666666667"/>
    <m/>
    <m/>
    <m/>
    <m/>
    <m/>
    <m/>
    <m/>
    <x v="0"/>
    <x v="300"/>
    <x v="802"/>
    <n v="37349251"/>
    <s v="F-688040.02-0111.W.WE36"/>
    <n v="239"/>
    <n v="1658.66"/>
    <m/>
    <m/>
    <s v="20250446-04.04.2025"/>
    <x v="1"/>
    <x v="9"/>
    <x v="1"/>
    <m/>
  </r>
  <r>
    <x v="9"/>
    <x v="0"/>
    <x v="241"/>
    <x v="150"/>
    <x v="170"/>
    <n v="0"/>
    <n v="0"/>
    <n v="6.94"/>
    <n v="416"/>
    <n v="2887.04"/>
    <x v="185"/>
    <n v="33"/>
    <n v="2024"/>
    <n v="0"/>
    <x v="49"/>
    <n v="0"/>
    <m/>
    <m/>
    <n v="8.6666666666666661"/>
    <m/>
    <m/>
    <m/>
    <m/>
    <m/>
    <s v="Yes"/>
    <m/>
    <x v="0"/>
    <x v="92"/>
    <x v="803"/>
    <n v="37349251"/>
    <s v="F-688040.02-0111.W.WE36"/>
    <n v="416"/>
    <n v="2887.04"/>
    <m/>
    <m/>
    <s v="20250481-09.04.2025"/>
    <x v="1"/>
    <x v="9"/>
    <x v="1"/>
    <m/>
  </r>
  <r>
    <x v="9"/>
    <x v="0"/>
    <x v="241"/>
    <x v="150"/>
    <x v="170"/>
    <n v="0"/>
    <n v="0"/>
    <n v="6.94"/>
    <n v="18"/>
    <n v="124.92"/>
    <x v="185"/>
    <n v="33"/>
    <n v="2024"/>
    <n v="0"/>
    <x v="49"/>
    <n v="0"/>
    <m/>
    <m/>
    <n v="0.375"/>
    <m/>
    <m/>
    <m/>
    <m/>
    <m/>
    <s v="Yes"/>
    <m/>
    <x v="0"/>
    <x v="92"/>
    <x v="804"/>
    <n v="37349251"/>
    <s v="F-688040.02-0111.W.WE36"/>
    <n v="18"/>
    <n v="124.92"/>
    <m/>
    <m/>
    <s v="20250482-09.04.2025"/>
    <x v="1"/>
    <x v="9"/>
    <x v="1"/>
    <m/>
  </r>
  <r>
    <x v="9"/>
    <x v="0"/>
    <x v="241"/>
    <x v="150"/>
    <x v="170"/>
    <n v="0"/>
    <n v="0"/>
    <n v="6.94"/>
    <n v="9"/>
    <n v="62.46"/>
    <x v="185"/>
    <n v="33"/>
    <n v="2024"/>
    <n v="0"/>
    <x v="49"/>
    <n v="0"/>
    <m/>
    <m/>
    <n v="0.1875"/>
    <m/>
    <m/>
    <m/>
    <m/>
    <m/>
    <m/>
    <m/>
    <x v="0"/>
    <x v="301"/>
    <x v="805"/>
    <n v="37349251"/>
    <s v="F-688040.02-0111.W.WE36"/>
    <n v="9"/>
    <n v="62.46"/>
    <m/>
    <m/>
    <s v="20250507-11.04.2025"/>
    <x v="1"/>
    <x v="9"/>
    <x v="1"/>
    <m/>
  </r>
  <r>
    <x v="9"/>
    <x v="0"/>
    <x v="241"/>
    <x v="150"/>
    <x v="170"/>
    <n v="0"/>
    <n v="0"/>
    <n v="6.94"/>
    <n v="13"/>
    <n v="90.22"/>
    <x v="185"/>
    <n v="33"/>
    <n v="2024"/>
    <n v="0"/>
    <x v="49"/>
    <n v="0"/>
    <m/>
    <m/>
    <n v="0.27083333333333331"/>
    <m/>
    <m/>
    <m/>
    <m/>
    <m/>
    <s v="Yes"/>
    <m/>
    <x v="0"/>
    <x v="96"/>
    <x v="806"/>
    <n v="37349251"/>
    <s v="F-688040.02-0111.W.WE36"/>
    <n v="13"/>
    <n v="90.22"/>
    <m/>
    <m/>
    <s v="20250533-22.04.2025"/>
    <x v="1"/>
    <x v="9"/>
    <x v="1"/>
    <m/>
  </r>
  <r>
    <x v="9"/>
    <x v="0"/>
    <x v="241"/>
    <x v="150"/>
    <x v="170"/>
    <n v="0"/>
    <n v="0"/>
    <n v="6.94"/>
    <n v="173"/>
    <n v="1200.6200000000001"/>
    <x v="275"/>
    <n v="33"/>
    <n v="2024"/>
    <n v="0"/>
    <x v="49"/>
    <n v="0"/>
    <m/>
    <m/>
    <n v="3.6041666666666665"/>
    <m/>
    <m/>
    <m/>
    <m/>
    <m/>
    <m/>
    <m/>
    <x v="0"/>
    <x v="294"/>
    <x v="807"/>
    <n v="37349251"/>
    <s v="F-688040.02-0111.W.WE36"/>
    <n v="173"/>
    <n v="1200.6200000000001"/>
    <m/>
    <m/>
    <s v="20250079-27.01.2025"/>
    <x v="1"/>
    <x v="9"/>
    <x v="1"/>
    <m/>
  </r>
  <r>
    <x v="9"/>
    <x v="0"/>
    <x v="239"/>
    <x v="61"/>
    <x v="171"/>
    <s v="shaft"/>
    <n v="0"/>
    <n v="6.94"/>
    <n v="5"/>
    <n v="34.700000000000003"/>
    <x v="96"/>
    <n v="19"/>
    <n v="2024"/>
    <n v="0"/>
    <x v="49"/>
    <n v="50"/>
    <m/>
    <s v="project"/>
    <n v="56"/>
    <s v="no"/>
    <m/>
    <m/>
    <m/>
    <m/>
    <m/>
    <n v="242217"/>
    <x v="0"/>
    <x v="81"/>
    <x v="692"/>
    <n v="36654144"/>
    <s v="F-688040.02-0211.W.WE36"/>
    <n v="5"/>
    <n v="34.700000000000003"/>
    <m/>
    <s v="livrate sub denumirea reperului cu 0311"/>
    <s v="20241065-16.08.2024"/>
    <x v="1"/>
    <x v="2"/>
    <x v="1"/>
    <m/>
  </r>
  <r>
    <x v="9"/>
    <x v="0"/>
    <x v="241"/>
    <x v="150"/>
    <x v="171"/>
    <s v="shaft"/>
    <n v="0"/>
    <n v="6.94"/>
    <n v="128"/>
    <n v="888.32"/>
    <x v="185"/>
    <n v="33"/>
    <n v="2024"/>
    <n v="0"/>
    <x v="49"/>
    <n v="50"/>
    <m/>
    <s v="project"/>
    <n v="56"/>
    <s v="no"/>
    <m/>
    <m/>
    <m/>
    <m/>
    <m/>
    <m/>
    <x v="0"/>
    <x v="270"/>
    <x v="696"/>
    <n v="37349251"/>
    <s v="F-688040.02-0211.W.WE36"/>
    <n v="128"/>
    <n v="888.32"/>
    <m/>
    <m/>
    <s v="20241450-21.11.2024"/>
    <x v="1"/>
    <x v="9"/>
    <x v="1"/>
    <m/>
  </r>
  <r>
    <x v="9"/>
    <x v="0"/>
    <x v="241"/>
    <x v="150"/>
    <x v="171"/>
    <s v="shaft"/>
    <n v="0"/>
    <n v="6.94"/>
    <n v="82"/>
    <n v="569.08000000000004"/>
    <x v="185"/>
    <n v="33"/>
    <n v="2024"/>
    <n v="0"/>
    <x v="49"/>
    <n v="50"/>
    <m/>
    <s v="project"/>
    <n v="56"/>
    <s v="no"/>
    <m/>
    <m/>
    <m/>
    <m/>
    <m/>
    <m/>
    <x v="0"/>
    <x v="291"/>
    <x v="808"/>
    <n v="37349251"/>
    <s v="F-688040.02-0211.W.WE36"/>
    <n v="82"/>
    <n v="569.08000000000004"/>
    <m/>
    <m/>
    <s v="20241582-14.12.2024"/>
    <x v="1"/>
    <x v="9"/>
    <x v="1"/>
    <m/>
  </r>
  <r>
    <x v="9"/>
    <x v="0"/>
    <x v="241"/>
    <x v="150"/>
    <x v="171"/>
    <s v="shaft"/>
    <n v="0"/>
    <n v="6.94"/>
    <n v="59"/>
    <n v="409.46000000000004"/>
    <x v="185"/>
    <n v="33"/>
    <n v="2024"/>
    <n v="0"/>
    <x v="49"/>
    <n v="50"/>
    <m/>
    <s v="project"/>
    <n v="56"/>
    <s v="no"/>
    <m/>
    <m/>
    <m/>
    <m/>
    <m/>
    <m/>
    <x v="0"/>
    <x v="293"/>
    <x v="809"/>
    <n v="37349251"/>
    <s v="F-688040.02-0211.W.WE36"/>
    <n v="59"/>
    <n v="409.46000000000004"/>
    <m/>
    <m/>
    <s v="20250051-18.01.2025"/>
    <x v="1"/>
    <x v="9"/>
    <x v="1"/>
    <m/>
  </r>
  <r>
    <x v="9"/>
    <x v="0"/>
    <x v="241"/>
    <x v="150"/>
    <x v="171"/>
    <s v="shaft"/>
    <n v="0"/>
    <n v="6.94"/>
    <n v="30"/>
    <n v="208.20000000000002"/>
    <x v="185"/>
    <n v="33"/>
    <n v="2024"/>
    <n v="0"/>
    <x v="49"/>
    <n v="50"/>
    <m/>
    <s v="project"/>
    <n v="56"/>
    <m/>
    <m/>
    <m/>
    <m/>
    <m/>
    <m/>
    <m/>
    <x v="0"/>
    <x v="296"/>
    <x v="794"/>
    <n v="37349251"/>
    <s v="F-688040.02-0211.W.WE36"/>
    <n v="30"/>
    <n v="208.20000000000002"/>
    <m/>
    <m/>
    <s v="20250245-28.02.2025"/>
    <x v="1"/>
    <x v="9"/>
    <x v="1"/>
    <m/>
  </r>
  <r>
    <x v="9"/>
    <x v="0"/>
    <x v="241"/>
    <x v="150"/>
    <x v="171"/>
    <s v="shaft"/>
    <n v="0"/>
    <n v="6.94"/>
    <n v="8"/>
    <n v="55.52"/>
    <x v="185"/>
    <n v="33"/>
    <n v="2024"/>
    <n v="0"/>
    <x v="49"/>
    <n v="50"/>
    <m/>
    <s v="project"/>
    <n v="56"/>
    <s v="no"/>
    <m/>
    <m/>
    <m/>
    <m/>
    <s v="Yes"/>
    <m/>
    <x v="0"/>
    <x v="230"/>
    <x v="810"/>
    <n v="37349251"/>
    <s v="F-688040.02-0211.W.WE36"/>
    <n v="8"/>
    <n v="55.52"/>
    <m/>
    <m/>
    <s v="20250275-05.03.2025"/>
    <x v="1"/>
    <x v="9"/>
    <x v="1"/>
    <m/>
  </r>
  <r>
    <x v="9"/>
    <x v="0"/>
    <x v="241"/>
    <x v="150"/>
    <x v="171"/>
    <s v="shaft"/>
    <n v="0"/>
    <n v="6.94"/>
    <n v="162"/>
    <n v="1124.28"/>
    <x v="185"/>
    <n v="33"/>
    <n v="2024"/>
    <n v="0"/>
    <x v="49"/>
    <n v="50"/>
    <m/>
    <s v="project"/>
    <n v="56"/>
    <s v="no"/>
    <m/>
    <m/>
    <m/>
    <m/>
    <m/>
    <m/>
    <x v="0"/>
    <x v="298"/>
    <x v="811"/>
    <n v="37349251"/>
    <s v="F-688040.02-0211.W.WE36"/>
    <n v="162"/>
    <n v="1124.28"/>
    <m/>
    <s v="aviz de mana: 20242081"/>
    <s v="20250326-15.03.2025"/>
    <x v="1"/>
    <x v="9"/>
    <x v="1"/>
    <m/>
  </r>
  <r>
    <x v="9"/>
    <x v="0"/>
    <x v="241"/>
    <x v="150"/>
    <x v="171"/>
    <s v="shaft"/>
    <n v="0"/>
    <n v="6.94"/>
    <n v="53"/>
    <n v="367.82"/>
    <x v="185"/>
    <n v="33"/>
    <n v="2024"/>
    <n v="0"/>
    <x v="49"/>
    <n v="50"/>
    <m/>
    <s v="project"/>
    <n v="56"/>
    <s v="no"/>
    <m/>
    <m/>
    <m/>
    <m/>
    <s v="Yes"/>
    <m/>
    <x v="0"/>
    <x v="168"/>
    <x v="812"/>
    <n v="37349251"/>
    <s v="F-688040.02-0211.W.WE36"/>
    <n v="53"/>
    <n v="367.82"/>
    <m/>
    <m/>
    <s v="20250353-19.03.2025"/>
    <x v="1"/>
    <x v="9"/>
    <x v="1"/>
    <m/>
  </r>
  <r>
    <x v="9"/>
    <x v="0"/>
    <x v="241"/>
    <x v="150"/>
    <x v="171"/>
    <s v="shaft"/>
    <n v="0"/>
    <n v="6.94"/>
    <n v="28"/>
    <n v="194.32000000000002"/>
    <x v="185"/>
    <n v="33"/>
    <n v="2024"/>
    <n v="0"/>
    <x v="49"/>
    <n v="50"/>
    <m/>
    <s v="project"/>
    <n v="56"/>
    <s v="no"/>
    <m/>
    <m/>
    <m/>
    <m/>
    <s v="Yes"/>
    <m/>
    <x v="0"/>
    <x v="311"/>
    <x v="813"/>
    <n v="37349251"/>
    <s v="F-688040.02-0211.W.WE36"/>
    <n v="28"/>
    <n v="194.32000000000002"/>
    <m/>
    <m/>
    <s v="20250364-20.03.2025"/>
    <x v="1"/>
    <x v="9"/>
    <x v="1"/>
    <m/>
  </r>
  <r>
    <x v="9"/>
    <x v="0"/>
    <x v="242"/>
    <x v="150"/>
    <x v="172"/>
    <n v="0"/>
    <n v="0"/>
    <n v="11.75"/>
    <n v="147"/>
    <n v="1727.25"/>
    <x v="274"/>
    <n v="27"/>
    <n v="2024"/>
    <n v="0"/>
    <x v="49"/>
    <n v="0"/>
    <m/>
    <m/>
    <n v="3.0625"/>
    <m/>
    <m/>
    <m/>
    <m/>
    <m/>
    <m/>
    <m/>
    <x v="0"/>
    <x v="12"/>
    <x v="699"/>
    <n v="37357865"/>
    <s v="F-688040.02-0321.WH.WE"/>
    <n v="147"/>
    <n v="1727.25"/>
    <m/>
    <s v="aviz poligrat:260025"/>
    <s v="20250839-30.06.2025"/>
    <x v="1"/>
    <x v="0"/>
    <x v="1"/>
    <m/>
  </r>
  <r>
    <x v="9"/>
    <x v="0"/>
    <x v="242"/>
    <x v="151"/>
    <x v="172"/>
    <n v="0"/>
    <n v="0"/>
    <n v="11.75"/>
    <n v="156"/>
    <n v="1833"/>
    <x v="22"/>
    <n v="35"/>
    <n v="2024"/>
    <n v="0"/>
    <x v="49"/>
    <n v="0"/>
    <m/>
    <m/>
    <n v="3.25"/>
    <m/>
    <m/>
    <m/>
    <m/>
    <m/>
    <m/>
    <m/>
    <x v="0"/>
    <x v="289"/>
    <x v="704"/>
    <n v="37357865"/>
    <s v="F-688040.02-0321.WH.WE"/>
    <n v="156"/>
    <n v="1833"/>
    <m/>
    <s v="aviz poligrat: 202401443"/>
    <s v="20241522 - 9/12/2024"/>
    <x v="1"/>
    <x v="9"/>
    <x v="1"/>
    <m/>
  </r>
  <r>
    <x v="9"/>
    <x v="0"/>
    <x v="242"/>
    <x v="151"/>
    <x v="172"/>
    <n v="0"/>
    <n v="0"/>
    <n v="11.75"/>
    <n v="5"/>
    <n v="58.75"/>
    <x v="22"/>
    <n v="35"/>
    <n v="2024"/>
    <n v="0"/>
    <x v="49"/>
    <n v="0"/>
    <m/>
    <m/>
    <n v="0.10416666666666667"/>
    <m/>
    <m/>
    <m/>
    <m/>
    <m/>
    <m/>
    <m/>
    <x v="0"/>
    <x v="291"/>
    <x v="814"/>
    <n v="37357865"/>
    <s v="F-688040.02-0321.WH.WE"/>
    <n v="5"/>
    <n v="58.75"/>
    <m/>
    <s v="PPAP, aviz poligrat: 202401543"/>
    <s v="20241586-14.12.2024"/>
    <x v="1"/>
    <x v="9"/>
    <x v="1"/>
    <m/>
  </r>
  <r>
    <x v="9"/>
    <x v="0"/>
    <x v="242"/>
    <x v="151"/>
    <x v="172"/>
    <n v="0"/>
    <n v="0"/>
    <n v="11.75"/>
    <n v="275"/>
    <n v="3231.25"/>
    <x v="22"/>
    <n v="35"/>
    <n v="2024"/>
    <n v="0"/>
    <x v="49"/>
    <n v="0"/>
    <m/>
    <m/>
    <n v="5.729166666666667"/>
    <m/>
    <m/>
    <m/>
    <m/>
    <m/>
    <m/>
    <m/>
    <x v="0"/>
    <x v="291"/>
    <x v="815"/>
    <n v="37357865"/>
    <s v="F-688040.02-0321.WH.WE"/>
    <n v="275"/>
    <n v="3231.25"/>
    <m/>
    <s v="aviz poligrat: 202401545"/>
    <s v="20241587-14.12.2024"/>
    <x v="1"/>
    <x v="9"/>
    <x v="1"/>
    <m/>
  </r>
  <r>
    <x v="9"/>
    <x v="0"/>
    <x v="242"/>
    <x v="151"/>
    <x v="172"/>
    <n v="0"/>
    <n v="0"/>
    <n v="11.75"/>
    <n v="196"/>
    <n v="2303"/>
    <x v="22"/>
    <n v="35"/>
    <n v="2024"/>
    <n v="0"/>
    <x v="49"/>
    <n v="0"/>
    <m/>
    <m/>
    <n v="4.083333333333333"/>
    <m/>
    <m/>
    <m/>
    <m/>
    <m/>
    <m/>
    <m/>
    <x v="0"/>
    <x v="309"/>
    <x v="816"/>
    <n v="37357865"/>
    <s v="F-688040.02-0321.WH.WE"/>
    <n v="196"/>
    <n v="2303"/>
    <m/>
    <s v="aviz poligrat: 202401573"/>
    <s v="20241595-18.12.2024"/>
    <x v="1"/>
    <x v="9"/>
    <x v="1"/>
    <m/>
  </r>
  <r>
    <x v="9"/>
    <x v="0"/>
    <x v="242"/>
    <x v="151"/>
    <x v="172"/>
    <n v="0"/>
    <n v="0"/>
    <n v="11.75"/>
    <n v="168"/>
    <n v="1974"/>
    <x v="22"/>
    <n v="35"/>
    <n v="2024"/>
    <n v="0"/>
    <x v="49"/>
    <n v="0"/>
    <m/>
    <m/>
    <n v="3.5"/>
    <m/>
    <m/>
    <m/>
    <m/>
    <m/>
    <m/>
    <m/>
    <x v="0"/>
    <x v="293"/>
    <x v="817"/>
    <n v="37357865"/>
    <s v="F-688040.02-0321.WH.WE"/>
    <n v="168"/>
    <n v="1974"/>
    <m/>
    <s v="aviz poligrat: BVOLS2550"/>
    <s v="20250056-18.01.2025"/>
    <x v="1"/>
    <x v="9"/>
    <x v="1"/>
    <m/>
  </r>
  <r>
    <x v="9"/>
    <x v="0"/>
    <x v="242"/>
    <x v="151"/>
    <x v="172"/>
    <n v="0"/>
    <n v="0"/>
    <n v="11.75"/>
    <n v="47"/>
    <n v="552.25"/>
    <x v="22"/>
    <n v="35"/>
    <n v="2024"/>
    <n v="0"/>
    <x v="49"/>
    <n v="0"/>
    <m/>
    <m/>
    <n v="0.97916666666666663"/>
    <m/>
    <m/>
    <m/>
    <m/>
    <m/>
    <m/>
    <m/>
    <x v="0"/>
    <x v="293"/>
    <x v="817"/>
    <n v="37357865"/>
    <s v="F-688040.02-0321.WH.WE"/>
    <n v="47"/>
    <n v="552.25"/>
    <m/>
    <s v="aviz poligrat: BVOLS2550"/>
    <s v="20250056-18.01.2025"/>
    <x v="1"/>
    <x v="9"/>
    <x v="1"/>
    <m/>
  </r>
  <r>
    <x v="9"/>
    <x v="0"/>
    <x v="242"/>
    <x v="151"/>
    <x v="172"/>
    <n v="0"/>
    <n v="0"/>
    <n v="11.75"/>
    <n v="89"/>
    <n v="1045.75"/>
    <x v="22"/>
    <n v="35"/>
    <n v="2024"/>
    <n v="0"/>
    <x v="49"/>
    <n v="0"/>
    <m/>
    <m/>
    <n v="1.8541666666666667"/>
    <m/>
    <m/>
    <m/>
    <m/>
    <m/>
    <m/>
    <m/>
    <x v="0"/>
    <x v="295"/>
    <x v="818"/>
    <n v="37357865"/>
    <s v="F-688040.02-0321.WH.WE"/>
    <n v="89"/>
    <n v="1045.75"/>
    <m/>
    <s v="aviz poligrat: 20242050"/>
    <s v="20250113-31.01.2025"/>
    <x v="1"/>
    <x v="9"/>
    <x v="1"/>
    <m/>
  </r>
  <r>
    <x v="9"/>
    <x v="0"/>
    <x v="242"/>
    <x v="151"/>
    <x v="172"/>
    <n v="0"/>
    <n v="0"/>
    <n v="11.75"/>
    <n v="202"/>
    <n v="2373.5"/>
    <x v="22"/>
    <n v="35"/>
    <n v="2024"/>
    <n v="0"/>
    <x v="49"/>
    <n v="0"/>
    <m/>
    <m/>
    <n v="4.208333333333333"/>
    <m/>
    <m/>
    <m/>
    <m/>
    <m/>
    <m/>
    <m/>
    <x v="0"/>
    <x v="296"/>
    <x v="711"/>
    <n v="37357865"/>
    <s v="F-688040.02-0321.WH.WE"/>
    <n v="202"/>
    <n v="2373.5"/>
    <m/>
    <s v="aviz poligrat: 25289"/>
    <s v="20250250-28.02.2025"/>
    <x v="1"/>
    <x v="9"/>
    <x v="1"/>
    <m/>
  </r>
  <r>
    <x v="9"/>
    <x v="0"/>
    <x v="242"/>
    <x v="151"/>
    <x v="172"/>
    <n v="0"/>
    <n v="0"/>
    <n v="11.75"/>
    <n v="171"/>
    <n v="2009.25"/>
    <x v="22"/>
    <n v="35"/>
    <n v="2024"/>
    <n v="0"/>
    <x v="49"/>
    <n v="0"/>
    <m/>
    <m/>
    <n v="3.5625"/>
    <m/>
    <m/>
    <m/>
    <m/>
    <m/>
    <m/>
    <m/>
    <x v="0"/>
    <x v="297"/>
    <x v="712"/>
    <n v="37357865"/>
    <s v="F-688040.02-0321.WH.WE"/>
    <n v="171"/>
    <n v="2009.25"/>
    <m/>
    <s v="aviz poligrat:20242073"/>
    <s v="20250297-08.03.2025"/>
    <x v="1"/>
    <x v="9"/>
    <x v="1"/>
    <m/>
  </r>
  <r>
    <x v="9"/>
    <x v="0"/>
    <x v="242"/>
    <x v="151"/>
    <x v="172"/>
    <n v="0"/>
    <n v="0"/>
    <n v="11.75"/>
    <n v="122"/>
    <n v="1433.5"/>
    <x v="22"/>
    <n v="35"/>
    <n v="2024"/>
    <n v="0"/>
    <x v="49"/>
    <n v="0"/>
    <m/>
    <m/>
    <n v="2.5416666666666665"/>
    <m/>
    <m/>
    <m/>
    <m/>
    <m/>
    <m/>
    <m/>
    <x v="0"/>
    <x v="279"/>
    <x v="819"/>
    <n v="37357865"/>
    <s v="F-688040.02-0321.WH.WE"/>
    <n v="122"/>
    <n v="1433.5"/>
    <m/>
    <s v="aviz poligrat: 25774"/>
    <s v="20250639-19.05.2025"/>
    <x v="1"/>
    <x v="9"/>
    <x v="1"/>
    <m/>
  </r>
  <r>
    <x v="9"/>
    <x v="0"/>
    <x v="242"/>
    <x v="151"/>
    <x v="172"/>
    <n v="0"/>
    <n v="0"/>
    <n v="11.75"/>
    <n v="44"/>
    <n v="517"/>
    <x v="22"/>
    <n v="35"/>
    <n v="2024"/>
    <n v="0"/>
    <x v="49"/>
    <n v="0"/>
    <m/>
    <m/>
    <n v="0.91666666666666663"/>
    <m/>
    <m/>
    <m/>
    <m/>
    <m/>
    <m/>
    <m/>
    <x v="0"/>
    <x v="145"/>
    <x v="820"/>
    <n v="37357865"/>
    <s v="F-688040.02-0321.WH.WE"/>
    <n v="44"/>
    <n v="517"/>
    <m/>
    <s v="aviz poligrat: 25795"/>
    <s v="20250640-21.05.2025"/>
    <x v="1"/>
    <x v="9"/>
    <x v="1"/>
    <m/>
  </r>
  <r>
    <x v="9"/>
    <x v="0"/>
    <x v="242"/>
    <x v="151"/>
    <x v="172"/>
    <n v="0"/>
    <n v="0"/>
    <n v="11.75"/>
    <n v="10"/>
    <n v="117.5"/>
    <x v="22"/>
    <n v="35"/>
    <n v="2024"/>
    <n v="0"/>
    <x v="49"/>
    <n v="0"/>
    <m/>
    <m/>
    <n v="0.20833333333333334"/>
    <m/>
    <m/>
    <m/>
    <m/>
    <m/>
    <m/>
    <m/>
    <x v="0"/>
    <x v="280"/>
    <x v="821"/>
    <n v="37357865"/>
    <s v="F-688040.02-0321.WH.WE"/>
    <n v="10"/>
    <n v="117.5"/>
    <m/>
    <s v="aviz poligrat: 25802"/>
    <s v="20250648-23.05.2025"/>
    <x v="1"/>
    <x v="9"/>
    <x v="1"/>
    <m/>
  </r>
  <r>
    <x v="9"/>
    <x v="0"/>
    <x v="244"/>
    <x v="154"/>
    <x v="135"/>
    <s v="096999438-0000"/>
    <s v="AD"/>
    <n v="15.38"/>
    <n v="143"/>
    <n v="2199.34"/>
    <x v="276"/>
    <n v="53"/>
    <n v="2025"/>
    <n v="0"/>
    <x v="54"/>
    <n v="65"/>
    <m/>
    <m/>
    <n v="2.9791666666666665"/>
    <m/>
    <m/>
    <m/>
    <m/>
    <m/>
    <m/>
    <m/>
    <x v="1"/>
    <x v="3"/>
    <x v="4"/>
    <s v=""/>
    <s v=""/>
    <m/>
    <n v="0"/>
    <m/>
    <m/>
    <m/>
    <x v="2"/>
    <x v="3"/>
    <x v="0"/>
    <m/>
  </r>
  <r>
    <x v="9"/>
    <x v="0"/>
    <x v="245"/>
    <x v="154"/>
    <x v="134"/>
    <s v="096999527-0000"/>
    <s v="AB"/>
    <n v="18.38"/>
    <n v="148"/>
    <n v="2720.24"/>
    <x v="206"/>
    <n v="2"/>
    <n v="2026"/>
    <n v="0"/>
    <x v="53"/>
    <n v="65"/>
    <m/>
    <m/>
    <n v="3.0833333333333335"/>
    <m/>
    <m/>
    <m/>
    <m/>
    <m/>
    <m/>
    <m/>
    <x v="1"/>
    <x v="3"/>
    <x v="4"/>
    <s v=""/>
    <s v=""/>
    <m/>
    <n v="0"/>
    <m/>
    <m/>
    <m/>
    <x v="2"/>
    <x v="6"/>
    <x v="3"/>
    <m/>
  </r>
  <r>
    <x v="9"/>
    <x v="0"/>
    <x v="246"/>
    <x v="154"/>
    <x v="137"/>
    <s v="096999497-0000"/>
    <s v="AA"/>
    <n v="23.48"/>
    <n v="146"/>
    <n v="3428.08"/>
    <x v="206"/>
    <n v="2"/>
    <n v="2026"/>
    <n v="0"/>
    <x v="55"/>
    <n v="65"/>
    <m/>
    <m/>
    <n v="3.0416666666666665"/>
    <m/>
    <m/>
    <m/>
    <m/>
    <m/>
    <m/>
    <m/>
    <x v="1"/>
    <x v="3"/>
    <x v="4"/>
    <s v=""/>
    <s v=""/>
    <m/>
    <n v="0"/>
    <m/>
    <m/>
    <m/>
    <x v="2"/>
    <x v="6"/>
    <x v="3"/>
    <m/>
  </r>
  <r>
    <x v="9"/>
    <x v="0"/>
    <x v="247"/>
    <x v="154"/>
    <x v="136"/>
    <s v="096999411-0000"/>
    <s v="AA"/>
    <n v="15.03"/>
    <n v="143"/>
    <n v="2149.29"/>
    <x v="206"/>
    <n v="2"/>
    <n v="2026"/>
    <n v="0"/>
    <x v="43"/>
    <n v="65"/>
    <m/>
    <m/>
    <s v="No"/>
    <m/>
    <m/>
    <s v=""/>
    <s v=""/>
    <m/>
    <n v="0"/>
    <m/>
    <x v="1"/>
    <x v="3"/>
    <x v="822"/>
    <m/>
    <m/>
    <m/>
    <n v="0"/>
    <m/>
    <m/>
    <m/>
    <x v="3"/>
    <x v="6"/>
    <x v="3"/>
    <m/>
  </r>
  <r>
    <x v="9"/>
    <x v="0"/>
    <x v="248"/>
    <x v="155"/>
    <x v="119"/>
    <s v="005152879-0000"/>
    <s v="AI"/>
    <n v="0"/>
    <n v="30"/>
    <n v="0"/>
    <x v="277"/>
    <n v="16"/>
    <n v="2026"/>
    <n v="0"/>
    <x v="1"/>
    <n v="50"/>
    <m/>
    <m/>
    <n v="0.625"/>
    <m/>
    <m/>
    <m/>
    <m/>
    <m/>
    <m/>
    <m/>
    <x v="1"/>
    <x v="3"/>
    <x v="4"/>
    <s v=""/>
    <s v=""/>
    <m/>
    <n v="0"/>
    <m/>
    <m/>
    <m/>
    <x v="2"/>
    <x v="1"/>
    <x v="3"/>
    <m/>
  </r>
  <r>
    <x v="9"/>
    <x v="0"/>
    <x v="242"/>
    <x v="151"/>
    <x v="172"/>
    <n v="0"/>
    <n v="0"/>
    <n v="11.75"/>
    <n v="10"/>
    <n v="117.5"/>
    <x v="22"/>
    <n v="35"/>
    <n v="2024"/>
    <n v="0"/>
    <x v="49"/>
    <n v="0"/>
    <m/>
    <m/>
    <n v="0.20833333333333334"/>
    <m/>
    <m/>
    <m/>
    <m/>
    <m/>
    <m/>
    <m/>
    <x v="1"/>
    <x v="3"/>
    <x v="4"/>
    <s v=""/>
    <s v=""/>
    <m/>
    <n v="0"/>
    <m/>
    <m/>
    <m/>
    <x v="1"/>
    <x v="9"/>
    <x v="1"/>
    <m/>
  </r>
  <r>
    <x v="9"/>
    <x v="0"/>
    <x v="242"/>
    <x v="156"/>
    <x v="172"/>
    <n v="0"/>
    <n v="0"/>
    <n v="11.75"/>
    <n v="463"/>
    <n v="5440.25"/>
    <x v="82"/>
    <n v="35"/>
    <n v="2024"/>
    <n v="0"/>
    <x v="49"/>
    <n v="0"/>
    <m/>
    <m/>
    <n v="9.6458333333333339"/>
    <m/>
    <m/>
    <m/>
    <m/>
    <m/>
    <m/>
    <m/>
    <x v="0"/>
    <x v="294"/>
    <x v="823"/>
    <n v="37357865"/>
    <s v="F-688040.02-0321.WH.WE"/>
    <n v="463"/>
    <n v="5440.25"/>
    <m/>
    <s v="aviz poligrat: 20242047"/>
    <s v="20250081-27.01.2025"/>
    <x v="1"/>
    <x v="9"/>
    <x v="1"/>
    <m/>
  </r>
  <r>
    <x v="9"/>
    <x v="0"/>
    <x v="242"/>
    <x v="151"/>
    <x v="172"/>
    <n v="0"/>
    <n v="0"/>
    <n v="11.75"/>
    <n v="94"/>
    <n v="1104.5"/>
    <x v="82"/>
    <n v="35"/>
    <n v="2024"/>
    <n v="0"/>
    <x v="49"/>
    <n v="0"/>
    <m/>
    <m/>
    <n v="1.9583333333333333"/>
    <m/>
    <m/>
    <m/>
    <m/>
    <m/>
    <m/>
    <m/>
    <x v="0"/>
    <x v="298"/>
    <x v="713"/>
    <n v="37357865"/>
    <s v="F-688040.02-0321.WH.WE"/>
    <n v="94"/>
    <n v="1104.5"/>
    <m/>
    <s v="aviz poligrat: 20242079"/>
    <s v="20250330-15.03.2025"/>
    <x v="1"/>
    <x v="9"/>
    <x v="1"/>
    <m/>
  </r>
  <r>
    <x v="0"/>
    <x v="0"/>
    <x v="249"/>
    <x v="61"/>
    <x v="173"/>
    <s v="300786298-0000 "/>
    <s v="AB"/>
    <n v="0.78"/>
    <n v="2213"/>
    <n v="1726.14"/>
    <x v="273"/>
    <n v="19"/>
    <n v="2024"/>
    <n v="0"/>
    <x v="51"/>
    <n v="0"/>
    <m/>
    <s v="approved"/>
    <n v="42"/>
    <s v="no"/>
    <m/>
    <m/>
    <m/>
    <m/>
    <m/>
    <s v="241719/241906"/>
    <x v="0"/>
    <x v="59"/>
    <x v="824"/>
    <n v="36658831"/>
    <s v="F-801632-1042.D140.RKDK.ZL-M3AA"/>
    <n v="834"/>
    <n v="650.52"/>
    <m/>
    <m/>
    <s v="20240485-30.04.2024"/>
    <x v="0"/>
    <x v="2"/>
    <x v="1"/>
    <m/>
  </r>
  <r>
    <x v="0"/>
    <x v="0"/>
    <x v="249"/>
    <x v="61"/>
    <x v="173"/>
    <s v="300786298-0000 "/>
    <s v="AB"/>
    <n v="0.78"/>
    <m/>
    <n v="0"/>
    <x v="273"/>
    <n v="19"/>
    <n v="2024"/>
    <n v="0"/>
    <x v="51"/>
    <n v="0"/>
    <m/>
    <m/>
    <n v="42"/>
    <m/>
    <m/>
    <m/>
    <m/>
    <m/>
    <m/>
    <m/>
    <x v="0"/>
    <x v="312"/>
    <x v="825"/>
    <n v="36658831"/>
    <s v="F-801632-1042.D140.RKDK.ZL-M3AA"/>
    <n v="864"/>
    <n v="673.92000000000007"/>
    <m/>
    <m/>
    <s v="20240494-08.05.2024"/>
    <x v="0"/>
    <x v="2"/>
    <x v="1"/>
    <m/>
  </r>
  <r>
    <x v="0"/>
    <x v="0"/>
    <x v="249"/>
    <x v="61"/>
    <x v="173"/>
    <s v="300786298-0000 "/>
    <s v="AB"/>
    <n v="0.78"/>
    <m/>
    <n v="0"/>
    <x v="273"/>
    <n v="19"/>
    <n v="2024"/>
    <n v="0"/>
    <x v="51"/>
    <n v="0"/>
    <m/>
    <m/>
    <n v="42"/>
    <m/>
    <m/>
    <m/>
    <m/>
    <m/>
    <m/>
    <m/>
    <x v="0"/>
    <x v="60"/>
    <x v="826"/>
    <n v="36658831"/>
    <s v="F-801632-1042.D140.RKDK.ZL-M3AA"/>
    <n v="326"/>
    <n v="254.28"/>
    <m/>
    <m/>
    <s v="20240511-09.05.2024"/>
    <x v="0"/>
    <x v="2"/>
    <x v="1"/>
    <m/>
  </r>
  <r>
    <x v="0"/>
    <x v="0"/>
    <x v="249"/>
    <x v="61"/>
    <x v="173"/>
    <s v="300786298-0000 "/>
    <s v="AB"/>
    <n v="0.78"/>
    <m/>
    <n v="0"/>
    <x v="273"/>
    <n v="19"/>
    <n v="2024"/>
    <n v="0"/>
    <x v="51"/>
    <n v="0"/>
    <m/>
    <m/>
    <n v="42"/>
    <m/>
    <m/>
    <m/>
    <m/>
    <m/>
    <m/>
    <m/>
    <x v="0"/>
    <x v="120"/>
    <x v="827"/>
    <n v="36658831"/>
    <s v="F-801632-1042.D140.RKDK.ZL-M3AA"/>
    <n v="189"/>
    <n v="147.42000000000002"/>
    <m/>
    <m/>
    <s v="20240522-10.05.2024"/>
    <x v="0"/>
    <x v="2"/>
    <x v="1"/>
    <m/>
  </r>
  <r>
    <x v="0"/>
    <x v="0"/>
    <x v="250"/>
    <x v="14"/>
    <x v="173"/>
    <s v="300786298-0000 "/>
    <s v="AB"/>
    <n v="0.78"/>
    <n v="840"/>
    <n v="655.20000000000005"/>
    <x v="152"/>
    <n v="21"/>
    <n v="2024"/>
    <n v="0"/>
    <x v="51"/>
    <n v="0"/>
    <m/>
    <s v="approved"/>
    <n v="42"/>
    <s v="no"/>
    <m/>
    <m/>
    <m/>
    <m/>
    <m/>
    <n v="241906"/>
    <x v="0"/>
    <x v="313"/>
    <x v="828"/>
    <n v="36771280"/>
    <s v="F-801632-1042.D140.RKDK.ZL-M3AA"/>
    <n v="545"/>
    <n v="425.1"/>
    <m/>
    <m/>
    <s v="20240543-15.05.2024"/>
    <x v="0"/>
    <x v="2"/>
    <x v="1"/>
    <m/>
  </r>
  <r>
    <x v="0"/>
    <x v="0"/>
    <x v="250"/>
    <x v="14"/>
    <x v="173"/>
    <s v="300786298-0000 "/>
    <s v="AB"/>
    <n v="0.78"/>
    <m/>
    <n v="0"/>
    <x v="152"/>
    <n v="21"/>
    <n v="2024"/>
    <n v="0"/>
    <x v="51"/>
    <n v="0"/>
    <m/>
    <m/>
    <n v="42"/>
    <m/>
    <m/>
    <m/>
    <m/>
    <m/>
    <m/>
    <m/>
    <x v="0"/>
    <x v="209"/>
    <x v="829"/>
    <n v="36771280"/>
    <s v="F-801632-1042.D140.RKDK.ZL-M3AA"/>
    <n v="295"/>
    <n v="230.1"/>
    <m/>
    <m/>
    <s v="20240552-16.05.2024"/>
    <x v="0"/>
    <x v="2"/>
    <x v="1"/>
    <m/>
  </r>
  <r>
    <x v="0"/>
    <x v="0"/>
    <x v="251"/>
    <x v="75"/>
    <x v="173"/>
    <s v="300786298-0000 "/>
    <s v="AB"/>
    <n v="0.78"/>
    <m/>
    <n v="0"/>
    <x v="278"/>
    <n v="21"/>
    <n v="2024"/>
    <n v="0"/>
    <x v="51"/>
    <n v="0"/>
    <m/>
    <m/>
    <n v="0"/>
    <m/>
    <m/>
    <m/>
    <m/>
    <m/>
    <m/>
    <m/>
    <x v="0"/>
    <x v="70"/>
    <x v="830"/>
    <n v="36936401"/>
    <s v="F-801632-1042.D140.RKDK.ZL-M3AA"/>
    <n v="186"/>
    <n v="145.08000000000001"/>
    <m/>
    <m/>
    <s v="20240771-27.06.2024"/>
    <x v="1"/>
    <x v="2"/>
    <x v="1"/>
    <m/>
  </r>
  <r>
    <x v="0"/>
    <x v="0"/>
    <x v="251"/>
    <x v="75"/>
    <x v="173"/>
    <s v="300786298-0000 "/>
    <s v="AB"/>
    <n v="0.78"/>
    <m/>
    <n v="0"/>
    <x v="278"/>
    <n v="21"/>
    <n v="2024"/>
    <n v="0"/>
    <x v="51"/>
    <n v="0"/>
    <m/>
    <m/>
    <n v="0"/>
    <m/>
    <m/>
    <m/>
    <m/>
    <m/>
    <m/>
    <m/>
    <x v="0"/>
    <x v="27"/>
    <x v="831"/>
    <n v="36936401"/>
    <s v="F-801632-1042.D140.RKDK.ZL-M3AA"/>
    <n v="580"/>
    <n v="452.40000000000003"/>
    <m/>
    <m/>
    <s v="20240781-28.06.2024"/>
    <x v="1"/>
    <x v="2"/>
    <x v="1"/>
    <m/>
  </r>
  <r>
    <x v="0"/>
    <x v="0"/>
    <x v="251"/>
    <x v="75"/>
    <x v="173"/>
    <s v="300786298-0000 "/>
    <s v="AB"/>
    <n v="0.78"/>
    <m/>
    <n v="0"/>
    <x v="278"/>
    <n v="21"/>
    <n v="2024"/>
    <n v="0"/>
    <x v="51"/>
    <n v="0"/>
    <m/>
    <m/>
    <n v="0"/>
    <m/>
    <m/>
    <m/>
    <m/>
    <m/>
    <m/>
    <m/>
    <x v="0"/>
    <x v="71"/>
    <x v="832"/>
    <n v="36936401"/>
    <s v="F-801632-1042.D140.RKDK.ZL-M3AA"/>
    <n v="159"/>
    <n v="124.02000000000001"/>
    <m/>
    <m/>
    <s v="20240799-01.07.2024"/>
    <x v="1"/>
    <x v="2"/>
    <x v="1"/>
    <m/>
  </r>
  <r>
    <x v="0"/>
    <x v="0"/>
    <x v="251"/>
    <x v="75"/>
    <x v="173"/>
    <s v="300786298-0000 "/>
    <s v="AB"/>
    <n v="0.78"/>
    <n v="1876"/>
    <n v="1463.28"/>
    <x v="279"/>
    <n v="26"/>
    <n v="2024"/>
    <n v="0"/>
    <x v="51"/>
    <n v="0"/>
    <m/>
    <s v="approved"/>
    <n v="42"/>
    <s v="no"/>
    <m/>
    <m/>
    <m/>
    <m/>
    <m/>
    <n v="242204"/>
    <x v="0"/>
    <x v="122"/>
    <x v="833"/>
    <n v="36936401"/>
    <s v="F-801632-1042.D140.RKDK.ZL-M3AA"/>
    <n v="951"/>
    <n v="741.78"/>
    <m/>
    <m/>
    <s v="20240694-14.06.2024"/>
    <x v="0"/>
    <x v="0"/>
    <x v="1"/>
    <m/>
  </r>
  <r>
    <x v="0"/>
    <x v="0"/>
    <x v="252"/>
    <x v="82"/>
    <x v="173"/>
    <s v="300786298-0000 "/>
    <s v="AB"/>
    <n v="0.78"/>
    <n v="1120"/>
    <n v="873.6"/>
    <x v="279"/>
    <n v="26"/>
    <n v="2024"/>
    <n v="0"/>
    <x v="51"/>
    <n v="0"/>
    <m/>
    <s v="approved"/>
    <n v="42"/>
    <s v="no"/>
    <m/>
    <m/>
    <m/>
    <m/>
    <m/>
    <n v="242509"/>
    <x v="0"/>
    <x v="71"/>
    <x v="834"/>
    <n v="36927110"/>
    <s v="F-801632-1042.D140.RKDK.ZL-M3AA"/>
    <n v="105"/>
    <n v="81.900000000000006"/>
    <m/>
    <m/>
    <s v="20240800-01.07.2024"/>
    <x v="1"/>
    <x v="0"/>
    <x v="1"/>
    <m/>
  </r>
  <r>
    <x v="0"/>
    <x v="0"/>
    <x v="252"/>
    <x v="82"/>
    <x v="173"/>
    <s v="300786298-0000 "/>
    <s v="AB"/>
    <n v="0.78"/>
    <m/>
    <n v="0"/>
    <x v="279"/>
    <n v="26"/>
    <n v="2024"/>
    <n v="0"/>
    <x v="51"/>
    <n v="0"/>
    <m/>
    <m/>
    <n v="0"/>
    <m/>
    <m/>
    <m/>
    <m/>
    <m/>
    <m/>
    <m/>
    <x v="0"/>
    <x v="73"/>
    <x v="835"/>
    <n v="36927110"/>
    <s v="F-801632-1042.D140.RKDK.ZL-M3AA"/>
    <n v="325"/>
    <n v="253.5"/>
    <m/>
    <m/>
    <s v="20240810-03.07.2024"/>
    <x v="1"/>
    <x v="0"/>
    <x v="1"/>
    <m/>
  </r>
  <r>
    <x v="0"/>
    <x v="0"/>
    <x v="252"/>
    <x v="82"/>
    <x v="173"/>
    <s v="300786298-0000 "/>
    <s v="AB"/>
    <n v="0.78"/>
    <m/>
    <n v="0"/>
    <x v="279"/>
    <n v="26"/>
    <n v="2024"/>
    <n v="0"/>
    <x v="51"/>
    <n v="0"/>
    <m/>
    <m/>
    <n v="0"/>
    <m/>
    <m/>
    <m/>
    <m/>
    <m/>
    <m/>
    <m/>
    <x v="0"/>
    <x v="9"/>
    <x v="836"/>
    <n v="36927110"/>
    <s v="F-801632-1042.D140.RKDK.ZL-M3AA"/>
    <n v="206"/>
    <n v="160.68"/>
    <m/>
    <m/>
    <s v="20240836-04.07.2024"/>
    <x v="1"/>
    <x v="0"/>
    <x v="1"/>
    <m/>
  </r>
  <r>
    <x v="0"/>
    <x v="0"/>
    <x v="252"/>
    <x v="82"/>
    <x v="173"/>
    <s v="300786298-0000 "/>
    <s v="AB"/>
    <n v="0.78"/>
    <m/>
    <n v="0"/>
    <x v="279"/>
    <n v="26"/>
    <n v="2024"/>
    <n v="0"/>
    <x v="51"/>
    <n v="0"/>
    <m/>
    <m/>
    <n v="0"/>
    <m/>
    <m/>
    <m/>
    <m/>
    <m/>
    <m/>
    <m/>
    <x v="0"/>
    <x v="32"/>
    <x v="837"/>
    <n v="36927110"/>
    <s v="F-801632-1042.D140.RKDK.ZL-M3AA"/>
    <n v="240"/>
    <n v="187.20000000000002"/>
    <m/>
    <m/>
    <s v="20240837-05.07.2024"/>
    <x v="1"/>
    <x v="0"/>
    <x v="1"/>
    <m/>
  </r>
  <r>
    <x v="0"/>
    <x v="0"/>
    <x v="252"/>
    <x v="109"/>
    <x v="173"/>
    <s v="300786298-0000 "/>
    <s v="AB"/>
    <n v="0.78"/>
    <m/>
    <n v="0"/>
    <x v="279"/>
    <n v="26"/>
    <n v="2024"/>
    <n v="0"/>
    <x v="51"/>
    <n v="0"/>
    <m/>
    <m/>
    <n v="0"/>
    <m/>
    <m/>
    <m/>
    <m/>
    <m/>
    <m/>
    <m/>
    <x v="0"/>
    <x v="262"/>
    <x v="838"/>
    <n v="36927110"/>
    <s v="F-801632-1042.D140.RKDK.ZL-M3AA"/>
    <n v="244"/>
    <n v="190.32"/>
    <m/>
    <m/>
    <s v="20240843-08.07.2024"/>
    <x v="1"/>
    <x v="0"/>
    <x v="1"/>
    <m/>
  </r>
  <r>
    <x v="10"/>
    <x v="0"/>
    <x v="111"/>
    <x v="78"/>
    <x v="174"/>
    <n v="0"/>
    <n v="0"/>
    <n v="1"/>
    <n v="50"/>
    <n v="50"/>
    <x v="280"/>
    <n v="46"/>
    <n v="2025"/>
    <n v="0"/>
    <x v="0"/>
    <n v="0"/>
    <n v="45"/>
    <m/>
    <n v="0"/>
    <s v="yes"/>
    <m/>
    <m/>
    <m/>
    <m/>
    <m/>
    <m/>
    <x v="1"/>
    <x v="3"/>
    <x v="4"/>
    <s v=""/>
    <s v=""/>
    <m/>
    <n v="0"/>
    <m/>
    <m/>
    <m/>
    <x v="2"/>
    <x v="4"/>
    <x v="0"/>
    <m/>
  </r>
  <r>
    <x v="0"/>
    <x v="0"/>
    <x v="253"/>
    <x v="69"/>
    <x v="175"/>
    <s v="096287861-0000"/>
    <s v="AB"/>
    <n v="4.42"/>
    <n v="5"/>
    <n v="22.1"/>
    <x v="281"/>
    <n v="8"/>
    <n v="2025"/>
    <m/>
    <x v="51"/>
    <m/>
    <m/>
    <s v="project"/>
    <n v="42"/>
    <s v="no"/>
    <m/>
    <m/>
    <m/>
    <m/>
    <s v="Yes"/>
    <m/>
    <x v="0"/>
    <x v="191"/>
    <x v="839"/>
    <n v="38594902"/>
    <s v="FAG KUH.6215-A-M-3001"/>
    <n v="5"/>
    <n v="22.1"/>
    <m/>
    <s v="PPAP L2 // Reclamatia nr. 1200079227 piese nok"/>
    <s v="20250243-28.02.2025"/>
    <x v="1"/>
    <x v="7"/>
    <x v="0"/>
    <m/>
  </r>
  <r>
    <x v="0"/>
    <x v="0"/>
    <x v="253"/>
    <x v="69"/>
    <x v="175"/>
    <s v="096287861-0000"/>
    <s v="AB"/>
    <n v="4.42"/>
    <n v="132"/>
    <n v="583.43999999999994"/>
    <x v="281"/>
    <n v="8"/>
    <n v="2025"/>
    <m/>
    <x v="51"/>
    <n v="0"/>
    <m/>
    <s v="approved"/>
    <n v="42"/>
    <s v="no"/>
    <m/>
    <m/>
    <m/>
    <m/>
    <s v="Yes"/>
    <m/>
    <x v="0"/>
    <x v="299"/>
    <x v="840"/>
    <n v="38594902"/>
    <s v="FAG KUH.6215-A-M-3001"/>
    <n v="132"/>
    <n v="583.43999999999994"/>
    <m/>
    <m/>
    <s v="20250395-26.03.2025"/>
    <x v="1"/>
    <x v="7"/>
    <x v="0"/>
    <m/>
  </r>
  <r>
    <x v="0"/>
    <x v="0"/>
    <x v="253"/>
    <x v="69"/>
    <x v="175"/>
    <s v="096287861-0000"/>
    <s v="AB"/>
    <n v="4.42"/>
    <n v="123"/>
    <n v="543.66"/>
    <x v="281"/>
    <n v="8"/>
    <n v="2025"/>
    <m/>
    <x v="51"/>
    <n v="0"/>
    <m/>
    <s v="approved"/>
    <n v="42"/>
    <s v="no"/>
    <m/>
    <m/>
    <m/>
    <m/>
    <s v="Yes"/>
    <m/>
    <x v="0"/>
    <x v="275"/>
    <x v="841"/>
    <n v="38594902"/>
    <s v="FAG KUH.6215-A-M-3001"/>
    <n v="123"/>
    <n v="543.66"/>
    <m/>
    <m/>
    <s v="20250402-27.03.2025"/>
    <x v="1"/>
    <x v="7"/>
    <x v="0"/>
    <m/>
  </r>
  <r>
    <x v="0"/>
    <x v="0"/>
    <x v="254"/>
    <x v="69"/>
    <x v="175"/>
    <s v="096287861-0000"/>
    <s v="AB"/>
    <n v="4.42"/>
    <n v="5"/>
    <n v="22.1"/>
    <x v="281"/>
    <n v="8"/>
    <n v="2025"/>
    <m/>
    <x v="51"/>
    <n v="0"/>
    <m/>
    <s v="approved"/>
    <n v="42"/>
    <s v="no"/>
    <m/>
    <m/>
    <m/>
    <m/>
    <s v="Yes"/>
    <m/>
    <x v="0"/>
    <x v="172"/>
    <x v="842"/>
    <n v="38623818"/>
    <s v="FAG KUH.6215-A-M-3001"/>
    <n v="5"/>
    <n v="22.1"/>
    <m/>
    <s v="PPAP L3 //  de trimis documentatia 24.03"/>
    <s v="20250413-28.03.2025/20250437-31.03.2025/20250438-31.03.2025"/>
    <x v="1"/>
    <x v="7"/>
    <x v="0"/>
    <m/>
  </r>
  <r>
    <x v="0"/>
    <x v="0"/>
    <x v="253"/>
    <x v="69"/>
    <x v="175"/>
    <s v="096287861-0000"/>
    <s v="AB"/>
    <n v="4.42"/>
    <n v="102"/>
    <n v="450.84"/>
    <x v="281"/>
    <n v="8"/>
    <n v="2025"/>
    <m/>
    <x v="51"/>
    <n v="0"/>
    <m/>
    <s v="approved"/>
    <n v="42"/>
    <s v="no"/>
    <m/>
    <m/>
    <m/>
    <m/>
    <s v="Yes"/>
    <m/>
    <x v="0"/>
    <x v="172"/>
    <x v="843"/>
    <n v="38594902"/>
    <s v="FAG KUH.6215-A-M-3001"/>
    <n v="102"/>
    <n v="450.84"/>
    <m/>
    <m/>
    <s v="20250412-28.03.2025"/>
    <x v="1"/>
    <x v="7"/>
    <x v="0"/>
    <m/>
  </r>
  <r>
    <x v="0"/>
    <x v="0"/>
    <x v="253"/>
    <x v="69"/>
    <x v="175"/>
    <s v="096287861-0000"/>
    <s v="AB"/>
    <n v="4.42"/>
    <n v="169"/>
    <n v="746.98"/>
    <x v="281"/>
    <n v="8"/>
    <n v="2025"/>
    <n v="0"/>
    <x v="51"/>
    <n v="0"/>
    <m/>
    <s v="approved"/>
    <n v="42"/>
    <s v="no"/>
    <m/>
    <m/>
    <m/>
    <m/>
    <m/>
    <m/>
    <x v="0"/>
    <x v="314"/>
    <x v="844"/>
    <n v="38594902"/>
    <s v="FAG KUH.6215-A-M-3001"/>
    <n v="169"/>
    <n v="746.98"/>
    <m/>
    <m/>
    <s v="20250418-31.03.2025"/>
    <x v="1"/>
    <x v="7"/>
    <x v="0"/>
    <m/>
  </r>
  <r>
    <x v="0"/>
    <x v="0"/>
    <x v="253"/>
    <x v="69"/>
    <x v="175"/>
    <s v="096287861-0000"/>
    <s v="AB"/>
    <n v="4.42"/>
    <n v="154"/>
    <n v="680.68"/>
    <x v="281"/>
    <n v="8"/>
    <n v="2025"/>
    <n v="0"/>
    <x v="51"/>
    <n v="0"/>
    <m/>
    <s v="approved"/>
    <n v="42"/>
    <s v="no"/>
    <m/>
    <m/>
    <m/>
    <m/>
    <m/>
    <m/>
    <x v="0"/>
    <x v="315"/>
    <x v="845"/>
    <n v="38594902"/>
    <s v="FAG KUH.6215-A-M-3001"/>
    <n v="154"/>
    <n v="680.68"/>
    <m/>
    <m/>
    <s v="20250436-31.03.2025"/>
    <x v="1"/>
    <x v="7"/>
    <x v="0"/>
    <m/>
  </r>
  <r>
    <x v="0"/>
    <x v="0"/>
    <x v="253"/>
    <x v="69"/>
    <x v="175"/>
    <s v="096287861-0000"/>
    <s v="AB"/>
    <n v="4.42"/>
    <n v="118"/>
    <n v="521.55999999999995"/>
    <x v="281"/>
    <n v="8"/>
    <n v="2025"/>
    <n v="0"/>
    <x v="51"/>
    <n v="0"/>
    <m/>
    <s v="approved"/>
    <n v="42"/>
    <s v="no"/>
    <m/>
    <m/>
    <m/>
    <m/>
    <m/>
    <m/>
    <x v="0"/>
    <x v="300"/>
    <x v="846"/>
    <n v="38594902"/>
    <s v="FAG KUH.6215-A-M-3001"/>
    <n v="118"/>
    <n v="521.55999999999995"/>
    <m/>
    <m/>
    <s v="20250442-31.03.2025"/>
    <x v="1"/>
    <x v="7"/>
    <x v="0"/>
    <m/>
  </r>
  <r>
    <x v="0"/>
    <x v="0"/>
    <x v="253"/>
    <x v="69"/>
    <x v="175"/>
    <s v="096287861-0000"/>
    <s v="AB"/>
    <n v="4.42"/>
    <n v="392"/>
    <n v="1732.6399999999999"/>
    <x v="281"/>
    <n v="8"/>
    <n v="2025"/>
    <m/>
    <x v="51"/>
    <n v="0"/>
    <m/>
    <s v="approved"/>
    <n v="42"/>
    <s v="no"/>
    <m/>
    <m/>
    <m/>
    <m/>
    <s v="Yes"/>
    <m/>
    <x v="0"/>
    <x v="276"/>
    <x v="847"/>
    <n v="38594902"/>
    <s v="FAG KUH.6215-A-M-3001"/>
    <n v="392"/>
    <n v="1732.6399999999999"/>
    <m/>
    <m/>
    <s v="20250451-03.04.2025"/>
    <x v="1"/>
    <x v="7"/>
    <x v="0"/>
    <m/>
  </r>
  <r>
    <x v="0"/>
    <x v="0"/>
    <x v="253"/>
    <x v="69"/>
    <x v="175"/>
    <s v="096287861-0000"/>
    <s v="AB"/>
    <n v="4.42"/>
    <n v="198"/>
    <n v="875.16"/>
    <x v="281"/>
    <n v="8"/>
    <n v="2025"/>
    <m/>
    <x v="51"/>
    <n v="0"/>
    <m/>
    <s v="approved"/>
    <n v="42"/>
    <s v="no"/>
    <m/>
    <m/>
    <m/>
    <m/>
    <s v="Yes"/>
    <m/>
    <x v="0"/>
    <x v="277"/>
    <x v="848"/>
    <n v="38594902"/>
    <s v="FAG KUH.6215-A-M-3001"/>
    <n v="198"/>
    <n v="875.16"/>
    <m/>
    <m/>
    <s v="20250454-04.04.2025"/>
    <x v="1"/>
    <x v="7"/>
    <x v="0"/>
    <m/>
  </r>
  <r>
    <x v="0"/>
    <x v="0"/>
    <x v="253"/>
    <x v="69"/>
    <x v="175"/>
    <s v="096287861-0000"/>
    <s v="AB"/>
    <n v="4.42"/>
    <n v="127"/>
    <n v="561.34"/>
    <x v="281"/>
    <n v="8"/>
    <n v="2025"/>
    <m/>
    <x v="51"/>
    <n v="0"/>
    <m/>
    <s v="approved"/>
    <n v="42"/>
    <s v="no"/>
    <m/>
    <m/>
    <m/>
    <m/>
    <s v="Yes"/>
    <m/>
    <x v="0"/>
    <x v="92"/>
    <x v="849"/>
    <n v="38594902"/>
    <s v="FAG KUH.6215-A-M-3001"/>
    <n v="127"/>
    <n v="561.34"/>
    <m/>
    <m/>
    <s v="20250464-07.04.2025"/>
    <x v="1"/>
    <x v="7"/>
    <x v="0"/>
    <m/>
  </r>
  <r>
    <x v="0"/>
    <x v="0"/>
    <x v="254"/>
    <x v="56"/>
    <x v="175"/>
    <s v="096287861-0000"/>
    <s v="AB"/>
    <n v="4.42"/>
    <n v="269"/>
    <n v="1188.98"/>
    <x v="144"/>
    <n v="9"/>
    <n v="2025"/>
    <m/>
    <x v="51"/>
    <n v="0"/>
    <m/>
    <s v="approved"/>
    <n v="42"/>
    <s v="no"/>
    <m/>
    <m/>
    <m/>
    <m/>
    <s v="Yes"/>
    <m/>
    <x v="0"/>
    <x v="92"/>
    <x v="850"/>
    <n v="38623818"/>
    <s v="FAG KUH.6215-A-M-3001"/>
    <n v="269"/>
    <n v="1188.98"/>
    <m/>
    <m/>
    <s v="20250465-07.04.2025"/>
    <x v="1"/>
    <x v="7"/>
    <x v="0"/>
    <m/>
  </r>
  <r>
    <x v="0"/>
    <x v="0"/>
    <x v="254"/>
    <x v="56"/>
    <x v="175"/>
    <s v="096287861-0000"/>
    <s v="AB"/>
    <n v="4.42"/>
    <n v="198"/>
    <n v="875.16"/>
    <x v="144"/>
    <n v="9"/>
    <n v="2025"/>
    <n v="0"/>
    <x v="51"/>
    <n v="0"/>
    <m/>
    <s v="approved"/>
    <n v="42"/>
    <s v="no"/>
    <m/>
    <m/>
    <m/>
    <m/>
    <s v="Yes"/>
    <m/>
    <x v="0"/>
    <x v="30"/>
    <x v="851"/>
    <n v="38623818"/>
    <s v="FAG KUH.6215-A-M-3001"/>
    <n v="198"/>
    <n v="875.16"/>
    <m/>
    <m/>
    <s v="20250470-08.04.2025"/>
    <x v="1"/>
    <x v="7"/>
    <x v="0"/>
    <m/>
  </r>
  <r>
    <x v="0"/>
    <x v="0"/>
    <x v="254"/>
    <x v="56"/>
    <x v="175"/>
    <s v="096287861-0000"/>
    <s v="AB"/>
    <n v="4.42"/>
    <n v="594"/>
    <n v="2625.48"/>
    <x v="144"/>
    <n v="9"/>
    <n v="2025"/>
    <n v="0"/>
    <x v="51"/>
    <n v="0"/>
    <m/>
    <m/>
    <n v="12.375"/>
    <m/>
    <m/>
    <m/>
    <m/>
    <m/>
    <m/>
    <m/>
    <x v="0"/>
    <x v="93"/>
    <x v="852"/>
    <n v="38623818"/>
    <s v="FAG KUH.6215-A-M-3001"/>
    <n v="594"/>
    <n v="2625.48"/>
    <m/>
    <m/>
    <s v="20250488-09.04.2025"/>
    <x v="1"/>
    <x v="7"/>
    <x v="0"/>
    <m/>
  </r>
  <r>
    <x v="0"/>
    <x v="0"/>
    <x v="254"/>
    <x v="56"/>
    <x v="175"/>
    <s v="096287861-0000"/>
    <s v="AB"/>
    <n v="4.42"/>
    <n v="174"/>
    <n v="769.08"/>
    <x v="144"/>
    <n v="9"/>
    <n v="2025"/>
    <n v="0"/>
    <x v="51"/>
    <n v="0"/>
    <m/>
    <s v="approved"/>
    <n v="42"/>
    <s v="no"/>
    <m/>
    <m/>
    <m/>
    <m/>
    <s v="Yes"/>
    <m/>
    <x v="0"/>
    <x v="94"/>
    <x v="853"/>
    <n v="38623818"/>
    <s v="FAG KUH.6215-A-M-3001"/>
    <n v="174"/>
    <n v="769.08"/>
    <m/>
    <m/>
    <s v="20250493-10.04.2025"/>
    <x v="1"/>
    <x v="7"/>
    <x v="0"/>
    <m/>
  </r>
  <r>
    <x v="0"/>
    <x v="0"/>
    <x v="254"/>
    <x v="56"/>
    <x v="175"/>
    <s v="096287861-0000"/>
    <s v="AB"/>
    <n v="4.42"/>
    <n v="110"/>
    <n v="486.2"/>
    <x v="144"/>
    <n v="9"/>
    <n v="2025"/>
    <n v="0"/>
    <x v="51"/>
    <n v="0"/>
    <m/>
    <s v="approved"/>
    <n v="42"/>
    <s v="no"/>
    <m/>
    <m/>
    <m/>
    <m/>
    <s v="Yes"/>
    <m/>
    <x v="0"/>
    <x v="301"/>
    <x v="854"/>
    <n v="38623818"/>
    <s v="FAG KUH.6215-A-M-3001"/>
    <n v="110"/>
    <n v="486.2"/>
    <m/>
    <m/>
    <s v="20250496-11.04.2025"/>
    <x v="1"/>
    <x v="7"/>
    <x v="0"/>
    <m/>
  </r>
  <r>
    <x v="0"/>
    <x v="0"/>
    <x v="254"/>
    <x v="56"/>
    <x v="175"/>
    <s v="096287861-0000"/>
    <s v="AB"/>
    <n v="4.42"/>
    <n v="146"/>
    <n v="645.31999999999994"/>
    <x v="144"/>
    <n v="9"/>
    <n v="2025"/>
    <n v="0"/>
    <x v="51"/>
    <n v="0"/>
    <m/>
    <s v="approved"/>
    <n v="42"/>
    <s v="no"/>
    <m/>
    <m/>
    <m/>
    <m/>
    <s v="Yes"/>
    <m/>
    <x v="0"/>
    <x v="316"/>
    <x v="855"/>
    <n v="38623818"/>
    <s v="FAG KUH.6215-A-M-3001"/>
    <n v="146"/>
    <n v="645.31999999999994"/>
    <m/>
    <m/>
    <s v="20250498-14.04.2025"/>
    <x v="1"/>
    <x v="7"/>
    <x v="0"/>
    <m/>
  </r>
  <r>
    <x v="0"/>
    <x v="0"/>
    <x v="255"/>
    <x v="157"/>
    <x v="175"/>
    <s v="096287861-0000"/>
    <s v="AB"/>
    <n v="4.42"/>
    <n v="5"/>
    <n v="22.1"/>
    <x v="282"/>
    <n v="37"/>
    <n v="2025"/>
    <n v="0"/>
    <x v="51"/>
    <n v="0"/>
    <m/>
    <s v="approved"/>
    <n v="42"/>
    <s v="no"/>
    <m/>
    <m/>
    <m/>
    <m/>
    <s v="Yes"/>
    <m/>
    <x v="0"/>
    <x v="54"/>
    <x v="856"/>
    <n v="50167129"/>
    <s v="FAG KUH.6215-A-M-3001"/>
    <n v="5"/>
    <n v="22.1"/>
    <m/>
    <m/>
    <s v="20251179-15.09.2025"/>
    <x v="1"/>
    <x v="10"/>
    <x v="0"/>
    <m/>
  </r>
  <r>
    <x v="0"/>
    <x v="0"/>
    <x v="255"/>
    <x v="158"/>
    <x v="175"/>
    <s v="096287861-0000"/>
    <s v="AB"/>
    <n v="4.42"/>
    <n v="19"/>
    <n v="83.98"/>
    <x v="283"/>
    <n v="40"/>
    <n v="2025"/>
    <n v="0"/>
    <x v="51"/>
    <n v="0"/>
    <m/>
    <s v="approved"/>
    <n v="0.39583333333333331"/>
    <m/>
    <m/>
    <m/>
    <m/>
    <m/>
    <m/>
    <m/>
    <x v="0"/>
    <x v="317"/>
    <x v="857"/>
    <n v="50167129"/>
    <s v="FAG KUH.6215-A-M-3001"/>
    <n v="19"/>
    <n v="83.98"/>
    <m/>
    <m/>
    <s v="20251218-23.09.2025"/>
    <x v="0"/>
    <x v="10"/>
    <x v="0"/>
    <m/>
  </r>
  <r>
    <x v="0"/>
    <x v="0"/>
    <x v="256"/>
    <x v="157"/>
    <x v="175"/>
    <s v="096287861-0000"/>
    <s v="AB"/>
    <n v="4.42"/>
    <n v="331"/>
    <n v="1463.02"/>
    <x v="119"/>
    <n v="40"/>
    <n v="2025"/>
    <n v="0"/>
    <x v="51"/>
    <n v="0"/>
    <m/>
    <s v="approved"/>
    <n v="6.895833333333333"/>
    <m/>
    <m/>
    <m/>
    <m/>
    <m/>
    <m/>
    <m/>
    <x v="0"/>
    <x v="107"/>
    <x v="858"/>
    <n v="50209828"/>
    <s v="FAG KUH.6215-A-M-3001"/>
    <n v="331"/>
    <n v="1463.02"/>
    <m/>
    <m/>
    <s v="20251194-18.09.2025"/>
    <x v="0"/>
    <x v="10"/>
    <x v="0"/>
    <m/>
  </r>
  <r>
    <x v="0"/>
    <x v="0"/>
    <x v="256"/>
    <x v="157"/>
    <x v="175"/>
    <s v="096287861-0000"/>
    <s v="AB"/>
    <n v="4.42"/>
    <n v="286"/>
    <n v="1264.1199999999999"/>
    <x v="119"/>
    <n v="40"/>
    <n v="2025"/>
    <n v="0"/>
    <x v="51"/>
    <n v="0"/>
    <m/>
    <s v="approved"/>
    <n v="5.958333333333333"/>
    <m/>
    <m/>
    <m/>
    <m/>
    <m/>
    <m/>
    <m/>
    <x v="0"/>
    <x v="108"/>
    <x v="859"/>
    <n v="50209828"/>
    <s v="FAG KUH.6215-A-M-3001"/>
    <n v="286"/>
    <n v="1264.1199999999999"/>
    <m/>
    <m/>
    <s v="20251198-19.09.2025"/>
    <x v="0"/>
    <x v="10"/>
    <x v="0"/>
    <m/>
  </r>
  <r>
    <x v="0"/>
    <x v="0"/>
    <x v="256"/>
    <x v="157"/>
    <x v="175"/>
    <s v="096287861-0000"/>
    <s v="AB"/>
    <n v="4.42"/>
    <n v="198"/>
    <n v="875.16"/>
    <x v="119"/>
    <n v="40"/>
    <n v="2025"/>
    <n v="0"/>
    <x v="51"/>
    <n v="0"/>
    <m/>
    <s v="approved"/>
    <n v="4.125"/>
    <m/>
    <m/>
    <m/>
    <m/>
    <m/>
    <m/>
    <m/>
    <x v="0"/>
    <x v="317"/>
    <x v="860"/>
    <n v="50209828"/>
    <s v="FAG KUH.6215-A-M-3001"/>
    <n v="198"/>
    <n v="875.16"/>
    <m/>
    <m/>
    <s v="20251214-23.09.2025"/>
    <x v="0"/>
    <x v="10"/>
    <x v="0"/>
    <m/>
  </r>
  <r>
    <x v="0"/>
    <x v="0"/>
    <x v="256"/>
    <x v="157"/>
    <x v="175"/>
    <s v="096287861-0000"/>
    <s v="AB"/>
    <n v="4.42"/>
    <n v="198"/>
    <n v="875.16"/>
    <x v="119"/>
    <n v="40"/>
    <n v="2025"/>
    <n v="0"/>
    <x v="51"/>
    <n v="0"/>
    <m/>
    <s v="approved"/>
    <n v="4.125"/>
    <m/>
    <m/>
    <m/>
    <m/>
    <m/>
    <m/>
    <m/>
    <x v="0"/>
    <x v="317"/>
    <x v="861"/>
    <n v="50209828"/>
    <s v="FAG KUH.6215-A-M-3001"/>
    <n v="198"/>
    <n v="875.16"/>
    <m/>
    <m/>
    <s v="20251215-23.09.2025"/>
    <x v="0"/>
    <x v="10"/>
    <x v="0"/>
    <m/>
  </r>
  <r>
    <x v="0"/>
    <x v="0"/>
    <x v="256"/>
    <x v="158"/>
    <x v="175"/>
    <s v="096287861-0000"/>
    <s v="AB"/>
    <n v="4.42"/>
    <n v="179"/>
    <n v="791.18"/>
    <x v="119"/>
    <n v="40"/>
    <n v="2025"/>
    <n v="0"/>
    <x v="51"/>
    <n v="0"/>
    <m/>
    <s v="approved"/>
    <n v="42"/>
    <s v="no"/>
    <m/>
    <m/>
    <m/>
    <m/>
    <s v="Yes"/>
    <m/>
    <x v="0"/>
    <x v="317"/>
    <x v="862"/>
    <n v="50209828"/>
    <s v="FAG KUH.6215-A-M-3001"/>
    <n v="179"/>
    <n v="791.18"/>
    <m/>
    <m/>
    <s v="20251217-23.09.2025"/>
    <x v="0"/>
    <x v="10"/>
    <x v="0"/>
    <m/>
  </r>
  <r>
    <x v="0"/>
    <x v="0"/>
    <x v="255"/>
    <x v="157"/>
    <x v="175"/>
    <s v="096287861-0000"/>
    <s v="AB"/>
    <n v="4.42"/>
    <n v="308"/>
    <n v="11456.64"/>
    <x v="119"/>
    <n v="40"/>
    <n v="2025"/>
    <n v="0"/>
    <x v="51"/>
    <n v="0"/>
    <m/>
    <s v="approved"/>
    <s v="No"/>
    <m/>
    <m/>
    <s v=""/>
    <s v=""/>
    <m/>
    <n v="0"/>
    <m/>
    <x v="0"/>
    <x v="109"/>
    <x v="863"/>
    <n v="50167129"/>
    <s v="FAG KUH.6215-A-M-3001"/>
    <n v="308"/>
    <n v="1361.36"/>
    <m/>
    <m/>
    <s v="20251220-24.09.2025"/>
    <x v="0"/>
    <x v="10"/>
    <x v="0"/>
    <m/>
  </r>
  <r>
    <x v="0"/>
    <x v="0"/>
    <x v="255"/>
    <x v="157"/>
    <x v="175"/>
    <s v="096287861-0000"/>
    <s v="AB"/>
    <n v="4.42"/>
    <n v="352"/>
    <n v="10095.280000000001"/>
    <x v="119"/>
    <n v="40"/>
    <n v="2025"/>
    <n v="0"/>
    <x v="51"/>
    <n v="0"/>
    <m/>
    <s v="approved"/>
    <s v="No"/>
    <m/>
    <m/>
    <s v=""/>
    <s v=""/>
    <m/>
    <n v="0"/>
    <m/>
    <x v="0"/>
    <x v="110"/>
    <x v="864"/>
    <n v="50167129"/>
    <s v="FAG KUH.6215-A-M-3001"/>
    <n v="352"/>
    <n v="1555.84"/>
    <m/>
    <m/>
    <s v="20251227-25.09.2025"/>
    <x v="0"/>
    <x v="10"/>
    <x v="0"/>
    <m/>
  </r>
  <r>
    <x v="0"/>
    <x v="0"/>
    <x v="255"/>
    <x v="157"/>
    <x v="175"/>
    <s v="096287861-0000"/>
    <s v="AB"/>
    <n v="4.42"/>
    <n v="308"/>
    <n v="1361.36"/>
    <x v="119"/>
    <n v="40"/>
    <n v="2025"/>
    <n v="0"/>
    <x v="51"/>
    <n v="0"/>
    <m/>
    <s v="approved"/>
    <n v="6.416666666666667"/>
    <m/>
    <m/>
    <m/>
    <m/>
    <m/>
    <m/>
    <m/>
    <x v="0"/>
    <x v="111"/>
    <x v="865"/>
    <n v="50167129"/>
    <s v="FAG KUH.6215-A-M-3001"/>
    <n v="308"/>
    <n v="1361.36"/>
    <m/>
    <m/>
    <s v="20251234-26.09.2025"/>
    <x v="0"/>
    <x v="10"/>
    <x v="0"/>
    <m/>
  </r>
  <r>
    <x v="0"/>
    <x v="0"/>
    <x v="255"/>
    <x v="157"/>
    <x v="175"/>
    <s v="096287861-0000"/>
    <s v="AB"/>
    <n v="4.42"/>
    <n v="317"/>
    <n v="6793.54"/>
    <x v="119"/>
    <n v="40"/>
    <n v="2025"/>
    <n v="0"/>
    <x v="51"/>
    <n v="0"/>
    <m/>
    <s v="approved"/>
    <s v="No"/>
    <m/>
    <m/>
    <s v=""/>
    <s v=""/>
    <m/>
    <n v="0"/>
    <m/>
    <x v="0"/>
    <x v="112"/>
    <x v="866"/>
    <n v="50167129"/>
    <s v="FAG KUH.6215-A-M-3001"/>
    <n v="317"/>
    <n v="1401.1399999999999"/>
    <m/>
    <m/>
    <s v="20251239-29.09.2025"/>
    <x v="3"/>
    <x v="10"/>
    <x v="0"/>
    <m/>
  </r>
  <r>
    <x v="0"/>
    <x v="0"/>
    <x v="255"/>
    <x v="157"/>
    <x v="175"/>
    <s v="096287861-0000"/>
    <s v="AB"/>
    <n v="4.42"/>
    <n v="319"/>
    <n v="1409.98"/>
    <x v="119"/>
    <n v="40"/>
    <n v="2025"/>
    <n v="0"/>
    <x v="51"/>
    <n v="0"/>
    <m/>
    <s v="approved"/>
    <n v="6.645833333333333"/>
    <m/>
    <m/>
    <m/>
    <m/>
    <m/>
    <m/>
    <m/>
    <x v="0"/>
    <x v="20"/>
    <x v="867"/>
    <n v="50167129"/>
    <s v="FAG KUH.6215-A-M-3001"/>
    <n v="319"/>
    <n v="1409.98"/>
    <m/>
    <m/>
    <s v="20251240-30.09.2025"/>
    <x v="0"/>
    <x v="10"/>
    <x v="0"/>
    <m/>
  </r>
  <r>
    <x v="0"/>
    <x v="0"/>
    <x v="255"/>
    <x v="157"/>
    <x v="175"/>
    <s v="096287861-0000"/>
    <s v="AB"/>
    <n v="4.42"/>
    <n v="308"/>
    <n v="1361.36"/>
    <x v="119"/>
    <n v="40"/>
    <n v="2025"/>
    <n v="0"/>
    <x v="51"/>
    <n v="0"/>
    <m/>
    <s v="approved"/>
    <n v="6.416666666666667"/>
    <m/>
    <m/>
    <m/>
    <m/>
    <m/>
    <m/>
    <m/>
    <x v="0"/>
    <x v="20"/>
    <x v="868"/>
    <n v="50167129"/>
    <s v="FAG KUH.6215-A-M-3001"/>
    <n v="308"/>
    <n v="1361.36"/>
    <m/>
    <m/>
    <s v="20251254-30.09.2025"/>
    <x v="0"/>
    <x v="10"/>
    <x v="0"/>
    <m/>
  </r>
  <r>
    <x v="0"/>
    <x v="0"/>
    <x v="255"/>
    <x v="157"/>
    <x v="175"/>
    <s v="096287861-0000"/>
    <s v="AB"/>
    <n v="4.42"/>
    <n v="363"/>
    <n v="1604.46"/>
    <x v="119"/>
    <n v="40"/>
    <n v="2025"/>
    <n v="0"/>
    <x v="51"/>
    <n v="0"/>
    <m/>
    <s v="approved"/>
    <n v="7.5625"/>
    <m/>
    <m/>
    <m/>
    <m/>
    <m/>
    <m/>
    <m/>
    <x v="0"/>
    <x v="20"/>
    <x v="869"/>
    <n v="50167129"/>
    <s v="FAG KUH.6215-A-M-3001"/>
    <n v="363"/>
    <n v="1604.46"/>
    <m/>
    <m/>
    <s v="20251261-30.09.2025"/>
    <x v="0"/>
    <x v="10"/>
    <x v="0"/>
    <m/>
  </r>
  <r>
    <x v="0"/>
    <x v="0"/>
    <x v="255"/>
    <x v="157"/>
    <x v="175"/>
    <s v="096287861-0000"/>
    <s v="AB"/>
    <n v="4.42"/>
    <n v="317"/>
    <n v="1401.1399999999999"/>
    <x v="119"/>
    <n v="40"/>
    <n v="2025"/>
    <n v="0"/>
    <x v="51"/>
    <n v="0"/>
    <m/>
    <s v="approved"/>
    <n v="42"/>
    <s v="no"/>
    <m/>
    <m/>
    <m/>
    <m/>
    <s v="Yes"/>
    <m/>
    <x v="0"/>
    <x v="20"/>
    <x v="870"/>
    <n v="50167129"/>
    <s v="FAG KUH.6215-A-M-3001"/>
    <n v="317"/>
    <n v="1401.1399999999999"/>
    <m/>
    <m/>
    <s v="20251268-30.09.2025"/>
    <x v="0"/>
    <x v="10"/>
    <x v="0"/>
    <m/>
  </r>
  <r>
    <x v="0"/>
    <x v="0"/>
    <x v="257"/>
    <x v="159"/>
    <x v="176"/>
    <s v="300387164-0000"/>
    <s v="AA"/>
    <n v="4.5"/>
    <n v="5"/>
    <n v="22.5"/>
    <x v="56"/>
    <n v="7"/>
    <n v="2025"/>
    <m/>
    <x v="51"/>
    <n v="0"/>
    <m/>
    <s v="project"/>
    <n v="42"/>
    <s v="no"/>
    <m/>
    <m/>
    <m/>
    <m/>
    <s v="Yes"/>
    <m/>
    <x v="0"/>
    <x v="238"/>
    <x v="871"/>
    <n v="38582629"/>
    <s v="FAG KUH.6312-M-3001"/>
    <n v="5"/>
    <n v="22.5"/>
    <m/>
    <m/>
    <s v="20250190-19.02.2025"/>
    <x v="1"/>
    <x v="7"/>
    <x v="0"/>
    <m/>
  </r>
  <r>
    <x v="0"/>
    <x v="0"/>
    <x v="257"/>
    <x v="159"/>
    <x v="176"/>
    <s v="300387164-0000"/>
    <s v="AA"/>
    <n v="4.5"/>
    <n v="303"/>
    <n v="1363.5"/>
    <x v="56"/>
    <n v="7"/>
    <n v="2025"/>
    <m/>
    <x v="51"/>
    <n v="0"/>
    <m/>
    <s v="approved"/>
    <n v="42"/>
    <s v="no"/>
    <m/>
    <m/>
    <m/>
    <m/>
    <s v="Yes"/>
    <m/>
    <x v="0"/>
    <x v="318"/>
    <x v="872"/>
    <n v="38582629"/>
    <s v="FAG KUH.6312-M-3001"/>
    <n v="303"/>
    <n v="1363.5"/>
    <m/>
    <m/>
    <s v="20250209-24.02.2025"/>
    <x v="1"/>
    <x v="7"/>
    <x v="0"/>
    <m/>
  </r>
  <r>
    <x v="0"/>
    <x v="0"/>
    <x v="258"/>
    <x v="56"/>
    <x v="176"/>
    <s v="300387164-0000"/>
    <s v="AA"/>
    <n v="4.5"/>
    <n v="49"/>
    <n v="220.5"/>
    <x v="179"/>
    <n v="8"/>
    <n v="2025"/>
    <m/>
    <x v="51"/>
    <n v="0"/>
    <m/>
    <s v="approved"/>
    <n v="42"/>
    <s v="no"/>
    <m/>
    <m/>
    <m/>
    <m/>
    <m/>
    <m/>
    <x v="0"/>
    <x v="318"/>
    <x v="873"/>
    <n v="38623808"/>
    <s v="FAG KUH.6312-M-3001"/>
    <n v="49"/>
    <n v="220.5"/>
    <m/>
    <m/>
    <s v="20250210-24.02.2025"/>
    <x v="1"/>
    <x v="7"/>
    <x v="0"/>
    <m/>
  </r>
  <r>
    <x v="0"/>
    <x v="0"/>
    <x v="258"/>
    <x v="56"/>
    <x v="176"/>
    <s v="300387164-0000"/>
    <s v="AA"/>
    <n v="4.5"/>
    <n v="28"/>
    <n v="126"/>
    <x v="179"/>
    <n v="8"/>
    <n v="2025"/>
    <m/>
    <x v="51"/>
    <n v="0"/>
    <m/>
    <s v="approved"/>
    <n v="42"/>
    <s v="no"/>
    <m/>
    <m/>
    <m/>
    <m/>
    <s v="Yes"/>
    <m/>
    <x v="0"/>
    <x v="190"/>
    <x v="874"/>
    <n v="38623808"/>
    <s v="FAG KUH.6312-M-3001"/>
    <n v="28"/>
    <n v="126"/>
    <m/>
    <m/>
    <s v="20250214-25.02.2025"/>
    <x v="1"/>
    <x v="7"/>
    <x v="0"/>
    <m/>
  </r>
  <r>
    <x v="0"/>
    <x v="0"/>
    <x v="259"/>
    <x v="160"/>
    <x v="176"/>
    <s v="300387164-0000"/>
    <s v="AA"/>
    <n v="4.5"/>
    <n v="57"/>
    <n v="256.5"/>
    <x v="90"/>
    <n v="12"/>
    <n v="2025"/>
    <m/>
    <x v="51"/>
    <n v="0"/>
    <m/>
    <s v="approved"/>
    <n v="42"/>
    <s v="no"/>
    <m/>
    <m/>
    <m/>
    <m/>
    <m/>
    <m/>
    <x v="0"/>
    <x v="299"/>
    <x v="875"/>
    <n v="38782986"/>
    <s v="FAG KUH.6312-M-3001"/>
    <n v="57"/>
    <n v="256.5"/>
    <m/>
    <m/>
    <s v="20250396-26.03.2025"/>
    <x v="1"/>
    <x v="5"/>
    <x v="0"/>
    <m/>
  </r>
  <r>
    <x v="0"/>
    <x v="0"/>
    <x v="259"/>
    <x v="160"/>
    <x v="176"/>
    <s v="300387164-0000"/>
    <s v="AA"/>
    <n v="4.5"/>
    <n v="5"/>
    <n v="22.5"/>
    <x v="90"/>
    <n v="12"/>
    <n v="2025"/>
    <m/>
    <x v="51"/>
    <n v="0"/>
    <m/>
    <s v="approved"/>
    <n v="42"/>
    <s v="no"/>
    <m/>
    <m/>
    <m/>
    <m/>
    <m/>
    <m/>
    <x v="0"/>
    <x v="275"/>
    <x v="876"/>
    <n v="38782986"/>
    <s v="FAG KUH.6312-M-3001"/>
    <n v="5"/>
    <n v="22.5"/>
    <m/>
    <s v="PPAP L3"/>
    <s v="20250399-27.03.2025"/>
    <x v="1"/>
    <x v="5"/>
    <x v="0"/>
    <m/>
  </r>
  <r>
    <x v="0"/>
    <x v="0"/>
    <x v="259"/>
    <x v="160"/>
    <x v="176"/>
    <s v="300387164-0000"/>
    <s v="AA"/>
    <n v="4.5"/>
    <n v="128"/>
    <n v="576"/>
    <x v="90"/>
    <n v="12"/>
    <n v="2025"/>
    <m/>
    <x v="51"/>
    <n v="0"/>
    <m/>
    <s v="approved"/>
    <n v="42"/>
    <s v="no"/>
    <m/>
    <m/>
    <m/>
    <m/>
    <m/>
    <m/>
    <x v="0"/>
    <x v="275"/>
    <x v="877"/>
    <n v="38782986"/>
    <s v="FAG KUH.6312-M-3001"/>
    <n v="128"/>
    <n v="576"/>
    <m/>
    <m/>
    <s v="20250400-27.03.2025"/>
    <x v="1"/>
    <x v="5"/>
    <x v="0"/>
    <m/>
  </r>
  <r>
    <x v="0"/>
    <x v="0"/>
    <x v="259"/>
    <x v="160"/>
    <x v="176"/>
    <s v="300387164-0000"/>
    <s v="AA"/>
    <n v="4.5"/>
    <n v="256"/>
    <n v="1152"/>
    <x v="90"/>
    <n v="12"/>
    <n v="2025"/>
    <m/>
    <x v="51"/>
    <n v="0"/>
    <m/>
    <s v="approved"/>
    <n v="42"/>
    <s v="no"/>
    <m/>
    <m/>
    <m/>
    <m/>
    <m/>
    <m/>
    <x v="0"/>
    <x v="172"/>
    <x v="878"/>
    <n v="38782986"/>
    <s v="FAG KUH.6312-M-3001"/>
    <n v="256"/>
    <n v="1152"/>
    <m/>
    <m/>
    <s v="20250411-28.03.2025"/>
    <x v="1"/>
    <x v="5"/>
    <x v="0"/>
    <m/>
  </r>
  <r>
    <x v="0"/>
    <x v="0"/>
    <x v="259"/>
    <x v="160"/>
    <x v="176"/>
    <s v="300387164-0000"/>
    <s v="AA"/>
    <n v="4.5"/>
    <n v="266"/>
    <n v="1197"/>
    <x v="90"/>
    <n v="12"/>
    <n v="2025"/>
    <m/>
    <x v="51"/>
    <n v="0"/>
    <m/>
    <s v="approved"/>
    <n v="42"/>
    <s v="no"/>
    <m/>
    <m/>
    <m/>
    <m/>
    <m/>
    <m/>
    <x v="0"/>
    <x v="314"/>
    <x v="879"/>
    <n v="38782986"/>
    <s v="FAG KUH.6312-M-3001"/>
    <n v="266"/>
    <n v="1197"/>
    <m/>
    <m/>
    <s v="20250417-31.03.2025"/>
    <x v="1"/>
    <x v="5"/>
    <x v="0"/>
    <m/>
  </r>
  <r>
    <x v="0"/>
    <x v="0"/>
    <x v="259"/>
    <x v="160"/>
    <x v="176"/>
    <s v="300387164-0000"/>
    <s v="AA"/>
    <n v="4.5"/>
    <n v="74"/>
    <n v="333"/>
    <x v="90"/>
    <n v="12"/>
    <n v="2025"/>
    <m/>
    <x v="51"/>
    <n v="0"/>
    <m/>
    <s v="approved"/>
    <n v="42"/>
    <s v="no"/>
    <m/>
    <m/>
    <m/>
    <m/>
    <m/>
    <m/>
    <x v="0"/>
    <x v="30"/>
    <x v="880"/>
    <n v="38782986"/>
    <s v="FAG KUH.6312-M-3001"/>
    <n v="74"/>
    <n v="333"/>
    <m/>
    <m/>
    <s v="20250469-08.04.2025"/>
    <x v="1"/>
    <x v="5"/>
    <x v="0"/>
    <m/>
  </r>
  <r>
    <x v="0"/>
    <x v="0"/>
    <x v="260"/>
    <x v="161"/>
    <x v="177"/>
    <s v="Colivie"/>
    <n v="0"/>
    <n v="9.0399999999999991"/>
    <n v="5"/>
    <n v="45.199999999999996"/>
    <x v="90"/>
    <n v="12"/>
    <n v="2025"/>
    <m/>
    <x v="51"/>
    <n v="0"/>
    <m/>
    <s v="approved"/>
    <n v="0"/>
    <s v="no"/>
    <m/>
    <m/>
    <m/>
    <m/>
    <m/>
    <m/>
    <x v="0"/>
    <x v="299"/>
    <x v="881"/>
    <n v="38770114"/>
    <s v="KUH.6326-M-3001"/>
    <n v="5"/>
    <n v="45.199999999999996"/>
    <m/>
    <m/>
    <s v="20250397-26.03.2025"/>
    <x v="1"/>
    <x v="5"/>
    <x v="0"/>
    <m/>
  </r>
  <r>
    <x v="0"/>
    <x v="0"/>
    <x v="260"/>
    <x v="161"/>
    <x v="177"/>
    <s v="Colivie"/>
    <n v="0"/>
    <n v="9.0399999999999991"/>
    <n v="48"/>
    <n v="433.91999999999996"/>
    <x v="90"/>
    <n v="12"/>
    <n v="2025"/>
    <m/>
    <x v="51"/>
    <n v="0"/>
    <m/>
    <s v="approved"/>
    <n v="0"/>
    <s v="no"/>
    <m/>
    <m/>
    <m/>
    <m/>
    <m/>
    <m/>
    <x v="0"/>
    <x v="299"/>
    <x v="882"/>
    <n v="38770114"/>
    <s v="KUH.6326-M-3001"/>
    <n v="48"/>
    <n v="433.91999999999996"/>
    <m/>
    <m/>
    <s v="20250398-26.03.2025"/>
    <x v="1"/>
    <x v="5"/>
    <x v="0"/>
    <m/>
  </r>
  <r>
    <x v="0"/>
    <x v="0"/>
    <x v="260"/>
    <x v="161"/>
    <x v="177"/>
    <s v="Colivie"/>
    <n v="0"/>
    <n v="9.0399999999999991"/>
    <n v="66"/>
    <n v="596.64"/>
    <x v="90"/>
    <n v="12"/>
    <n v="2025"/>
    <m/>
    <x v="51"/>
    <n v="0"/>
    <m/>
    <s v="approved"/>
    <n v="0"/>
    <s v="no"/>
    <m/>
    <m/>
    <m/>
    <m/>
    <m/>
    <m/>
    <x v="0"/>
    <x v="275"/>
    <x v="883"/>
    <n v="38770114"/>
    <s v="KUH.6326-M-3001"/>
    <n v="66"/>
    <n v="596.64"/>
    <m/>
    <m/>
    <s v="20250401-27.03.2025"/>
    <x v="1"/>
    <x v="5"/>
    <x v="0"/>
    <m/>
  </r>
  <r>
    <x v="0"/>
    <x v="0"/>
    <x v="260"/>
    <x v="161"/>
    <x v="177"/>
    <s v="Colivie"/>
    <n v="0"/>
    <n v="9.0399999999999991"/>
    <n v="59"/>
    <n v="533.3599999999999"/>
    <x v="90"/>
    <n v="12"/>
    <n v="2025"/>
    <n v="0"/>
    <x v="51"/>
    <n v="0"/>
    <m/>
    <s v="approved"/>
    <m/>
    <s v="no"/>
    <m/>
    <m/>
    <m/>
    <m/>
    <m/>
    <m/>
    <x v="0"/>
    <x v="172"/>
    <x v="884"/>
    <n v="38770114"/>
    <s v="KUH.6326-M-3001"/>
    <n v="59"/>
    <n v="533.3599999999999"/>
    <m/>
    <m/>
    <s v="20250409-28.03.2025"/>
    <x v="1"/>
    <x v="5"/>
    <x v="0"/>
    <m/>
  </r>
  <r>
    <x v="0"/>
    <x v="0"/>
    <x v="260"/>
    <x v="161"/>
    <x v="177"/>
    <s v="Colivie"/>
    <n v="0"/>
    <n v="9.0399999999999991"/>
    <n v="16"/>
    <n v="144.63999999999999"/>
    <x v="90"/>
    <n v="12"/>
    <n v="2025"/>
    <m/>
    <x v="51"/>
    <n v="0"/>
    <m/>
    <s v="approved"/>
    <m/>
    <s v="no"/>
    <m/>
    <m/>
    <m/>
    <m/>
    <m/>
    <m/>
    <x v="0"/>
    <x v="172"/>
    <x v="885"/>
    <n v="38770114"/>
    <s v="KUH.6326-M-3001"/>
    <n v="16"/>
    <n v="144.63999999999999"/>
    <m/>
    <m/>
    <s v="20250410-28.03.2025"/>
    <x v="1"/>
    <x v="5"/>
    <x v="0"/>
    <m/>
  </r>
  <r>
    <x v="0"/>
    <x v="0"/>
    <x v="260"/>
    <x v="161"/>
    <x v="177"/>
    <s v="Colivie"/>
    <n v="0"/>
    <n v="9.0399999999999991"/>
    <n v="112"/>
    <n v="1012.4799999999999"/>
    <x v="90"/>
    <n v="12"/>
    <n v="2025"/>
    <n v="0"/>
    <x v="51"/>
    <n v="0"/>
    <m/>
    <s v="approved"/>
    <m/>
    <s v="no"/>
    <m/>
    <m/>
    <m/>
    <m/>
    <m/>
    <m/>
    <x v="0"/>
    <x v="314"/>
    <x v="886"/>
    <n v="38770114"/>
    <s v="KUH.6326-M-3001"/>
    <n v="112"/>
    <n v="1012.4799999999999"/>
    <m/>
    <m/>
    <s v="20250419-31.03.2025"/>
    <x v="1"/>
    <x v="5"/>
    <x v="0"/>
    <m/>
  </r>
  <r>
    <x v="0"/>
    <x v="0"/>
    <x v="260"/>
    <x v="161"/>
    <x v="177"/>
    <s v="Colivie"/>
    <n v="0"/>
    <n v="9.0399999999999991"/>
    <n v="58"/>
    <n v="524.31999999999994"/>
    <x v="90"/>
    <n v="12"/>
    <n v="2025"/>
    <n v="0"/>
    <x v="51"/>
    <n v="0"/>
    <m/>
    <s v="approved"/>
    <m/>
    <s v="no"/>
    <m/>
    <m/>
    <m/>
    <m/>
    <m/>
    <m/>
    <x v="0"/>
    <x v="315"/>
    <x v="887"/>
    <n v="38770114"/>
    <s v="KUH.6326-M-3001"/>
    <n v="58"/>
    <n v="524.31999999999994"/>
    <m/>
    <m/>
    <s v="20250435-31.03.2025"/>
    <x v="1"/>
    <x v="5"/>
    <x v="0"/>
    <m/>
  </r>
  <r>
    <x v="0"/>
    <x v="0"/>
    <x v="260"/>
    <x v="161"/>
    <x v="177"/>
    <s v="Colivie"/>
    <n v="0"/>
    <n v="9.0399999999999991"/>
    <n v="32"/>
    <n v="289.27999999999997"/>
    <x v="90"/>
    <n v="12"/>
    <n v="2025"/>
    <n v="0"/>
    <x v="51"/>
    <n v="0"/>
    <m/>
    <s v="approved"/>
    <m/>
    <s v="no"/>
    <m/>
    <m/>
    <m/>
    <m/>
    <m/>
    <m/>
    <x v="0"/>
    <x v="300"/>
    <x v="888"/>
    <n v="38770114"/>
    <s v="KUH.6326-M-3001"/>
    <n v="32"/>
    <n v="289.27999999999997"/>
    <m/>
    <m/>
    <s v="20250443-31.03.2025"/>
    <x v="1"/>
    <x v="5"/>
    <x v="0"/>
    <m/>
  </r>
  <r>
    <x v="0"/>
    <x v="0"/>
    <x v="260"/>
    <x v="161"/>
    <x v="177"/>
    <s v="Colivie"/>
    <n v="0"/>
    <n v="9.0399999999999991"/>
    <n v="96"/>
    <n v="867.83999999999992"/>
    <x v="90"/>
    <n v="12"/>
    <n v="2025"/>
    <m/>
    <x v="51"/>
    <n v="0"/>
    <m/>
    <s v="approved"/>
    <m/>
    <s v="no"/>
    <m/>
    <m/>
    <m/>
    <m/>
    <m/>
    <m/>
    <x v="0"/>
    <x v="276"/>
    <x v="889"/>
    <n v="38770114"/>
    <s v="KUH.6326-M-3001"/>
    <n v="96"/>
    <n v="867.83999999999992"/>
    <m/>
    <m/>
    <s v="20250452-03.04.2025"/>
    <x v="1"/>
    <x v="5"/>
    <x v="0"/>
    <m/>
  </r>
  <r>
    <x v="0"/>
    <x v="0"/>
    <x v="260"/>
    <x v="161"/>
    <x v="177"/>
    <s v="Colivie"/>
    <n v="0"/>
    <n v="9.0399999999999991"/>
    <n v="96"/>
    <n v="867.83999999999992"/>
    <x v="90"/>
    <n v="12"/>
    <n v="2025"/>
    <m/>
    <x v="51"/>
    <n v="0"/>
    <m/>
    <s v="approved"/>
    <m/>
    <s v="no"/>
    <m/>
    <m/>
    <m/>
    <m/>
    <m/>
    <m/>
    <x v="0"/>
    <x v="277"/>
    <x v="890"/>
    <n v="38770114"/>
    <s v="KUH.6326-M-3001"/>
    <n v="96"/>
    <n v="867.83999999999992"/>
    <m/>
    <m/>
    <s v="20250455-04.04.2025"/>
    <x v="1"/>
    <x v="5"/>
    <x v="0"/>
    <m/>
  </r>
  <r>
    <x v="0"/>
    <x v="0"/>
    <x v="260"/>
    <x v="161"/>
    <x v="177"/>
    <s v="Colivie"/>
    <n v="0"/>
    <n v="9.0399999999999991"/>
    <n v="128"/>
    <n v="1157.1199999999999"/>
    <x v="90"/>
    <n v="12"/>
    <n v="2025"/>
    <m/>
    <x v="51"/>
    <n v="0"/>
    <m/>
    <s v="approved"/>
    <m/>
    <s v="no"/>
    <m/>
    <m/>
    <m/>
    <m/>
    <m/>
    <m/>
    <x v="0"/>
    <x v="92"/>
    <x v="891"/>
    <n v="38770114"/>
    <s v="KUH.6326-M-3001"/>
    <n v="128"/>
    <n v="1157.1199999999999"/>
    <m/>
    <m/>
    <s v="20250466-07.04.2025"/>
    <x v="1"/>
    <x v="5"/>
    <x v="0"/>
    <m/>
  </r>
  <r>
    <x v="0"/>
    <x v="0"/>
    <x v="260"/>
    <x v="161"/>
    <x v="177"/>
    <s v="Colivie"/>
    <n v="0"/>
    <n v="9.0399999999999991"/>
    <n v="107"/>
    <n v="967.27999999999986"/>
    <x v="90"/>
    <n v="12"/>
    <n v="2025"/>
    <n v="0"/>
    <x v="51"/>
    <n v="0"/>
    <m/>
    <s v="approved"/>
    <m/>
    <s v="no"/>
    <m/>
    <m/>
    <m/>
    <m/>
    <m/>
    <m/>
    <x v="0"/>
    <x v="30"/>
    <x v="892"/>
    <n v="38770114"/>
    <s v="KUH.6326-M-3001"/>
    <n v="107"/>
    <n v="967.27999999999986"/>
    <m/>
    <m/>
    <s v="20250471-08.04.2025"/>
    <x v="1"/>
    <x v="5"/>
    <x v="0"/>
    <m/>
  </r>
  <r>
    <x v="0"/>
    <x v="0"/>
    <x v="260"/>
    <x v="161"/>
    <x v="177"/>
    <s v="Colivie"/>
    <n v="0"/>
    <n v="9.0399999999999991"/>
    <n v="37"/>
    <n v="334.47999999999996"/>
    <x v="90"/>
    <n v="12"/>
    <n v="2025"/>
    <n v="0"/>
    <x v="51"/>
    <n v="0"/>
    <m/>
    <s v="approved"/>
    <m/>
    <s v="no"/>
    <m/>
    <m/>
    <m/>
    <m/>
    <m/>
    <m/>
    <x v="0"/>
    <x v="177"/>
    <x v="893"/>
    <n v="38770114"/>
    <s v="KUH.6326-M-3001"/>
    <n v="0"/>
    <n v="0"/>
    <n v="17"/>
    <s v="MATERIAL RETURNAT + piese NOK"/>
    <s v="20250518-16.04.2025"/>
    <x v="1"/>
    <x v="5"/>
    <x v="0"/>
    <m/>
  </r>
  <r>
    <x v="0"/>
    <x v="0"/>
    <x v="261"/>
    <x v="162"/>
    <x v="178"/>
    <s v="081046383-8011"/>
    <s v="AA"/>
    <n v="0.63"/>
    <n v="5"/>
    <n v="3.15"/>
    <x v="284"/>
    <n v="13"/>
    <n v="2025"/>
    <m/>
    <x v="65"/>
    <m/>
    <m/>
    <m/>
    <m/>
    <s v="no"/>
    <m/>
    <m/>
    <m/>
    <m/>
    <m/>
    <m/>
    <x v="0"/>
    <x v="92"/>
    <x v="894"/>
    <n v="38840189"/>
    <s v="MSX.RWU25-E-0251-WW1"/>
    <n v="5"/>
    <n v="3.15"/>
    <m/>
    <s v="PPAP"/>
    <s v="20250468-07.04.2025"/>
    <x v="1"/>
    <x v="5"/>
    <x v="0"/>
    <m/>
  </r>
  <r>
    <x v="0"/>
    <x v="0"/>
    <x v="261"/>
    <x v="162"/>
    <x v="178"/>
    <s v="081046383-8011"/>
    <s v="AA"/>
    <n v="0.63"/>
    <n v="1000"/>
    <n v="630"/>
    <x v="284"/>
    <n v="13"/>
    <n v="2025"/>
    <n v="0"/>
    <x v="65"/>
    <s v="."/>
    <m/>
    <s v="approved"/>
    <n v="0"/>
    <s v="no"/>
    <m/>
    <m/>
    <m/>
    <m/>
    <m/>
    <m/>
    <x v="0"/>
    <x v="319"/>
    <x v="895"/>
    <n v="38840189"/>
    <s v="MSX.RWU25-E-0251-WW1"/>
    <n v="1000"/>
    <n v="630"/>
    <m/>
    <m/>
    <s v="20250676-30.05.2025"/>
    <x v="1"/>
    <x v="5"/>
    <x v="0"/>
    <m/>
  </r>
  <r>
    <x v="0"/>
    <x v="0"/>
    <x v="261"/>
    <x v="162"/>
    <x v="178"/>
    <s v="081046383-8011"/>
    <s v="AA"/>
    <n v="0.63"/>
    <n v="906"/>
    <n v="570.78"/>
    <x v="284"/>
    <n v="13"/>
    <n v="2025"/>
    <n v="0"/>
    <x v="65"/>
    <n v="0"/>
    <m/>
    <m/>
    <n v="18.875"/>
    <m/>
    <m/>
    <m/>
    <m/>
    <m/>
    <m/>
    <m/>
    <x v="0"/>
    <x v="6"/>
    <x v="896"/>
    <n v="38840189"/>
    <s v="MSX.RWU25-E-0251-WW1"/>
    <n v="906"/>
    <n v="570.78"/>
    <m/>
    <m/>
    <s v="20250701-03.06.2025"/>
    <x v="1"/>
    <x v="5"/>
    <x v="0"/>
    <m/>
  </r>
  <r>
    <x v="0"/>
    <x v="0"/>
    <x v="261"/>
    <x v="162"/>
    <x v="178"/>
    <s v="081046383-8011"/>
    <s v="AA"/>
    <n v="0.63"/>
    <n v="1089"/>
    <n v="686.07"/>
    <x v="284"/>
    <n v="13"/>
    <n v="2025"/>
    <n v="0"/>
    <x v="65"/>
    <s v="."/>
    <m/>
    <s v="approved"/>
    <n v="0"/>
    <s v="no"/>
    <m/>
    <m/>
    <m/>
    <m/>
    <m/>
    <m/>
    <x v="0"/>
    <x v="150"/>
    <x v="897"/>
    <n v="38840189"/>
    <s v="MSX.RWU25-E-0251-WW1"/>
    <n v="951"/>
    <n v="599.13"/>
    <n v="143"/>
    <m/>
    <s v="20250707-05.06.2025"/>
    <x v="1"/>
    <x v="5"/>
    <x v="0"/>
    <m/>
  </r>
  <r>
    <x v="0"/>
    <x v="0"/>
    <x v="262"/>
    <x v="163"/>
    <x v="178"/>
    <s v="081046383-8011"/>
    <s v="AA"/>
    <n v="0.63"/>
    <n v="2024"/>
    <n v="1275.1200000000001"/>
    <x v="201"/>
    <n v="28"/>
    <n v="2025"/>
    <n v="0"/>
    <x v="65"/>
    <s v="."/>
    <m/>
    <s v="approved"/>
    <n v="0"/>
    <s v="no"/>
    <m/>
    <m/>
    <m/>
    <m/>
    <m/>
    <m/>
    <x v="0"/>
    <x v="149"/>
    <x v="898"/>
    <n v="39501054"/>
    <s v="MSX.RWU25-E-0251-WW1"/>
    <n v="2024"/>
    <n v="1275.1200000000001"/>
    <m/>
    <m/>
    <s v="20250870-07.07.2025"/>
    <x v="0"/>
    <x v="8"/>
    <x v="0"/>
    <m/>
  </r>
  <r>
    <x v="0"/>
    <x v="0"/>
    <x v="262"/>
    <x v="163"/>
    <x v="178"/>
    <s v="081046383-8011"/>
    <s v="AA"/>
    <n v="0.63"/>
    <n v="785"/>
    <n v="494.55"/>
    <x v="201"/>
    <n v="28"/>
    <n v="2025"/>
    <n v="0"/>
    <x v="65"/>
    <s v="."/>
    <m/>
    <s v="approved"/>
    <n v="0"/>
    <s v="no"/>
    <m/>
    <m/>
    <m/>
    <m/>
    <m/>
    <m/>
    <x v="0"/>
    <x v="181"/>
    <x v="899"/>
    <n v="39501054"/>
    <s v="MSX.RWU25-E-0251-WW1"/>
    <n v="785"/>
    <n v="494.55"/>
    <m/>
    <m/>
    <s v="20250919-15.07.2025"/>
    <x v="1"/>
    <x v="8"/>
    <x v="0"/>
    <m/>
  </r>
  <r>
    <x v="0"/>
    <x v="0"/>
    <x v="263"/>
    <x v="110"/>
    <x v="178"/>
    <s v="081046383-8011"/>
    <s v="AA"/>
    <n v="0.63"/>
    <n v="10"/>
    <n v="6.3"/>
    <x v="285"/>
    <n v="29"/>
    <n v="2025"/>
    <n v="0"/>
    <x v="65"/>
    <s v="."/>
    <m/>
    <s v="approved"/>
    <n v="0"/>
    <s v="no"/>
    <m/>
    <m/>
    <m/>
    <m/>
    <m/>
    <m/>
    <x v="0"/>
    <x v="188"/>
    <x v="900"/>
    <n v="39686913"/>
    <s v="MSX.RWU25-E-0251-WW1"/>
    <m/>
    <n v="0"/>
    <n v="10"/>
    <m/>
    <s v="20251088-19.08.2025"/>
    <x v="1"/>
    <x v="8"/>
    <x v="0"/>
    <m/>
  </r>
  <r>
    <x v="0"/>
    <x v="0"/>
    <x v="263"/>
    <x v="110"/>
    <x v="178"/>
    <s v="081046383-8011"/>
    <s v="AA"/>
    <n v="0.63"/>
    <n v="181"/>
    <n v="114.03"/>
    <x v="285"/>
    <n v="29"/>
    <n v="2025"/>
    <n v="0"/>
    <x v="65"/>
    <s v="."/>
    <m/>
    <s v="approved"/>
    <n v="0"/>
    <s v="no"/>
    <m/>
    <m/>
    <m/>
    <m/>
    <m/>
    <m/>
    <x v="0"/>
    <x v="188"/>
    <x v="4"/>
    <s v=""/>
    <s v=""/>
    <m/>
    <n v="0"/>
    <n v="0"/>
    <m/>
    <m/>
    <x v="1"/>
    <x v="8"/>
    <x v="0"/>
    <m/>
  </r>
  <r>
    <x v="0"/>
    <x v="0"/>
    <x v="264"/>
    <x v="164"/>
    <x v="178"/>
    <s v="081046383-8011"/>
    <s v="AA"/>
    <n v="0.63"/>
    <n v="1195"/>
    <n v="752.85"/>
    <x v="286"/>
    <n v="33"/>
    <n v="2025"/>
    <n v="0"/>
    <x v="65"/>
    <s v="."/>
    <m/>
    <s v="approved"/>
    <n v="0"/>
    <s v="no"/>
    <m/>
    <m/>
    <m/>
    <m/>
    <m/>
    <m/>
    <x v="0"/>
    <x v="187"/>
    <x v="901"/>
    <s v=" "/>
    <s v="MSX.RWU25-E-0251-WW1"/>
    <n v="1195"/>
    <n v="752.85"/>
    <m/>
    <m/>
    <s v="20251084-18.08.2025"/>
    <x v="1"/>
    <x v="9"/>
    <x v="0"/>
    <m/>
  </r>
  <r>
    <x v="0"/>
    <x v="0"/>
    <x v="265"/>
    <x v="164"/>
    <x v="178"/>
    <s v="081046383-8011"/>
    <s v="AA"/>
    <n v="0.63"/>
    <n v="1805"/>
    <n v="1137.1500000000001"/>
    <x v="286"/>
    <n v="33"/>
    <n v="2025"/>
    <n v="0"/>
    <x v="65"/>
    <s v="."/>
    <m/>
    <s v="approved"/>
    <n v="0"/>
    <s v="no"/>
    <m/>
    <m/>
    <m/>
    <m/>
    <m/>
    <m/>
    <x v="0"/>
    <x v="188"/>
    <x v="902"/>
    <n v="39804112"/>
    <s v="MSX.RWU25-E-0251-WW1"/>
    <n v="1652"/>
    <n v="1040.76"/>
    <n v="153"/>
    <m/>
    <s v="20251087-19.08.2025"/>
    <x v="1"/>
    <x v="9"/>
    <x v="0"/>
    <m/>
  </r>
  <r>
    <x v="0"/>
    <x v="0"/>
    <x v="266"/>
    <x v="165"/>
    <x v="178"/>
    <s v="081046383-8011"/>
    <s v="AA"/>
    <n v="0.63"/>
    <n v="3000"/>
    <n v="1890"/>
    <x v="86"/>
    <n v="38"/>
    <n v="2025"/>
    <n v="0"/>
    <x v="65"/>
    <s v="."/>
    <m/>
    <s v="approved"/>
    <n v="0"/>
    <s v="no"/>
    <m/>
    <m/>
    <m/>
    <m/>
    <m/>
    <m/>
    <x v="0"/>
    <x v="320"/>
    <x v="903"/>
    <n v="50034198"/>
    <s v="MSX.RWU25-E-0251-WW1"/>
    <n v="2982"/>
    <n v="1878.66"/>
    <n v="15"/>
    <m/>
    <s v="20251149-04.09.2025"/>
    <x v="0"/>
    <x v="10"/>
    <x v="0"/>
    <m/>
  </r>
  <r>
    <x v="0"/>
    <x v="0"/>
    <x v="267"/>
    <x v="166"/>
    <x v="178"/>
    <s v="081046383-8011"/>
    <s v="AA"/>
    <n v="0.63"/>
    <n v="3000"/>
    <n v="1890"/>
    <x v="287"/>
    <n v="42"/>
    <n v="2025"/>
    <n v="0"/>
    <x v="65"/>
    <s v="."/>
    <m/>
    <s v="approved"/>
    <n v="0"/>
    <s v="no"/>
    <m/>
    <m/>
    <m/>
    <m/>
    <m/>
    <m/>
    <x v="0"/>
    <x v="115"/>
    <x v="904"/>
    <n v="50191523"/>
    <s v="MSX.RWU25-E-0251-WW1"/>
    <n v="2920"/>
    <n v="1839.6"/>
    <m/>
    <m/>
    <s v="20251301-14.10.2025"/>
    <x v="0"/>
    <x v="11"/>
    <x v="0"/>
    <m/>
  </r>
  <r>
    <x v="3"/>
    <x v="1"/>
    <x v="16"/>
    <x v="7"/>
    <x v="179"/>
    <s v="VALVE SPOOL Z2S 16"/>
    <s v="e"/>
    <n v="0"/>
    <n v="300"/>
    <n v="0"/>
    <x v="288"/>
    <n v="38"/>
    <n v="2026"/>
    <n v="0"/>
    <x v="66"/>
    <n v="0"/>
    <n v="61"/>
    <s v="approved"/>
    <n v="6.25"/>
    <m/>
    <m/>
    <m/>
    <m/>
    <m/>
    <m/>
    <m/>
    <x v="1"/>
    <x v="3"/>
    <x v="4"/>
    <s v=""/>
    <s v=""/>
    <m/>
    <n v="0"/>
    <m/>
    <m/>
    <m/>
    <x v="2"/>
    <x v="10"/>
    <x v="3"/>
    <m/>
  </r>
  <r>
    <x v="11"/>
    <x v="0"/>
    <x v="268"/>
    <x v="167"/>
    <x v="179"/>
    <s v="VALVE SPOOL Z2S 16"/>
    <s v="e"/>
    <n v="2.88"/>
    <n v="5"/>
    <n v="14.399999999999999"/>
    <x v="289"/>
    <n v="30"/>
    <n v="2024"/>
    <n v="0"/>
    <x v="66"/>
    <n v="0"/>
    <m/>
    <s v="project"/>
    <n v="56"/>
    <s v="yes"/>
    <m/>
    <m/>
    <m/>
    <m/>
    <m/>
    <m/>
    <x v="0"/>
    <x v="321"/>
    <x v="905"/>
    <n v="4510121125"/>
    <s v="R900145251"/>
    <n v="5"/>
    <n v="14.399999999999999"/>
    <m/>
    <s v="VALIDARE"/>
    <s v="20241292-11.10.2024"/>
    <x v="1"/>
    <x v="8"/>
    <x v="1"/>
    <m/>
  </r>
  <r>
    <x v="11"/>
    <x v="0"/>
    <x v="269"/>
    <x v="168"/>
    <x v="179"/>
    <s v="VALVE SPOOL Z2S 16"/>
    <s v="e"/>
    <n v="2.88"/>
    <n v="3"/>
    <n v="8.64"/>
    <x v="200"/>
    <n v="49"/>
    <n v="2024"/>
    <n v="0"/>
    <x v="66"/>
    <n v="0"/>
    <n v="42"/>
    <s v="project"/>
    <n v="56"/>
    <s v="no"/>
    <m/>
    <m/>
    <m/>
    <m/>
    <m/>
    <n v="240502"/>
    <x v="0"/>
    <x v="322"/>
    <x v="906"/>
    <n v="4509720687"/>
    <s v="R900145251"/>
    <n v="3"/>
    <n v="8.64"/>
    <m/>
    <s v="VALIDARE"/>
    <s v="20240381-10.04.2024"/>
    <x v="0"/>
    <x v="3"/>
    <x v="1"/>
    <m/>
  </r>
  <r>
    <x v="11"/>
    <x v="0"/>
    <x v="268"/>
    <x v="167"/>
    <x v="180"/>
    <s v="VALVE SPOOL Z2S 22"/>
    <s v="D"/>
    <n v="4.13"/>
    <n v="5"/>
    <n v="20.65"/>
    <x v="289"/>
    <n v="30"/>
    <n v="2024"/>
    <n v="0"/>
    <x v="67"/>
    <n v="0"/>
    <m/>
    <s v="project"/>
    <n v="56"/>
    <s v="yes"/>
    <m/>
    <m/>
    <m/>
    <m/>
    <m/>
    <m/>
    <x v="0"/>
    <x v="321"/>
    <x v="905"/>
    <n v="4510121125"/>
    <s v="R900147181"/>
    <n v="5"/>
    <n v="20.65"/>
    <m/>
    <s v="VALIDARE"/>
    <s v="20241292-11.10.2024"/>
    <x v="1"/>
    <x v="8"/>
    <x v="1"/>
    <m/>
  </r>
  <r>
    <x v="11"/>
    <x v="0"/>
    <x v="269"/>
    <x v="168"/>
    <x v="180"/>
    <s v="VALVE SPOOL Z2S 22"/>
    <s v="D"/>
    <n v="4.13"/>
    <n v="3"/>
    <n v="12.39"/>
    <x v="200"/>
    <n v="49"/>
    <n v="2024"/>
    <n v="0"/>
    <x v="67"/>
    <n v="0"/>
    <n v="42"/>
    <s v="project"/>
    <n v="56"/>
    <s v="no"/>
    <m/>
    <m/>
    <m/>
    <m/>
    <m/>
    <n v="240614"/>
    <x v="0"/>
    <x v="322"/>
    <x v="906"/>
    <n v="4509720687"/>
    <s v="R900147181"/>
    <n v="3"/>
    <n v="12.39"/>
    <m/>
    <s v="VALIDARE"/>
    <s v="20240381-10.04.2024"/>
    <x v="0"/>
    <x v="3"/>
    <x v="1"/>
    <m/>
  </r>
  <r>
    <x v="12"/>
    <x v="0"/>
    <x v="270"/>
    <x v="106"/>
    <x v="181"/>
    <s v="PLATE_4WRD_25_5X_"/>
    <s v="AA"/>
    <n v="5.77"/>
    <n v="280"/>
    <n v="1615.6"/>
    <x v="290"/>
    <n v="36"/>
    <n v="2024"/>
    <n v="0"/>
    <x v="68"/>
    <n v="528"/>
    <m/>
    <s v="approved"/>
    <n v="56"/>
    <s v="yes"/>
    <m/>
    <m/>
    <m/>
    <m/>
    <m/>
    <n v="242906"/>
    <x v="0"/>
    <x v="323"/>
    <x v="907"/>
    <n v="5500533447"/>
    <s v="R900172405"/>
    <n v="104"/>
    <n v="600.07999999999993"/>
    <m/>
    <m/>
    <s v="20241098-27.08.2024"/>
    <x v="0"/>
    <x v="10"/>
    <x v="1"/>
    <m/>
  </r>
  <r>
    <x v="12"/>
    <x v="0"/>
    <x v="270"/>
    <x v="106"/>
    <x v="181"/>
    <s v="PLATE_4WRD_25_5X_"/>
    <s v="AA"/>
    <n v="5.77"/>
    <n v="0"/>
    <n v="0"/>
    <x v="290"/>
    <n v="36"/>
    <n v="2024"/>
    <n v="0"/>
    <x v="68"/>
    <n v="528"/>
    <m/>
    <s v="approved"/>
    <n v="56"/>
    <s v="yes"/>
    <m/>
    <m/>
    <m/>
    <m/>
    <m/>
    <m/>
    <x v="0"/>
    <x v="285"/>
    <x v="908"/>
    <n v="5500533447"/>
    <s v="R900172405"/>
    <n v="0"/>
    <n v="0"/>
    <m/>
    <m/>
    <s v="20241167-12.09.2024/20241421-14.11.2024"/>
    <x v="1"/>
    <x v="10"/>
    <x v="1"/>
    <m/>
  </r>
  <r>
    <x v="12"/>
    <x v="0"/>
    <x v="270"/>
    <x v="169"/>
    <x v="181"/>
    <s v="PLATE_4WRD_25_5X_"/>
    <s v="AA"/>
    <n v="5.77"/>
    <n v="583"/>
    <n v="3363.91"/>
    <x v="291"/>
    <n v="37"/>
    <n v="2024"/>
    <n v="0"/>
    <x v="68"/>
    <n v="528"/>
    <m/>
    <s v="approved"/>
    <n v="56"/>
    <s v="yes"/>
    <m/>
    <m/>
    <m/>
    <m/>
    <m/>
    <n v="242906"/>
    <x v="0"/>
    <x v="285"/>
    <x v="908"/>
    <n v="5500533447"/>
    <s v="R900172405"/>
    <n v="66"/>
    <n v="380.82"/>
    <m/>
    <m/>
    <s v="20241167-12.09.2024/20241421-14.11.2024"/>
    <x v="0"/>
    <x v="10"/>
    <x v="1"/>
    <m/>
  </r>
  <r>
    <x v="12"/>
    <x v="0"/>
    <x v="270"/>
    <x v="169"/>
    <x v="181"/>
    <s v="PLATE_4WRD_25_5X_"/>
    <s v="AA"/>
    <n v="5.77"/>
    <n v="0"/>
    <n v="0"/>
    <x v="291"/>
    <n v="37"/>
    <n v="2024"/>
    <n v="0"/>
    <x v="68"/>
    <n v="528"/>
    <m/>
    <s v="approved"/>
    <n v="56"/>
    <s v="yes"/>
    <m/>
    <m/>
    <m/>
    <m/>
    <m/>
    <m/>
    <x v="0"/>
    <x v="224"/>
    <x v="909"/>
    <n v="5500533447"/>
    <s v="R900172405"/>
    <n v="45"/>
    <n v="259.64999999999998"/>
    <m/>
    <m/>
    <s v="20241232-27.09.2024"/>
    <x v="1"/>
    <x v="10"/>
    <x v="1"/>
    <m/>
  </r>
  <r>
    <x v="12"/>
    <x v="0"/>
    <x v="270"/>
    <x v="169"/>
    <x v="181"/>
    <s v="PLATE_4WRD_25_5X_"/>
    <s v="AA"/>
    <n v="5.77"/>
    <n v="0"/>
    <n v="0"/>
    <x v="291"/>
    <n v="37"/>
    <n v="2024"/>
    <n v="0"/>
    <x v="68"/>
    <n v="528"/>
    <m/>
    <s v="approved"/>
    <n v="56"/>
    <s v="yes"/>
    <m/>
    <m/>
    <m/>
    <m/>
    <m/>
    <m/>
    <x v="0"/>
    <x v="324"/>
    <x v="910"/>
    <n v="5500533447"/>
    <s v="R900172405"/>
    <n v="329"/>
    <n v="1898.33"/>
    <m/>
    <m/>
    <s v="20241266-04.10.2024"/>
    <x v="1"/>
    <x v="10"/>
    <x v="1"/>
    <m/>
  </r>
  <r>
    <x v="12"/>
    <x v="0"/>
    <x v="270"/>
    <x v="169"/>
    <x v="181"/>
    <s v="PLATE_4WRD_25_5X_"/>
    <s v="AA"/>
    <n v="5.77"/>
    <n v="225"/>
    <n v="1298.25"/>
    <x v="291"/>
    <n v="37"/>
    <n v="2024"/>
    <n v="0"/>
    <x v="68"/>
    <n v="528"/>
    <n v="60"/>
    <s v="approved"/>
    <n v="56"/>
    <s v="yes"/>
    <m/>
    <m/>
    <m/>
    <m/>
    <m/>
    <m/>
    <x v="0"/>
    <x v="13"/>
    <x v="911"/>
    <n v="5500533447"/>
    <s v="R900172405"/>
    <n v="225"/>
    <n v="1298.25"/>
    <m/>
    <m/>
    <s v="20241323-18.10.2024"/>
    <x v="1"/>
    <x v="10"/>
    <x v="1"/>
    <m/>
  </r>
  <r>
    <x v="12"/>
    <x v="0"/>
    <x v="270"/>
    <x v="169"/>
    <x v="181"/>
    <s v="PLATE_4WRD_25_5X_"/>
    <s v="AA"/>
    <n v="5.77"/>
    <n v="271"/>
    <n v="1563.6699999999998"/>
    <x v="291"/>
    <n v="37"/>
    <n v="2024"/>
    <n v="0"/>
    <x v="68"/>
    <n v="528"/>
    <n v="60"/>
    <s v="approved"/>
    <n v="56"/>
    <s v="yes"/>
    <m/>
    <m/>
    <m/>
    <m/>
    <m/>
    <m/>
    <x v="0"/>
    <x v="13"/>
    <x v="911"/>
    <n v="5500533447"/>
    <s v="R900172405"/>
    <n v="271"/>
    <n v="1563.6699999999998"/>
    <m/>
    <m/>
    <s v="20241323-18.10.2024"/>
    <x v="1"/>
    <x v="10"/>
    <x v="1"/>
    <m/>
  </r>
  <r>
    <x v="12"/>
    <x v="0"/>
    <x v="270"/>
    <x v="169"/>
    <x v="181"/>
    <s v="PLATE_4WRD_25_5X_"/>
    <s v="AA"/>
    <n v="5.77"/>
    <n v="257"/>
    <n v="1482.8899999999999"/>
    <x v="292"/>
    <n v="42"/>
    <n v="2024"/>
    <n v="0"/>
    <x v="68"/>
    <n v="528"/>
    <m/>
    <s v="approved"/>
    <n v="56"/>
    <s v="yes"/>
    <m/>
    <m/>
    <m/>
    <m/>
    <m/>
    <n v="242906"/>
    <x v="0"/>
    <x v="325"/>
    <x v="912"/>
    <n v="5500533447"/>
    <s v="R900172405"/>
    <n v="257"/>
    <n v="1482.8899999999999"/>
    <m/>
    <m/>
    <s v="20241363-30.10.2024"/>
    <x v="1"/>
    <x v="11"/>
    <x v="1"/>
    <m/>
  </r>
  <r>
    <x v="12"/>
    <x v="0"/>
    <x v="270"/>
    <x v="169"/>
    <x v="181"/>
    <s v="PLATE_4WRD_25_5X_"/>
    <s v="AA"/>
    <n v="5.77"/>
    <n v="47"/>
    <n v="271.19"/>
    <x v="221"/>
    <n v="43"/>
    <n v="2024"/>
    <n v="0"/>
    <x v="68"/>
    <n v="528"/>
    <m/>
    <s v="approved"/>
    <n v="56"/>
    <s v="yes"/>
    <m/>
    <m/>
    <m/>
    <m/>
    <m/>
    <n v="242906"/>
    <x v="0"/>
    <x v="325"/>
    <x v="912"/>
    <n v="5500533447"/>
    <s v="R900172405"/>
    <n v="47"/>
    <n v="271.19"/>
    <m/>
    <m/>
    <s v="20241363-30.10.2024"/>
    <x v="1"/>
    <x v="11"/>
    <x v="1"/>
    <m/>
  </r>
  <r>
    <x v="12"/>
    <x v="0"/>
    <x v="270"/>
    <x v="169"/>
    <x v="181"/>
    <s v="PLATE_4WRD_25_5X_"/>
    <s v="AA"/>
    <n v="5.77"/>
    <n v="153"/>
    <n v="882.81"/>
    <x v="221"/>
    <n v="43"/>
    <n v="2024"/>
    <n v="0"/>
    <x v="68"/>
    <n v="528"/>
    <m/>
    <s v="approved"/>
    <n v="56"/>
    <s v="yes"/>
    <m/>
    <m/>
    <m/>
    <m/>
    <m/>
    <m/>
    <x v="0"/>
    <x v="283"/>
    <x v="913"/>
    <n v="5500533447"/>
    <s v="R900172405"/>
    <n v="153"/>
    <n v="882.81"/>
    <m/>
    <m/>
    <s v="20241406-08.11.2024"/>
    <x v="1"/>
    <x v="11"/>
    <x v="1"/>
    <m/>
  </r>
  <r>
    <x v="12"/>
    <x v="0"/>
    <x v="270"/>
    <x v="169"/>
    <x v="181"/>
    <s v="PLATE_4WRD_25_5X_"/>
    <s v="AA"/>
    <n v="5.77"/>
    <n v="328"/>
    <n v="1892.56"/>
    <x v="293"/>
    <n v="44"/>
    <n v="2024"/>
    <n v="0"/>
    <x v="68"/>
    <n v="528"/>
    <m/>
    <s v="approved"/>
    <n v="56"/>
    <s v="yes"/>
    <m/>
    <m/>
    <m/>
    <m/>
    <m/>
    <m/>
    <x v="0"/>
    <x v="283"/>
    <x v="913"/>
    <n v="5500533447"/>
    <s v="R900172405"/>
    <n v="328"/>
    <n v="1892.56"/>
    <m/>
    <m/>
    <s v="20241406-08.11.2024"/>
    <x v="1"/>
    <x v="11"/>
    <x v="1"/>
    <m/>
  </r>
  <r>
    <x v="12"/>
    <x v="0"/>
    <x v="270"/>
    <x v="169"/>
    <x v="181"/>
    <s v="PLATE_4WRD_25_5X_"/>
    <s v="AA"/>
    <n v="5.77"/>
    <n v="23"/>
    <n v="132.70999999999998"/>
    <x v="293"/>
    <n v="44"/>
    <n v="2024"/>
    <n v="0"/>
    <x v="68"/>
    <n v="528"/>
    <m/>
    <s v="approved"/>
    <n v="56"/>
    <s v="yes"/>
    <m/>
    <m/>
    <m/>
    <m/>
    <m/>
    <m/>
    <x v="0"/>
    <x v="283"/>
    <x v="913"/>
    <n v="5500533447"/>
    <s v="R900172405"/>
    <n v="23"/>
    <n v="132.70999999999998"/>
    <m/>
    <m/>
    <s v="20241406-08.11.2024"/>
    <x v="1"/>
    <x v="11"/>
    <x v="1"/>
    <m/>
  </r>
  <r>
    <x v="12"/>
    <x v="0"/>
    <x v="270"/>
    <x v="169"/>
    <x v="181"/>
    <s v="PLATE_4WRD_25_5X_"/>
    <s v="AA"/>
    <n v="5.77"/>
    <n v="264"/>
    <n v="1523.28"/>
    <x v="109"/>
    <n v="45"/>
    <n v="2024"/>
    <n v="0"/>
    <x v="68"/>
    <n v="528"/>
    <m/>
    <s v="approved"/>
    <n v="56"/>
    <s v="yes"/>
    <m/>
    <m/>
    <m/>
    <m/>
    <m/>
    <m/>
    <x v="0"/>
    <x v="291"/>
    <x v="914"/>
    <n v="5500533447"/>
    <s v="R900172405"/>
    <n v="264"/>
    <n v="1523.28"/>
    <m/>
    <m/>
    <s v="20241567-14.12.2024"/>
    <x v="1"/>
    <x v="4"/>
    <x v="1"/>
    <m/>
  </r>
  <r>
    <x v="12"/>
    <x v="0"/>
    <x v="270"/>
    <x v="169"/>
    <x v="181"/>
    <s v="PLATE_4WRD_25_5X_"/>
    <s v="AA"/>
    <n v="5.77"/>
    <n v="328"/>
    <n v="1892.56"/>
    <x v="127"/>
    <n v="45"/>
    <n v="2024"/>
    <n v="0"/>
    <x v="68"/>
    <n v="528"/>
    <m/>
    <s v="approved"/>
    <n v="56"/>
    <s v="yes"/>
    <m/>
    <m/>
    <m/>
    <m/>
    <m/>
    <m/>
    <x v="0"/>
    <x v="52"/>
    <x v="915"/>
    <n v="5500533447"/>
    <s v="R900172405"/>
    <n v="328"/>
    <n v="1892.56"/>
    <m/>
    <m/>
    <s v="20241426-14.11.2024"/>
    <x v="1"/>
    <x v="4"/>
    <x v="1"/>
    <m/>
  </r>
  <r>
    <x v="12"/>
    <x v="0"/>
    <x v="270"/>
    <x v="169"/>
    <x v="181"/>
    <s v="PLATE_4WRD_25_5X_"/>
    <s v="AA"/>
    <n v="5.77"/>
    <n v="441"/>
    <n v="2544.5699999999997"/>
    <x v="127"/>
    <n v="45"/>
    <n v="2024"/>
    <n v="0"/>
    <x v="68"/>
    <n v="528"/>
    <m/>
    <s v="approved"/>
    <n v="56"/>
    <s v="yes"/>
    <m/>
    <m/>
    <m/>
    <m/>
    <m/>
    <s v="need asap"/>
    <x v="0"/>
    <x v="326"/>
    <x v="916"/>
    <n v="5500533447"/>
    <s v="R900172405"/>
    <n v="441"/>
    <n v="2544.5699999999997"/>
    <m/>
    <m/>
    <s v="20241467-22.11.2024"/>
    <x v="1"/>
    <x v="4"/>
    <x v="1"/>
    <m/>
  </r>
  <r>
    <x v="12"/>
    <x v="0"/>
    <x v="270"/>
    <x v="169"/>
    <x v="181"/>
    <s v="PLATE_4WRD_25_5X_"/>
    <s v="AA"/>
    <n v="5.77"/>
    <n v="97"/>
    <n v="559.68999999999994"/>
    <x v="248"/>
    <n v="47"/>
    <n v="2024"/>
    <n v="0"/>
    <x v="68"/>
    <n v="528"/>
    <m/>
    <s v="approved"/>
    <n v="56"/>
    <s v="yes"/>
    <m/>
    <m/>
    <m/>
    <m/>
    <m/>
    <m/>
    <x v="0"/>
    <x v="291"/>
    <x v="914"/>
    <n v="5500533447"/>
    <s v="R900172405"/>
    <n v="97"/>
    <n v="559.68999999999994"/>
    <m/>
    <m/>
    <m/>
    <x v="1"/>
    <x v="4"/>
    <x v="1"/>
    <m/>
  </r>
  <r>
    <x v="12"/>
    <x v="0"/>
    <x v="270"/>
    <x v="169"/>
    <x v="181"/>
    <s v="PLATE_4WRD_25_5X_"/>
    <s v="AA"/>
    <n v="5.77"/>
    <n v="135"/>
    <n v="778.94999999999993"/>
    <x v="248"/>
    <n v="47"/>
    <n v="2024"/>
    <n v="0"/>
    <x v="68"/>
    <n v="528"/>
    <m/>
    <s v="approved"/>
    <n v="56"/>
    <s v="yes"/>
    <m/>
    <m/>
    <m/>
    <m/>
    <m/>
    <m/>
    <x v="0"/>
    <x v="53"/>
    <x v="917"/>
    <n v="5500533447"/>
    <s v="R900172405"/>
    <n v="135"/>
    <n v="778.94999999999993"/>
    <m/>
    <m/>
    <s v="20241600-20.12.2024"/>
    <x v="1"/>
    <x v="4"/>
    <x v="1"/>
    <m/>
  </r>
  <r>
    <x v="12"/>
    <x v="0"/>
    <x v="270"/>
    <x v="169"/>
    <x v="181"/>
    <s v="PLATE_4WRD_25_5X_"/>
    <s v="AA"/>
    <n v="5.77"/>
    <n v="96"/>
    <n v="553.91999999999996"/>
    <x v="248"/>
    <n v="47"/>
    <n v="2024"/>
    <n v="0"/>
    <x v="68"/>
    <n v="528"/>
    <m/>
    <s v="approved"/>
    <n v="56"/>
    <s v="yes"/>
    <m/>
    <m/>
    <m/>
    <m/>
    <m/>
    <m/>
    <x v="0"/>
    <x v="327"/>
    <x v="918"/>
    <n v="5500533447"/>
    <s v="R900172405"/>
    <n v="96"/>
    <n v="553.91999999999996"/>
    <m/>
    <m/>
    <s v="20250071-27.01.2025"/>
    <x v="1"/>
    <x v="4"/>
    <x v="1"/>
    <m/>
  </r>
  <r>
    <x v="12"/>
    <x v="0"/>
    <x v="270"/>
    <x v="169"/>
    <x v="181"/>
    <s v="PLATE_4WRD_25_5X_"/>
    <s v="AA"/>
    <n v="5.77"/>
    <n v="104"/>
    <n v="600.07999999999993"/>
    <x v="294"/>
    <n v="47"/>
    <n v="2024"/>
    <n v="0"/>
    <x v="68"/>
    <n v="528"/>
    <m/>
    <s v="approved"/>
    <n v="56"/>
    <s v="yes"/>
    <m/>
    <m/>
    <m/>
    <m/>
    <m/>
    <m/>
    <x v="0"/>
    <x v="327"/>
    <x v="918"/>
    <n v="5500533447"/>
    <s v="R900172405"/>
    <n v="104"/>
    <n v="600.07999999999993"/>
    <m/>
    <m/>
    <s v="20250071-27.01.2025"/>
    <x v="1"/>
    <x v="4"/>
    <x v="1"/>
    <m/>
  </r>
  <r>
    <x v="12"/>
    <x v="0"/>
    <x v="270"/>
    <x v="169"/>
    <x v="181"/>
    <s v="PLATE_4WRD_25_5X_"/>
    <s v="AA"/>
    <n v="5.77"/>
    <n v="128"/>
    <n v="738.56"/>
    <x v="294"/>
    <n v="47"/>
    <n v="2024"/>
    <n v="0"/>
    <x v="68"/>
    <n v="528"/>
    <m/>
    <s v="approved"/>
    <n v="56"/>
    <s v="yes"/>
    <m/>
    <m/>
    <m/>
    <m/>
    <m/>
    <m/>
    <x v="0"/>
    <x v="327"/>
    <x v="919"/>
    <n v="5500533447"/>
    <s v="R900172405"/>
    <n v="128"/>
    <n v="738.56"/>
    <m/>
    <s v="50 pcs stornate"/>
    <s v="20250072-27.01.2025/20250361-20.03.2025"/>
    <x v="1"/>
    <x v="4"/>
    <x v="1"/>
    <m/>
  </r>
  <r>
    <x v="12"/>
    <x v="0"/>
    <x v="270"/>
    <x v="169"/>
    <x v="181"/>
    <s v="PLATE_4WRD_25_5X_"/>
    <s v="AA"/>
    <n v="5.77"/>
    <n v="246"/>
    <n v="1419.4199999999998"/>
    <x v="294"/>
    <n v="47"/>
    <n v="2024"/>
    <n v="0"/>
    <x v="68"/>
    <n v="528"/>
    <m/>
    <s v="approved"/>
    <n v="56"/>
    <s v="yes"/>
    <m/>
    <m/>
    <m/>
    <m/>
    <s v="yes- la vopsit"/>
    <m/>
    <x v="0"/>
    <x v="328"/>
    <x v="920"/>
    <n v="5500533447"/>
    <s v="R900172405"/>
    <n v="0"/>
    <n v="0"/>
    <m/>
    <m/>
    <s v="20250144-12.02.2025/20250260-03.03.2025"/>
    <x v="1"/>
    <x v="4"/>
    <x v="1"/>
    <m/>
  </r>
  <r>
    <x v="12"/>
    <x v="0"/>
    <x v="270"/>
    <x v="169"/>
    <x v="181"/>
    <s v="PLATE_4WRD_25_5X_"/>
    <s v="AA"/>
    <n v="5.77"/>
    <n v="174"/>
    <n v="1003.9799999999999"/>
    <x v="295"/>
    <n v="48"/>
    <n v="2024"/>
    <n v="0"/>
    <x v="68"/>
    <n v="528"/>
    <m/>
    <s v="approved"/>
    <n v="56"/>
    <s v="yes"/>
    <m/>
    <m/>
    <m/>
    <m/>
    <s v="la vopsit + planif."/>
    <m/>
    <x v="0"/>
    <x v="328"/>
    <x v="920"/>
    <n v="5500533447"/>
    <s v="R900172405"/>
    <n v="0"/>
    <n v="0"/>
    <m/>
    <m/>
    <s v="20250144-12.02.2025/20250260-03.03.2025"/>
    <x v="1"/>
    <x v="4"/>
    <x v="1"/>
    <m/>
  </r>
  <r>
    <x v="12"/>
    <x v="0"/>
    <x v="270"/>
    <x v="169"/>
    <x v="181"/>
    <s v="PLATE_4WRD_25_5X_"/>
    <s v="AA"/>
    <n v="5.77"/>
    <n v="200"/>
    <n v="1154"/>
    <x v="179"/>
    <n v="8"/>
    <n v="2025"/>
    <n v="0"/>
    <x v="68"/>
    <n v="528"/>
    <m/>
    <s v="approved"/>
    <n v="56"/>
    <s v="yes"/>
    <m/>
    <m/>
    <m/>
    <m/>
    <s v="la vopsit + planif."/>
    <m/>
    <x v="0"/>
    <x v="329"/>
    <x v="921"/>
    <n v="5500533447"/>
    <s v="R900172405"/>
    <n v="200"/>
    <n v="1154"/>
    <m/>
    <m/>
    <s v="20250202-22.02.2025"/>
    <x v="0"/>
    <x v="7"/>
    <x v="0"/>
    <m/>
  </r>
  <r>
    <x v="12"/>
    <x v="0"/>
    <x v="270"/>
    <x v="169"/>
    <x v="181"/>
    <s v="PLATE_4WRD_25_5X_"/>
    <s v="AA"/>
    <n v="5.77"/>
    <n v="450"/>
    <n v="2596.5"/>
    <x v="164"/>
    <n v="9"/>
    <n v="2025"/>
    <n v="0"/>
    <x v="68"/>
    <n v="528"/>
    <m/>
    <s v="approved"/>
    <n v="56"/>
    <s v="yes"/>
    <m/>
    <m/>
    <m/>
    <m/>
    <s v="Yes"/>
    <m/>
    <x v="0"/>
    <x v="296"/>
    <x v="922"/>
    <n v="5500533447"/>
    <s v="R900172405"/>
    <n v="450"/>
    <n v="2596.5"/>
    <m/>
    <m/>
    <s v="20250251-28.02.2025"/>
    <x v="0"/>
    <x v="7"/>
    <x v="0"/>
    <m/>
  </r>
  <r>
    <x v="12"/>
    <x v="0"/>
    <x v="270"/>
    <x v="169"/>
    <x v="181"/>
    <s v="PLATE_4WRD_25_5X_"/>
    <s v="AA"/>
    <n v="5.77"/>
    <n v="30"/>
    <n v="173.1"/>
    <x v="296"/>
    <n v="10"/>
    <n v="2025"/>
    <n v="0"/>
    <x v="68"/>
    <n v="528"/>
    <m/>
    <s v="approved"/>
    <n v="56"/>
    <s v="yes"/>
    <m/>
    <m/>
    <m/>
    <m/>
    <m/>
    <m/>
    <x v="0"/>
    <x v="298"/>
    <x v="923"/>
    <n v="5500533447"/>
    <s v="R900172405"/>
    <n v="30"/>
    <n v="173.1"/>
    <m/>
    <m/>
    <s v="20250324-15.03.2025"/>
    <x v="1"/>
    <x v="5"/>
    <x v="0"/>
    <m/>
  </r>
  <r>
    <x v="12"/>
    <x v="0"/>
    <x v="270"/>
    <x v="169"/>
    <x v="181"/>
    <s v="PLATE_4WRD_25_5X_"/>
    <s v="AA"/>
    <n v="5.77"/>
    <n v="20"/>
    <n v="115.39999999999999"/>
    <x v="296"/>
    <n v="10"/>
    <n v="2025"/>
    <n v="0"/>
    <x v="68"/>
    <n v="528"/>
    <m/>
    <s v="approved"/>
    <n v="56"/>
    <s v="yes"/>
    <m/>
    <m/>
    <m/>
    <m/>
    <m/>
    <m/>
    <x v="0"/>
    <x v="169"/>
    <x v="924"/>
    <n v="5500533447"/>
    <s v="R900172405"/>
    <n v="20"/>
    <n v="115.39999999999999"/>
    <m/>
    <m/>
    <s v="20250372-24.03.2025"/>
    <x v="1"/>
    <x v="5"/>
    <x v="0"/>
    <m/>
  </r>
  <r>
    <x v="12"/>
    <x v="0"/>
    <x v="270"/>
    <x v="169"/>
    <x v="181"/>
    <s v="PLATE_4WRD_25_5X_"/>
    <s v="AA"/>
    <n v="5.77"/>
    <n v="41"/>
    <n v="236.57"/>
    <x v="297"/>
    <n v="11"/>
    <n v="2025"/>
    <n v="0"/>
    <x v="68"/>
    <n v="528"/>
    <m/>
    <s v="approved"/>
    <n v="56"/>
    <s v="yes"/>
    <m/>
    <m/>
    <m/>
    <m/>
    <s v="Yes"/>
    <m/>
    <x v="0"/>
    <x v="169"/>
    <x v="924"/>
    <n v="5500533447"/>
    <s v="R900172405"/>
    <n v="41"/>
    <n v="236.57"/>
    <m/>
    <m/>
    <s v="20250372-24.03.2025"/>
    <x v="1"/>
    <x v="5"/>
    <x v="0"/>
    <m/>
  </r>
  <r>
    <x v="12"/>
    <x v="0"/>
    <x v="270"/>
    <x v="169"/>
    <x v="181"/>
    <s v="PLATE_4WRD_25_5X_"/>
    <s v="AA"/>
    <n v="5.77"/>
    <n v="105"/>
    <n v="605.84999999999991"/>
    <x v="141"/>
    <n v="16"/>
    <n v="2025"/>
    <n v="0"/>
    <x v="68"/>
    <n v="528"/>
    <m/>
    <s v="approved"/>
    <n v="56"/>
    <s v="yes"/>
    <m/>
    <m/>
    <m/>
    <m/>
    <s v="Yes"/>
    <m/>
    <x v="0"/>
    <x v="92"/>
    <x v="925"/>
    <n v="5500533447"/>
    <s v="R900172405"/>
    <n v="105"/>
    <n v="605.84999999999991"/>
    <m/>
    <m/>
    <s v="20250485-09.04.2025"/>
    <x v="0"/>
    <x v="1"/>
    <x v="0"/>
    <m/>
  </r>
  <r>
    <x v="12"/>
    <x v="0"/>
    <x v="270"/>
    <x v="169"/>
    <x v="181"/>
    <s v="PLATE_4WRD_25_5X_"/>
    <s v="AA"/>
    <n v="5.77"/>
    <n v="199"/>
    <n v="1148.23"/>
    <x v="141"/>
    <n v="16"/>
    <n v="2025"/>
    <n v="0"/>
    <x v="68"/>
    <n v="528"/>
    <m/>
    <s v="approved"/>
    <n v="56"/>
    <s v="yes"/>
    <m/>
    <m/>
    <m/>
    <m/>
    <s v="Yes"/>
    <m/>
    <x v="0"/>
    <x v="96"/>
    <x v="926"/>
    <n v="5500533447"/>
    <s v="R900172405"/>
    <n v="199"/>
    <n v="1148.23"/>
    <m/>
    <m/>
    <s v="20250539-22.04.2025"/>
    <x v="0"/>
    <x v="1"/>
    <x v="0"/>
    <m/>
  </r>
  <r>
    <x v="12"/>
    <x v="0"/>
    <x v="270"/>
    <x v="169"/>
    <x v="181"/>
    <s v="PLATE_4WRD_25_5X_"/>
    <s v="AA"/>
    <n v="5.77"/>
    <n v="73"/>
    <n v="421.21"/>
    <x v="141"/>
    <n v="16"/>
    <n v="2025"/>
    <n v="0"/>
    <x v="68"/>
    <n v="528"/>
    <m/>
    <s v="approved"/>
    <n v="1.5208333333333333"/>
    <m/>
    <m/>
    <m/>
    <m/>
    <m/>
    <m/>
    <m/>
    <x v="0"/>
    <x v="2"/>
    <x v="927"/>
    <n v="5500533447"/>
    <s v="R900172405"/>
    <n v="73"/>
    <n v="421.21"/>
    <m/>
    <m/>
    <s v="20250562-29.04.2025"/>
    <x v="1"/>
    <x v="1"/>
    <x v="0"/>
    <m/>
  </r>
  <r>
    <x v="12"/>
    <x v="0"/>
    <x v="270"/>
    <x v="169"/>
    <x v="181"/>
    <s v="PLATE_4WRD_25_5X_"/>
    <s v="AA"/>
    <n v="5.77"/>
    <n v="282"/>
    <n v="1627.1399999999999"/>
    <x v="141"/>
    <n v="16"/>
    <n v="2025"/>
    <n v="0"/>
    <x v="68"/>
    <n v="528"/>
    <m/>
    <s v="approved"/>
    <n v="56"/>
    <s v="yes"/>
    <m/>
    <m/>
    <m/>
    <m/>
    <m/>
    <m/>
    <x v="0"/>
    <x v="91"/>
    <x v="928"/>
    <n v="5500533447"/>
    <s v="R900172405"/>
    <n v="282"/>
    <n v="1627.1399999999999"/>
    <m/>
    <m/>
    <s v="20250597-08.05.2025"/>
    <x v="1"/>
    <x v="1"/>
    <x v="0"/>
    <m/>
  </r>
  <r>
    <x v="12"/>
    <x v="0"/>
    <x v="270"/>
    <x v="169"/>
    <x v="181"/>
    <s v="PLATE_4WRD_25_5X_"/>
    <s v="AA"/>
    <n v="5.77"/>
    <n v="55"/>
    <n v="317.34999999999997"/>
    <x v="141"/>
    <n v="16"/>
    <n v="2025"/>
    <n v="0"/>
    <x v="68"/>
    <n v="528"/>
    <m/>
    <s v="approved"/>
    <n v="56"/>
    <s v="yes"/>
    <m/>
    <m/>
    <m/>
    <m/>
    <m/>
    <m/>
    <x v="0"/>
    <x v="141"/>
    <x v="929"/>
    <n v="5500533447"/>
    <s v="R900172405"/>
    <n v="55"/>
    <n v="317.34999999999997"/>
    <m/>
    <m/>
    <s v="20250617-13.05.2025"/>
    <x v="1"/>
    <x v="1"/>
    <x v="0"/>
    <m/>
  </r>
  <r>
    <x v="12"/>
    <x v="0"/>
    <x v="270"/>
    <x v="169"/>
    <x v="181"/>
    <s v="PLATE_4WRD_25_5X_"/>
    <s v="AA"/>
    <n v="5.77"/>
    <n v="41"/>
    <n v="236.57"/>
    <x v="141"/>
    <n v="16"/>
    <n v="2025"/>
    <n v="0"/>
    <x v="68"/>
    <n v="528"/>
    <m/>
    <s v="approved"/>
    <n v="56"/>
    <s v="yes"/>
    <m/>
    <m/>
    <m/>
    <m/>
    <m/>
    <m/>
    <x v="0"/>
    <x v="141"/>
    <x v="930"/>
    <n v="5500533447"/>
    <s v="R900172405"/>
    <n v="41"/>
    <n v="236.57"/>
    <m/>
    <m/>
    <s v="20250620-13.05.2025"/>
    <x v="1"/>
    <x v="1"/>
    <x v="0"/>
    <m/>
  </r>
  <r>
    <x v="12"/>
    <x v="0"/>
    <x v="270"/>
    <x v="169"/>
    <x v="181"/>
    <s v="PLATE_4WRD_25_5X_"/>
    <s v="AA"/>
    <n v="5.77"/>
    <n v="27"/>
    <n v="155.79"/>
    <x v="141"/>
    <n v="16"/>
    <n v="2025"/>
    <n v="0"/>
    <x v="68"/>
    <n v="528"/>
    <m/>
    <s v="approved"/>
    <n v="56"/>
    <s v="yes"/>
    <m/>
    <m/>
    <m/>
    <m/>
    <m/>
    <m/>
    <x v="0"/>
    <x v="330"/>
    <x v="931"/>
    <n v="5500533447"/>
    <s v="R900172405"/>
    <n v="27"/>
    <n v="155.79"/>
    <m/>
    <m/>
    <s v="20250651-23.05.2025"/>
    <x v="1"/>
    <x v="1"/>
    <x v="0"/>
    <m/>
  </r>
  <r>
    <x v="12"/>
    <x v="0"/>
    <x v="270"/>
    <x v="169"/>
    <x v="181"/>
    <s v="PLATE_4WRD_25_5X_"/>
    <s v="AA"/>
    <n v="5.77"/>
    <n v="23"/>
    <n v="132.70999999999998"/>
    <x v="141"/>
    <n v="16"/>
    <n v="2025"/>
    <n v="0"/>
    <x v="68"/>
    <n v="528"/>
    <m/>
    <s v="approved"/>
    <n v="56"/>
    <s v="yes"/>
    <m/>
    <m/>
    <m/>
    <m/>
    <m/>
    <m/>
    <x v="0"/>
    <x v="155"/>
    <x v="932"/>
    <n v="5500533447"/>
    <s v="R900172405"/>
    <n v="23"/>
    <n v="132.70999999999998"/>
    <m/>
    <m/>
    <s v="20250770-20.06.2025"/>
    <x v="1"/>
    <x v="1"/>
    <x v="0"/>
    <m/>
  </r>
  <r>
    <x v="12"/>
    <x v="0"/>
    <x v="270"/>
    <x v="169"/>
    <x v="181"/>
    <s v="PLATE_4WRD_25_5X_"/>
    <s v="AA"/>
    <n v="5.77"/>
    <n v="389"/>
    <n v="2244.5299999999997"/>
    <x v="141"/>
    <n v="16"/>
    <n v="2025"/>
    <n v="0"/>
    <x v="68"/>
    <n v="528"/>
    <m/>
    <s v="approved"/>
    <n v="56"/>
    <s v="yes"/>
    <m/>
    <m/>
    <m/>
    <m/>
    <m/>
    <m/>
    <x v="0"/>
    <x v="196"/>
    <x v="933"/>
    <n v="5500533447"/>
    <s v="R900172405"/>
    <n v="389"/>
    <n v="2244.5299999999997"/>
    <m/>
    <m/>
    <s v="20250881-10.07.2025"/>
    <x v="1"/>
    <x v="1"/>
    <x v="0"/>
    <m/>
  </r>
  <r>
    <x v="12"/>
    <x v="0"/>
    <x v="270"/>
    <x v="169"/>
    <x v="181"/>
    <s v="PLATE_4WRD_25_5X_"/>
    <s v="AA"/>
    <n v="5.77"/>
    <n v="22"/>
    <n v="126.94"/>
    <x v="141"/>
    <n v="16"/>
    <n v="2025"/>
    <n v="0"/>
    <x v="68"/>
    <n v="528"/>
    <m/>
    <s v="approved"/>
    <n v="56"/>
    <s v="yes"/>
    <m/>
    <m/>
    <m/>
    <m/>
    <m/>
    <m/>
    <x v="0"/>
    <x v="281"/>
    <x v="934"/>
    <n v="5500533447"/>
    <s v="R900172405"/>
    <n v="22"/>
    <n v="126.94"/>
    <m/>
    <m/>
    <s v="20250909-14.07.2025"/>
    <x v="1"/>
    <x v="1"/>
    <x v="0"/>
    <m/>
  </r>
  <r>
    <x v="12"/>
    <x v="0"/>
    <x v="270"/>
    <x v="169"/>
    <x v="181"/>
    <s v="PLATE_4WRD_25_5X_"/>
    <s v="AA"/>
    <n v="5.77"/>
    <n v="67"/>
    <n v="386.59"/>
    <x v="141"/>
    <n v="16"/>
    <n v="2025"/>
    <n v="0"/>
    <x v="68"/>
    <n v="528"/>
    <m/>
    <s v="approved"/>
    <n v="56"/>
    <s v="yes"/>
    <m/>
    <m/>
    <m/>
    <m/>
    <m/>
    <m/>
    <x v="0"/>
    <x v="7"/>
    <x v="935"/>
    <n v="5500533447"/>
    <s v="R900172405"/>
    <n v="67"/>
    <n v="386.59"/>
    <m/>
    <m/>
    <s v="20250964-24.07.2025"/>
    <x v="1"/>
    <x v="1"/>
    <x v="0"/>
    <m/>
  </r>
  <r>
    <x v="12"/>
    <x v="0"/>
    <x v="270"/>
    <x v="169"/>
    <x v="181"/>
    <s v="PLATE_4WRD_25_5X_"/>
    <s v="AA"/>
    <n v="5.77"/>
    <n v="295"/>
    <n v="1702.1499999999999"/>
    <x v="54"/>
    <n v="18"/>
    <n v="2025"/>
    <n v="0"/>
    <x v="68"/>
    <n v="528"/>
    <m/>
    <s v="approved"/>
    <n v="56"/>
    <s v="yes"/>
    <m/>
    <m/>
    <m/>
    <m/>
    <m/>
    <m/>
    <x v="0"/>
    <x v="182"/>
    <x v="936"/>
    <n v="5500533447"/>
    <s v="R900172405"/>
    <n v="295"/>
    <n v="1702.1499999999999"/>
    <m/>
    <m/>
    <s v="20251004-29.07.2025"/>
    <x v="1"/>
    <x v="1"/>
    <x v="0"/>
    <m/>
  </r>
  <r>
    <x v="12"/>
    <x v="0"/>
    <x v="270"/>
    <x v="169"/>
    <x v="181"/>
    <s v="PLATE_4WRD_25_5X_"/>
    <s v="AA"/>
    <n v="5.77"/>
    <n v="388"/>
    <n v="2238.7599999999998"/>
    <x v="54"/>
    <n v="18"/>
    <n v="2025"/>
    <n v="0"/>
    <x v="68"/>
    <n v="528"/>
    <m/>
    <s v="approved"/>
    <n v="56"/>
    <s v="yes"/>
    <m/>
    <m/>
    <m/>
    <m/>
    <m/>
    <m/>
    <x v="0"/>
    <x v="26"/>
    <x v="937"/>
    <n v="5500533447"/>
    <s v="R900172405"/>
    <n v="388"/>
    <n v="2238.7599999999998"/>
    <m/>
    <m/>
    <s v="20251022/31.07.2025"/>
    <x v="1"/>
    <x v="1"/>
    <x v="0"/>
    <m/>
  </r>
  <r>
    <x v="12"/>
    <x v="0"/>
    <x v="270"/>
    <x v="169"/>
    <x v="181"/>
    <s v="PLATE_4WRD_25_5X_"/>
    <s v="AA"/>
    <n v="5.77"/>
    <n v="378"/>
    <n v="2181.06"/>
    <x v="78"/>
    <n v="21"/>
    <n v="2025"/>
    <n v="0"/>
    <x v="68"/>
    <n v="528"/>
    <m/>
    <s v="approved"/>
    <n v="56"/>
    <s v="yes"/>
    <m/>
    <m/>
    <m/>
    <m/>
    <m/>
    <m/>
    <x v="0"/>
    <x v="26"/>
    <x v="937"/>
    <n v="5500533447"/>
    <s v="R900172405"/>
    <n v="378"/>
    <n v="2181.06"/>
    <m/>
    <m/>
    <s v="20251022/31.07.2025"/>
    <x v="1"/>
    <x v="2"/>
    <x v="0"/>
    <m/>
  </r>
  <r>
    <x v="12"/>
    <x v="0"/>
    <x v="270"/>
    <x v="169"/>
    <x v="181"/>
    <s v="PLATE_4WRD_25_5X_"/>
    <s v="AA"/>
    <n v="5.77"/>
    <n v="150"/>
    <n v="865.49999999999989"/>
    <x v="78"/>
    <n v="21"/>
    <n v="2025"/>
    <n v="0"/>
    <x v="68"/>
    <n v="528"/>
    <m/>
    <s v="approved"/>
    <n v="56"/>
    <s v="yes"/>
    <m/>
    <m/>
    <m/>
    <m/>
    <m/>
    <m/>
    <x v="0"/>
    <x v="203"/>
    <x v="938"/>
    <n v="5500533447"/>
    <s v="R900172405"/>
    <n v="150"/>
    <n v="865.49999999999989"/>
    <m/>
    <m/>
    <m/>
    <x v="1"/>
    <x v="2"/>
    <x v="0"/>
    <m/>
  </r>
  <r>
    <x v="12"/>
    <x v="0"/>
    <x v="270"/>
    <x v="169"/>
    <x v="181"/>
    <s v="PLATE_4WRD_25_5X_"/>
    <s v="AA"/>
    <n v="5.77"/>
    <n v="58"/>
    <n v="334.65999999999997"/>
    <x v="259"/>
    <n v="22"/>
    <n v="2025"/>
    <n v="0"/>
    <x v="68"/>
    <n v="528"/>
    <m/>
    <s v="approved"/>
    <n v="56"/>
    <s v="yes"/>
    <m/>
    <m/>
    <m/>
    <m/>
    <m/>
    <m/>
    <x v="0"/>
    <x v="203"/>
    <x v="938"/>
    <n v="5500533447"/>
    <s v="R900172405"/>
    <n v="58"/>
    <n v="334.65999999999997"/>
    <m/>
    <m/>
    <m/>
    <x v="1"/>
    <x v="2"/>
    <x v="0"/>
    <m/>
  </r>
  <r>
    <x v="12"/>
    <x v="0"/>
    <x v="270"/>
    <x v="169"/>
    <x v="181"/>
    <s v="PLATE_4WRD_25_5X_"/>
    <s v="AA"/>
    <n v="5.77"/>
    <n v="470"/>
    <n v="2711.8999999999996"/>
    <x v="259"/>
    <n v="22"/>
    <n v="2025"/>
    <n v="0"/>
    <x v="68"/>
    <n v="528"/>
    <m/>
    <s v="approved"/>
    <n v="56"/>
    <s v="yes"/>
    <m/>
    <m/>
    <m/>
    <m/>
    <m/>
    <m/>
    <x v="0"/>
    <x v="161"/>
    <x v="939"/>
    <n v="5500533447"/>
    <s v="R900172405"/>
    <n v="470"/>
    <n v="2711.8999999999996"/>
    <m/>
    <m/>
    <s v="20251127-29.08.2025"/>
    <x v="1"/>
    <x v="2"/>
    <x v="0"/>
    <m/>
  </r>
  <r>
    <x v="12"/>
    <x v="0"/>
    <x v="270"/>
    <x v="169"/>
    <x v="181"/>
    <s v="PLATE_4WRD_25_5X_"/>
    <s v="AA"/>
    <n v="5.77"/>
    <n v="28"/>
    <n v="161.56"/>
    <x v="298"/>
    <n v="25"/>
    <n v="2025"/>
    <n v="0"/>
    <x v="68"/>
    <n v="528"/>
    <m/>
    <s v="approved"/>
    <n v="56"/>
    <s v="yes"/>
    <m/>
    <m/>
    <m/>
    <m/>
    <m/>
    <m/>
    <x v="0"/>
    <x v="161"/>
    <x v="939"/>
    <n v="5500533447"/>
    <s v="R900172405"/>
    <n v="28"/>
    <n v="161.56"/>
    <m/>
    <m/>
    <m/>
    <x v="1"/>
    <x v="0"/>
    <x v="0"/>
    <m/>
  </r>
  <r>
    <x v="12"/>
    <x v="0"/>
    <x v="270"/>
    <x v="169"/>
    <x v="181"/>
    <s v="PLATE_4WRD_25_5X_"/>
    <s v="AA"/>
    <n v="5.77"/>
    <n v="500"/>
    <n v="2885"/>
    <x v="298"/>
    <n v="25"/>
    <n v="2025"/>
    <n v="0"/>
    <x v="68"/>
    <n v="528"/>
    <m/>
    <s v="approved"/>
    <n v="56"/>
    <s v="yes"/>
    <m/>
    <m/>
    <m/>
    <m/>
    <m/>
    <m/>
    <x v="0"/>
    <x v="54"/>
    <x v="940"/>
    <n v="5500533447"/>
    <s v="R900172405"/>
    <n v="500"/>
    <n v="2885"/>
    <m/>
    <m/>
    <s v="20251186-15.09.2025"/>
    <x v="1"/>
    <x v="0"/>
    <x v="0"/>
    <m/>
  </r>
  <r>
    <x v="12"/>
    <x v="0"/>
    <x v="270"/>
    <x v="169"/>
    <x v="181"/>
    <s v="PLATE_4WRD_25_5X_"/>
    <s v="AA"/>
    <n v="5.77"/>
    <n v="528"/>
    <n v="3046.56"/>
    <x v="263"/>
    <n v="26"/>
    <n v="2025"/>
    <n v="0"/>
    <x v="68"/>
    <n v="528"/>
    <m/>
    <s v="approved"/>
    <n v="56"/>
    <s v="yes"/>
    <m/>
    <m/>
    <m/>
    <m/>
    <m/>
    <m/>
    <x v="0"/>
    <x v="54"/>
    <x v="940"/>
    <n v="5500533447"/>
    <s v="R900172405"/>
    <n v="528"/>
    <n v="3046.56"/>
    <m/>
    <m/>
    <s v="20251186-15.09.2025"/>
    <x v="1"/>
    <x v="0"/>
    <x v="0"/>
    <m/>
  </r>
  <r>
    <x v="12"/>
    <x v="0"/>
    <x v="270"/>
    <x v="169"/>
    <x v="181"/>
    <s v="PLATE_4WRD_25_5X_"/>
    <s v="AA"/>
    <n v="5.77"/>
    <n v="199"/>
    <n v="1148.23"/>
    <x v="299"/>
    <n v="30"/>
    <n v="2025"/>
    <n v="0"/>
    <x v="68"/>
    <n v="528"/>
    <m/>
    <s v="approved"/>
    <n v="56"/>
    <s v="yes"/>
    <m/>
    <m/>
    <m/>
    <m/>
    <m/>
    <m/>
    <x v="0"/>
    <x v="54"/>
    <x v="940"/>
    <n v="5500533447"/>
    <s v="R900172405"/>
    <n v="199"/>
    <n v="1148.23"/>
    <m/>
    <m/>
    <s v="20251186-15.09.2025"/>
    <x v="1"/>
    <x v="8"/>
    <x v="0"/>
    <m/>
  </r>
  <r>
    <x v="12"/>
    <x v="0"/>
    <x v="270"/>
    <x v="170"/>
    <x v="181"/>
    <s v="PLATE_4WRD_25_5X_"/>
    <s v="AA"/>
    <n v="5.77"/>
    <n v="329"/>
    <n v="1898.33"/>
    <x v="135"/>
    <n v="41"/>
    <n v="2025"/>
    <n v="0"/>
    <x v="68"/>
    <n v="528"/>
    <m/>
    <s v="approved"/>
    <n v="56"/>
    <s v="yes"/>
    <m/>
    <m/>
    <m/>
    <m/>
    <m/>
    <m/>
    <x v="0"/>
    <x v="109"/>
    <x v="941"/>
    <n v="5500533447"/>
    <s v="R900172405"/>
    <n v="329"/>
    <n v="1898.33"/>
    <m/>
    <m/>
    <s v="20251221-24.09.2025"/>
    <x v="0"/>
    <x v="11"/>
    <x v="0"/>
    <m/>
  </r>
  <r>
    <x v="12"/>
    <x v="0"/>
    <x v="270"/>
    <x v="170"/>
    <x v="181"/>
    <s v="PLATE_4WRD_25_5X_"/>
    <s v="AA"/>
    <n v="5.77"/>
    <n v="307"/>
    <n v="1771.3899999999999"/>
    <x v="135"/>
    <n v="41"/>
    <n v="2025"/>
    <n v="0"/>
    <x v="68"/>
    <n v="528"/>
    <m/>
    <s v="approved"/>
    <n v="6.395833333333333"/>
    <m/>
    <m/>
    <m/>
    <m/>
    <m/>
    <m/>
    <m/>
    <x v="0"/>
    <x v="109"/>
    <x v="941"/>
    <n v="5500533447"/>
    <s v="R900172405"/>
    <n v="307"/>
    <n v="1771.3899999999999"/>
    <m/>
    <m/>
    <s v="20251221-24.09.2025"/>
    <x v="0"/>
    <x v="11"/>
    <x v="0"/>
    <m/>
  </r>
  <r>
    <x v="12"/>
    <x v="1"/>
    <x v="270"/>
    <x v="170"/>
    <x v="181"/>
    <s v="PLATE_4WRD_25_5X_"/>
    <s v="AA"/>
    <n v="5.77"/>
    <n v="49"/>
    <n v="282.72999999999996"/>
    <x v="172"/>
    <n v="46"/>
    <n v="2025"/>
    <n v="0"/>
    <x v="68"/>
    <n v="528"/>
    <m/>
    <s v="approved"/>
    <n v="1.0208333333333333"/>
    <m/>
    <m/>
    <m/>
    <m/>
    <m/>
    <m/>
    <m/>
    <x v="0"/>
    <x v="135"/>
    <x v="942"/>
    <n v="5500533447"/>
    <s v="R900172405"/>
    <n v="49"/>
    <n v="282.72999999999996"/>
    <m/>
    <m/>
    <s v="20251416-31.10.2025"/>
    <x v="0"/>
    <x v="4"/>
    <x v="0"/>
    <m/>
  </r>
  <r>
    <x v="12"/>
    <x v="1"/>
    <x v="270"/>
    <x v="170"/>
    <x v="181"/>
    <s v="PLATE_4WRD_25_5X_"/>
    <s v="AA"/>
    <n v="5.77"/>
    <n v="371"/>
    <n v="2140.6699999999996"/>
    <x v="172"/>
    <n v="46"/>
    <n v="2025"/>
    <n v="0"/>
    <x v="68"/>
    <n v="528"/>
    <m/>
    <s v="approved"/>
    <n v="7.729166666666667"/>
    <m/>
    <m/>
    <m/>
    <m/>
    <m/>
    <m/>
    <m/>
    <x v="1"/>
    <x v="3"/>
    <x v="4"/>
    <s v=""/>
    <s v=""/>
    <m/>
    <n v="0"/>
    <m/>
    <m/>
    <m/>
    <x v="2"/>
    <x v="4"/>
    <x v="0"/>
    <m/>
  </r>
  <r>
    <x v="12"/>
    <x v="1"/>
    <x v="270"/>
    <x v="170"/>
    <x v="181"/>
    <s v="PLATE_4WRD_25_5X_"/>
    <s v="AA"/>
    <n v="5.77"/>
    <n v="528"/>
    <n v="3046.56"/>
    <x v="300"/>
    <n v="47"/>
    <n v="2025"/>
    <n v="0"/>
    <x v="68"/>
    <n v="528"/>
    <m/>
    <s v="approved"/>
    <n v="56"/>
    <s v="yes"/>
    <m/>
    <m/>
    <m/>
    <m/>
    <m/>
    <m/>
    <x v="1"/>
    <x v="3"/>
    <x v="4"/>
    <s v=""/>
    <s v=""/>
    <m/>
    <n v="0"/>
    <m/>
    <m/>
    <m/>
    <x v="2"/>
    <x v="4"/>
    <x v="0"/>
    <m/>
  </r>
  <r>
    <x v="12"/>
    <x v="1"/>
    <x v="270"/>
    <x v="170"/>
    <x v="181"/>
    <s v="PLATE_4WRD_25_5X_"/>
    <s v="AA"/>
    <n v="5.77"/>
    <n v="528"/>
    <n v="3046.56"/>
    <x v="301"/>
    <n v="50"/>
    <n v="2025"/>
    <n v="0"/>
    <x v="68"/>
    <n v="528"/>
    <m/>
    <s v="approved"/>
    <n v="56"/>
    <s v="yes"/>
    <m/>
    <m/>
    <m/>
    <m/>
    <m/>
    <m/>
    <x v="1"/>
    <x v="3"/>
    <x v="4"/>
    <s v=""/>
    <s v=""/>
    <m/>
    <n v="0"/>
    <m/>
    <m/>
    <m/>
    <x v="2"/>
    <x v="3"/>
    <x v="0"/>
    <m/>
  </r>
  <r>
    <x v="12"/>
    <x v="1"/>
    <x v="270"/>
    <x v="170"/>
    <x v="181"/>
    <s v="PLATE_4WRD_25_5X_"/>
    <s v="AA"/>
    <n v="0"/>
    <n v="528"/>
    <n v="0"/>
    <x v="302"/>
    <n v="4"/>
    <n v="2026"/>
    <n v="0"/>
    <x v="68"/>
    <n v="528"/>
    <m/>
    <s v="approved"/>
    <n v="56"/>
    <s v="yes"/>
    <m/>
    <m/>
    <m/>
    <m/>
    <m/>
    <m/>
    <x v="1"/>
    <x v="3"/>
    <x v="4"/>
    <s v=""/>
    <s v=""/>
    <m/>
    <n v="0"/>
    <m/>
    <m/>
    <m/>
    <x v="2"/>
    <x v="6"/>
    <x v="3"/>
    <m/>
  </r>
  <r>
    <x v="12"/>
    <x v="1"/>
    <x v="270"/>
    <x v="170"/>
    <x v="181"/>
    <s v="PLATE_4WRD_25_5X_"/>
    <s v="AA"/>
    <n v="0"/>
    <n v="528"/>
    <n v="0"/>
    <x v="303"/>
    <n v="9"/>
    <n v="2026"/>
    <n v="0"/>
    <x v="68"/>
    <n v="528"/>
    <m/>
    <s v="approved"/>
    <n v="56"/>
    <s v="yes"/>
    <m/>
    <m/>
    <m/>
    <m/>
    <m/>
    <m/>
    <x v="1"/>
    <x v="3"/>
    <x v="4"/>
    <s v=""/>
    <s v=""/>
    <m/>
    <n v="0"/>
    <m/>
    <m/>
    <m/>
    <x v="2"/>
    <x v="7"/>
    <x v="3"/>
    <m/>
  </r>
  <r>
    <x v="12"/>
    <x v="1"/>
    <x v="270"/>
    <x v="170"/>
    <x v="181"/>
    <s v="PLATE_4WRD_25_5X_"/>
    <s v="AA"/>
    <n v="0"/>
    <n v="528"/>
    <n v="0"/>
    <x v="209"/>
    <n v="12"/>
    <n v="2026"/>
    <n v="0"/>
    <x v="68"/>
    <n v="528"/>
    <m/>
    <s v="approved"/>
    <n v="56"/>
    <s v="yes"/>
    <m/>
    <m/>
    <m/>
    <m/>
    <m/>
    <m/>
    <x v="1"/>
    <x v="3"/>
    <x v="4"/>
    <s v=""/>
    <s v=""/>
    <m/>
    <n v="0"/>
    <m/>
    <m/>
    <m/>
    <x v="2"/>
    <x v="5"/>
    <x v="3"/>
    <m/>
  </r>
  <r>
    <x v="12"/>
    <x v="1"/>
    <x v="270"/>
    <x v="170"/>
    <x v="181"/>
    <s v="PLATE_4WRD_25_5X_"/>
    <s v="AA"/>
    <n v="0"/>
    <n v="528"/>
    <n v="0"/>
    <x v="304"/>
    <n v="18"/>
    <n v="2026"/>
    <n v="0"/>
    <x v="68"/>
    <n v="528"/>
    <m/>
    <s v="approved"/>
    <n v="56"/>
    <s v="yes"/>
    <m/>
    <m/>
    <m/>
    <m/>
    <m/>
    <m/>
    <x v="1"/>
    <x v="3"/>
    <x v="4"/>
    <s v=""/>
    <s v=""/>
    <m/>
    <n v="0"/>
    <m/>
    <m/>
    <m/>
    <x v="2"/>
    <x v="1"/>
    <x v="3"/>
    <m/>
  </r>
  <r>
    <x v="12"/>
    <x v="1"/>
    <x v="270"/>
    <x v="170"/>
    <x v="181"/>
    <s v="PLATE_4WRD_25_5X_"/>
    <s v="AA"/>
    <n v="0"/>
    <n v="528"/>
    <n v="0"/>
    <x v="305"/>
    <n v="29"/>
    <n v="2026"/>
    <n v="0"/>
    <x v="68"/>
    <n v="528"/>
    <m/>
    <s v="approved"/>
    <n v="56"/>
    <s v="yes"/>
    <m/>
    <m/>
    <m/>
    <m/>
    <m/>
    <m/>
    <x v="1"/>
    <x v="3"/>
    <x v="4"/>
    <s v=""/>
    <s v=""/>
    <m/>
    <n v="0"/>
    <m/>
    <m/>
    <m/>
    <x v="2"/>
    <x v="8"/>
    <x v="3"/>
    <m/>
  </r>
  <r>
    <x v="12"/>
    <x v="1"/>
    <x v="270"/>
    <x v="170"/>
    <x v="181"/>
    <s v="PLATE_4WRD_25_5X_"/>
    <s v="AA"/>
    <n v="0"/>
    <n v="528"/>
    <n v="0"/>
    <x v="306"/>
    <n v="39"/>
    <n v="2026"/>
    <n v="0"/>
    <x v="68"/>
    <n v="528"/>
    <m/>
    <s v="approved"/>
    <n v="56"/>
    <s v="yes"/>
    <m/>
    <m/>
    <m/>
    <m/>
    <m/>
    <m/>
    <x v="1"/>
    <x v="3"/>
    <x v="4"/>
    <s v=""/>
    <s v=""/>
    <m/>
    <n v="0"/>
    <m/>
    <m/>
    <m/>
    <x v="2"/>
    <x v="10"/>
    <x v="3"/>
    <m/>
  </r>
  <r>
    <x v="12"/>
    <x v="1"/>
    <x v="270"/>
    <x v="170"/>
    <x v="181"/>
    <s v="PLATE_4WRD_25_5X_"/>
    <s v="AA"/>
    <n v="0"/>
    <n v="528"/>
    <n v="0"/>
    <x v="307"/>
    <n v="49"/>
    <n v="2026"/>
    <n v="0"/>
    <x v="68"/>
    <n v="528"/>
    <m/>
    <s v="approved"/>
    <s v="No"/>
    <m/>
    <m/>
    <s v=""/>
    <s v=""/>
    <m/>
    <n v="0"/>
    <m/>
    <x v="1"/>
    <x v="3"/>
    <x v="822"/>
    <m/>
    <m/>
    <m/>
    <n v="0"/>
    <m/>
    <m/>
    <m/>
    <x v="3"/>
    <x v="4"/>
    <x v="3"/>
    <m/>
  </r>
  <r>
    <x v="12"/>
    <x v="1"/>
    <x v="270"/>
    <x v="170"/>
    <x v="181"/>
    <s v="PLATE_4WRD_25_5X_"/>
    <s v="AA"/>
    <n v="0"/>
    <n v="528"/>
    <n v="0"/>
    <x v="308"/>
    <n v="6"/>
    <n v="2027"/>
    <n v="0"/>
    <x v="68"/>
    <n v="528"/>
    <m/>
    <s v="approved"/>
    <s v="No"/>
    <m/>
    <m/>
    <s v=""/>
    <s v=""/>
    <m/>
    <n v="0"/>
    <m/>
    <x v="1"/>
    <x v="3"/>
    <x v="822"/>
    <m/>
    <m/>
    <m/>
    <n v="0"/>
    <m/>
    <m/>
    <m/>
    <x v="3"/>
    <x v="7"/>
    <x v="5"/>
    <m/>
  </r>
  <r>
    <x v="12"/>
    <x v="1"/>
    <x v="270"/>
    <x v="170"/>
    <x v="181"/>
    <s v="PLATE_4WRD_25_5X_"/>
    <s v="AA"/>
    <n v="0"/>
    <n v="528"/>
    <n v="0"/>
    <x v="309"/>
    <n v="18"/>
    <n v="2027"/>
    <n v="0"/>
    <x v="68"/>
    <n v="528"/>
    <m/>
    <s v="approved"/>
    <n v="56"/>
    <s v="yes"/>
    <m/>
    <m/>
    <m/>
    <m/>
    <m/>
    <m/>
    <x v="1"/>
    <x v="3"/>
    <x v="4"/>
    <s v=""/>
    <s v=""/>
    <m/>
    <n v="0"/>
    <m/>
    <m/>
    <m/>
    <x v="2"/>
    <x v="1"/>
    <x v="5"/>
    <m/>
  </r>
  <r>
    <x v="12"/>
    <x v="0"/>
    <x v="271"/>
    <x v="3"/>
    <x v="182"/>
    <s v="HOUSING            DBD.8G13/"/>
    <s v="h"/>
    <n v="28.62"/>
    <n v="100"/>
    <n v="2862"/>
    <x v="310"/>
    <n v="17"/>
    <n v="2024"/>
    <n v="27"/>
    <x v="69"/>
    <n v="10"/>
    <n v="60"/>
    <s v="approved"/>
    <n v="56"/>
    <s v="yes"/>
    <m/>
    <m/>
    <m/>
    <m/>
    <m/>
    <s v="241510 / 241712"/>
    <x v="0"/>
    <x v="14"/>
    <x v="943"/>
    <n v="5500511014"/>
    <s v="R900305223"/>
    <n v="100"/>
    <n v="2862"/>
    <m/>
    <m/>
    <s v="20240476-28.04.2024"/>
    <x v="0"/>
    <x v="1"/>
    <x v="1"/>
    <m/>
  </r>
  <r>
    <x v="12"/>
    <x v="0"/>
    <x v="271"/>
    <x v="106"/>
    <x v="182"/>
    <s v="HOUSING            DBD.8G13/"/>
    <s v="h"/>
    <n v="28.62"/>
    <n v="10"/>
    <n v="286.2"/>
    <x v="311"/>
    <n v="43"/>
    <n v="2024"/>
    <n v="27"/>
    <x v="69"/>
    <n v="10"/>
    <n v="60"/>
    <s v="approved"/>
    <n v="56"/>
    <s v="yes"/>
    <m/>
    <m/>
    <m/>
    <m/>
    <m/>
    <m/>
    <x v="0"/>
    <x v="21"/>
    <x v="944"/>
    <n v="5500511014"/>
    <s v="R900305223"/>
    <n v="11"/>
    <n v="314.82"/>
    <m/>
    <m/>
    <s v="20241153-06.09.2024"/>
    <x v="0"/>
    <x v="11"/>
    <x v="1"/>
    <m/>
  </r>
  <r>
    <x v="12"/>
    <x v="0"/>
    <x v="271"/>
    <x v="106"/>
    <x v="182"/>
    <s v="HOUSING            DBD.8G13/"/>
    <s v="h"/>
    <n v="23.93"/>
    <n v="10"/>
    <n v="239.3"/>
    <x v="312"/>
    <n v="47"/>
    <n v="2025"/>
    <n v="27"/>
    <x v="69"/>
    <n v="10"/>
    <n v="60"/>
    <s v="approved"/>
    <n v="56"/>
    <s v="yes"/>
    <m/>
    <m/>
    <m/>
    <m/>
    <m/>
    <m/>
    <x v="1"/>
    <x v="3"/>
    <x v="4"/>
    <s v=""/>
    <s v=""/>
    <m/>
    <n v="0"/>
    <m/>
    <m/>
    <m/>
    <x v="2"/>
    <x v="4"/>
    <x v="0"/>
    <m/>
  </r>
  <r>
    <x v="12"/>
    <x v="0"/>
    <x v="271"/>
    <x v="106"/>
    <x v="182"/>
    <s v="HOUSING            DBD.8G13/"/>
    <s v="h"/>
    <n v="0"/>
    <n v="19"/>
    <n v="0"/>
    <x v="313"/>
    <n v="11"/>
    <n v="2026"/>
    <n v="27"/>
    <x v="69"/>
    <n v="10"/>
    <n v="60"/>
    <s v="approved"/>
    <s v="No"/>
    <m/>
    <m/>
    <s v=""/>
    <s v=""/>
    <m/>
    <n v="0"/>
    <m/>
    <x v="1"/>
    <x v="3"/>
    <x v="822"/>
    <m/>
    <m/>
    <m/>
    <n v="0"/>
    <m/>
    <m/>
    <m/>
    <x v="3"/>
    <x v="5"/>
    <x v="3"/>
    <m/>
  </r>
  <r>
    <x v="12"/>
    <x v="0"/>
    <x v="271"/>
    <x v="106"/>
    <x v="182"/>
    <s v="HOUSING            DBD.8G13/"/>
    <s v="h"/>
    <n v="0"/>
    <n v="22"/>
    <n v="0"/>
    <x v="314"/>
    <n v="18"/>
    <n v="2026"/>
    <n v="27"/>
    <x v="69"/>
    <n v="10"/>
    <n v="60"/>
    <s v="approved"/>
    <n v="56"/>
    <s v="yes"/>
    <m/>
    <m/>
    <m/>
    <m/>
    <m/>
    <m/>
    <x v="1"/>
    <x v="3"/>
    <x v="4"/>
    <s v=""/>
    <s v=""/>
    <m/>
    <n v="0"/>
    <m/>
    <m/>
    <m/>
    <x v="2"/>
    <x v="1"/>
    <x v="3"/>
    <m/>
  </r>
  <r>
    <x v="12"/>
    <x v="0"/>
    <x v="272"/>
    <x v="106"/>
    <x v="183"/>
    <s v="HOUSING            DBD.10G1X/"/>
    <s v="H"/>
    <n v="23.5"/>
    <n v="598"/>
    <n v="14053"/>
    <x v="315"/>
    <n v="5"/>
    <n v="2024"/>
    <n v="18"/>
    <x v="70"/>
    <n v="162"/>
    <n v="60"/>
    <s v="approved"/>
    <n v="56"/>
    <s v="yes"/>
    <m/>
    <m/>
    <m/>
    <m/>
    <m/>
    <s v="240816/241405/242801"/>
    <x v="0"/>
    <x v="247"/>
    <x v="945"/>
    <n v="5500492363"/>
    <s v="R900305228"/>
    <n v="77"/>
    <n v="1809.5"/>
    <m/>
    <s v="inlocuire reclamatie / STORNARE+REFCATURARE"/>
    <s v="20240856/20240857/20240858"/>
    <x v="1"/>
    <x v="7"/>
    <x v="1"/>
    <m/>
  </r>
  <r>
    <x v="12"/>
    <x v="0"/>
    <x v="272"/>
    <x v="106"/>
    <x v="183"/>
    <s v="HOUSING            DBD.10G1X/"/>
    <s v="H"/>
    <n v="23.5"/>
    <n v="0"/>
    <n v="0"/>
    <x v="315"/>
    <n v="5"/>
    <n v="2024"/>
    <n v="18"/>
    <x v="70"/>
    <n v="162"/>
    <n v="60"/>
    <s v="approved"/>
    <n v="0"/>
    <s v="yes"/>
    <m/>
    <m/>
    <m/>
    <m/>
    <m/>
    <m/>
    <x v="0"/>
    <x v="231"/>
    <x v="946"/>
    <n v="5500492363"/>
    <s v="R900305228"/>
    <n v="21"/>
    <n v="493.5"/>
    <m/>
    <s v="inlocuire reclamatie / STORNARE+REFCATURARE"/>
    <s v="20240884/20240885-12.07.2024"/>
    <x v="1"/>
    <x v="7"/>
    <x v="1"/>
    <m/>
  </r>
  <r>
    <x v="12"/>
    <x v="0"/>
    <x v="272"/>
    <x v="106"/>
    <x v="183"/>
    <s v="HOUSING            DBD.10G1X/"/>
    <s v="H"/>
    <n v="23.5"/>
    <n v="0"/>
    <n v="0"/>
    <x v="315"/>
    <n v="5"/>
    <n v="2024"/>
    <n v="18"/>
    <x v="70"/>
    <n v="162"/>
    <n v="60"/>
    <s v="approved"/>
    <n v="0"/>
    <s v="yes"/>
    <m/>
    <m/>
    <m/>
    <m/>
    <m/>
    <m/>
    <x v="0"/>
    <x v="10"/>
    <x v="947"/>
    <n v="5500492363"/>
    <s v="R900305228"/>
    <n v="23"/>
    <n v="540.5"/>
    <m/>
    <s v="inlocuire reclamatie / STORNARE+REFCATURARE"/>
    <s v="20241055-14.08.2024/20241054-14.08.2024"/>
    <x v="1"/>
    <x v="7"/>
    <x v="1"/>
    <m/>
  </r>
  <r>
    <x v="12"/>
    <x v="0"/>
    <x v="272"/>
    <x v="106"/>
    <x v="183"/>
    <s v="HOUSING            DBD.10G1X/"/>
    <s v="H"/>
    <n v="23.5"/>
    <n v="0"/>
    <n v="0"/>
    <x v="315"/>
    <n v="5"/>
    <n v="2024"/>
    <n v="18"/>
    <x v="70"/>
    <n v="162"/>
    <n v="60"/>
    <s v="approved"/>
    <n v="0"/>
    <s v="yes"/>
    <m/>
    <m/>
    <m/>
    <m/>
    <m/>
    <m/>
    <x v="0"/>
    <x v="126"/>
    <x v="948"/>
    <n v="5500492363"/>
    <s v="R900305228"/>
    <n v="95"/>
    <n v="2232.5"/>
    <m/>
    <s v="inlocuire reclamatie / STORNARE+REFCATURARE"/>
    <s v="20241057-14.08.2024/20241056-14.08.2024"/>
    <x v="1"/>
    <x v="7"/>
    <x v="1"/>
    <m/>
  </r>
  <r>
    <x v="12"/>
    <x v="0"/>
    <x v="272"/>
    <x v="106"/>
    <x v="183"/>
    <s v="HOUSING            DBD.10G1X/"/>
    <s v="H"/>
    <n v="23.5"/>
    <n v="0"/>
    <n v="0"/>
    <x v="315"/>
    <n v="5"/>
    <n v="2024"/>
    <n v="18"/>
    <x v="70"/>
    <n v="162"/>
    <n v="60"/>
    <s v="approved"/>
    <n v="0"/>
    <s v="yes"/>
    <m/>
    <m/>
    <m/>
    <m/>
    <m/>
    <m/>
    <x v="0"/>
    <x v="86"/>
    <x v="949"/>
    <n v="5500492363"/>
    <s v="R900305228"/>
    <n v="148"/>
    <n v="3478"/>
    <m/>
    <s v="inlocuire reclamatie / STORNARE+REFCATURARE"/>
    <s v="20241060-14.08.2024/20241059-14.08.2024"/>
    <x v="1"/>
    <x v="7"/>
    <x v="1"/>
    <m/>
  </r>
  <r>
    <x v="12"/>
    <x v="0"/>
    <x v="272"/>
    <x v="106"/>
    <x v="183"/>
    <s v="HOUSING            DBD.10G1X/"/>
    <s v="H"/>
    <n v="23.5"/>
    <n v="0"/>
    <n v="0"/>
    <x v="315"/>
    <n v="5"/>
    <n v="2024"/>
    <n v="18"/>
    <x v="70"/>
    <n v="162"/>
    <n v="60"/>
    <s v="approved"/>
    <n v="0"/>
    <s v="yes"/>
    <m/>
    <m/>
    <m/>
    <m/>
    <m/>
    <m/>
    <x v="0"/>
    <x v="331"/>
    <x v="950"/>
    <n v="5500492363"/>
    <s v="R900305228"/>
    <n v="27"/>
    <n v="634.5"/>
    <m/>
    <s v="inlocuire reclamatie / STORNARE+REFCATURARE"/>
    <s v="20241090-21.08.2024/20241091-21.08.2024"/>
    <x v="1"/>
    <x v="7"/>
    <x v="1"/>
    <m/>
  </r>
  <r>
    <x v="12"/>
    <x v="0"/>
    <x v="272"/>
    <x v="106"/>
    <x v="183"/>
    <s v="HOUSING            DBD.10G1X/"/>
    <s v="H"/>
    <n v="23.5"/>
    <n v="0"/>
    <n v="0"/>
    <x v="315"/>
    <n v="5"/>
    <n v="2024"/>
    <n v="18"/>
    <x v="70"/>
    <n v="162"/>
    <n v="60"/>
    <s v="approved"/>
    <n v="0"/>
    <s v="yes"/>
    <m/>
    <m/>
    <m/>
    <m/>
    <m/>
    <m/>
    <x v="0"/>
    <x v="332"/>
    <x v="951"/>
    <n v="5500492363"/>
    <s v="R900305228"/>
    <n v="185"/>
    <n v="4347.5"/>
    <m/>
    <s v="inlocuire reclamatie / STORNARE+REFCATURARE"/>
    <s v="20241112/20241113/20241115/20241116-29.08.2024"/>
    <x v="1"/>
    <x v="7"/>
    <x v="1"/>
    <m/>
  </r>
  <r>
    <x v="12"/>
    <x v="0"/>
    <x v="272"/>
    <x v="106"/>
    <x v="183"/>
    <s v="HOUSING            DBD.10G1X/"/>
    <s v="H"/>
    <n v="23.5"/>
    <n v="0"/>
    <n v="0"/>
    <x v="315"/>
    <n v="5"/>
    <n v="2024"/>
    <n v="18"/>
    <x v="70"/>
    <n v="162"/>
    <n v="60"/>
    <s v="approved"/>
    <n v="0"/>
    <s v="yes"/>
    <m/>
    <m/>
    <m/>
    <m/>
    <m/>
    <m/>
    <x v="0"/>
    <x v="21"/>
    <x v="952"/>
    <n v="5500492363"/>
    <s v="R900305228"/>
    <n v="13"/>
    <n v="305.5"/>
    <m/>
    <s v="inlocuire reclamatie / STORNARE+REFCATURARE"/>
    <s v="20231145-06.10.2023/20241156-06.09.2024/20241157-06.09.2024"/>
    <x v="1"/>
    <x v="7"/>
    <x v="1"/>
    <m/>
  </r>
  <r>
    <x v="12"/>
    <x v="0"/>
    <x v="272"/>
    <x v="106"/>
    <x v="183"/>
    <s v="HOUSING            DBD.10G1X/"/>
    <s v="H"/>
    <n v="23.5"/>
    <n v="0"/>
    <n v="0"/>
    <x v="315"/>
    <n v="5"/>
    <n v="2024"/>
    <n v="18"/>
    <x v="70"/>
    <n v="162"/>
    <n v="60"/>
    <s v="approved"/>
    <n v="0"/>
    <s v="yes"/>
    <m/>
    <m/>
    <m/>
    <m/>
    <m/>
    <m/>
    <x v="0"/>
    <x v="214"/>
    <x v="953"/>
    <n v="5500492363"/>
    <s v="R900305228"/>
    <n v="9"/>
    <n v="211.5"/>
    <m/>
    <s v="inlocuire reclamatie / STORNARE+REFCATURARE"/>
    <s v="20241174/20241175-13.09.2024"/>
    <x v="1"/>
    <x v="7"/>
    <x v="1"/>
    <m/>
  </r>
  <r>
    <x v="12"/>
    <x v="0"/>
    <x v="273"/>
    <x v="106"/>
    <x v="183"/>
    <s v="HOUSING            DBD.10G1X/"/>
    <s v="H"/>
    <n v="23.5"/>
    <n v="67"/>
    <n v="1574.5"/>
    <x v="185"/>
    <n v="33"/>
    <n v="2024"/>
    <n v="18"/>
    <x v="70"/>
    <n v="162"/>
    <n v="60"/>
    <s v="approved"/>
    <n v="56"/>
    <s v="yes"/>
    <m/>
    <m/>
    <m/>
    <m/>
    <m/>
    <m/>
    <x v="0"/>
    <x v="126"/>
    <x v="954"/>
    <n v="5500511015"/>
    <s v="R900305228"/>
    <n v="67"/>
    <n v="1574.5"/>
    <m/>
    <m/>
    <s v="20241089-21.08.2024"/>
    <x v="0"/>
    <x v="9"/>
    <x v="1"/>
    <m/>
  </r>
  <r>
    <x v="12"/>
    <x v="0"/>
    <x v="273"/>
    <x v="169"/>
    <x v="183"/>
    <s v="HOUSING            DBD.10G1X/"/>
    <s v="H"/>
    <n v="23.5"/>
    <n v="6"/>
    <n v="141"/>
    <x v="218"/>
    <n v="38"/>
    <n v="2024"/>
    <n v="18"/>
    <x v="70"/>
    <n v="162"/>
    <n v="60"/>
    <s v="approved"/>
    <n v="56"/>
    <s v="yes"/>
    <m/>
    <m/>
    <m/>
    <m/>
    <m/>
    <m/>
    <x v="0"/>
    <x v="35"/>
    <x v="955"/>
    <n v="5500511015"/>
    <s v="R900305228"/>
    <n v="6"/>
    <n v="141"/>
    <m/>
    <m/>
    <s v="20241379-04.11.2024"/>
    <x v="1"/>
    <x v="10"/>
    <x v="1"/>
    <m/>
  </r>
  <r>
    <x v="12"/>
    <x v="0"/>
    <x v="273"/>
    <x v="106"/>
    <x v="183"/>
    <s v="HOUSING            DBD.10G1X/"/>
    <s v="H"/>
    <n v="23.5"/>
    <n v="43"/>
    <n v="1010.5"/>
    <x v="316"/>
    <n v="38"/>
    <n v="2024"/>
    <n v="18"/>
    <x v="70"/>
    <n v="162"/>
    <n v="60"/>
    <s v="approved"/>
    <n v="56"/>
    <s v="yes"/>
    <m/>
    <m/>
    <m/>
    <m/>
    <m/>
    <m/>
    <x v="0"/>
    <x v="214"/>
    <x v="956"/>
    <n v="5500511015"/>
    <s v="R900305228"/>
    <n v="43"/>
    <n v="1010.5"/>
    <m/>
    <m/>
    <s v="20241176-13.09.2024"/>
    <x v="0"/>
    <x v="10"/>
    <x v="1"/>
    <m/>
  </r>
  <r>
    <x v="12"/>
    <x v="0"/>
    <x v="273"/>
    <x v="169"/>
    <x v="183"/>
    <s v="HOUSING            DBD.10G1X/"/>
    <s v="H"/>
    <n v="23.5"/>
    <n v="19"/>
    <n v="446.5"/>
    <x v="214"/>
    <n v="42"/>
    <n v="2024"/>
    <n v="18"/>
    <x v="70"/>
    <n v="162"/>
    <n v="60"/>
    <s v="approved"/>
    <n v="56"/>
    <s v="yes"/>
    <m/>
    <m/>
    <m/>
    <m/>
    <m/>
    <m/>
    <x v="0"/>
    <x v="35"/>
    <x v="955"/>
    <n v="5500511015"/>
    <s v="R900305228"/>
    <n v="19"/>
    <n v="446.5"/>
    <m/>
    <m/>
    <s v="20241379-04.11.2024"/>
    <x v="1"/>
    <x v="11"/>
    <x v="1"/>
    <m/>
  </r>
  <r>
    <x v="12"/>
    <x v="0"/>
    <x v="273"/>
    <x v="169"/>
    <x v="183"/>
    <s v="HOUSING            DBD.10G1X/"/>
    <s v="H"/>
    <n v="23.5"/>
    <n v="47"/>
    <n v="1104.5"/>
    <x v="317"/>
    <n v="44"/>
    <n v="2024"/>
    <n v="18"/>
    <x v="70"/>
    <n v="162"/>
    <n v="60"/>
    <s v="approved"/>
    <n v="56"/>
    <s v="yes"/>
    <m/>
    <m/>
    <m/>
    <m/>
    <m/>
    <m/>
    <x v="0"/>
    <x v="35"/>
    <x v="955"/>
    <n v="5500511015"/>
    <s v="R900305228"/>
    <n v="47"/>
    <n v="1104.5"/>
    <m/>
    <m/>
    <s v="20241379-04.11.2024"/>
    <x v="1"/>
    <x v="11"/>
    <x v="1"/>
    <m/>
  </r>
  <r>
    <x v="12"/>
    <x v="0"/>
    <x v="273"/>
    <x v="169"/>
    <x v="183"/>
    <s v="HOUSING            DBD.10G1X/"/>
    <s v="H"/>
    <n v="23.5"/>
    <n v="78"/>
    <n v="1833"/>
    <x v="317"/>
    <n v="44"/>
    <n v="2024"/>
    <n v="18"/>
    <x v="70"/>
    <n v="162"/>
    <n v="60"/>
    <s v="approved"/>
    <n v="56"/>
    <s v="yes"/>
    <m/>
    <m/>
    <m/>
    <m/>
    <m/>
    <m/>
    <x v="0"/>
    <x v="283"/>
    <x v="957"/>
    <n v="5500511015"/>
    <s v="R900305228"/>
    <n v="78"/>
    <n v="1833"/>
    <m/>
    <m/>
    <s v="20241408-08.11.2024"/>
    <x v="1"/>
    <x v="11"/>
    <x v="1"/>
    <m/>
  </r>
  <r>
    <x v="12"/>
    <x v="0"/>
    <x v="273"/>
    <x v="169"/>
    <x v="183"/>
    <s v="HOUSING            DBD.10G1X/"/>
    <s v="H"/>
    <n v="23.5"/>
    <n v="162"/>
    <n v="3807"/>
    <x v="318"/>
    <n v="45"/>
    <n v="2024"/>
    <n v="18"/>
    <x v="70"/>
    <n v="162"/>
    <n v="60"/>
    <s v="approved"/>
    <n v="56"/>
    <s v="yes"/>
    <m/>
    <m/>
    <m/>
    <m/>
    <m/>
    <m/>
    <x v="0"/>
    <x v="333"/>
    <x v="958"/>
    <n v="5500511015"/>
    <s v="R900305228"/>
    <n v="162"/>
    <n v="3807"/>
    <m/>
    <m/>
    <s v="20241471-27.11.2024"/>
    <x v="1"/>
    <x v="4"/>
    <x v="1"/>
    <m/>
  </r>
  <r>
    <x v="12"/>
    <x v="0"/>
    <x v="273"/>
    <x v="169"/>
    <x v="183"/>
    <s v="HOUSING            DBD.10G1X/"/>
    <s v="H"/>
    <n v="23.5"/>
    <n v="168"/>
    <n v="3948"/>
    <x v="319"/>
    <n v="46"/>
    <n v="2024"/>
    <n v="18"/>
    <x v="70"/>
    <n v="162"/>
    <n v="60"/>
    <s v="approved"/>
    <n v="56"/>
    <s v="yes"/>
    <m/>
    <m/>
    <m/>
    <m/>
    <m/>
    <m/>
    <x v="0"/>
    <x v="291"/>
    <x v="959"/>
    <n v="5500511015"/>
    <s v="R900305228"/>
    <n v="168"/>
    <n v="3948"/>
    <m/>
    <m/>
    <s v="20241569-14.12.2024"/>
    <x v="1"/>
    <x v="4"/>
    <x v="1"/>
    <m/>
  </r>
  <r>
    <x v="12"/>
    <x v="0"/>
    <x v="273"/>
    <x v="169"/>
    <x v="183"/>
    <s v="HOUSING            DBD.10G1X/"/>
    <s v="H"/>
    <n v="23.5"/>
    <n v="208"/>
    <n v="4888"/>
    <x v="319"/>
    <n v="46"/>
    <n v="2024"/>
    <n v="18"/>
    <x v="70"/>
    <n v="162"/>
    <n v="60"/>
    <s v="approved"/>
    <n v="56"/>
    <s v="yes"/>
    <m/>
    <m/>
    <m/>
    <m/>
    <m/>
    <m/>
    <x v="0"/>
    <x v="53"/>
    <x v="960"/>
    <n v="5500511015"/>
    <s v="R900305228"/>
    <n v="208"/>
    <n v="4888"/>
    <m/>
    <m/>
    <s v="20241602-20.12.2024"/>
    <x v="1"/>
    <x v="4"/>
    <x v="1"/>
    <m/>
  </r>
  <r>
    <x v="12"/>
    <x v="0"/>
    <x v="273"/>
    <x v="169"/>
    <x v="183"/>
    <s v="HOUSING            DBD.10G1X/"/>
    <s v="H"/>
    <n v="23.5"/>
    <n v="109"/>
    <n v="2561.5"/>
    <x v="272"/>
    <n v="47"/>
    <n v="2024"/>
    <n v="18"/>
    <x v="70"/>
    <n v="162"/>
    <n v="60"/>
    <s v="approved"/>
    <n v="56"/>
    <s v="yes"/>
    <m/>
    <m/>
    <m/>
    <m/>
    <m/>
    <m/>
    <x v="0"/>
    <x v="290"/>
    <x v="961"/>
    <n v="5500511015"/>
    <s v="R900305228"/>
    <n v="109"/>
    <n v="2561.5"/>
    <m/>
    <m/>
    <s v="20241528-06.12.2024"/>
    <x v="1"/>
    <x v="4"/>
    <x v="1"/>
    <m/>
  </r>
  <r>
    <x v="12"/>
    <x v="0"/>
    <x v="273"/>
    <x v="169"/>
    <x v="183"/>
    <s v="HOUSING            DBD.10G1X/"/>
    <s v="H"/>
    <n v="22.38"/>
    <n v="19"/>
    <n v="425.21999999999997"/>
    <x v="251"/>
    <n v="2"/>
    <n v="2025"/>
    <n v="18"/>
    <x v="70"/>
    <n v="162"/>
    <n v="60"/>
    <s v="approved"/>
    <n v="56"/>
    <s v="yes"/>
    <m/>
    <m/>
    <m/>
    <m/>
    <m/>
    <m/>
    <x v="0"/>
    <x v="53"/>
    <x v="960"/>
    <n v="5500511015"/>
    <s v="R900305228"/>
    <n v="19"/>
    <n v="425.21999999999997"/>
    <m/>
    <m/>
    <s v="20241602-20.12.2024"/>
    <x v="0"/>
    <x v="6"/>
    <x v="0"/>
    <m/>
  </r>
  <r>
    <x v="12"/>
    <x v="0"/>
    <x v="273"/>
    <x v="169"/>
    <x v="183"/>
    <s v="HOUSING            DBD.10G1X/"/>
    <s v="H"/>
    <n v="22.38"/>
    <n v="72"/>
    <n v="1611.36"/>
    <x v="320"/>
    <n v="3"/>
    <n v="2025"/>
    <n v="18"/>
    <x v="70"/>
    <n v="162"/>
    <n v="60"/>
    <s v="approved"/>
    <n v="56"/>
    <s v="yes"/>
    <m/>
    <m/>
    <m/>
    <m/>
    <m/>
    <m/>
    <x v="0"/>
    <x v="225"/>
    <x v="962"/>
    <n v="5500511015"/>
    <s v="R900305228"/>
    <n v="72"/>
    <n v="1611.36"/>
    <m/>
    <m/>
    <s v="20250093-29.01.2025"/>
    <x v="1"/>
    <x v="6"/>
    <x v="0"/>
    <m/>
  </r>
  <r>
    <x v="12"/>
    <x v="0"/>
    <x v="273"/>
    <x v="169"/>
    <x v="183"/>
    <s v="HOUSING            DBD.10G1X/"/>
    <s v="H"/>
    <n v="22.38"/>
    <n v="233"/>
    <n v="5214.54"/>
    <x v="320"/>
    <n v="3"/>
    <n v="2025"/>
    <n v="18"/>
    <x v="70"/>
    <n v="162"/>
    <n v="60"/>
    <s v="approved"/>
    <n v="56"/>
    <s v="yes"/>
    <m/>
    <m/>
    <m/>
    <m/>
    <s v="yes- la vopsit"/>
    <m/>
    <x v="0"/>
    <x v="334"/>
    <x v="963"/>
    <n v="5500511015"/>
    <s v="R900305228"/>
    <n v="233"/>
    <n v="5214.54"/>
    <m/>
    <m/>
    <s v="20250138-10.02.2025"/>
    <x v="1"/>
    <x v="6"/>
    <x v="0"/>
    <m/>
  </r>
  <r>
    <x v="12"/>
    <x v="0"/>
    <x v="273"/>
    <x v="169"/>
    <x v="183"/>
    <s v="HOUSING            DBD.10G1X/"/>
    <s v="H"/>
    <n v="22.38"/>
    <n v="48"/>
    <n v="1074.24"/>
    <x v="321"/>
    <n v="5"/>
    <n v="2025"/>
    <n v="18"/>
    <x v="70"/>
    <n v="162"/>
    <n v="60"/>
    <s v="approved"/>
    <n v="56"/>
    <s v="yes"/>
    <m/>
    <m/>
    <m/>
    <m/>
    <s v="yes- la vopsit"/>
    <m/>
    <x v="0"/>
    <x v="334"/>
    <x v="963"/>
    <n v="5500511015"/>
    <s v="R900305228"/>
    <n v="48"/>
    <n v="1074.24"/>
    <m/>
    <m/>
    <s v="20250138-10.02.2025"/>
    <x v="1"/>
    <x v="6"/>
    <x v="0"/>
    <m/>
  </r>
  <r>
    <x v="12"/>
    <x v="0"/>
    <x v="273"/>
    <x v="169"/>
    <x v="183"/>
    <s v="HOUSING            DBD.10G1X/"/>
    <s v="H"/>
    <n v="22.38"/>
    <n v="153"/>
    <n v="3424.14"/>
    <x v="322"/>
    <n v="8"/>
    <n v="2025"/>
    <n v="18"/>
    <x v="70"/>
    <n v="162"/>
    <n v="60"/>
    <s v="approved"/>
    <n v="56"/>
    <s v="yes"/>
    <m/>
    <m/>
    <m/>
    <m/>
    <s v="yes- la vopsit"/>
    <m/>
    <x v="0"/>
    <x v="36"/>
    <x v="964"/>
    <n v="5500511015"/>
    <s v="R900305228"/>
    <n v="153"/>
    <n v="3424.14"/>
    <m/>
    <m/>
    <s v="20250171-15.02.2025"/>
    <x v="0"/>
    <x v="7"/>
    <x v="0"/>
    <m/>
  </r>
  <r>
    <x v="12"/>
    <x v="0"/>
    <x v="273"/>
    <x v="169"/>
    <x v="183"/>
    <s v="HOUSING            DBD.10G1X/"/>
    <s v="H"/>
    <n v="22.38"/>
    <n v="7"/>
    <n v="156.66"/>
    <x v="323"/>
    <n v="9"/>
    <n v="2025"/>
    <n v="18"/>
    <x v="70"/>
    <n v="162"/>
    <n v="60"/>
    <s v="approved"/>
    <n v="56"/>
    <s v="yes"/>
    <m/>
    <m/>
    <m/>
    <m/>
    <s v="yes "/>
    <m/>
    <x v="0"/>
    <x v="36"/>
    <x v="964"/>
    <n v="5500511015"/>
    <s v="R900305228"/>
    <n v="7"/>
    <n v="156.66"/>
    <m/>
    <m/>
    <s v="20250171-15.02.2025"/>
    <x v="0"/>
    <x v="7"/>
    <x v="0"/>
    <m/>
  </r>
  <r>
    <x v="12"/>
    <x v="0"/>
    <x v="273"/>
    <x v="169"/>
    <x v="183"/>
    <s v="HOUSING            DBD.10G1X/"/>
    <s v="H"/>
    <n v="22.38"/>
    <n v="10"/>
    <n v="223.79999999999998"/>
    <x v="323"/>
    <n v="9"/>
    <n v="2025"/>
    <n v="18"/>
    <x v="70"/>
    <n v="162"/>
    <n v="60"/>
    <s v="approved"/>
    <n v="56"/>
    <s v="yes"/>
    <m/>
    <m/>
    <m/>
    <m/>
    <m/>
    <m/>
    <x v="0"/>
    <x v="274"/>
    <x v="965"/>
    <n v="5500511015"/>
    <s v="R900305228"/>
    <n v="10"/>
    <n v="223.79999999999998"/>
    <m/>
    <m/>
    <s v="20250238-27.02.2025"/>
    <x v="0"/>
    <x v="7"/>
    <x v="0"/>
    <m/>
  </r>
  <r>
    <x v="12"/>
    <x v="0"/>
    <x v="273"/>
    <x v="169"/>
    <x v="183"/>
    <s v="HOUSING            DBD.10G1X/"/>
    <s v="H"/>
    <n v="22.38"/>
    <n v="54"/>
    <n v="1208.52"/>
    <x v="90"/>
    <n v="12"/>
    <n v="2025"/>
    <n v="18"/>
    <x v="70"/>
    <n v="162"/>
    <n v="60"/>
    <s v="approved"/>
    <n v="56"/>
    <s v="yes"/>
    <m/>
    <m/>
    <m/>
    <m/>
    <s v="yes "/>
    <m/>
    <x v="0"/>
    <x v="168"/>
    <x v="966"/>
    <n v="5500511015"/>
    <s v="R900305228"/>
    <n v="54"/>
    <n v="1208.52"/>
    <m/>
    <m/>
    <s v="20250348-19.03.2025"/>
    <x v="0"/>
    <x v="5"/>
    <x v="0"/>
    <m/>
  </r>
  <r>
    <x v="12"/>
    <x v="0"/>
    <x v="273"/>
    <x v="169"/>
    <x v="183"/>
    <s v="HOUSING            DBD.10G1X/"/>
    <s v="H"/>
    <n v="22.38"/>
    <n v="9"/>
    <n v="201.42"/>
    <x v="90"/>
    <n v="12"/>
    <n v="2025"/>
    <n v="18"/>
    <x v="70"/>
    <n v="162"/>
    <n v="60"/>
    <s v="approved"/>
    <n v="56"/>
    <s v="yes"/>
    <m/>
    <m/>
    <m/>
    <m/>
    <s v="yes "/>
    <m/>
    <x v="0"/>
    <x v="169"/>
    <x v="967"/>
    <n v="5500511015"/>
    <s v="R900305228"/>
    <n v="9"/>
    <n v="201.42"/>
    <m/>
    <m/>
    <s v="20250371-24.03.2025"/>
    <x v="0"/>
    <x v="5"/>
    <x v="0"/>
    <m/>
  </r>
  <r>
    <x v="12"/>
    <x v="0"/>
    <x v="273"/>
    <x v="169"/>
    <x v="183"/>
    <s v="HOUSING            DBD.10G1X/"/>
    <s v="H"/>
    <n v="22.38"/>
    <n v="41"/>
    <n v="917.57999999999993"/>
    <x v="90"/>
    <n v="12"/>
    <n v="2025"/>
    <n v="18"/>
    <x v="70"/>
    <n v="162"/>
    <n v="60"/>
    <s v="approved"/>
    <n v="56"/>
    <s v="yes"/>
    <m/>
    <m/>
    <m/>
    <m/>
    <s v="yes "/>
    <m/>
    <x v="0"/>
    <x v="171"/>
    <x v="968"/>
    <n v="5500511015"/>
    <s v="R900305228"/>
    <n v="41"/>
    <n v="917.57999999999993"/>
    <m/>
    <m/>
    <s v="20250392-25.03.2025"/>
    <x v="1"/>
    <x v="5"/>
    <x v="0"/>
    <m/>
  </r>
  <r>
    <x v="12"/>
    <x v="0"/>
    <x v="273"/>
    <x v="169"/>
    <x v="183"/>
    <s v="HOUSING            DBD.10G1X/"/>
    <s v="H"/>
    <n v="22.38"/>
    <n v="79"/>
    <n v="1768.02"/>
    <x v="284"/>
    <n v="13"/>
    <n v="2025"/>
    <n v="18"/>
    <x v="70"/>
    <n v="162"/>
    <n v="60"/>
    <s v="approved"/>
    <n v="56"/>
    <s v="yes"/>
    <m/>
    <m/>
    <m/>
    <m/>
    <s v="yes "/>
    <m/>
    <x v="0"/>
    <x v="171"/>
    <x v="968"/>
    <n v="5500511015"/>
    <s v="R900305228"/>
    <n v="79"/>
    <n v="1768.02"/>
    <m/>
    <m/>
    <s v="20250392-25.03.2025"/>
    <x v="0"/>
    <x v="5"/>
    <x v="0"/>
    <m/>
  </r>
  <r>
    <x v="12"/>
    <x v="0"/>
    <x v="273"/>
    <x v="169"/>
    <x v="183"/>
    <s v="HOUSING            DBD.10G1X/"/>
    <s v="H"/>
    <n v="22.38"/>
    <n v="31"/>
    <n v="693.78"/>
    <x v="284"/>
    <n v="13"/>
    <n v="2025"/>
    <n v="18"/>
    <x v="70"/>
    <n v="162"/>
    <n v="60"/>
    <s v="approved"/>
    <n v="56"/>
    <s v="yes"/>
    <m/>
    <m/>
    <m/>
    <m/>
    <s v="yes "/>
    <m/>
    <x v="0"/>
    <x v="172"/>
    <x v="969"/>
    <n v="5500511015"/>
    <s v="R900305228"/>
    <n v="31"/>
    <n v="693.78"/>
    <m/>
    <m/>
    <s v="20250424-28.03.2025"/>
    <x v="0"/>
    <x v="5"/>
    <x v="0"/>
    <m/>
  </r>
  <r>
    <x v="12"/>
    <x v="0"/>
    <x v="273"/>
    <x v="169"/>
    <x v="183"/>
    <s v="HOUSING            DBD.10G1X/"/>
    <s v="H"/>
    <n v="22.38"/>
    <n v="135"/>
    <n v="3021.2999999999997"/>
    <x v="284"/>
    <n v="13"/>
    <n v="2025"/>
    <n v="18"/>
    <x v="70"/>
    <n v="162"/>
    <n v="60"/>
    <s v="approved"/>
    <n v="56"/>
    <s v="yes"/>
    <m/>
    <m/>
    <m/>
    <m/>
    <m/>
    <m/>
    <x v="0"/>
    <x v="172"/>
    <x v="969"/>
    <n v="5500511015"/>
    <s v="R900305228"/>
    <n v="135"/>
    <n v="3021.2999999999997"/>
    <m/>
    <m/>
    <s v="20250424-28.03.2025"/>
    <x v="0"/>
    <x v="5"/>
    <x v="0"/>
    <m/>
  </r>
  <r>
    <x v="12"/>
    <x v="0"/>
    <x v="273"/>
    <x v="169"/>
    <x v="183"/>
    <s v="HOUSING            DBD.10G1X/"/>
    <s v="H"/>
    <n v="22.38"/>
    <n v="139"/>
    <n v="3110.8199999999997"/>
    <x v="284"/>
    <n v="13"/>
    <n v="2025"/>
    <n v="18"/>
    <x v="70"/>
    <n v="162"/>
    <n v="60"/>
    <s v="approved"/>
    <n v="56"/>
    <s v="yes"/>
    <m/>
    <m/>
    <m/>
    <m/>
    <m/>
    <m/>
    <x v="0"/>
    <x v="96"/>
    <x v="970"/>
    <n v="5500511015"/>
    <s v="R900305228"/>
    <n v="139"/>
    <n v="3110.8199999999997"/>
    <m/>
    <m/>
    <s v="20250551-24.04.2025"/>
    <x v="1"/>
    <x v="5"/>
    <x v="0"/>
    <m/>
  </r>
  <r>
    <x v="12"/>
    <x v="0"/>
    <x v="273"/>
    <x v="169"/>
    <x v="183"/>
    <s v="HOUSING            DBD.10G1X/"/>
    <s v="H"/>
    <n v="22.38"/>
    <n v="87"/>
    <n v="1947.06"/>
    <x v="324"/>
    <n v="13"/>
    <n v="2025"/>
    <n v="18"/>
    <x v="70"/>
    <n v="162"/>
    <n v="60"/>
    <s v="approved"/>
    <n v="56"/>
    <s v="yes"/>
    <m/>
    <m/>
    <m/>
    <m/>
    <m/>
    <m/>
    <x v="0"/>
    <x v="302"/>
    <x v="971"/>
    <n v="5500511015"/>
    <s v="R900305228"/>
    <n v="87"/>
    <n v="1947.06"/>
    <m/>
    <m/>
    <s v="20250575-01.05.2025"/>
    <x v="1"/>
    <x v="5"/>
    <x v="0"/>
    <m/>
  </r>
  <r>
    <x v="12"/>
    <x v="0"/>
    <x v="273"/>
    <x v="169"/>
    <x v="183"/>
    <s v="HOUSING            DBD.10G1X/"/>
    <s v="H"/>
    <n v="22.38"/>
    <n v="11"/>
    <n v="246.17999999999998"/>
    <x v="325"/>
    <n v="17"/>
    <n v="2025"/>
    <n v="18"/>
    <x v="70"/>
    <n v="162"/>
    <n v="60"/>
    <s v="approved"/>
    <n v="56"/>
    <s v="yes"/>
    <m/>
    <m/>
    <m/>
    <m/>
    <m/>
    <m/>
    <x v="0"/>
    <x v="330"/>
    <x v="972"/>
    <n v="5500511015"/>
    <s v="R900305228"/>
    <n v="11"/>
    <n v="246.17999999999998"/>
    <m/>
    <m/>
    <s v="20250655-23.05.2025"/>
    <x v="1"/>
    <x v="1"/>
    <x v="0"/>
    <m/>
  </r>
  <r>
    <x v="12"/>
    <x v="0"/>
    <x v="273"/>
    <x v="169"/>
    <x v="183"/>
    <s v="HOUSING            DBD.10G1X/"/>
    <s v="H"/>
    <n v="22.38"/>
    <n v="209"/>
    <n v="4677.42"/>
    <x v="129"/>
    <n v="19"/>
    <n v="2025"/>
    <n v="18"/>
    <x v="70"/>
    <n v="162"/>
    <n v="60"/>
    <s v="approved"/>
    <n v="56"/>
    <s v="yes"/>
    <m/>
    <m/>
    <m/>
    <m/>
    <m/>
    <m/>
    <x v="0"/>
    <x v="319"/>
    <x v="973"/>
    <n v="5500511015"/>
    <s v="R900305228"/>
    <n v="209"/>
    <n v="4677.42"/>
    <m/>
    <m/>
    <s v="20250694-30.05.2025"/>
    <x v="1"/>
    <x v="2"/>
    <x v="0"/>
    <m/>
  </r>
  <r>
    <x v="12"/>
    <x v="0"/>
    <x v="273"/>
    <x v="169"/>
    <x v="183"/>
    <s v="HOUSING            DBD.10G1X/"/>
    <s v="H"/>
    <n v="22.38"/>
    <n v="96"/>
    <n v="2148.48"/>
    <x v="326"/>
    <n v="19"/>
    <n v="2025"/>
    <n v="18"/>
    <x v="70"/>
    <n v="162"/>
    <n v="60"/>
    <s v="approved"/>
    <n v="56"/>
    <s v="yes"/>
    <m/>
    <m/>
    <m/>
    <m/>
    <m/>
    <m/>
    <x v="0"/>
    <x v="48"/>
    <x v="974"/>
    <n v="5500511015"/>
    <s v="R900305228"/>
    <n v="96"/>
    <n v="2148.48"/>
    <m/>
    <m/>
    <s v="20250745-17.06.2025"/>
    <x v="1"/>
    <x v="2"/>
    <x v="0"/>
    <m/>
  </r>
  <r>
    <x v="12"/>
    <x v="0"/>
    <x v="273"/>
    <x v="169"/>
    <x v="183"/>
    <s v="HOUSING            DBD.10G1X/"/>
    <s v="H"/>
    <n v="22.38"/>
    <n v="2"/>
    <n v="44.76"/>
    <x v="326"/>
    <n v="19"/>
    <n v="2025"/>
    <n v="18"/>
    <x v="70"/>
    <n v="162"/>
    <n v="60"/>
    <s v="approved"/>
    <n v="56"/>
    <s v="yes"/>
    <m/>
    <m/>
    <m/>
    <m/>
    <m/>
    <m/>
    <x v="0"/>
    <x v="155"/>
    <x v="975"/>
    <n v="5500511015"/>
    <s v="R900305228"/>
    <n v="3"/>
    <n v="67.14"/>
    <m/>
    <m/>
    <s v="20250834-30.06.2025"/>
    <x v="1"/>
    <x v="2"/>
    <x v="0"/>
    <m/>
  </r>
  <r>
    <x v="12"/>
    <x v="0"/>
    <x v="273"/>
    <x v="169"/>
    <x v="183"/>
    <s v="HOUSING            DBD.10G1X/"/>
    <s v="H"/>
    <n v="22.38"/>
    <n v="408"/>
    <n v="9131.0399999999991"/>
    <x v="327"/>
    <n v="22"/>
    <n v="2025"/>
    <n v="18"/>
    <x v="70"/>
    <n v="162"/>
    <n v="60"/>
    <s v="approved"/>
    <n v="56"/>
    <s v="yes"/>
    <m/>
    <m/>
    <m/>
    <m/>
    <m/>
    <m/>
    <x v="0"/>
    <x v="12"/>
    <x v="976"/>
    <n v="5500511015"/>
    <s v="R900305228"/>
    <n v="408"/>
    <n v="9131.0399999999991"/>
    <m/>
    <m/>
    <s v="20250812-30.06.202storno/20251231-26.09.2025"/>
    <x v="1"/>
    <x v="2"/>
    <x v="0"/>
    <m/>
  </r>
  <r>
    <x v="12"/>
    <x v="0"/>
    <x v="273"/>
    <x v="169"/>
    <x v="183"/>
    <s v="HOUSING            DBD.10G1X/"/>
    <s v="H"/>
    <n v="22.38"/>
    <n v="59"/>
    <n v="1320.4199999999998"/>
    <x v="327"/>
    <n v="22"/>
    <n v="2025"/>
    <n v="18"/>
    <x v="70"/>
    <n v="162"/>
    <n v="60"/>
    <s v="approved"/>
    <n v="56"/>
    <s v="yes"/>
    <m/>
    <m/>
    <m/>
    <m/>
    <m/>
    <m/>
    <x v="0"/>
    <x v="196"/>
    <x v="977"/>
    <n v="5500511015"/>
    <s v="R900305228"/>
    <n v="59"/>
    <n v="1320.4199999999998"/>
    <m/>
    <m/>
    <s v="20250880-09.07.2025"/>
    <x v="1"/>
    <x v="2"/>
    <x v="0"/>
    <m/>
  </r>
  <r>
    <x v="12"/>
    <x v="0"/>
    <x v="273"/>
    <x v="169"/>
    <x v="183"/>
    <s v="HOUSING            DBD.10G1X/"/>
    <s v="H"/>
    <n v="22.38"/>
    <n v="128"/>
    <n v="2864.64"/>
    <x v="327"/>
    <n v="22"/>
    <n v="2025"/>
    <n v="18"/>
    <x v="70"/>
    <n v="162"/>
    <n v="60"/>
    <s v="approved"/>
    <n v="56"/>
    <s v="yes"/>
    <m/>
    <m/>
    <m/>
    <m/>
    <m/>
    <m/>
    <x v="0"/>
    <x v="281"/>
    <x v="978"/>
    <n v="5500511015"/>
    <s v="R900305228"/>
    <n v="128"/>
    <n v="2864.64"/>
    <m/>
    <m/>
    <s v="20250906-14.07.2025"/>
    <x v="1"/>
    <x v="2"/>
    <x v="0"/>
    <m/>
  </r>
  <r>
    <x v="12"/>
    <x v="0"/>
    <x v="273"/>
    <x v="169"/>
    <x v="183"/>
    <s v="HOUSING            DBD.10G1X/"/>
    <s v="H"/>
    <n v="22.38"/>
    <n v="1"/>
    <n v="22.38"/>
    <x v="327"/>
    <n v="22"/>
    <n v="2025"/>
    <n v="18"/>
    <x v="70"/>
    <n v="162"/>
    <n v="60"/>
    <s v="approved"/>
    <n v="56"/>
    <s v="yes"/>
    <m/>
    <m/>
    <m/>
    <m/>
    <m/>
    <m/>
    <x v="0"/>
    <x v="7"/>
    <x v="979"/>
    <n v="5500511015"/>
    <s v="R900305228"/>
    <n v="1"/>
    <n v="22.38"/>
    <m/>
    <m/>
    <s v="20250956-24.07.2025"/>
    <x v="1"/>
    <x v="2"/>
    <x v="0"/>
    <m/>
  </r>
  <r>
    <x v="12"/>
    <x v="0"/>
    <x v="273"/>
    <x v="169"/>
    <x v="183"/>
    <s v="HOUSING            DBD.10G1X/"/>
    <s v="H"/>
    <n v="22.38"/>
    <n v="19"/>
    <n v="425.21999999999997"/>
    <x v="146"/>
    <n v="25"/>
    <n v="2025"/>
    <n v="18"/>
    <x v="70"/>
    <n v="162"/>
    <n v="60"/>
    <s v="approved"/>
    <n v="56"/>
    <s v="yes"/>
    <m/>
    <m/>
    <m/>
    <m/>
    <m/>
    <m/>
    <x v="0"/>
    <x v="44"/>
    <x v="980"/>
    <n v="5500511015"/>
    <s v="R900305228"/>
    <n v="19"/>
    <n v="425.21999999999997"/>
    <m/>
    <m/>
    <s v="20251115-26.08.2025"/>
    <x v="1"/>
    <x v="0"/>
    <x v="0"/>
    <m/>
  </r>
  <r>
    <x v="12"/>
    <x v="0"/>
    <x v="273"/>
    <x v="169"/>
    <x v="183"/>
    <s v="HOUSING            DBD.10G1X/"/>
    <s v="H"/>
    <n v="22.38"/>
    <n v="157"/>
    <n v="3513.66"/>
    <x v="0"/>
    <n v="27"/>
    <n v="2025"/>
    <n v="18"/>
    <x v="70"/>
    <n v="162"/>
    <n v="60"/>
    <s v="approved"/>
    <n v="56"/>
    <s v="yes"/>
    <m/>
    <m/>
    <m/>
    <m/>
    <m/>
    <m/>
    <x v="0"/>
    <x v="44"/>
    <x v="980"/>
    <n v="5500511015"/>
    <s v="R900305228"/>
    <n v="157"/>
    <n v="3513.66"/>
    <m/>
    <m/>
    <s v="20251115-26.08.2025"/>
    <x v="1"/>
    <x v="0"/>
    <x v="0"/>
    <m/>
  </r>
  <r>
    <x v="12"/>
    <x v="0"/>
    <x v="273"/>
    <x v="169"/>
    <x v="183"/>
    <s v="HOUSING            DBD.10G1X/"/>
    <s v="H"/>
    <n v="22.38"/>
    <n v="186"/>
    <n v="4162.6799999999994"/>
    <x v="0"/>
    <n v="27"/>
    <n v="2025"/>
    <n v="18"/>
    <x v="70"/>
    <n v="162"/>
    <n v="60"/>
    <s v="approved"/>
    <n v="56"/>
    <s v="yes"/>
    <m/>
    <m/>
    <m/>
    <m/>
    <m/>
    <m/>
    <x v="0"/>
    <x v="54"/>
    <x v="981"/>
    <n v="5500511015"/>
    <s v="R900305228"/>
    <n v="186"/>
    <n v="4162.6799999999994"/>
    <m/>
    <m/>
    <s v="20251185-11.09.205"/>
    <x v="1"/>
    <x v="0"/>
    <x v="0"/>
    <m/>
  </r>
  <r>
    <x v="12"/>
    <x v="0"/>
    <x v="273"/>
    <x v="169"/>
    <x v="183"/>
    <s v="HOUSING            DBD.10G1X/"/>
    <s v="H"/>
    <n v="22.38"/>
    <n v="150"/>
    <n v="3357"/>
    <x v="89"/>
    <n v="38"/>
    <n v="2025"/>
    <n v="18"/>
    <x v="70"/>
    <n v="162"/>
    <n v="61"/>
    <s v="approved"/>
    <n v="56"/>
    <s v="yes"/>
    <m/>
    <m/>
    <m/>
    <m/>
    <m/>
    <m/>
    <x v="0"/>
    <x v="335"/>
    <x v="982"/>
    <n v="5500511015"/>
    <s v="R900305228"/>
    <n v="150"/>
    <n v="3357"/>
    <m/>
    <m/>
    <s v="20251299-08.10.2025"/>
    <x v="1"/>
    <x v="10"/>
    <x v="0"/>
    <m/>
  </r>
  <r>
    <x v="12"/>
    <x v="0"/>
    <x v="273"/>
    <x v="169"/>
    <x v="183"/>
    <s v="HOUSING            DBD.10G1X/"/>
    <s v="H"/>
    <n v="22.38"/>
    <n v="150"/>
    <n v="3357"/>
    <x v="328"/>
    <n v="39"/>
    <n v="2025"/>
    <n v="18"/>
    <x v="70"/>
    <n v="162"/>
    <n v="61"/>
    <s v="approved"/>
    <s v="No"/>
    <m/>
    <m/>
    <s v=""/>
    <s v=""/>
    <m/>
    <n v="0"/>
    <m/>
    <x v="0"/>
    <x v="335"/>
    <x v="982"/>
    <n v="5500511015"/>
    <s v="R900305228"/>
    <n v="150"/>
    <n v="3357"/>
    <m/>
    <m/>
    <s v="20251299-08.10.2025"/>
    <x v="1"/>
    <x v="10"/>
    <x v="0"/>
    <m/>
  </r>
  <r>
    <x v="12"/>
    <x v="0"/>
    <x v="273"/>
    <x v="169"/>
    <x v="183"/>
    <s v="HOUSING            DBD.10G1X/"/>
    <s v="H"/>
    <n v="22.38"/>
    <n v="168"/>
    <n v="3759.8399999999997"/>
    <x v="329"/>
    <n v="40"/>
    <n v="2025"/>
    <n v="18"/>
    <x v="70"/>
    <n v="162"/>
    <n v="61"/>
    <s v="approved"/>
    <n v="3.5"/>
    <m/>
    <m/>
    <m/>
    <m/>
    <m/>
    <m/>
    <m/>
    <x v="0"/>
    <x v="335"/>
    <x v="982"/>
    <n v="5500511015"/>
    <s v="R900305228"/>
    <n v="168"/>
    <n v="3759.8399999999997"/>
    <m/>
    <m/>
    <s v="20251299-08.10.2025"/>
    <x v="1"/>
    <x v="11"/>
    <x v="0"/>
    <m/>
  </r>
  <r>
    <x v="12"/>
    <x v="0"/>
    <x v="273"/>
    <x v="169"/>
    <x v="183"/>
    <s v="HOUSING            DBD.10G1X/"/>
    <s v="H"/>
    <n v="22.38"/>
    <n v="156"/>
    <n v="3491.2799999999997"/>
    <x v="329"/>
    <n v="40"/>
    <n v="2025"/>
    <n v="18"/>
    <x v="70"/>
    <n v="162"/>
    <n v="61"/>
    <s v="approved"/>
    <n v="56"/>
    <s v="yes"/>
    <m/>
    <m/>
    <m/>
    <m/>
    <m/>
    <m/>
    <x v="0"/>
    <x v="336"/>
    <x v="983"/>
    <n v="5500511015"/>
    <s v="R900305228"/>
    <n v="156"/>
    <n v="3491.2799999999997"/>
    <m/>
    <m/>
    <s v="20251312-15.10.2025"/>
    <x v="1"/>
    <x v="11"/>
    <x v="0"/>
    <m/>
  </r>
  <r>
    <x v="12"/>
    <x v="0"/>
    <x v="273"/>
    <x v="169"/>
    <x v="183"/>
    <s v="HOUSING            DBD.10G1X/"/>
    <s v="H"/>
    <n v="22.38"/>
    <n v="288"/>
    <n v="6445.44"/>
    <x v="130"/>
    <n v="41"/>
    <n v="2025"/>
    <n v="18"/>
    <x v="70"/>
    <n v="162"/>
    <n v="61"/>
    <s v="approved"/>
    <s v="No"/>
    <m/>
    <m/>
    <s v=""/>
    <s v=""/>
    <m/>
    <n v="0"/>
    <m/>
    <x v="0"/>
    <x v="336"/>
    <x v="983"/>
    <n v="5500511015"/>
    <s v="R900305228"/>
    <n v="288"/>
    <n v="6445.44"/>
    <m/>
    <m/>
    <s v="20251312-15.10.2025"/>
    <x v="1"/>
    <x v="11"/>
    <x v="0"/>
    <m/>
  </r>
  <r>
    <x v="12"/>
    <x v="0"/>
    <x v="273"/>
    <x v="169"/>
    <x v="183"/>
    <s v="HOUSING            DBD.10G1X/"/>
    <s v="H"/>
    <n v="22.38"/>
    <n v="194"/>
    <n v="4341.72"/>
    <x v="132"/>
    <n v="44"/>
    <n v="2025"/>
    <n v="18"/>
    <x v="70"/>
    <n v="162"/>
    <n v="61"/>
    <s v="approved"/>
    <n v="4.041666666666667"/>
    <m/>
    <m/>
    <m/>
    <m/>
    <m/>
    <m/>
    <m/>
    <x v="0"/>
    <x v="336"/>
    <x v="983"/>
    <n v="5500511015"/>
    <s v="R900305228"/>
    <n v="194"/>
    <n v="4341.72"/>
    <m/>
    <m/>
    <s v="20251312-15.10.2025"/>
    <x v="0"/>
    <x v="11"/>
    <x v="0"/>
    <m/>
  </r>
  <r>
    <x v="12"/>
    <x v="0"/>
    <x v="273"/>
    <x v="169"/>
    <x v="183"/>
    <s v="HOUSING            DBD.10G1X/"/>
    <s v="H"/>
    <n v="22.38"/>
    <n v="418"/>
    <n v="9354.84"/>
    <x v="132"/>
    <n v="44"/>
    <n v="2025"/>
    <n v="18"/>
    <x v="70"/>
    <n v="162"/>
    <n v="61"/>
    <s v="approved"/>
    <s v="No"/>
    <m/>
    <m/>
    <s v=""/>
    <s v=""/>
    <m/>
    <n v="0"/>
    <m/>
    <x v="0"/>
    <x v="337"/>
    <x v="984"/>
    <n v="5500511015"/>
    <s v="R900305228"/>
    <n v="418"/>
    <n v="9354.84"/>
    <m/>
    <m/>
    <s v="20251341-20.10.2025"/>
    <x v="0"/>
    <x v="11"/>
    <x v="0"/>
    <m/>
  </r>
  <r>
    <x v="12"/>
    <x v="1"/>
    <x v="273"/>
    <x v="169"/>
    <x v="183"/>
    <s v="HOUSING            DBD.10G1X/"/>
    <s v="H"/>
    <n v="0"/>
    <n v="420"/>
    <n v="0"/>
    <x v="330"/>
    <n v="4"/>
    <n v="2026"/>
    <n v="18"/>
    <x v="70"/>
    <n v="162"/>
    <n v="61"/>
    <s v="approved"/>
    <s v="No"/>
    <m/>
    <m/>
    <m/>
    <s v=""/>
    <m/>
    <n v="0"/>
    <m/>
    <x v="1"/>
    <x v="3"/>
    <x v="4"/>
    <m/>
    <s v=""/>
    <m/>
    <n v="0"/>
    <m/>
    <m/>
    <m/>
    <x v="2"/>
    <x v="6"/>
    <x v="3"/>
    <m/>
  </r>
  <r>
    <x v="12"/>
    <x v="1"/>
    <x v="273"/>
    <x v="169"/>
    <x v="183"/>
    <s v="HOUSING            DBD.10G1X/"/>
    <s v="H"/>
    <n v="0"/>
    <n v="612"/>
    <n v="0"/>
    <x v="331"/>
    <n v="11"/>
    <n v="2026"/>
    <n v="18"/>
    <x v="70"/>
    <n v="162"/>
    <n v="61"/>
    <s v="approved"/>
    <s v="No"/>
    <m/>
    <m/>
    <m/>
    <s v=""/>
    <m/>
    <n v="0"/>
    <m/>
    <x v="1"/>
    <x v="3"/>
    <x v="822"/>
    <m/>
    <m/>
    <m/>
    <n v="0"/>
    <m/>
    <m/>
    <m/>
    <x v="3"/>
    <x v="5"/>
    <x v="3"/>
    <m/>
  </r>
  <r>
    <x v="12"/>
    <x v="1"/>
    <x v="273"/>
    <x v="169"/>
    <x v="183"/>
    <s v="HOUSING            DBD.10G1X/"/>
    <s v="H"/>
    <n v="0"/>
    <n v="516"/>
    <n v="0"/>
    <x v="332"/>
    <n v="18"/>
    <n v="2026"/>
    <n v="18"/>
    <x v="70"/>
    <n v="162"/>
    <n v="61"/>
    <s v="approved"/>
    <n v="56"/>
    <s v="yes"/>
    <m/>
    <m/>
    <m/>
    <m/>
    <m/>
    <m/>
    <x v="1"/>
    <x v="3"/>
    <x v="4"/>
    <m/>
    <s v=""/>
    <m/>
    <n v="0"/>
    <m/>
    <m/>
    <m/>
    <x v="2"/>
    <x v="1"/>
    <x v="3"/>
    <m/>
  </r>
  <r>
    <x v="12"/>
    <x v="0"/>
    <x v="274"/>
    <x v="3"/>
    <x v="184"/>
    <s v="HOUSING            DBD.10P1X/"/>
    <s v="AH"/>
    <n v="22.29"/>
    <n v="100"/>
    <n v="2229"/>
    <x v="333"/>
    <n v="9"/>
    <n v="2024"/>
    <n v="51"/>
    <x v="70"/>
    <n v="120"/>
    <n v="60"/>
    <s v="approved"/>
    <n v="56"/>
    <s v="yes"/>
    <m/>
    <m/>
    <m/>
    <m/>
    <m/>
    <s v="240603 / 240604/ 241609"/>
    <x v="0"/>
    <x v="14"/>
    <x v="985"/>
    <n v="5500511016"/>
    <s v="R900305231"/>
    <n v="100"/>
    <n v="2229"/>
    <m/>
    <m/>
    <s v="20240477-28.04.2024"/>
    <x v="1"/>
    <x v="7"/>
    <x v="1"/>
    <m/>
  </r>
  <r>
    <x v="12"/>
    <x v="0"/>
    <x v="274"/>
    <x v="167"/>
    <x v="184"/>
    <s v="HOUSING            DBD.10P1X/"/>
    <s v="AH"/>
    <n v="22.29"/>
    <n v="18"/>
    <n v="401.21999999999997"/>
    <x v="334"/>
    <n v="40"/>
    <n v="2024"/>
    <n v="51"/>
    <x v="70"/>
    <n v="120"/>
    <n v="60"/>
    <s v="approved"/>
    <n v="56"/>
    <s v="yes"/>
    <m/>
    <m/>
    <m/>
    <m/>
    <m/>
    <m/>
    <x v="0"/>
    <x v="224"/>
    <x v="986"/>
    <n v="5500511016"/>
    <s v="R900305231"/>
    <n v="18"/>
    <n v="401.21999999999997"/>
    <m/>
    <m/>
    <s v="20241226-27.09.2024"/>
    <x v="0"/>
    <x v="11"/>
    <x v="1"/>
    <m/>
  </r>
  <r>
    <x v="12"/>
    <x v="0"/>
    <x v="274"/>
    <x v="167"/>
    <x v="184"/>
    <s v="HOUSING            DBD.10P1X/"/>
    <s v="AH"/>
    <n v="22.29"/>
    <n v="104"/>
    <n v="2318.16"/>
    <x v="200"/>
    <n v="49"/>
    <n v="2024"/>
    <n v="51"/>
    <x v="70"/>
    <n v="120"/>
    <n v="60"/>
    <s v="approved"/>
    <n v="56"/>
    <s v="yes"/>
    <m/>
    <m/>
    <m/>
    <m/>
    <m/>
    <m/>
    <x v="0"/>
    <x v="53"/>
    <x v="987"/>
    <n v="5500511016"/>
    <s v="R900305231"/>
    <n v="104"/>
    <n v="2318.16"/>
    <m/>
    <m/>
    <m/>
    <x v="1"/>
    <x v="3"/>
    <x v="1"/>
    <m/>
  </r>
  <r>
    <x v="12"/>
    <x v="0"/>
    <x v="274"/>
    <x v="167"/>
    <x v="184"/>
    <s v="HOUSING            DBD.10P1X/"/>
    <s v="AH"/>
    <n v="22.29"/>
    <n v="73"/>
    <n v="1627.1699999999998"/>
    <x v="320"/>
    <n v="3"/>
    <n v="2025"/>
    <n v="51"/>
    <x v="70"/>
    <n v="120"/>
    <n v="60"/>
    <s v="approved"/>
    <n v="56"/>
    <s v="yes"/>
    <m/>
    <m/>
    <m/>
    <m/>
    <m/>
    <m/>
    <x v="0"/>
    <x v="293"/>
    <x v="988"/>
    <n v="5500511016"/>
    <s v="R900305231"/>
    <n v="73"/>
    <n v="1627.1699999999998"/>
    <m/>
    <m/>
    <s v="20250047-18.01.2025"/>
    <x v="1"/>
    <x v="6"/>
    <x v="0"/>
    <m/>
  </r>
  <r>
    <x v="12"/>
    <x v="0"/>
    <x v="274"/>
    <x v="167"/>
    <x v="184"/>
    <s v="HOUSING            DBD.10P1X/"/>
    <s v="AH"/>
    <n v="22.29"/>
    <n v="28"/>
    <n v="624.12"/>
    <x v="320"/>
    <n v="3"/>
    <n v="2025"/>
    <n v="51"/>
    <x v="70"/>
    <n v="120"/>
    <n v="60"/>
    <s v="approved"/>
    <n v="56"/>
    <s v="yes"/>
    <m/>
    <m/>
    <m/>
    <m/>
    <m/>
    <m/>
    <x v="0"/>
    <x v="225"/>
    <x v="989"/>
    <n v="5500511016"/>
    <s v="R900305231"/>
    <n v="28"/>
    <n v="624.12"/>
    <m/>
    <m/>
    <s v="20250094-29.01.2025"/>
    <x v="1"/>
    <x v="6"/>
    <x v="0"/>
    <m/>
  </r>
  <r>
    <x v="12"/>
    <x v="0"/>
    <x v="274"/>
    <x v="167"/>
    <x v="184"/>
    <s v="HOUSING            DBD.10P1X/"/>
    <s v="AH"/>
    <n v="22.29"/>
    <n v="35"/>
    <n v="780.15"/>
    <x v="320"/>
    <n v="3"/>
    <n v="2025"/>
    <n v="51"/>
    <x v="70"/>
    <n v="120"/>
    <n v="60"/>
    <s v="approved"/>
    <n v="56"/>
    <s v="yes"/>
    <m/>
    <m/>
    <m/>
    <m/>
    <m/>
    <m/>
    <x v="0"/>
    <x v="334"/>
    <x v="990"/>
    <n v="5500511016"/>
    <s v="R900305231"/>
    <n v="35"/>
    <n v="780.15"/>
    <m/>
    <m/>
    <s v="20250137-10.02.2025"/>
    <x v="1"/>
    <x v="6"/>
    <x v="0"/>
    <m/>
  </r>
  <r>
    <x v="12"/>
    <x v="0"/>
    <x v="274"/>
    <x v="167"/>
    <x v="184"/>
    <s v="HOUSING            DBD.10P1X/"/>
    <s v="AH"/>
    <n v="22.29"/>
    <n v="20"/>
    <n v="445.79999999999995"/>
    <x v="321"/>
    <n v="5"/>
    <n v="2025"/>
    <n v="51"/>
    <x v="70"/>
    <n v="120"/>
    <n v="60"/>
    <s v="approved"/>
    <n v="56"/>
    <s v="yes"/>
    <m/>
    <m/>
    <m/>
    <m/>
    <s v="Yes"/>
    <m/>
    <x v="0"/>
    <x v="334"/>
    <x v="990"/>
    <n v="5500511016"/>
    <s v="R900305231"/>
    <n v="20"/>
    <n v="445.79999999999995"/>
    <m/>
    <m/>
    <s v="20250137-10.02.2025"/>
    <x v="1"/>
    <x v="6"/>
    <x v="0"/>
    <m/>
  </r>
  <r>
    <x v="12"/>
    <x v="0"/>
    <x v="274"/>
    <x v="167"/>
    <x v="184"/>
    <s v="HOUSING            DBD.10P1X/"/>
    <s v="AH"/>
    <n v="22.29"/>
    <n v="4"/>
    <n v="89.16"/>
    <x v="335"/>
    <n v="8"/>
    <n v="2025"/>
    <n v="51"/>
    <x v="70"/>
    <n v="120"/>
    <n v="60"/>
    <s v="approved"/>
    <n v="56"/>
    <s v="yes"/>
    <m/>
    <m/>
    <m/>
    <m/>
    <m/>
    <m/>
    <x v="0"/>
    <x v="274"/>
    <x v="991"/>
    <n v="5500511016"/>
    <s v="R900305231"/>
    <n v="4"/>
    <n v="89.16"/>
    <m/>
    <m/>
    <s v="20250237-27.02.2025"/>
    <x v="1"/>
    <x v="7"/>
    <x v="0"/>
    <m/>
  </r>
  <r>
    <x v="12"/>
    <x v="0"/>
    <x v="274"/>
    <x v="167"/>
    <x v="184"/>
    <s v="HOUSING            DBD.10P1X/"/>
    <s v="AH"/>
    <n v="22.29"/>
    <n v="15"/>
    <n v="334.34999999999997"/>
    <x v="336"/>
    <n v="9"/>
    <n v="2025"/>
    <n v="51"/>
    <x v="70"/>
    <n v="120"/>
    <n v="60"/>
    <s v="approved"/>
    <n v="56"/>
    <s v="yes"/>
    <m/>
    <m/>
    <m/>
    <m/>
    <s v="Yes"/>
    <m/>
    <x v="0"/>
    <x v="168"/>
    <x v="992"/>
    <n v="5500511016"/>
    <s v="R900305231"/>
    <n v="15"/>
    <n v="334.34999999999997"/>
    <m/>
    <m/>
    <s v="20250347-19.03.2025"/>
    <x v="1"/>
    <x v="7"/>
    <x v="0"/>
    <m/>
  </r>
  <r>
    <x v="12"/>
    <x v="0"/>
    <x v="274"/>
    <x v="167"/>
    <x v="184"/>
    <s v="HOUSING            DBD.10P1X/"/>
    <s v="AH"/>
    <n v="22.29"/>
    <n v="22"/>
    <n v="490.38"/>
    <x v="336"/>
    <n v="9"/>
    <n v="2025"/>
    <n v="51"/>
    <x v="70"/>
    <n v="120"/>
    <n v="60"/>
    <s v="approved"/>
    <n v="56"/>
    <s v="yes"/>
    <m/>
    <m/>
    <m/>
    <m/>
    <s v="Yes"/>
    <m/>
    <x v="0"/>
    <x v="171"/>
    <x v="993"/>
    <n v="5500511016"/>
    <s v="R900305231"/>
    <n v="22"/>
    <n v="490.38"/>
    <m/>
    <m/>
    <s v="20250393-25.03.2025"/>
    <x v="1"/>
    <x v="7"/>
    <x v="0"/>
    <m/>
  </r>
  <r>
    <x v="12"/>
    <x v="0"/>
    <x v="274"/>
    <x v="167"/>
    <x v="184"/>
    <s v="HOUSING            DBD.10P1X/"/>
    <s v="AH"/>
    <n v="22.29"/>
    <n v="28"/>
    <n v="624.12"/>
    <x v="336"/>
    <n v="9"/>
    <n v="2025"/>
    <n v="51"/>
    <x v="70"/>
    <n v="120"/>
    <n v="60"/>
    <s v="approved"/>
    <n v="56"/>
    <s v="yes"/>
    <m/>
    <m/>
    <m/>
    <m/>
    <s v="Yes"/>
    <m/>
    <x v="0"/>
    <x v="172"/>
    <x v="994"/>
    <n v="5500511016"/>
    <s v="R900305231"/>
    <n v="28"/>
    <n v="624.12"/>
    <m/>
    <m/>
    <s v="20250423-28.03.2025"/>
    <x v="1"/>
    <x v="7"/>
    <x v="0"/>
    <m/>
  </r>
  <r>
    <x v="12"/>
    <x v="0"/>
    <x v="274"/>
    <x v="167"/>
    <x v="184"/>
    <s v="HOUSING            DBD.10P1X/"/>
    <s v="AH"/>
    <n v="22.29"/>
    <n v="121"/>
    <n v="2697.0899999999997"/>
    <x v="336"/>
    <n v="9"/>
    <n v="2025"/>
    <n v="51"/>
    <x v="70"/>
    <n v="120"/>
    <n v="60"/>
    <s v="approved"/>
    <n v="56"/>
    <s v="yes"/>
    <m/>
    <m/>
    <m/>
    <m/>
    <s v="Yes"/>
    <m/>
    <x v="0"/>
    <x v="96"/>
    <x v="995"/>
    <n v="5500511016"/>
    <s v="R900305231"/>
    <n v="121"/>
    <n v="2697.0899999999997"/>
    <m/>
    <m/>
    <s v="20250549-22.04.2025"/>
    <x v="1"/>
    <x v="7"/>
    <x v="0"/>
    <m/>
  </r>
  <r>
    <x v="12"/>
    <x v="0"/>
    <x v="274"/>
    <x v="167"/>
    <x v="184"/>
    <s v="HOUSING            DBD.10P1X/"/>
    <s v="AH"/>
    <n v="22.29"/>
    <n v="155"/>
    <n v="3454.95"/>
    <x v="337"/>
    <n v="13"/>
    <n v="2025"/>
    <n v="51"/>
    <x v="70"/>
    <n v="120"/>
    <n v="60"/>
    <s v="approved"/>
    <n v="56"/>
    <s v="yes"/>
    <m/>
    <m/>
    <m/>
    <m/>
    <s v="la vopsit 133"/>
    <m/>
    <x v="0"/>
    <x v="330"/>
    <x v="996"/>
    <n v="5500511016"/>
    <s v="R900305231"/>
    <n v="155"/>
    <n v="3454.95"/>
    <m/>
    <m/>
    <s v="20250656-23.05.2025"/>
    <x v="1"/>
    <x v="5"/>
    <x v="0"/>
    <m/>
  </r>
  <r>
    <x v="12"/>
    <x v="0"/>
    <x v="274"/>
    <x v="167"/>
    <x v="184"/>
    <s v="HOUSING            DBD.10P1X/"/>
    <s v="AH"/>
    <n v="22.29"/>
    <n v="181"/>
    <n v="4034.49"/>
    <x v="338"/>
    <n v="22"/>
    <n v="2025"/>
    <n v="51"/>
    <x v="70"/>
    <n v="120"/>
    <n v="60"/>
    <s v="approved"/>
    <n v="56"/>
    <s v="yes"/>
    <m/>
    <m/>
    <m/>
    <m/>
    <m/>
    <m/>
    <x v="0"/>
    <x v="319"/>
    <x v="997"/>
    <n v="5500511016"/>
    <s v="R900305231"/>
    <n v="181"/>
    <n v="4034.49"/>
    <m/>
    <m/>
    <s v="20250693-30.05.2025"/>
    <x v="0"/>
    <x v="2"/>
    <x v="0"/>
    <m/>
  </r>
  <r>
    <x v="12"/>
    <x v="0"/>
    <x v="274"/>
    <x v="167"/>
    <x v="184"/>
    <s v="HOUSING            DBD.10P1X/"/>
    <s v="AH"/>
    <n v="22.29"/>
    <n v="2"/>
    <n v="44.58"/>
    <x v="338"/>
    <n v="22"/>
    <n v="2025"/>
    <n v="51"/>
    <x v="70"/>
    <n v="120"/>
    <n v="60"/>
    <s v="approved"/>
    <n v="56"/>
    <s v="yes"/>
    <m/>
    <m/>
    <m/>
    <m/>
    <m/>
    <m/>
    <x v="0"/>
    <x v="155"/>
    <x v="998"/>
    <n v="5500511016"/>
    <s v="R900305231"/>
    <n v="1"/>
    <n v="22.29"/>
    <m/>
    <m/>
    <s v="20250833-30.06.2025"/>
    <x v="1"/>
    <x v="2"/>
    <x v="0"/>
    <m/>
  </r>
  <r>
    <x v="12"/>
    <x v="0"/>
    <x v="274"/>
    <x v="167"/>
    <x v="184"/>
    <s v="HOUSING            DBD.10P1X/"/>
    <s v="AH"/>
    <n v="22.29"/>
    <n v="31"/>
    <n v="690.99"/>
    <x v="338"/>
    <n v="22"/>
    <n v="2025"/>
    <n v="51"/>
    <x v="70"/>
    <n v="120"/>
    <n v="60"/>
    <s v="approved"/>
    <n v="56"/>
    <s v="yes"/>
    <m/>
    <m/>
    <m/>
    <m/>
    <m/>
    <m/>
    <x v="0"/>
    <x v="196"/>
    <x v="999"/>
    <n v="5500511016"/>
    <s v="R900305231"/>
    <n v="31"/>
    <n v="690.99"/>
    <m/>
    <m/>
    <s v="20250872-09.07.2025"/>
    <x v="1"/>
    <x v="2"/>
    <x v="0"/>
    <m/>
  </r>
  <r>
    <x v="12"/>
    <x v="0"/>
    <x v="274"/>
    <x v="167"/>
    <x v="184"/>
    <s v="HOUSING            DBD.10P1X/"/>
    <s v="AH"/>
    <n v="22.29"/>
    <n v="60"/>
    <n v="1337.3999999999999"/>
    <x v="339"/>
    <n v="27"/>
    <n v="2025"/>
    <n v="51"/>
    <x v="70"/>
    <n v="120"/>
    <n v="60"/>
    <s v="approved"/>
    <n v="56"/>
    <s v="yes"/>
    <m/>
    <m/>
    <m/>
    <m/>
    <m/>
    <m/>
    <x v="0"/>
    <x v="182"/>
    <x v="1000"/>
    <n v="5500511016"/>
    <s v="R900305231"/>
    <n v="60"/>
    <n v="1337.3999999999999"/>
    <m/>
    <m/>
    <s v="20251000-28.07.2025"/>
    <x v="1"/>
    <x v="8"/>
    <x v="0"/>
    <m/>
  </r>
  <r>
    <x v="12"/>
    <x v="0"/>
    <x v="274"/>
    <x v="167"/>
    <x v="184"/>
    <s v="HOUSING            DBD.10P1X/"/>
    <s v="AH"/>
    <n v="22.29"/>
    <n v="22"/>
    <n v="490.38"/>
    <x v="339"/>
    <n v="27"/>
    <n v="2025"/>
    <n v="51"/>
    <x v="70"/>
    <n v="120"/>
    <n v="60"/>
    <s v="approved"/>
    <n v="56"/>
    <s v="yes"/>
    <m/>
    <m/>
    <m/>
    <m/>
    <s v="la vopsit 254"/>
    <m/>
    <x v="0"/>
    <x v="26"/>
    <x v="1001"/>
    <n v="5500511016"/>
    <s v="R900305231"/>
    <n v="22"/>
    <n v="490.38"/>
    <m/>
    <m/>
    <s v="20251017/31.07.2025"/>
    <x v="1"/>
    <x v="8"/>
    <x v="0"/>
    <m/>
  </r>
  <r>
    <x v="12"/>
    <x v="0"/>
    <x v="274"/>
    <x v="167"/>
    <x v="184"/>
    <s v="HOUSING            DBD.10P1X/"/>
    <s v="AH"/>
    <n v="22.29"/>
    <n v="131"/>
    <n v="2919.99"/>
    <x v="340"/>
    <n v="30"/>
    <n v="2025"/>
    <n v="51"/>
    <x v="70"/>
    <n v="120"/>
    <n v="60"/>
    <s v="approved"/>
    <n v="56"/>
    <s v="yes"/>
    <m/>
    <m/>
    <m/>
    <m/>
    <m/>
    <m/>
    <x v="0"/>
    <x v="26"/>
    <x v="1001"/>
    <n v="5500511016"/>
    <s v="R900305231"/>
    <n v="131"/>
    <n v="2919.99"/>
    <m/>
    <m/>
    <s v="20251017/31.07.2025"/>
    <x v="1"/>
    <x v="8"/>
    <x v="0"/>
    <m/>
  </r>
  <r>
    <x v="12"/>
    <x v="0"/>
    <x v="274"/>
    <x v="167"/>
    <x v="184"/>
    <s v="HOUSING            DBD.10P1X/"/>
    <s v="AH"/>
    <n v="22.29"/>
    <n v="61"/>
    <n v="1359.69"/>
    <x v="340"/>
    <n v="30"/>
    <n v="2025"/>
    <n v="51"/>
    <x v="70"/>
    <n v="120"/>
    <n v="60"/>
    <s v="approved"/>
    <n v="56"/>
    <s v="yes"/>
    <m/>
    <m/>
    <m/>
    <m/>
    <m/>
    <m/>
    <x v="0"/>
    <x v="44"/>
    <x v="1002"/>
    <n v="5500511016"/>
    <s v="R900305231"/>
    <n v="61"/>
    <n v="1359.69"/>
    <m/>
    <m/>
    <s v="2025116/26.08.2025"/>
    <x v="1"/>
    <x v="8"/>
    <x v="0"/>
    <m/>
  </r>
  <r>
    <x v="12"/>
    <x v="0"/>
    <x v="274"/>
    <x v="167"/>
    <x v="184"/>
    <s v="HOUSING            DBD.10P1X/"/>
    <s v="AH"/>
    <n v="22.29"/>
    <n v="74"/>
    <n v="1649.46"/>
    <x v="341"/>
    <n v="31"/>
    <n v="2025"/>
    <n v="51"/>
    <x v="70"/>
    <n v="120"/>
    <n v="60"/>
    <s v="approved"/>
    <n v="56"/>
    <s v="yes"/>
    <m/>
    <m/>
    <m/>
    <m/>
    <m/>
    <m/>
    <x v="0"/>
    <x v="109"/>
    <x v="1003"/>
    <n v="5500511016"/>
    <s v="R900305231"/>
    <n v="74"/>
    <n v="1649.46"/>
    <m/>
    <m/>
    <s v="20251225-24.09.2025"/>
    <x v="1"/>
    <x v="9"/>
    <x v="0"/>
    <m/>
  </r>
  <r>
    <x v="12"/>
    <x v="1"/>
    <x v="274"/>
    <x v="167"/>
    <x v="184"/>
    <s v="HOUSING            DBD.10P1X/"/>
    <s v="AH"/>
    <n v="22.29"/>
    <n v="22"/>
    <n v="490.38"/>
    <x v="341"/>
    <n v="31"/>
    <n v="2025"/>
    <n v="51"/>
    <x v="70"/>
    <n v="120"/>
    <n v="60"/>
    <s v="approved"/>
    <n v="0.45833333333333331"/>
    <m/>
    <m/>
    <m/>
    <m/>
    <m/>
    <m/>
    <m/>
    <x v="0"/>
    <x v="109"/>
    <x v="1003"/>
    <n v="5500511016"/>
    <s v="R900305231"/>
    <n v="22"/>
    <n v="490.38"/>
    <m/>
    <m/>
    <s v="20251225-24.09.2025"/>
    <x v="1"/>
    <x v="9"/>
    <x v="0"/>
    <m/>
  </r>
  <r>
    <x v="12"/>
    <x v="1"/>
    <x v="274"/>
    <x v="167"/>
    <x v="184"/>
    <s v="HOUSING            DBD.10P1X/"/>
    <s v="AH"/>
    <n v="22.29"/>
    <n v="54"/>
    <n v="490.38"/>
    <x v="341"/>
    <n v="31"/>
    <n v="2025"/>
    <n v="51"/>
    <x v="70"/>
    <n v="120"/>
    <n v="60"/>
    <s v="approved"/>
    <s v="Yes"/>
    <n v="45924"/>
    <n v="251160"/>
    <n v="5500511016"/>
    <s v="R900305231"/>
    <n v="22"/>
    <n v="490.38"/>
    <m/>
    <x v="0"/>
    <x v="109"/>
    <x v="1003"/>
    <n v="5500511016"/>
    <s v="R900305231"/>
    <n v="54"/>
    <n v="1203.6599999999999"/>
    <m/>
    <m/>
    <s v="20251225-24.09.2025"/>
    <x v="1"/>
    <x v="9"/>
    <x v="0"/>
    <m/>
  </r>
  <r>
    <x v="12"/>
    <x v="0"/>
    <x v="274"/>
    <x v="167"/>
    <x v="184"/>
    <s v="HOUSING            DBD.10P1X/"/>
    <s v="AH"/>
    <n v="22.29"/>
    <n v="12"/>
    <n v="267.48"/>
    <x v="266"/>
    <n v="35"/>
    <n v="2025"/>
    <n v="51"/>
    <x v="70"/>
    <n v="120"/>
    <n v="60"/>
    <s v="approved"/>
    <n v="56"/>
    <s v="yes"/>
    <m/>
    <m/>
    <m/>
    <m/>
    <m/>
    <m/>
    <x v="0"/>
    <x v="44"/>
    <x v="1002"/>
    <n v="5500511016"/>
    <s v="R900305231"/>
    <n v="12"/>
    <n v="267.48"/>
    <m/>
    <m/>
    <s v="2025116/26.08.2025"/>
    <x v="0"/>
    <x v="9"/>
    <x v="0"/>
    <m/>
  </r>
  <r>
    <x v="12"/>
    <x v="0"/>
    <x v="274"/>
    <x v="167"/>
    <x v="184"/>
    <s v="HOUSING            DBD.10P1X/"/>
    <s v="AH"/>
    <n v="22.29"/>
    <n v="22"/>
    <n v="490.38"/>
    <x v="266"/>
    <n v="35"/>
    <n v="2025"/>
    <n v="51"/>
    <x v="70"/>
    <n v="120"/>
    <n v="60"/>
    <s v="approved"/>
    <n v="56"/>
    <s v="yes"/>
    <m/>
    <m/>
    <m/>
    <m/>
    <m/>
    <m/>
    <x v="0"/>
    <x v="54"/>
    <x v="1004"/>
    <n v="5500511016"/>
    <s v="R900305231"/>
    <n v="22"/>
    <n v="490.38"/>
    <m/>
    <m/>
    <s v="20251184-15.09.2025"/>
    <x v="1"/>
    <x v="9"/>
    <x v="0"/>
    <m/>
  </r>
  <r>
    <x v="12"/>
    <x v="1"/>
    <x v="274"/>
    <x v="167"/>
    <x v="184"/>
    <s v="HOUSING            DBD.10P1X/"/>
    <s v="AH"/>
    <n v="22.29"/>
    <n v="25"/>
    <n v="557.25"/>
    <x v="342"/>
    <n v="36"/>
    <n v="2025"/>
    <n v="51"/>
    <x v="70"/>
    <n v="120"/>
    <n v="60"/>
    <s v="approved"/>
    <n v="0.52083333333333337"/>
    <m/>
    <m/>
    <m/>
    <m/>
    <m/>
    <m/>
    <m/>
    <x v="0"/>
    <x v="20"/>
    <x v="1005"/>
    <n v="5500511016"/>
    <s v="R900305231"/>
    <n v="25"/>
    <n v="557.25"/>
    <m/>
    <m/>
    <s v="20251245-30.09.2025"/>
    <x v="1"/>
    <x v="10"/>
    <x v="0"/>
    <m/>
  </r>
  <r>
    <x v="12"/>
    <x v="1"/>
    <x v="274"/>
    <x v="167"/>
    <x v="184"/>
    <s v="HOUSING            DBD.10P1X/"/>
    <s v="AH"/>
    <n v="22.29"/>
    <n v="71"/>
    <n v="1582.59"/>
    <x v="342"/>
    <n v="36"/>
    <n v="2025"/>
    <n v="51"/>
    <x v="70"/>
    <n v="120"/>
    <n v="60"/>
    <s v="approved"/>
    <n v="56"/>
    <s v="yes"/>
    <m/>
    <m/>
    <m/>
    <m/>
    <m/>
    <m/>
    <x v="0"/>
    <x v="337"/>
    <x v="1006"/>
    <n v="5500511016"/>
    <s v="R900305231"/>
    <n v="71"/>
    <n v="1582.59"/>
    <m/>
    <m/>
    <s v="20251342-20.10.2025"/>
    <x v="1"/>
    <x v="10"/>
    <x v="0"/>
    <m/>
  </r>
  <r>
    <x v="12"/>
    <x v="1"/>
    <x v="274"/>
    <x v="167"/>
    <x v="184"/>
    <s v="HOUSING            DBD.10P1X/"/>
    <s v="AH"/>
    <n v="22.29"/>
    <n v="96"/>
    <n v="2139.84"/>
    <x v="160"/>
    <n v="42"/>
    <n v="2025"/>
    <n v="51"/>
    <x v="70"/>
    <n v="120"/>
    <n v="60"/>
    <s v="approved"/>
    <n v="56"/>
    <s v="yes"/>
    <m/>
    <m/>
    <m/>
    <m/>
    <m/>
    <m/>
    <x v="0"/>
    <x v="337"/>
    <x v="1006"/>
    <n v="5500511016"/>
    <s v="R900305231"/>
    <n v="96"/>
    <n v="2139.84"/>
    <m/>
    <m/>
    <s v="20251342-20.10.2025"/>
    <x v="1"/>
    <x v="11"/>
    <x v="0"/>
    <m/>
  </r>
  <r>
    <x v="12"/>
    <x v="1"/>
    <x v="274"/>
    <x v="167"/>
    <x v="184"/>
    <s v="HOUSING            DBD.10P1X/"/>
    <s v="AH"/>
    <n v="22.29"/>
    <n v="31"/>
    <n v="690.99"/>
    <x v="205"/>
    <n v="45"/>
    <n v="2025"/>
    <n v="51"/>
    <x v="70"/>
    <n v="120"/>
    <n v="60"/>
    <s v="approved"/>
    <n v="0.64583333333333337"/>
    <m/>
    <m/>
    <m/>
    <m/>
    <m/>
    <m/>
    <m/>
    <x v="0"/>
    <x v="337"/>
    <x v="1006"/>
    <n v="5500511016"/>
    <s v="R900305231"/>
    <n v="31"/>
    <n v="690.99"/>
    <m/>
    <m/>
    <s v="20251342-20.10.2025"/>
    <x v="0"/>
    <x v="4"/>
    <x v="0"/>
    <m/>
  </r>
  <r>
    <x v="12"/>
    <x v="1"/>
    <x v="274"/>
    <x v="167"/>
    <x v="184"/>
    <s v="HOUSING            DBD.10P1X/"/>
    <s v="AH"/>
    <n v="22.29"/>
    <n v="63"/>
    <n v="1404.27"/>
    <x v="300"/>
    <n v="47"/>
    <n v="2025"/>
    <n v="51"/>
    <x v="70"/>
    <n v="120"/>
    <n v="60"/>
    <s v="approved"/>
    <n v="56"/>
    <s v="yes"/>
    <m/>
    <m/>
    <m/>
    <m/>
    <m/>
    <m/>
    <x v="1"/>
    <x v="3"/>
    <x v="4"/>
    <s v=""/>
    <s v=""/>
    <m/>
    <n v="0"/>
    <m/>
    <m/>
    <m/>
    <x v="2"/>
    <x v="4"/>
    <x v="0"/>
    <m/>
  </r>
  <r>
    <x v="12"/>
    <x v="1"/>
    <x v="274"/>
    <x v="167"/>
    <x v="184"/>
    <s v="HOUSING            DBD.10P1X/"/>
    <s v="AH"/>
    <n v="0"/>
    <n v="96"/>
    <n v="0"/>
    <x v="85"/>
    <n v="1"/>
    <n v="2026"/>
    <n v="51"/>
    <x v="70"/>
    <n v="120"/>
    <n v="60"/>
    <s v="approved"/>
    <s v="No"/>
    <m/>
    <m/>
    <s v=""/>
    <s v=""/>
    <m/>
    <n v="0"/>
    <m/>
    <x v="1"/>
    <x v="3"/>
    <x v="822"/>
    <m/>
    <m/>
    <m/>
    <n v="0"/>
    <m/>
    <m/>
    <m/>
    <x v="3"/>
    <x v="6"/>
    <x v="3"/>
    <m/>
  </r>
  <r>
    <x v="12"/>
    <x v="1"/>
    <x v="274"/>
    <x v="167"/>
    <x v="184"/>
    <s v="HOUSING            DBD.10P1X/"/>
    <s v="AH"/>
    <n v="0"/>
    <n v="96"/>
    <n v="0"/>
    <x v="85"/>
    <n v="1"/>
    <n v="2026"/>
    <n v="51"/>
    <x v="70"/>
    <n v="120"/>
    <n v="60"/>
    <s v="approved"/>
    <s v="No"/>
    <m/>
    <m/>
    <s v=""/>
    <s v=""/>
    <m/>
    <n v="0"/>
    <m/>
    <x v="1"/>
    <x v="3"/>
    <x v="822"/>
    <m/>
    <m/>
    <m/>
    <n v="0"/>
    <m/>
    <m/>
    <m/>
    <x v="3"/>
    <x v="6"/>
    <x v="3"/>
    <m/>
  </r>
  <r>
    <x v="12"/>
    <x v="1"/>
    <x v="274"/>
    <x v="167"/>
    <x v="184"/>
    <s v="HOUSING            DBD.10P1X/"/>
    <s v="AH"/>
    <n v="0"/>
    <n v="96"/>
    <n v="0"/>
    <x v="85"/>
    <n v="1"/>
    <n v="2026"/>
    <n v="51"/>
    <x v="70"/>
    <n v="120"/>
    <n v="60"/>
    <s v="approved"/>
    <n v="56"/>
    <s v="yes"/>
    <m/>
    <m/>
    <m/>
    <m/>
    <m/>
    <m/>
    <x v="1"/>
    <x v="3"/>
    <x v="4"/>
    <s v=""/>
    <s v=""/>
    <m/>
    <n v="0"/>
    <m/>
    <m/>
    <m/>
    <x v="2"/>
    <x v="6"/>
    <x v="3"/>
    <m/>
  </r>
  <r>
    <x v="12"/>
    <x v="0"/>
    <x v="275"/>
    <x v="106"/>
    <x v="185"/>
    <s v="HOUSING            DBD.10P1X/V"/>
    <s v="AH"/>
    <n v="39.82"/>
    <n v="18"/>
    <n v="716.76"/>
    <x v="211"/>
    <n v="25"/>
    <n v="2024"/>
    <n v="74"/>
    <x v="70"/>
    <n v="20"/>
    <n v="60"/>
    <s v="approved"/>
    <n v="56"/>
    <s v="yes"/>
    <m/>
    <m/>
    <m/>
    <m/>
    <m/>
    <n v="241716"/>
    <x v="0"/>
    <x v="69"/>
    <x v="1007"/>
    <n v="5500511017"/>
    <s v="R900305232"/>
    <n v="18"/>
    <n v="716.76"/>
    <m/>
    <m/>
    <s v="20240778-26.06.2024"/>
    <x v="1"/>
    <x v="0"/>
    <x v="1"/>
    <m/>
  </r>
  <r>
    <x v="12"/>
    <x v="0"/>
    <x v="275"/>
    <x v="106"/>
    <x v="185"/>
    <s v="HOUSING            DBD.10P1X/V"/>
    <s v="AH"/>
    <n v="39.82"/>
    <n v="19"/>
    <n v="756.58"/>
    <x v="279"/>
    <n v="26"/>
    <n v="2024"/>
    <n v="74"/>
    <x v="70"/>
    <n v="20"/>
    <n v="60"/>
    <s v="approved"/>
    <n v="56"/>
    <s v="yes"/>
    <m/>
    <m/>
    <m/>
    <m/>
    <m/>
    <n v="242408"/>
    <x v="0"/>
    <x v="27"/>
    <x v="1008"/>
    <n v="5500511017"/>
    <s v="R900305232"/>
    <n v="19"/>
    <n v="756.58"/>
    <m/>
    <m/>
    <s v="20240801-28.06.2024"/>
    <x v="1"/>
    <x v="0"/>
    <x v="1"/>
    <m/>
  </r>
  <r>
    <x v="12"/>
    <x v="0"/>
    <x v="275"/>
    <x v="106"/>
    <x v="185"/>
    <s v="HOUSING            DBD.10P1X/V"/>
    <s v="AH"/>
    <n v="39.82"/>
    <n v="39"/>
    <n v="1552.98"/>
    <x v="343"/>
    <n v="37"/>
    <n v="2024"/>
    <n v="74"/>
    <x v="70"/>
    <n v="20"/>
    <n v="60"/>
    <s v="approved"/>
    <n v="56"/>
    <s v="yes"/>
    <m/>
    <m/>
    <m/>
    <m/>
    <m/>
    <n v="242707"/>
    <x v="0"/>
    <x v="21"/>
    <x v="1009"/>
    <n v="5500511017"/>
    <s v="R900305232"/>
    <n v="39"/>
    <n v="1552.98"/>
    <m/>
    <m/>
    <s v="20241152-06.09.2024"/>
    <x v="0"/>
    <x v="10"/>
    <x v="1"/>
    <m/>
  </r>
  <r>
    <x v="12"/>
    <x v="0"/>
    <x v="275"/>
    <x v="106"/>
    <x v="185"/>
    <s v="HOUSING            DBD.10P1X/V"/>
    <s v="AH"/>
    <n v="36.53"/>
    <n v="40"/>
    <n v="1461.2"/>
    <x v="253"/>
    <n v="4"/>
    <n v="2025"/>
    <n v="74"/>
    <x v="70"/>
    <n v="20"/>
    <n v="60"/>
    <s v="approved"/>
    <n v="56"/>
    <s v="yes"/>
    <m/>
    <m/>
    <m/>
    <m/>
    <m/>
    <m/>
    <x v="0"/>
    <x v="293"/>
    <x v="1010"/>
    <n v="5500511017"/>
    <s v="R900305232"/>
    <n v="40"/>
    <n v="1461.2"/>
    <m/>
    <m/>
    <s v="20250045-18.01.2025"/>
    <x v="0"/>
    <x v="6"/>
    <x v="0"/>
    <m/>
  </r>
  <r>
    <x v="12"/>
    <x v="0"/>
    <x v="275"/>
    <x v="106"/>
    <x v="185"/>
    <s v="HOUSING            DBD.10P1X/V"/>
    <s v="AH"/>
    <n v="36.53"/>
    <n v="3"/>
    <n v="109.59"/>
    <x v="164"/>
    <n v="9"/>
    <n v="2025"/>
    <n v="74"/>
    <x v="70"/>
    <n v="20"/>
    <n v="60"/>
    <s v="approved"/>
    <n v="56"/>
    <s v="yes"/>
    <m/>
    <m/>
    <m/>
    <m/>
    <s v="Yes"/>
    <m/>
    <x v="0"/>
    <x v="168"/>
    <x v="1011"/>
    <n v="5500511017"/>
    <s v="R900305232"/>
    <n v="3"/>
    <n v="109.59"/>
    <m/>
    <m/>
    <s v="20250346-19.03.2025"/>
    <x v="1"/>
    <x v="7"/>
    <x v="0"/>
    <m/>
  </r>
  <r>
    <x v="12"/>
    <x v="0"/>
    <x v="275"/>
    <x v="106"/>
    <x v="185"/>
    <s v="HOUSING            DBD.10P1X/V"/>
    <s v="AH"/>
    <n v="36.53"/>
    <n v="4"/>
    <n v="146.12"/>
    <x v="164"/>
    <n v="9"/>
    <n v="2025"/>
    <n v="74"/>
    <x v="70"/>
    <n v="20"/>
    <n v="60"/>
    <s v="approved"/>
    <n v="56"/>
    <s v="yes"/>
    <m/>
    <m/>
    <m/>
    <m/>
    <s v="Yes"/>
    <m/>
    <x v="0"/>
    <x v="172"/>
    <x v="1012"/>
    <n v="5500511017"/>
    <s v="R900305232"/>
    <n v="4"/>
    <n v="146.12"/>
    <m/>
    <m/>
    <s v="20250421-28.03.2025"/>
    <x v="1"/>
    <x v="7"/>
    <x v="0"/>
    <m/>
  </r>
  <r>
    <x v="12"/>
    <x v="0"/>
    <x v="275"/>
    <x v="106"/>
    <x v="185"/>
    <s v="HOUSING            DBD.10P1X/V"/>
    <s v="AH"/>
    <n v="36.53"/>
    <n v="9"/>
    <n v="328.77"/>
    <x v="344"/>
    <n v="14"/>
    <n v="2025"/>
    <n v="74"/>
    <x v="70"/>
    <n v="20"/>
    <n v="60"/>
    <s v="approved"/>
    <n v="56"/>
    <s v="yes"/>
    <m/>
    <m/>
    <m/>
    <m/>
    <s v="Yes"/>
    <m/>
    <x v="0"/>
    <x v="96"/>
    <x v="1013"/>
    <n v="5500511017"/>
    <s v="R900305232"/>
    <n v="9"/>
    <n v="328.77"/>
    <m/>
    <m/>
    <s v="20250540-24.04.2025"/>
    <x v="1"/>
    <x v="5"/>
    <x v="0"/>
    <m/>
  </r>
  <r>
    <x v="12"/>
    <x v="0"/>
    <x v="275"/>
    <x v="106"/>
    <x v="185"/>
    <s v="HOUSING            DBD.10P1X/V"/>
    <s v="AH"/>
    <n v="36.53"/>
    <n v="25"/>
    <n v="913.25"/>
    <x v="345"/>
    <n v="23"/>
    <n v="2025"/>
    <n v="74"/>
    <x v="70"/>
    <n v="20"/>
    <n v="60"/>
    <s v="approved"/>
    <n v="56"/>
    <s v="yes"/>
    <m/>
    <m/>
    <m/>
    <m/>
    <m/>
    <m/>
    <x v="0"/>
    <x v="330"/>
    <x v="1014"/>
    <n v="5500511017"/>
    <s v="R900305232"/>
    <n v="25"/>
    <n v="913.25"/>
    <m/>
    <m/>
    <s v="20250657-23.05.2025"/>
    <x v="0"/>
    <x v="0"/>
    <x v="0"/>
    <m/>
  </r>
  <r>
    <x v="12"/>
    <x v="0"/>
    <x v="275"/>
    <x v="106"/>
    <x v="185"/>
    <s v="HOUSING            DBD.10P1X/V"/>
    <s v="AH"/>
    <n v="36.53"/>
    <n v="4"/>
    <n v="146.12"/>
    <x v="216"/>
    <n v="26"/>
    <n v="2025"/>
    <n v="74"/>
    <x v="70"/>
    <n v="20"/>
    <n v="60"/>
    <s v="approved"/>
    <n v="56"/>
    <s v="yes"/>
    <m/>
    <m/>
    <m/>
    <m/>
    <m/>
    <m/>
    <x v="0"/>
    <x v="319"/>
    <x v="1015"/>
    <n v="5500511017"/>
    <s v="R900305232"/>
    <n v="4"/>
    <n v="146.12"/>
    <m/>
    <m/>
    <s v="20250695-30.05.2025"/>
    <x v="0"/>
    <x v="0"/>
    <x v="0"/>
    <m/>
  </r>
  <r>
    <x v="12"/>
    <x v="0"/>
    <x v="275"/>
    <x v="106"/>
    <x v="185"/>
    <s v="HOUSING            DBD.10P1X/V"/>
    <s v="AH"/>
    <n v="36.53"/>
    <n v="25"/>
    <n v="913.25"/>
    <x v="216"/>
    <n v="26"/>
    <n v="2025"/>
    <n v="74"/>
    <x v="70"/>
    <n v="20"/>
    <n v="60"/>
    <s v="approved"/>
    <n v="56"/>
    <s v="yes"/>
    <m/>
    <m/>
    <m/>
    <m/>
    <m/>
    <m/>
    <x v="0"/>
    <x v="12"/>
    <x v="1016"/>
    <n v="5500511017"/>
    <s v="R900305232"/>
    <n v="25"/>
    <n v="913.25"/>
    <m/>
    <m/>
    <s v="20250807-30.06.2025/20251363/20251364-30.10.2025"/>
    <x v="1"/>
    <x v="0"/>
    <x v="0"/>
    <m/>
  </r>
  <r>
    <x v="12"/>
    <x v="0"/>
    <x v="275"/>
    <x v="106"/>
    <x v="185"/>
    <s v="HOUSING            DBD.10P1X/V"/>
    <s v="AH"/>
    <n v="36.53"/>
    <n v="5"/>
    <n v="182.65"/>
    <x v="216"/>
    <n v="26"/>
    <n v="2025"/>
    <n v="74"/>
    <x v="70"/>
    <n v="20"/>
    <n v="60"/>
    <s v="approved"/>
    <n v="56"/>
    <s v="yes"/>
    <m/>
    <m/>
    <m/>
    <m/>
    <m/>
    <m/>
    <x v="0"/>
    <x v="196"/>
    <x v="1017"/>
    <n v="5500511017"/>
    <s v="R900305232"/>
    <n v="5"/>
    <n v="182.65"/>
    <m/>
    <s v="completare cu aviz 251052"/>
    <s v="20250877-09.07.2025/20250892-10.07.2025"/>
    <x v="1"/>
    <x v="0"/>
    <x v="0"/>
    <m/>
  </r>
  <r>
    <x v="12"/>
    <x v="1"/>
    <x v="275"/>
    <x v="106"/>
    <x v="185"/>
    <s v="HOUSING            DBD.10P1X/V"/>
    <s v="AH"/>
    <n v="36.53"/>
    <n v="4"/>
    <n v="146.12"/>
    <x v="148"/>
    <n v="34"/>
    <n v="2025"/>
    <n v="74"/>
    <x v="70"/>
    <n v="20"/>
    <n v="60"/>
    <s v="approved"/>
    <n v="56"/>
    <s v="yes"/>
    <m/>
    <m/>
    <m/>
    <m/>
    <m/>
    <m/>
    <x v="0"/>
    <x v="54"/>
    <x v="1018"/>
    <n v="5500511017"/>
    <s v="R900305232"/>
    <n v="4"/>
    <n v="146.12"/>
    <m/>
    <m/>
    <m/>
    <x v="1"/>
    <x v="9"/>
    <x v="0"/>
    <m/>
  </r>
  <r>
    <x v="12"/>
    <x v="1"/>
    <x v="275"/>
    <x v="106"/>
    <x v="185"/>
    <s v="HOUSING            DBD.10P1X/V"/>
    <s v="AH"/>
    <n v="36.53"/>
    <n v="63"/>
    <n v="2301.39"/>
    <x v="282"/>
    <n v="37"/>
    <n v="2025"/>
    <n v="74"/>
    <x v="70"/>
    <n v="20"/>
    <n v="60"/>
    <s v="approved"/>
    <n v="56"/>
    <s v="yes"/>
    <m/>
    <m/>
    <m/>
    <m/>
    <m/>
    <m/>
    <x v="0"/>
    <x v="54"/>
    <x v="1018"/>
    <n v="5500511017"/>
    <s v="R900305232"/>
    <n v="63"/>
    <n v="2301.39"/>
    <m/>
    <m/>
    <m/>
    <x v="1"/>
    <x v="10"/>
    <x v="0"/>
    <m/>
  </r>
  <r>
    <x v="12"/>
    <x v="1"/>
    <x v="275"/>
    <x v="106"/>
    <x v="185"/>
    <s v="HOUSING            DBD.10P1X/V"/>
    <s v="AH"/>
    <n v="0"/>
    <n v="32"/>
    <n v="0"/>
    <x v="13"/>
    <n v="9"/>
    <n v="2026"/>
    <n v="74"/>
    <x v="70"/>
    <n v="20"/>
    <n v="60"/>
    <s v="approved"/>
    <n v="56"/>
    <s v="yes"/>
    <m/>
    <m/>
    <m/>
    <m/>
    <m/>
    <m/>
    <x v="1"/>
    <x v="3"/>
    <x v="4"/>
    <s v=""/>
    <s v=""/>
    <m/>
    <n v="0"/>
    <m/>
    <m/>
    <m/>
    <x v="2"/>
    <x v="7"/>
    <x v="3"/>
    <m/>
  </r>
  <r>
    <x v="12"/>
    <x v="0"/>
    <x v="276"/>
    <x v="106"/>
    <x v="186"/>
    <s v="HOUSING            DBD.15G1X/"/>
    <s v="g"/>
    <n v="42.67"/>
    <n v="41"/>
    <n v="1749.47"/>
    <x v="346"/>
    <n v="50"/>
    <n v="2024"/>
    <n v="67"/>
    <x v="71"/>
    <n v="64"/>
    <n v="60"/>
    <s v="approved"/>
    <n v="56"/>
    <s v="yes"/>
    <m/>
    <m/>
    <m/>
    <m/>
    <m/>
    <m/>
    <x v="0"/>
    <x v="338"/>
    <x v="1019"/>
    <n v="5500511018"/>
    <s v="R900305233"/>
    <n v="41"/>
    <n v="1749.47"/>
    <m/>
    <m/>
    <s v="20241551-12.12.2024"/>
    <x v="0"/>
    <x v="3"/>
    <x v="1"/>
    <m/>
  </r>
  <r>
    <x v="12"/>
    <x v="0"/>
    <x v="276"/>
    <x v="106"/>
    <x v="186"/>
    <s v="HOUSING            DBD.15G1X/"/>
    <s v="g"/>
    <n v="42.46"/>
    <n v="16"/>
    <n v="679.36"/>
    <x v="347"/>
    <n v="6"/>
    <n v="2025"/>
    <n v="67"/>
    <x v="71"/>
    <n v="64"/>
    <n v="60"/>
    <s v="approved"/>
    <n v="56"/>
    <s v="yes"/>
    <m/>
    <m/>
    <m/>
    <m/>
    <m/>
    <m/>
    <x v="0"/>
    <x v="291"/>
    <x v="1020"/>
    <n v="5500511018"/>
    <s v="R900305233"/>
    <n v="16"/>
    <n v="679.36"/>
    <m/>
    <m/>
    <s v="20241568-14.12.2024"/>
    <x v="0"/>
    <x v="7"/>
    <x v="0"/>
    <m/>
  </r>
  <r>
    <x v="12"/>
    <x v="0"/>
    <x v="276"/>
    <x v="106"/>
    <x v="186"/>
    <s v="HOUSING            DBD.15G1X/"/>
    <s v="g"/>
    <n v="42.46"/>
    <n v="8"/>
    <n v="339.68"/>
    <x v="322"/>
    <n v="8"/>
    <n v="2025"/>
    <n v="67"/>
    <x v="71"/>
    <n v="64"/>
    <n v="60"/>
    <s v="approved"/>
    <n v="56"/>
    <s v="yes"/>
    <m/>
    <m/>
    <m/>
    <m/>
    <m/>
    <m/>
    <x v="0"/>
    <x v="274"/>
    <x v="1021"/>
    <n v="5500511018"/>
    <s v="R900305233"/>
    <n v="8"/>
    <n v="339.68"/>
    <m/>
    <m/>
    <s v="20250237-27.02.2025"/>
    <x v="1"/>
    <x v="7"/>
    <x v="0"/>
    <m/>
  </r>
  <r>
    <x v="12"/>
    <x v="0"/>
    <x v="276"/>
    <x v="106"/>
    <x v="186"/>
    <s v="HOUSING            DBD.15G1X/"/>
    <s v="g"/>
    <n v="42.46"/>
    <n v="69"/>
    <n v="2929.7400000000002"/>
    <x v="143"/>
    <n v="20"/>
    <n v="2025"/>
    <n v="67"/>
    <x v="71"/>
    <n v="64"/>
    <n v="61"/>
    <s v="approved"/>
    <n v="56"/>
    <s v="yes"/>
    <m/>
    <m/>
    <m/>
    <m/>
    <m/>
    <m/>
    <x v="0"/>
    <x v="319"/>
    <x v="1022"/>
    <n v="5500511018"/>
    <s v="R900305233"/>
    <n v="69"/>
    <n v="2929.7400000000002"/>
    <m/>
    <m/>
    <s v="20250686-30.05.2025"/>
    <x v="1"/>
    <x v="2"/>
    <x v="0"/>
    <m/>
  </r>
  <r>
    <x v="12"/>
    <x v="0"/>
    <x v="276"/>
    <x v="106"/>
    <x v="186"/>
    <s v="HOUSING            DBD.15G1X/"/>
    <s v="g"/>
    <n v="42.46"/>
    <n v="30"/>
    <n v="1273.8"/>
    <x v="70"/>
    <n v="23"/>
    <n v="2025"/>
    <n v="67"/>
    <x v="71"/>
    <n v="64"/>
    <n v="62"/>
    <s v="approved"/>
    <n v="0.625"/>
    <m/>
    <m/>
    <m/>
    <m/>
    <m/>
    <m/>
    <m/>
    <x v="0"/>
    <x v="12"/>
    <x v="1023"/>
    <n v="5500511018"/>
    <s v="R900305233"/>
    <n v="30"/>
    <n v="1273.8"/>
    <m/>
    <m/>
    <s v="20250810-30.06.2025/20251367/20251368-30.10.2025"/>
    <x v="1"/>
    <x v="0"/>
    <x v="0"/>
    <m/>
  </r>
  <r>
    <x v="12"/>
    <x v="0"/>
    <x v="276"/>
    <x v="106"/>
    <x v="186"/>
    <s v="HOUSING            DBD.15G1X/"/>
    <s v="g"/>
    <n v="42.46"/>
    <n v="77"/>
    <n v="3269.42"/>
    <x v="70"/>
    <n v="23"/>
    <n v="2025"/>
    <n v="67"/>
    <x v="71"/>
    <n v="64"/>
    <n v="62"/>
    <s v="approved"/>
    <n v="1.6041666666666667"/>
    <m/>
    <m/>
    <m/>
    <m/>
    <m/>
    <m/>
    <m/>
    <x v="0"/>
    <x v="196"/>
    <x v="1024"/>
    <n v="5500511018"/>
    <s v="R900305233"/>
    <n v="77"/>
    <n v="3269.42"/>
    <m/>
    <m/>
    <s v="20250879-09.07.2025"/>
    <x v="1"/>
    <x v="0"/>
    <x v="0"/>
    <m/>
  </r>
  <r>
    <x v="12"/>
    <x v="0"/>
    <x v="276"/>
    <x v="106"/>
    <x v="186"/>
    <s v="HOUSING            DBD.15G1X/"/>
    <s v="g"/>
    <n v="42.46"/>
    <n v="59"/>
    <n v="2505.14"/>
    <x v="348"/>
    <n v="45"/>
    <n v="2025"/>
    <n v="67"/>
    <x v="71"/>
    <n v="64"/>
    <n v="60"/>
    <s v="approved"/>
    <n v="56"/>
    <s v="yes"/>
    <m/>
    <m/>
    <m/>
    <m/>
    <m/>
    <m/>
    <x v="0"/>
    <x v="135"/>
    <x v="1025"/>
    <n v="5500511018"/>
    <s v="R900305233"/>
    <n v="59"/>
    <n v="2505.14"/>
    <m/>
    <m/>
    <s v="20251414-31.10.2025"/>
    <x v="0"/>
    <x v="4"/>
    <x v="0"/>
    <m/>
  </r>
  <r>
    <x v="12"/>
    <x v="0"/>
    <x v="276"/>
    <x v="106"/>
    <x v="186"/>
    <s v="HOUSING            DBD.15G1X/"/>
    <s v="g"/>
    <n v="0"/>
    <n v="61"/>
    <n v="0"/>
    <x v="330"/>
    <n v="4"/>
    <n v="2026"/>
    <n v="67"/>
    <x v="71"/>
    <n v="64"/>
    <n v="60"/>
    <s v="approved"/>
    <n v="56"/>
    <s v="yes"/>
    <m/>
    <m/>
    <m/>
    <m/>
    <m/>
    <m/>
    <x v="1"/>
    <x v="3"/>
    <x v="4"/>
    <s v=""/>
    <s v=""/>
    <m/>
    <n v="0"/>
    <m/>
    <m/>
    <m/>
    <x v="2"/>
    <x v="6"/>
    <x v="3"/>
    <m/>
  </r>
  <r>
    <x v="12"/>
    <x v="0"/>
    <x v="277"/>
    <x v="75"/>
    <x v="187"/>
    <s v="HOUSING            DBD.20G1X/"/>
    <s v="G"/>
    <n v="41.64"/>
    <n v="12"/>
    <n v="499.68"/>
    <x v="4"/>
    <n v="21"/>
    <n v="2024"/>
    <n v="20"/>
    <x v="72"/>
    <n v="64"/>
    <n v="60"/>
    <s v="approved"/>
    <n v="56"/>
    <s v="yes"/>
    <m/>
    <m/>
    <m/>
    <m/>
    <m/>
    <s v="241518 / 241702"/>
    <x v="0"/>
    <x v="136"/>
    <x v="1026"/>
    <n v="5500511019"/>
    <s v="R900305236"/>
    <n v="12"/>
    <n v="499.68"/>
    <m/>
    <m/>
    <s v="20240559-17.05.2024"/>
    <x v="0"/>
    <x v="2"/>
    <x v="1"/>
    <m/>
  </r>
  <r>
    <x v="12"/>
    <x v="0"/>
    <x v="277"/>
    <x v="106"/>
    <x v="187"/>
    <s v="HOUSING            DBD.20G1X/"/>
    <s v="G"/>
    <n v="41.64"/>
    <n v="50"/>
    <n v="2082"/>
    <x v="239"/>
    <n v="24"/>
    <n v="2024"/>
    <n v="20"/>
    <x v="72"/>
    <n v="64"/>
    <n v="60"/>
    <s v="approved"/>
    <n v="56"/>
    <s v="yes"/>
    <m/>
    <m/>
    <m/>
    <m/>
    <m/>
    <s v="241518 / 241702"/>
    <x v="0"/>
    <x v="63"/>
    <x v="1027"/>
    <n v="5500511019"/>
    <s v="R900305236"/>
    <n v="37"/>
    <n v="1540.68"/>
    <m/>
    <m/>
    <s v="20240659-4.06.2024"/>
    <x v="0"/>
    <x v="0"/>
    <x v="1"/>
    <m/>
  </r>
  <r>
    <x v="12"/>
    <x v="0"/>
    <x v="277"/>
    <x v="86"/>
    <x v="187"/>
    <s v="HOUSING            DBD.20G1X/"/>
    <s v="G"/>
    <n v="41.64"/>
    <m/>
    <n v="0"/>
    <x v="239"/>
    <n v="24"/>
    <n v="2024"/>
    <n v="20"/>
    <x v="72"/>
    <n v="64"/>
    <n v="60"/>
    <s v="approved"/>
    <n v="0"/>
    <s v="yes"/>
    <m/>
    <m/>
    <m/>
    <m/>
    <m/>
    <m/>
    <x v="0"/>
    <x v="261"/>
    <x v="1028"/>
    <n v="5500511019"/>
    <s v="R900305236"/>
    <n v="13"/>
    <n v="541.32000000000005"/>
    <m/>
    <m/>
    <s v="20240678-12.06.2024"/>
    <x v="0"/>
    <x v="0"/>
    <x v="1"/>
    <m/>
  </r>
  <r>
    <x v="12"/>
    <x v="0"/>
    <x v="277"/>
    <x v="106"/>
    <x v="187"/>
    <s v="HOUSING            DBD.20G1X/"/>
    <s v="G"/>
    <n v="41.64"/>
    <n v="170"/>
    <n v="7078.8"/>
    <x v="279"/>
    <n v="26"/>
    <n v="2024"/>
    <n v="20"/>
    <x v="72"/>
    <n v="64"/>
    <n v="60"/>
    <s v="approved"/>
    <n v="56"/>
    <s v="yes"/>
    <m/>
    <m/>
    <m/>
    <m/>
    <m/>
    <s v="241518 / 241702"/>
    <x v="0"/>
    <x v="261"/>
    <x v="1028"/>
    <n v="5500511019"/>
    <s v="R900305236"/>
    <n v="15"/>
    <n v="624.6"/>
    <m/>
    <m/>
    <s v="20240678-12.06.2024"/>
    <x v="0"/>
    <x v="0"/>
    <x v="1"/>
    <m/>
  </r>
  <r>
    <x v="12"/>
    <x v="0"/>
    <x v="277"/>
    <x v="106"/>
    <x v="187"/>
    <s v="HOUSING            DBD.20G1X/"/>
    <s v="G"/>
    <n v="41.64"/>
    <m/>
    <n v="0"/>
    <x v="279"/>
    <n v="26"/>
    <n v="2024"/>
    <n v="20"/>
    <x v="72"/>
    <n v="64"/>
    <n v="60"/>
    <s v="approved"/>
    <n v="56"/>
    <s v="yes"/>
    <m/>
    <m/>
    <m/>
    <m/>
    <m/>
    <m/>
    <x v="0"/>
    <x v="122"/>
    <x v="1029"/>
    <n v="5500511019"/>
    <s v="R900305236"/>
    <n v="91"/>
    <n v="3789.2400000000002"/>
    <m/>
    <m/>
    <s v="20240717-14.06.2024"/>
    <x v="0"/>
    <x v="0"/>
    <x v="1"/>
    <m/>
  </r>
  <r>
    <x v="12"/>
    <x v="0"/>
    <x v="277"/>
    <x v="106"/>
    <x v="187"/>
    <s v="HOUSING            DBD.20G1X/"/>
    <s v="G"/>
    <n v="41.64"/>
    <m/>
    <n v="0"/>
    <x v="279"/>
    <n v="26"/>
    <n v="2024"/>
    <n v="20"/>
    <x v="72"/>
    <n v="64"/>
    <n v="60"/>
    <s v="approved"/>
    <n v="56"/>
    <s v="yes"/>
    <m/>
    <m/>
    <m/>
    <m/>
    <m/>
    <m/>
    <x v="0"/>
    <x v="64"/>
    <x v="1030"/>
    <n v="5500511019"/>
    <s v="R900305236"/>
    <n v="51"/>
    <n v="2123.64"/>
    <m/>
    <m/>
    <s v="20240715-17.06.2024"/>
    <x v="0"/>
    <x v="0"/>
    <x v="1"/>
    <m/>
  </r>
  <r>
    <x v="12"/>
    <x v="0"/>
    <x v="277"/>
    <x v="106"/>
    <x v="187"/>
    <s v="HOUSING            DBD.20G1X/"/>
    <s v="G"/>
    <n v="41.64"/>
    <m/>
    <n v="0"/>
    <x v="279"/>
    <n v="26"/>
    <n v="2024"/>
    <n v="20"/>
    <x v="72"/>
    <n v="64"/>
    <n v="60"/>
    <s v="approved"/>
    <n v="56"/>
    <s v="yes"/>
    <m/>
    <m/>
    <m/>
    <m/>
    <m/>
    <m/>
    <x v="0"/>
    <x v="27"/>
    <x v="1031"/>
    <n v="5500511019"/>
    <s v="R900305236"/>
    <n v="13"/>
    <n v="541.32000000000005"/>
    <m/>
    <m/>
    <s v="20240789-28.06.2024"/>
    <x v="1"/>
    <x v="0"/>
    <x v="1"/>
    <m/>
  </r>
  <r>
    <x v="12"/>
    <x v="0"/>
    <x v="277"/>
    <x v="106"/>
    <x v="187"/>
    <s v="HOUSING            DBD.20G1X/"/>
    <s v="G"/>
    <n v="41.64"/>
    <n v="78"/>
    <n v="3247.92"/>
    <x v="349"/>
    <n v="27"/>
    <n v="2024"/>
    <n v="20"/>
    <x v="72"/>
    <n v="64"/>
    <n v="60"/>
    <s v="approved"/>
    <n v="56"/>
    <s v="yes"/>
    <m/>
    <m/>
    <m/>
    <m/>
    <m/>
    <n v="242806"/>
    <x v="0"/>
    <x v="27"/>
    <x v="1031"/>
    <n v="5500511019"/>
    <s v="R900305236"/>
    <n v="23"/>
    <n v="957.72"/>
    <m/>
    <m/>
    <s v="20240789-28.06.2024"/>
    <x v="0"/>
    <x v="8"/>
    <x v="1"/>
    <m/>
  </r>
  <r>
    <x v="12"/>
    <x v="0"/>
    <x v="277"/>
    <x v="106"/>
    <x v="187"/>
    <s v="HOUSING            DBD.20G1X/"/>
    <s v="G"/>
    <n v="41.64"/>
    <m/>
    <n v="0"/>
    <x v="349"/>
    <n v="27"/>
    <n v="2024"/>
    <n v="20"/>
    <x v="72"/>
    <n v="64"/>
    <n v="60"/>
    <s v="approved"/>
    <n v="56"/>
    <s v="yes"/>
    <m/>
    <m/>
    <m/>
    <m/>
    <m/>
    <m/>
    <x v="0"/>
    <x v="263"/>
    <x v="1032"/>
    <n v="5500511019"/>
    <s v="R900305236"/>
    <n v="55"/>
    <n v="2290.1999999999998"/>
    <m/>
    <m/>
    <s v="20240860-10.07.2024"/>
    <x v="1"/>
    <x v="8"/>
    <x v="1"/>
    <m/>
  </r>
  <r>
    <x v="12"/>
    <x v="0"/>
    <x v="277"/>
    <x v="106"/>
    <x v="187"/>
    <s v="HOUSING            DBD.20G1X/"/>
    <s v="G"/>
    <n v="41.64"/>
    <n v="82"/>
    <n v="3414.48"/>
    <x v="350"/>
    <n v="30"/>
    <n v="2024"/>
    <n v="20"/>
    <x v="72"/>
    <n v="64"/>
    <n v="60"/>
    <s v="approved"/>
    <n v="56"/>
    <s v="yes"/>
    <m/>
    <m/>
    <m/>
    <m/>
    <m/>
    <n v="242806"/>
    <x v="0"/>
    <x v="263"/>
    <x v="1032"/>
    <n v="5500511019"/>
    <s v="R900305236"/>
    <n v="25"/>
    <n v="1041"/>
    <m/>
    <m/>
    <s v="20240860-10.07.2024"/>
    <x v="0"/>
    <x v="8"/>
    <x v="1"/>
    <m/>
  </r>
  <r>
    <x v="12"/>
    <x v="0"/>
    <x v="277"/>
    <x v="106"/>
    <x v="187"/>
    <s v="HOUSING            DBD.20G1X/"/>
    <s v="G"/>
    <n v="41.64"/>
    <m/>
    <n v="0"/>
    <x v="351"/>
    <n v="30"/>
    <n v="2024"/>
    <n v="20"/>
    <x v="72"/>
    <n v="64"/>
    <n v="60"/>
    <s v="approved"/>
    <n v="56"/>
    <s v="yes"/>
    <m/>
    <m/>
    <m/>
    <m/>
    <m/>
    <m/>
    <x v="0"/>
    <x v="231"/>
    <x v="1033"/>
    <n v="5500511019"/>
    <s v="R900305236"/>
    <n v="62"/>
    <n v="2581.6799999999998"/>
    <m/>
    <m/>
    <s v="20240882-12.07.2024"/>
    <x v="0"/>
    <x v="8"/>
    <x v="1"/>
    <m/>
  </r>
  <r>
    <x v="12"/>
    <x v="0"/>
    <x v="277"/>
    <x v="150"/>
    <x v="187"/>
    <s v="HOUSING            DBD.20G1X/"/>
    <s v="G"/>
    <n v="41.64"/>
    <n v="147"/>
    <n v="6121.08"/>
    <x v="105"/>
    <n v="33"/>
    <n v="2024"/>
    <n v="20"/>
    <x v="72"/>
    <n v="64"/>
    <n v="60"/>
    <s v="approved"/>
    <n v="56"/>
    <s v="yes"/>
    <m/>
    <m/>
    <m/>
    <m/>
    <m/>
    <n v="243006"/>
    <x v="0"/>
    <x v="81"/>
    <x v="1034"/>
    <n v="5500511019"/>
    <s v="R900305236"/>
    <n v="105"/>
    <n v="4372.2"/>
    <m/>
    <m/>
    <s v="20240959-26.07.2024"/>
    <x v="0"/>
    <x v="9"/>
    <x v="1"/>
    <m/>
  </r>
  <r>
    <x v="12"/>
    <x v="0"/>
    <x v="277"/>
    <x v="150"/>
    <x v="187"/>
    <s v="HOUSING            DBD.20G1X/"/>
    <s v="G"/>
    <n v="41.64"/>
    <n v="0"/>
    <n v="0"/>
    <x v="105"/>
    <n v="33"/>
    <n v="2024"/>
    <n v="20"/>
    <x v="72"/>
    <n v="64"/>
    <n v="60"/>
    <s v="approved"/>
    <n v="56"/>
    <s v="yes"/>
    <m/>
    <m/>
    <m/>
    <m/>
    <m/>
    <m/>
    <x v="0"/>
    <x v="10"/>
    <x v="1035"/>
    <n v="5500511019"/>
    <s v="R900305236"/>
    <n v="24"/>
    <n v="999.36"/>
    <m/>
    <m/>
    <s v="20240994-05.08.2024"/>
    <x v="0"/>
    <x v="9"/>
    <x v="1"/>
    <m/>
  </r>
  <r>
    <x v="12"/>
    <x v="0"/>
    <x v="277"/>
    <x v="150"/>
    <x v="187"/>
    <s v="HOUSING            DBD.20G1X/"/>
    <s v="G"/>
    <n v="41.64"/>
    <n v="0"/>
    <n v="0"/>
    <x v="105"/>
    <n v="33"/>
    <n v="2024"/>
    <n v="20"/>
    <x v="72"/>
    <n v="64"/>
    <n v="60"/>
    <s v="approved"/>
    <n v="56"/>
    <s v="yes"/>
    <m/>
    <m/>
    <m/>
    <m/>
    <m/>
    <m/>
    <x v="0"/>
    <x v="124"/>
    <x v="1036"/>
    <n v="5500511019"/>
    <s v="R900305236"/>
    <n v="18"/>
    <n v="749.52"/>
    <m/>
    <m/>
    <s v="20240992-05.08.2024"/>
    <x v="0"/>
    <x v="9"/>
    <x v="1"/>
    <m/>
  </r>
  <r>
    <x v="12"/>
    <x v="0"/>
    <x v="277"/>
    <x v="106"/>
    <x v="187"/>
    <s v="HOUSING            DBD.20G1X/"/>
    <s v="G"/>
    <n v="41.64"/>
    <n v="20"/>
    <n v="832.8"/>
    <x v="343"/>
    <n v="37"/>
    <n v="2024"/>
    <n v="20"/>
    <x v="72"/>
    <n v="64"/>
    <n v="60"/>
    <s v="approved"/>
    <n v="56"/>
    <s v="yes"/>
    <m/>
    <m/>
    <m/>
    <m/>
    <m/>
    <m/>
    <x v="0"/>
    <x v="124"/>
    <x v="1036"/>
    <n v="5500511019"/>
    <s v="R900305236"/>
    <n v="4"/>
    <n v="166.56"/>
    <m/>
    <m/>
    <s v="20240992-05.08.2024"/>
    <x v="0"/>
    <x v="10"/>
    <x v="1"/>
    <m/>
  </r>
  <r>
    <x v="12"/>
    <x v="0"/>
    <x v="277"/>
    <x v="106"/>
    <x v="187"/>
    <s v="HOUSING            DBD.20G1X/"/>
    <s v="G"/>
    <n v="41.64"/>
    <n v="0"/>
    <n v="0"/>
    <x v="343"/>
    <n v="37"/>
    <n v="2024"/>
    <n v="20"/>
    <x v="72"/>
    <n v="64"/>
    <n v="60"/>
    <s v="approved"/>
    <n v="56"/>
    <s v="yes"/>
    <m/>
    <m/>
    <m/>
    <m/>
    <m/>
    <m/>
    <x v="0"/>
    <x v="21"/>
    <x v="1037"/>
    <n v="5500511019"/>
    <s v="R900305236"/>
    <n v="16"/>
    <n v="666.24"/>
    <m/>
    <m/>
    <s v="20241154-06.09.2024"/>
    <x v="0"/>
    <x v="10"/>
    <x v="1"/>
    <m/>
  </r>
  <r>
    <x v="12"/>
    <x v="0"/>
    <x v="277"/>
    <x v="106"/>
    <x v="187"/>
    <s v="HOUSING            DBD.20G1X/"/>
    <s v="G"/>
    <n v="41.64"/>
    <n v="32"/>
    <n v="1332.48"/>
    <x v="343"/>
    <n v="37"/>
    <n v="2024"/>
    <n v="20"/>
    <x v="72"/>
    <n v="64"/>
    <n v="60"/>
    <s v="approved"/>
    <n v="56"/>
    <s v="yes"/>
    <m/>
    <m/>
    <m/>
    <m/>
    <m/>
    <m/>
    <x v="0"/>
    <x v="21"/>
    <x v="1037"/>
    <n v="5500511019"/>
    <s v="R900305236"/>
    <n v="32"/>
    <n v="1332.48"/>
    <m/>
    <m/>
    <s v="20241154-06.09.2024"/>
    <x v="0"/>
    <x v="10"/>
    <x v="1"/>
    <m/>
  </r>
  <r>
    <x v="12"/>
    <x v="0"/>
    <x v="277"/>
    <x v="106"/>
    <x v="187"/>
    <s v="HOUSING            DBD.20G1X/"/>
    <s v="G"/>
    <n v="41.64"/>
    <n v="56"/>
    <n v="2331.84"/>
    <x v="352"/>
    <n v="41"/>
    <n v="2024"/>
    <n v="20"/>
    <x v="72"/>
    <n v="64"/>
    <n v="60"/>
    <s v="approved"/>
    <n v="56"/>
    <s v="yes"/>
    <m/>
    <m/>
    <m/>
    <m/>
    <m/>
    <m/>
    <x v="0"/>
    <x v="265"/>
    <x v="1038"/>
    <n v="5500511019"/>
    <s v="R900305236"/>
    <n v="23"/>
    <n v="957.72"/>
    <m/>
    <m/>
    <s v="20241162-10.09.2024"/>
    <x v="0"/>
    <x v="11"/>
    <x v="1"/>
    <m/>
  </r>
  <r>
    <x v="12"/>
    <x v="0"/>
    <x v="277"/>
    <x v="106"/>
    <x v="187"/>
    <s v="HOUSING            DBD.20G1X/"/>
    <s v="G"/>
    <n v="41.64"/>
    <n v="0"/>
    <n v="0"/>
    <x v="352"/>
    <n v="41"/>
    <n v="2024"/>
    <n v="20"/>
    <x v="72"/>
    <n v="64"/>
    <n v="60"/>
    <s v="approved"/>
    <n v="56"/>
    <s v="yes"/>
    <m/>
    <m/>
    <m/>
    <m/>
    <m/>
    <m/>
    <x v="0"/>
    <x v="214"/>
    <x v="1039"/>
    <n v="5500511019"/>
    <s v="R900305236"/>
    <n v="3"/>
    <n v="124.92"/>
    <m/>
    <m/>
    <s v="20241177-13.09.2024"/>
    <x v="0"/>
    <x v="11"/>
    <x v="1"/>
    <m/>
  </r>
  <r>
    <x v="12"/>
    <x v="0"/>
    <x v="277"/>
    <x v="106"/>
    <x v="187"/>
    <s v="HOUSING            DBD.20G1X/"/>
    <s v="G"/>
    <n v="41.64"/>
    <n v="0"/>
    <n v="0"/>
    <x v="352"/>
    <n v="41"/>
    <n v="2024"/>
    <n v="20"/>
    <x v="72"/>
    <n v="64"/>
    <n v="60"/>
    <s v="approved"/>
    <n v="56"/>
    <s v="yes"/>
    <m/>
    <m/>
    <m/>
    <m/>
    <m/>
    <m/>
    <x v="0"/>
    <x v="224"/>
    <x v="1040"/>
    <n v="5500511019"/>
    <s v="R900305236"/>
    <n v="30"/>
    <n v="1249.2"/>
    <m/>
    <m/>
    <s v="20241228-27.09.2024"/>
    <x v="0"/>
    <x v="11"/>
    <x v="1"/>
    <m/>
  </r>
  <r>
    <x v="12"/>
    <x v="0"/>
    <x v="277"/>
    <x v="106"/>
    <x v="187"/>
    <s v="HOUSING            DBD.20G1X/"/>
    <s v="G"/>
    <n v="41.64"/>
    <n v="21"/>
    <n v="874.44"/>
    <x v="353"/>
    <n v="49"/>
    <n v="2024"/>
    <n v="20"/>
    <x v="72"/>
    <n v="64"/>
    <n v="60"/>
    <s v="approved"/>
    <n v="56"/>
    <s v="yes"/>
    <m/>
    <m/>
    <m/>
    <m/>
    <m/>
    <m/>
    <x v="0"/>
    <x v="283"/>
    <x v="1041"/>
    <n v="5500511019"/>
    <s v="R900305236"/>
    <n v="21"/>
    <n v="874.44"/>
    <m/>
    <m/>
    <s v="20241409-08.11.2024"/>
    <x v="0"/>
    <x v="3"/>
    <x v="1"/>
    <m/>
  </r>
  <r>
    <x v="12"/>
    <x v="0"/>
    <x v="277"/>
    <x v="106"/>
    <x v="187"/>
    <s v="HOUSING            DBD.20G1X/"/>
    <s v="G"/>
    <n v="41.64"/>
    <n v="40"/>
    <n v="1665.6"/>
    <x v="110"/>
    <n v="49"/>
    <n v="2024"/>
    <n v="20"/>
    <x v="72"/>
    <n v="64"/>
    <n v="60"/>
    <s v="approved"/>
    <n v="56"/>
    <s v="yes"/>
    <m/>
    <m/>
    <m/>
    <m/>
    <m/>
    <m/>
    <x v="0"/>
    <x v="291"/>
    <x v="1042"/>
    <n v="5500511019"/>
    <s v="R900305236"/>
    <n v="40"/>
    <n v="1665.6"/>
    <m/>
    <m/>
    <s v="20241571-14.12.2024"/>
    <x v="1"/>
    <x v="3"/>
    <x v="1"/>
    <m/>
  </r>
  <r>
    <x v="12"/>
    <x v="0"/>
    <x v="277"/>
    <x v="106"/>
    <x v="187"/>
    <s v="HOUSING            DBD.20G1X/"/>
    <s v="G"/>
    <n v="41.43"/>
    <n v="13"/>
    <n v="538.59"/>
    <x v="164"/>
    <n v="9"/>
    <n v="2025"/>
    <n v="20"/>
    <x v="72"/>
    <n v="64"/>
    <n v="60"/>
    <s v="approved"/>
    <n v="56"/>
    <s v="yes"/>
    <m/>
    <m/>
    <m/>
    <m/>
    <m/>
    <m/>
    <x v="0"/>
    <x v="169"/>
    <x v="1043"/>
    <n v="5500511019"/>
    <s v="R900305236"/>
    <n v="13"/>
    <n v="538.59"/>
    <m/>
    <m/>
    <s v="20250370-24.03.2025"/>
    <x v="1"/>
    <x v="7"/>
    <x v="0"/>
    <m/>
  </r>
  <r>
    <x v="12"/>
    <x v="0"/>
    <x v="277"/>
    <x v="106"/>
    <x v="187"/>
    <s v="HOUSING            DBD.20G1X/"/>
    <s v="G"/>
    <n v="41.43"/>
    <n v="22"/>
    <n v="911.46"/>
    <x v="164"/>
    <n v="9"/>
    <n v="2025"/>
    <n v="20"/>
    <x v="72"/>
    <n v="64"/>
    <n v="60"/>
    <s v="approved"/>
    <n v="56"/>
    <s v="yes"/>
    <m/>
    <m/>
    <m/>
    <m/>
    <s v="Yes"/>
    <m/>
    <x v="0"/>
    <x v="172"/>
    <x v="1044"/>
    <n v="5500511019"/>
    <s v="R900305236"/>
    <n v="0"/>
    <n v="0"/>
    <m/>
    <s v="anulat, cantitate gresita "/>
    <s v="20250422-28.03.2025/20250439-03.04.2025"/>
    <x v="1"/>
    <x v="7"/>
    <x v="0"/>
    <m/>
  </r>
  <r>
    <x v="12"/>
    <x v="0"/>
    <x v="277"/>
    <x v="86"/>
    <x v="187"/>
    <s v="HOUSING            DBD.20G1X/"/>
    <s v="G"/>
    <n v="41.43"/>
    <n v="17"/>
    <n v="704.31"/>
    <x v="164"/>
    <n v="9"/>
    <n v="2025"/>
    <n v="20"/>
    <x v="72"/>
    <n v="64"/>
    <n v="60"/>
    <s v="approved"/>
    <n v="56"/>
    <s v="yes"/>
    <m/>
    <m/>
    <m/>
    <m/>
    <s v="Yes"/>
    <m/>
    <x v="0"/>
    <x v="172"/>
    <x v="1044"/>
    <n v="5500511019"/>
    <s v="R900305236"/>
    <n v="0"/>
    <n v="0"/>
    <m/>
    <s v="anulat, cantitate gresita"/>
    <s v="20250422-28.03.2025/20250439-03.04.2025"/>
    <x v="1"/>
    <x v="7"/>
    <x v="0"/>
    <m/>
  </r>
  <r>
    <x v="12"/>
    <x v="0"/>
    <x v="277"/>
    <x v="106"/>
    <x v="187"/>
    <s v="HOUSING            DBD.20G1X/"/>
    <s v="G"/>
    <n v="41.43"/>
    <n v="22"/>
    <n v="911.46"/>
    <x v="164"/>
    <n v="9"/>
    <n v="2025"/>
    <n v="20"/>
    <x v="72"/>
    <n v="64"/>
    <n v="60"/>
    <s v="approved"/>
    <n v="56"/>
    <s v="yes"/>
    <m/>
    <m/>
    <m/>
    <m/>
    <s v="Yes"/>
    <m/>
    <x v="0"/>
    <x v="172"/>
    <x v="1045"/>
    <n v="5500511019"/>
    <s v="R900305236"/>
    <n v="22"/>
    <n v="911.46"/>
    <m/>
    <m/>
    <s v="20250440-03.04.2025"/>
    <x v="1"/>
    <x v="7"/>
    <x v="0"/>
    <m/>
  </r>
  <r>
    <x v="12"/>
    <x v="0"/>
    <x v="277"/>
    <x v="86"/>
    <x v="187"/>
    <s v="HOUSING            DBD.20G1X/"/>
    <s v="G"/>
    <n v="41.43"/>
    <n v="17"/>
    <n v="704.31"/>
    <x v="164"/>
    <n v="9"/>
    <n v="2025"/>
    <n v="20"/>
    <x v="72"/>
    <n v="64"/>
    <n v="60"/>
    <s v="approved"/>
    <n v="56"/>
    <s v="yes"/>
    <m/>
    <m/>
    <m/>
    <m/>
    <s v="Yes"/>
    <m/>
    <x v="0"/>
    <x v="172"/>
    <x v="1045"/>
    <n v="5500511019"/>
    <s v="R900305236"/>
    <n v="17"/>
    <n v="704.31"/>
    <m/>
    <m/>
    <s v="20250440-03.04.2025"/>
    <x v="1"/>
    <x v="7"/>
    <x v="0"/>
    <m/>
  </r>
  <r>
    <x v="12"/>
    <x v="0"/>
    <x v="277"/>
    <x v="106"/>
    <x v="187"/>
    <s v="HOUSING            DBD.20G1X/"/>
    <s v="G"/>
    <n v="41.43"/>
    <n v="16"/>
    <n v="662.88"/>
    <x v="90"/>
    <n v="12"/>
    <n v="2025"/>
    <n v="20"/>
    <x v="72"/>
    <n v="64"/>
    <n v="60"/>
    <s v="approved"/>
    <n v="56"/>
    <s v="yes"/>
    <m/>
    <m/>
    <m/>
    <m/>
    <s v="Yes"/>
    <m/>
    <x v="0"/>
    <x v="334"/>
    <x v="1046"/>
    <n v="5500511019"/>
    <s v="R900305236"/>
    <n v="16"/>
    <n v="662.88"/>
    <m/>
    <m/>
    <s v="20250136-10.02.2025"/>
    <x v="0"/>
    <x v="5"/>
    <x v="0"/>
    <m/>
  </r>
  <r>
    <x v="12"/>
    <x v="0"/>
    <x v="277"/>
    <x v="150"/>
    <x v="187"/>
    <s v="HOUSING            DBD.20G1X/"/>
    <s v="G"/>
    <n v="41.43"/>
    <n v="2"/>
    <n v="82.86"/>
    <x v="112"/>
    <n v="14"/>
    <n v="2025"/>
    <n v="20"/>
    <x v="72"/>
    <n v="64"/>
    <n v="60"/>
    <s v="approved"/>
    <n v="56"/>
    <s v="yes"/>
    <m/>
    <m/>
    <m/>
    <m/>
    <s v="Yes"/>
    <m/>
    <x v="0"/>
    <x v="172"/>
    <x v="1044"/>
    <n v="5500511019"/>
    <s v="R900305236"/>
    <n v="0"/>
    <n v="0"/>
    <m/>
    <s v="anulat, cantitate gresita"/>
    <s v="20250422-28.03.2025/20250439-03.04.2025"/>
    <x v="0"/>
    <x v="1"/>
    <x v="0"/>
    <m/>
  </r>
  <r>
    <x v="12"/>
    <x v="0"/>
    <x v="277"/>
    <x v="150"/>
    <x v="187"/>
    <s v="HOUSING            DBD.20G1X/"/>
    <s v="G"/>
    <n v="41.43"/>
    <n v="1"/>
    <n v="41.43"/>
    <x v="112"/>
    <n v="14"/>
    <n v="2025"/>
    <n v="20"/>
    <x v="72"/>
    <n v="64"/>
    <n v="60"/>
    <s v="approved"/>
    <n v="56"/>
    <s v="yes"/>
    <m/>
    <m/>
    <m/>
    <m/>
    <s v="Yes"/>
    <m/>
    <x v="0"/>
    <x v="172"/>
    <x v="1045"/>
    <n v="5500511019"/>
    <s v="R900305236"/>
    <n v="1"/>
    <n v="41.43"/>
    <m/>
    <m/>
    <s v="20250440-03.04.2025"/>
    <x v="0"/>
    <x v="1"/>
    <x v="0"/>
    <m/>
  </r>
  <r>
    <x v="12"/>
    <x v="0"/>
    <x v="277"/>
    <x v="150"/>
    <x v="187"/>
    <s v="HOUSING            DBD.20G1X/"/>
    <s v="G"/>
    <n v="41.43"/>
    <n v="68"/>
    <n v="2817.24"/>
    <x v="128"/>
    <n v="15"/>
    <n v="2025"/>
    <n v="20"/>
    <x v="72"/>
    <n v="64"/>
    <n v="60"/>
    <s v="approved"/>
    <n v="56"/>
    <s v="yes"/>
    <m/>
    <m/>
    <m/>
    <m/>
    <s v="Yes"/>
    <m/>
    <x v="0"/>
    <x v="96"/>
    <x v="1047"/>
    <n v="5500511019"/>
    <s v="R900305236"/>
    <n v="68"/>
    <n v="2817.24"/>
    <m/>
    <m/>
    <s v="20250550-22.04.2025"/>
    <x v="1"/>
    <x v="1"/>
    <x v="0"/>
    <m/>
  </r>
  <r>
    <x v="12"/>
    <x v="0"/>
    <x v="277"/>
    <x v="150"/>
    <x v="187"/>
    <s v="HOUSING            DBD.20G1X/"/>
    <s v="G"/>
    <n v="41.43"/>
    <n v="141"/>
    <n v="5841.63"/>
    <x v="128"/>
    <n v="15"/>
    <n v="2025"/>
    <n v="20"/>
    <x v="72"/>
    <n v="64"/>
    <n v="60"/>
    <s v="approved"/>
    <n v="2.9375"/>
    <s v="yes"/>
    <m/>
    <m/>
    <m/>
    <m/>
    <m/>
    <m/>
    <x v="0"/>
    <x v="302"/>
    <x v="1048"/>
    <n v="5500511019"/>
    <s v="R900305236"/>
    <n v="141"/>
    <n v="5841.63"/>
    <m/>
    <m/>
    <s v="20250574-01.05.2025"/>
    <x v="1"/>
    <x v="1"/>
    <x v="0"/>
    <m/>
  </r>
  <r>
    <x v="12"/>
    <x v="0"/>
    <x v="277"/>
    <x v="106"/>
    <x v="187"/>
    <s v="HOUSING            DBD.20G1X/"/>
    <s v="G"/>
    <n v="41.43"/>
    <n v="125"/>
    <n v="5178.75"/>
    <x v="354"/>
    <n v="24"/>
    <n v="2025"/>
    <n v="20"/>
    <x v="72"/>
    <n v="64"/>
    <n v="60"/>
    <s v="approved"/>
    <n v="56"/>
    <s v="yes"/>
    <m/>
    <m/>
    <m/>
    <m/>
    <m/>
    <m/>
    <x v="0"/>
    <x v="143"/>
    <x v="1049"/>
    <n v="5500511019"/>
    <s v="R900305236"/>
    <n v="125"/>
    <n v="5178.75"/>
    <m/>
    <m/>
    <s v="20250632-19.05.2025"/>
    <x v="0"/>
    <x v="0"/>
    <x v="0"/>
    <m/>
  </r>
  <r>
    <x v="12"/>
    <x v="0"/>
    <x v="277"/>
    <x v="106"/>
    <x v="187"/>
    <s v="HOUSING            DBD.20G1X/"/>
    <s v="G"/>
    <n v="41.43"/>
    <n v="20"/>
    <n v="828.6"/>
    <x v="80"/>
    <n v="36"/>
    <n v="2025"/>
    <n v="20"/>
    <x v="72"/>
    <n v="64"/>
    <n v="61"/>
    <s v="approved"/>
    <n v="0.41666666666666669"/>
    <s v="yes"/>
    <m/>
    <m/>
    <m/>
    <m/>
    <m/>
    <m/>
    <x v="0"/>
    <x v="12"/>
    <x v="1050"/>
    <n v="5500511019"/>
    <s v="R900305236"/>
    <n v="20"/>
    <n v="828.6"/>
    <m/>
    <m/>
    <s v="20250811-30.06.2025/20251369/20251370-30.10.2025"/>
    <x v="0"/>
    <x v="10"/>
    <x v="0"/>
    <m/>
  </r>
  <r>
    <x v="12"/>
    <x v="0"/>
    <x v="277"/>
    <x v="106"/>
    <x v="187"/>
    <s v="HOUSING            DBD.20G1X/"/>
    <s v="G"/>
    <n v="41.43"/>
    <n v="4"/>
    <n v="165.72"/>
    <x v="80"/>
    <n v="36"/>
    <n v="2025"/>
    <n v="20"/>
    <x v="72"/>
    <n v="64"/>
    <n v="61"/>
    <s v="approved"/>
    <n v="8.3333333333333329E-2"/>
    <s v="yes"/>
    <m/>
    <m/>
    <m/>
    <m/>
    <m/>
    <m/>
    <x v="0"/>
    <x v="196"/>
    <x v="1051"/>
    <n v="5500511019"/>
    <s v="R900305236"/>
    <n v="4"/>
    <n v="165.72"/>
    <m/>
    <m/>
    <s v="20250878-09.07.2025"/>
    <x v="0"/>
    <x v="10"/>
    <x v="0"/>
    <m/>
  </r>
  <r>
    <x v="12"/>
    <x v="0"/>
    <x v="277"/>
    <x v="106"/>
    <x v="187"/>
    <s v="HOUSING            DBD.20G1X/"/>
    <s v="G"/>
    <n v="41.43"/>
    <n v="16"/>
    <n v="662.88"/>
    <x v="80"/>
    <n v="36"/>
    <n v="2025"/>
    <n v="20"/>
    <x v="72"/>
    <n v="64"/>
    <n v="61"/>
    <s v="approved"/>
    <n v="0.33333333333333331"/>
    <s v="yes"/>
    <m/>
    <m/>
    <m/>
    <m/>
    <m/>
    <m/>
    <x v="0"/>
    <x v="26"/>
    <x v="1052"/>
    <n v="5500511019"/>
    <s v="R900305236"/>
    <n v="16"/>
    <n v="662.88"/>
    <m/>
    <m/>
    <s v="20251019/31.07.2025/20251377/20251377/20251378-30.10.2025"/>
    <x v="0"/>
    <x v="10"/>
    <x v="0"/>
    <m/>
  </r>
  <r>
    <x v="12"/>
    <x v="1"/>
    <x v="277"/>
    <x v="106"/>
    <x v="187"/>
    <s v="HOUSING            DBD.20G1X/"/>
    <s v="G"/>
    <n v="41.43"/>
    <n v="51"/>
    <n v="2112.9299999999998"/>
    <x v="80"/>
    <n v="36"/>
    <n v="2025"/>
    <n v="20"/>
    <x v="72"/>
    <n v="64"/>
    <n v="60"/>
    <s v="approved"/>
    <n v="56"/>
    <s v="yes"/>
    <m/>
    <m/>
    <m/>
    <m/>
    <m/>
    <m/>
    <x v="0"/>
    <x v="47"/>
    <x v="1053"/>
    <n v="5500511019"/>
    <s v="R900305236"/>
    <n v="51"/>
    <n v="2112.9299999999998"/>
    <m/>
    <m/>
    <s v="20251386-31.10.2025"/>
    <x v="1"/>
    <x v="10"/>
    <x v="0"/>
    <m/>
  </r>
  <r>
    <x v="12"/>
    <x v="0"/>
    <x v="277"/>
    <x v="106"/>
    <x v="187"/>
    <s v="HOUSING            DBD.20G1X/"/>
    <s v="G"/>
    <n v="41.43"/>
    <n v="63"/>
    <n v="2610.09"/>
    <x v="355"/>
    <n v="39"/>
    <n v="2025"/>
    <n v="20"/>
    <x v="72"/>
    <n v="64"/>
    <n v="60"/>
    <s v="approved"/>
    <n v="56"/>
    <s v="yes"/>
    <m/>
    <m/>
    <m/>
    <m/>
    <m/>
    <m/>
    <x v="0"/>
    <x v="330"/>
    <x v="1054"/>
    <n v="5500511019"/>
    <s v="R900305236"/>
    <n v="63"/>
    <n v="2610.09"/>
    <m/>
    <m/>
    <s v="20250654-26.05.2025"/>
    <x v="0"/>
    <x v="10"/>
    <x v="0"/>
    <m/>
  </r>
  <r>
    <x v="12"/>
    <x v="0"/>
    <x v="277"/>
    <x v="106"/>
    <x v="187"/>
    <s v="HOUSING            DBD.20G1X/"/>
    <s v="G"/>
    <n v="41.43"/>
    <n v="41"/>
    <n v="1698.6299999999999"/>
    <x v="160"/>
    <n v="42"/>
    <n v="2025"/>
    <n v="20"/>
    <x v="72"/>
    <n v="64"/>
    <n v="60"/>
    <s v="approved"/>
    <n v="56"/>
    <s v="yes"/>
    <m/>
    <m/>
    <m/>
    <m/>
    <m/>
    <m/>
    <x v="0"/>
    <x v="319"/>
    <x v="1055"/>
    <n v="5500511019"/>
    <s v="R900305236"/>
    <n v="41"/>
    <n v="1698.6299999999999"/>
    <m/>
    <m/>
    <s v="20250692-30.05.2025"/>
    <x v="0"/>
    <x v="11"/>
    <x v="0"/>
    <m/>
  </r>
  <r>
    <x v="12"/>
    <x v="1"/>
    <x v="277"/>
    <x v="106"/>
    <x v="187"/>
    <s v="HOUSING            DBD.20G1X/"/>
    <s v="G"/>
    <n v="41.43"/>
    <n v="119"/>
    <n v="4930.17"/>
    <x v="356"/>
    <n v="43"/>
    <n v="2025"/>
    <n v="20"/>
    <x v="72"/>
    <n v="64"/>
    <n v="60"/>
    <s v="approved"/>
    <n v="2.4791666666666665"/>
    <m/>
    <m/>
    <m/>
    <m/>
    <m/>
    <m/>
    <m/>
    <x v="0"/>
    <x v="47"/>
    <x v="1053"/>
    <n v="5500511019"/>
    <s v="R900305236"/>
    <n v="119"/>
    <n v="4930.17"/>
    <m/>
    <m/>
    <s v="20251386-31.10.2025"/>
    <x v="1"/>
    <x v="11"/>
    <x v="0"/>
    <m/>
  </r>
  <r>
    <x v="12"/>
    <x v="1"/>
    <x v="277"/>
    <x v="106"/>
    <x v="187"/>
    <s v="HOUSING            DBD.20G1X/"/>
    <s v="G"/>
    <n v="41.43"/>
    <n v="1"/>
    <n v="41.43"/>
    <x v="356"/>
    <n v="43"/>
    <n v="2025"/>
    <n v="20"/>
    <x v="72"/>
    <n v="64"/>
    <n v="60"/>
    <s v="approved"/>
    <n v="56"/>
    <s v="yes"/>
    <m/>
    <m/>
    <m/>
    <m/>
    <m/>
    <m/>
    <x v="0"/>
    <x v="135"/>
    <x v="1056"/>
    <n v="5500511019"/>
    <s v="R900305236"/>
    <n v="1"/>
    <n v="41.43"/>
    <m/>
    <m/>
    <s v="20251413-31.10.2025"/>
    <x v="1"/>
    <x v="11"/>
    <x v="0"/>
    <m/>
  </r>
  <r>
    <x v="12"/>
    <x v="1"/>
    <x v="277"/>
    <x v="106"/>
    <x v="187"/>
    <s v="HOUSING            DBD.20G1X/"/>
    <s v="G"/>
    <n v="41.43"/>
    <n v="5"/>
    <n v="4996.8"/>
    <x v="312"/>
    <n v="43"/>
    <n v="2025"/>
    <n v="20"/>
    <x v="72"/>
    <n v="64"/>
    <n v="60"/>
    <s v="approved"/>
    <n v="0.10416666666666667"/>
    <m/>
    <m/>
    <m/>
    <m/>
    <m/>
    <m/>
    <m/>
    <x v="0"/>
    <x v="135"/>
    <x v="1056"/>
    <n v="5500511019"/>
    <s v="R900305236"/>
    <n v="5"/>
    <n v="207.15"/>
    <m/>
    <m/>
    <s v="20251413-31.10.2025"/>
    <x v="0"/>
    <x v="4"/>
    <x v="0"/>
    <m/>
  </r>
  <r>
    <x v="12"/>
    <x v="1"/>
    <x v="277"/>
    <x v="106"/>
    <x v="187"/>
    <s v="HOUSING            DBD.20G1X/"/>
    <s v="G"/>
    <n v="41.43"/>
    <n v="115"/>
    <n v="4996.8"/>
    <x v="312"/>
    <n v="43"/>
    <n v="2025"/>
    <n v="20"/>
    <x v="72"/>
    <n v="64"/>
    <n v="60"/>
    <s v="approved"/>
    <s v="No"/>
    <m/>
    <m/>
    <s v=""/>
    <s v=""/>
    <m/>
    <n v="0"/>
    <m/>
    <x v="1"/>
    <x v="3"/>
    <x v="4"/>
    <m/>
    <s v=""/>
    <m/>
    <n v="0"/>
    <m/>
    <m/>
    <m/>
    <x v="2"/>
    <x v="4"/>
    <x v="0"/>
    <m/>
  </r>
  <r>
    <x v="12"/>
    <x v="1"/>
    <x v="277"/>
    <x v="106"/>
    <x v="187"/>
    <s v="HOUSING            DBD.20G1X/"/>
    <s v="G"/>
    <n v="41.43"/>
    <n v="180"/>
    <n v="7495.2"/>
    <x v="357"/>
    <n v="51"/>
    <n v="2025"/>
    <n v="20"/>
    <x v="72"/>
    <n v="64"/>
    <n v="60"/>
    <s v="approved"/>
    <s v="No"/>
    <m/>
    <m/>
    <s v=""/>
    <s v=""/>
    <m/>
    <n v="0"/>
    <m/>
    <x v="1"/>
    <x v="3"/>
    <x v="4"/>
    <m/>
    <s v=""/>
    <m/>
    <n v="0"/>
    <m/>
    <m/>
    <m/>
    <x v="2"/>
    <x v="3"/>
    <x v="0"/>
    <m/>
  </r>
  <r>
    <x v="12"/>
    <x v="1"/>
    <x v="277"/>
    <x v="106"/>
    <x v="187"/>
    <s v="HOUSING            DBD.20G1X/"/>
    <s v="G"/>
    <n v="0"/>
    <n v="180"/>
    <n v="0"/>
    <x v="358"/>
    <n v="10"/>
    <n v="2026"/>
    <n v="20"/>
    <x v="72"/>
    <n v="64"/>
    <n v="60"/>
    <s v="approved"/>
    <n v="56"/>
    <s v="yes"/>
    <m/>
    <m/>
    <m/>
    <m/>
    <m/>
    <m/>
    <x v="1"/>
    <x v="3"/>
    <x v="4"/>
    <s v=""/>
    <s v=""/>
    <m/>
    <n v="0"/>
    <m/>
    <m/>
    <m/>
    <x v="2"/>
    <x v="5"/>
    <x v="3"/>
    <m/>
  </r>
  <r>
    <x v="12"/>
    <x v="0"/>
    <x v="278"/>
    <x v="106"/>
    <x v="188"/>
    <s v="HOUSING            DBD.20P1X/"/>
    <s v="AF"/>
    <n v="45.32"/>
    <n v="50"/>
    <n v="2266"/>
    <x v="214"/>
    <n v="42"/>
    <n v="2024"/>
    <n v="71"/>
    <x v="72"/>
    <n v="64"/>
    <n v="60"/>
    <s v="approved"/>
    <n v="56"/>
    <s v="yes"/>
    <m/>
    <m/>
    <m/>
    <m/>
    <m/>
    <m/>
    <x v="0"/>
    <x v="13"/>
    <x v="1057"/>
    <n v="5500511020"/>
    <s v="R900305239"/>
    <n v="50"/>
    <n v="2266"/>
    <m/>
    <m/>
    <s v="20241324-18.10.2024"/>
    <x v="0"/>
    <x v="11"/>
    <x v="1"/>
    <m/>
  </r>
  <r>
    <x v="12"/>
    <x v="0"/>
    <x v="278"/>
    <x v="106"/>
    <x v="188"/>
    <s v="HOUSING            DBD.20P1X/"/>
    <s v="AF"/>
    <n v="45.32"/>
    <n v="33"/>
    <n v="1495.56"/>
    <x v="214"/>
    <n v="42"/>
    <n v="2024"/>
    <n v="71"/>
    <x v="72"/>
    <n v="64"/>
    <n v="60"/>
    <s v="approved"/>
    <n v="56"/>
    <s v="yes"/>
    <m/>
    <m/>
    <m/>
    <m/>
    <m/>
    <m/>
    <x v="0"/>
    <x v="13"/>
    <x v="1057"/>
    <n v="5500511020"/>
    <s v="R900305239"/>
    <n v="33"/>
    <n v="1495.56"/>
    <m/>
    <m/>
    <s v="20241324-18.10.2024"/>
    <x v="0"/>
    <x v="11"/>
    <x v="1"/>
    <m/>
  </r>
  <r>
    <x v="12"/>
    <x v="0"/>
    <x v="278"/>
    <x v="106"/>
    <x v="188"/>
    <s v="HOUSING            DBD.20P1X/"/>
    <s v="AF"/>
    <n v="45.32"/>
    <n v="16"/>
    <n v="725.12"/>
    <x v="214"/>
    <n v="42"/>
    <n v="2024"/>
    <n v="71"/>
    <x v="72"/>
    <n v="64"/>
    <n v="60"/>
    <s v="approved"/>
    <n v="56"/>
    <s v="yes"/>
    <m/>
    <m/>
    <m/>
    <m/>
    <m/>
    <m/>
    <x v="0"/>
    <x v="229"/>
    <x v="1058"/>
    <n v="5500511020"/>
    <s v="R900305239"/>
    <n v="16"/>
    <n v="725.12"/>
    <m/>
    <m/>
    <s v="20241348-28.10.2024"/>
    <x v="1"/>
    <x v="11"/>
    <x v="1"/>
    <m/>
  </r>
  <r>
    <x v="12"/>
    <x v="0"/>
    <x v="278"/>
    <x v="106"/>
    <x v="188"/>
    <s v="HOUSING            DBD.20P1X/"/>
    <s v="AF"/>
    <n v="45.32"/>
    <n v="1"/>
    <n v="45.32"/>
    <x v="214"/>
    <n v="42"/>
    <n v="2024"/>
    <n v="71"/>
    <x v="72"/>
    <n v="64"/>
    <n v="60"/>
    <s v="approved"/>
    <n v="56"/>
    <s v="yes"/>
    <m/>
    <m/>
    <m/>
    <m/>
    <m/>
    <m/>
    <x v="0"/>
    <x v="283"/>
    <x v="1059"/>
    <n v="5500511020"/>
    <s v="R900305239"/>
    <n v="1"/>
    <n v="45.32"/>
    <m/>
    <m/>
    <s v="20241410-08.11.2024"/>
    <x v="1"/>
    <x v="11"/>
    <x v="1"/>
    <m/>
  </r>
  <r>
    <x v="12"/>
    <x v="0"/>
    <x v="278"/>
    <x v="106"/>
    <x v="188"/>
    <s v="HOUSING            DBD.20P1X/"/>
    <s v="AF"/>
    <n v="45.32"/>
    <n v="14"/>
    <n v="634.48"/>
    <x v="214"/>
    <n v="42"/>
    <n v="2024"/>
    <n v="71"/>
    <x v="72"/>
    <n v="64"/>
    <n v="60"/>
    <s v="approved"/>
    <n v="56"/>
    <s v="yes"/>
    <m/>
    <m/>
    <m/>
    <m/>
    <m/>
    <m/>
    <x v="0"/>
    <x v="283"/>
    <x v="1059"/>
    <n v="5500511020"/>
    <s v="R900305239"/>
    <n v="14"/>
    <n v="634.48"/>
    <m/>
    <m/>
    <s v="20241410-08.11.2024"/>
    <x v="1"/>
    <x v="11"/>
    <x v="1"/>
    <m/>
  </r>
  <r>
    <x v="12"/>
    <x v="0"/>
    <x v="278"/>
    <x v="106"/>
    <x v="188"/>
    <s v="HOUSING            DBD.20P1X/"/>
    <s v="AF"/>
    <n v="45.32"/>
    <n v="12"/>
    <n v="543.84"/>
    <x v="359"/>
    <n v="47"/>
    <n v="2024"/>
    <n v="71"/>
    <x v="72"/>
    <n v="64"/>
    <n v="60"/>
    <s v="approved"/>
    <n v="56"/>
    <s v="yes"/>
    <m/>
    <m/>
    <m/>
    <m/>
    <m/>
    <m/>
    <x v="0"/>
    <x v="293"/>
    <x v="1060"/>
    <n v="5500511020"/>
    <s v="R900305239"/>
    <n v="12"/>
    <n v="543.84"/>
    <m/>
    <m/>
    <s v="20250044-18.01.2025"/>
    <x v="1"/>
    <x v="4"/>
    <x v="1"/>
    <m/>
  </r>
  <r>
    <x v="12"/>
    <x v="0"/>
    <x v="278"/>
    <x v="106"/>
    <x v="188"/>
    <s v="HOUSING            DBD.20P1X/"/>
    <s v="AF"/>
    <n v="45.32"/>
    <n v="45"/>
    <n v="2039.4"/>
    <x v="360"/>
    <n v="48"/>
    <n v="2024"/>
    <n v="71"/>
    <x v="72"/>
    <n v="64"/>
    <n v="60"/>
    <s v="approved"/>
    <n v="56"/>
    <s v="yes"/>
    <m/>
    <m/>
    <m/>
    <m/>
    <m/>
    <m/>
    <x v="0"/>
    <x v="338"/>
    <x v="1061"/>
    <n v="5500511020"/>
    <s v="R900305239"/>
    <n v="45"/>
    <n v="2039.4"/>
    <m/>
    <m/>
    <s v="20241548-12.12.2024"/>
    <x v="1"/>
    <x v="4"/>
    <x v="1"/>
    <m/>
  </r>
  <r>
    <x v="12"/>
    <x v="0"/>
    <x v="278"/>
    <x v="106"/>
    <x v="188"/>
    <s v="HOUSING            DBD.20P1X/"/>
    <s v="AF"/>
    <n v="43.11"/>
    <n v="27"/>
    <n v="1163.97"/>
    <x v="76"/>
    <n v="3"/>
    <n v="2025"/>
    <n v="71"/>
    <x v="72"/>
    <n v="64"/>
    <n v="60"/>
    <s v="approved"/>
    <n v="56"/>
    <s v="yes"/>
    <m/>
    <m/>
    <m/>
    <m/>
    <m/>
    <m/>
    <x v="0"/>
    <x v="293"/>
    <x v="1060"/>
    <n v="5500511020"/>
    <s v="R900305239"/>
    <n v="27"/>
    <n v="1163.97"/>
    <m/>
    <m/>
    <s v="20250044-18.01.2025"/>
    <x v="0"/>
    <x v="6"/>
    <x v="0"/>
    <m/>
  </r>
  <r>
    <x v="12"/>
    <x v="0"/>
    <x v="278"/>
    <x v="106"/>
    <x v="188"/>
    <s v="HOUSING            DBD.20P1X/"/>
    <s v="AF"/>
    <n v="43.11"/>
    <n v="17"/>
    <n v="732.87"/>
    <x v="76"/>
    <n v="3"/>
    <n v="2025"/>
    <n v="71"/>
    <x v="72"/>
    <n v="64"/>
    <n v="60"/>
    <s v="approved"/>
    <n v="56"/>
    <s v="yes"/>
    <m/>
    <m/>
    <m/>
    <m/>
    <m/>
    <m/>
    <x v="0"/>
    <x v="225"/>
    <x v="1062"/>
    <n v="5500511020"/>
    <s v="R900305239"/>
    <n v="17"/>
    <n v="732.87"/>
    <m/>
    <m/>
    <s v="20250091-29.01.2025"/>
    <x v="1"/>
    <x v="6"/>
    <x v="0"/>
    <m/>
  </r>
  <r>
    <x v="12"/>
    <x v="0"/>
    <x v="278"/>
    <x v="106"/>
    <x v="188"/>
    <s v="HOUSING            DBD.20P1X/"/>
    <s v="AF"/>
    <n v="43.11"/>
    <n v="20"/>
    <n v="862.2"/>
    <x v="10"/>
    <n v="20"/>
    <n v="2025"/>
    <n v="71"/>
    <x v="72"/>
    <n v="64"/>
    <n v="60"/>
    <s v="approved"/>
    <n v="56"/>
    <s v="yes"/>
    <m/>
    <m/>
    <m/>
    <m/>
    <s v="Yes"/>
    <m/>
    <x v="0"/>
    <x v="155"/>
    <x v="1063"/>
    <n v="5500511020"/>
    <s v="R900305239"/>
    <n v="20"/>
    <n v="862.2"/>
    <m/>
    <m/>
    <s v="20250775-20.06.2025"/>
    <x v="1"/>
    <x v="2"/>
    <x v="0"/>
    <m/>
  </r>
  <r>
    <x v="12"/>
    <x v="0"/>
    <x v="278"/>
    <x v="106"/>
    <x v="188"/>
    <s v="HOUSING            DBD.20P1X/"/>
    <s v="AF"/>
    <n v="43.11"/>
    <n v="37"/>
    <n v="1595.07"/>
    <x v="10"/>
    <n v="20"/>
    <n v="2025"/>
    <n v="71"/>
    <x v="72"/>
    <n v="64"/>
    <n v="60"/>
    <s v="approved"/>
    <n v="56"/>
    <s v="yes"/>
    <m/>
    <m/>
    <m/>
    <m/>
    <s v="Yes"/>
    <m/>
    <x v="0"/>
    <x v="155"/>
    <x v="1063"/>
    <n v="5500511020"/>
    <s v="R900305239"/>
    <n v="37"/>
    <n v="1595.07"/>
    <m/>
    <m/>
    <s v="20250775-20.06.2025"/>
    <x v="1"/>
    <x v="2"/>
    <x v="0"/>
    <m/>
  </r>
  <r>
    <x v="12"/>
    <x v="0"/>
    <x v="278"/>
    <x v="106"/>
    <x v="188"/>
    <s v="HOUSING            DBD.20P1X/"/>
    <s v="AF"/>
    <n v="43.11"/>
    <n v="80"/>
    <n v="3448.8"/>
    <x v="361"/>
    <n v="31"/>
    <n v="2025"/>
    <n v="71"/>
    <x v="72"/>
    <n v="64"/>
    <n v="60"/>
    <s v="approved"/>
    <n v="56"/>
    <s v="yes"/>
    <m/>
    <m/>
    <m/>
    <m/>
    <s v="Yes"/>
    <m/>
    <x v="0"/>
    <x v="281"/>
    <x v="1064"/>
    <n v="5500511020"/>
    <s v="R900305239"/>
    <n v="80"/>
    <n v="3448.8"/>
    <m/>
    <m/>
    <s v="20250907-14.07.2025"/>
    <x v="0"/>
    <x v="8"/>
    <x v="0"/>
    <m/>
  </r>
  <r>
    <x v="12"/>
    <x v="0"/>
    <x v="278"/>
    <x v="106"/>
    <x v="188"/>
    <s v="HOUSING            DBD.20P1X/"/>
    <s v="AF"/>
    <n v="43.11"/>
    <n v="82"/>
    <n v="3535.02"/>
    <x v="362"/>
    <n v="33"/>
    <n v="2025"/>
    <n v="71"/>
    <x v="72"/>
    <n v="64"/>
    <n v="60"/>
    <s v="approved"/>
    <n v="56"/>
    <s v="yes"/>
    <m/>
    <m/>
    <m/>
    <m/>
    <m/>
    <m/>
    <x v="0"/>
    <x v="7"/>
    <x v="1065"/>
    <n v="5500511020"/>
    <s v="R900305239"/>
    <n v="82"/>
    <n v="3535.02"/>
    <m/>
    <m/>
    <s v="20250955-24.07.2025"/>
    <x v="0"/>
    <x v="9"/>
    <x v="0"/>
    <m/>
  </r>
  <r>
    <x v="12"/>
    <x v="0"/>
    <x v="278"/>
    <x v="106"/>
    <x v="188"/>
    <s v="HOUSING            DBD.20P1X/"/>
    <s v="AF"/>
    <n v="43.11"/>
    <n v="7"/>
    <n v="301.77"/>
    <x v="120"/>
    <n v="44"/>
    <n v="2025"/>
    <n v="71"/>
    <x v="72"/>
    <n v="64"/>
    <n v="60"/>
    <s v="approved"/>
    <n v="56"/>
    <s v="yes"/>
    <m/>
    <m/>
    <m/>
    <m/>
    <m/>
    <m/>
    <x v="0"/>
    <x v="26"/>
    <x v="1066"/>
    <n v="5500511020"/>
    <s v="R900305239"/>
    <n v="7"/>
    <n v="301.77"/>
    <m/>
    <m/>
    <s v="20251018/31.07.2025/20251375/20251376-30.10.2025"/>
    <x v="0"/>
    <x v="11"/>
    <x v="0"/>
    <m/>
  </r>
  <r>
    <x v="12"/>
    <x v="0"/>
    <x v="278"/>
    <x v="106"/>
    <x v="188"/>
    <s v="HOUSING            DBD.20P1X/"/>
    <s v="AF"/>
    <n v="43.11"/>
    <n v="51"/>
    <n v="2198.61"/>
    <x v="120"/>
    <n v="44"/>
    <n v="2025"/>
    <n v="71"/>
    <x v="72"/>
    <n v="64"/>
    <n v="60"/>
    <s v="approved"/>
    <n v="56"/>
    <s v="yes"/>
    <m/>
    <m/>
    <m/>
    <m/>
    <m/>
    <m/>
    <x v="0"/>
    <x v="54"/>
    <x v="1067"/>
    <n v="5500511020"/>
    <s v="R900305239"/>
    <n v="51"/>
    <n v="2198.61"/>
    <m/>
    <m/>
    <s v="20251182-15.09.2025"/>
    <x v="0"/>
    <x v="11"/>
    <x v="0"/>
    <m/>
  </r>
  <r>
    <x v="12"/>
    <x v="0"/>
    <x v="278"/>
    <x v="106"/>
    <x v="188"/>
    <s v="HOUSING            DBD.20P1X/"/>
    <s v="AF"/>
    <n v="43.11"/>
    <n v="30"/>
    <n v="1293.3"/>
    <x v="363"/>
    <n v="46"/>
    <n v="2025"/>
    <n v="71"/>
    <x v="72"/>
    <n v="64"/>
    <n v="60"/>
    <s v="approved"/>
    <n v="56"/>
    <s v="yes"/>
    <m/>
    <m/>
    <m/>
    <m/>
    <m/>
    <m/>
    <x v="0"/>
    <x v="54"/>
    <x v="1067"/>
    <n v="5500511020"/>
    <s v="R900305239"/>
    <n v="30"/>
    <n v="1293.3"/>
    <m/>
    <m/>
    <s v="20251182-15.09.2025"/>
    <x v="0"/>
    <x v="4"/>
    <x v="0"/>
    <m/>
  </r>
  <r>
    <x v="12"/>
    <x v="0"/>
    <x v="278"/>
    <x v="106"/>
    <x v="188"/>
    <s v="HOUSING            DBD.20P1X/"/>
    <s v="AF"/>
    <n v="0"/>
    <n v="9"/>
    <n v="0"/>
    <x v="85"/>
    <n v="1"/>
    <n v="2026"/>
    <n v="71"/>
    <x v="72"/>
    <n v="64"/>
    <n v="60"/>
    <s v="approved"/>
    <n v="56"/>
    <s v="yes"/>
    <m/>
    <m/>
    <m/>
    <m/>
    <m/>
    <m/>
    <x v="0"/>
    <x v="54"/>
    <x v="1067"/>
    <n v="5500511020"/>
    <s v="R900305239"/>
    <n v="9"/>
    <n v="0"/>
    <m/>
    <m/>
    <s v="20251182-15.09.2025"/>
    <x v="0"/>
    <x v="6"/>
    <x v="3"/>
    <m/>
  </r>
  <r>
    <x v="12"/>
    <x v="0"/>
    <x v="278"/>
    <x v="106"/>
    <x v="188"/>
    <s v="HOUSING            DBD.20P1X/"/>
    <s v="AF"/>
    <n v="0"/>
    <n v="60"/>
    <n v="2311.3200000000002"/>
    <x v="85"/>
    <n v="1"/>
    <n v="2026"/>
    <n v="71"/>
    <x v="72"/>
    <n v="64"/>
    <n v="60"/>
    <s v="approved"/>
    <s v="No"/>
    <m/>
    <m/>
    <s v=""/>
    <s v=""/>
    <m/>
    <n v="0"/>
    <m/>
    <x v="1"/>
    <x v="3"/>
    <x v="4"/>
    <m/>
    <s v=""/>
    <m/>
    <n v="0"/>
    <m/>
    <m/>
    <m/>
    <x v="2"/>
    <x v="6"/>
    <x v="3"/>
    <m/>
  </r>
  <r>
    <x v="12"/>
    <x v="0"/>
    <x v="278"/>
    <x v="106"/>
    <x v="188"/>
    <s v="HOUSING            DBD.20P1X/"/>
    <s v="AF"/>
    <n v="0"/>
    <n v="60"/>
    <n v="0"/>
    <x v="28"/>
    <n v="11"/>
    <n v="2026"/>
    <n v="71"/>
    <x v="72"/>
    <n v="64"/>
    <n v="60"/>
    <s v="approved"/>
    <n v="56"/>
    <s v="yes"/>
    <m/>
    <m/>
    <m/>
    <m/>
    <m/>
    <m/>
    <x v="1"/>
    <x v="3"/>
    <x v="4"/>
    <s v=""/>
    <s v=""/>
    <m/>
    <n v="0"/>
    <m/>
    <m/>
    <m/>
    <x v="2"/>
    <x v="5"/>
    <x v="3"/>
    <m/>
  </r>
  <r>
    <x v="12"/>
    <x v="0"/>
    <x v="279"/>
    <x v="106"/>
    <x v="189"/>
    <s v="HOUSING            DBD.20P1X/V"/>
    <s v="g"/>
    <n v="45.57"/>
    <n v="27"/>
    <n v="1230.3900000000001"/>
    <x v="279"/>
    <n v="26"/>
    <n v="2024"/>
    <n v="109"/>
    <x v="72"/>
    <n v="20"/>
    <n v="60"/>
    <s v="approved"/>
    <n v="56"/>
    <s v="yes"/>
    <m/>
    <m/>
    <m/>
    <m/>
    <m/>
    <n v="242205"/>
    <x v="0"/>
    <x v="69"/>
    <x v="1068"/>
    <n v="5500511021"/>
    <s v="R900305240"/>
    <n v="27"/>
    <n v="1230.3900000000001"/>
    <m/>
    <m/>
    <s v="20240777-26.06.2024"/>
    <x v="0"/>
    <x v="0"/>
    <x v="1"/>
    <m/>
  </r>
  <r>
    <x v="12"/>
    <x v="0"/>
    <x v="279"/>
    <x v="171"/>
    <x v="189"/>
    <s v="HOUSING            DBD.20P1X/V"/>
    <s v="g"/>
    <n v="45.57"/>
    <n v="3"/>
    <n v="136.71"/>
    <x v="75"/>
    <n v="39"/>
    <n v="2024"/>
    <n v="109"/>
    <x v="72"/>
    <n v="20"/>
    <n v="60"/>
    <s v="approved"/>
    <n v="56"/>
    <s v="yes"/>
    <m/>
    <m/>
    <m/>
    <m/>
    <m/>
    <m/>
    <x v="0"/>
    <x v="224"/>
    <x v="1069"/>
    <n v="5500511021"/>
    <s v="R900305240"/>
    <n v="3"/>
    <n v="136.71"/>
    <m/>
    <m/>
    <s v="20241230-27.09.2024"/>
    <x v="0"/>
    <x v="10"/>
    <x v="1"/>
    <m/>
  </r>
  <r>
    <x v="12"/>
    <x v="1"/>
    <x v="279"/>
    <x v="171"/>
    <x v="189"/>
    <s v="HOUSING            DBD.20P1X/V"/>
    <s v="g"/>
    <n v="45.25"/>
    <n v="20"/>
    <n v="905"/>
    <x v="92"/>
    <n v="34"/>
    <n v="2025"/>
    <n v="109"/>
    <x v="72"/>
    <n v="20"/>
    <n v="60"/>
    <s v="approved"/>
    <n v="56"/>
    <s v="yes"/>
    <m/>
    <m/>
    <m/>
    <m/>
    <m/>
    <m/>
    <x v="0"/>
    <x v="336"/>
    <x v="1070"/>
    <n v="5500511021"/>
    <s v="R900305240"/>
    <n v="20"/>
    <n v="905"/>
    <m/>
    <m/>
    <s v="20251310-15.10.2025"/>
    <x v="1"/>
    <x v="9"/>
    <x v="0"/>
    <m/>
  </r>
  <r>
    <x v="12"/>
    <x v="1"/>
    <x v="279"/>
    <x v="171"/>
    <x v="189"/>
    <s v="HOUSING            DBD.20P1X/V"/>
    <s v="g"/>
    <n v="45.25"/>
    <n v="40"/>
    <n v="1810"/>
    <x v="364"/>
    <n v="44"/>
    <n v="2025"/>
    <n v="109"/>
    <x v="72"/>
    <n v="20"/>
    <n v="60"/>
    <s v="approved"/>
    <s v="No"/>
    <m/>
    <m/>
    <s v=""/>
    <s v=""/>
    <m/>
    <n v="0"/>
    <m/>
    <x v="0"/>
    <x v="336"/>
    <x v="1070"/>
    <n v="5500511021"/>
    <s v="R900305240"/>
    <n v="40"/>
    <n v="1810"/>
    <m/>
    <m/>
    <s v="20251310-15.10.2025"/>
    <x v="1"/>
    <x v="10"/>
    <x v="0"/>
    <m/>
  </r>
  <r>
    <x v="12"/>
    <x v="1"/>
    <x v="279"/>
    <x v="171"/>
    <x v="189"/>
    <s v="HOUSING            DBD.20P1X/V"/>
    <s v="g"/>
    <n v="45.25"/>
    <n v="2"/>
    <n v="90.5"/>
    <x v="156"/>
    <n v="48"/>
    <n v="2025"/>
    <n v="109"/>
    <x v="72"/>
    <n v="20"/>
    <n v="60"/>
    <s v="approved"/>
    <n v="4.1666666666666664E-2"/>
    <m/>
    <m/>
    <m/>
    <m/>
    <m/>
    <m/>
    <m/>
    <x v="0"/>
    <x v="336"/>
    <x v="1070"/>
    <n v="5500511021"/>
    <s v="R900305240"/>
    <n v="2"/>
    <n v="90.5"/>
    <m/>
    <m/>
    <s v="20251310-15.10.2025"/>
    <x v="0"/>
    <x v="4"/>
    <x v="0"/>
    <m/>
  </r>
  <r>
    <x v="12"/>
    <x v="1"/>
    <x v="279"/>
    <x v="171"/>
    <x v="189"/>
    <s v="HOUSING            DBD.20P1X/V"/>
    <s v="g"/>
    <n v="45.25"/>
    <n v="18"/>
    <n v="814.5"/>
    <x v="156"/>
    <n v="48"/>
    <n v="2025"/>
    <n v="109"/>
    <x v="72"/>
    <n v="20"/>
    <n v="60"/>
    <s v="approved"/>
    <n v="56"/>
    <s v="yes"/>
    <m/>
    <m/>
    <m/>
    <m/>
    <m/>
    <m/>
    <x v="1"/>
    <x v="3"/>
    <x v="4"/>
    <s v=""/>
    <s v=""/>
    <m/>
    <n v="0"/>
    <m/>
    <m/>
    <m/>
    <x v="2"/>
    <x v="4"/>
    <x v="0"/>
    <m/>
  </r>
  <r>
    <x v="12"/>
    <x v="0"/>
    <x v="280"/>
    <x v="3"/>
    <x v="190"/>
    <s v="HOUSING            DBD.25G1X/"/>
    <s v="f"/>
    <n v="118.15"/>
    <n v="50"/>
    <n v="5907.5"/>
    <x v="365"/>
    <n v="16"/>
    <n v="2024"/>
    <n v="33"/>
    <x v="73"/>
    <n v="12"/>
    <n v="60"/>
    <s v="approved"/>
    <n v="42"/>
    <s v="no"/>
    <m/>
    <m/>
    <m/>
    <m/>
    <m/>
    <s v="241317 / 241403/ 241708"/>
    <x v="0"/>
    <x v="4"/>
    <x v="1071"/>
    <n v="5500511022"/>
    <s v="R900305241"/>
    <n v="50"/>
    <n v="5907.5"/>
    <m/>
    <m/>
    <s v="20240395-11.04.2024"/>
    <x v="0"/>
    <x v="1"/>
    <x v="1"/>
    <m/>
  </r>
  <r>
    <x v="12"/>
    <x v="0"/>
    <x v="280"/>
    <x v="73"/>
    <x v="190"/>
    <s v="HOUSING            DBD.25G1X/"/>
    <s v="f"/>
    <n v="118.15"/>
    <n v="50"/>
    <n v="5907.5"/>
    <x v="366"/>
    <n v="17"/>
    <n v="2024"/>
    <n v="33"/>
    <x v="73"/>
    <n v="12"/>
    <n v="60"/>
    <s v="approved"/>
    <n v="42"/>
    <s v="no"/>
    <m/>
    <m/>
    <m/>
    <m/>
    <m/>
    <s v="241317 / 241403/ 241709"/>
    <x v="0"/>
    <x v="174"/>
    <x v="1072"/>
    <n v="5500511022"/>
    <s v="R900305241"/>
    <n v="50"/>
    <n v="5907.5"/>
    <m/>
    <s v="TRANSPORT 84 EUR"/>
    <s v="20240445-24.04.2024"/>
    <x v="0"/>
    <x v="1"/>
    <x v="1"/>
    <m/>
  </r>
  <r>
    <x v="12"/>
    <x v="0"/>
    <x v="280"/>
    <x v="73"/>
    <x v="190"/>
    <s v="HOUSING            DBD.25G1X/"/>
    <s v="f"/>
    <n v="118.15"/>
    <n v="46"/>
    <n v="5434.9000000000005"/>
    <x v="367"/>
    <n v="20"/>
    <n v="2024"/>
    <n v="33"/>
    <x v="73"/>
    <n v="12"/>
    <n v="60"/>
    <s v="approved"/>
    <n v="42"/>
    <s v="no"/>
    <m/>
    <m/>
    <m/>
    <m/>
    <m/>
    <s v="241413 / 241509/ 241708"/>
    <x v="0"/>
    <x v="174"/>
    <x v="1073"/>
    <n v="5500511022"/>
    <s v="R900305241"/>
    <n v="10"/>
    <n v="1181.5"/>
    <m/>
    <m/>
    <s v="20240446-24.04.2024"/>
    <x v="0"/>
    <x v="2"/>
    <x v="1"/>
    <m/>
  </r>
  <r>
    <x v="12"/>
    <x v="0"/>
    <x v="280"/>
    <x v="73"/>
    <x v="190"/>
    <s v="HOUSING            DBD.25G1X/"/>
    <s v="f"/>
    <n v="118.15"/>
    <n v="36"/>
    <n v="4253.4000000000005"/>
    <x v="367"/>
    <n v="20"/>
    <n v="2024"/>
    <n v="33"/>
    <x v="73"/>
    <n v="12"/>
    <n v="60"/>
    <s v="approved"/>
    <n v="42"/>
    <s v="no"/>
    <m/>
    <m/>
    <m/>
    <m/>
    <m/>
    <m/>
    <x v="0"/>
    <x v="175"/>
    <x v="1074"/>
    <n v="5500511022"/>
    <s v="R900305241"/>
    <n v="36"/>
    <n v="4253.4000000000005"/>
    <m/>
    <s v="TRANSPORT 86 EUR"/>
    <s v="20240447-25.04.2024"/>
    <x v="0"/>
    <x v="2"/>
    <x v="1"/>
    <m/>
  </r>
  <r>
    <x v="12"/>
    <x v="0"/>
    <x v="280"/>
    <x v="171"/>
    <x v="190"/>
    <s v="HOUSING            DBD.25G1X/"/>
    <s v="f"/>
    <n v="118.15"/>
    <n v="5"/>
    <n v="590.75"/>
    <x v="75"/>
    <n v="39"/>
    <n v="2024"/>
    <n v="33"/>
    <x v="73"/>
    <n v="12"/>
    <n v="60"/>
    <s v="approved"/>
    <n v="42"/>
    <s v="no"/>
    <m/>
    <m/>
    <m/>
    <m/>
    <m/>
    <m/>
    <x v="0"/>
    <x v="224"/>
    <x v="1075"/>
    <n v="5500511022"/>
    <s v="R900305241"/>
    <n v="5"/>
    <n v="590.75"/>
    <m/>
    <m/>
    <s v="20241231-27.09.2024"/>
    <x v="0"/>
    <x v="10"/>
    <x v="1"/>
    <m/>
  </r>
  <r>
    <x v="12"/>
    <x v="0"/>
    <x v="280"/>
    <x v="171"/>
    <x v="190"/>
    <s v="HOUSING            DBD.25G1X/"/>
    <s v="f"/>
    <n v="118.15"/>
    <n v="60"/>
    <n v="7089"/>
    <x v="135"/>
    <n v="41"/>
    <n v="2025"/>
    <n v="33"/>
    <x v="73"/>
    <n v="12"/>
    <n v="60"/>
    <s v="approved"/>
    <n v="42"/>
    <s v="no"/>
    <m/>
    <m/>
    <m/>
    <m/>
    <m/>
    <m/>
    <x v="1"/>
    <x v="3"/>
    <x v="4"/>
    <s v=""/>
    <s v=""/>
    <m/>
    <n v="0"/>
    <m/>
    <m/>
    <m/>
    <x v="1"/>
    <x v="11"/>
    <x v="0"/>
    <m/>
  </r>
  <r>
    <x v="12"/>
    <x v="0"/>
    <x v="281"/>
    <x v="106"/>
    <x v="191"/>
    <s v="HOUSING            DBD.30G1X/"/>
    <s v="B"/>
    <n v="118.16"/>
    <n v="101"/>
    <n v="11934.16"/>
    <x v="352"/>
    <n v="41"/>
    <n v="2024"/>
    <n v="49"/>
    <x v="74"/>
    <n v="32"/>
    <n v="60"/>
    <s v="approved"/>
    <n v="42"/>
    <s v="no"/>
    <m/>
    <m/>
    <m/>
    <m/>
    <m/>
    <m/>
    <x v="0"/>
    <x v="229"/>
    <x v="1076"/>
    <n v="5500511023"/>
    <s v="R900305244"/>
    <n v="101"/>
    <n v="11934.16"/>
    <m/>
    <s v="piese reclamate pt vopsea - nu a fost documentata vopsirea (nu aparea nicaieri ca se vopseste)"/>
    <s v="20241347-28.10.2024"/>
    <x v="1"/>
    <x v="11"/>
    <x v="1"/>
    <m/>
  </r>
  <r>
    <x v="12"/>
    <x v="0"/>
    <x v="281"/>
    <x v="172"/>
    <x v="191"/>
    <s v="HOUSING            DBD.30G1X/"/>
    <s v="B"/>
    <n v="118.16"/>
    <n v="21"/>
    <n v="2481.36"/>
    <x v="205"/>
    <n v="45"/>
    <n v="2025"/>
    <n v="49"/>
    <x v="74"/>
    <n v="32"/>
    <n v="60"/>
    <s v="approved"/>
    <n v="42"/>
    <s v="yes"/>
    <m/>
    <m/>
    <m/>
    <m/>
    <m/>
    <m/>
    <x v="0"/>
    <x v="54"/>
    <x v="1077"/>
    <n v="5500511023"/>
    <s v="R900305244"/>
    <n v="21"/>
    <n v="2481.36"/>
    <m/>
    <s v="Piese vopsite "/>
    <s v="20251181-15.09.2025"/>
    <x v="0"/>
    <x v="4"/>
    <x v="0"/>
    <m/>
  </r>
  <r>
    <x v="12"/>
    <x v="0"/>
    <x v="281"/>
    <x v="172"/>
    <x v="191"/>
    <s v="HOUSING            DBD.30G1X/"/>
    <s v="B"/>
    <n v="118.16"/>
    <n v="20"/>
    <n v="2363.1999999999998"/>
    <x v="205"/>
    <n v="45"/>
    <n v="2025"/>
    <n v="49"/>
    <x v="74"/>
    <n v="32"/>
    <n v="60"/>
    <s v="approved"/>
    <n v="42"/>
    <s v="yes"/>
    <m/>
    <m/>
    <m/>
    <m/>
    <m/>
    <m/>
    <x v="0"/>
    <x v="20"/>
    <x v="1078"/>
    <n v="5500511023"/>
    <s v="R900305244"/>
    <n v="20"/>
    <n v="2363.1999999999998"/>
    <m/>
    <m/>
    <s v="20251244-30.09.2025"/>
    <x v="0"/>
    <x v="4"/>
    <x v="0"/>
    <m/>
  </r>
  <r>
    <x v="12"/>
    <x v="0"/>
    <x v="282"/>
    <x v="169"/>
    <x v="192"/>
    <s v="HOUSING DBD.30P1X/"/>
    <s v="h"/>
    <n v="121.64"/>
    <n v="1"/>
    <n v="121.64"/>
    <x v="368"/>
    <n v="2"/>
    <n v="2025"/>
    <n v="46"/>
    <x v="74"/>
    <n v="12"/>
    <n v="60"/>
    <s v="approved"/>
    <n v="56"/>
    <s v="yes"/>
    <m/>
    <m/>
    <m/>
    <m/>
    <m/>
    <m/>
    <x v="0"/>
    <x v="327"/>
    <x v="1079"/>
    <n v="5500511024"/>
    <s v="R900305247"/>
    <n v="1"/>
    <n v="121.64"/>
    <m/>
    <m/>
    <s v="20250073-27.01.2025"/>
    <x v="1"/>
    <x v="6"/>
    <x v="0"/>
    <m/>
  </r>
  <r>
    <x v="12"/>
    <x v="0"/>
    <x v="282"/>
    <x v="169"/>
    <x v="192"/>
    <s v="HOUSING DBD.30P1X/"/>
    <s v="h"/>
    <n v="121.64"/>
    <n v="32"/>
    <n v="3892.48"/>
    <x v="368"/>
    <n v="2"/>
    <n v="2025"/>
    <n v="46"/>
    <x v="74"/>
    <n v="12"/>
    <n v="60"/>
    <s v="approved"/>
    <n v="56"/>
    <s v="yes"/>
    <m/>
    <m/>
    <m/>
    <m/>
    <m/>
    <m/>
    <x v="0"/>
    <x v="327"/>
    <x v="1079"/>
    <n v="5500511024"/>
    <s v="R900305247"/>
    <n v="32"/>
    <n v="3892.48"/>
    <m/>
    <m/>
    <s v="20250073-27.01.2025"/>
    <x v="1"/>
    <x v="6"/>
    <x v="0"/>
    <m/>
  </r>
  <r>
    <x v="12"/>
    <x v="0"/>
    <x v="282"/>
    <x v="169"/>
    <x v="192"/>
    <s v="HOUSING DBD.30P1X/"/>
    <s v="h"/>
    <n v="121.64"/>
    <n v="28"/>
    <n v="3405.92"/>
    <x v="348"/>
    <n v="45"/>
    <n v="2025"/>
    <n v="46"/>
    <x v="74"/>
    <n v="12"/>
    <n v="60"/>
    <s v="approved"/>
    <n v="56"/>
    <s v="yes"/>
    <m/>
    <m/>
    <m/>
    <m/>
    <m/>
    <m/>
    <x v="0"/>
    <x v="44"/>
    <x v="1080"/>
    <n v="5500511024"/>
    <s v="R900305247"/>
    <n v="28"/>
    <n v="3405.92"/>
    <m/>
    <m/>
    <s v="20251114-26.08.2025"/>
    <x v="0"/>
    <x v="4"/>
    <x v="0"/>
    <m/>
  </r>
  <r>
    <x v="12"/>
    <x v="0"/>
    <x v="282"/>
    <x v="169"/>
    <x v="192"/>
    <s v="HOUSING DBD.30P1X/"/>
    <s v="h"/>
    <n v="121.64"/>
    <n v="12"/>
    <n v="1459.68"/>
    <x v="348"/>
    <n v="45"/>
    <n v="2025"/>
    <n v="46"/>
    <x v="74"/>
    <n v="12"/>
    <n v="60"/>
    <s v="approved"/>
    <n v="56"/>
    <s v="yes"/>
    <m/>
    <m/>
    <m/>
    <m/>
    <m/>
    <m/>
    <x v="1"/>
    <x v="3"/>
    <x v="4"/>
    <s v=""/>
    <s v=""/>
    <m/>
    <n v="0"/>
    <m/>
    <m/>
    <m/>
    <x v="2"/>
    <x v="4"/>
    <x v="0"/>
    <m/>
  </r>
  <r>
    <x v="12"/>
    <x v="0"/>
    <x v="283"/>
    <x v="106"/>
    <x v="193"/>
    <s v="HOUSING            DBD.30P1X/V"/>
    <s v="f"/>
    <n v="94.43"/>
    <n v="12"/>
    <n v="1133.1600000000001"/>
    <x v="369"/>
    <n v="32"/>
    <n v="2024"/>
    <n v="720"/>
    <x v="74"/>
    <n v="20"/>
    <n v="60"/>
    <s v="approved"/>
    <n v="56"/>
    <s v="yes"/>
    <m/>
    <m/>
    <m/>
    <m/>
    <m/>
    <n v="242708"/>
    <x v="0"/>
    <x v="124"/>
    <x v="1081"/>
    <n v="5500511025"/>
    <s v="R900305248"/>
    <n v="12"/>
    <n v="1133.1600000000001"/>
    <m/>
    <m/>
    <s v="20240991-05.08.2024"/>
    <x v="0"/>
    <x v="9"/>
    <x v="1"/>
    <m/>
  </r>
  <r>
    <x v="12"/>
    <x v="0"/>
    <x v="283"/>
    <x v="86"/>
    <x v="193"/>
    <s v="HOUSING            DBD.30P1X/V"/>
    <s v="f"/>
    <n v="94.43"/>
    <n v="7"/>
    <n v="661.01"/>
    <x v="370"/>
    <n v="34"/>
    <n v="2024"/>
    <n v="720"/>
    <x v="74"/>
    <n v="20"/>
    <n v="60"/>
    <s v="approved"/>
    <n v="56"/>
    <s v="yes"/>
    <m/>
    <m/>
    <m/>
    <m/>
    <m/>
    <m/>
    <x v="0"/>
    <x v="19"/>
    <x v="1082"/>
    <n v="5500511025"/>
    <s v="R900305248"/>
    <n v="7"/>
    <n v="661.01"/>
    <m/>
    <s v="cu derogare"/>
    <s v="20241097-23.08.2024"/>
    <x v="0"/>
    <x v="9"/>
    <x v="1"/>
    <m/>
  </r>
  <r>
    <x v="12"/>
    <x v="0"/>
    <x v="284"/>
    <x v="75"/>
    <x v="194"/>
    <s v="HOUSING            DBD.10G13/V"/>
    <s v="h"/>
    <n v="27.56"/>
    <n v="27"/>
    <n v="744.12"/>
    <x v="292"/>
    <n v="42"/>
    <n v="2024"/>
    <n v="0"/>
    <x v="70"/>
    <n v="150"/>
    <m/>
    <s v="approved"/>
    <n v="56"/>
    <s v="yes"/>
    <m/>
    <m/>
    <m/>
    <m/>
    <m/>
    <m/>
    <x v="0"/>
    <x v="35"/>
    <x v="1083"/>
    <n v="5500511026"/>
    <s v="R900320547"/>
    <n v="27"/>
    <n v="744.12"/>
    <m/>
    <s v="blocate la client"/>
    <s v="20241380-04.11.2024"/>
    <x v="1"/>
    <x v="11"/>
    <x v="1"/>
    <m/>
  </r>
  <r>
    <x v="12"/>
    <x v="0"/>
    <x v="284"/>
    <x v="75"/>
    <x v="194"/>
    <s v="HOUSING            DBD.10G13/V"/>
    <s v="h"/>
    <n v="27.56"/>
    <n v="32"/>
    <n v="881.92"/>
    <x v="292"/>
    <n v="42"/>
    <n v="2024"/>
    <n v="0"/>
    <x v="70"/>
    <n v="150"/>
    <n v="60"/>
    <s v="approved"/>
    <n v="56"/>
    <s v="yes"/>
    <m/>
    <m/>
    <m/>
    <m/>
    <m/>
    <m/>
    <x v="0"/>
    <x v="290"/>
    <x v="1084"/>
    <n v="5500511026"/>
    <s v="R900320547"/>
    <n v="32"/>
    <n v="881.92"/>
    <m/>
    <m/>
    <s v="20241529-06.12.2024"/>
    <x v="1"/>
    <x v="11"/>
    <x v="1"/>
    <m/>
  </r>
  <r>
    <x v="12"/>
    <x v="0"/>
    <x v="284"/>
    <x v="75"/>
    <x v="194"/>
    <s v="HOUSING            DBD.10G13/V"/>
    <s v="h"/>
    <n v="27.56"/>
    <n v="2"/>
    <n v="55.12"/>
    <x v="252"/>
    <n v="3"/>
    <n v="2025"/>
    <n v="0"/>
    <x v="70"/>
    <n v="150"/>
    <n v="60"/>
    <s v="approved"/>
    <n v="56"/>
    <s v="yes"/>
    <m/>
    <m/>
    <m/>
    <m/>
    <m/>
    <m/>
    <x v="0"/>
    <x v="293"/>
    <x v="1085"/>
    <n v="5500511026"/>
    <s v="R900320547"/>
    <n v="2"/>
    <n v="55.12"/>
    <m/>
    <m/>
    <s v="20250046-18.01.2025"/>
    <x v="0"/>
    <x v="6"/>
    <x v="0"/>
    <m/>
  </r>
  <r>
    <x v="12"/>
    <x v="0"/>
    <x v="284"/>
    <x v="75"/>
    <x v="194"/>
    <s v="HOUSING            DBD.10G13/V"/>
    <s v="h"/>
    <n v="27.56"/>
    <n v="14"/>
    <n v="385.84"/>
    <x v="252"/>
    <n v="3"/>
    <n v="2025"/>
    <n v="0"/>
    <x v="70"/>
    <n v="150"/>
    <n v="60"/>
    <s v="approved"/>
    <n v="56"/>
    <s v="yes"/>
    <m/>
    <m/>
    <m/>
    <m/>
    <m/>
    <m/>
    <x v="0"/>
    <x v="334"/>
    <x v="1086"/>
    <n v="5500511026"/>
    <s v="R900320547"/>
    <n v="14"/>
    <n v="385.84"/>
    <m/>
    <m/>
    <s v="20250139-10.02.2025"/>
    <x v="1"/>
    <x v="6"/>
    <x v="0"/>
    <m/>
  </r>
  <r>
    <x v="12"/>
    <x v="0"/>
    <x v="284"/>
    <x v="75"/>
    <x v="194"/>
    <s v="HOUSING            DBD.10G13/V"/>
    <s v="h"/>
    <n v="27.56"/>
    <n v="18"/>
    <n v="496.08"/>
    <x v="145"/>
    <n v="10"/>
    <n v="2025"/>
    <n v="0"/>
    <x v="70"/>
    <n v="150"/>
    <n v="60"/>
    <s v="approved"/>
    <n v="56"/>
    <s v="yes"/>
    <m/>
    <m/>
    <m/>
    <m/>
    <m/>
    <m/>
    <x v="0"/>
    <x v="334"/>
    <x v="1086"/>
    <n v="5500511026"/>
    <s v="R900320547"/>
    <n v="18"/>
    <n v="496.08"/>
    <m/>
    <m/>
    <s v="20250139-10.02.2025"/>
    <x v="0"/>
    <x v="5"/>
    <x v="0"/>
    <m/>
  </r>
  <r>
    <x v="12"/>
    <x v="0"/>
    <x v="284"/>
    <x v="75"/>
    <x v="194"/>
    <s v="HOUSING            DBD.10G13/V"/>
    <s v="h"/>
    <n v="27.56"/>
    <n v="14"/>
    <n v="385.84"/>
    <x v="371"/>
    <n v="15"/>
    <n v="2025"/>
    <n v="0"/>
    <x v="70"/>
    <n v="150"/>
    <n v="60"/>
    <s v="approved"/>
    <n v="56"/>
    <s v="yes"/>
    <m/>
    <m/>
    <m/>
    <m/>
    <m/>
    <m/>
    <x v="0"/>
    <x v="334"/>
    <x v="1086"/>
    <n v="5500511026"/>
    <s v="R900320547"/>
    <n v="14"/>
    <n v="385.84"/>
    <m/>
    <m/>
    <s v="20250139-10.02.2025"/>
    <x v="0"/>
    <x v="1"/>
    <x v="0"/>
    <m/>
  </r>
  <r>
    <x v="12"/>
    <x v="0"/>
    <x v="284"/>
    <x v="75"/>
    <x v="194"/>
    <s v="HOUSING            DBD.10G13/V"/>
    <s v="h"/>
    <n v="27.56"/>
    <n v="20"/>
    <n v="551.19999999999993"/>
    <x v="341"/>
    <n v="31"/>
    <n v="2025"/>
    <n v="0"/>
    <x v="70"/>
    <n v="150"/>
    <n v="60"/>
    <s v="approved"/>
    <n v="0.41666666666666669"/>
    <m/>
    <m/>
    <m/>
    <m/>
    <m/>
    <m/>
    <m/>
    <x v="0"/>
    <x v="109"/>
    <x v="1087"/>
    <n v="5500511026"/>
    <s v="R900320547"/>
    <n v="20"/>
    <n v="551.19999999999993"/>
    <m/>
    <m/>
    <s v="20251224-24.09.2025"/>
    <x v="1"/>
    <x v="9"/>
    <x v="0"/>
    <m/>
  </r>
  <r>
    <x v="12"/>
    <x v="0"/>
    <x v="284"/>
    <x v="75"/>
    <x v="194"/>
    <s v="HOUSING            DBD.10G13/V"/>
    <s v="h"/>
    <n v="27.56"/>
    <n v="12"/>
    <n v="330.71999999999997"/>
    <x v="341"/>
    <n v="31"/>
    <n v="2025"/>
    <n v="0"/>
    <x v="70"/>
    <n v="150"/>
    <n v="60"/>
    <s v="approved"/>
    <n v="56"/>
    <s v="yes"/>
    <m/>
    <m/>
    <m/>
    <m/>
    <m/>
    <m/>
    <x v="0"/>
    <x v="20"/>
    <x v="1088"/>
    <n v="5500511026"/>
    <s v="R900320547"/>
    <n v="12"/>
    <n v="330.71999999999997"/>
    <m/>
    <m/>
    <s v="20251243-30.09.2025"/>
    <x v="1"/>
    <x v="9"/>
    <x v="0"/>
    <m/>
  </r>
  <r>
    <x v="12"/>
    <x v="0"/>
    <x v="284"/>
    <x v="75"/>
    <x v="194"/>
    <s v="HOUSING            DBD.10G13/V"/>
    <s v="h"/>
    <n v="27.56"/>
    <n v="32"/>
    <n v="881.92"/>
    <x v="80"/>
    <n v="36"/>
    <n v="2025"/>
    <n v="0"/>
    <x v="70"/>
    <n v="150"/>
    <n v="61"/>
    <s v="approved"/>
    <n v="56"/>
    <s v="yes"/>
    <m/>
    <m/>
    <m/>
    <m/>
    <m/>
    <m/>
    <x v="0"/>
    <x v="20"/>
    <x v="1088"/>
    <n v="5500511026"/>
    <s v="R900320547"/>
    <n v="32"/>
    <n v="881.92"/>
    <m/>
    <m/>
    <s v="20251243-30.09.2025"/>
    <x v="1"/>
    <x v="10"/>
    <x v="0"/>
    <m/>
  </r>
  <r>
    <x v="12"/>
    <x v="0"/>
    <x v="284"/>
    <x v="75"/>
    <x v="194"/>
    <s v="HOUSING            DBD.10G13/V"/>
    <s v="h"/>
    <n v="27.56"/>
    <n v="36"/>
    <n v="992.16"/>
    <x v="372"/>
    <n v="49"/>
    <n v="2025"/>
    <n v="0"/>
    <x v="70"/>
    <n v="150"/>
    <n v="61"/>
    <s v="approved"/>
    <n v="56"/>
    <s v="yes"/>
    <m/>
    <m/>
    <m/>
    <m/>
    <m/>
    <m/>
    <x v="0"/>
    <x v="20"/>
    <x v="1088"/>
    <n v="5500511026"/>
    <s v="R900320547"/>
    <n v="36"/>
    <n v="992.16"/>
    <m/>
    <m/>
    <s v="20251243-30.09.2025"/>
    <x v="0"/>
    <x v="3"/>
    <x v="0"/>
    <m/>
  </r>
  <r>
    <x v="12"/>
    <x v="0"/>
    <x v="285"/>
    <x v="75"/>
    <x v="195"/>
    <s v="HOUSING            DBD.20G1X/V"/>
    <s v="g"/>
    <n v="46.06"/>
    <n v="16"/>
    <n v="736.96"/>
    <x v="4"/>
    <n v="21"/>
    <n v="2024"/>
    <n v="96"/>
    <x v="72"/>
    <n v="16"/>
    <n v="60"/>
    <s v="approved"/>
    <n v="56"/>
    <s v="yes"/>
    <m/>
    <m/>
    <m/>
    <m/>
    <m/>
    <s v="240910 / 241009"/>
    <x v="0"/>
    <x v="136"/>
    <x v="1089"/>
    <n v="5500511027"/>
    <s v="R900320551"/>
    <n v="16"/>
    <n v="736.96"/>
    <m/>
    <m/>
    <s v="20240571-17.05.2024"/>
    <x v="0"/>
    <x v="2"/>
    <x v="1"/>
    <m/>
  </r>
  <r>
    <x v="12"/>
    <x v="0"/>
    <x v="285"/>
    <x v="106"/>
    <x v="195"/>
    <s v="HOUSING            DBD.20G1X/V"/>
    <s v="g"/>
    <n v="46.06"/>
    <n v="16"/>
    <n v="736.96"/>
    <x v="373"/>
    <n v="22"/>
    <n v="2024"/>
    <n v="96"/>
    <x v="72"/>
    <n v="16"/>
    <n v="60"/>
    <s v="approved"/>
    <n v="56"/>
    <s v="yes"/>
    <m/>
    <m/>
    <m/>
    <m/>
    <m/>
    <s v="241903/242209"/>
    <x v="0"/>
    <x v="258"/>
    <x v="1090"/>
    <n v="5500511027"/>
    <s v="R900320551"/>
    <n v="16"/>
    <n v="736.96"/>
    <m/>
    <m/>
    <s v="20240642-31.05.2024"/>
    <x v="1"/>
    <x v="2"/>
    <x v="1"/>
    <m/>
  </r>
  <r>
    <x v="12"/>
    <x v="0"/>
    <x v="285"/>
    <x v="106"/>
    <x v="195"/>
    <s v="HOUSING            DBD.20G1X/V"/>
    <s v="g"/>
    <n v="46.06"/>
    <n v="16"/>
    <n v="736.96"/>
    <x v="125"/>
    <n v="28"/>
    <n v="2024"/>
    <n v="96"/>
    <x v="72"/>
    <n v="16"/>
    <n v="60"/>
    <s v="approved"/>
    <n v="56"/>
    <s v="yes"/>
    <m/>
    <m/>
    <m/>
    <m/>
    <m/>
    <s v="241903/242710"/>
    <x v="0"/>
    <x v="247"/>
    <x v="1091"/>
    <n v="5500511027"/>
    <s v="R900320551"/>
    <n v="16"/>
    <n v="736.96"/>
    <m/>
    <m/>
    <s v="20240859-09.07.2024"/>
    <x v="0"/>
    <x v="8"/>
    <x v="1"/>
    <m/>
  </r>
  <r>
    <x v="12"/>
    <x v="0"/>
    <x v="285"/>
    <x v="106"/>
    <x v="195"/>
    <s v="HOUSING            DBD.20G1X/V"/>
    <s v="g"/>
    <n v="46.06"/>
    <n v="8"/>
    <n v="368.48"/>
    <x v="374"/>
    <n v="50"/>
    <n v="2024"/>
    <n v="96"/>
    <x v="72"/>
    <n v="16"/>
    <n v="60"/>
    <s v="approved"/>
    <n v="56"/>
    <s v="yes"/>
    <m/>
    <m/>
    <m/>
    <m/>
    <m/>
    <m/>
    <x v="0"/>
    <x v="338"/>
    <x v="1092"/>
    <n v="5500511027"/>
    <s v="R900320551"/>
    <n v="8"/>
    <n v="368.48"/>
    <m/>
    <m/>
    <s v="20241549-12.12.2024"/>
    <x v="0"/>
    <x v="3"/>
    <x v="1"/>
    <m/>
  </r>
  <r>
    <x v="12"/>
    <x v="0"/>
    <x v="285"/>
    <x v="106"/>
    <x v="195"/>
    <s v="HOUSING            DBD.20G1X/V"/>
    <s v="g"/>
    <n v="46.06"/>
    <n v="8"/>
    <n v="368.48"/>
    <x v="374"/>
    <n v="50"/>
    <n v="2024"/>
    <n v="96"/>
    <x v="72"/>
    <n v="16"/>
    <n v="60"/>
    <s v="approved"/>
    <n v="56"/>
    <s v="yes"/>
    <m/>
    <m/>
    <m/>
    <m/>
    <m/>
    <m/>
    <x v="0"/>
    <x v="291"/>
    <x v="1093"/>
    <n v="5500511027"/>
    <s v="R900320551"/>
    <n v="8"/>
    <n v="368.48"/>
    <m/>
    <m/>
    <s v="20241570-14.12.2024"/>
    <x v="0"/>
    <x v="3"/>
    <x v="1"/>
    <m/>
  </r>
  <r>
    <x v="12"/>
    <x v="0"/>
    <x v="285"/>
    <x v="86"/>
    <x v="195"/>
    <s v="HOUSING            DBD.20G1X/V"/>
    <s v="g"/>
    <n v="46.06"/>
    <n v="1"/>
    <n v="46.06"/>
    <x v="195"/>
    <n v="8"/>
    <n v="2025"/>
    <n v="96"/>
    <x v="72"/>
    <n v="16"/>
    <n v="61"/>
    <s v="approved"/>
    <n v="56"/>
    <s v="yes"/>
    <m/>
    <m/>
    <m/>
    <m/>
    <m/>
    <m/>
    <x v="0"/>
    <x v="291"/>
    <x v="1094"/>
    <n v="5500511027"/>
    <s v="R900320551"/>
    <n v="1"/>
    <n v="46.06"/>
    <m/>
    <m/>
    <s v="20241570-14.12.2024"/>
    <x v="0"/>
    <x v="7"/>
    <x v="0"/>
    <m/>
  </r>
  <r>
    <x v="12"/>
    <x v="0"/>
    <x v="285"/>
    <x v="86"/>
    <x v="195"/>
    <s v="HOUSING            DBD.20G1X/V"/>
    <s v="g"/>
    <n v="46.06"/>
    <n v="7"/>
    <n v="322.42"/>
    <x v="195"/>
    <n v="8"/>
    <n v="2025"/>
    <n v="96"/>
    <x v="72"/>
    <n v="16"/>
    <n v="61"/>
    <s v="approved"/>
    <n v="56"/>
    <s v="yes"/>
    <m/>
    <m/>
    <m/>
    <m/>
    <s v="Yes"/>
    <m/>
    <x v="0"/>
    <x v="334"/>
    <x v="1095"/>
    <n v="5500511027"/>
    <s v="R900320551"/>
    <n v="7"/>
    <n v="322.42"/>
    <m/>
    <m/>
    <s v="20250140-10.02.2025"/>
    <x v="0"/>
    <x v="7"/>
    <x v="0"/>
    <m/>
  </r>
  <r>
    <x v="12"/>
    <x v="0"/>
    <x v="285"/>
    <x v="86"/>
    <x v="195"/>
    <s v="HOUSING            DBD.20G1X/V"/>
    <s v="g"/>
    <n v="46.06"/>
    <n v="9"/>
    <n v="414.54"/>
    <x v="375"/>
    <n v="30"/>
    <n v="2025"/>
    <n v="96"/>
    <x v="72"/>
    <n v="16"/>
    <n v="61"/>
    <s v="approved"/>
    <n v="56"/>
    <s v="yes"/>
    <m/>
    <m/>
    <m/>
    <m/>
    <m/>
    <m/>
    <x v="0"/>
    <x v="281"/>
    <x v="1096"/>
    <n v="5500511027"/>
    <s v="R900320551"/>
    <n v="25"/>
    <n v="1151.5"/>
    <m/>
    <m/>
    <s v="20250908-14.07.2025"/>
    <x v="0"/>
    <x v="8"/>
    <x v="0"/>
    <m/>
  </r>
  <r>
    <x v="12"/>
    <x v="0"/>
    <x v="285"/>
    <x v="86"/>
    <x v="195"/>
    <s v="HOUSING            DBD.20G1X/V"/>
    <s v="g"/>
    <n v="46.06"/>
    <n v="1"/>
    <n v="46.06"/>
    <x v="375"/>
    <n v="30"/>
    <n v="2025"/>
    <n v="96"/>
    <x v="72"/>
    <n v="16"/>
    <n v="61"/>
    <s v="approved"/>
    <n v="56"/>
    <s v="yes"/>
    <m/>
    <m/>
    <m/>
    <m/>
    <m/>
    <m/>
    <x v="0"/>
    <x v="7"/>
    <x v="1097"/>
    <n v="5500511027"/>
    <s v="R900320551"/>
    <n v="1"/>
    <n v="46.06"/>
    <m/>
    <m/>
    <s v="20250958-24.07.2025"/>
    <x v="0"/>
    <x v="8"/>
    <x v="0"/>
    <m/>
  </r>
  <r>
    <x v="12"/>
    <x v="0"/>
    <x v="285"/>
    <x v="86"/>
    <x v="195"/>
    <s v="HOUSING            DBD.20G1X/V"/>
    <s v="g"/>
    <n v="46.06"/>
    <n v="15"/>
    <n v="690.90000000000009"/>
    <x v="376"/>
    <n v="31"/>
    <n v="2025"/>
    <n v="96"/>
    <x v="72"/>
    <n v="16"/>
    <n v="61"/>
    <s v="approved"/>
    <n v="56"/>
    <s v="yes"/>
    <m/>
    <m/>
    <m/>
    <m/>
    <s v="Yes"/>
    <m/>
    <x v="0"/>
    <x v="172"/>
    <x v="1098"/>
    <n v="5500511027"/>
    <s v="R900320551"/>
    <n v="15"/>
    <n v="690.90000000000009"/>
    <m/>
    <m/>
    <s v="20250420-28.03.2025"/>
    <x v="0"/>
    <x v="8"/>
    <x v="0"/>
    <m/>
  </r>
  <r>
    <x v="12"/>
    <x v="0"/>
    <x v="285"/>
    <x v="86"/>
    <x v="195"/>
    <s v="HOUSING            DBD.20G1X/V"/>
    <s v="g"/>
    <n v="46.06"/>
    <n v="1"/>
    <n v="46.06"/>
    <x v="376"/>
    <n v="31"/>
    <n v="2025"/>
    <n v="96"/>
    <x v="72"/>
    <n v="16"/>
    <n v="61"/>
    <s v="approved"/>
    <n v="56"/>
    <s v="yes"/>
    <m/>
    <m/>
    <m/>
    <m/>
    <s v="Yes"/>
    <m/>
    <x v="0"/>
    <x v="276"/>
    <x v="1099"/>
    <n v="5500511027"/>
    <s v="R900320551"/>
    <n v="1"/>
    <n v="46.06"/>
    <m/>
    <m/>
    <s v="20250441-03.04.2025"/>
    <x v="0"/>
    <x v="8"/>
    <x v="0"/>
    <m/>
  </r>
  <r>
    <x v="12"/>
    <x v="0"/>
    <x v="285"/>
    <x v="86"/>
    <x v="195"/>
    <s v="HOUSING            DBD.20G1X/V"/>
    <s v="g"/>
    <n v="46.06"/>
    <n v="7"/>
    <n v="322.42"/>
    <x v="377"/>
    <n v="32"/>
    <n v="2025"/>
    <n v="96"/>
    <x v="72"/>
    <n v="16"/>
    <n v="61"/>
    <s v="approved"/>
    <n v="56"/>
    <s v="yes"/>
    <m/>
    <m/>
    <m/>
    <m/>
    <m/>
    <m/>
    <x v="0"/>
    <x v="44"/>
    <x v="1100"/>
    <n v="5500511027"/>
    <s v="R900320551"/>
    <n v="7"/>
    <n v="322.42"/>
    <m/>
    <m/>
    <s v="20251117-26.08.2025"/>
    <x v="1"/>
    <x v="9"/>
    <x v="0"/>
    <m/>
  </r>
  <r>
    <x v="12"/>
    <x v="0"/>
    <x v="285"/>
    <x v="86"/>
    <x v="195"/>
    <s v="HOUSING            DBD.20G1X/V"/>
    <s v="g"/>
    <n v="46.06"/>
    <n v="29"/>
    <n v="1335.74"/>
    <x v="329"/>
    <n v="40"/>
    <n v="2025"/>
    <n v="96"/>
    <x v="72"/>
    <n v="16"/>
    <n v="61"/>
    <s v="approved"/>
    <n v="56"/>
    <s v="yes"/>
    <m/>
    <m/>
    <m/>
    <m/>
    <m/>
    <m/>
    <x v="0"/>
    <x v="135"/>
    <x v="1101"/>
    <n v="5500511027"/>
    <s v="R900320551"/>
    <n v="29"/>
    <n v="1335.74"/>
    <m/>
    <m/>
    <s v="20251412-31.10.2025"/>
    <x v="1"/>
    <x v="11"/>
    <x v="0"/>
    <m/>
  </r>
  <r>
    <x v="12"/>
    <x v="0"/>
    <x v="285"/>
    <x v="86"/>
    <x v="195"/>
    <s v="HOUSING            DBD.20G1X/V"/>
    <s v="g"/>
    <n v="46.06"/>
    <n v="12"/>
    <n v="552.72"/>
    <x v="378"/>
    <n v="46"/>
    <n v="2025"/>
    <n v="96"/>
    <x v="72"/>
    <n v="16"/>
    <n v="61"/>
    <s v="approved"/>
    <n v="56"/>
    <s v="yes"/>
    <m/>
    <m/>
    <m/>
    <m/>
    <m/>
    <m/>
    <x v="0"/>
    <x v="135"/>
    <x v="1101"/>
    <n v="5500511027"/>
    <s v="R900320551"/>
    <n v="12"/>
    <n v="552.72"/>
    <m/>
    <m/>
    <s v="20251412-31.10.2025"/>
    <x v="0"/>
    <x v="4"/>
    <x v="0"/>
    <m/>
  </r>
  <r>
    <x v="12"/>
    <x v="1"/>
    <x v="285"/>
    <x v="86"/>
    <x v="195"/>
    <s v="HOUSING            DBD.20G1X/V"/>
    <s v="g"/>
    <n v="0"/>
    <n v="23"/>
    <n v="0"/>
    <x v="379"/>
    <n v="2"/>
    <n v="2026"/>
    <n v="96"/>
    <x v="72"/>
    <n v="16"/>
    <n v="61"/>
    <s v="approved"/>
    <n v="56"/>
    <s v="yes"/>
    <m/>
    <m/>
    <m/>
    <m/>
    <m/>
    <m/>
    <x v="1"/>
    <x v="3"/>
    <x v="4"/>
    <s v=""/>
    <s v=""/>
    <m/>
    <n v="0"/>
    <m/>
    <m/>
    <m/>
    <x v="2"/>
    <x v="6"/>
    <x v="3"/>
    <m/>
  </r>
  <r>
    <x v="12"/>
    <x v="1"/>
    <x v="285"/>
    <x v="86"/>
    <x v="195"/>
    <s v="HOUSING            DBD.20G1X/V"/>
    <s v="g"/>
    <n v="0"/>
    <n v="28"/>
    <n v="0"/>
    <x v="380"/>
    <n v="9"/>
    <n v="2026"/>
    <n v="96"/>
    <x v="72"/>
    <n v="16"/>
    <n v="61"/>
    <s v="approved"/>
    <n v="56"/>
    <s v="yes"/>
    <m/>
    <m/>
    <m/>
    <m/>
    <m/>
    <m/>
    <x v="1"/>
    <x v="3"/>
    <x v="4"/>
    <s v=""/>
    <s v=""/>
    <m/>
    <n v="0"/>
    <m/>
    <m/>
    <m/>
    <x v="2"/>
    <x v="7"/>
    <x v="3"/>
    <m/>
  </r>
  <r>
    <x v="12"/>
    <x v="0"/>
    <x v="286"/>
    <x v="106"/>
    <x v="196"/>
    <s v="HOUSING            DBD.15G1X/./12"/>
    <s v="AF"/>
    <n v="57.53"/>
    <n v="7"/>
    <n v="402.71000000000004"/>
    <x v="181"/>
    <n v="31"/>
    <n v="2024"/>
    <n v="80"/>
    <x v="71"/>
    <n v="10"/>
    <n v="60"/>
    <s v="approved"/>
    <n v="56"/>
    <s v="yes"/>
    <m/>
    <m/>
    <m/>
    <m/>
    <m/>
    <n v="242508"/>
    <x v="0"/>
    <x v="124"/>
    <x v="1102"/>
    <n v="5500511029"/>
    <s v="R900324165"/>
    <n v="7"/>
    <n v="402.71000000000004"/>
    <m/>
    <m/>
    <s v="20240996-05.08.2024"/>
    <x v="0"/>
    <x v="9"/>
    <x v="1"/>
    <m/>
  </r>
  <r>
    <x v="12"/>
    <x v="0"/>
    <x v="286"/>
    <x v="86"/>
    <x v="196"/>
    <s v="HOUSING            DBD.15G1X/./12"/>
    <s v="AF"/>
    <n v="56.67"/>
    <n v="14"/>
    <n v="793.38"/>
    <x v="381"/>
    <n v="2"/>
    <n v="2025"/>
    <n v="80"/>
    <x v="71"/>
    <n v="10"/>
    <n v="60"/>
    <s v="approved"/>
    <n v="56"/>
    <s v="yes"/>
    <m/>
    <m/>
    <m/>
    <m/>
    <s v="Yes"/>
    <m/>
    <x v="0"/>
    <x v="12"/>
    <x v="1103"/>
    <n v="5500511029"/>
    <s v="R900324165"/>
    <n v="14"/>
    <n v="793.38"/>
    <m/>
    <m/>
    <s v="20250808-30.06.2025/20251365/20251366-30.10.2025"/>
    <x v="1"/>
    <x v="6"/>
    <x v="0"/>
    <m/>
  </r>
  <r>
    <x v="12"/>
    <x v="0"/>
    <x v="286"/>
    <x v="86"/>
    <x v="196"/>
    <s v="HOUSING            DBD.15G1X/./12"/>
    <s v="AF"/>
    <n v="56.67"/>
    <n v="1"/>
    <n v="56.67"/>
    <x v="381"/>
    <n v="2"/>
    <n v="2025"/>
    <n v="80"/>
    <x v="71"/>
    <n v="10"/>
    <n v="60"/>
    <s v="approved"/>
    <n v="56"/>
    <s v="yes"/>
    <m/>
    <m/>
    <m/>
    <m/>
    <s v="Yes"/>
    <m/>
    <x v="0"/>
    <x v="196"/>
    <x v="1104"/>
    <n v="5500511029"/>
    <s v="R900324165"/>
    <n v="1"/>
    <n v="56.67"/>
    <m/>
    <m/>
    <s v="20250876-09.07.2025"/>
    <x v="1"/>
    <x v="6"/>
    <x v="0"/>
    <m/>
  </r>
  <r>
    <x v="12"/>
    <x v="0"/>
    <x v="286"/>
    <x v="86"/>
    <x v="196"/>
    <s v="HOUSING            DBD.15G1X/./12"/>
    <s v="AF"/>
    <n v="56.67"/>
    <n v="5"/>
    <n v="283.35000000000002"/>
    <x v="260"/>
    <n v="24"/>
    <n v="2025"/>
    <n v="80"/>
    <x v="71"/>
    <n v="10"/>
    <n v="60"/>
    <s v="approved"/>
    <n v="56"/>
    <s v="yes"/>
    <m/>
    <m/>
    <m/>
    <m/>
    <s v="Yes"/>
    <m/>
    <x v="0"/>
    <x v="158"/>
    <x v="4"/>
    <s v=""/>
    <s v=""/>
    <n v="0"/>
    <n v="0"/>
    <m/>
    <s v="Comanda anulata"/>
    <s v="20250808-30.06.2025"/>
    <x v="0"/>
    <x v="0"/>
    <x v="0"/>
    <m/>
  </r>
  <r>
    <x v="12"/>
    <x v="0"/>
    <x v="287"/>
    <x v="106"/>
    <x v="197"/>
    <s v="HOUSING            DBD.20G1X/./12"/>
    <s v="AC"/>
    <n v="55.49"/>
    <n v="50"/>
    <n v="2774.5"/>
    <x v="382"/>
    <n v="19"/>
    <n v="2025"/>
    <n v="257"/>
    <x v="72"/>
    <n v="5"/>
    <n v="60"/>
    <s v="approved"/>
    <n v="56"/>
    <s v="yes"/>
    <m/>
    <m/>
    <m/>
    <m/>
    <s v="yes "/>
    <n v="251717"/>
    <x v="0"/>
    <x v="319"/>
    <x v="1105"/>
    <n v="5500511030"/>
    <s v="R900324167"/>
    <n v="50"/>
    <n v="2774.5"/>
    <m/>
    <m/>
    <s v="20250687-30.05.2025"/>
    <x v="1"/>
    <x v="2"/>
    <x v="0"/>
    <m/>
  </r>
  <r>
    <x v="12"/>
    <x v="0"/>
    <x v="287"/>
    <x v="106"/>
    <x v="197"/>
    <s v="HOUSING            DBD.20G1X/./12"/>
    <s v="AC"/>
    <n v="55.49"/>
    <n v="32"/>
    <n v="1775.68"/>
    <x v="70"/>
    <n v="23"/>
    <n v="2025"/>
    <n v="257"/>
    <x v="72"/>
    <n v="5"/>
    <n v="60"/>
    <s v="approved"/>
    <n v="56"/>
    <s v="yes"/>
    <m/>
    <m/>
    <m/>
    <m/>
    <s v="yes "/>
    <n v="251717"/>
    <x v="0"/>
    <x v="12"/>
    <x v="1106"/>
    <n v="5500511030"/>
    <s v="R900324167"/>
    <n v="32"/>
    <n v="1775.68"/>
    <m/>
    <m/>
    <s v="20250809-30.06.2025"/>
    <x v="1"/>
    <x v="0"/>
    <x v="0"/>
    <m/>
  </r>
  <r>
    <x v="11"/>
    <x v="0"/>
    <x v="288"/>
    <x v="8"/>
    <x v="198"/>
    <s v="BUSHING            M26X1,0X48,0 SW32 Z2&amp;"/>
    <s v="C"/>
    <n v="8.51"/>
    <n v="98"/>
    <n v="833.98"/>
    <x v="77"/>
    <n v="28"/>
    <n v="2025"/>
    <n v="918"/>
    <x v="75"/>
    <n v="500"/>
    <n v="42"/>
    <s v="approved"/>
    <n v="56"/>
    <s v="yes"/>
    <n v="0"/>
    <m/>
    <m/>
    <m/>
    <m/>
    <m/>
    <x v="0"/>
    <x v="339"/>
    <x v="1107"/>
    <n v="5500502906"/>
    <s v="R900542742"/>
    <n v="98"/>
    <n v="833.98"/>
    <m/>
    <m/>
    <s v="20250257-28.02.2025"/>
    <x v="0"/>
    <x v="8"/>
    <x v="0"/>
    <m/>
  </r>
  <r>
    <x v="11"/>
    <x v="0"/>
    <x v="288"/>
    <x v="8"/>
    <x v="198"/>
    <s v="BUSHING            M26X1,0X48,0 SW32 Z2&amp;"/>
    <s v="C"/>
    <n v="0"/>
    <n v="500"/>
    <n v="0"/>
    <x v="383"/>
    <n v="16"/>
    <n v="2026"/>
    <n v="918"/>
    <x v="75"/>
    <n v="500"/>
    <n v="42"/>
    <s v="approved"/>
    <n v="56"/>
    <s v="yes"/>
    <m/>
    <m/>
    <m/>
    <m/>
    <m/>
    <m/>
    <x v="1"/>
    <x v="3"/>
    <x v="4"/>
    <s v=""/>
    <s v=""/>
    <m/>
    <n v="0"/>
    <m/>
    <m/>
    <m/>
    <x v="2"/>
    <x v="1"/>
    <x v="3"/>
    <m/>
  </r>
  <r>
    <x v="11"/>
    <x v="0"/>
    <x v="289"/>
    <x v="75"/>
    <x v="199"/>
    <s v="THROTTLE SCREW     2FRM 10-3X/"/>
    <s v="AI"/>
    <n v="12.4"/>
    <n v="262"/>
    <n v="3248.8"/>
    <x v="384"/>
    <n v="4"/>
    <n v="2024"/>
    <n v="47"/>
    <x v="76"/>
    <n v="340"/>
    <n v="42"/>
    <s v="approved"/>
    <n v="40"/>
    <s v="yes"/>
    <m/>
    <m/>
    <m/>
    <m/>
    <m/>
    <m/>
    <x v="0"/>
    <x v="58"/>
    <x v="1108"/>
    <n v="5500492159"/>
    <s v="R900601576 - 519"/>
    <n v="47"/>
    <n v="582.80000000000007"/>
    <m/>
    <m/>
    <s v="20240386-16.04.2024"/>
    <x v="1"/>
    <x v="6"/>
    <x v="1"/>
    <m/>
  </r>
  <r>
    <x v="11"/>
    <x v="0"/>
    <x v="289"/>
    <x v="75"/>
    <x v="199"/>
    <s v="THROTTLE SCREW     2FRM 10-3X/"/>
    <s v="AI"/>
    <n v="12.4"/>
    <m/>
    <n v="0"/>
    <x v="384"/>
    <n v="4"/>
    <n v="2024"/>
    <n v="47"/>
    <x v="76"/>
    <n v="340"/>
    <m/>
    <m/>
    <n v="40"/>
    <m/>
    <m/>
    <m/>
    <m/>
    <m/>
    <m/>
    <m/>
    <x v="0"/>
    <x v="15"/>
    <x v="1109"/>
    <n v="5500492159"/>
    <s v="R900601576 - 519"/>
    <n v="197"/>
    <n v="2442.8000000000002"/>
    <m/>
    <m/>
    <s v="20240415-19.04.2024"/>
    <x v="1"/>
    <x v="6"/>
    <x v="1"/>
    <m/>
  </r>
  <r>
    <x v="11"/>
    <x v="0"/>
    <x v="289"/>
    <x v="75"/>
    <x v="199"/>
    <s v="THROTTLE SCREW     2FRM 10-3X/"/>
    <s v="AI"/>
    <n v="12.4"/>
    <m/>
    <n v="0"/>
    <x v="384"/>
    <n v="4"/>
    <n v="2024"/>
    <n v="47"/>
    <x v="76"/>
    <n v="340"/>
    <m/>
    <m/>
    <n v="40"/>
    <m/>
    <m/>
    <m/>
    <m/>
    <m/>
    <m/>
    <m/>
    <x v="0"/>
    <x v="175"/>
    <x v="1110"/>
    <n v="5500492159"/>
    <s v="R900601576 - 519"/>
    <n v="18"/>
    <n v="223.20000000000002"/>
    <m/>
    <m/>
    <s v="20240466-25.04.2024"/>
    <x v="1"/>
    <x v="6"/>
    <x v="1"/>
    <m/>
  </r>
  <r>
    <x v="11"/>
    <x v="0"/>
    <x v="289"/>
    <x v="75"/>
    <x v="199"/>
    <s v="THROTTLE SCREW     2FRM 10-3X/"/>
    <s v="AI"/>
    <n v="12.4"/>
    <n v="340"/>
    <n v="4216"/>
    <x v="385"/>
    <n v="8"/>
    <n v="2024"/>
    <n v="47"/>
    <x v="76"/>
    <n v="340"/>
    <n v="42"/>
    <s v="approved"/>
    <n v="40"/>
    <s v="yes"/>
    <m/>
    <m/>
    <m/>
    <m/>
    <m/>
    <m/>
    <x v="0"/>
    <x v="175"/>
    <x v="1110"/>
    <n v="5500492159"/>
    <s v="R900601576 - 519"/>
    <n v="82"/>
    <n v="1016.8000000000001"/>
    <m/>
    <m/>
    <s v="20240466-25.04.2024"/>
    <x v="1"/>
    <x v="7"/>
    <x v="1"/>
    <m/>
  </r>
  <r>
    <x v="11"/>
    <x v="0"/>
    <x v="289"/>
    <x v="75"/>
    <x v="199"/>
    <s v="THROTTLE SCREW     2FRM 10-3X/"/>
    <s v="AI"/>
    <n v="12.4"/>
    <m/>
    <n v="0"/>
    <x v="385"/>
    <n v="8"/>
    <n v="2024"/>
    <n v="47"/>
    <x v="76"/>
    <n v="340"/>
    <m/>
    <m/>
    <n v="40"/>
    <m/>
    <m/>
    <m/>
    <m/>
    <m/>
    <m/>
    <m/>
    <x v="0"/>
    <x v="340"/>
    <x v="1111"/>
    <n v="5500492159"/>
    <s v="R900601576 - 519"/>
    <n v="202"/>
    <n v="2504.8000000000002"/>
    <m/>
    <m/>
    <s v="20240480-29.04.2024"/>
    <x v="1"/>
    <x v="7"/>
    <x v="1"/>
    <m/>
  </r>
  <r>
    <x v="11"/>
    <x v="0"/>
    <x v="289"/>
    <x v="75"/>
    <x v="199"/>
    <s v="THROTTLE SCREW     2FRM 10-3X/"/>
    <s v="AI"/>
    <n v="12.4"/>
    <m/>
    <n v="0"/>
    <x v="385"/>
    <n v="8"/>
    <n v="2024"/>
    <n v="47"/>
    <x v="76"/>
    <n v="340"/>
    <m/>
    <m/>
    <n v="40"/>
    <m/>
    <m/>
    <m/>
    <m/>
    <m/>
    <m/>
    <m/>
    <x v="0"/>
    <x v="341"/>
    <x v="1112"/>
    <n v="5500492159"/>
    <s v="R900601576 - 519"/>
    <n v="56"/>
    <n v="694.4"/>
    <m/>
    <m/>
    <s v="20240640-31.05.2024"/>
    <x v="1"/>
    <x v="7"/>
    <x v="1"/>
    <m/>
  </r>
  <r>
    <x v="11"/>
    <x v="0"/>
    <x v="289"/>
    <x v="75"/>
    <x v="199"/>
    <s v="THROTTLE SCREW     2FRM 10-3X/"/>
    <s v="AI"/>
    <n v="12.4"/>
    <n v="340"/>
    <n v="4216"/>
    <x v="51"/>
    <n v="11"/>
    <n v="2024"/>
    <n v="47"/>
    <x v="76"/>
    <n v="340"/>
    <n v="42"/>
    <s v="approved"/>
    <n v="40"/>
    <s v="yes"/>
    <m/>
    <m/>
    <m/>
    <m/>
    <m/>
    <n v="241603"/>
    <x v="0"/>
    <x v="341"/>
    <x v="1112"/>
    <n v="5500492159"/>
    <s v="R900601576 - 519"/>
    <n v="6"/>
    <n v="74.400000000000006"/>
    <m/>
    <m/>
    <s v="20240640-31.05.2024"/>
    <x v="1"/>
    <x v="5"/>
    <x v="1"/>
    <m/>
  </r>
  <r>
    <x v="11"/>
    <x v="0"/>
    <x v="289"/>
    <x v="75"/>
    <x v="199"/>
    <s v="THROTTLE SCREW     2FRM 10-3X/"/>
    <s v="AI"/>
    <n v="12.4"/>
    <m/>
    <n v="0"/>
    <x v="51"/>
    <n v="11"/>
    <n v="2024"/>
    <n v="47"/>
    <x v="76"/>
    <n v="340"/>
    <m/>
    <m/>
    <n v="40"/>
    <m/>
    <m/>
    <m/>
    <m/>
    <m/>
    <m/>
    <m/>
    <x v="0"/>
    <x v="63"/>
    <x v="1113"/>
    <n v="5500492159"/>
    <s v="R900601576 - 519"/>
    <n v="135"/>
    <n v="1674"/>
    <m/>
    <m/>
    <s v="20240650-04.06.2024"/>
    <x v="1"/>
    <x v="5"/>
    <x v="1"/>
    <m/>
  </r>
  <r>
    <x v="11"/>
    <x v="0"/>
    <x v="289"/>
    <x v="75"/>
    <x v="199"/>
    <s v="THROTTLE SCREW     2FRM 10-3X/"/>
    <s v="AI"/>
    <n v="12.4"/>
    <m/>
    <n v="0"/>
    <x v="51"/>
    <n v="11"/>
    <n v="2024"/>
    <n v="47"/>
    <x v="76"/>
    <n v="340"/>
    <m/>
    <m/>
    <n v="40"/>
    <m/>
    <m/>
    <m/>
    <m/>
    <m/>
    <m/>
    <m/>
    <x v="0"/>
    <x v="260"/>
    <x v="1114"/>
    <n v="5500492159"/>
    <s v="R900601576 - 519"/>
    <n v="152"/>
    <n v="1884.8"/>
    <m/>
    <m/>
    <s v="20240670-06.06.2024"/>
    <x v="1"/>
    <x v="5"/>
    <x v="1"/>
    <m/>
  </r>
  <r>
    <x v="11"/>
    <x v="0"/>
    <x v="289"/>
    <x v="75"/>
    <x v="199"/>
    <s v="THROTTLE SCREW     2FRM 10-3X/"/>
    <s v="AI"/>
    <n v="12.4"/>
    <m/>
    <n v="0"/>
    <x v="51"/>
    <n v="11"/>
    <n v="2024"/>
    <n v="47"/>
    <x v="76"/>
    <n v="340"/>
    <m/>
    <m/>
    <n v="0"/>
    <m/>
    <m/>
    <m/>
    <m/>
    <m/>
    <m/>
    <m/>
    <x v="0"/>
    <x v="342"/>
    <x v="1115"/>
    <n v="5500492159"/>
    <s v="R900601576 - 519"/>
    <n v="47"/>
    <n v="582.80000000000007"/>
    <m/>
    <m/>
    <s v="20240675-11.06.2024"/>
    <x v="1"/>
    <x v="5"/>
    <x v="1"/>
    <m/>
  </r>
  <r>
    <x v="11"/>
    <x v="0"/>
    <x v="289"/>
    <x v="75"/>
    <x v="199"/>
    <s v="THROTTLE SCREW     2FRM 10-3X/"/>
    <s v="AI"/>
    <n v="12.4"/>
    <n v="340"/>
    <n v="4216"/>
    <x v="234"/>
    <n v="15"/>
    <n v="2024"/>
    <n v="47"/>
    <x v="76"/>
    <n v="340"/>
    <n v="42"/>
    <s v="approved"/>
    <n v="40"/>
    <s v="yes"/>
    <m/>
    <m/>
    <m/>
    <m/>
    <m/>
    <s v="241603 /241511"/>
    <x v="0"/>
    <x v="342"/>
    <x v="1115"/>
    <n v="5500492159"/>
    <s v="R900601576 - 519"/>
    <n v="17"/>
    <n v="210.8"/>
    <m/>
    <m/>
    <s v="20240675-11.06.2024"/>
    <x v="1"/>
    <x v="1"/>
    <x v="1"/>
    <m/>
  </r>
  <r>
    <x v="11"/>
    <x v="0"/>
    <x v="289"/>
    <x v="75"/>
    <x v="199"/>
    <s v="THROTTLE SCREW     2FRM 10-3X/"/>
    <s v="AI"/>
    <n v="12.4"/>
    <m/>
    <n v="0"/>
    <x v="234"/>
    <n v="15"/>
    <n v="2024"/>
    <n v="47"/>
    <x v="76"/>
    <n v="340"/>
    <m/>
    <m/>
    <n v="0"/>
    <m/>
    <m/>
    <m/>
    <m/>
    <m/>
    <m/>
    <m/>
    <x v="0"/>
    <x v="122"/>
    <x v="1116"/>
    <n v="5500492159"/>
    <s v="R900601576 - 519"/>
    <n v="181"/>
    <n v="2244.4"/>
    <m/>
    <m/>
    <s v="20240707-17.06.2024"/>
    <x v="1"/>
    <x v="1"/>
    <x v="1"/>
    <m/>
  </r>
  <r>
    <x v="11"/>
    <x v="0"/>
    <x v="289"/>
    <x v="75"/>
    <x v="199"/>
    <s v="THROTTLE SCREW     2FRM 10-3X/"/>
    <s v="AI"/>
    <n v="12.4"/>
    <m/>
    <n v="0"/>
    <x v="234"/>
    <n v="15"/>
    <n v="2024"/>
    <n v="47"/>
    <x v="76"/>
    <n v="340"/>
    <m/>
    <m/>
    <n v="0"/>
    <m/>
    <m/>
    <m/>
    <m/>
    <m/>
    <m/>
    <m/>
    <x v="0"/>
    <x v="65"/>
    <x v="1117"/>
    <n v="5500492159"/>
    <s v="R900601576 - 519"/>
    <n v="102"/>
    <n v="1264.8"/>
    <m/>
    <m/>
    <s v="20240708-18.06.2024"/>
    <x v="1"/>
    <x v="1"/>
    <x v="1"/>
    <m/>
  </r>
  <r>
    <x v="11"/>
    <x v="0"/>
    <x v="289"/>
    <x v="75"/>
    <x v="199"/>
    <s v="THROTTLE SCREW     2FRM 10-3X/"/>
    <s v="AI"/>
    <n v="12.4"/>
    <m/>
    <n v="0"/>
    <x v="234"/>
    <n v="15"/>
    <n v="2024"/>
    <n v="47"/>
    <x v="76"/>
    <n v="340"/>
    <m/>
    <m/>
    <n v="0"/>
    <m/>
    <m/>
    <m/>
    <m/>
    <m/>
    <m/>
    <m/>
    <x v="0"/>
    <x v="67"/>
    <x v="1118"/>
    <n v="5500492159"/>
    <s v="R900601576 - 519"/>
    <n v="40"/>
    <n v="496"/>
    <m/>
    <m/>
    <s v="20240734-21.06.2024"/>
    <x v="1"/>
    <x v="1"/>
    <x v="1"/>
    <m/>
  </r>
  <r>
    <x v="11"/>
    <x v="0"/>
    <x v="289"/>
    <x v="75"/>
    <x v="199"/>
    <s v="THROTTLE SCREW     2FRM 10-3X/"/>
    <s v="AI"/>
    <n v="12.4"/>
    <n v="340"/>
    <n v="4216"/>
    <x v="366"/>
    <n v="17"/>
    <n v="2024"/>
    <n v="47"/>
    <x v="76"/>
    <n v="340"/>
    <n v="42"/>
    <s v="approved"/>
    <n v="40"/>
    <s v="yes"/>
    <m/>
    <m/>
    <m/>
    <m/>
    <m/>
    <n v="241511"/>
    <x v="0"/>
    <x v="67"/>
    <x v="1118"/>
    <n v="5500492159"/>
    <s v="R900601576 - 519"/>
    <n v="96"/>
    <n v="1190.4000000000001"/>
    <m/>
    <m/>
    <s v="20240734-21.06.2024"/>
    <x v="1"/>
    <x v="1"/>
    <x v="1"/>
    <m/>
  </r>
  <r>
    <x v="11"/>
    <x v="0"/>
    <x v="289"/>
    <x v="75"/>
    <x v="199"/>
    <s v="THROTTLE SCREW     2FRM 10-3X/"/>
    <s v="AI"/>
    <n v="12.4"/>
    <m/>
    <n v="0"/>
    <x v="366"/>
    <n v="17"/>
    <n v="2024"/>
    <n v="47"/>
    <x v="76"/>
    <n v="340"/>
    <m/>
    <m/>
    <n v="0"/>
    <m/>
    <m/>
    <m/>
    <m/>
    <m/>
    <m/>
    <m/>
    <x v="0"/>
    <x v="69"/>
    <x v="1119"/>
    <n v="5500492159"/>
    <s v="R900601576 - 519"/>
    <n v="217"/>
    <n v="2690.8"/>
    <m/>
    <m/>
    <s v="20240779-26.06.2024"/>
    <x v="1"/>
    <x v="1"/>
    <x v="1"/>
    <m/>
  </r>
  <r>
    <x v="11"/>
    <x v="0"/>
    <x v="289"/>
    <x v="75"/>
    <x v="199"/>
    <s v="THROTTLE SCREW     2FRM 10-3X/"/>
    <s v="AI"/>
    <n v="12.4"/>
    <m/>
    <n v="0"/>
    <x v="366"/>
    <n v="17"/>
    <n v="2024"/>
    <n v="47"/>
    <x v="76"/>
    <n v="340"/>
    <m/>
    <m/>
    <n v="0"/>
    <m/>
    <m/>
    <m/>
    <m/>
    <m/>
    <m/>
    <m/>
    <x v="0"/>
    <x v="231"/>
    <x v="1120"/>
    <n v="5500492159"/>
    <s v="R900601576 - 519"/>
    <n v="27"/>
    <n v="334.8"/>
    <m/>
    <m/>
    <s v="20240883-12.07.2024"/>
    <x v="1"/>
    <x v="1"/>
    <x v="1"/>
    <m/>
  </r>
  <r>
    <x v="11"/>
    <x v="0"/>
    <x v="289"/>
    <x v="75"/>
    <x v="199"/>
    <s v="THROTTLE SCREW     2FRM 10-3X/"/>
    <s v="AI"/>
    <n v="12.4"/>
    <n v="340"/>
    <n v="4216"/>
    <x v="198"/>
    <n v="22"/>
    <n v="2024"/>
    <n v="47"/>
    <x v="76"/>
    <n v="340"/>
    <n v="42"/>
    <s v="approved"/>
    <n v="40"/>
    <s v="yes"/>
    <m/>
    <m/>
    <m/>
    <m/>
    <m/>
    <s v="241511 / 242103"/>
    <x v="0"/>
    <x v="231"/>
    <x v="1120"/>
    <n v="5500492159"/>
    <s v="R900601576 - 519"/>
    <n v="180"/>
    <n v="2232"/>
    <m/>
    <m/>
    <s v="20240883-12.07.2024"/>
    <x v="1"/>
    <x v="2"/>
    <x v="1"/>
    <m/>
  </r>
  <r>
    <x v="11"/>
    <x v="0"/>
    <x v="289"/>
    <x v="75"/>
    <x v="199"/>
    <s v="THROTTLE SCREW     2FRM 10-3X/"/>
    <s v="AI"/>
    <n v="12.4"/>
    <m/>
    <n v="0"/>
    <x v="198"/>
    <n v="22"/>
    <n v="2024"/>
    <n v="47"/>
    <x v="76"/>
    <n v="340"/>
    <m/>
    <m/>
    <n v="0"/>
    <m/>
    <m/>
    <m/>
    <m/>
    <m/>
    <m/>
    <m/>
    <x v="0"/>
    <x v="76"/>
    <x v="1121"/>
    <n v="5500492159"/>
    <s v="R900601576 - 519"/>
    <n v="140"/>
    <n v="1736"/>
    <m/>
    <m/>
    <s v="20240906-17.07.2024"/>
    <x v="1"/>
    <x v="2"/>
    <x v="1"/>
    <m/>
  </r>
  <r>
    <x v="11"/>
    <x v="0"/>
    <x v="289"/>
    <x v="75"/>
    <x v="199"/>
    <s v="THROTTLE SCREW     2FRM 10-3X/"/>
    <s v="AI"/>
    <n v="12.4"/>
    <m/>
    <n v="0"/>
    <x v="198"/>
    <n v="22"/>
    <n v="2024"/>
    <n v="47"/>
    <x v="76"/>
    <n v="340"/>
    <m/>
    <m/>
    <n v="0"/>
    <m/>
    <m/>
    <m/>
    <m/>
    <m/>
    <m/>
    <m/>
    <x v="0"/>
    <x v="78"/>
    <x v="1122"/>
    <n v="5500492159"/>
    <s v="R900601576 - 519"/>
    <n v="20"/>
    <n v="248"/>
    <m/>
    <m/>
    <s v="20240924-22.07.2024"/>
    <x v="1"/>
    <x v="2"/>
    <x v="1"/>
    <m/>
  </r>
  <r>
    <x v="11"/>
    <x v="0"/>
    <x v="289"/>
    <x v="75"/>
    <x v="199"/>
    <s v="THROTTLE SCREW     2FRM 10-3X/"/>
    <s v="AI"/>
    <n v="12.4"/>
    <n v="340"/>
    <n v="4216"/>
    <x v="349"/>
    <n v="27"/>
    <n v="2024"/>
    <n v="47"/>
    <x v="76"/>
    <n v="340"/>
    <n v="42"/>
    <s v="approved"/>
    <n v="40"/>
    <s v="yes"/>
    <m/>
    <m/>
    <m/>
    <m/>
    <m/>
    <n v="242103"/>
    <x v="0"/>
    <x v="78"/>
    <x v="1122"/>
    <n v="5500492159"/>
    <s v="R900601576 - 519"/>
    <n v="83"/>
    <n v="1029.2"/>
    <m/>
    <s v="initial 348 - intoarse  de catre client pt finalizare 245"/>
    <s v="20240924-22.07.2024/20241048-14.08.2024"/>
    <x v="1"/>
    <x v="8"/>
    <x v="1"/>
    <m/>
  </r>
  <r>
    <x v="11"/>
    <x v="0"/>
    <x v="289"/>
    <x v="75"/>
    <x v="199"/>
    <s v="THROTTLE SCREW     2FRM 10-3X/"/>
    <s v="AI"/>
    <n v="12.4"/>
    <m/>
    <n v="0"/>
    <x v="349"/>
    <n v="27"/>
    <n v="2024"/>
    <n v="47"/>
    <x v="76"/>
    <n v="340"/>
    <m/>
    <m/>
    <n v="40"/>
    <m/>
    <m/>
    <m/>
    <m/>
    <m/>
    <m/>
    <m/>
    <x v="0"/>
    <x v="82"/>
    <x v="1123"/>
    <n v="5500492159"/>
    <s v="R900601576 - 519"/>
    <n v="12"/>
    <n v="148.80000000000001"/>
    <m/>
    <m/>
    <s v="20240962-29.07.2024"/>
    <x v="1"/>
    <x v="8"/>
    <x v="1"/>
    <m/>
  </r>
  <r>
    <x v="11"/>
    <x v="0"/>
    <x v="289"/>
    <x v="75"/>
    <x v="199"/>
    <s v="THROTTLE SCREW     2FRM 10-3X/"/>
    <s v="AI"/>
    <n v="12.4"/>
    <m/>
    <n v="0"/>
    <x v="349"/>
    <n v="27"/>
    <n v="2024"/>
    <n v="47"/>
    <x v="76"/>
    <n v="340"/>
    <m/>
    <m/>
    <n v="0"/>
    <m/>
    <m/>
    <m/>
    <m/>
    <m/>
    <m/>
    <m/>
    <x v="0"/>
    <x v="82"/>
    <x v="1123"/>
    <n v="5500492159"/>
    <s v="R900601576 - 519"/>
    <n v="245"/>
    <n v="3038"/>
    <m/>
    <m/>
    <s v="20240962-29.07.2024"/>
    <x v="1"/>
    <x v="8"/>
    <x v="1"/>
    <m/>
  </r>
  <r>
    <x v="11"/>
    <x v="0"/>
    <x v="289"/>
    <x v="75"/>
    <x v="199"/>
    <s v="THROTTLE SCREW     2FRM 10-3X/"/>
    <s v="AI"/>
    <n v="12.4"/>
    <n v="340"/>
    <n v="4216"/>
    <x v="227"/>
    <n v="34"/>
    <n v="2024"/>
    <n v="47"/>
    <x v="76"/>
    <n v="340"/>
    <n v="42"/>
    <s v="approved"/>
    <n v="40"/>
    <s v="yes"/>
    <m/>
    <m/>
    <m/>
    <m/>
    <m/>
    <n v="242803"/>
    <x v="0"/>
    <x v="82"/>
    <x v="1123"/>
    <n v="5500492159"/>
    <s v="R900601576 - 519"/>
    <n v="182"/>
    <n v="2256.8000000000002"/>
    <m/>
    <m/>
    <s v="20240962-29.07.2024"/>
    <x v="0"/>
    <x v="9"/>
    <x v="1"/>
    <m/>
  </r>
  <r>
    <x v="11"/>
    <x v="0"/>
    <x v="289"/>
    <x v="75"/>
    <x v="199"/>
    <s v="THROTTLE SCREW     2FRM 10-3X/"/>
    <s v="AI"/>
    <n v="12.4"/>
    <n v="0"/>
    <n v="0"/>
    <x v="227"/>
    <n v="34"/>
    <n v="2024"/>
    <n v="47"/>
    <x v="76"/>
    <n v="340"/>
    <m/>
    <m/>
    <n v="0"/>
    <m/>
    <m/>
    <m/>
    <m/>
    <m/>
    <m/>
    <m/>
    <x v="0"/>
    <x v="343"/>
    <x v="1124"/>
    <n v="5500492159"/>
    <s v="R900601576 - 519"/>
    <n v="63"/>
    <n v="781.2"/>
    <m/>
    <m/>
    <s v="20241181-16.09.2024"/>
    <x v="1"/>
    <x v="9"/>
    <x v="1"/>
    <m/>
  </r>
  <r>
    <x v="11"/>
    <x v="0"/>
    <x v="289"/>
    <x v="75"/>
    <x v="199"/>
    <s v="THROTTLE SCREW     2FRM 10-3X/"/>
    <s v="AI"/>
    <n v="12.4"/>
    <n v="0"/>
    <n v="0"/>
    <x v="227"/>
    <n v="34"/>
    <n v="2024"/>
    <n v="47"/>
    <x v="76"/>
    <n v="340"/>
    <m/>
    <m/>
    <n v="0"/>
    <m/>
    <m/>
    <m/>
    <m/>
    <m/>
    <m/>
    <m/>
    <x v="0"/>
    <x v="210"/>
    <x v="1125"/>
    <n v="5500492159"/>
    <s v="R900601576 - 519"/>
    <n v="56"/>
    <n v="694.4"/>
    <m/>
    <m/>
    <s v="20241206-18.09.2024"/>
    <x v="1"/>
    <x v="9"/>
    <x v="1"/>
    <m/>
  </r>
  <r>
    <x v="11"/>
    <x v="0"/>
    <x v="289"/>
    <x v="75"/>
    <x v="199"/>
    <s v="THROTTLE SCREW     2FRM 10-3X/"/>
    <s v="AI"/>
    <n v="12.4"/>
    <m/>
    <n v="0"/>
    <x v="227"/>
    <n v="34"/>
    <n v="2024"/>
    <n v="47"/>
    <x v="76"/>
    <n v="340"/>
    <m/>
    <m/>
    <n v="0"/>
    <m/>
    <m/>
    <m/>
    <m/>
    <m/>
    <m/>
    <m/>
    <x v="0"/>
    <x v="41"/>
    <x v="1126"/>
    <n v="5500492159"/>
    <s v="R900601576 - 519"/>
    <n v="39"/>
    <n v="483.6"/>
    <m/>
    <m/>
    <s v="20241214-20.09.2024"/>
    <x v="1"/>
    <x v="9"/>
    <x v="1"/>
    <m/>
  </r>
  <r>
    <x v="11"/>
    <x v="0"/>
    <x v="289"/>
    <x v="75"/>
    <x v="199"/>
    <s v="THROTTLE SCREW     2FRM 10-3X/"/>
    <s v="AI"/>
    <n v="12.4"/>
    <n v="271"/>
    <n v="3360.4"/>
    <x v="75"/>
    <n v="39"/>
    <n v="2024"/>
    <n v="47"/>
    <x v="76"/>
    <n v="340"/>
    <n v="42"/>
    <s v="approved"/>
    <n v="40"/>
    <s v="yes"/>
    <m/>
    <m/>
    <m/>
    <m/>
    <m/>
    <m/>
    <x v="0"/>
    <x v="41"/>
    <x v="1126"/>
    <n v="5500492159"/>
    <s v="R900601576 - 519"/>
    <n v="116"/>
    <n v="1438.4"/>
    <m/>
    <m/>
    <s v="20241214-20.09.2024"/>
    <x v="0"/>
    <x v="10"/>
    <x v="1"/>
    <m/>
  </r>
  <r>
    <x v="11"/>
    <x v="0"/>
    <x v="289"/>
    <x v="75"/>
    <x v="199"/>
    <s v="THROTTLE SCREW     2FRM 10-3X/"/>
    <s v="AI"/>
    <n v="12.4"/>
    <n v="0"/>
    <n v="0"/>
    <x v="75"/>
    <n v="39"/>
    <n v="2024"/>
    <n v="47"/>
    <x v="76"/>
    <n v="340"/>
    <n v="42"/>
    <m/>
    <n v="40"/>
    <s v="yes"/>
    <m/>
    <m/>
    <m/>
    <m/>
    <m/>
    <m/>
    <x v="0"/>
    <x v="232"/>
    <x v="1127"/>
    <n v="5500492159"/>
    <s v="R900601576 - 519"/>
    <n v="135"/>
    <n v="1674"/>
    <m/>
    <m/>
    <s v="20241237-30.09.2024"/>
    <x v="1"/>
    <x v="10"/>
    <x v="1"/>
    <m/>
  </r>
  <r>
    <x v="11"/>
    <x v="0"/>
    <x v="289"/>
    <x v="75"/>
    <x v="199"/>
    <s v="THROTTLE SCREW     2FRM 10-3X/"/>
    <s v="AI"/>
    <n v="12.4"/>
    <n v="0"/>
    <n v="0"/>
    <x v="75"/>
    <n v="39"/>
    <n v="2024"/>
    <n v="47"/>
    <x v="76"/>
    <n v="340"/>
    <n v="42"/>
    <m/>
    <n v="40"/>
    <s v="yes"/>
    <m/>
    <m/>
    <m/>
    <m/>
    <m/>
    <m/>
    <x v="0"/>
    <x v="344"/>
    <x v="1128"/>
    <n v="5500492159"/>
    <s v="R900601576 - 519"/>
    <n v="20"/>
    <n v="248"/>
    <m/>
    <m/>
    <s v="20241257-02.10.2024"/>
    <x v="1"/>
    <x v="10"/>
    <x v="1"/>
    <m/>
  </r>
  <r>
    <x v="11"/>
    <x v="0"/>
    <x v="289"/>
    <x v="75"/>
    <x v="199"/>
    <s v="THROTTLE SCREW     2FRM 10-3X/"/>
    <s v="AI"/>
    <n v="12.4"/>
    <n v="56"/>
    <n v="694.4"/>
    <x v="386"/>
    <n v="43"/>
    <n v="2024"/>
    <n v="47"/>
    <x v="76"/>
    <n v="340"/>
    <n v="42"/>
    <s v="approved"/>
    <n v="40"/>
    <s v="yes"/>
    <m/>
    <m/>
    <m/>
    <s v="in stock"/>
    <m/>
    <n v="242803"/>
    <x v="0"/>
    <x v="344"/>
    <x v="1128"/>
    <n v="5500492159"/>
    <s v="R900601576 - 519"/>
    <n v="56"/>
    <n v="694.4"/>
    <m/>
    <m/>
    <s v="20241257-02.10.2024"/>
    <x v="0"/>
    <x v="11"/>
    <x v="1"/>
    <m/>
  </r>
  <r>
    <x v="11"/>
    <x v="0"/>
    <x v="289"/>
    <x v="75"/>
    <x v="199"/>
    <s v="THROTTLE SCREW     2FRM 10-3X/"/>
    <s v="AI"/>
    <n v="12.4"/>
    <n v="111"/>
    <n v="1376.4"/>
    <x v="386"/>
    <n v="43"/>
    <n v="2024"/>
    <n v="47"/>
    <x v="76"/>
    <n v="340"/>
    <n v="42"/>
    <s v="approved"/>
    <n v="40"/>
    <s v="yes"/>
    <m/>
    <m/>
    <m/>
    <m/>
    <m/>
    <m/>
    <x v="0"/>
    <x v="345"/>
    <x v="1129"/>
    <n v="5500492159"/>
    <s v="R900601576 - 519"/>
    <n v="111"/>
    <n v="1376.4"/>
    <m/>
    <m/>
    <s v="20241399-06.11.2024"/>
    <x v="1"/>
    <x v="11"/>
    <x v="1"/>
    <m/>
  </r>
  <r>
    <x v="11"/>
    <x v="0"/>
    <x v="289"/>
    <x v="75"/>
    <x v="199"/>
    <s v="THROTTLE SCREW     2FRM 10-3X/"/>
    <s v="AI"/>
    <n v="12.4"/>
    <n v="104"/>
    <n v="1289.6000000000001"/>
    <x v="386"/>
    <n v="43"/>
    <n v="2024"/>
    <n v="47"/>
    <x v="76"/>
    <n v="340"/>
    <n v="42"/>
    <s v="approved"/>
    <n v="40"/>
    <s v="yes"/>
    <m/>
    <m/>
    <m/>
    <s v="ETA 28oct"/>
    <m/>
    <m/>
    <x v="0"/>
    <x v="283"/>
    <x v="1130"/>
    <n v="5500492159"/>
    <s v="R900601576 - 519"/>
    <n v="104"/>
    <n v="1289.6000000000001"/>
    <m/>
    <m/>
    <s v="20241403-08.11.2024"/>
    <x v="1"/>
    <x v="11"/>
    <x v="1"/>
    <m/>
  </r>
  <r>
    <x v="11"/>
    <x v="0"/>
    <x v="289"/>
    <x v="75"/>
    <x v="199"/>
    <s v="THROTTLE SCREW     2FRM 10-3X/"/>
    <s v="AI"/>
    <n v="12.4"/>
    <n v="69"/>
    <n v="855.6"/>
    <x v="386"/>
    <n v="43"/>
    <n v="2024"/>
    <n v="47"/>
    <x v="76"/>
    <n v="340"/>
    <n v="42"/>
    <s v="approved"/>
    <n v="40"/>
    <s v="yes"/>
    <m/>
    <m/>
    <m/>
    <m/>
    <m/>
    <m/>
    <x v="0"/>
    <x v="346"/>
    <x v="1131"/>
    <n v="5500492159"/>
    <s v="R900601576 - 519"/>
    <n v="69"/>
    <n v="855.6"/>
    <m/>
    <m/>
    <s v="20241430-13.11.2024"/>
    <x v="1"/>
    <x v="11"/>
    <x v="1"/>
    <m/>
  </r>
  <r>
    <x v="11"/>
    <x v="0"/>
    <x v="289"/>
    <x v="75"/>
    <x v="199"/>
    <s v="THROTTLE SCREW     2FRM 10-3X/"/>
    <s v="AI"/>
    <n v="12.4"/>
    <n v="136"/>
    <n v="1686.4"/>
    <x v="386"/>
    <n v="43"/>
    <n v="2024"/>
    <n v="47"/>
    <x v="76"/>
    <n v="340"/>
    <n v="42"/>
    <s v="approved"/>
    <n v="40"/>
    <s v="yes"/>
    <m/>
    <m/>
    <m/>
    <s v="ETA 28oct"/>
    <m/>
    <m/>
    <x v="0"/>
    <x v="255"/>
    <x v="1132"/>
    <n v="5500492159"/>
    <s v="R900601576 - 519"/>
    <n v="136"/>
    <n v="1686.4"/>
    <m/>
    <m/>
    <s v="20250065-22.01.2025"/>
    <x v="1"/>
    <x v="11"/>
    <x v="1"/>
    <m/>
  </r>
  <r>
    <x v="11"/>
    <x v="0"/>
    <x v="289"/>
    <x v="75"/>
    <x v="199"/>
    <s v="THROTTLE SCREW     2FRM 10-3X/"/>
    <s v="AI"/>
    <n v="12.4"/>
    <n v="59"/>
    <n v="731.6"/>
    <x v="387"/>
    <n v="46"/>
    <n v="2024"/>
    <n v="47"/>
    <x v="76"/>
    <n v="340"/>
    <n v="42"/>
    <s v="approved"/>
    <n v="40"/>
    <s v="yes"/>
    <m/>
    <m/>
    <m/>
    <m/>
    <m/>
    <m/>
    <x v="0"/>
    <x v="346"/>
    <x v="1131"/>
    <n v="5500492159"/>
    <s v="R900601576 - 519"/>
    <n v="59"/>
    <n v="731.6"/>
    <m/>
    <m/>
    <s v="20241430-13.11.2024"/>
    <x v="0"/>
    <x v="4"/>
    <x v="1"/>
    <m/>
  </r>
  <r>
    <x v="11"/>
    <x v="0"/>
    <x v="289"/>
    <x v="75"/>
    <x v="199"/>
    <s v="THROTTLE SCREW     2FRM 10-3X/"/>
    <s v="AI"/>
    <n v="12.4"/>
    <n v="46"/>
    <n v="570.4"/>
    <x v="387"/>
    <n v="46"/>
    <n v="2024"/>
    <n v="47"/>
    <x v="76"/>
    <n v="340"/>
    <n v="42"/>
    <s v="approved"/>
    <n v="40"/>
    <s v="yes"/>
    <m/>
    <m/>
    <m/>
    <m/>
    <m/>
    <m/>
    <x v="0"/>
    <x v="244"/>
    <x v="1133"/>
    <n v="5500492159"/>
    <s v="R900601576 - 519"/>
    <n v="46"/>
    <n v="570.4"/>
    <m/>
    <m/>
    <s v="20241443-18.11.2024"/>
    <x v="1"/>
    <x v="4"/>
    <x v="1"/>
    <m/>
  </r>
  <r>
    <x v="11"/>
    <x v="0"/>
    <x v="289"/>
    <x v="75"/>
    <x v="199"/>
    <s v="THROTTLE SCREW     2FRM 10-3X/"/>
    <s v="AI"/>
    <n v="12.4"/>
    <n v="90"/>
    <n v="1116"/>
    <x v="387"/>
    <n v="46"/>
    <n v="2024"/>
    <n v="47"/>
    <x v="76"/>
    <n v="340"/>
    <n v="42"/>
    <s v="approved"/>
    <n v="40"/>
    <s v="yes"/>
    <m/>
    <m/>
    <m/>
    <m/>
    <m/>
    <m/>
    <x v="0"/>
    <x v="326"/>
    <x v="1134"/>
    <n v="5500492159"/>
    <s v="R900601576 - 519"/>
    <n v="90"/>
    <n v="1116"/>
    <m/>
    <m/>
    <s v="20241466-22.11.2024"/>
    <x v="1"/>
    <x v="4"/>
    <x v="1"/>
    <m/>
  </r>
  <r>
    <x v="11"/>
    <x v="0"/>
    <x v="289"/>
    <x v="173"/>
    <x v="199"/>
    <s v="THROTTLE SCREW     2FRM 10-3X/"/>
    <s v="AI"/>
    <n v="12.4"/>
    <n v="260"/>
    <n v="3224"/>
    <x v="387"/>
    <n v="46"/>
    <n v="2024"/>
    <n v="47"/>
    <x v="76"/>
    <n v="340"/>
    <n v="42"/>
    <s v="approved"/>
    <n v="40"/>
    <s v="yes"/>
    <m/>
    <m/>
    <m/>
    <m/>
    <m/>
    <m/>
    <x v="0"/>
    <x v="246"/>
    <x v="1135"/>
    <n v="5500492159"/>
    <s v="R900601576 - 519"/>
    <n v="260"/>
    <n v="3224"/>
    <m/>
    <m/>
    <s v="20250075-27.01.2025"/>
    <x v="1"/>
    <x v="4"/>
    <x v="1"/>
    <m/>
  </r>
  <r>
    <x v="11"/>
    <x v="0"/>
    <x v="289"/>
    <x v="174"/>
    <x v="199"/>
    <s v="THROTTLE SCREW     2FRM 10-3X/"/>
    <s v="AI"/>
    <n v="12.4"/>
    <n v="250"/>
    <n v="3100"/>
    <x v="249"/>
    <n v="48"/>
    <n v="2024"/>
    <n v="47"/>
    <x v="76"/>
    <n v="340"/>
    <n v="43"/>
    <s v="approved"/>
    <n v="40"/>
    <s v="yes"/>
    <m/>
    <m/>
    <m/>
    <m/>
    <m/>
    <m/>
    <x v="0"/>
    <x v="246"/>
    <x v="1136"/>
    <n v="5500492159"/>
    <s v="R900601576 - 519"/>
    <n v="250"/>
    <n v="3100"/>
    <m/>
    <m/>
    <s v="20250076-27.01.2025"/>
    <x v="1"/>
    <x v="4"/>
    <x v="1"/>
    <m/>
  </r>
  <r>
    <x v="11"/>
    <x v="0"/>
    <x v="289"/>
    <x v="174"/>
    <x v="199"/>
    <s v="THROTTLE SCREW     2FRM 10-3X/"/>
    <s v="AI"/>
    <n v="12.4"/>
    <n v="166"/>
    <n v="2058.4"/>
    <x v="249"/>
    <n v="48"/>
    <n v="2024"/>
    <n v="47"/>
    <x v="76"/>
    <n v="340"/>
    <n v="43"/>
    <s v="approved"/>
    <n v="40"/>
    <s v="yes"/>
    <m/>
    <m/>
    <m/>
    <m/>
    <m/>
    <m/>
    <x v="0"/>
    <x v="347"/>
    <x v="1137"/>
    <n v="5500492159"/>
    <s v="R900601576 - 519"/>
    <n v="166"/>
    <n v="2058.4"/>
    <m/>
    <m/>
    <s v="20250098-31.01.2025"/>
    <x v="1"/>
    <x v="4"/>
    <x v="1"/>
    <m/>
  </r>
  <r>
    <x v="11"/>
    <x v="0"/>
    <x v="289"/>
    <x v="75"/>
    <x v="199"/>
    <s v="THROTTLE SCREW     2FRM 10-3X/"/>
    <s v="AI"/>
    <n v="12.4"/>
    <n v="204"/>
    <n v="2529.6"/>
    <x v="76"/>
    <n v="3"/>
    <n v="2025"/>
    <n v="47"/>
    <x v="76"/>
    <n v="340"/>
    <n v="42"/>
    <s v="approved"/>
    <n v="40"/>
    <s v="yes"/>
    <m/>
    <m/>
    <m/>
    <m/>
    <s v="la TT"/>
    <m/>
    <x v="0"/>
    <x v="11"/>
    <x v="1138"/>
    <n v="5500492159"/>
    <s v="R900601576 - 519"/>
    <n v="204"/>
    <n v="2529.6"/>
    <m/>
    <m/>
    <s v="20250200-21.02.2025"/>
    <x v="1"/>
    <x v="6"/>
    <x v="0"/>
    <m/>
  </r>
  <r>
    <x v="11"/>
    <x v="0"/>
    <x v="289"/>
    <x v="75"/>
    <x v="199"/>
    <s v="THROTTLE SCREW     2FRM 10-3X/"/>
    <s v="AI"/>
    <n v="12.4"/>
    <n v="60"/>
    <n v="744"/>
    <x v="76"/>
    <n v="3"/>
    <n v="2025"/>
    <n v="47"/>
    <x v="76"/>
    <n v="340"/>
    <n v="42"/>
    <s v="approved"/>
    <n v="40"/>
    <s v="yes"/>
    <m/>
    <m/>
    <m/>
    <m/>
    <s v="la TT"/>
    <m/>
    <x v="0"/>
    <x v="318"/>
    <x v="1139"/>
    <n v="5500492159"/>
    <s v="R900601576 - 519"/>
    <n v="60"/>
    <n v="744"/>
    <m/>
    <m/>
    <s v="20250203-24.02.2025"/>
    <x v="1"/>
    <x v="6"/>
    <x v="0"/>
    <m/>
  </r>
  <r>
    <x v="11"/>
    <x v="0"/>
    <x v="289"/>
    <x v="75"/>
    <x v="199"/>
    <s v="THROTTLE SCREW     2FRM 10-3X/"/>
    <s v="AI"/>
    <n v="12.4"/>
    <n v="180"/>
    <n v="2232"/>
    <x v="222"/>
    <n v="6"/>
    <n v="2025"/>
    <n v="47"/>
    <x v="76"/>
    <n v="340"/>
    <n v="42"/>
    <s v="approved"/>
    <n v="40"/>
    <s v="yes"/>
    <m/>
    <m/>
    <m/>
    <m/>
    <s v="la TT"/>
    <m/>
    <x v="0"/>
    <x v="318"/>
    <x v="1139"/>
    <n v="5500492159"/>
    <s v="R900601576 - 519"/>
    <n v="180"/>
    <n v="2232"/>
    <m/>
    <m/>
    <s v="20250203-24.02.2025"/>
    <x v="1"/>
    <x v="7"/>
    <x v="0"/>
    <m/>
  </r>
  <r>
    <x v="11"/>
    <x v="0"/>
    <x v="289"/>
    <x v="75"/>
    <x v="199"/>
    <s v="THROTTLE SCREW     2FRM 10-3X/"/>
    <s v="AI"/>
    <n v="12.4"/>
    <n v="120"/>
    <n v="1488"/>
    <x v="222"/>
    <n v="6"/>
    <n v="2025"/>
    <n v="47"/>
    <x v="76"/>
    <n v="340"/>
    <n v="42"/>
    <s v="approved"/>
    <n v="40"/>
    <s v="yes"/>
    <m/>
    <m/>
    <m/>
    <m/>
    <s v="la TT"/>
    <m/>
    <x v="0"/>
    <x v="190"/>
    <x v="1140"/>
    <n v="5500492159"/>
    <s v="R900601576 - 519"/>
    <n v="120"/>
    <n v="1488"/>
    <m/>
    <m/>
    <s v="20250212-25.02.2025"/>
    <x v="1"/>
    <x v="7"/>
    <x v="0"/>
    <m/>
  </r>
  <r>
    <x v="11"/>
    <x v="0"/>
    <x v="289"/>
    <x v="75"/>
    <x v="199"/>
    <s v="THROTTLE SCREW     2FRM 10-3X/"/>
    <s v="AI"/>
    <n v="12.4"/>
    <n v="40"/>
    <n v="496"/>
    <x v="222"/>
    <n v="6"/>
    <n v="2025"/>
    <n v="47"/>
    <x v="76"/>
    <n v="340"/>
    <n v="42"/>
    <s v="approved"/>
    <n v="40"/>
    <s v="yes"/>
    <m/>
    <m/>
    <m/>
    <m/>
    <s v="la TT"/>
    <m/>
    <x v="0"/>
    <x v="339"/>
    <x v="1141"/>
    <n v="5500492159"/>
    <s v="R900601576 - 519"/>
    <n v="40"/>
    <n v="496"/>
    <m/>
    <m/>
    <s v="20250255-28.02.2025"/>
    <x v="1"/>
    <x v="7"/>
    <x v="0"/>
    <m/>
  </r>
  <r>
    <x v="11"/>
    <x v="0"/>
    <x v="289"/>
    <x v="75"/>
    <x v="199"/>
    <s v="THROTTLE SCREW     2FRM 10-3X/"/>
    <s v="AI"/>
    <n v="12.4"/>
    <n v="175"/>
    <n v="2170"/>
    <x v="184"/>
    <n v="11"/>
    <n v="2025"/>
    <n v="47"/>
    <x v="76"/>
    <n v="340"/>
    <n v="42"/>
    <s v="approved"/>
    <n v="40"/>
    <s v="yes"/>
    <m/>
    <m/>
    <m/>
    <m/>
    <m/>
    <m/>
    <x v="0"/>
    <x v="348"/>
    <x v="1142"/>
    <n v="5500492159"/>
    <s v="R900601576 - 519"/>
    <n v="175"/>
    <n v="2170"/>
    <m/>
    <m/>
    <s v="20250321-14.03.2025"/>
    <x v="0"/>
    <x v="5"/>
    <x v="0"/>
    <m/>
  </r>
  <r>
    <x v="11"/>
    <x v="0"/>
    <x v="289"/>
    <x v="75"/>
    <x v="199"/>
    <s v="THROTTLE SCREW     2FRM 10-3X/"/>
    <s v="AI"/>
    <n v="12.4"/>
    <n v="101"/>
    <n v="1252.4000000000001"/>
    <x v="184"/>
    <n v="11"/>
    <n v="2025"/>
    <n v="47"/>
    <x v="76"/>
    <n v="340"/>
    <n v="42"/>
    <s v="approved"/>
    <n v="40"/>
    <s v="yes"/>
    <m/>
    <m/>
    <m/>
    <m/>
    <s v="Yes"/>
    <m/>
    <x v="0"/>
    <x v="37"/>
    <x v="1143"/>
    <n v="5500492159"/>
    <s v="R900601576 - 519"/>
    <n v="101"/>
    <n v="1252.4000000000001"/>
    <m/>
    <m/>
    <s v="20250358-20.03.2025"/>
    <x v="1"/>
    <x v="5"/>
    <x v="0"/>
    <m/>
  </r>
  <r>
    <x v="11"/>
    <x v="0"/>
    <x v="289"/>
    <x v="75"/>
    <x v="199"/>
    <s v="THROTTLE SCREW     2FRM 10-3X/"/>
    <s v="AI"/>
    <n v="12.4"/>
    <n v="64"/>
    <n v="793.6"/>
    <x v="388"/>
    <n v="12"/>
    <n v="2025"/>
    <n v="47"/>
    <x v="76"/>
    <n v="340"/>
    <n v="42"/>
    <s v="approved"/>
    <n v="40"/>
    <s v="yes"/>
    <m/>
    <m/>
    <m/>
    <m/>
    <s v="la TT"/>
    <m/>
    <x v="0"/>
    <x v="339"/>
    <x v="1141"/>
    <n v="5500492159"/>
    <s v="R900601576 - 519"/>
    <n v="64"/>
    <n v="793.6"/>
    <m/>
    <m/>
    <s v="20250255-28.02.2025"/>
    <x v="0"/>
    <x v="5"/>
    <x v="0"/>
    <m/>
  </r>
  <r>
    <x v="11"/>
    <x v="0"/>
    <x v="289"/>
    <x v="75"/>
    <x v="199"/>
    <s v="THROTTLE SCREW     2FRM 10-3X/"/>
    <s v="AI"/>
    <n v="12.4"/>
    <n v="140"/>
    <n v="1736"/>
    <x v="389"/>
    <n v="16"/>
    <n v="2025"/>
    <n v="47"/>
    <x v="76"/>
    <n v="340"/>
    <n v="42"/>
    <s v="approved"/>
    <n v="40"/>
    <s v="yes"/>
    <m/>
    <m/>
    <m/>
    <m/>
    <s v="Yes"/>
    <m/>
    <x v="0"/>
    <x v="279"/>
    <x v="1144"/>
    <n v="5500492159"/>
    <s v="R900601576 - 519"/>
    <n v="140"/>
    <n v="1736"/>
    <m/>
    <m/>
    <s v="20250623-15.05.2025"/>
    <x v="1"/>
    <x v="1"/>
    <x v="0"/>
    <m/>
  </r>
  <r>
    <x v="11"/>
    <x v="0"/>
    <x v="289"/>
    <x v="75"/>
    <x v="199"/>
    <s v="THROTTLE SCREW     2FRM 10-3X/"/>
    <s v="AI"/>
    <n v="12.4"/>
    <n v="229"/>
    <n v="2839.6"/>
    <x v="325"/>
    <n v="17"/>
    <n v="2025"/>
    <n v="47"/>
    <x v="76"/>
    <n v="340"/>
    <n v="42"/>
    <s v="approved"/>
    <n v="40"/>
    <s v="yes"/>
    <m/>
    <m/>
    <m/>
    <m/>
    <s v="Yes"/>
    <m/>
    <x v="0"/>
    <x v="37"/>
    <x v="1143"/>
    <n v="5500492159"/>
    <s v="R900601576 - 519"/>
    <n v="229"/>
    <n v="2839.6"/>
    <m/>
    <m/>
    <s v="20250358-20.03.2025"/>
    <x v="0"/>
    <x v="1"/>
    <x v="0"/>
    <m/>
  </r>
  <r>
    <x v="11"/>
    <x v="0"/>
    <x v="289"/>
    <x v="75"/>
    <x v="199"/>
    <s v="THROTTLE SCREW     2FRM 10-3X/"/>
    <s v="AI"/>
    <n v="12.4"/>
    <n v="111"/>
    <n v="1376.4"/>
    <x v="325"/>
    <n v="17"/>
    <n v="2025"/>
    <n v="47"/>
    <x v="76"/>
    <n v="340"/>
    <n v="42"/>
    <s v="approved"/>
    <n v="40"/>
    <s v="yes"/>
    <m/>
    <m/>
    <m/>
    <m/>
    <s v="Yes"/>
    <m/>
    <x v="0"/>
    <x v="316"/>
    <x v="1145"/>
    <n v="5500492159"/>
    <s v="R900601576 - 519"/>
    <n v="111"/>
    <n v="1376.4"/>
    <m/>
    <m/>
    <s v="20250497-14.04.2025"/>
    <x v="0"/>
    <x v="1"/>
    <x v="0"/>
    <m/>
  </r>
  <r>
    <x v="11"/>
    <x v="0"/>
    <x v="289"/>
    <x v="75"/>
    <x v="199"/>
    <s v="THROTTLE SCREW     2FRM 10-3X/"/>
    <s v="AI"/>
    <n v="12.4"/>
    <n v="362"/>
    <n v="4488.8"/>
    <x v="338"/>
    <n v="22"/>
    <n v="2025"/>
    <n v="47"/>
    <x v="76"/>
    <n v="340"/>
    <m/>
    <s v="approved"/>
    <n v="7.541666666666667"/>
    <m/>
    <m/>
    <m/>
    <m/>
    <m/>
    <m/>
    <m/>
    <x v="0"/>
    <x v="316"/>
    <x v="1145"/>
    <n v="5500492159"/>
    <s v="R900601576 - 519"/>
    <n v="362"/>
    <n v="4488.8"/>
    <m/>
    <m/>
    <s v="20250497-14.04.2025"/>
    <x v="0"/>
    <x v="2"/>
    <x v="0"/>
    <m/>
  </r>
  <r>
    <x v="11"/>
    <x v="0"/>
    <x v="289"/>
    <x v="75"/>
    <x v="199"/>
    <s v="THROTTLE SCREW     2FRM 10-3X/"/>
    <s v="AI"/>
    <n v="12.4"/>
    <n v="420"/>
    <n v="5208"/>
    <x v="390"/>
    <n v="27"/>
    <n v="2025"/>
    <n v="47"/>
    <x v="76"/>
    <n v="340"/>
    <n v="42"/>
    <s v="approved"/>
    <n v="40"/>
    <s v="yes"/>
    <m/>
    <m/>
    <m/>
    <m/>
    <s v="Yes"/>
    <m/>
    <x v="0"/>
    <x v="12"/>
    <x v="1146"/>
    <n v="5500492159"/>
    <s v="R900601576 - 519"/>
    <n v="420"/>
    <n v="5208"/>
    <m/>
    <m/>
    <s v="20250814-30.06.2025"/>
    <x v="0"/>
    <x v="8"/>
    <x v="0"/>
    <m/>
  </r>
  <r>
    <x v="11"/>
    <x v="1"/>
    <x v="289"/>
    <x v="75"/>
    <x v="199"/>
    <s v="THROTTLE SCREW     2FRM 10-3X/"/>
    <s v="AI"/>
    <n v="12.4"/>
    <n v="140"/>
    <n v="1736"/>
    <x v="202"/>
    <n v="29"/>
    <n v="2025"/>
    <n v="47"/>
    <x v="76"/>
    <n v="340"/>
    <n v="42"/>
    <s v="approved"/>
    <n v="40"/>
    <s v="yes"/>
    <m/>
    <m/>
    <m/>
    <m/>
    <s v="Yes"/>
    <m/>
    <x v="0"/>
    <x v="282"/>
    <x v="1147"/>
    <n v="5500492159"/>
    <s v="R900601576 - 519"/>
    <n v="140"/>
    <n v="1736"/>
    <m/>
    <m/>
    <s v="20250923-14.07.2025"/>
    <x v="0"/>
    <x v="8"/>
    <x v="0"/>
    <m/>
  </r>
  <r>
    <x v="11"/>
    <x v="1"/>
    <x v="289"/>
    <x v="75"/>
    <x v="199"/>
    <s v="THROTTLE SCREW     2FRM 10-3X/"/>
    <s v="AI"/>
    <n v="12.4"/>
    <n v="0"/>
    <n v="0"/>
    <x v="391"/>
    <n v="34"/>
    <n v="2025"/>
    <n v="47"/>
    <x v="76"/>
    <n v="340"/>
    <n v="42"/>
    <s v="approved"/>
    <n v="40"/>
    <s v="yes"/>
    <m/>
    <m/>
    <m/>
    <m/>
    <s v="Yes"/>
    <m/>
    <x v="0"/>
    <x v="252"/>
    <x v="4"/>
    <s v=""/>
    <s v=""/>
    <n v="0"/>
    <n v="0"/>
    <m/>
    <m/>
    <m/>
    <x v="0"/>
    <x v="9"/>
    <x v="0"/>
    <m/>
  </r>
  <r>
    <x v="11"/>
    <x v="1"/>
    <x v="289"/>
    <x v="75"/>
    <x v="199"/>
    <s v="THROTTLE SCREW     2FRM 10-3X/"/>
    <s v="AI"/>
    <n v="12.4"/>
    <n v="0"/>
    <n v="0"/>
    <x v="364"/>
    <n v="39"/>
    <n v="2025"/>
    <n v="47"/>
    <x v="76"/>
    <n v="340"/>
    <n v="42"/>
    <s v="approved"/>
    <n v="40"/>
    <s v="yes"/>
    <m/>
    <m/>
    <m/>
    <m/>
    <s v="Yes"/>
    <m/>
    <x v="0"/>
    <x v="3"/>
    <x v="4"/>
    <s v=""/>
    <s v=""/>
    <m/>
    <n v="0"/>
    <m/>
    <m/>
    <m/>
    <x v="1"/>
    <x v="10"/>
    <x v="0"/>
    <m/>
  </r>
  <r>
    <x v="11"/>
    <x v="1"/>
    <x v="289"/>
    <x v="75"/>
    <x v="199"/>
    <s v="THROTTLE SCREW     2FRM 10-3X/"/>
    <s v="AI"/>
    <n v="12.4"/>
    <n v="340"/>
    <n v="4216"/>
    <x v="392"/>
    <n v="43"/>
    <n v="2025"/>
    <n v="47"/>
    <x v="76"/>
    <n v="340"/>
    <n v="42"/>
    <s v="approved"/>
    <n v="40"/>
    <s v="yes"/>
    <m/>
    <m/>
    <m/>
    <m/>
    <s v="Yes"/>
    <m/>
    <x v="0"/>
    <x v="26"/>
    <x v="1148"/>
    <n v="5500492159"/>
    <s v="R900601576 - 519"/>
    <n v="340"/>
    <n v="4216"/>
    <m/>
    <m/>
    <s v="20251014/31.07.2025"/>
    <x v="0"/>
    <x v="11"/>
    <x v="0"/>
    <m/>
  </r>
  <r>
    <x v="11"/>
    <x v="1"/>
    <x v="289"/>
    <x v="75"/>
    <x v="199"/>
    <s v="THROTTLE SCREW     2FRM 10-3X/"/>
    <s v="AI"/>
    <n v="12.4"/>
    <n v="80"/>
    <n v="992"/>
    <x v="393"/>
    <n v="49"/>
    <n v="2025"/>
    <n v="47"/>
    <x v="76"/>
    <n v="340"/>
    <n v="42"/>
    <s v="approved"/>
    <n v="40"/>
    <s v="yes"/>
    <m/>
    <m/>
    <m/>
    <m/>
    <m/>
    <m/>
    <x v="0"/>
    <x v="26"/>
    <x v="1148"/>
    <n v="5500492159"/>
    <s v="R900601576 - 519"/>
    <n v="80"/>
    <n v="992"/>
    <m/>
    <m/>
    <s v="20251014/31.07.2025"/>
    <x v="0"/>
    <x v="3"/>
    <x v="0"/>
    <m/>
  </r>
  <r>
    <x v="11"/>
    <x v="1"/>
    <x v="289"/>
    <x v="75"/>
    <x v="199"/>
    <s v="THROTTLE SCREW     2FRM 10-3X/"/>
    <s v="AI"/>
    <n v="12.4"/>
    <n v="260"/>
    <n v="3224"/>
    <x v="393"/>
    <n v="49"/>
    <n v="2025"/>
    <n v="47"/>
    <x v="76"/>
    <n v="340"/>
    <n v="42"/>
    <s v="approved"/>
    <n v="40"/>
    <s v="yes"/>
    <m/>
    <m/>
    <m/>
    <m/>
    <m/>
    <m/>
    <x v="1"/>
    <x v="3"/>
    <x v="4"/>
    <s v=""/>
    <s v=""/>
    <m/>
    <n v="0"/>
    <m/>
    <m/>
    <m/>
    <x v="2"/>
    <x v="3"/>
    <x v="0"/>
    <m/>
  </r>
  <r>
    <x v="11"/>
    <x v="1"/>
    <x v="289"/>
    <x v="75"/>
    <x v="199"/>
    <s v="THROTTLE SCREW     2FRM 10-3X/"/>
    <s v="AI"/>
    <n v="0"/>
    <n v="340"/>
    <n v="0"/>
    <x v="394"/>
    <n v="2"/>
    <n v="2026"/>
    <n v="47"/>
    <x v="76"/>
    <n v="340"/>
    <n v="42"/>
    <s v="approved"/>
    <n v="40"/>
    <s v="yes"/>
    <m/>
    <m/>
    <m/>
    <m/>
    <m/>
    <m/>
    <x v="1"/>
    <x v="3"/>
    <x v="4"/>
    <s v=""/>
    <s v=""/>
    <m/>
    <n v="0"/>
    <m/>
    <m/>
    <m/>
    <x v="2"/>
    <x v="6"/>
    <x v="3"/>
    <m/>
  </r>
  <r>
    <x v="11"/>
    <x v="1"/>
    <x v="289"/>
    <x v="75"/>
    <x v="199"/>
    <s v="THROTTLE SCREW     2FRM 10-3X/"/>
    <s v="AI"/>
    <n v="0"/>
    <n v="340"/>
    <n v="0"/>
    <x v="395"/>
    <n v="6"/>
    <n v="2026"/>
    <n v="47"/>
    <x v="76"/>
    <n v="340"/>
    <n v="42"/>
    <s v="approved"/>
    <n v="40"/>
    <s v="yes"/>
    <m/>
    <m/>
    <m/>
    <m/>
    <m/>
    <m/>
    <x v="1"/>
    <x v="3"/>
    <x v="4"/>
    <s v=""/>
    <s v=""/>
    <m/>
    <n v="0"/>
    <m/>
    <m/>
    <m/>
    <x v="2"/>
    <x v="7"/>
    <x v="3"/>
    <m/>
  </r>
  <r>
    <x v="11"/>
    <x v="1"/>
    <x v="289"/>
    <x v="75"/>
    <x v="199"/>
    <s v="THROTTLE SCREW     2FRM 10-3X/"/>
    <s v="AI"/>
    <n v="0"/>
    <n v="340"/>
    <n v="0"/>
    <x v="396"/>
    <n v="11"/>
    <n v="2026"/>
    <n v="47"/>
    <x v="76"/>
    <n v="340"/>
    <n v="42"/>
    <s v="approved"/>
    <n v="40"/>
    <s v="yes"/>
    <m/>
    <m/>
    <m/>
    <m/>
    <m/>
    <m/>
    <x v="1"/>
    <x v="3"/>
    <x v="4"/>
    <s v=""/>
    <s v=""/>
    <m/>
    <n v="0"/>
    <m/>
    <m/>
    <m/>
    <x v="2"/>
    <x v="5"/>
    <x v="3"/>
    <m/>
  </r>
  <r>
    <x v="11"/>
    <x v="1"/>
    <x v="289"/>
    <x v="174"/>
    <x v="199"/>
    <s v="THROTTLE SCREW     2FRM 10-3X/"/>
    <s v="AI"/>
    <n v="0"/>
    <n v="340"/>
    <n v="0"/>
    <x v="397"/>
    <n v="16"/>
    <n v="2026"/>
    <n v="47"/>
    <x v="76"/>
    <n v="340"/>
    <n v="42"/>
    <s v="approved"/>
    <n v="40"/>
    <s v="yes"/>
    <m/>
    <m/>
    <m/>
    <m/>
    <m/>
    <m/>
    <x v="1"/>
    <x v="3"/>
    <x v="4"/>
    <s v=""/>
    <s v=""/>
    <m/>
    <n v="0"/>
    <m/>
    <m/>
    <m/>
    <x v="2"/>
    <x v="1"/>
    <x v="3"/>
    <m/>
  </r>
  <r>
    <x v="11"/>
    <x v="1"/>
    <x v="289"/>
    <x v="174"/>
    <x v="199"/>
    <s v="THROTTLE SCREW     2FRM 10-3X/"/>
    <s v="AI"/>
    <n v="0"/>
    <n v="340"/>
    <n v="0"/>
    <x v="398"/>
    <n v="20"/>
    <n v="2026"/>
    <n v="47"/>
    <x v="76"/>
    <n v="340"/>
    <n v="42"/>
    <s v="approved"/>
    <n v="40"/>
    <s v="yes"/>
    <m/>
    <m/>
    <m/>
    <m/>
    <m/>
    <m/>
    <x v="1"/>
    <x v="3"/>
    <x v="4"/>
    <s v=""/>
    <s v=""/>
    <m/>
    <n v="0"/>
    <m/>
    <m/>
    <m/>
    <x v="2"/>
    <x v="2"/>
    <x v="3"/>
    <m/>
  </r>
  <r>
    <x v="11"/>
    <x v="1"/>
    <x v="289"/>
    <x v="174"/>
    <x v="199"/>
    <s v="THROTTLE SCREW     2FRM 10-3X/"/>
    <s v="AI"/>
    <n v="0"/>
    <n v="340"/>
    <n v="0"/>
    <x v="399"/>
    <n v="29"/>
    <n v="2026"/>
    <n v="47"/>
    <x v="76"/>
    <n v="340"/>
    <n v="42"/>
    <s v="approved"/>
    <n v="40"/>
    <s v="yes"/>
    <m/>
    <m/>
    <m/>
    <m/>
    <m/>
    <m/>
    <x v="1"/>
    <x v="3"/>
    <x v="4"/>
    <s v=""/>
    <s v=""/>
    <m/>
    <n v="0"/>
    <m/>
    <m/>
    <m/>
    <x v="2"/>
    <x v="8"/>
    <x v="3"/>
    <m/>
  </r>
  <r>
    <x v="11"/>
    <x v="1"/>
    <x v="289"/>
    <x v="174"/>
    <x v="199"/>
    <s v="THROTTLE SCREW     2FRM 10-3X/"/>
    <s v="AI"/>
    <n v="0"/>
    <n v="340"/>
    <n v="0"/>
    <x v="400"/>
    <n v="36"/>
    <n v="2026"/>
    <n v="47"/>
    <x v="76"/>
    <n v="340"/>
    <n v="42"/>
    <s v="approved"/>
    <n v="40"/>
    <s v="yes"/>
    <m/>
    <m/>
    <m/>
    <m/>
    <m/>
    <m/>
    <x v="1"/>
    <x v="3"/>
    <x v="4"/>
    <s v=""/>
    <s v=""/>
    <m/>
    <n v="0"/>
    <m/>
    <m/>
    <m/>
    <x v="2"/>
    <x v="10"/>
    <x v="3"/>
    <m/>
  </r>
  <r>
    <x v="11"/>
    <x v="0"/>
    <x v="290"/>
    <x v="175"/>
    <x v="200"/>
    <s v="THROTTLE SCREW 2FRM 10 -3X/"/>
    <s v="AI"/>
    <n v="34"/>
    <n v="8"/>
    <n v="272"/>
    <x v="401"/>
    <n v="32"/>
    <n v="2024"/>
    <n v="0"/>
    <x v="76"/>
    <n v="20"/>
    <m/>
    <s v="approved"/>
    <n v="0.16666666666666666"/>
    <m/>
    <m/>
    <m/>
    <m/>
    <s v="ETA 28oct"/>
    <s v="se pot planifica"/>
    <m/>
    <x v="0"/>
    <x v="283"/>
    <x v="1149"/>
    <n v="5500388109"/>
    <s v="R900601676 - 535"/>
    <n v="8"/>
    <n v="272"/>
    <m/>
    <m/>
    <s v="20241411-08.11.2024"/>
    <x v="1"/>
    <x v="9"/>
    <x v="1"/>
    <m/>
  </r>
  <r>
    <x v="11"/>
    <x v="0"/>
    <x v="290"/>
    <x v="175"/>
    <x v="200"/>
    <s v="THROTTLE SCREW 2FRM 10 -3X/"/>
    <s v="AI"/>
    <n v="34"/>
    <n v="5"/>
    <n v="170"/>
    <x v="401"/>
    <n v="32"/>
    <n v="2024"/>
    <n v="0"/>
    <x v="76"/>
    <n v="20"/>
    <m/>
    <s v="approved"/>
    <n v="0.10416666666666667"/>
    <m/>
    <m/>
    <m/>
    <m/>
    <m/>
    <m/>
    <m/>
    <x v="0"/>
    <x v="283"/>
    <x v="1149"/>
    <n v="5500388109"/>
    <s v="R900601676 - 535"/>
    <n v="5"/>
    <n v="170"/>
    <m/>
    <m/>
    <s v="20241411-08.11.2024"/>
    <x v="1"/>
    <x v="9"/>
    <x v="1"/>
    <m/>
  </r>
  <r>
    <x v="11"/>
    <x v="0"/>
    <x v="291"/>
    <x v="175"/>
    <x v="200"/>
    <s v="THROTTLE SCREW 2FRM 10 -3X/"/>
    <s v="AI"/>
    <n v="34"/>
    <n v="30"/>
    <n v="1020"/>
    <x v="129"/>
    <n v="19"/>
    <n v="2025"/>
    <n v="0"/>
    <x v="76"/>
    <n v="20"/>
    <m/>
    <s v="approved"/>
    <n v="0.625"/>
    <m/>
    <m/>
    <m/>
    <m/>
    <m/>
    <m/>
    <m/>
    <x v="0"/>
    <x v="279"/>
    <x v="1150"/>
    <n v="4510627502"/>
    <s v="R900601676 - 535"/>
    <n v="30"/>
    <n v="1020"/>
    <m/>
    <m/>
    <s v="20250624-15.05.2025"/>
    <x v="1"/>
    <x v="2"/>
    <x v="0"/>
    <m/>
  </r>
  <r>
    <x v="11"/>
    <x v="0"/>
    <x v="292"/>
    <x v="176"/>
    <x v="201"/>
    <s v="THROTTLE SCREW     2FRM 16-3X/"/>
    <s v="AI"/>
    <n v="17.38"/>
    <n v="137"/>
    <n v="2381.06"/>
    <x v="402"/>
    <n v="6"/>
    <n v="2024"/>
    <n v="35"/>
    <x v="76"/>
    <n v="240"/>
    <n v="42"/>
    <s v="approved"/>
    <n v="40"/>
    <s v="yes"/>
    <m/>
    <m/>
    <m/>
    <m/>
    <m/>
    <n v="240624"/>
    <x v="0"/>
    <x v="119"/>
    <x v="1151"/>
    <n v="5500502907"/>
    <s v="R900601678"/>
    <n v="137"/>
    <n v="2381.06"/>
    <m/>
    <m/>
    <s v="20240337-04.04.2024"/>
    <x v="1"/>
    <x v="7"/>
    <x v="1"/>
    <m/>
  </r>
  <r>
    <x v="11"/>
    <x v="0"/>
    <x v="292"/>
    <x v="176"/>
    <x v="201"/>
    <s v="THROTTLE SCREW     2FRM 16-3X/"/>
    <s v="AI"/>
    <n v="17.38"/>
    <n v="240"/>
    <n v="4171.2"/>
    <x v="403"/>
    <n v="10"/>
    <n v="2024"/>
    <n v="35"/>
    <x v="76"/>
    <n v="240"/>
    <n v="42"/>
    <s v="approved"/>
    <n v="40"/>
    <s v="yes"/>
    <m/>
    <m/>
    <m/>
    <m/>
    <m/>
    <s v="240624/241709"/>
    <x v="0"/>
    <x v="119"/>
    <x v="1151"/>
    <n v="5500502907"/>
    <s v="R900601678"/>
    <n v="91"/>
    <n v="1581.58"/>
    <m/>
    <m/>
    <s v="20240337-04.04.2024"/>
    <x v="1"/>
    <x v="5"/>
    <x v="1"/>
    <m/>
  </r>
  <r>
    <x v="11"/>
    <x v="0"/>
    <x v="292"/>
    <x v="176"/>
    <x v="201"/>
    <s v="THROTTLE SCREW     2FRM 16-3X/"/>
    <s v="AI"/>
    <n v="17.38"/>
    <n v="0"/>
    <n v="0"/>
    <x v="403"/>
    <n v="10"/>
    <n v="2024"/>
    <n v="35"/>
    <x v="76"/>
    <n v="240"/>
    <m/>
    <m/>
    <n v="40"/>
    <m/>
    <m/>
    <m/>
    <m/>
    <m/>
    <m/>
    <m/>
    <x v="0"/>
    <x v="58"/>
    <x v="1152"/>
    <n v="5500502907"/>
    <s v="R900601678"/>
    <n v="23"/>
    <n v="399.73999999999995"/>
    <m/>
    <m/>
    <s v="20240387-16.04.2024"/>
    <x v="1"/>
    <x v="5"/>
    <x v="1"/>
    <m/>
  </r>
  <r>
    <x v="11"/>
    <x v="0"/>
    <x v="292"/>
    <x v="176"/>
    <x v="201"/>
    <s v="THROTTLE SCREW     2FRM 16-3X/"/>
    <s v="AI"/>
    <n v="17.38"/>
    <n v="0"/>
    <n v="0"/>
    <x v="403"/>
    <n v="10"/>
    <n v="2024"/>
    <n v="35"/>
    <x v="76"/>
    <n v="240"/>
    <m/>
    <m/>
    <n v="40"/>
    <m/>
    <m/>
    <m/>
    <m/>
    <m/>
    <m/>
    <m/>
    <x v="0"/>
    <x v="120"/>
    <x v="1153"/>
    <n v="5500502907"/>
    <s v="R900601678"/>
    <n v="35"/>
    <n v="608.29999999999995"/>
    <m/>
    <m/>
    <s v="20240525-10.05.2024"/>
    <x v="1"/>
    <x v="5"/>
    <x v="1"/>
    <m/>
  </r>
  <r>
    <x v="11"/>
    <x v="0"/>
    <x v="292"/>
    <x v="176"/>
    <x v="201"/>
    <s v="THROTTLE SCREW     2FRM 16-3X/"/>
    <s v="AI"/>
    <n v="17.38"/>
    <n v="0"/>
    <n v="0"/>
    <x v="403"/>
    <n v="10"/>
    <n v="2024"/>
    <n v="35"/>
    <x v="76"/>
    <n v="240"/>
    <m/>
    <m/>
    <n v="40"/>
    <m/>
    <m/>
    <m/>
    <m/>
    <m/>
    <m/>
    <m/>
    <x v="0"/>
    <x v="32"/>
    <x v="1154"/>
    <n v="5500502907"/>
    <s v="R900601678"/>
    <n v="91"/>
    <n v="1581.58"/>
    <m/>
    <m/>
    <s v="20240834-05.07.2024"/>
    <x v="1"/>
    <x v="5"/>
    <x v="1"/>
    <m/>
  </r>
  <r>
    <x v="11"/>
    <x v="0"/>
    <x v="292"/>
    <x v="75"/>
    <x v="201"/>
    <s v="THROTTLE SCREW     2FRM 16-3X/"/>
    <s v="AI"/>
    <n v="17.38"/>
    <n v="240"/>
    <n v="4171.2"/>
    <x v="174"/>
    <n v="14"/>
    <n v="2024"/>
    <n v="35"/>
    <x v="76"/>
    <n v="240"/>
    <n v="42"/>
    <s v="approved"/>
    <n v="40"/>
    <s v="yes"/>
    <m/>
    <m/>
    <m/>
    <m/>
    <m/>
    <s v="241709/ 241805"/>
    <x v="0"/>
    <x v="120"/>
    <x v="1153"/>
    <n v="5500502907"/>
    <s v="R900601678"/>
    <n v="15"/>
    <n v="260.7"/>
    <m/>
    <m/>
    <s v="20240525-10.05.2024"/>
    <x v="1"/>
    <x v="1"/>
    <x v="1"/>
    <m/>
  </r>
  <r>
    <x v="11"/>
    <x v="0"/>
    <x v="292"/>
    <x v="75"/>
    <x v="201"/>
    <s v="THROTTLE SCREW     2FRM 16-3X/"/>
    <s v="AI"/>
    <n v="17.38"/>
    <n v="0"/>
    <n v="0"/>
    <x v="174"/>
    <n v="14"/>
    <n v="2024"/>
    <n v="35"/>
    <x v="76"/>
    <n v="240"/>
    <m/>
    <m/>
    <n v="40"/>
    <m/>
    <m/>
    <m/>
    <m/>
    <m/>
    <m/>
    <m/>
    <x v="0"/>
    <x v="22"/>
    <x v="1155"/>
    <n v="5500502907"/>
    <s v="R900601678"/>
    <n v="65"/>
    <n v="1129.7"/>
    <m/>
    <m/>
    <s v="20240542-14.05.2024"/>
    <x v="1"/>
    <x v="1"/>
    <x v="1"/>
    <m/>
  </r>
  <r>
    <x v="11"/>
    <x v="0"/>
    <x v="292"/>
    <x v="75"/>
    <x v="201"/>
    <s v="THROTTLE SCREW     2FRM 16-3X/"/>
    <s v="AI"/>
    <n v="17.38"/>
    <n v="0"/>
    <n v="0"/>
    <x v="174"/>
    <n v="14"/>
    <n v="2024"/>
    <n v="35"/>
    <x v="76"/>
    <n v="240"/>
    <m/>
    <m/>
    <n v="40"/>
    <m/>
    <m/>
    <m/>
    <m/>
    <m/>
    <m/>
    <m/>
    <x v="0"/>
    <x v="136"/>
    <x v="1156"/>
    <n v="5500502907"/>
    <s v="R900601678"/>
    <n v="125"/>
    <n v="2172.5"/>
    <m/>
    <m/>
    <s v="20240560 - 17.05.2024"/>
    <x v="1"/>
    <x v="1"/>
    <x v="1"/>
    <m/>
  </r>
  <r>
    <x v="11"/>
    <x v="0"/>
    <x v="292"/>
    <x v="75"/>
    <x v="201"/>
    <s v="THROTTLE SCREW     2FRM 16-3X/"/>
    <s v="AI"/>
    <n v="17.38"/>
    <n v="0"/>
    <n v="0"/>
    <x v="174"/>
    <n v="14"/>
    <n v="2024"/>
    <n v="35"/>
    <x v="76"/>
    <n v="240"/>
    <m/>
    <m/>
    <n v="40"/>
    <m/>
    <m/>
    <m/>
    <m/>
    <m/>
    <m/>
    <m/>
    <x v="0"/>
    <x v="213"/>
    <x v="1157"/>
    <n v="5500502907"/>
    <s v="R900601678"/>
    <n v="35"/>
    <n v="608.29999999999995"/>
    <m/>
    <m/>
    <s v="20240583-22.05.2024"/>
    <x v="1"/>
    <x v="1"/>
    <x v="1"/>
    <m/>
  </r>
  <r>
    <x v="11"/>
    <x v="0"/>
    <x v="292"/>
    <x v="75"/>
    <x v="201"/>
    <s v="THROTTLE SCREW     2FRM 16-3X/"/>
    <s v="AI"/>
    <n v="17.38"/>
    <n v="240"/>
    <n v="4171.2"/>
    <x v="404"/>
    <n v="19"/>
    <n v="2024"/>
    <n v="35"/>
    <x v="76"/>
    <n v="240"/>
    <n v="42"/>
    <s v="approved"/>
    <n v="40"/>
    <s v="yes"/>
    <m/>
    <m/>
    <m/>
    <m/>
    <m/>
    <s v="241709 / 241805"/>
    <x v="0"/>
    <x v="213"/>
    <x v="1157"/>
    <n v="5500502907"/>
    <s v="R900601678"/>
    <n v="122"/>
    <n v="2120.3599999999997"/>
    <m/>
    <m/>
    <s v="20240583-22.05.2024"/>
    <x v="1"/>
    <x v="2"/>
    <x v="1"/>
    <m/>
  </r>
  <r>
    <x v="11"/>
    <x v="0"/>
    <x v="292"/>
    <x v="75"/>
    <x v="201"/>
    <s v="THROTTLE SCREW     2FRM 16-3X/"/>
    <s v="AI"/>
    <n v="17.38"/>
    <n v="0"/>
    <n v="0"/>
    <x v="404"/>
    <n v="19"/>
    <n v="2024"/>
    <n v="35"/>
    <x v="76"/>
    <n v="240"/>
    <m/>
    <m/>
    <n v="40"/>
    <m/>
    <m/>
    <m/>
    <m/>
    <m/>
    <m/>
    <m/>
    <x v="0"/>
    <x v="176"/>
    <x v="1158"/>
    <n v="5500502907"/>
    <s v="R900601678"/>
    <n v="118"/>
    <n v="2050.8399999999997"/>
    <m/>
    <m/>
    <s v="20240637-29.05.2024"/>
    <x v="1"/>
    <x v="2"/>
    <x v="1"/>
    <m/>
  </r>
  <r>
    <x v="11"/>
    <x v="0"/>
    <x v="292"/>
    <x v="75"/>
    <x v="201"/>
    <s v="THROTTLE SCREW     2FRM 16-3X/"/>
    <s v="AI"/>
    <n v="17.38"/>
    <n v="240"/>
    <n v="4171.2"/>
    <x v="405"/>
    <n v="24"/>
    <n v="2024"/>
    <n v="35"/>
    <x v="76"/>
    <n v="240"/>
    <n v="42"/>
    <s v="approved"/>
    <n v="40"/>
    <s v="yes"/>
    <m/>
    <m/>
    <m/>
    <m/>
    <m/>
    <n v="242511"/>
    <x v="0"/>
    <x v="176"/>
    <x v="1158"/>
    <n v="5500502907"/>
    <s v="R900601678"/>
    <n v="67"/>
    <n v="1164.46"/>
    <m/>
    <m/>
    <s v="20240637-29.05.2024"/>
    <x v="0"/>
    <x v="0"/>
    <x v="1"/>
    <m/>
  </r>
  <r>
    <x v="11"/>
    <x v="0"/>
    <x v="292"/>
    <x v="75"/>
    <x v="201"/>
    <s v="THROTTLE SCREW     2FRM 16-3X/"/>
    <s v="AI"/>
    <n v="17.38"/>
    <n v="0"/>
    <n v="0"/>
    <x v="405"/>
    <n v="24"/>
    <n v="2024"/>
    <n v="35"/>
    <x v="76"/>
    <n v="240"/>
    <m/>
    <m/>
    <n v="0"/>
    <m/>
    <m/>
    <m/>
    <m/>
    <m/>
    <m/>
    <m/>
    <x v="0"/>
    <x v="32"/>
    <x v="1154"/>
    <n v="5500502907"/>
    <s v="R900601678"/>
    <n v="82"/>
    <n v="1425.1599999999999"/>
    <m/>
    <m/>
    <s v="20240834-05.07.2024"/>
    <x v="1"/>
    <x v="0"/>
    <x v="1"/>
    <m/>
  </r>
  <r>
    <x v="11"/>
    <x v="0"/>
    <x v="292"/>
    <x v="75"/>
    <x v="201"/>
    <s v="THROTTLE SCREW     2FRM 16-3X/"/>
    <s v="AI"/>
    <n v="17.38"/>
    <n v="0"/>
    <n v="0"/>
    <x v="405"/>
    <n v="24"/>
    <n v="2024"/>
    <n v="35"/>
    <x v="76"/>
    <n v="240"/>
    <m/>
    <m/>
    <n v="0"/>
    <m/>
    <m/>
    <m/>
    <m/>
    <m/>
    <m/>
    <m/>
    <x v="0"/>
    <x v="126"/>
    <x v="1159"/>
    <n v="5500502907"/>
    <s v="R900601678"/>
    <n v="76"/>
    <n v="1320.8799999999999"/>
    <m/>
    <m/>
    <s v="20241046-12.08.2024"/>
    <x v="1"/>
    <x v="0"/>
    <x v="1"/>
    <m/>
  </r>
  <r>
    <x v="11"/>
    <x v="0"/>
    <x v="292"/>
    <x v="75"/>
    <x v="201"/>
    <s v="THROTTLE SCREW     2FRM 16-3X/"/>
    <s v="AI"/>
    <n v="17.38"/>
    <n v="0"/>
    <n v="0"/>
    <x v="405"/>
    <n v="24"/>
    <n v="2024"/>
    <n v="35"/>
    <x v="76"/>
    <n v="240"/>
    <m/>
    <m/>
    <n v="0"/>
    <m/>
    <m/>
    <m/>
    <m/>
    <m/>
    <m/>
    <m/>
    <x v="0"/>
    <x v="86"/>
    <x v="1160"/>
    <n v="5500502907"/>
    <s v="R900601678"/>
    <m/>
    <n v="0"/>
    <m/>
    <s v="Ei au receptionate cu 6 bucati mai mult"/>
    <m/>
    <x v="1"/>
    <x v="0"/>
    <x v="1"/>
    <m/>
  </r>
  <r>
    <x v="11"/>
    <x v="0"/>
    <x v="292"/>
    <x v="75"/>
    <x v="201"/>
    <s v="THROTTLE SCREW     2FRM 16-3X/"/>
    <s v="AI"/>
    <n v="17.38"/>
    <n v="240"/>
    <n v="4171.2"/>
    <x v="199"/>
    <n v="28"/>
    <n v="2024"/>
    <n v="35"/>
    <x v="76"/>
    <n v="240"/>
    <n v="42"/>
    <s v="approved"/>
    <n v="40"/>
    <s v="yes"/>
    <m/>
    <m/>
    <m/>
    <m/>
    <m/>
    <m/>
    <x v="0"/>
    <x v="86"/>
    <x v="1161"/>
    <n v="5500502907"/>
    <s v="R900601678"/>
    <n v="140"/>
    <n v="2433.1999999999998"/>
    <m/>
    <m/>
    <s v="20241041-09.08.2024"/>
    <x v="1"/>
    <x v="8"/>
    <x v="1"/>
    <m/>
  </r>
  <r>
    <x v="11"/>
    <x v="0"/>
    <x v="292"/>
    <x v="75"/>
    <x v="201"/>
    <s v="THROTTLE SCREW     2FRM 16-3X/"/>
    <s v="AI"/>
    <n v="17.38"/>
    <n v="0"/>
    <n v="0"/>
    <x v="199"/>
    <n v="28"/>
    <n v="2024"/>
    <n v="35"/>
    <x v="76"/>
    <n v="240"/>
    <m/>
    <s v="approved"/>
    <n v="40"/>
    <s v="yes"/>
    <m/>
    <m/>
    <m/>
    <m/>
    <m/>
    <m/>
    <x v="0"/>
    <x v="219"/>
    <x v="1162"/>
    <n v="5500502907"/>
    <s v="R900601678"/>
    <n v="68"/>
    <n v="1181.8399999999999"/>
    <m/>
    <m/>
    <s v="20241050-13.08.2024"/>
    <x v="1"/>
    <x v="8"/>
    <x v="1"/>
    <m/>
  </r>
  <r>
    <x v="11"/>
    <x v="0"/>
    <x v="292"/>
    <x v="75"/>
    <x v="201"/>
    <s v="THROTTLE SCREW     2FRM 16-3X/"/>
    <s v="AI"/>
    <n v="17.38"/>
    <m/>
    <n v="0"/>
    <x v="199"/>
    <n v="28"/>
    <n v="2024"/>
    <n v="35"/>
    <x v="76"/>
    <n v="240"/>
    <m/>
    <m/>
    <n v="0"/>
    <m/>
    <m/>
    <m/>
    <m/>
    <m/>
    <m/>
    <m/>
    <x v="0"/>
    <x v="303"/>
    <x v="1163"/>
    <n v="5500502907"/>
    <s v="R900601678"/>
    <n v="32"/>
    <n v="556.16"/>
    <m/>
    <m/>
    <s v="20241066-16.08.2024"/>
    <x v="1"/>
    <x v="8"/>
    <x v="1"/>
    <m/>
  </r>
  <r>
    <x v="11"/>
    <x v="0"/>
    <x v="292"/>
    <x v="75"/>
    <x v="201"/>
    <s v="THROTTLE SCREW     2FRM 16-3X/"/>
    <s v="AI"/>
    <n v="17.38"/>
    <n v="35"/>
    <n v="608.29999999999995"/>
    <x v="406"/>
    <n v="32"/>
    <n v="2024"/>
    <n v="35"/>
    <x v="76"/>
    <n v="240"/>
    <n v="42"/>
    <s v="approved"/>
    <n v="40"/>
    <s v="yes"/>
    <m/>
    <m/>
    <m/>
    <m/>
    <m/>
    <m/>
    <x v="0"/>
    <x v="303"/>
    <x v="1163"/>
    <n v="5500502907"/>
    <s v="R900601678"/>
    <n v="35"/>
    <n v="608.29999999999995"/>
    <m/>
    <m/>
    <s v="20241066-16.08.2024"/>
    <x v="1"/>
    <x v="9"/>
    <x v="1"/>
    <m/>
  </r>
  <r>
    <x v="11"/>
    <x v="0"/>
    <x v="292"/>
    <x v="75"/>
    <x v="201"/>
    <s v="THROTTLE SCREW     2FRM 16-3X/"/>
    <s v="AI"/>
    <n v="17.38"/>
    <n v="70"/>
    <n v="1216.5999999999999"/>
    <x v="185"/>
    <n v="33"/>
    <n v="2024"/>
    <n v="35"/>
    <x v="76"/>
    <n v="240"/>
    <n v="42"/>
    <s v="approved"/>
    <n v="40"/>
    <s v="yes"/>
    <m/>
    <m/>
    <m/>
    <m/>
    <m/>
    <m/>
    <x v="0"/>
    <x v="303"/>
    <x v="1163"/>
    <n v="5500502907"/>
    <s v="R900601678"/>
    <n v="24"/>
    <n v="417.12"/>
    <m/>
    <m/>
    <s v="20241066-16.08.2024"/>
    <x v="0"/>
    <x v="9"/>
    <x v="1"/>
    <m/>
  </r>
  <r>
    <x v="11"/>
    <x v="0"/>
    <x v="292"/>
    <x v="75"/>
    <x v="201"/>
    <s v="THROTTLE SCREW     2FRM 16-3X/"/>
    <s v="AI"/>
    <n v="17.38"/>
    <n v="0"/>
    <n v="0"/>
    <x v="185"/>
    <n v="33"/>
    <n v="2024"/>
    <n v="35"/>
    <x v="76"/>
    <n v="240"/>
    <m/>
    <m/>
    <n v="0"/>
    <m/>
    <m/>
    <m/>
    <m/>
    <m/>
    <m/>
    <m/>
    <x v="0"/>
    <x v="214"/>
    <x v="1164"/>
    <n v="5500502907"/>
    <s v="R900601678"/>
    <n v="46"/>
    <n v="799.4799999999999"/>
    <m/>
    <m/>
    <s v="20241179-13.09.2024"/>
    <x v="1"/>
    <x v="9"/>
    <x v="1"/>
    <m/>
  </r>
  <r>
    <x v="11"/>
    <x v="0"/>
    <x v="292"/>
    <x v="75"/>
    <x v="201"/>
    <s v="THROTTLE SCREW     2FRM 16-3X/"/>
    <s v="AI"/>
    <n v="17.38"/>
    <n v="35"/>
    <n v="608.29999999999995"/>
    <x v="227"/>
    <n v="34"/>
    <n v="2024"/>
    <n v="35"/>
    <x v="76"/>
    <n v="240"/>
    <n v="42"/>
    <s v="approved"/>
    <n v="40"/>
    <s v="yes"/>
    <m/>
    <m/>
    <m/>
    <m/>
    <m/>
    <m/>
    <x v="0"/>
    <x v="214"/>
    <x v="1164"/>
    <n v="5500502907"/>
    <s v="R900601678"/>
    <n v="25"/>
    <n v="434.5"/>
    <m/>
    <m/>
    <s v="20241179-13.09.2024"/>
    <x v="1"/>
    <x v="9"/>
    <x v="1"/>
    <m/>
  </r>
  <r>
    <x v="11"/>
    <x v="0"/>
    <x v="292"/>
    <x v="75"/>
    <x v="201"/>
    <s v="THROTTLE SCREW     2FRM 16-3X/"/>
    <s v="AI"/>
    <n v="17.38"/>
    <n v="0"/>
    <n v="0"/>
    <x v="227"/>
    <n v="34"/>
    <n v="2024"/>
    <n v="35"/>
    <x v="76"/>
    <n v="240"/>
    <m/>
    <m/>
    <n v="0"/>
    <m/>
    <m/>
    <m/>
    <m/>
    <m/>
    <m/>
    <m/>
    <x v="0"/>
    <x v="214"/>
    <x v="1165"/>
    <n v="5500502907"/>
    <s v="R900601678"/>
    <n v="10"/>
    <n v="173.79999999999998"/>
    <m/>
    <m/>
    <s v="20241180-13.09.2024"/>
    <x v="1"/>
    <x v="9"/>
    <x v="1"/>
    <m/>
  </r>
  <r>
    <x v="11"/>
    <x v="0"/>
    <x v="292"/>
    <x v="75"/>
    <x v="201"/>
    <s v="THROTTLE SCREW     2FRM 16-3X/"/>
    <s v="AI"/>
    <n v="17.38"/>
    <n v="70"/>
    <n v="1216.5999999999999"/>
    <x v="22"/>
    <n v="35"/>
    <n v="2024"/>
    <n v="35"/>
    <x v="76"/>
    <n v="240"/>
    <n v="42"/>
    <s v="approved"/>
    <n v="40"/>
    <s v="yes"/>
    <m/>
    <m/>
    <m/>
    <m/>
    <m/>
    <m/>
    <x v="0"/>
    <x v="214"/>
    <x v="1165"/>
    <n v="5500502907"/>
    <s v="R900601678"/>
    <n v="37"/>
    <n v="643.05999999999995"/>
    <m/>
    <m/>
    <s v="20241180-13.09.2024"/>
    <x v="1"/>
    <x v="9"/>
    <x v="1"/>
    <m/>
  </r>
  <r>
    <x v="11"/>
    <x v="0"/>
    <x v="292"/>
    <x v="31"/>
    <x v="201"/>
    <s v="THROTTLE SCREW     2FRM 16-3X/"/>
    <s v="AI"/>
    <n v="17.38"/>
    <n v="0"/>
    <n v="0"/>
    <x v="22"/>
    <n v="35"/>
    <n v="2024"/>
    <n v="35"/>
    <x v="76"/>
    <n v="240"/>
    <m/>
    <m/>
    <n v="0"/>
    <m/>
    <m/>
    <m/>
    <m/>
    <m/>
    <m/>
    <m/>
    <x v="0"/>
    <x v="324"/>
    <x v="1166"/>
    <n v="5500502907"/>
    <s v="R900601678"/>
    <n v="33"/>
    <n v="573.54"/>
    <m/>
    <m/>
    <s v="20241265-04.10.2024"/>
    <x v="1"/>
    <x v="9"/>
    <x v="1"/>
    <m/>
  </r>
  <r>
    <x v="11"/>
    <x v="0"/>
    <x v="292"/>
    <x v="75"/>
    <x v="201"/>
    <s v="THROTTLE SCREW     2FRM 16-3X/"/>
    <s v="AI"/>
    <n v="17.38"/>
    <n v="70"/>
    <n v="1216.5999999999999"/>
    <x v="49"/>
    <n v="36"/>
    <n v="2024"/>
    <n v="35"/>
    <x v="76"/>
    <n v="240"/>
    <n v="42"/>
    <s v="approved"/>
    <n v="40"/>
    <s v="yes"/>
    <m/>
    <m/>
    <m/>
    <m/>
    <m/>
    <m/>
    <x v="0"/>
    <x v="324"/>
    <x v="1166"/>
    <n v="5500502907"/>
    <s v="R900601678"/>
    <n v="70"/>
    <n v="1216.5999999999999"/>
    <m/>
    <m/>
    <s v="20241265-04.10.2024"/>
    <x v="1"/>
    <x v="10"/>
    <x v="1"/>
    <m/>
  </r>
  <r>
    <x v="11"/>
    <x v="0"/>
    <x v="292"/>
    <x v="31"/>
    <x v="201"/>
    <s v="THROTTLE SCREW     2FRM 16-3X/"/>
    <s v="AI"/>
    <n v="17.38"/>
    <n v="35"/>
    <n v="608.29999999999995"/>
    <x v="407"/>
    <n v="37"/>
    <n v="2024"/>
    <n v="35"/>
    <x v="76"/>
    <n v="240"/>
    <m/>
    <m/>
    <n v="0.72916666666666663"/>
    <m/>
    <m/>
    <m/>
    <m/>
    <m/>
    <m/>
    <m/>
    <x v="0"/>
    <x v="324"/>
    <x v="1166"/>
    <n v="5500502907"/>
    <s v="R900601678"/>
    <n v="35"/>
    <n v="608.29999999999995"/>
    <m/>
    <m/>
    <s v="20241265-04.10.2024"/>
    <x v="1"/>
    <x v="10"/>
    <x v="1"/>
    <m/>
  </r>
  <r>
    <x v="11"/>
    <x v="0"/>
    <x v="292"/>
    <x v="169"/>
    <x v="201"/>
    <s v="THROTTLE SCREW     2FRM 16-3X/"/>
    <s v="AI"/>
    <n v="17.38"/>
    <n v="34"/>
    <n v="590.91999999999996"/>
    <x v="75"/>
    <n v="39"/>
    <n v="2024"/>
    <n v="35"/>
    <x v="76"/>
    <n v="240"/>
    <n v="42"/>
    <s v="approved"/>
    <n v="40"/>
    <s v="yes"/>
    <m/>
    <m/>
    <m/>
    <m/>
    <m/>
    <m/>
    <x v="0"/>
    <x v="324"/>
    <x v="1166"/>
    <n v="5500502907"/>
    <s v="R900601678"/>
    <n v="34"/>
    <n v="590.91999999999996"/>
    <m/>
    <m/>
    <s v="20241265-04.10.2024"/>
    <x v="1"/>
    <x v="10"/>
    <x v="1"/>
    <m/>
  </r>
  <r>
    <x v="11"/>
    <x v="0"/>
    <x v="292"/>
    <x v="169"/>
    <x v="201"/>
    <s v="THROTTLE SCREW     2FRM 16-3X/"/>
    <s v="AI"/>
    <n v="17.38"/>
    <n v="10"/>
    <n v="173.79999999999998"/>
    <x v="75"/>
    <n v="39"/>
    <n v="2024"/>
    <n v="35"/>
    <x v="76"/>
    <n v="240"/>
    <n v="42"/>
    <s v="approved"/>
    <n v="40"/>
    <s v="yes"/>
    <m/>
    <m/>
    <m/>
    <m/>
    <m/>
    <m/>
    <x v="0"/>
    <x v="52"/>
    <x v="1167"/>
    <n v="5500502907"/>
    <s v="R900601678"/>
    <n v="10"/>
    <n v="173.79999999999998"/>
    <m/>
    <m/>
    <s v="20241431-14.11.2024"/>
    <x v="1"/>
    <x v="10"/>
    <x v="1"/>
    <m/>
  </r>
  <r>
    <x v="11"/>
    <x v="0"/>
    <x v="292"/>
    <x v="169"/>
    <x v="201"/>
    <s v="THROTTLE SCREW     2FRM 16-3X/"/>
    <s v="AI"/>
    <n v="17.38"/>
    <m/>
    <n v="0"/>
    <x v="210"/>
    <n v="45"/>
    <n v="2024"/>
    <n v="35"/>
    <x v="76"/>
    <n v="240"/>
    <n v="42"/>
    <s v="approved"/>
    <n v="40"/>
    <s v="yes"/>
    <m/>
    <m/>
    <m/>
    <m/>
    <m/>
    <m/>
    <x v="0"/>
    <x v="347"/>
    <x v="1168"/>
    <n v="5500502907"/>
    <s v="R900601678"/>
    <n v="50"/>
    <n v="869"/>
    <m/>
    <m/>
    <s v="20250100-31.01.2025"/>
    <x v="1"/>
    <x v="4"/>
    <x v="1"/>
    <m/>
  </r>
  <r>
    <x v="11"/>
    <x v="0"/>
    <x v="292"/>
    <x v="169"/>
    <x v="201"/>
    <s v="THROTTLE SCREW     2FRM 16-3X/"/>
    <s v="AI"/>
    <n v="17.38"/>
    <n v="92"/>
    <n v="1598.9599999999998"/>
    <x v="408"/>
    <n v="46"/>
    <n v="2024"/>
    <n v="35"/>
    <x v="76"/>
    <n v="240"/>
    <n v="42"/>
    <s v="approved"/>
    <n v="40"/>
    <s v="yes"/>
    <m/>
    <m/>
    <m/>
    <m/>
    <m/>
    <m/>
    <x v="0"/>
    <x v="52"/>
    <x v="1167"/>
    <n v="5500502907"/>
    <s v="R900601678"/>
    <n v="92"/>
    <n v="1598.9599999999998"/>
    <m/>
    <m/>
    <s v="20241431-14.11.2024"/>
    <x v="1"/>
    <x v="4"/>
    <x v="1"/>
    <m/>
  </r>
  <r>
    <x v="11"/>
    <x v="0"/>
    <x v="292"/>
    <x v="169"/>
    <x v="201"/>
    <s v="THROTTLE SCREW     2FRM 16-3X/"/>
    <s v="AI"/>
    <n v="17.38"/>
    <n v="145"/>
    <n v="2520.1"/>
    <x v="408"/>
    <n v="46"/>
    <n v="2024"/>
    <n v="35"/>
    <x v="76"/>
    <n v="240"/>
    <n v="42"/>
    <s v="approved"/>
    <n v="40"/>
    <s v="yes"/>
    <m/>
    <m/>
    <m/>
    <m/>
    <m/>
    <m/>
    <x v="0"/>
    <x v="244"/>
    <x v="1169"/>
    <n v="5500502907"/>
    <s v="R900601678"/>
    <n v="145"/>
    <n v="2520.1"/>
    <m/>
    <m/>
    <s v="20241470-27.11.2024"/>
    <x v="1"/>
    <x v="4"/>
    <x v="1"/>
    <m/>
  </r>
  <r>
    <x v="11"/>
    <x v="0"/>
    <x v="292"/>
    <x v="169"/>
    <x v="201"/>
    <s v="THROTTLE SCREW     2FRM 16-3X/"/>
    <s v="AI"/>
    <n v="17.38"/>
    <n v="3"/>
    <n v="52.14"/>
    <x v="408"/>
    <n v="46"/>
    <n v="2024"/>
    <n v="35"/>
    <x v="76"/>
    <n v="240"/>
    <n v="42"/>
    <s v="approved"/>
    <n v="40"/>
    <s v="yes"/>
    <m/>
    <m/>
    <m/>
    <m/>
    <m/>
    <m/>
    <x v="0"/>
    <x v="326"/>
    <x v="1170"/>
    <n v="5500502907"/>
    <s v="R900601678"/>
    <n v="3"/>
    <n v="52.14"/>
    <m/>
    <m/>
    <s v="20241465-22.11.2024"/>
    <x v="1"/>
    <x v="4"/>
    <x v="1"/>
    <m/>
  </r>
  <r>
    <x v="11"/>
    <x v="0"/>
    <x v="292"/>
    <x v="169"/>
    <x v="201"/>
    <s v="THROTTLE SCREW     2FRM 16-3X/"/>
    <s v="AI"/>
    <n v="17.38"/>
    <n v="190"/>
    <n v="3302.2"/>
    <x v="295"/>
    <n v="48"/>
    <n v="2024"/>
    <n v="35"/>
    <x v="76"/>
    <n v="240"/>
    <n v="43"/>
    <s v="approved"/>
    <n v="40"/>
    <s v="yes"/>
    <m/>
    <m/>
    <m/>
    <m/>
    <m/>
    <m/>
    <x v="0"/>
    <x v="326"/>
    <x v="1170"/>
    <n v="5500502907"/>
    <s v="R900601678"/>
    <n v="190"/>
    <n v="3302.2"/>
    <m/>
    <m/>
    <s v="20241465-22.11.2024"/>
    <x v="0"/>
    <x v="4"/>
    <x v="1"/>
    <m/>
  </r>
  <r>
    <x v="11"/>
    <x v="0"/>
    <x v="292"/>
    <x v="169"/>
    <x v="201"/>
    <s v="THROTTLE SCREW     2FRM 16-3X/"/>
    <s v="AI"/>
    <n v="17.38"/>
    <n v="80"/>
    <n v="1390.3999999999999"/>
    <x v="76"/>
    <n v="3"/>
    <n v="2025"/>
    <n v="35"/>
    <x v="76"/>
    <n v="240"/>
    <n v="42"/>
    <s v="approved"/>
    <n v="40"/>
    <s v="yes"/>
    <m/>
    <m/>
    <m/>
    <m/>
    <m/>
    <m/>
    <x v="0"/>
    <x v="347"/>
    <x v="1168"/>
    <n v="5500502907"/>
    <s v="R900601678"/>
    <n v="80"/>
    <n v="1390.3999999999999"/>
    <m/>
    <m/>
    <s v="20250100-31.01.2025"/>
    <x v="1"/>
    <x v="6"/>
    <x v="0"/>
    <m/>
  </r>
  <r>
    <x v="11"/>
    <x v="0"/>
    <x v="292"/>
    <x v="169"/>
    <x v="201"/>
    <s v="THROTTLE SCREW     2FRM 16-3X/"/>
    <s v="AI"/>
    <n v="17.38"/>
    <n v="6"/>
    <n v="104.28"/>
    <x v="76"/>
    <n v="3"/>
    <n v="2025"/>
    <n v="35"/>
    <x v="76"/>
    <n v="240"/>
    <n v="42"/>
    <s v="approved"/>
    <n v="40"/>
    <s v="yes"/>
    <m/>
    <m/>
    <m/>
    <m/>
    <m/>
    <m/>
    <x v="0"/>
    <x v="347"/>
    <x v="1171"/>
    <n v="5500502907"/>
    <s v="R900601678"/>
    <n v="6"/>
    <n v="104.28"/>
    <m/>
    <m/>
    <s v="20250101-31.01.2025"/>
    <x v="1"/>
    <x v="6"/>
    <x v="0"/>
    <m/>
  </r>
  <r>
    <x v="11"/>
    <x v="0"/>
    <x v="292"/>
    <x v="169"/>
    <x v="201"/>
    <s v="THROTTLE SCREW     2FRM 16-3X/"/>
    <s v="AI"/>
    <n v="17.38"/>
    <n v="18"/>
    <n v="312.83999999999997"/>
    <x v="76"/>
    <n v="3"/>
    <n v="2025"/>
    <n v="35"/>
    <x v="76"/>
    <n v="240"/>
    <n v="42"/>
    <s v="approved"/>
    <n v="40"/>
    <s v="yes"/>
    <m/>
    <m/>
    <m/>
    <m/>
    <m/>
    <m/>
    <x v="0"/>
    <x v="347"/>
    <x v="1172"/>
    <n v="5500502907"/>
    <s v="R900601678"/>
    <n v="18"/>
    <n v="312.83999999999997"/>
    <m/>
    <m/>
    <s v="20250102-31.01.2025"/>
    <x v="1"/>
    <x v="6"/>
    <x v="0"/>
    <m/>
  </r>
  <r>
    <x v="11"/>
    <x v="0"/>
    <x v="292"/>
    <x v="169"/>
    <x v="201"/>
    <s v="THROTTLE SCREW     2FRM 16-3X/"/>
    <s v="AI"/>
    <n v="17.38"/>
    <n v="120"/>
    <n v="2085.6"/>
    <x v="76"/>
    <n v="3"/>
    <n v="2025"/>
    <n v="35"/>
    <x v="76"/>
    <n v="240"/>
    <n v="42"/>
    <s v="approved"/>
    <n v="40"/>
    <s v="yes"/>
    <m/>
    <m/>
    <m/>
    <m/>
    <m/>
    <m/>
    <x v="0"/>
    <x v="339"/>
    <x v="1173"/>
    <n v="5500502907"/>
    <s v="R900601678"/>
    <n v="120"/>
    <n v="2085.6"/>
    <m/>
    <m/>
    <s v="20250256-28.02.2025"/>
    <x v="1"/>
    <x v="6"/>
    <x v="0"/>
    <m/>
  </r>
  <r>
    <x v="11"/>
    <x v="0"/>
    <x v="292"/>
    <x v="169"/>
    <x v="201"/>
    <s v="THROTTLE SCREW     2FRM 16-3X/"/>
    <s v="AI"/>
    <n v="17.38"/>
    <n v="16"/>
    <n v="278.08"/>
    <x v="76"/>
    <n v="3"/>
    <n v="2025"/>
    <n v="35"/>
    <x v="76"/>
    <n v="240"/>
    <n v="42"/>
    <s v="approved"/>
    <n v="40"/>
    <s v="yes"/>
    <m/>
    <m/>
    <m/>
    <m/>
    <m/>
    <m/>
    <x v="0"/>
    <x v="28"/>
    <x v="1174"/>
    <n v="5500502907"/>
    <s v="R900601678"/>
    <n v="16"/>
    <n v="278.08"/>
    <m/>
    <m/>
    <s v="20250290-07.03.2025"/>
    <x v="1"/>
    <x v="6"/>
    <x v="0"/>
    <m/>
  </r>
  <r>
    <x v="11"/>
    <x v="0"/>
    <x v="292"/>
    <x v="169"/>
    <x v="201"/>
    <s v="THROTTLE SCREW     2FRM 16-3X/"/>
    <s v="AI"/>
    <n v="17.38"/>
    <n v="16"/>
    <n v="278.08"/>
    <x v="76"/>
    <n v="3"/>
    <n v="2025"/>
    <n v="35"/>
    <x v="76"/>
    <n v="240"/>
    <n v="41"/>
    <s v="approved"/>
    <n v="40"/>
    <s v="yes"/>
    <m/>
    <m/>
    <m/>
    <m/>
    <m/>
    <m/>
    <x v="0"/>
    <x v="348"/>
    <x v="1175"/>
    <n v="5500502907"/>
    <s v="R900601678"/>
    <n v="16"/>
    <n v="278.08"/>
    <m/>
    <m/>
    <s v="20250320-14.03.2025"/>
    <x v="1"/>
    <x v="6"/>
    <x v="0"/>
    <m/>
  </r>
  <r>
    <x v="11"/>
    <x v="0"/>
    <x v="292"/>
    <x v="169"/>
    <x v="201"/>
    <s v="THROTTLE SCREW     2FRM 16-3X/"/>
    <s v="AI"/>
    <n v="17.38"/>
    <n v="240"/>
    <n v="4171.2"/>
    <x v="222"/>
    <n v="6"/>
    <n v="2025"/>
    <n v="35"/>
    <x v="76"/>
    <n v="240"/>
    <n v="42"/>
    <s v="approved"/>
    <n v="40"/>
    <s v="yes"/>
    <m/>
    <m/>
    <m/>
    <m/>
    <m/>
    <m/>
    <x v="0"/>
    <x v="28"/>
    <x v="1174"/>
    <n v="5500502907"/>
    <s v="R900601678"/>
    <n v="240"/>
    <n v="4171.2"/>
    <m/>
    <m/>
    <s v="20250290-07.03.2025"/>
    <x v="1"/>
    <x v="7"/>
    <x v="0"/>
    <m/>
  </r>
  <r>
    <x v="11"/>
    <x v="0"/>
    <x v="292"/>
    <x v="169"/>
    <x v="201"/>
    <s v="THROTTLE SCREW     2FRM 16-3X/"/>
    <s v="AI"/>
    <n v="17.38"/>
    <n v="176"/>
    <n v="3058.8799999999997"/>
    <x v="222"/>
    <n v="6"/>
    <n v="2025"/>
    <n v="35"/>
    <x v="76"/>
    <n v="240"/>
    <n v="42"/>
    <s v="approved"/>
    <n v="40"/>
    <s v="yes"/>
    <m/>
    <m/>
    <m/>
    <m/>
    <m/>
    <m/>
    <x v="0"/>
    <x v="348"/>
    <x v="1175"/>
    <n v="5500502907"/>
    <s v="R900601678"/>
    <n v="176"/>
    <n v="3058.8799999999997"/>
    <m/>
    <m/>
    <s v="20250320-14.03.2025"/>
    <x v="1"/>
    <x v="7"/>
    <x v="0"/>
    <m/>
  </r>
  <r>
    <x v="11"/>
    <x v="0"/>
    <x v="292"/>
    <x v="169"/>
    <x v="201"/>
    <s v="THROTTLE SCREW     2FRM 16-3X/"/>
    <s v="AI"/>
    <n v="17.38"/>
    <n v="126"/>
    <n v="2189.8799999999997"/>
    <x v="184"/>
    <n v="11"/>
    <n v="2025"/>
    <n v="35"/>
    <x v="76"/>
    <n v="240"/>
    <n v="42"/>
    <s v="approved"/>
    <n v="40"/>
    <s v="yes"/>
    <m/>
    <m/>
    <m/>
    <m/>
    <m/>
    <m/>
    <x v="0"/>
    <x v="28"/>
    <x v="1174"/>
    <n v="5500502907"/>
    <s v="R900601678"/>
    <n v="126"/>
    <n v="2189.8799999999997"/>
    <m/>
    <m/>
    <s v="20250290-07.03.2025"/>
    <x v="0"/>
    <x v="5"/>
    <x v="0"/>
    <m/>
  </r>
  <r>
    <x v="11"/>
    <x v="0"/>
    <x v="292"/>
    <x v="169"/>
    <x v="201"/>
    <s v="THROTTLE SCREW     2FRM 16-3X/"/>
    <s v="AI"/>
    <n v="17.38"/>
    <n v="350"/>
    <n v="6083"/>
    <x v="325"/>
    <n v="17"/>
    <n v="2025"/>
    <n v="35"/>
    <x v="76"/>
    <n v="240"/>
    <n v="42"/>
    <s v="approved"/>
    <n v="40"/>
    <s v="yes"/>
    <m/>
    <m/>
    <m/>
    <m/>
    <s v="Yes"/>
    <m/>
    <x v="0"/>
    <x v="284"/>
    <x v="1176"/>
    <n v="5500502907"/>
    <s v="R900601678"/>
    <n v="350"/>
    <n v="6083"/>
    <m/>
    <m/>
    <s v="20250669-28.05.2025"/>
    <x v="1"/>
    <x v="1"/>
    <x v="0"/>
    <m/>
  </r>
  <r>
    <x v="11"/>
    <x v="0"/>
    <x v="292"/>
    <x v="169"/>
    <x v="201"/>
    <s v="THROTTLE SCREW     2FRM 16-3X/"/>
    <s v="AI"/>
    <n v="17.38"/>
    <n v="420"/>
    <n v="7299.5999999999995"/>
    <x v="0"/>
    <n v="27"/>
    <n v="2025"/>
    <n v="35"/>
    <x v="76"/>
    <n v="240"/>
    <n v="42"/>
    <s v="approved"/>
    <n v="40"/>
    <s v="yes"/>
    <m/>
    <m/>
    <m/>
    <m/>
    <s v="Yes"/>
    <m/>
    <x v="0"/>
    <x v="12"/>
    <x v="1177"/>
    <n v="5500502907"/>
    <s v="R900601678"/>
    <n v="420"/>
    <n v="7299.5999999999995"/>
    <m/>
    <m/>
    <s v="20250815-30.06.2025"/>
    <x v="0"/>
    <x v="0"/>
    <x v="0"/>
    <m/>
  </r>
  <r>
    <x v="11"/>
    <x v="1"/>
    <x v="292"/>
    <x v="169"/>
    <x v="201"/>
    <s v="THROTTLE SCREW     2FRM 16-3X/"/>
    <s v="AI"/>
    <n v="17.38"/>
    <n v="300"/>
    <n v="5214"/>
    <x v="361"/>
    <n v="31"/>
    <n v="2025"/>
    <n v="35"/>
    <x v="76"/>
    <n v="240"/>
    <n v="42"/>
    <s v="approved"/>
    <n v="40"/>
    <s v="yes"/>
    <m/>
    <m/>
    <m/>
    <m/>
    <s v="yes- doar 120"/>
    <m/>
    <x v="0"/>
    <x v="26"/>
    <x v="1178"/>
    <n v="5500502907"/>
    <s v="R900601678"/>
    <n v="300"/>
    <n v="5214"/>
    <m/>
    <m/>
    <s v="20251015/32.07.2025"/>
    <x v="0"/>
    <x v="8"/>
    <x v="0"/>
    <m/>
  </r>
  <r>
    <x v="11"/>
    <x v="1"/>
    <x v="292"/>
    <x v="169"/>
    <x v="201"/>
    <s v="THROTTLE SCREW     2FRM 16-3X/"/>
    <s v="AI"/>
    <n v="17.38"/>
    <n v="117"/>
    <n v="2033.4599999999998"/>
    <x v="155"/>
    <n v="35"/>
    <n v="2025"/>
    <n v="35"/>
    <x v="76"/>
    <n v="240"/>
    <n v="42"/>
    <s v="approved"/>
    <n v="40"/>
    <s v="yes"/>
    <m/>
    <m/>
    <m/>
    <m/>
    <m/>
    <m/>
    <x v="0"/>
    <x v="26"/>
    <x v="1178"/>
    <n v="5500502907"/>
    <s v="R900601678"/>
    <n v="117"/>
    <n v="2033.4599999999998"/>
    <m/>
    <m/>
    <s v="20251015/31.07.2025"/>
    <x v="0"/>
    <x v="9"/>
    <x v="0"/>
    <m/>
  </r>
  <r>
    <x v="11"/>
    <x v="1"/>
    <x v="292"/>
    <x v="169"/>
    <x v="201"/>
    <s v="THROTTLE SCREW     2FRM 16-3X/"/>
    <s v="AI"/>
    <n v="17.38"/>
    <n v="140"/>
    <n v="2433.1999999999998"/>
    <x v="155"/>
    <n v="35"/>
    <n v="2025"/>
    <n v="35"/>
    <x v="76"/>
    <n v="240"/>
    <n v="42"/>
    <s v="approved"/>
    <n v="40"/>
    <s v="yes"/>
    <m/>
    <m/>
    <m/>
    <m/>
    <m/>
    <m/>
    <x v="0"/>
    <x v="163"/>
    <x v="1179"/>
    <n v="5500502907"/>
    <s v="R900601678"/>
    <n v="140"/>
    <n v="2433.1999999999998"/>
    <m/>
    <s v="Nulate de Antonia. "/>
    <s v="20251392-31.10.2025"/>
    <x v="1"/>
    <x v="9"/>
    <x v="0"/>
    <m/>
  </r>
  <r>
    <x v="11"/>
    <x v="0"/>
    <x v="292"/>
    <x v="169"/>
    <x v="201"/>
    <s v="THROTTLE SCREW     2FRM 16-3X/"/>
    <s v="AI"/>
    <n v="17.38"/>
    <n v="223"/>
    <n v="3875.74"/>
    <x v="217"/>
    <n v="37"/>
    <n v="2025"/>
    <n v="35"/>
    <x v="76"/>
    <n v="240"/>
    <n v="42"/>
    <s v="approved"/>
    <n v="40"/>
    <s v="yes"/>
    <m/>
    <m/>
    <m/>
    <m/>
    <m/>
    <m/>
    <x v="0"/>
    <x v="135"/>
    <x v="1180"/>
    <n v="5500502907"/>
    <s v="R900601678"/>
    <n v="223"/>
    <n v="3875.74"/>
    <m/>
    <m/>
    <s v="20251401-31.10.2025"/>
    <x v="1"/>
    <x v="10"/>
    <x v="0"/>
    <m/>
  </r>
  <r>
    <x v="11"/>
    <x v="0"/>
    <x v="292"/>
    <x v="169"/>
    <x v="201"/>
    <s v="THROTTLE SCREW     2FRM 16-3X/"/>
    <s v="AI"/>
    <n v="17.38"/>
    <n v="57"/>
    <n v="990.66"/>
    <x v="409"/>
    <n v="41"/>
    <n v="2025"/>
    <n v="35"/>
    <x v="76"/>
    <n v="240"/>
    <n v="42"/>
    <s v="approved"/>
    <n v="1.1875"/>
    <m/>
    <m/>
    <m/>
    <m/>
    <m/>
    <m/>
    <m/>
    <x v="0"/>
    <x v="135"/>
    <x v="1180"/>
    <n v="5500502907"/>
    <s v="R900601678"/>
    <n v="57"/>
    <n v="990.66"/>
    <m/>
    <m/>
    <s v="20251401-31.10.2025"/>
    <x v="1"/>
    <x v="11"/>
    <x v="0"/>
    <m/>
  </r>
  <r>
    <x v="11"/>
    <x v="0"/>
    <x v="292"/>
    <x v="169"/>
    <x v="201"/>
    <s v="THROTTLE SCREW     2FRM 16-3X/"/>
    <s v="AI"/>
    <n v="17.38"/>
    <n v="183"/>
    <n v="3180.54"/>
    <x v="409"/>
    <n v="41"/>
    <n v="2025"/>
    <n v="35"/>
    <x v="76"/>
    <n v="240"/>
    <n v="42"/>
    <s v="approved"/>
    <n v="40"/>
    <s v="yes"/>
    <m/>
    <m/>
    <m/>
    <m/>
    <m/>
    <m/>
    <x v="1"/>
    <x v="3"/>
    <x v="4"/>
    <s v=""/>
    <s v=""/>
    <m/>
    <n v="0"/>
    <m/>
    <m/>
    <m/>
    <x v="1"/>
    <x v="11"/>
    <x v="0"/>
    <m/>
  </r>
  <r>
    <x v="11"/>
    <x v="0"/>
    <x v="292"/>
    <x v="169"/>
    <x v="201"/>
    <s v="THROTTLE SCREW     2FRM 16-3X/"/>
    <s v="AI"/>
    <n v="17.38"/>
    <n v="240"/>
    <n v="4171.2"/>
    <x v="348"/>
    <n v="45"/>
    <n v="2025"/>
    <n v="35"/>
    <x v="76"/>
    <n v="240"/>
    <n v="42"/>
    <s v="approved"/>
    <n v="40"/>
    <s v="yes"/>
    <m/>
    <m/>
    <m/>
    <m/>
    <m/>
    <m/>
    <x v="1"/>
    <x v="3"/>
    <x v="4"/>
    <s v=""/>
    <s v=""/>
    <m/>
    <n v="0"/>
    <m/>
    <m/>
    <m/>
    <x v="2"/>
    <x v="4"/>
    <x v="0"/>
    <m/>
  </r>
  <r>
    <x v="11"/>
    <x v="0"/>
    <x v="292"/>
    <x v="169"/>
    <x v="201"/>
    <s v="THROTTLE SCREW     2FRM 16-3X/"/>
    <s v="AI"/>
    <n v="17.38"/>
    <n v="240"/>
    <n v="4171.2"/>
    <x v="410"/>
    <n v="50"/>
    <n v="2025"/>
    <n v="35"/>
    <x v="76"/>
    <n v="240"/>
    <n v="42"/>
    <s v="approved"/>
    <n v="40"/>
    <s v="yes"/>
    <m/>
    <m/>
    <m/>
    <m/>
    <m/>
    <m/>
    <x v="1"/>
    <x v="3"/>
    <x v="4"/>
    <s v=""/>
    <s v=""/>
    <m/>
    <n v="0"/>
    <m/>
    <m/>
    <m/>
    <x v="2"/>
    <x v="3"/>
    <x v="0"/>
    <m/>
  </r>
  <r>
    <x v="11"/>
    <x v="1"/>
    <x v="292"/>
    <x v="169"/>
    <x v="201"/>
    <s v="THROTTLE SCREW     2FRM 16-3X/"/>
    <s v="AI"/>
    <n v="0"/>
    <n v="240"/>
    <n v="0"/>
    <x v="411"/>
    <n v="9"/>
    <n v="2026"/>
    <n v="35"/>
    <x v="76"/>
    <n v="240"/>
    <n v="42"/>
    <s v="approved"/>
    <n v="40"/>
    <s v="yes"/>
    <m/>
    <m/>
    <m/>
    <m/>
    <m/>
    <m/>
    <x v="1"/>
    <x v="3"/>
    <x v="4"/>
    <s v=""/>
    <s v=""/>
    <m/>
    <n v="0"/>
    <m/>
    <m/>
    <m/>
    <x v="2"/>
    <x v="7"/>
    <x v="3"/>
    <m/>
  </r>
  <r>
    <x v="11"/>
    <x v="1"/>
    <x v="292"/>
    <x v="169"/>
    <x v="201"/>
    <s v="THROTTLE SCREW     2FRM 16-3X/"/>
    <s v="AI"/>
    <n v="0"/>
    <n v="240"/>
    <n v="0"/>
    <x v="15"/>
    <n v="17"/>
    <n v="2026"/>
    <n v="35"/>
    <x v="76"/>
    <n v="240"/>
    <n v="42"/>
    <s v="approved"/>
    <n v="40"/>
    <s v="yes"/>
    <m/>
    <m/>
    <m/>
    <m/>
    <m/>
    <m/>
    <x v="1"/>
    <x v="3"/>
    <x v="4"/>
    <s v=""/>
    <s v=""/>
    <m/>
    <n v="0"/>
    <m/>
    <m/>
    <m/>
    <x v="2"/>
    <x v="1"/>
    <x v="3"/>
    <m/>
  </r>
  <r>
    <x v="11"/>
    <x v="1"/>
    <x v="292"/>
    <x v="169"/>
    <x v="201"/>
    <s v="THROTTLE SCREW     2FRM 16-3X/"/>
    <s v="AI"/>
    <n v="0"/>
    <n v="240"/>
    <n v="0"/>
    <x v="412"/>
    <n v="25"/>
    <n v="2026"/>
    <n v="35"/>
    <x v="76"/>
    <n v="240"/>
    <n v="42"/>
    <s v="approved"/>
    <n v="40"/>
    <s v="yes"/>
    <m/>
    <m/>
    <m/>
    <m/>
    <m/>
    <m/>
    <x v="1"/>
    <x v="3"/>
    <x v="4"/>
    <s v=""/>
    <s v=""/>
    <m/>
    <n v="0"/>
    <m/>
    <m/>
    <m/>
    <x v="2"/>
    <x v="0"/>
    <x v="3"/>
    <m/>
  </r>
  <r>
    <x v="11"/>
    <x v="1"/>
    <x v="292"/>
    <x v="169"/>
    <x v="201"/>
    <s v="THROTTLE SCREW     2FRM 16-3X/"/>
    <s v="AI"/>
    <n v="0"/>
    <n v="240"/>
    <n v="0"/>
    <x v="413"/>
    <n v="32"/>
    <n v="2026"/>
    <n v="35"/>
    <x v="76"/>
    <n v="240"/>
    <n v="42"/>
    <s v="approved"/>
    <n v="40"/>
    <s v="yes"/>
    <m/>
    <m/>
    <m/>
    <m/>
    <m/>
    <m/>
    <x v="1"/>
    <x v="3"/>
    <x v="4"/>
    <s v=""/>
    <s v=""/>
    <m/>
    <n v="0"/>
    <m/>
    <m/>
    <m/>
    <x v="2"/>
    <x v="9"/>
    <x v="3"/>
    <m/>
  </r>
  <r>
    <x v="11"/>
    <x v="0"/>
    <x v="293"/>
    <x v="177"/>
    <x v="202"/>
    <s v="HOUSING Z2S 16 .-5X/"/>
    <s v="AH"/>
    <n v="62.93"/>
    <n v="360"/>
    <n v="22654.799999999999"/>
    <x v="95"/>
    <n v="18"/>
    <n v="2024"/>
    <n v="0"/>
    <x v="66"/>
    <n v="360"/>
    <n v="42"/>
    <s v="approved"/>
    <n v="30"/>
    <s v="yes"/>
    <m/>
    <m/>
    <m/>
    <m/>
    <m/>
    <s v="241901"/>
    <x v="0"/>
    <x v="349"/>
    <x v="1181"/>
    <n v="4509909328"/>
    <s v="R900687550"/>
    <n v="75"/>
    <n v="4719.75"/>
    <m/>
    <m/>
    <s v="20240241-11.03.2024"/>
    <x v="0"/>
    <x v="1"/>
    <x v="1"/>
    <m/>
  </r>
  <r>
    <x v="11"/>
    <x v="0"/>
    <x v="293"/>
    <x v="177"/>
    <x v="202"/>
    <s v="HOUSING Z2S 16 .-5X/"/>
    <s v="AH"/>
    <n v="62.93"/>
    <m/>
    <n v="0"/>
    <x v="95"/>
    <n v="18"/>
    <n v="2024"/>
    <n v="0"/>
    <x v="66"/>
    <n v="360"/>
    <m/>
    <m/>
    <n v="0"/>
    <m/>
    <m/>
    <m/>
    <m/>
    <m/>
    <m/>
    <m/>
    <x v="0"/>
    <x v="350"/>
    <x v="1182"/>
    <n v="4509909328"/>
    <s v="R900687550"/>
    <n v="107"/>
    <n v="6733.51"/>
    <m/>
    <m/>
    <s v="20240289-20.03.2024"/>
    <x v="0"/>
    <x v="1"/>
    <x v="1"/>
    <m/>
  </r>
  <r>
    <x v="11"/>
    <x v="0"/>
    <x v="293"/>
    <x v="177"/>
    <x v="202"/>
    <s v="HOUSING Z2S 16 .-5X/"/>
    <s v="AH"/>
    <n v="62.93"/>
    <m/>
    <n v="0"/>
    <x v="95"/>
    <n v="18"/>
    <n v="2024"/>
    <n v="0"/>
    <x v="66"/>
    <n v="360"/>
    <m/>
    <m/>
    <n v="30"/>
    <m/>
    <m/>
    <m/>
    <m/>
    <m/>
    <m/>
    <m/>
    <x v="0"/>
    <x v="208"/>
    <x v="1183"/>
    <n v="4509909328"/>
    <s v="R900687550"/>
    <n v="104"/>
    <n v="6544.72"/>
    <m/>
    <m/>
    <s v="20240414-18.04.2024"/>
    <x v="0"/>
    <x v="1"/>
    <x v="1"/>
    <m/>
  </r>
  <r>
    <x v="11"/>
    <x v="0"/>
    <x v="293"/>
    <x v="177"/>
    <x v="202"/>
    <s v="HOUSING Z2S 16 .-5X/"/>
    <s v="AH"/>
    <n v="62.93"/>
    <m/>
    <n v="0"/>
    <x v="95"/>
    <n v="18"/>
    <n v="2024"/>
    <n v="0"/>
    <x v="66"/>
    <n v="360"/>
    <m/>
    <m/>
    <n v="30"/>
    <m/>
    <m/>
    <m/>
    <m/>
    <m/>
    <m/>
    <m/>
    <x v="0"/>
    <x v="34"/>
    <x v="1184"/>
    <n v="4509909328"/>
    <s v="R900687550"/>
    <n v="2"/>
    <n v="125.86"/>
    <m/>
    <s v="raman la noi pt imperechere"/>
    <s v="20240638-30.05.2024"/>
    <x v="1"/>
    <x v="1"/>
    <x v="1"/>
    <m/>
  </r>
  <r>
    <x v="11"/>
    <x v="0"/>
    <x v="293"/>
    <x v="177"/>
    <x v="202"/>
    <s v="HOUSING Z2S 16 .-5X/"/>
    <s v="AH"/>
    <n v="62.93"/>
    <m/>
    <n v="0"/>
    <x v="95"/>
    <n v="18"/>
    <n v="2024"/>
    <n v="0"/>
    <x v="66"/>
    <n v="360"/>
    <m/>
    <m/>
    <n v="30"/>
    <m/>
    <m/>
    <m/>
    <m/>
    <m/>
    <m/>
    <m/>
    <x v="0"/>
    <x v="64"/>
    <x v="1185"/>
    <n v="4509909328"/>
    <s v="R900687550"/>
    <n v="36"/>
    <n v="2265.48"/>
    <m/>
    <s v="raman la noi pt imperechere"/>
    <s v="20240716-17.06.2024"/>
    <x v="1"/>
    <x v="1"/>
    <x v="1"/>
    <m/>
  </r>
  <r>
    <x v="11"/>
    <x v="0"/>
    <x v="293"/>
    <x v="177"/>
    <x v="202"/>
    <s v="HOUSING Z2S 16 .-5X/"/>
    <s v="AH"/>
    <n v="62.93"/>
    <m/>
    <n v="0"/>
    <x v="95"/>
    <n v="18"/>
    <n v="2024"/>
    <n v="0"/>
    <x v="66"/>
    <n v="360"/>
    <m/>
    <m/>
    <n v="0"/>
    <m/>
    <m/>
    <m/>
    <m/>
    <m/>
    <m/>
    <m/>
    <x v="0"/>
    <x v="72"/>
    <x v="1186"/>
    <n v="4509909328"/>
    <s v="R900687550"/>
    <n v="1"/>
    <n v="62.93"/>
    <m/>
    <s v="raman la noi pt imperechere"/>
    <s v="20240791-28.06.2024"/>
    <x v="1"/>
    <x v="1"/>
    <x v="1"/>
    <m/>
  </r>
  <r>
    <x v="11"/>
    <x v="0"/>
    <x v="293"/>
    <x v="177"/>
    <x v="202"/>
    <s v="HOUSING Z2S 16 .-5X/"/>
    <s v="AH"/>
    <n v="62.93"/>
    <m/>
    <n v="0"/>
    <x v="95"/>
    <n v="18"/>
    <n v="2024"/>
    <n v="0"/>
    <x v="66"/>
    <n v="360"/>
    <m/>
    <m/>
    <n v="0"/>
    <m/>
    <m/>
    <m/>
    <m/>
    <m/>
    <m/>
    <m/>
    <x v="0"/>
    <x v="32"/>
    <x v="1187"/>
    <n v="4509909328"/>
    <s v="R900687550"/>
    <n v="35"/>
    <n v="2202.5500000000002"/>
    <m/>
    <m/>
    <s v="20240832-05.07.2024"/>
    <x v="1"/>
    <x v="1"/>
    <x v="1"/>
    <m/>
  </r>
  <r>
    <x v="11"/>
    <x v="0"/>
    <x v="294"/>
    <x v="98"/>
    <x v="202"/>
    <s v="HOUSING Z2S 16 .-5X/"/>
    <s v="AH"/>
    <n v="62.93"/>
    <n v="360"/>
    <n v="22654.799999999999"/>
    <x v="414"/>
    <n v="30"/>
    <n v="2024"/>
    <n v="0"/>
    <x v="66"/>
    <n v="360"/>
    <n v="42"/>
    <s v="approved"/>
    <n v="30"/>
    <s v="yes"/>
    <m/>
    <m/>
    <m/>
    <m/>
    <m/>
    <s v="242008 + 242207"/>
    <x v="0"/>
    <x v="32"/>
    <x v="1188"/>
    <n v="4509977134"/>
    <s v="R900687550"/>
    <n v="40"/>
    <n v="2517.1999999999998"/>
    <m/>
    <m/>
    <s v="20240835-05.07.2024"/>
    <x v="0"/>
    <x v="8"/>
    <x v="1"/>
    <m/>
  </r>
  <r>
    <x v="11"/>
    <x v="0"/>
    <x v="294"/>
    <x v="98"/>
    <x v="202"/>
    <s v="HOUSING Z2S 16 .-5X/"/>
    <s v="AH"/>
    <n v="62.93"/>
    <n v="0"/>
    <n v="0"/>
    <x v="414"/>
    <n v="30"/>
    <n v="2024"/>
    <n v="0"/>
    <x v="66"/>
    <n v="360"/>
    <m/>
    <m/>
    <n v="0"/>
    <m/>
    <m/>
    <m/>
    <m/>
    <m/>
    <m/>
    <m/>
    <x v="0"/>
    <x v="123"/>
    <x v="1189"/>
    <n v="4509977134"/>
    <s v="R900687550"/>
    <n v="223"/>
    <n v="14033.39"/>
    <m/>
    <s v="raman la noi pt imperechere"/>
    <s v="20240989-05.08.2024/20241104/20241105-29.08.2024"/>
    <x v="1"/>
    <x v="8"/>
    <x v="1"/>
    <m/>
  </r>
  <r>
    <x v="11"/>
    <x v="0"/>
    <x v="294"/>
    <x v="98"/>
    <x v="202"/>
    <s v="HOUSING Z2S 16 .-5X/"/>
    <s v="AH"/>
    <n v="62.93"/>
    <n v="0"/>
    <n v="0"/>
    <x v="414"/>
    <n v="30"/>
    <n v="2024"/>
    <n v="0"/>
    <x v="66"/>
    <n v="360"/>
    <m/>
    <m/>
    <n v="0"/>
    <m/>
    <m/>
    <m/>
    <m/>
    <m/>
    <m/>
    <m/>
    <x v="0"/>
    <x v="323"/>
    <x v="1190"/>
    <n v="4509977134"/>
    <s v="R900687550"/>
    <n v="58"/>
    <n v="3649.94"/>
    <m/>
    <s v="raman la noi pt imperechere"/>
    <s v="20241107-29.08.2024"/>
    <x v="1"/>
    <x v="8"/>
    <x v="1"/>
    <m/>
  </r>
  <r>
    <x v="11"/>
    <x v="0"/>
    <x v="294"/>
    <x v="80"/>
    <x v="202"/>
    <s v="HOUSING Z2S 16 .-5X/"/>
    <s v="AH"/>
    <n v="62.93"/>
    <n v="0"/>
    <n v="0"/>
    <x v="415"/>
    <n v="30"/>
    <n v="2024"/>
    <n v="0"/>
    <x v="66"/>
    <n v="360"/>
    <m/>
    <m/>
    <n v="0"/>
    <m/>
    <m/>
    <m/>
    <m/>
    <m/>
    <m/>
    <m/>
    <x v="0"/>
    <x v="351"/>
    <x v="1191"/>
    <n v="4509977134"/>
    <s v="R900687550"/>
    <n v="39"/>
    <n v="2454.27"/>
    <m/>
    <m/>
    <s v="20241131-31.08.2024"/>
    <x v="1"/>
    <x v="8"/>
    <x v="1"/>
    <m/>
  </r>
  <r>
    <x v="11"/>
    <x v="0"/>
    <x v="295"/>
    <x v="178"/>
    <x v="202"/>
    <s v="HOUSING Z2S 16 .-5X/"/>
    <s v="AH"/>
    <n v="62.93"/>
    <n v="60"/>
    <n v="3775.8"/>
    <x v="49"/>
    <n v="36"/>
    <n v="2024"/>
    <n v="0"/>
    <x v="66"/>
    <n v="360"/>
    <m/>
    <m/>
    <n v="30"/>
    <m/>
    <m/>
    <m/>
    <m/>
    <m/>
    <m/>
    <m/>
    <x v="0"/>
    <x v="351"/>
    <x v="1192"/>
    <n v="4510242620"/>
    <s v="R900687550"/>
    <n v="60"/>
    <n v="3775.8"/>
    <m/>
    <m/>
    <s v="20241132-31.08.2024"/>
    <x v="0"/>
    <x v="10"/>
    <x v="1"/>
    <m/>
  </r>
  <r>
    <x v="11"/>
    <x v="0"/>
    <x v="296"/>
    <x v="12"/>
    <x v="202"/>
    <s v="HOUSING Z2S 16 .-5X/"/>
    <s v="AH"/>
    <n v="62.93"/>
    <n v="17"/>
    <n v="1069.81"/>
    <x v="416"/>
    <n v="38"/>
    <n v="2024"/>
    <n v="0"/>
    <x v="66"/>
    <n v="360"/>
    <m/>
    <m/>
    <n v="30"/>
    <m/>
    <m/>
    <m/>
    <m/>
    <m/>
    <m/>
    <m/>
    <x v="0"/>
    <x v="210"/>
    <x v="1193"/>
    <n v="4510269283"/>
    <s v="R900687550"/>
    <n v="17"/>
    <n v="1069.81"/>
    <m/>
    <m/>
    <s v="20241216-20.09.2024"/>
    <x v="0"/>
    <x v="10"/>
    <x v="1"/>
    <m/>
  </r>
  <r>
    <x v="11"/>
    <x v="0"/>
    <x v="294"/>
    <x v="179"/>
    <x v="202"/>
    <s v="HOUSING Z2S 16 .-5X/"/>
    <s v="AH"/>
    <n v="62.93"/>
    <n v="360"/>
    <n v="22654.799999999999"/>
    <x v="416"/>
    <n v="38"/>
    <n v="2024"/>
    <n v="0"/>
    <x v="66"/>
    <n v="360"/>
    <m/>
    <m/>
    <n v="30"/>
    <m/>
    <m/>
    <m/>
    <m/>
    <m/>
    <m/>
    <m/>
    <x v="0"/>
    <x v="3"/>
    <x v="4"/>
    <s v=""/>
    <s v=""/>
    <n v="0"/>
    <n v="0"/>
    <m/>
    <m/>
    <m/>
    <x v="1"/>
    <x v="10"/>
    <x v="1"/>
    <m/>
  </r>
  <r>
    <x v="11"/>
    <x v="0"/>
    <x v="297"/>
    <x v="177"/>
    <x v="203"/>
    <s v="HOUSING Z2S 22.-5X/"/>
    <s v="AI"/>
    <n v="78.23"/>
    <n v="210"/>
    <n v="16428.3"/>
    <x v="417"/>
    <n v="9"/>
    <n v="2024"/>
    <n v="0"/>
    <x v="77"/>
    <n v="210"/>
    <n v="42"/>
    <s v="approved"/>
    <n v="30"/>
    <s v="yes"/>
    <m/>
    <m/>
    <m/>
    <m/>
    <m/>
    <s v="240710/242706"/>
    <x v="0"/>
    <x v="137"/>
    <x v="1194"/>
    <n v="4509909318"/>
    <s v="R900688220"/>
    <n v="40"/>
    <n v="3129.2000000000003"/>
    <m/>
    <m/>
    <s v="20240328-29.03.2024"/>
    <x v="1"/>
    <x v="7"/>
    <x v="1"/>
    <m/>
  </r>
  <r>
    <x v="11"/>
    <x v="0"/>
    <x v="297"/>
    <x v="177"/>
    <x v="203"/>
    <s v="HOUSING Z2S 22.-5X/"/>
    <s v="AI"/>
    <n v="78.23"/>
    <m/>
    <n v="0"/>
    <x v="417"/>
    <n v="9"/>
    <n v="2024"/>
    <n v="0"/>
    <x v="77"/>
    <n v="210"/>
    <m/>
    <m/>
    <n v="30"/>
    <m/>
    <m/>
    <m/>
    <m/>
    <m/>
    <m/>
    <m/>
    <x v="0"/>
    <x v="119"/>
    <x v="1195"/>
    <n v="4509909318"/>
    <s v="R900688220"/>
    <n v="77"/>
    <n v="6023.71"/>
    <m/>
    <m/>
    <s v="20240336-04.04.2024"/>
    <x v="1"/>
    <x v="7"/>
    <x v="1"/>
    <m/>
  </r>
  <r>
    <x v="11"/>
    <x v="0"/>
    <x v="297"/>
    <x v="177"/>
    <x v="203"/>
    <s v="HOUSING Z2S 22.-5X/"/>
    <s v="AI"/>
    <n v="78.23"/>
    <m/>
    <n v="0"/>
    <x v="417"/>
    <n v="9"/>
    <n v="2024"/>
    <n v="0"/>
    <x v="77"/>
    <n v="210"/>
    <m/>
    <m/>
    <n v="30"/>
    <m/>
    <m/>
    <m/>
    <m/>
    <m/>
    <m/>
    <m/>
    <x v="0"/>
    <x v="120"/>
    <x v="1196"/>
    <n v="4509909318"/>
    <s v="R900688220"/>
    <n v="3"/>
    <n v="234.69"/>
    <m/>
    <m/>
    <s v="20240524-10.05.2024"/>
    <x v="1"/>
    <x v="7"/>
    <x v="1"/>
    <m/>
  </r>
  <r>
    <x v="11"/>
    <x v="0"/>
    <x v="297"/>
    <x v="177"/>
    <x v="203"/>
    <s v="HOUSING Z2S 22.-5X/"/>
    <s v="AI"/>
    <n v="78.23"/>
    <m/>
    <n v="0"/>
    <x v="417"/>
    <n v="9"/>
    <n v="2024"/>
    <n v="0"/>
    <x v="77"/>
    <n v="210"/>
    <m/>
    <m/>
    <n v="30"/>
    <m/>
    <m/>
    <m/>
    <m/>
    <m/>
    <m/>
    <m/>
    <x v="0"/>
    <x v="352"/>
    <x v="1197"/>
    <n v="4509909318"/>
    <s v="R900688220"/>
    <n v="19"/>
    <n v="1486.3700000000001"/>
    <m/>
    <m/>
    <s v="2024630-10.06.2024"/>
    <x v="1"/>
    <x v="7"/>
    <x v="1"/>
    <m/>
  </r>
  <r>
    <x v="11"/>
    <x v="0"/>
    <x v="297"/>
    <x v="177"/>
    <x v="203"/>
    <s v="HOUSING Z2S 22.-5X/"/>
    <s v="AI"/>
    <n v="78.23"/>
    <m/>
    <n v="0"/>
    <x v="417"/>
    <n v="9"/>
    <n v="2024"/>
    <n v="0"/>
    <x v="77"/>
    <n v="210"/>
    <m/>
    <m/>
    <n v="0"/>
    <m/>
    <m/>
    <m/>
    <m/>
    <m/>
    <m/>
    <m/>
    <x v="0"/>
    <x v="323"/>
    <x v="1198"/>
    <n v="4509909318"/>
    <s v="R900688220"/>
    <n v="71"/>
    <n v="5554.33"/>
    <m/>
    <m/>
    <s v="20241108-27.08.2024"/>
    <x v="1"/>
    <x v="7"/>
    <x v="1"/>
    <m/>
  </r>
  <r>
    <x v="11"/>
    <x v="0"/>
    <x v="298"/>
    <x v="98"/>
    <x v="203"/>
    <s v="HOUSING Z2S 22.-5X/"/>
    <s v="AI"/>
    <n v="78.23"/>
    <n v="210"/>
    <n v="16428.3"/>
    <x v="414"/>
    <n v="30"/>
    <n v="2024"/>
    <n v="0"/>
    <x v="77"/>
    <n v="210"/>
    <n v="42"/>
    <s v="approved"/>
    <n v="30"/>
    <s v="yes"/>
    <m/>
    <m/>
    <m/>
    <m/>
    <m/>
    <s v="242706"/>
    <x v="0"/>
    <x v="323"/>
    <x v="1199"/>
    <n v="4509977130"/>
    <s v="R900688220"/>
    <n v="126"/>
    <n v="9856.9800000000014"/>
    <m/>
    <m/>
    <s v="20241109-27.08.2024"/>
    <x v="1"/>
    <x v="8"/>
    <x v="1"/>
    <m/>
  </r>
  <r>
    <x v="11"/>
    <x v="0"/>
    <x v="298"/>
    <x v="98"/>
    <x v="203"/>
    <s v="HOUSING Z2S 22.-5X/"/>
    <s v="AI"/>
    <n v="78.23"/>
    <n v="0"/>
    <n v="0"/>
    <x v="414"/>
    <n v="30"/>
    <n v="2024"/>
    <n v="0"/>
    <x v="77"/>
    <n v="210"/>
    <m/>
    <m/>
    <n v="0"/>
    <m/>
    <m/>
    <m/>
    <m/>
    <m/>
    <m/>
    <m/>
    <x v="0"/>
    <x v="214"/>
    <x v="1200"/>
    <n v="4509977130"/>
    <s v="R900688220"/>
    <n v="63"/>
    <n v="4928.4900000000007"/>
    <m/>
    <m/>
    <s v="20241217-20.09.2024"/>
    <x v="1"/>
    <x v="8"/>
    <x v="1"/>
    <m/>
  </r>
  <r>
    <x v="12"/>
    <x v="0"/>
    <x v="299"/>
    <x v="106"/>
    <x v="204"/>
    <s v="PLATE_4WRD_32_5X_"/>
    <s v="AD"/>
    <n v="5.81"/>
    <n v="71"/>
    <n v="412.51"/>
    <x v="291"/>
    <n v="37"/>
    <n v="2024"/>
    <n v="0"/>
    <x v="68"/>
    <n v="0"/>
    <n v="60"/>
    <s v="approved"/>
    <n v="56"/>
    <s v="yes"/>
    <m/>
    <m/>
    <m/>
    <m/>
    <m/>
    <m/>
    <x v="0"/>
    <x v="285"/>
    <x v="1201"/>
    <n v="5500533448"/>
    <s v="R900699249"/>
    <n v="71"/>
    <n v="412.51"/>
    <m/>
    <m/>
    <s v="20241168-12.09.2024"/>
    <x v="0"/>
    <x v="10"/>
    <x v="1"/>
    <m/>
  </r>
  <r>
    <x v="12"/>
    <x v="0"/>
    <x v="299"/>
    <x v="106"/>
    <x v="204"/>
    <s v="PLATE_4WRD_32_5X_"/>
    <s v="AD"/>
    <n v="5.81"/>
    <n v="18"/>
    <n v="104.58"/>
    <x v="220"/>
    <n v="41"/>
    <n v="2024"/>
    <n v="0"/>
    <x v="68"/>
    <n v="0"/>
    <n v="60"/>
    <s v="approved"/>
    <n v="56"/>
    <s v="yes"/>
    <m/>
    <m/>
    <m/>
    <m/>
    <m/>
    <m/>
    <x v="0"/>
    <x v="324"/>
    <x v="1202"/>
    <n v="5500533448"/>
    <s v="R900699249"/>
    <n v="18"/>
    <n v="104.58"/>
    <m/>
    <m/>
    <s v="20241267-04.10.2024"/>
    <x v="0"/>
    <x v="11"/>
    <x v="1"/>
    <m/>
  </r>
  <r>
    <x v="12"/>
    <x v="0"/>
    <x v="299"/>
    <x v="106"/>
    <x v="204"/>
    <s v="PLATE_4WRD_32_5X_"/>
    <s v="AD"/>
    <n v="5.81"/>
    <n v="61"/>
    <n v="354.40999999999997"/>
    <x v="220"/>
    <n v="41"/>
    <n v="2024"/>
    <n v="0"/>
    <x v="68"/>
    <n v="0"/>
    <n v="60"/>
    <s v="approved"/>
    <n v="56"/>
    <s v="yes"/>
    <m/>
    <m/>
    <m/>
    <m/>
    <m/>
    <m/>
    <x v="0"/>
    <x v="13"/>
    <x v="1203"/>
    <n v="5500533448"/>
    <s v="R900699249"/>
    <n v="61"/>
    <n v="354.40999999999997"/>
    <m/>
    <m/>
    <s v="20241322-18.10.2024"/>
    <x v="1"/>
    <x v="11"/>
    <x v="1"/>
    <m/>
  </r>
  <r>
    <x v="12"/>
    <x v="0"/>
    <x v="299"/>
    <x v="106"/>
    <x v="204"/>
    <s v="PLATE_4WRD_32_5X_"/>
    <s v="AD"/>
    <n v="5.81"/>
    <n v="51"/>
    <n v="296.31"/>
    <x v="418"/>
    <n v="41"/>
    <n v="2024"/>
    <n v="0"/>
    <x v="68"/>
    <n v="0"/>
    <n v="60"/>
    <s v="approved"/>
    <n v="56"/>
    <s v="yes"/>
    <m/>
    <m/>
    <m/>
    <m/>
    <m/>
    <m/>
    <x v="0"/>
    <x v="13"/>
    <x v="1203"/>
    <n v="5500533448"/>
    <s v="R900699249"/>
    <n v="51"/>
    <n v="296.31"/>
    <m/>
    <m/>
    <s v="20241322-18.10.2024"/>
    <x v="1"/>
    <x v="11"/>
    <x v="1"/>
    <m/>
  </r>
  <r>
    <x v="12"/>
    <x v="0"/>
    <x v="299"/>
    <x v="106"/>
    <x v="204"/>
    <s v="PLATE_4WRD_32_5X_"/>
    <s v="AD"/>
    <n v="5.81"/>
    <n v="127"/>
    <n v="737.87"/>
    <x v="418"/>
    <n v="41"/>
    <n v="2024"/>
    <n v="0"/>
    <x v="68"/>
    <n v="0"/>
    <n v="60"/>
    <s v="approved"/>
    <n v="56"/>
    <s v="yes"/>
    <m/>
    <m/>
    <m/>
    <s v="ETA 23oct"/>
    <s v="se pot planifica, 213pcs"/>
    <s v="need asap"/>
    <x v="0"/>
    <x v="283"/>
    <x v="1204"/>
    <n v="5500533448"/>
    <s v="R900699249"/>
    <n v="127"/>
    <n v="737.87"/>
    <m/>
    <s v="stornate 61 de buc"/>
    <s v="20241407-08.11.2024 / 20250337-19.03.2025"/>
    <x v="1"/>
    <x v="11"/>
    <x v="1"/>
    <m/>
  </r>
  <r>
    <x v="12"/>
    <x v="0"/>
    <x v="299"/>
    <x v="106"/>
    <x v="204"/>
    <s v="PLATE_4WRD_32_5X_"/>
    <s v="AD"/>
    <n v="5.81"/>
    <n v="61"/>
    <n v="354.40999999999997"/>
    <x v="183"/>
    <n v="44"/>
    <n v="2024"/>
    <n v="0"/>
    <x v="68"/>
    <n v="0"/>
    <m/>
    <m/>
    <n v="56"/>
    <s v="yes"/>
    <m/>
    <m/>
    <m/>
    <m/>
    <m/>
    <m/>
    <x v="0"/>
    <x v="324"/>
    <x v="1202"/>
    <n v="5500533448"/>
    <s v="R900699249"/>
    <n v="61"/>
    <n v="354.40999999999997"/>
    <m/>
    <m/>
    <s v="20241267-04.10.2024"/>
    <x v="0"/>
    <x v="11"/>
    <x v="1"/>
    <m/>
  </r>
  <r>
    <x v="12"/>
    <x v="0"/>
    <x v="299"/>
    <x v="106"/>
    <x v="204"/>
    <s v="PLATE_4WRD_32_5X_"/>
    <s v="AD"/>
    <n v="5.81"/>
    <n v="64"/>
    <n v="371.84"/>
    <x v="252"/>
    <n v="3"/>
    <n v="2025"/>
    <n v="0"/>
    <x v="68"/>
    <n v="0"/>
    <n v="60"/>
    <s v="approved"/>
    <n v="56"/>
    <s v="yes"/>
    <m/>
    <m/>
    <m/>
    <m/>
    <m/>
    <m/>
    <x v="0"/>
    <x v="326"/>
    <x v="1205"/>
    <n v="5500533448"/>
    <s v="R900699249"/>
    <n v="64"/>
    <n v="371.84"/>
    <m/>
    <m/>
    <s v="20241468-22.11.2024"/>
    <x v="0"/>
    <x v="6"/>
    <x v="0"/>
    <m/>
  </r>
  <r>
    <x v="12"/>
    <x v="0"/>
    <x v="299"/>
    <x v="106"/>
    <x v="204"/>
    <s v="PLATE_4WRD_32_5X_"/>
    <s v="AD"/>
    <n v="5.81"/>
    <n v="249"/>
    <n v="1446.6899999999998"/>
    <x v="419"/>
    <n v="10"/>
    <n v="2025"/>
    <n v="0"/>
    <x v="68"/>
    <n v="0"/>
    <n v="60"/>
    <s v="approved"/>
    <n v="56"/>
    <s v="yes"/>
    <m/>
    <m/>
    <m/>
    <m/>
    <s v="Yes"/>
    <m/>
    <x v="0"/>
    <x v="92"/>
    <x v="1206"/>
    <n v="5500533448"/>
    <s v="R900699249"/>
    <n v="249"/>
    <n v="1446.6899999999998"/>
    <m/>
    <m/>
    <s v="20250486-09.04.2025"/>
    <x v="1"/>
    <x v="5"/>
    <x v="0"/>
    <m/>
  </r>
  <r>
    <x v="12"/>
    <x v="0"/>
    <x v="299"/>
    <x v="106"/>
    <x v="204"/>
    <s v="PLATE_4WRD_32_5X_"/>
    <s v="AD"/>
    <n v="5.81"/>
    <n v="171"/>
    <n v="993.50999999999988"/>
    <x v="419"/>
    <n v="10"/>
    <n v="2025"/>
    <n v="0"/>
    <x v="68"/>
    <n v="0"/>
    <n v="60"/>
    <s v="approved"/>
    <n v="56"/>
    <s v="yes"/>
    <m/>
    <m/>
    <m/>
    <m/>
    <s v="Yes"/>
    <m/>
    <x v="0"/>
    <x v="92"/>
    <x v="1206"/>
    <n v="5500533448"/>
    <s v="R900699249"/>
    <n v="171"/>
    <n v="993.50999999999988"/>
    <m/>
    <m/>
    <s v="20250486-09.04.2025"/>
    <x v="1"/>
    <x v="5"/>
    <x v="0"/>
    <m/>
  </r>
  <r>
    <x v="12"/>
    <x v="0"/>
    <x v="299"/>
    <x v="106"/>
    <x v="204"/>
    <s v="PLATE_4WRD_32_5X_"/>
    <s v="AD"/>
    <n v="5.81"/>
    <n v="59"/>
    <n v="342.78999999999996"/>
    <x v="158"/>
    <n v="17"/>
    <n v="2025"/>
    <n v="0"/>
    <x v="68"/>
    <n v="0"/>
    <n v="60"/>
    <s v="approved"/>
    <n v="56"/>
    <s v="yes"/>
    <m/>
    <m/>
    <m/>
    <m/>
    <m/>
    <m/>
    <x v="0"/>
    <x v="141"/>
    <x v="1207"/>
    <n v="5500533448"/>
    <s v="R900699249"/>
    <n v="59"/>
    <n v="342.78999999999996"/>
    <m/>
    <m/>
    <s v="20250619-13.05.2025"/>
    <x v="1"/>
    <x v="1"/>
    <x v="0"/>
    <m/>
  </r>
  <r>
    <x v="12"/>
    <x v="0"/>
    <x v="299"/>
    <x v="106"/>
    <x v="204"/>
    <s v="PLATE_4WRD_32_5X_"/>
    <s v="AD"/>
    <n v="5.81"/>
    <n v="71"/>
    <n v="412.51"/>
    <x v="158"/>
    <n v="17"/>
    <n v="2025"/>
    <n v="0"/>
    <x v="68"/>
    <n v="0"/>
    <n v="60"/>
    <s v="approved"/>
    <n v="56"/>
    <s v="yes"/>
    <m/>
    <m/>
    <m/>
    <m/>
    <m/>
    <m/>
    <x v="0"/>
    <x v="330"/>
    <x v="1208"/>
    <n v="5500533448"/>
    <s v="R900699249"/>
    <n v="71"/>
    <n v="412.51"/>
    <m/>
    <m/>
    <s v="20250650-23.05.2025"/>
    <x v="1"/>
    <x v="1"/>
    <x v="0"/>
    <m/>
  </r>
  <r>
    <x v="12"/>
    <x v="0"/>
    <x v="299"/>
    <x v="106"/>
    <x v="204"/>
    <s v="PLATE_4WRD_32_5X_"/>
    <s v="AD"/>
    <n v="5.81"/>
    <n v="187"/>
    <n v="1086.47"/>
    <x v="70"/>
    <n v="23"/>
    <n v="2025"/>
    <n v="0"/>
    <x v="68"/>
    <n v="0"/>
    <n v="60"/>
    <s v="approved"/>
    <n v="56"/>
    <s v="yes"/>
    <m/>
    <m/>
    <m/>
    <m/>
    <m/>
    <m/>
    <x v="0"/>
    <x v="7"/>
    <x v="1209"/>
    <n v="5500533448"/>
    <s v="R900699249"/>
    <n v="187"/>
    <n v="1086.47"/>
    <m/>
    <m/>
    <s v="20250962-24.07.2025"/>
    <x v="1"/>
    <x v="0"/>
    <x v="0"/>
    <m/>
  </r>
  <r>
    <x v="12"/>
    <x v="0"/>
    <x v="299"/>
    <x v="106"/>
    <x v="204"/>
    <s v="PLATE_4WRD_32_5X_"/>
    <s v="AD"/>
    <n v="5.81"/>
    <n v="70"/>
    <n v="406.7"/>
    <x v="70"/>
    <n v="23"/>
    <n v="2025"/>
    <n v="0"/>
    <x v="68"/>
    <n v="0"/>
    <n v="60"/>
    <s v="approved"/>
    <n v="56"/>
    <s v="yes"/>
    <m/>
    <m/>
    <m/>
    <m/>
    <m/>
    <m/>
    <x v="0"/>
    <x v="182"/>
    <x v="1210"/>
    <n v="5500533448"/>
    <s v="R900699249"/>
    <n v="70"/>
    <n v="406.7"/>
    <m/>
    <m/>
    <s v="20251001-28.07.2025"/>
    <x v="1"/>
    <x v="0"/>
    <x v="0"/>
    <m/>
  </r>
  <r>
    <x v="12"/>
    <x v="0"/>
    <x v="299"/>
    <x v="106"/>
    <x v="204"/>
    <s v="PLATE_4WRD_32_5X_"/>
    <s v="AD"/>
    <n v="5.81"/>
    <n v="16"/>
    <n v="92.96"/>
    <x v="153"/>
    <n v="24"/>
    <n v="2025"/>
    <n v="0"/>
    <x v="68"/>
    <n v="0"/>
    <n v="60"/>
    <s v="approved"/>
    <n v="56"/>
    <s v="yes"/>
    <m/>
    <m/>
    <m/>
    <m/>
    <m/>
    <m/>
    <x v="0"/>
    <x v="203"/>
    <x v="1211"/>
    <n v="5500533448"/>
    <s v="R900699249"/>
    <n v="16"/>
    <n v="92.96"/>
    <m/>
    <m/>
    <s v="20251068-08.08.2025"/>
    <x v="1"/>
    <x v="0"/>
    <x v="0"/>
    <m/>
  </r>
  <r>
    <x v="12"/>
    <x v="0"/>
    <x v="299"/>
    <x v="106"/>
    <x v="204"/>
    <s v="PLATE_4WRD_32_5X_"/>
    <s v="AD"/>
    <n v="5.81"/>
    <n v="115"/>
    <n v="668.15"/>
    <x v="153"/>
    <n v="24"/>
    <n v="2025"/>
    <n v="0"/>
    <x v="68"/>
    <n v="0"/>
    <n v="60"/>
    <s v="approved"/>
    <n v="56"/>
    <s v="yes"/>
    <m/>
    <m/>
    <m/>
    <m/>
    <m/>
    <m/>
    <x v="0"/>
    <x v="54"/>
    <x v="1212"/>
    <n v="5500533448"/>
    <s v="R900699249"/>
    <n v="115"/>
    <n v="668.15"/>
    <m/>
    <m/>
    <s v="20251188-15.09.2025"/>
    <x v="1"/>
    <x v="0"/>
    <x v="0"/>
    <m/>
  </r>
  <r>
    <x v="12"/>
    <x v="0"/>
    <x v="299"/>
    <x v="106"/>
    <x v="204"/>
    <s v="PLATE_4WRD_32_5X_"/>
    <s v="AD"/>
    <n v="5.81"/>
    <n v="132"/>
    <n v="766.92"/>
    <x v="230"/>
    <n v="26"/>
    <n v="2025"/>
    <n v="0"/>
    <x v="68"/>
    <n v="0"/>
    <n v="60"/>
    <s v="approved"/>
    <n v="56"/>
    <s v="yes"/>
    <m/>
    <m/>
    <m/>
    <m/>
    <m/>
    <m/>
    <x v="0"/>
    <x v="54"/>
    <x v="1212"/>
    <n v="5500533448"/>
    <s v="R900699249"/>
    <n v="132"/>
    <n v="766.92"/>
    <m/>
    <m/>
    <s v="20251188-15.09.2025"/>
    <x v="1"/>
    <x v="0"/>
    <x v="0"/>
    <m/>
  </r>
  <r>
    <x v="12"/>
    <x v="0"/>
    <x v="299"/>
    <x v="106"/>
    <x v="204"/>
    <s v="PLATE_4WRD_32_5X_"/>
    <s v="AD"/>
    <n v="5.81"/>
    <n v="132"/>
    <n v="766.92"/>
    <x v="420"/>
    <n v="32"/>
    <n v="2025"/>
    <n v="0"/>
    <x v="68"/>
    <n v="0"/>
    <n v="60"/>
    <s v="approved"/>
    <n v="56"/>
    <s v="yes"/>
    <m/>
    <m/>
    <m/>
    <m/>
    <m/>
    <m/>
    <x v="0"/>
    <x v="54"/>
    <x v="1212"/>
    <n v="5500533448"/>
    <s v="R900699249"/>
    <n v="132"/>
    <n v="766.92"/>
    <m/>
    <m/>
    <s v="20251188-15.09.2025"/>
    <x v="1"/>
    <x v="9"/>
    <x v="0"/>
    <m/>
  </r>
  <r>
    <x v="12"/>
    <x v="0"/>
    <x v="299"/>
    <x v="106"/>
    <x v="204"/>
    <s v="PLATE_4WRD_32_5X_"/>
    <s v="AD"/>
    <n v="5.81"/>
    <n v="15"/>
    <n v="87.149999999999991"/>
    <x v="283"/>
    <n v="40"/>
    <n v="2025"/>
    <n v="0"/>
    <x v="68"/>
    <n v="0"/>
    <n v="60"/>
    <s v="approved"/>
    <n v="56"/>
    <s v="yes"/>
    <m/>
    <m/>
    <m/>
    <m/>
    <m/>
    <m/>
    <x v="0"/>
    <x v="54"/>
    <x v="1212"/>
    <n v="5500533448"/>
    <s v="R900699249"/>
    <n v="15"/>
    <n v="87.149999999999991"/>
    <m/>
    <m/>
    <s v="20251188-15.09.2025"/>
    <x v="0"/>
    <x v="10"/>
    <x v="0"/>
    <m/>
  </r>
  <r>
    <x v="12"/>
    <x v="0"/>
    <x v="299"/>
    <x v="170"/>
    <x v="204"/>
    <s v="PLATE_4WRD_32_5X_"/>
    <s v="AD"/>
    <n v="5.81"/>
    <n v="124"/>
    <n v="720.43999999999994"/>
    <x v="283"/>
    <n v="40"/>
    <n v="2025"/>
    <n v="0"/>
    <x v="68"/>
    <n v="0"/>
    <n v="60"/>
    <s v="approved"/>
    <n v="2.5833333333333335"/>
    <m/>
    <m/>
    <m/>
    <m/>
    <m/>
    <m/>
    <m/>
    <x v="0"/>
    <x v="109"/>
    <x v="1213"/>
    <n v="5500533448"/>
    <s v="R900699249"/>
    <n v="124"/>
    <n v="720.43999999999994"/>
    <m/>
    <m/>
    <s v="20251222-24.09.2025"/>
    <x v="0"/>
    <x v="10"/>
    <x v="0"/>
    <m/>
  </r>
  <r>
    <x v="12"/>
    <x v="0"/>
    <x v="299"/>
    <x v="170"/>
    <x v="204"/>
    <s v="PLATE_4WRD_32_5X_"/>
    <s v="AD"/>
    <n v="5.81"/>
    <n v="5"/>
    <n v="29.049999999999997"/>
    <x v="283"/>
    <n v="40"/>
    <n v="2025"/>
    <n v="0"/>
    <x v="68"/>
    <n v="0"/>
    <n v="60"/>
    <s v="approved"/>
    <n v="0.10416666666666667"/>
    <m/>
    <m/>
    <m/>
    <m/>
    <m/>
    <m/>
    <m/>
    <x v="0"/>
    <x v="135"/>
    <x v="1214"/>
    <n v="5500533448"/>
    <s v="R900699249"/>
    <n v="5"/>
    <n v="29.049999999999997"/>
    <m/>
    <m/>
    <s v="20251417-31.10.2025"/>
    <x v="1"/>
    <x v="10"/>
    <x v="0"/>
    <m/>
  </r>
  <r>
    <x v="12"/>
    <x v="0"/>
    <x v="299"/>
    <x v="170"/>
    <x v="204"/>
    <s v="PLATE_4WRD_32_5X_"/>
    <s v="AD"/>
    <n v="5.81"/>
    <n v="86"/>
    <n v="499.65999999999997"/>
    <x v="283"/>
    <n v="40"/>
    <n v="2025"/>
    <n v="0"/>
    <x v="68"/>
    <n v="0"/>
    <n v="60"/>
    <s v="approved"/>
    <n v="56"/>
    <s v="yes"/>
    <m/>
    <m/>
    <m/>
    <m/>
    <m/>
    <m/>
    <x v="1"/>
    <x v="3"/>
    <x v="4"/>
    <s v=""/>
    <s v=""/>
    <m/>
    <n v="0"/>
    <m/>
    <m/>
    <m/>
    <x v="1"/>
    <x v="10"/>
    <x v="0"/>
    <m/>
  </r>
  <r>
    <x v="12"/>
    <x v="0"/>
    <x v="299"/>
    <x v="170"/>
    <x v="204"/>
    <s v="PLATE_4WRD_32_5X_"/>
    <s v="AD"/>
    <n v="0"/>
    <n v="132"/>
    <n v="0"/>
    <x v="394"/>
    <n v="2"/>
    <n v="2026"/>
    <n v="0"/>
    <x v="68"/>
    <n v="0"/>
    <n v="60"/>
    <s v="approved"/>
    <n v="56"/>
    <s v="yes"/>
    <m/>
    <m/>
    <m/>
    <m/>
    <m/>
    <m/>
    <x v="1"/>
    <x v="3"/>
    <x v="4"/>
    <s v=""/>
    <s v=""/>
    <m/>
    <n v="0"/>
    <m/>
    <m/>
    <m/>
    <x v="2"/>
    <x v="6"/>
    <x v="3"/>
    <m/>
  </r>
  <r>
    <x v="12"/>
    <x v="1"/>
    <x v="299"/>
    <x v="170"/>
    <x v="204"/>
    <s v="PLATE_4WRD_32_5X_"/>
    <s v="AD"/>
    <n v="0"/>
    <n v="132"/>
    <n v="0"/>
    <x v="303"/>
    <n v="9"/>
    <n v="2026"/>
    <n v="0"/>
    <x v="68"/>
    <n v="0"/>
    <n v="60"/>
    <s v="approved"/>
    <n v="56"/>
    <s v="yes"/>
    <m/>
    <m/>
    <m/>
    <m/>
    <m/>
    <m/>
    <x v="1"/>
    <x v="3"/>
    <x v="4"/>
    <s v=""/>
    <s v=""/>
    <m/>
    <n v="0"/>
    <m/>
    <m/>
    <m/>
    <x v="2"/>
    <x v="7"/>
    <x v="3"/>
    <m/>
  </r>
  <r>
    <x v="12"/>
    <x v="1"/>
    <x v="299"/>
    <x v="170"/>
    <x v="204"/>
    <s v="PLATE_4WRD_32_5X_"/>
    <s v="AD"/>
    <n v="0"/>
    <n v="132"/>
    <n v="0"/>
    <x v="29"/>
    <n v="17"/>
    <n v="2026"/>
    <n v="0"/>
    <x v="68"/>
    <n v="0"/>
    <n v="60"/>
    <s v="approved"/>
    <n v="56"/>
    <s v="yes"/>
    <m/>
    <m/>
    <m/>
    <m/>
    <m/>
    <m/>
    <x v="1"/>
    <x v="3"/>
    <x v="4"/>
    <s v=""/>
    <s v=""/>
    <m/>
    <n v="0"/>
    <m/>
    <m/>
    <m/>
    <x v="2"/>
    <x v="1"/>
    <x v="3"/>
    <m/>
  </r>
  <r>
    <x v="12"/>
    <x v="1"/>
    <x v="299"/>
    <x v="170"/>
    <x v="204"/>
    <s v="PLATE_4WRD_32_5X_"/>
    <s v="AD"/>
    <n v="0"/>
    <n v="132"/>
    <n v="0"/>
    <x v="421"/>
    <n v="24"/>
    <n v="2026"/>
    <n v="0"/>
    <x v="68"/>
    <n v="0"/>
    <n v="60"/>
    <s v="approved"/>
    <n v="56"/>
    <s v="yes"/>
    <m/>
    <m/>
    <m/>
    <m/>
    <m/>
    <m/>
    <x v="1"/>
    <x v="3"/>
    <x v="4"/>
    <s v=""/>
    <s v=""/>
    <m/>
    <n v="0"/>
    <m/>
    <m/>
    <m/>
    <x v="2"/>
    <x v="0"/>
    <x v="3"/>
    <m/>
  </r>
  <r>
    <x v="12"/>
    <x v="1"/>
    <x v="299"/>
    <x v="170"/>
    <x v="204"/>
    <s v="PLATE_4WRD_32_5X_"/>
    <s v="AD"/>
    <n v="0"/>
    <n v="132"/>
    <n v="0"/>
    <x v="422"/>
    <n v="31"/>
    <n v="2026"/>
    <n v="0"/>
    <x v="68"/>
    <n v="0"/>
    <n v="60"/>
    <s v="approved"/>
    <n v="56"/>
    <s v="yes"/>
    <m/>
    <m/>
    <m/>
    <m/>
    <m/>
    <m/>
    <x v="1"/>
    <x v="3"/>
    <x v="4"/>
    <s v=""/>
    <s v=""/>
    <m/>
    <n v="0"/>
    <m/>
    <m/>
    <m/>
    <x v="2"/>
    <x v="8"/>
    <x v="3"/>
    <m/>
  </r>
  <r>
    <x v="12"/>
    <x v="1"/>
    <x v="299"/>
    <x v="170"/>
    <x v="204"/>
    <s v="PLATE_4WRD_32_5X_"/>
    <s v="AD"/>
    <n v="0"/>
    <n v="132"/>
    <n v="0"/>
    <x v="423"/>
    <n v="37"/>
    <n v="2026"/>
    <n v="0"/>
    <x v="68"/>
    <n v="0"/>
    <n v="60"/>
    <s v="approved"/>
    <n v="56"/>
    <s v="yes"/>
    <m/>
    <m/>
    <m/>
    <m/>
    <m/>
    <m/>
    <x v="1"/>
    <x v="3"/>
    <x v="4"/>
    <s v=""/>
    <s v=""/>
    <n v="0"/>
    <n v="0"/>
    <m/>
    <m/>
    <m/>
    <x v="2"/>
    <x v="10"/>
    <x v="3"/>
    <m/>
  </r>
  <r>
    <x v="12"/>
    <x v="1"/>
    <x v="299"/>
    <x v="170"/>
    <x v="204"/>
    <s v="PLATE_4WRD_32_5X_"/>
    <s v="AD"/>
    <n v="0"/>
    <n v="132"/>
    <n v="0"/>
    <x v="307"/>
    <n v="49"/>
    <n v="2026"/>
    <n v="0"/>
    <x v="68"/>
    <n v="0"/>
    <n v="60"/>
    <s v="approved"/>
    <n v="56"/>
    <s v="yes"/>
    <m/>
    <m/>
    <m/>
    <m/>
    <m/>
    <m/>
    <x v="1"/>
    <x v="3"/>
    <x v="4"/>
    <s v=""/>
    <s v=""/>
    <m/>
    <n v="0"/>
    <m/>
    <m/>
    <m/>
    <x v="2"/>
    <x v="4"/>
    <x v="3"/>
    <m/>
  </r>
  <r>
    <x v="12"/>
    <x v="0"/>
    <x v="300"/>
    <x v="31"/>
    <x v="205"/>
    <s v="CONSOLE            4WRGE-1X/ VORSTE"/>
    <s v="AD"/>
    <n v="2.46"/>
    <n v="230"/>
    <n v="565.79999999999995"/>
    <x v="201"/>
    <n v="28"/>
    <n v="2025"/>
    <n v="319"/>
    <x v="78"/>
    <n v="250"/>
    <n v="60"/>
    <s v="approved"/>
    <n v="56"/>
    <s v="yes"/>
    <m/>
    <m/>
    <s v="yes"/>
    <m/>
    <m/>
    <m/>
    <x v="0"/>
    <x v="7"/>
    <x v="1215"/>
    <n v="5500522506"/>
    <s v="R900823749"/>
    <n v="0"/>
    <n v="0"/>
    <n v="230"/>
    <s v="Retur"/>
    <s v="20250963-24.07.2025/20251099-14.08.2025"/>
    <x v="1"/>
    <x v="8"/>
    <x v="0"/>
    <m/>
  </r>
  <r>
    <x v="12"/>
    <x v="0"/>
    <x v="300"/>
    <x v="31"/>
    <x v="205"/>
    <s v="CONSOLE            4WRGE-1X/ VORSTE"/>
    <s v="AD"/>
    <n v="2.46"/>
    <n v="230"/>
    <n v="565.79999999999995"/>
    <x v="201"/>
    <n v="28"/>
    <n v="2025"/>
    <n v="319"/>
    <x v="78"/>
    <n v="250"/>
    <n v="60"/>
    <s v="approved"/>
    <n v="56"/>
    <s v="yes"/>
    <m/>
    <m/>
    <s v="yes"/>
    <m/>
    <m/>
    <m/>
    <x v="0"/>
    <x v="186"/>
    <x v="1216"/>
    <n v="5500522506"/>
    <s v="R900823749"/>
    <n v="230"/>
    <n v="565.79999999999995"/>
    <m/>
    <m/>
    <s v="20251108/20.08.2025"/>
    <x v="1"/>
    <x v="8"/>
    <x v="0"/>
    <m/>
  </r>
  <r>
    <x v="12"/>
    <x v="0"/>
    <x v="300"/>
    <x v="31"/>
    <x v="205"/>
    <s v="CONSOLE            4WRGE-1X/ VORSTE"/>
    <s v="AD"/>
    <n v="2.46"/>
    <n v="20"/>
    <n v="49.2"/>
    <x v="201"/>
    <n v="28"/>
    <n v="2025"/>
    <n v="319"/>
    <x v="78"/>
    <n v="250"/>
    <n v="60"/>
    <s v="approved"/>
    <n v="56"/>
    <s v="yes"/>
    <m/>
    <m/>
    <s v="yes"/>
    <m/>
    <m/>
    <m/>
    <x v="0"/>
    <x v="186"/>
    <x v="1216"/>
    <n v="5500522506"/>
    <s v="R900823749"/>
    <n v="20"/>
    <n v="49.2"/>
    <m/>
    <m/>
    <s v="20251108/20.08.2025"/>
    <x v="1"/>
    <x v="8"/>
    <x v="0"/>
    <m/>
  </r>
  <r>
    <x v="12"/>
    <x v="0"/>
    <x v="300"/>
    <x v="180"/>
    <x v="205"/>
    <s v="CONSOLE            4WRGE-1X/ VORSTE"/>
    <s v="AD"/>
    <n v="2.46"/>
    <n v="209"/>
    <n v="514.14"/>
    <x v="348"/>
    <n v="45"/>
    <n v="2025"/>
    <n v="319"/>
    <x v="78"/>
    <n v="250"/>
    <n v="61"/>
    <s v="approved"/>
    <n v="56"/>
    <s v="yes"/>
    <m/>
    <m/>
    <m/>
    <m/>
    <m/>
    <m/>
    <x v="0"/>
    <x v="186"/>
    <x v="1216"/>
    <n v="5500522506"/>
    <s v="R900823749"/>
    <n v="209"/>
    <n v="514.14"/>
    <m/>
    <m/>
    <s v="20251108/20.08.2025"/>
    <x v="0"/>
    <x v="4"/>
    <x v="0"/>
    <m/>
  </r>
  <r>
    <x v="12"/>
    <x v="1"/>
    <x v="300"/>
    <x v="180"/>
    <x v="205"/>
    <s v="CONSOLE            4WRGE-1X/ VORSTE"/>
    <s v="AD"/>
    <n v="2.46"/>
    <n v="41"/>
    <n v="100.86"/>
    <x v="348"/>
    <n v="45"/>
    <n v="2025"/>
    <n v="319"/>
    <x v="78"/>
    <n v="250"/>
    <n v="61"/>
    <s v="approved"/>
    <n v="56"/>
    <s v="yes"/>
    <m/>
    <m/>
    <m/>
    <m/>
    <m/>
    <m/>
    <x v="1"/>
    <x v="3"/>
    <x v="4"/>
    <s v=""/>
    <s v=""/>
    <m/>
    <n v="0"/>
    <m/>
    <m/>
    <m/>
    <x v="2"/>
    <x v="4"/>
    <x v="0"/>
    <m/>
  </r>
  <r>
    <x v="12"/>
    <x v="0"/>
    <x v="301"/>
    <x v="106"/>
    <x v="206"/>
    <s v="PLATE              4WRSE10.-30/"/>
    <s v="AB"/>
    <n v="5.22"/>
    <n v="15"/>
    <n v="78.3"/>
    <x v="297"/>
    <n v="11"/>
    <n v="2025"/>
    <n v="170"/>
    <x v="68"/>
    <n v="500"/>
    <m/>
    <s v="approved"/>
    <n v="42"/>
    <s v="no"/>
    <m/>
    <m/>
    <m/>
    <m/>
    <m/>
    <m/>
    <x v="0"/>
    <x v="296"/>
    <x v="1217"/>
    <n v="5500511043"/>
    <s v="R900831492"/>
    <n v="15"/>
    <n v="78.3"/>
    <m/>
    <m/>
    <s v="20250252-28.02.2025"/>
    <x v="0"/>
    <x v="5"/>
    <x v="0"/>
    <m/>
  </r>
  <r>
    <x v="12"/>
    <x v="0"/>
    <x v="301"/>
    <x v="106"/>
    <x v="206"/>
    <s v="PLATE              4WRSE10.-30/"/>
    <s v="AB"/>
    <n v="5.22"/>
    <n v="96"/>
    <n v="501.12"/>
    <x v="388"/>
    <n v="12"/>
    <n v="2025"/>
    <n v="170"/>
    <x v="68"/>
    <n v="500"/>
    <m/>
    <s v="approved"/>
    <n v="42"/>
    <s v="no"/>
    <m/>
    <m/>
    <m/>
    <m/>
    <s v="Yes"/>
    <m/>
    <x v="0"/>
    <x v="168"/>
    <x v="1218"/>
    <n v="5500511043"/>
    <s v="R900831492"/>
    <n v="96"/>
    <n v="501.12"/>
    <m/>
    <m/>
    <s v="20250349-19.03.2025"/>
    <x v="0"/>
    <x v="5"/>
    <x v="0"/>
    <m/>
  </r>
  <r>
    <x v="12"/>
    <x v="0"/>
    <x v="301"/>
    <x v="106"/>
    <x v="206"/>
    <s v="PLATE              4WRSE10.-30/"/>
    <s v="AB"/>
    <n v="5.22"/>
    <n v="188"/>
    <n v="981.3599999999999"/>
    <x v="10"/>
    <n v="20"/>
    <n v="2025"/>
    <n v="170"/>
    <x v="68"/>
    <n v="500"/>
    <m/>
    <s v="approved"/>
    <n v="42"/>
    <s v="no"/>
    <m/>
    <m/>
    <m/>
    <m/>
    <s v="Yes"/>
    <m/>
    <x v="0"/>
    <x v="128"/>
    <x v="1219"/>
    <n v="5500511043"/>
    <s v="R900831492"/>
    <n v="188"/>
    <n v="981.3599999999999"/>
    <m/>
    <m/>
    <s v="20250661-27.05.2025"/>
    <x v="1"/>
    <x v="2"/>
    <x v="0"/>
    <m/>
  </r>
  <r>
    <x v="12"/>
    <x v="0"/>
    <x v="301"/>
    <x v="106"/>
    <x v="206"/>
    <s v="PLATE              4WRSE10.-30/"/>
    <s v="AB"/>
    <n v="5.22"/>
    <n v="206"/>
    <n v="1075.32"/>
    <x v="424"/>
    <n v="22"/>
    <n v="2025"/>
    <n v="170"/>
    <x v="68"/>
    <n v="500"/>
    <m/>
    <s v="approved"/>
    <n v="42"/>
    <s v="no"/>
    <m/>
    <m/>
    <m/>
    <m/>
    <m/>
    <m/>
    <x v="0"/>
    <x v="319"/>
    <x v="1220"/>
    <n v="5500511043"/>
    <s v="R900831492"/>
    <n v="206"/>
    <n v="1075.32"/>
    <m/>
    <m/>
    <s v="20250685-30.05.2025"/>
    <x v="0"/>
    <x v="2"/>
    <x v="0"/>
    <m/>
  </r>
  <r>
    <x v="12"/>
    <x v="0"/>
    <x v="301"/>
    <x v="106"/>
    <x v="206"/>
    <s v="PLATE              4WRSE10.-30/"/>
    <s v="AB"/>
    <n v="5.22"/>
    <n v="205"/>
    <n v="1070.0999999999999"/>
    <x v="425"/>
    <n v="28"/>
    <n v="2025"/>
    <n v="170"/>
    <x v="68"/>
    <n v="500"/>
    <m/>
    <s v="approved"/>
    <n v="42"/>
    <s v="no"/>
    <m/>
    <m/>
    <m/>
    <m/>
    <m/>
    <m/>
    <x v="0"/>
    <x v="109"/>
    <x v="4"/>
    <s v=""/>
    <s v=""/>
    <n v="0"/>
    <n v="0"/>
    <m/>
    <s v="Comanda anulata"/>
    <m/>
    <x v="1"/>
    <x v="8"/>
    <x v="0"/>
    <m/>
  </r>
  <r>
    <x v="11"/>
    <x v="0"/>
    <x v="302"/>
    <x v="103"/>
    <x v="207"/>
    <s v="GEHAEUSE Z2S 22 -.-50/"/>
    <s v="d "/>
    <n v="88.03"/>
    <n v="144"/>
    <n v="12676.32"/>
    <x v="123"/>
    <n v="14"/>
    <n v="2024"/>
    <n v="6"/>
    <x v="67"/>
    <n v="24"/>
    <n v="42"/>
    <s v="approved"/>
    <n v="42"/>
    <s v="no"/>
    <m/>
    <m/>
    <m/>
    <m/>
    <m/>
    <s v="241311"/>
    <x v="0"/>
    <x v="137"/>
    <x v="1221"/>
    <n v="4509987295"/>
    <s v="R900865757 - R900147181 V"/>
    <n v="144"/>
    <n v="12676.32"/>
    <m/>
    <m/>
    <s v="20240315-29.03.2024"/>
    <x v="0"/>
    <x v="1"/>
    <x v="1"/>
    <m/>
  </r>
  <r>
    <x v="11"/>
    <x v="0"/>
    <x v="303"/>
    <x v="130"/>
    <x v="207"/>
    <s v="GEHAEUSE Z2S 22 -.-50/"/>
    <s v="d "/>
    <n v="88.03"/>
    <n v="19"/>
    <n v="1672.57"/>
    <x v="174"/>
    <n v="14"/>
    <n v="2024"/>
    <n v="6"/>
    <x v="67"/>
    <n v="24"/>
    <n v="42"/>
    <s v="approved"/>
    <n v="42"/>
    <s v="no"/>
    <m/>
    <m/>
    <m/>
    <m/>
    <s v="project"/>
    <n v="242114"/>
    <x v="0"/>
    <x v="176"/>
    <x v="1222"/>
    <n v="4509995367"/>
    <s v="R900865757 - R900147181 V"/>
    <n v="19"/>
    <n v="1672.57"/>
    <m/>
    <s v="RM 280pcs send by Rxroth, customer PO must be changed acc RM conf"/>
    <s v="20240636-29.05.2024"/>
    <x v="1"/>
    <x v="1"/>
    <x v="1"/>
    <m/>
  </r>
  <r>
    <x v="11"/>
    <x v="0"/>
    <x v="304"/>
    <x v="181"/>
    <x v="207"/>
    <s v="GEHAEUSE Z2S 22 -.-50/"/>
    <s v="d "/>
    <n v="88.03"/>
    <n v="117"/>
    <n v="10299.51"/>
    <x v="234"/>
    <n v="15"/>
    <n v="2024"/>
    <n v="6"/>
    <x v="67"/>
    <n v="24"/>
    <n v="42"/>
    <s v="approved"/>
    <n v="42"/>
    <s v="no"/>
    <m/>
    <m/>
    <m/>
    <m/>
    <m/>
    <s v="241601/ 242114"/>
    <x v="0"/>
    <x v="16"/>
    <x v="1223"/>
    <n v="4510006030"/>
    <s v="R900865757 - R900147181 V"/>
    <n v="40"/>
    <n v="3521.2"/>
    <m/>
    <m/>
    <s v="20240479-29.04.2024"/>
    <x v="1"/>
    <x v="1"/>
    <x v="1"/>
    <m/>
  </r>
  <r>
    <x v="11"/>
    <x v="0"/>
    <x v="304"/>
    <x v="181"/>
    <x v="207"/>
    <s v="GEHAEUSE Z2S 22 -.-50/"/>
    <s v="d "/>
    <n v="88.03"/>
    <m/>
    <n v="0"/>
    <x v="234"/>
    <n v="15"/>
    <n v="2024"/>
    <n v="6"/>
    <x v="67"/>
    <n v="24"/>
    <n v="42"/>
    <s v="approved"/>
    <n v="42"/>
    <s v="no"/>
    <m/>
    <m/>
    <m/>
    <m/>
    <m/>
    <m/>
    <x v="0"/>
    <x v="176"/>
    <x v="1224"/>
    <n v="4510006030"/>
    <s v="R900865757 - R900147181 V"/>
    <n v="77"/>
    <n v="6778.31"/>
    <m/>
    <m/>
    <s v="20240635-29.05.2024"/>
    <x v="1"/>
    <x v="1"/>
    <x v="1"/>
    <m/>
  </r>
  <r>
    <x v="11"/>
    <x v="0"/>
    <x v="305"/>
    <x v="182"/>
    <x v="207"/>
    <s v="GEHAEUSE Z2S 22 -.-50/"/>
    <s v="d "/>
    <n v="88.03"/>
    <n v="72"/>
    <n v="6338.16"/>
    <x v="103"/>
    <n v="31"/>
    <n v="2024"/>
    <n v="6"/>
    <x v="67"/>
    <n v="24"/>
    <n v="42"/>
    <s v="approved"/>
    <n v="42"/>
    <s v="no"/>
    <m/>
    <m/>
    <m/>
    <m/>
    <m/>
    <m/>
    <x v="0"/>
    <x v="124"/>
    <x v="1225"/>
    <n v="4510183047"/>
    <s v="R900865757 - R900147181 V"/>
    <n v="72"/>
    <n v="6338.16"/>
    <m/>
    <m/>
    <s v="20240988-05.08.2024"/>
    <x v="1"/>
    <x v="8"/>
    <x v="1"/>
    <m/>
  </r>
  <r>
    <x v="11"/>
    <x v="0"/>
    <x v="306"/>
    <x v="41"/>
    <x v="207"/>
    <s v="GEHAEUSE Z2S 22 -.-50/"/>
    <s v="d "/>
    <n v="88.03"/>
    <n v="50"/>
    <n v="4401.5"/>
    <x v="191"/>
    <n v="43"/>
    <n v="2024"/>
    <n v="6"/>
    <x v="67"/>
    <n v="24"/>
    <n v="42"/>
    <s v="approved"/>
    <n v="42"/>
    <s v="no"/>
    <m/>
    <m/>
    <m/>
    <m/>
    <m/>
    <m/>
    <x v="0"/>
    <x v="330"/>
    <x v="1226"/>
    <n v="4510147358"/>
    <s v="R900865757 - R900147181 V"/>
    <n v="49"/>
    <n v="4313.47"/>
    <m/>
    <m/>
    <s v="20250649-23.05.2025/20250768-23.06.2025"/>
    <x v="1"/>
    <x v="11"/>
    <x v="1"/>
    <m/>
  </r>
  <r>
    <x v="11"/>
    <x v="0"/>
    <x v="306"/>
    <x v="41"/>
    <x v="207"/>
    <s v="GEHAEUSE Z2S 22 -.-50/"/>
    <s v="d "/>
    <n v="88.03"/>
    <n v="69"/>
    <n v="6074.07"/>
    <x v="191"/>
    <n v="43"/>
    <n v="2024"/>
    <n v="6"/>
    <x v="67"/>
    <n v="24"/>
    <n v="42"/>
    <s v="approved"/>
    <n v="1.4375"/>
    <m/>
    <m/>
    <m/>
    <m/>
    <m/>
    <m/>
    <m/>
    <x v="0"/>
    <x v="20"/>
    <x v="1227"/>
    <n v="4510147358"/>
    <s v="R900865757 - R900147181 V"/>
    <n v="69"/>
    <n v="6074.07"/>
    <m/>
    <m/>
    <s v="20251253-30.09.2025"/>
    <x v="1"/>
    <x v="11"/>
    <x v="0"/>
    <m/>
  </r>
  <r>
    <x v="11"/>
    <x v="0"/>
    <x v="306"/>
    <x v="41"/>
    <x v="207"/>
    <s v="GEHAEUSE Z2S 22 -.-50/"/>
    <s v="d "/>
    <n v="88.03"/>
    <n v="0"/>
    <n v="8010.7300000000005"/>
    <x v="191"/>
    <n v="43"/>
    <n v="2024"/>
    <n v="6"/>
    <x v="67"/>
    <n v="24"/>
    <n v="42"/>
    <s v="approved"/>
    <s v="No"/>
    <m/>
    <m/>
    <s v=""/>
    <s v=""/>
    <m/>
    <n v="0"/>
    <m/>
    <x v="0"/>
    <x v="336"/>
    <x v="1228"/>
    <n v="4510147358"/>
    <s v="R900865757 - R900147181 V"/>
    <n v="0"/>
    <n v="0"/>
    <m/>
    <s v="storno cele 15 buc facturate"/>
    <s v="20251309-15.10.2025/20251345-23.10.2025"/>
    <x v="1"/>
    <x v="11"/>
    <x v="0"/>
    <m/>
  </r>
  <r>
    <x v="11"/>
    <x v="0"/>
    <x v="306"/>
    <x v="41"/>
    <x v="207"/>
    <s v="GEHAEUSE Z2S 22 -.-50/"/>
    <s v="d "/>
    <n v="88.03"/>
    <n v="92"/>
    <n v="8098.76"/>
    <x v="191"/>
    <n v="43"/>
    <n v="2024"/>
    <n v="6"/>
    <x v="67"/>
    <n v="24"/>
    <n v="42"/>
    <s v="approved"/>
    <n v="42"/>
    <s v="no"/>
    <m/>
    <m/>
    <m/>
    <m/>
    <m/>
    <m/>
    <x v="0"/>
    <x v="163"/>
    <x v="1229"/>
    <n v="4510147358"/>
    <s v="R900865757 - R900147181 V"/>
    <n v="92"/>
    <n v="8098.76"/>
    <m/>
    <m/>
    <s v="20251390-31.10.2025"/>
    <x v="1"/>
    <x v="11"/>
    <x v="1"/>
    <m/>
  </r>
  <r>
    <x v="11"/>
    <x v="0"/>
    <x v="307"/>
    <x v="41"/>
    <x v="207"/>
    <s v="GEHAEUSE Z2S 22 -.-50/"/>
    <s v="d "/>
    <n v="88.03"/>
    <n v="145"/>
    <n v="12764.35"/>
    <x v="191"/>
    <n v="43"/>
    <n v="2024"/>
    <n v="6"/>
    <x v="67"/>
    <n v="24"/>
    <n v="42"/>
    <s v="approved"/>
    <n v="3.0208333333333335"/>
    <m/>
    <m/>
    <m/>
    <m/>
    <m/>
    <m/>
    <m/>
    <x v="0"/>
    <x v="134"/>
    <x v="1230"/>
    <n v="4510147360"/>
    <s v="R900865757 - R900147181 V"/>
    <n v="145"/>
    <n v="12764.35"/>
    <m/>
    <m/>
    <s v="20251346-23.10.2025"/>
    <x v="1"/>
    <x v="11"/>
    <x v="1"/>
    <m/>
  </r>
  <r>
    <x v="11"/>
    <x v="0"/>
    <x v="307"/>
    <x v="41"/>
    <x v="207"/>
    <s v="GEHAEUSE Z2S 22 -.-50/"/>
    <s v="d "/>
    <n v="88.03"/>
    <n v="16"/>
    <n v="1408.48"/>
    <x v="191"/>
    <n v="43"/>
    <n v="2024"/>
    <n v="6"/>
    <x v="67"/>
    <n v="24"/>
    <n v="42"/>
    <s v="approved"/>
    <n v="0.33333333333333331"/>
    <m/>
    <m/>
    <m/>
    <m/>
    <m/>
    <m/>
    <m/>
    <x v="0"/>
    <x v="135"/>
    <x v="1231"/>
    <n v="4510147360"/>
    <s v="R900865757 - R900147181 V"/>
    <n v="16"/>
    <n v="1408.48"/>
    <m/>
    <m/>
    <s v="20251391-31.10.2025"/>
    <x v="1"/>
    <x v="11"/>
    <x v="1"/>
    <m/>
  </r>
  <r>
    <x v="11"/>
    <x v="0"/>
    <x v="307"/>
    <x v="41"/>
    <x v="207"/>
    <s v="GEHAEUSE Z2S 22 -.-50/"/>
    <s v="d "/>
    <n v="88.03"/>
    <n v="47"/>
    <n v="4137.41"/>
    <x v="191"/>
    <n v="43"/>
    <n v="2024"/>
    <n v="6"/>
    <x v="67"/>
    <n v="24"/>
    <n v="42"/>
    <s v="approved"/>
    <n v="0.97916666666666663"/>
    <m/>
    <m/>
    <m/>
    <m/>
    <m/>
    <m/>
    <m/>
    <x v="0"/>
    <x v="163"/>
    <x v="1232"/>
    <n v="4510147360"/>
    <s v="R900865757 - R900147181 V"/>
    <n v="47"/>
    <n v="4137.41"/>
    <m/>
    <m/>
    <s v="20251400-31.10.2025"/>
    <x v="1"/>
    <x v="11"/>
    <x v="1"/>
    <m/>
  </r>
  <r>
    <x v="11"/>
    <x v="0"/>
    <x v="307"/>
    <x v="41"/>
    <x v="207"/>
    <s v="GEHAEUSE Z2S 22 -.-50/"/>
    <s v="d "/>
    <n v="88.03"/>
    <n v="2"/>
    <n v="176.06"/>
    <x v="191"/>
    <n v="43"/>
    <n v="2024"/>
    <n v="6"/>
    <x v="67"/>
    <n v="24"/>
    <n v="42"/>
    <s v="approved"/>
    <n v="42"/>
    <s v="no"/>
    <m/>
    <m/>
    <m/>
    <m/>
    <m/>
    <m/>
    <x v="1"/>
    <x v="3"/>
    <x v="4"/>
    <m/>
    <m/>
    <m/>
    <n v="0"/>
    <m/>
    <m/>
    <m/>
    <x v="1"/>
    <x v="11"/>
    <x v="1"/>
    <m/>
  </r>
  <r>
    <x v="11"/>
    <x v="0"/>
    <x v="308"/>
    <x v="103"/>
    <x v="208"/>
    <s v="GEHAEUSE Z2S 16 .-5X/ "/>
    <s v="AG"/>
    <n v="74.55"/>
    <n v="107"/>
    <n v="7976.8499999999995"/>
    <x v="123"/>
    <n v="14"/>
    <n v="2024"/>
    <n v="7"/>
    <x v="66"/>
    <n v="35"/>
    <n v="42"/>
    <s v="approved"/>
    <n v="42"/>
    <s v="no"/>
    <m/>
    <m/>
    <m/>
    <m/>
    <m/>
    <s v="241310"/>
    <x v="0"/>
    <x v="137"/>
    <x v="1233"/>
    <n v="4509987292"/>
    <s v="R900865758 - R900145251 V"/>
    <n v="107"/>
    <n v="7976.8499999999995"/>
    <m/>
    <m/>
    <s v="20240316-29.03.2024"/>
    <x v="0"/>
    <x v="1"/>
    <x v="1"/>
    <m/>
  </r>
  <r>
    <x v="11"/>
    <x v="0"/>
    <x v="309"/>
    <x v="181"/>
    <x v="208"/>
    <s v="GEHAEUSE Z2S 16 .-5X/ "/>
    <s v="AG"/>
    <n v="74.55"/>
    <n v="140"/>
    <n v="10437"/>
    <x v="234"/>
    <n v="15"/>
    <n v="2024"/>
    <n v="7"/>
    <x v="66"/>
    <n v="35"/>
    <n v="42"/>
    <s v="approved"/>
    <n v="42"/>
    <s v="no"/>
    <m/>
    <m/>
    <m/>
    <m/>
    <m/>
    <n v="241602"/>
    <x v="0"/>
    <x v="175"/>
    <x v="1234"/>
    <n v="4510005971"/>
    <s v="R900865758 - R900145251 V"/>
    <n v="140"/>
    <n v="10437"/>
    <m/>
    <m/>
    <s v="2024464/2024465-25.04.2024"/>
    <x v="1"/>
    <x v="1"/>
    <x v="1"/>
    <m/>
  </r>
  <r>
    <x v="11"/>
    <x v="0"/>
    <x v="310"/>
    <x v="183"/>
    <x v="208"/>
    <s v="GEHAEUSE Z2S 16 .-5X/ "/>
    <s v="AG"/>
    <n v="74.55"/>
    <n v="23"/>
    <n v="1714.6499999999999"/>
    <x v="426"/>
    <n v="19"/>
    <n v="2024"/>
    <n v="7"/>
    <x v="66"/>
    <n v="35"/>
    <n v="42"/>
    <s v="approved"/>
    <n v="42"/>
    <s v="no"/>
    <m/>
    <m/>
    <m/>
    <m/>
    <m/>
    <s v="242501/241808"/>
    <x v="0"/>
    <x v="340"/>
    <x v="1235"/>
    <n v="4510059753"/>
    <s v="R900865758 - R900145251 V"/>
    <n v="23"/>
    <n v="1714.6499999999999"/>
    <m/>
    <s v="fara comanda / de cerut comanda"/>
    <s v="20240484-30.04.2024"/>
    <x v="0"/>
    <x v="2"/>
    <x v="1"/>
    <m/>
  </r>
  <r>
    <x v="11"/>
    <x v="0"/>
    <x v="311"/>
    <x v="41"/>
    <x v="208"/>
    <s v="GEHAEUSE Z2S 16 .-5X/ "/>
    <s v="AG"/>
    <n v="74.55"/>
    <n v="39"/>
    <n v="2907.45"/>
    <x v="427"/>
    <n v="28"/>
    <n v="2024"/>
    <n v="7"/>
    <x v="66"/>
    <n v="35"/>
    <n v="42"/>
    <s v="approved"/>
    <n v="42"/>
    <s v="no"/>
    <m/>
    <m/>
    <m/>
    <m/>
    <m/>
    <m/>
    <x v="0"/>
    <x v="32"/>
    <x v="1236"/>
    <n v="4510151031"/>
    <s v="R900865758 - R900145251 V"/>
    <n v="39"/>
    <n v="2907.45"/>
    <m/>
    <s v="22 cu derogare"/>
    <s v="20240833-05.07.2024"/>
    <x v="0"/>
    <x v="8"/>
    <x v="1"/>
    <m/>
  </r>
  <r>
    <x v="11"/>
    <x v="0"/>
    <x v="312"/>
    <x v="76"/>
    <x v="208"/>
    <s v="GEHAEUSE Z2S 16 .-5X/ "/>
    <s v="AG"/>
    <n v="74.55"/>
    <n v="210"/>
    <n v="15655.5"/>
    <x v="406"/>
    <n v="32"/>
    <n v="2024"/>
    <n v="7"/>
    <x v="66"/>
    <n v="35"/>
    <m/>
    <s v="approved"/>
    <n v="42"/>
    <s v="no"/>
    <m/>
    <m/>
    <m/>
    <m/>
    <m/>
    <m/>
    <x v="0"/>
    <x v="219"/>
    <x v="1237"/>
    <n v="4510201488"/>
    <s v="R900865758 - R900145251 V"/>
    <n v="210"/>
    <n v="15655.5"/>
    <m/>
    <m/>
    <s v="20241047-13.08.2024"/>
    <x v="1"/>
    <x v="9"/>
    <x v="1"/>
    <m/>
  </r>
  <r>
    <x v="11"/>
    <x v="0"/>
    <x v="313"/>
    <x v="76"/>
    <x v="208"/>
    <s v="GEHAEUSE Z2S 16 .-5X/ "/>
    <s v="AG"/>
    <n v="74.55"/>
    <n v="223"/>
    <n v="16624.649999999998"/>
    <x v="406"/>
    <n v="32"/>
    <n v="2024"/>
    <n v="7"/>
    <x v="66"/>
    <n v="35"/>
    <m/>
    <s v="approved"/>
    <n v="42"/>
    <s v="no"/>
    <m/>
    <m/>
    <m/>
    <m/>
    <m/>
    <m/>
    <x v="0"/>
    <x v="303"/>
    <x v="1238"/>
    <n v="4510200818"/>
    <s v="R900865758 - R900145251 V"/>
    <n v="222"/>
    <n v="16550.099999999999"/>
    <m/>
    <m/>
    <s v="20241081-16.08.2024"/>
    <x v="1"/>
    <x v="9"/>
    <x v="1"/>
    <m/>
  </r>
  <r>
    <x v="11"/>
    <x v="0"/>
    <x v="314"/>
    <x v="184"/>
    <x v="208"/>
    <s v="GEHAEUSE Z2S 16 .-5X/ "/>
    <s v="AG"/>
    <n v="74.55"/>
    <n v="140"/>
    <n v="10437"/>
    <x v="227"/>
    <n v="34"/>
    <n v="2024"/>
    <n v="7"/>
    <x v="66"/>
    <n v="35"/>
    <m/>
    <s v="approved"/>
    <n v="42"/>
    <s v="no"/>
    <m/>
    <m/>
    <m/>
    <n v="45517"/>
    <m/>
    <n v="243307"/>
    <x v="0"/>
    <x v="303"/>
    <x v="1239"/>
    <n v="4510215149"/>
    <s v="R900865758 - R900145251 V"/>
    <n v="70"/>
    <n v="5218.5"/>
    <m/>
    <m/>
    <s v="20241082-16.08.2024"/>
    <x v="0"/>
    <x v="9"/>
    <x v="1"/>
    <m/>
  </r>
  <r>
    <x v="11"/>
    <x v="0"/>
    <x v="314"/>
    <x v="185"/>
    <x v="208"/>
    <s v="GEHAEUSE Z2S 16 .-5X/ "/>
    <s v="AG"/>
    <n v="74.55"/>
    <n v="0"/>
    <n v="0"/>
    <x v="227"/>
    <n v="34"/>
    <n v="2024"/>
    <n v="7"/>
    <x v="66"/>
    <n v="35"/>
    <m/>
    <s v="approved"/>
    <n v="42"/>
    <s v="no"/>
    <m/>
    <m/>
    <m/>
    <m/>
    <m/>
    <n v="243307"/>
    <x v="0"/>
    <x v="87"/>
    <x v="1240"/>
    <n v="4510215149"/>
    <s v="R900865758 - R900145251 V"/>
    <n v="70"/>
    <n v="5218.5"/>
    <m/>
    <m/>
    <s v="20241083-19.08.2024"/>
    <x v="0"/>
    <x v="9"/>
    <x v="1"/>
    <m/>
  </r>
  <r>
    <x v="11"/>
    <x v="0"/>
    <x v="315"/>
    <x v="99"/>
    <x v="208"/>
    <s v="GEHAEUSE Z2S 16 .-5X/ "/>
    <s v="AG"/>
    <n v="74.55"/>
    <n v="17"/>
    <n v="1267.3499999999999"/>
    <x v="218"/>
    <n v="38"/>
    <n v="2024"/>
    <n v="7"/>
    <x v="66"/>
    <n v="35"/>
    <m/>
    <s v="approved"/>
    <n v="42"/>
    <s v="no"/>
    <m/>
    <m/>
    <m/>
    <m/>
    <m/>
    <m/>
    <x v="0"/>
    <x v="214"/>
    <x v="1241"/>
    <n v="4510278986"/>
    <s v="R900865758 - R900145251 V"/>
    <n v="17"/>
    <n v="1267.3499999999999"/>
    <m/>
    <m/>
    <s v="20241215-20.09.2024"/>
    <x v="0"/>
    <x v="10"/>
    <x v="1"/>
    <m/>
  </r>
  <r>
    <x v="11"/>
    <x v="0"/>
    <x v="316"/>
    <x v="107"/>
    <x v="208"/>
    <s v="GEHAEUSE Z2S 16 .-5X/ "/>
    <s v="AG"/>
    <n v="74.55"/>
    <n v="91"/>
    <n v="6784.05"/>
    <x v="191"/>
    <n v="43"/>
    <n v="2024"/>
    <n v="7"/>
    <x v="66"/>
    <n v="35"/>
    <s v=""/>
    <s v="approved"/>
    <n v="42"/>
    <s v="no"/>
    <m/>
    <m/>
    <m/>
    <m/>
    <m/>
    <m/>
    <x v="0"/>
    <x v="347"/>
    <x v="1242"/>
    <n v="4510147363"/>
    <s v="R900865758 - R900145251 V"/>
    <n v="91"/>
    <n v="6784.05"/>
    <m/>
    <m/>
    <s v="20250099-31.01.2025"/>
    <x v="1"/>
    <x v="11"/>
    <x v="1"/>
    <m/>
  </r>
  <r>
    <x v="11"/>
    <x v="0"/>
    <x v="316"/>
    <x v="107"/>
    <x v="208"/>
    <s v="GEHAEUSE Z2S 16 .-5X/ "/>
    <s v="AG"/>
    <n v="74.55"/>
    <n v="55"/>
    <n v="4100.25"/>
    <x v="191"/>
    <n v="43"/>
    <n v="2024"/>
    <n v="7"/>
    <x v="66"/>
    <n v="35"/>
    <s v=""/>
    <s v="approved"/>
    <n v="42"/>
    <s v="no"/>
    <m/>
    <m/>
    <m/>
    <m/>
    <m/>
    <m/>
    <x v="0"/>
    <x v="249"/>
    <x v="1243"/>
    <n v="4510147363"/>
    <s v="R900865758 - R900145251 V"/>
    <n v="55"/>
    <n v="4100.25"/>
    <m/>
    <m/>
    <s v="20250132-10.02.2025"/>
    <x v="1"/>
    <x v="11"/>
    <x v="1"/>
    <m/>
  </r>
  <r>
    <x v="11"/>
    <x v="0"/>
    <x v="316"/>
    <x v="107"/>
    <x v="208"/>
    <s v="GEHAEUSE Z2S 16 .-5X/ "/>
    <s v="AG"/>
    <n v="74.55"/>
    <n v="103"/>
    <n v="7678.65"/>
    <x v="191"/>
    <n v="43"/>
    <n v="2024"/>
    <n v="7"/>
    <x v="66"/>
    <n v="35"/>
    <s v=""/>
    <s v="approved"/>
    <n v="42"/>
    <s v="no"/>
    <m/>
    <m/>
    <m/>
    <m/>
    <m/>
    <m/>
    <x v="0"/>
    <x v="353"/>
    <x v="1244"/>
    <n v="4510147363"/>
    <s v="R900865758 - R900145251 V"/>
    <n v="103"/>
    <n v="7678.65"/>
    <m/>
    <m/>
    <s v="20250160-14.02.2025"/>
    <x v="1"/>
    <x v="11"/>
    <x v="1"/>
    <m/>
  </r>
  <r>
    <x v="11"/>
    <x v="0"/>
    <x v="316"/>
    <x v="107"/>
    <x v="208"/>
    <s v="GEHAEUSE Z2S 16 .-5X/ "/>
    <s v="AG"/>
    <n v="74.55"/>
    <n v="25"/>
    <n v="1863.75"/>
    <x v="191"/>
    <n v="43"/>
    <n v="2024"/>
    <n v="7"/>
    <x v="66"/>
    <n v="35"/>
    <s v=""/>
    <s v="approved"/>
    <n v="42"/>
    <s v="no"/>
    <m/>
    <m/>
    <m/>
    <m/>
    <m/>
    <m/>
    <x v="0"/>
    <x v="353"/>
    <x v="1245"/>
    <n v="4510147363"/>
    <s v="R900865758 - R900145251 V"/>
    <n v="25"/>
    <n v="1863.75"/>
    <m/>
    <m/>
    <s v="20250161-14.02.2025"/>
    <x v="1"/>
    <x v="11"/>
    <x v="1"/>
    <m/>
  </r>
  <r>
    <x v="11"/>
    <x v="0"/>
    <x v="316"/>
    <x v="107"/>
    <x v="208"/>
    <s v="GEHAEUSE Z2S 16 .-5X/ "/>
    <s v="AG"/>
    <n v="74.55"/>
    <n v="19"/>
    <n v="1416.45"/>
    <x v="191"/>
    <n v="43"/>
    <n v="2024"/>
    <n v="7"/>
    <x v="66"/>
    <n v="35"/>
    <s v=""/>
    <s v="approved"/>
    <n v="42"/>
    <s v="no"/>
    <m/>
    <m/>
    <m/>
    <m/>
    <m/>
    <m/>
    <x v="0"/>
    <x v="12"/>
    <x v="1246"/>
    <n v="4510147363"/>
    <s v="R900865758 - R900145251 V"/>
    <n v="19"/>
    <n v="1416.45"/>
    <m/>
    <m/>
    <m/>
    <x v="1"/>
    <x v="11"/>
    <x v="1"/>
    <m/>
  </r>
  <r>
    <x v="11"/>
    <x v="0"/>
    <x v="316"/>
    <x v="107"/>
    <x v="208"/>
    <s v="GEHAEUSE Z2S 16 .-5X/ "/>
    <s v="AG"/>
    <n v="74.55"/>
    <n v="31"/>
    <n v="2311.0499999999997"/>
    <x v="191"/>
    <n v="43"/>
    <n v="2024"/>
    <n v="7"/>
    <x v="66"/>
    <n v="35"/>
    <s v=""/>
    <s v="approved"/>
    <n v="42"/>
    <s v="no"/>
    <m/>
    <m/>
    <m/>
    <m/>
    <m/>
    <m/>
    <x v="0"/>
    <x v="282"/>
    <x v="1247"/>
    <n v="4510147363"/>
    <s v="R900865758 - R900145251 V"/>
    <n v="31"/>
    <n v="2311.0499999999997"/>
    <m/>
    <m/>
    <s v="20250924-15.07.2025"/>
    <x v="1"/>
    <x v="11"/>
    <x v="1"/>
    <m/>
  </r>
  <r>
    <x v="11"/>
    <x v="0"/>
    <x v="317"/>
    <x v="186"/>
    <x v="208"/>
    <s v="GEHAEUSE Z2S 16 .-5X/ "/>
    <s v="AG"/>
    <n v="73.06"/>
    <n v="267"/>
    <n v="19507.02"/>
    <x v="118"/>
    <n v="32"/>
    <n v="2025"/>
    <n v="7"/>
    <x v="66"/>
    <n v="35"/>
    <m/>
    <s v="approved"/>
    <n v="5.5625"/>
    <m/>
    <m/>
    <m/>
    <m/>
    <m/>
    <m/>
    <m/>
    <x v="0"/>
    <x v="26"/>
    <x v="1248"/>
    <n v="4510819281"/>
    <s v="R900865758 - R900145251 V"/>
    <n v="267"/>
    <n v="19507.02"/>
    <m/>
    <m/>
    <s v="20251016/31.07.2025*20251052-18.08.2025*20251053-18.08.2025"/>
    <x v="0"/>
    <x v="9"/>
    <x v="0"/>
    <m/>
  </r>
  <r>
    <x v="11"/>
    <x v="0"/>
    <x v="318"/>
    <x v="186"/>
    <x v="208"/>
    <s v="GEHAEUSE Z2S 16 .-5X/ "/>
    <s v="AG"/>
    <n v="73.06"/>
    <n v="111"/>
    <n v="8109.66"/>
    <x v="428"/>
    <n v="36"/>
    <n v="2025"/>
    <n v="7"/>
    <x v="66"/>
    <n v="35"/>
    <m/>
    <s v="approved"/>
    <n v="2.3125"/>
    <m/>
    <m/>
    <m/>
    <m/>
    <m/>
    <m/>
    <m/>
    <x v="0"/>
    <x v="45"/>
    <x v="1249"/>
    <n v="4510859926"/>
    <s v="R900865758 - R900145251 V"/>
    <n v="111"/>
    <n v="8109.66"/>
    <m/>
    <m/>
    <s v="20251144-30.08.2025"/>
    <x v="0"/>
    <x v="10"/>
    <x v="0"/>
    <m/>
  </r>
  <r>
    <x v="11"/>
    <x v="0"/>
    <x v="319"/>
    <x v="170"/>
    <x v="208"/>
    <s v="GEHAEUSE Z2S 16 .-5X/ "/>
    <s v="AG"/>
    <n v="73.06"/>
    <n v="25"/>
    <n v="1826.5"/>
    <x v="329"/>
    <n v="40"/>
    <n v="2025"/>
    <n v="7"/>
    <x v="66"/>
    <n v="35"/>
    <m/>
    <s v="approved"/>
    <n v="0.52083333333333337"/>
    <m/>
    <m/>
    <m/>
    <m/>
    <m/>
    <m/>
    <m/>
    <x v="0"/>
    <x v="20"/>
    <x v="1250"/>
    <n v="4510900165"/>
    <s v="R900865758 - R900145251 V"/>
    <n v="25"/>
    <n v="1826.5"/>
    <m/>
    <m/>
    <s v="20251246-30.09.2025"/>
    <x v="0"/>
    <x v="11"/>
    <x v="0"/>
    <m/>
  </r>
  <r>
    <x v="11"/>
    <x v="0"/>
    <x v="320"/>
    <x v="75"/>
    <x v="209"/>
    <s v="BUSHING            M26X1,0X48,0 SW3"/>
    <s v="B"/>
    <n v="8.35"/>
    <n v="24"/>
    <n v="200.39999999999998"/>
    <x v="429"/>
    <n v="33"/>
    <n v="2024"/>
    <n v="548"/>
    <x v="75"/>
    <n v="650"/>
    <n v="42"/>
    <s v="approved"/>
    <n v="56"/>
    <s v="no"/>
    <m/>
    <m/>
    <m/>
    <m/>
    <m/>
    <m/>
    <x v="0"/>
    <x v="210"/>
    <x v="1251"/>
    <n v="5500502905"/>
    <s v="R901035906"/>
    <n v="24"/>
    <n v="200.39999999999998"/>
    <m/>
    <m/>
    <s v="20241207-18.09.2024/20241255-02.10.2024"/>
    <x v="1"/>
    <x v="9"/>
    <x v="1"/>
    <m/>
  </r>
  <r>
    <x v="11"/>
    <x v="0"/>
    <x v="320"/>
    <x v="75"/>
    <x v="209"/>
    <s v="BUSHING            M26X1,0X48,0 SW3"/>
    <s v="B"/>
    <n v="8.35"/>
    <n v="56"/>
    <n v="467.59999999999997"/>
    <x v="429"/>
    <n v="33"/>
    <n v="2024"/>
    <n v="548"/>
    <x v="75"/>
    <n v="650"/>
    <n v="42"/>
    <s v="approved"/>
    <n v="56"/>
    <s v="no"/>
    <m/>
    <m/>
    <m/>
    <m/>
    <m/>
    <m/>
    <x v="0"/>
    <x v="210"/>
    <x v="1251"/>
    <n v="5500502905"/>
    <s v="R901035906"/>
    <n v="56"/>
    <n v="467.59999999999997"/>
    <m/>
    <s v="retur"/>
    <s v="20241207-18.09.2024/20241255-02.10.2024"/>
    <x v="1"/>
    <x v="9"/>
    <x v="1"/>
    <m/>
  </r>
  <r>
    <x v="11"/>
    <x v="0"/>
    <x v="320"/>
    <x v="75"/>
    <x v="209"/>
    <s v="BUSHING            M26X1,0X48,0 SW3"/>
    <s v="B"/>
    <n v="8.35"/>
    <n v="133"/>
    <n v="1110.55"/>
    <x v="429"/>
    <n v="33"/>
    <n v="2024"/>
    <n v="548"/>
    <x v="75"/>
    <n v="650"/>
    <n v="42"/>
    <s v="approved"/>
    <n v="56"/>
    <s v="no"/>
    <m/>
    <m/>
    <m/>
    <m/>
    <m/>
    <m/>
    <x v="0"/>
    <x v="354"/>
    <x v="1252"/>
    <n v="5500502905"/>
    <s v="R901035906"/>
    <n v="21"/>
    <n v="175.35"/>
    <m/>
    <s v="RETUR 96 BUC"/>
    <s v="20241270-08.10.2024/20241369-31.10.2024/20241388-06.11.2024"/>
    <x v="1"/>
    <x v="9"/>
    <x v="1"/>
    <m/>
  </r>
  <r>
    <x v="11"/>
    <x v="0"/>
    <x v="320"/>
    <x v="75"/>
    <x v="209"/>
    <s v="BUSHING            M26X1,0X48,0 SW3"/>
    <s v="B"/>
    <n v="8.35"/>
    <n v="38"/>
    <n v="317.3"/>
    <x v="429"/>
    <n v="33"/>
    <n v="2024"/>
    <n v="548"/>
    <x v="75"/>
    <n v="650"/>
    <n v="42"/>
    <s v="approved"/>
    <n v="56"/>
    <s v="no"/>
    <m/>
    <m/>
    <m/>
    <m/>
    <m/>
    <m/>
    <x v="0"/>
    <x v="229"/>
    <x v="1253"/>
    <n v="5500502905"/>
    <s v="R901035906"/>
    <n v="38"/>
    <n v="317.3"/>
    <m/>
    <m/>
    <s v="20241370-28.10.2024"/>
    <x v="1"/>
    <x v="9"/>
    <x v="1"/>
    <m/>
  </r>
  <r>
    <x v="11"/>
    <x v="0"/>
    <x v="320"/>
    <x v="75"/>
    <x v="209"/>
    <s v="BUSHING            M26X1,0X48,0 SW3"/>
    <s v="B"/>
    <n v="8.35"/>
    <n v="106"/>
    <n v="885.09999999999991"/>
    <x v="429"/>
    <n v="33"/>
    <n v="2024"/>
    <s v=" "/>
    <x v="75"/>
    <n v="650"/>
    <n v="42"/>
    <s v="approved"/>
    <n v="56"/>
    <s v="no"/>
    <m/>
    <m/>
    <m/>
    <s v="ETA TBC"/>
    <s v="rework &amp; assembly"/>
    <s v="ETA Asap"/>
    <x v="0"/>
    <x v="345"/>
    <x v="1254"/>
    <n v="5500502905"/>
    <s v="R901035906"/>
    <n v="106"/>
    <n v="885.09999999999991"/>
    <m/>
    <m/>
    <s v="20241398-06.11.2024"/>
    <x v="1"/>
    <x v="9"/>
    <x v="1"/>
    <m/>
  </r>
  <r>
    <x v="11"/>
    <x v="0"/>
    <x v="320"/>
    <x v="75"/>
    <x v="209"/>
    <s v="BUSHING            M26X1,0X48,0 SW3"/>
    <s v="B"/>
    <n v="8.35"/>
    <n v="15"/>
    <n v="125.25"/>
    <x v="429"/>
    <n v="33"/>
    <n v="2024"/>
    <n v="548"/>
    <x v="75"/>
    <n v="650"/>
    <n v="42"/>
    <s v="approved"/>
    <n v="56"/>
    <s v="no"/>
    <m/>
    <m/>
    <m/>
    <s v="ETA TBC"/>
    <s v="rework &amp; assembly"/>
    <s v="ETA Asap"/>
    <x v="0"/>
    <x v="283"/>
    <x v="1255"/>
    <n v="5500502905"/>
    <s v="R901035906"/>
    <n v="15"/>
    <n v="125.25"/>
    <m/>
    <m/>
    <s v="20241402-08.11.2024"/>
    <x v="1"/>
    <x v="9"/>
    <x v="1"/>
    <m/>
  </r>
  <r>
    <x v="11"/>
    <x v="0"/>
    <x v="320"/>
    <x v="75"/>
    <x v="209"/>
    <s v="BUSHING            M26X1,0X48,0 SW3"/>
    <s v="B"/>
    <n v="8.35"/>
    <n v="41"/>
    <n v="342.34999999999997"/>
    <x v="429"/>
    <n v="33"/>
    <n v="2024"/>
    <n v="548"/>
    <x v="75"/>
    <n v="650"/>
    <n v="42"/>
    <s v="approved"/>
    <n v="56"/>
    <s v="no"/>
    <m/>
    <m/>
    <m/>
    <m/>
    <m/>
    <m/>
    <x v="0"/>
    <x v="254"/>
    <x v="1256"/>
    <n v="5500502905"/>
    <s v="R901035906"/>
    <n v="41"/>
    <n v="342.34999999999997"/>
    <m/>
    <m/>
    <s v="20241545-11.12.2024"/>
    <x v="1"/>
    <x v="9"/>
    <x v="1"/>
    <m/>
  </r>
  <r>
    <x v="11"/>
    <x v="0"/>
    <x v="320"/>
    <x v="75"/>
    <x v="209"/>
    <s v="BUSHING            M26X1,0X48,0 SW3"/>
    <s v="B"/>
    <n v="8.35"/>
    <n v="50"/>
    <n v="417.5"/>
    <x v="429"/>
    <n v="33"/>
    <n v="2024"/>
    <n v="548"/>
    <x v="75"/>
    <n v="650"/>
    <n v="42"/>
    <s v="approved"/>
    <n v="56"/>
    <s v="no"/>
    <m/>
    <m/>
    <m/>
    <m/>
    <s v="Yes"/>
    <m/>
    <x v="0"/>
    <x v="355"/>
    <x v="1257"/>
    <n v="5500502905"/>
    <s v="R901035906"/>
    <n v="50"/>
    <n v="417.5"/>
    <m/>
    <m/>
    <s v="20250133-10.02.2025"/>
    <x v="1"/>
    <x v="9"/>
    <x v="1"/>
    <m/>
  </r>
  <r>
    <x v="11"/>
    <x v="0"/>
    <x v="320"/>
    <x v="169"/>
    <x v="209"/>
    <s v="BUSHING            M26X1,0X48,0 SW3"/>
    <s v="B"/>
    <n v="8.35"/>
    <n v="288"/>
    <n v="2404.7999999999997"/>
    <x v="293"/>
    <n v="44"/>
    <n v="2024"/>
    <n v="548"/>
    <x v="75"/>
    <n v="650"/>
    <n v="42"/>
    <s v="approved"/>
    <n v="56"/>
    <s v="no"/>
    <m/>
    <m/>
    <m/>
    <s v="mat rec 21.11 - 15bare fi38x3000"/>
    <s v="Yes"/>
    <m/>
    <x v="0"/>
    <x v="353"/>
    <x v="1258"/>
    <n v="5500502905"/>
    <s v="R901035906"/>
    <n v="288"/>
    <n v="2404.7999999999997"/>
    <m/>
    <s v="5 pcs stornate"/>
    <s v="20250159-14.02.2025/20250211-25.02.2025"/>
    <x v="1"/>
    <x v="11"/>
    <x v="1"/>
    <m/>
  </r>
  <r>
    <x v="11"/>
    <x v="0"/>
    <x v="320"/>
    <x v="169"/>
    <x v="209"/>
    <s v="BUSHING            M26X1,0X48,0 SW3"/>
    <s v="B"/>
    <n v="8.35"/>
    <n v="326"/>
    <n v="2722.1"/>
    <x v="293"/>
    <n v="44"/>
    <n v="2024"/>
    <n v="548"/>
    <x v="75"/>
    <n v="650"/>
    <n v="42"/>
    <s v="approved"/>
    <n v="56"/>
    <s v="no"/>
    <m/>
    <m/>
    <m/>
    <s v="mat rec 21.11 - 15bare fi38x3000"/>
    <s v="Yes"/>
    <m/>
    <x v="0"/>
    <x v="339"/>
    <x v="1259"/>
    <n v="5500502905"/>
    <s v="R901035906"/>
    <n v="326"/>
    <n v="2722.1"/>
    <m/>
    <s v="stornate 29 buc"/>
    <s v="20250254-28.02.2025/ 20250725-16.06.2025"/>
    <x v="1"/>
    <x v="11"/>
    <x v="1"/>
    <m/>
  </r>
  <r>
    <x v="12"/>
    <x v="0"/>
    <x v="321"/>
    <x v="106"/>
    <x v="210"/>
    <s v="COVER              ZDC 16.-2X/NEUE"/>
    <s v="A"/>
    <n v="22.81"/>
    <n v="38"/>
    <n v="866.78"/>
    <x v="296"/>
    <n v="10"/>
    <n v="2025"/>
    <n v="98"/>
    <x v="55"/>
    <n v="50"/>
    <n v="60"/>
    <s v="approved"/>
    <n v="56"/>
    <s v="yes"/>
    <m/>
    <m/>
    <m/>
    <m/>
    <s v="Yes"/>
    <m/>
    <x v="0"/>
    <x v="171"/>
    <x v="1260"/>
    <n v="5500511032"/>
    <s v="R901075698"/>
    <n v="38"/>
    <n v="866.78"/>
    <m/>
    <m/>
    <s v="20250394-25.03.2025"/>
    <x v="1"/>
    <x v="5"/>
    <x v="0"/>
    <m/>
  </r>
  <r>
    <x v="12"/>
    <x v="0"/>
    <x v="321"/>
    <x v="106"/>
    <x v="210"/>
    <s v="COVER              ZDC 16.-2X/NEUE"/>
    <s v="A"/>
    <n v="22.81"/>
    <n v="1"/>
    <n v="22.81"/>
    <x v="296"/>
    <n v="10"/>
    <n v="2025"/>
    <n v="98"/>
    <x v="55"/>
    <n v="50"/>
    <n v="60"/>
    <s v="approved"/>
    <n v="56"/>
    <s v="yes"/>
    <m/>
    <m/>
    <m/>
    <m/>
    <s v="Yes"/>
    <m/>
    <x v="0"/>
    <x v="172"/>
    <x v="1261"/>
    <n v="5500511032"/>
    <s v="R901075698"/>
    <n v="1"/>
    <n v="22.81"/>
    <m/>
    <m/>
    <s v="20250425-28.03.2025"/>
    <x v="1"/>
    <x v="5"/>
    <x v="0"/>
    <m/>
  </r>
  <r>
    <x v="12"/>
    <x v="0"/>
    <x v="321"/>
    <x v="106"/>
    <x v="210"/>
    <s v="COVER              ZDC 16.-2X/NEUE"/>
    <s v="A"/>
    <n v="22.81"/>
    <n v="93"/>
    <n v="2121.33"/>
    <x v="296"/>
    <n v="10"/>
    <n v="2025"/>
    <n v="98"/>
    <x v="55"/>
    <n v="50"/>
    <n v="60"/>
    <s v="approved"/>
    <n v="56"/>
    <s v="yes"/>
    <m/>
    <m/>
    <m/>
    <m/>
    <m/>
    <m/>
    <x v="0"/>
    <x v="96"/>
    <x v="1262"/>
    <n v="5500511032"/>
    <s v="R901075698"/>
    <n v="93"/>
    <n v="2121.33"/>
    <m/>
    <m/>
    <s v="20250548-22.04.2025"/>
    <x v="1"/>
    <x v="5"/>
    <x v="0"/>
    <m/>
  </r>
  <r>
    <x v="12"/>
    <x v="0"/>
    <x v="321"/>
    <x v="106"/>
    <x v="210"/>
    <s v="COVER              ZDC 16.-2X/NEUE"/>
    <s v="A"/>
    <n v="22.81"/>
    <n v="12"/>
    <n v="273.71999999999997"/>
    <x v="296"/>
    <n v="10"/>
    <n v="2025"/>
    <n v="98"/>
    <x v="55"/>
    <n v="50"/>
    <n v="60"/>
    <s v="approved"/>
    <n v="56"/>
    <s v="yes"/>
    <m/>
    <m/>
    <m/>
    <m/>
    <m/>
    <m/>
    <x v="0"/>
    <x v="302"/>
    <x v="1263"/>
    <n v="5500511032"/>
    <s v="R901075698"/>
    <n v="12"/>
    <n v="273.71999999999997"/>
    <m/>
    <m/>
    <s v="20250576-01.05.2025"/>
    <x v="1"/>
    <x v="5"/>
    <x v="0"/>
    <m/>
  </r>
  <r>
    <x v="12"/>
    <x v="0"/>
    <x v="321"/>
    <x v="106"/>
    <x v="210"/>
    <s v="COVER              ZDC 16.-2X/NEUE"/>
    <s v="A"/>
    <n v="22.81"/>
    <n v="25"/>
    <n v="570.25"/>
    <x v="55"/>
    <n v="20"/>
    <n v="2025"/>
    <n v="98"/>
    <x v="55"/>
    <n v="50"/>
    <n v="60"/>
    <s v="approved"/>
    <n v="56"/>
    <s v="yes"/>
    <m/>
    <m/>
    <m/>
    <m/>
    <s v="Yes"/>
    <m/>
    <x v="0"/>
    <x v="143"/>
    <x v="1264"/>
    <n v="5500511032"/>
    <s v="R901075698"/>
    <n v="25"/>
    <n v="570.25"/>
    <m/>
    <m/>
    <s v="20250631-19.05.2025"/>
    <x v="0"/>
    <x v="2"/>
    <x v="0"/>
    <m/>
  </r>
  <r>
    <x v="12"/>
    <x v="0"/>
    <x v="321"/>
    <x v="106"/>
    <x v="210"/>
    <s v="COVER              ZDC 16.-2X/NEUE"/>
    <s v="A"/>
    <n v="22.81"/>
    <n v="10"/>
    <n v="228.1"/>
    <x v="55"/>
    <n v="20"/>
    <n v="2025"/>
    <n v="98"/>
    <x v="55"/>
    <n v="50"/>
    <n v="60"/>
    <s v="approved"/>
    <n v="56"/>
    <s v="yes"/>
    <m/>
    <m/>
    <m/>
    <m/>
    <m/>
    <m/>
    <x v="0"/>
    <x v="330"/>
    <x v="1265"/>
    <n v="5500511032"/>
    <s v="R901075698"/>
    <n v="10"/>
    <n v="228.1"/>
    <m/>
    <m/>
    <s v="20250652-23.05.2025"/>
    <x v="1"/>
    <x v="2"/>
    <x v="0"/>
    <m/>
  </r>
  <r>
    <x v="12"/>
    <x v="0"/>
    <x v="321"/>
    <x v="106"/>
    <x v="210"/>
    <s v="COVER              ZDC 16.-2X/NEUE"/>
    <s v="A"/>
    <n v="22.81"/>
    <n v="28"/>
    <n v="638.67999999999995"/>
    <x v="338"/>
    <n v="22"/>
    <n v="2025"/>
    <n v="98"/>
    <x v="55"/>
    <n v="50"/>
    <n v="60"/>
    <s v="approved"/>
    <n v="56"/>
    <s v="yes"/>
    <m/>
    <m/>
    <m/>
    <m/>
    <m/>
    <m/>
    <x v="0"/>
    <x v="319"/>
    <x v="1266"/>
    <n v="5500511032"/>
    <s v="R901075698"/>
    <n v="28"/>
    <n v="638.67999999999995"/>
    <m/>
    <m/>
    <s v="20250683-30.05.2025"/>
    <x v="0"/>
    <x v="2"/>
    <x v="0"/>
    <m/>
  </r>
  <r>
    <x v="12"/>
    <x v="0"/>
    <x v="321"/>
    <x v="106"/>
    <x v="210"/>
    <s v="COVER              ZDC 16.-2X/NEUE"/>
    <s v="A"/>
    <n v="22.81"/>
    <n v="3"/>
    <n v="68.429999999999993"/>
    <x v="338"/>
    <n v="22"/>
    <n v="2025"/>
    <n v="98"/>
    <x v="55"/>
    <n v="50"/>
    <n v="60"/>
    <s v="approved"/>
    <n v="56"/>
    <s v="yes"/>
    <m/>
    <m/>
    <m/>
    <m/>
    <m/>
    <m/>
    <x v="0"/>
    <x v="196"/>
    <x v="1267"/>
    <n v="5500511032"/>
    <s v="R901075698"/>
    <n v="3"/>
    <n v="68.429999999999993"/>
    <m/>
    <m/>
    <s v="20250874-09.07.2025"/>
    <x v="1"/>
    <x v="2"/>
    <x v="0"/>
    <m/>
  </r>
  <r>
    <x v="12"/>
    <x v="0"/>
    <x v="322"/>
    <x v="106"/>
    <x v="211"/>
    <s v="HOUSING            DBD.30G1X/V        BG"/>
    <s v="F"/>
    <n v="124.72"/>
    <n v="27"/>
    <n v="3367.44"/>
    <x v="96"/>
    <n v="19"/>
    <n v="2024"/>
    <n v="277"/>
    <x v="74"/>
    <n v="20"/>
    <n v="60"/>
    <s v="approved"/>
    <s v="Yes"/>
    <n v="45793"/>
    <n v="26782"/>
    <n v="5500511033"/>
    <s v="R901157145"/>
    <n v="27"/>
    <n v="3367.44"/>
    <m/>
    <x v="0"/>
    <x v="143"/>
    <x v="1268"/>
    <n v="5500511033"/>
    <s v="R901157145"/>
    <n v="27"/>
    <n v="3367.44"/>
    <m/>
    <m/>
    <s v="20250633-19.05.2025"/>
    <x v="1"/>
    <x v="2"/>
    <x v="1"/>
    <m/>
  </r>
  <r>
    <x v="12"/>
    <x v="0"/>
    <x v="322"/>
    <x v="106"/>
    <x v="211"/>
    <s v="HOUSING            DBD.30G1X/V        BG"/>
    <s v="F"/>
    <n v="124.72"/>
    <n v="20"/>
    <n v="2494.4"/>
    <x v="343"/>
    <n v="37"/>
    <n v="2024"/>
    <n v="277"/>
    <x v="74"/>
    <n v="20"/>
    <n v="60"/>
    <s v="approved"/>
    <n v="56"/>
    <s v="yes"/>
    <m/>
    <m/>
    <m/>
    <m/>
    <m/>
    <n v="242809"/>
    <x v="0"/>
    <x v="21"/>
    <x v="1269"/>
    <n v="5500511033"/>
    <s v="R901157145"/>
    <n v="20"/>
    <n v="2494.4"/>
    <m/>
    <m/>
    <s v="20241151-06.09.2024"/>
    <x v="0"/>
    <x v="10"/>
    <x v="1"/>
    <m/>
  </r>
  <r>
    <x v="12"/>
    <x v="0"/>
    <x v="322"/>
    <x v="106"/>
    <x v="211"/>
    <s v="HOUSING            DBD.30G1X/V        BG"/>
    <s v="F"/>
    <n v="124.72"/>
    <n v="1"/>
    <n v="124.72"/>
    <x v="343"/>
    <n v="37"/>
    <n v="2024"/>
    <n v="277"/>
    <x v="74"/>
    <n v="20"/>
    <n v="60"/>
    <s v="approved"/>
    <n v="56"/>
    <s v="yes"/>
    <m/>
    <m/>
    <m/>
    <m/>
    <m/>
    <m/>
    <x v="0"/>
    <x v="214"/>
    <x v="1270"/>
    <n v="5500511033"/>
    <s v="R901157145"/>
    <n v="1"/>
    <n v="124.72"/>
    <m/>
    <m/>
    <s v="20241178-13.09.2024"/>
    <x v="0"/>
    <x v="10"/>
    <x v="1"/>
    <m/>
  </r>
  <r>
    <x v="12"/>
    <x v="0"/>
    <x v="322"/>
    <x v="106"/>
    <x v="211"/>
    <s v="HOUSING            DBD.30G1X/V        BG"/>
    <s v="F"/>
    <n v="118.26"/>
    <n v="20"/>
    <n v="2365.2000000000003"/>
    <x v="430"/>
    <n v="18"/>
    <n v="2025"/>
    <n v="277"/>
    <x v="74"/>
    <n v="20"/>
    <n v="60"/>
    <s v="approved"/>
    <n v="0.41666666666666669"/>
    <m/>
    <m/>
    <m/>
    <m/>
    <m/>
    <m/>
    <m/>
    <x v="0"/>
    <x v="356"/>
    <x v="1271"/>
    <n v="5500511033"/>
    <s v="R901157145"/>
    <n v="20"/>
    <n v="2365.2000000000003"/>
    <m/>
    <s v="neasamblate si nevopsite"/>
    <s v="20250561-28.04.2025"/>
    <x v="0"/>
    <x v="1"/>
    <x v="0"/>
    <m/>
  </r>
  <r>
    <x v="12"/>
    <x v="1"/>
    <x v="322"/>
    <x v="170"/>
    <x v="211"/>
    <s v="HOUSING            DBD.30G1X/V        BG"/>
    <s v="F"/>
    <n v="118.26"/>
    <n v="20"/>
    <n v="2494.4"/>
    <x v="431"/>
    <n v="51"/>
    <n v="2025"/>
    <n v="277"/>
    <x v="74"/>
    <n v="20"/>
    <n v="60"/>
    <s v="approved"/>
    <s v="No"/>
    <m/>
    <m/>
    <s v=""/>
    <s v=""/>
    <m/>
    <n v="0"/>
    <m/>
    <x v="1"/>
    <x v="3"/>
    <x v="4"/>
    <s v=""/>
    <s v=""/>
    <m/>
    <n v="0"/>
    <m/>
    <m/>
    <m/>
    <x v="2"/>
    <x v="3"/>
    <x v="0"/>
    <m/>
  </r>
  <r>
    <x v="12"/>
    <x v="1"/>
    <x v="322"/>
    <x v="170"/>
    <x v="211"/>
    <s v="HOUSING            DBD.30G1X/V        BG"/>
    <s v="F"/>
    <n v="0"/>
    <n v="20"/>
    <n v="0"/>
    <x v="209"/>
    <n v="12"/>
    <n v="2026"/>
    <n v="277"/>
    <x v="74"/>
    <n v="20"/>
    <n v="60"/>
    <s v="approved"/>
    <n v="56"/>
    <s v="yes"/>
    <m/>
    <m/>
    <m/>
    <m/>
    <m/>
    <m/>
    <x v="1"/>
    <x v="3"/>
    <x v="4"/>
    <s v=""/>
    <s v=""/>
    <m/>
    <n v="0"/>
    <m/>
    <m/>
    <m/>
    <x v="2"/>
    <x v="5"/>
    <x v="3"/>
    <m/>
  </r>
  <r>
    <x v="12"/>
    <x v="0"/>
    <x v="323"/>
    <x v="3"/>
    <x v="212"/>
    <s v="HOUSING            DBD.25G1X/V"/>
    <s v="f"/>
    <n v="99.16"/>
    <n v="10"/>
    <n v="991.59999999999991"/>
    <x v="432"/>
    <n v="10"/>
    <n v="2024"/>
    <n v="180"/>
    <x v="73"/>
    <n v="10"/>
    <n v="60"/>
    <s v="approved"/>
    <n v="56"/>
    <s v="yes"/>
    <m/>
    <m/>
    <m/>
    <m/>
    <m/>
    <n v="241208"/>
    <x v="0"/>
    <x v="119"/>
    <x v="1272"/>
    <n v="5500511034"/>
    <s v="R901157146"/>
    <n v="10"/>
    <n v="991.59999999999991"/>
    <m/>
    <m/>
    <s v="20240340-04.04.2024"/>
    <x v="1"/>
    <x v="5"/>
    <x v="1"/>
    <m/>
  </r>
  <r>
    <x v="12"/>
    <x v="0"/>
    <x v="323"/>
    <x v="106"/>
    <x v="212"/>
    <s v="HOUSING            DBD.25G1X/V"/>
    <s v="f"/>
    <n v="99.16"/>
    <n v="10"/>
    <n v="991.59999999999991"/>
    <x v="433"/>
    <n v="24"/>
    <n v="2024"/>
    <n v="180"/>
    <x v="73"/>
    <n v="10"/>
    <n v="60"/>
    <s v="approved"/>
    <n v="56"/>
    <s v="yes"/>
    <m/>
    <m/>
    <m/>
    <m/>
    <m/>
    <s v="242404"/>
    <x v="0"/>
    <x v="27"/>
    <x v="1273"/>
    <n v="5500511034"/>
    <s v="R901157146"/>
    <n v="10"/>
    <n v="991.59999999999991"/>
    <m/>
    <m/>
    <s v="20240790-28.06.2024"/>
    <x v="1"/>
    <x v="0"/>
    <x v="1"/>
    <m/>
  </r>
  <r>
    <x v="12"/>
    <x v="0"/>
    <x v="323"/>
    <x v="106"/>
    <x v="212"/>
    <s v="HOUSING            DBD.25G1X/V"/>
    <s v="f"/>
    <n v="99.16"/>
    <n v="10"/>
    <n v="991.59999999999991"/>
    <x v="434"/>
    <n v="39"/>
    <n v="2024"/>
    <n v="180"/>
    <x v="73"/>
    <n v="10"/>
    <n v="60"/>
    <s v="approved"/>
    <n v="56"/>
    <s v="yes"/>
    <m/>
    <m/>
    <m/>
    <m/>
    <m/>
    <s v="242311"/>
    <x v="0"/>
    <x v="27"/>
    <x v="1273"/>
    <n v="5500511034"/>
    <s v="R901157146"/>
    <n v="10"/>
    <n v="991.59999999999991"/>
    <m/>
    <m/>
    <s v="20240790-28.06.2024"/>
    <x v="0"/>
    <x v="10"/>
    <x v="1"/>
    <m/>
  </r>
  <r>
    <x v="11"/>
    <x v="0"/>
    <x v="324"/>
    <x v="187"/>
    <x v="213"/>
    <s v="Bushing RV NG6 P"/>
    <s v="B"/>
    <n v="2"/>
    <n v="132"/>
    <n v="264"/>
    <x v="435"/>
    <n v="39"/>
    <n v="2024"/>
    <n v="0"/>
    <x v="75"/>
    <n v="380"/>
    <m/>
    <s v="project"/>
    <n v="42"/>
    <m/>
    <m/>
    <m/>
    <m/>
    <s v="in stock"/>
    <s v="yes - pe 108"/>
    <m/>
    <x v="0"/>
    <x v="353"/>
    <x v="1274"/>
    <n v="4510243273"/>
    <s v="R901162946"/>
    <n v="132"/>
    <n v="264"/>
    <m/>
    <m/>
    <s v="20250162-14.02.2025"/>
    <x v="1"/>
    <x v="10"/>
    <x v="1"/>
    <m/>
  </r>
  <r>
    <x v="12"/>
    <x v="0"/>
    <x v="325"/>
    <x v="188"/>
    <x v="214"/>
    <s v="HOUSING            DBD.10 P1X/./V B"/>
    <s v="A"/>
    <n v="50.63"/>
    <n v="10"/>
    <n v="506.3"/>
    <x v="102"/>
    <n v="28"/>
    <n v="2024"/>
    <n v="135"/>
    <x v="70"/>
    <n v="3"/>
    <n v="60"/>
    <s v="approved"/>
    <n v="56"/>
    <s v="yes"/>
    <m/>
    <m/>
    <m/>
    <m/>
    <m/>
    <n v="242510"/>
    <x v="0"/>
    <x v="263"/>
    <x v="1275"/>
    <n v="5500511036"/>
    <s v="R901190149"/>
    <n v="10"/>
    <n v="506.3"/>
    <m/>
    <m/>
    <s v="20240861-10.07.2024"/>
    <x v="0"/>
    <x v="8"/>
    <x v="1"/>
    <m/>
  </r>
  <r>
    <x v="12"/>
    <x v="0"/>
    <x v="325"/>
    <x v="106"/>
    <x v="214"/>
    <s v="HOUSING            DBD.10 P1X/./V B"/>
    <s v="A"/>
    <n v="50.63"/>
    <n v="7"/>
    <n v="354.41"/>
    <x v="436"/>
    <n v="40"/>
    <n v="2024"/>
    <n v="135"/>
    <x v="70"/>
    <n v="3"/>
    <n v="60"/>
    <s v="approved"/>
    <n v="56"/>
    <s v="yes"/>
    <m/>
    <m/>
    <m/>
    <m/>
    <m/>
    <m/>
    <x v="0"/>
    <x v="225"/>
    <x v="1276"/>
    <n v="5500511036"/>
    <s v="R901190149"/>
    <n v="7"/>
    <n v="354.41"/>
    <m/>
    <m/>
    <s v="20250092-29.01.2025"/>
    <x v="1"/>
    <x v="11"/>
    <x v="1"/>
    <m/>
  </r>
  <r>
    <x v="12"/>
    <x v="0"/>
    <x v="325"/>
    <x v="106"/>
    <x v="214"/>
    <s v="HOUSING            DBD.10 P1X/./V B"/>
    <s v="A"/>
    <n v="50.63"/>
    <n v="5"/>
    <n v="253.15"/>
    <x v="436"/>
    <n v="40"/>
    <n v="2024"/>
    <n v="135"/>
    <x v="70"/>
    <n v="3"/>
    <n v="60"/>
    <s v="approved"/>
    <n v="56"/>
    <s v="yes"/>
    <m/>
    <m/>
    <m/>
    <m/>
    <m/>
    <m/>
    <x v="0"/>
    <x v="23"/>
    <x v="4"/>
    <s v=""/>
    <s v=""/>
    <n v="0"/>
    <n v="0"/>
    <m/>
    <m/>
    <m/>
    <x v="1"/>
    <x v="11"/>
    <x v="1"/>
    <m/>
  </r>
  <r>
    <x v="12"/>
    <x v="0"/>
    <x v="325"/>
    <x v="106"/>
    <x v="214"/>
    <s v="HOUSING            DBD.10 P1X/./V B"/>
    <s v="A"/>
    <n v="50.63"/>
    <n v="12"/>
    <n v="607.56000000000006"/>
    <x v="220"/>
    <n v="41"/>
    <n v="2024"/>
    <n v="135"/>
    <x v="70"/>
    <n v="3"/>
    <n v="60"/>
    <s v="approved"/>
    <n v="56"/>
    <s v="yes"/>
    <m/>
    <m/>
    <m/>
    <s v="kw36"/>
    <m/>
    <m/>
    <x v="0"/>
    <x v="224"/>
    <x v="1277"/>
    <n v="5500511036"/>
    <s v="R901190149"/>
    <n v="12"/>
    <n v="607.56000000000006"/>
    <m/>
    <m/>
    <s v="20241225-27.09.2024"/>
    <x v="0"/>
    <x v="11"/>
    <x v="1"/>
    <m/>
  </r>
  <r>
    <x v="12"/>
    <x v="0"/>
    <x v="326"/>
    <x v="75"/>
    <x v="215"/>
    <s v="HOUSING            DBD.10 G1X/.BG S"/>
    <s v="A"/>
    <n v="30.65"/>
    <n v="37"/>
    <n v="1134.05"/>
    <x v="415"/>
    <n v="30"/>
    <n v="2024"/>
    <n v="69"/>
    <x v="70"/>
    <n v="10"/>
    <n v="60"/>
    <s v="approved"/>
    <n v="56"/>
    <s v="yes"/>
    <m/>
    <m/>
    <m/>
    <m/>
    <m/>
    <n v="241713"/>
    <x v="0"/>
    <x v="67"/>
    <x v="1278"/>
    <n v="5500511037"/>
    <s v="R901190153"/>
    <n v="37"/>
    <n v="1134.05"/>
    <m/>
    <m/>
    <s v="20240742-21.06.2024"/>
    <x v="0"/>
    <x v="8"/>
    <x v="1"/>
    <m/>
  </r>
  <r>
    <x v="12"/>
    <x v="0"/>
    <x v="326"/>
    <x v="75"/>
    <x v="215"/>
    <s v="HOUSING            DBD.10 G1X/.BG S"/>
    <s v="A"/>
    <n v="30.65"/>
    <n v="3"/>
    <n v="91.949999999999989"/>
    <x v="415"/>
    <n v="30"/>
    <n v="2024"/>
    <n v="69"/>
    <x v="70"/>
    <n v="10"/>
    <n v="60"/>
    <s v="approved"/>
    <n v="56"/>
    <s v="yes"/>
    <m/>
    <m/>
    <m/>
    <m/>
    <m/>
    <m/>
    <x v="0"/>
    <x v="81"/>
    <x v="1279"/>
    <n v="5500511037"/>
    <s v="R901190153"/>
    <n v="3"/>
    <n v="91.949999999999989"/>
    <m/>
    <m/>
    <s v="20240961-26.07.2024"/>
    <x v="0"/>
    <x v="8"/>
    <x v="1"/>
    <m/>
  </r>
  <r>
    <x v="12"/>
    <x v="0"/>
    <x v="326"/>
    <x v="75"/>
    <x v="215"/>
    <s v="HOUSING            DBD.10 G1X/.BG S"/>
    <s v="A"/>
    <n v="29.19"/>
    <n v="10"/>
    <n v="291.90000000000003"/>
    <x v="79"/>
    <n v="43"/>
    <n v="2025"/>
    <n v="69"/>
    <x v="70"/>
    <n v="10"/>
    <n v="60"/>
    <s v="approved"/>
    <n v="56"/>
    <s v="yes"/>
    <m/>
    <m/>
    <m/>
    <m/>
    <m/>
    <m/>
    <x v="1"/>
    <x v="3"/>
    <x v="4"/>
    <s v=""/>
    <s v=""/>
    <m/>
    <n v="0"/>
    <m/>
    <m/>
    <m/>
    <x v="1"/>
    <x v="11"/>
    <x v="0"/>
    <m/>
  </r>
  <r>
    <x v="12"/>
    <x v="0"/>
    <x v="326"/>
    <x v="75"/>
    <x v="215"/>
    <s v="HOUSING            DBD.10 G1X/.BG S"/>
    <s v="A"/>
    <n v="29.19"/>
    <n v="10"/>
    <n v="306.5"/>
    <x v="120"/>
    <n v="43"/>
    <n v="2025"/>
    <n v="69"/>
    <x v="70"/>
    <n v="10"/>
    <n v="60"/>
    <s v="approved"/>
    <s v="No"/>
    <m/>
    <m/>
    <s v=""/>
    <s v=""/>
    <m/>
    <n v="0"/>
    <m/>
    <x v="1"/>
    <x v="3"/>
    <x v="4"/>
    <s v=""/>
    <s v=""/>
    <m/>
    <n v="0"/>
    <m/>
    <m/>
    <m/>
    <x v="1"/>
    <x v="11"/>
    <x v="0"/>
    <m/>
  </r>
  <r>
    <x v="12"/>
    <x v="1"/>
    <x v="326"/>
    <x v="75"/>
    <x v="215"/>
    <s v="HOUSING            DBD.10 G1X/.BG S"/>
    <s v="A"/>
    <n v="29.19"/>
    <n v="14"/>
    <n v="306.5"/>
    <x v="410"/>
    <n v="45"/>
    <n v="2025"/>
    <n v="69"/>
    <x v="70"/>
    <n v="10"/>
    <n v="60"/>
    <s v="approved"/>
    <s v="No"/>
    <m/>
    <m/>
    <s v=""/>
    <s v=""/>
    <m/>
    <n v="0"/>
    <m/>
    <x v="1"/>
    <x v="3"/>
    <x v="4"/>
    <s v=""/>
    <s v=""/>
    <m/>
    <n v="0"/>
    <m/>
    <m/>
    <m/>
    <x v="2"/>
    <x v="3"/>
    <x v="0"/>
    <m/>
  </r>
  <r>
    <x v="12"/>
    <x v="1"/>
    <x v="326"/>
    <x v="75"/>
    <x v="215"/>
    <s v="HOUSING            DBD.10 G1X/.BG S"/>
    <s v="A"/>
    <n v="0"/>
    <n v="10"/>
    <n v="0"/>
    <x v="13"/>
    <n v="9"/>
    <n v="2026"/>
    <n v="69"/>
    <x v="70"/>
    <n v="10"/>
    <n v="60"/>
    <s v="approved"/>
    <n v="56"/>
    <s v="yes"/>
    <m/>
    <m/>
    <m/>
    <m/>
    <m/>
    <m/>
    <x v="1"/>
    <x v="3"/>
    <x v="4"/>
    <s v=""/>
    <s v=""/>
    <m/>
    <n v="0"/>
    <m/>
    <m/>
    <m/>
    <x v="2"/>
    <x v="7"/>
    <x v="3"/>
    <m/>
  </r>
  <r>
    <x v="12"/>
    <x v="0"/>
    <x v="327"/>
    <x v="106"/>
    <x v="216"/>
    <s v="COVER              ZDC 10.-25/"/>
    <s v="AF"/>
    <n v="26.49"/>
    <n v="37"/>
    <n v="980.13"/>
    <x v="153"/>
    <n v="24"/>
    <n v="2025"/>
    <n v="21"/>
    <x v="55"/>
    <n v="20"/>
    <n v="60"/>
    <s v="approved"/>
    <n v="42"/>
    <s v="yes"/>
    <m/>
    <m/>
    <m/>
    <m/>
    <m/>
    <m/>
    <x v="0"/>
    <x v="155"/>
    <x v="1280"/>
    <n v="5500511038"/>
    <s v="R901238578"/>
    <n v="37"/>
    <n v="980.13"/>
    <m/>
    <m/>
    <s v="20250774-20.06.2025"/>
    <x v="1"/>
    <x v="0"/>
    <x v="0"/>
    <m/>
  </r>
  <r>
    <x v="12"/>
    <x v="0"/>
    <x v="327"/>
    <x v="106"/>
    <x v="216"/>
    <s v="COVER              ZDC 10.-25/"/>
    <s v="AF"/>
    <n v="26.49"/>
    <n v="36"/>
    <n v="953.64"/>
    <x v="153"/>
    <n v="24"/>
    <n v="2025"/>
    <n v="21"/>
    <x v="55"/>
    <n v="20"/>
    <n v="60"/>
    <s v="approved"/>
    <n v="42"/>
    <s v="yes"/>
    <m/>
    <m/>
    <m/>
    <m/>
    <m/>
    <m/>
    <x v="0"/>
    <x v="251"/>
    <x v="1281"/>
    <n v="5500511038"/>
    <s v="R901238578"/>
    <n v="36"/>
    <n v="953.64"/>
    <m/>
    <m/>
    <s v="20250893-10.07.2025"/>
    <x v="1"/>
    <x v="0"/>
    <x v="0"/>
    <m/>
  </r>
  <r>
    <x v="12"/>
    <x v="0"/>
    <x v="327"/>
    <x v="106"/>
    <x v="216"/>
    <s v="COVER              ZDC 10.-25/"/>
    <s v="AF"/>
    <n v="26.49"/>
    <n v="50"/>
    <n v="1324.5"/>
    <x v="341"/>
    <n v="31"/>
    <n v="2025"/>
    <n v="21"/>
    <x v="55"/>
    <n v="20"/>
    <n v="60"/>
    <s v="approved"/>
    <n v="42"/>
    <s v="yes"/>
    <m/>
    <m/>
    <m/>
    <m/>
    <m/>
    <m/>
    <x v="0"/>
    <x v="7"/>
    <x v="1282"/>
    <n v="5500511038"/>
    <s v="R901238578"/>
    <n v="50"/>
    <n v="1324.5"/>
    <m/>
    <m/>
    <s v="20250959-24.07.2025"/>
    <x v="0"/>
    <x v="9"/>
    <x v="0"/>
    <m/>
  </r>
  <r>
    <x v="12"/>
    <x v="0"/>
    <x v="327"/>
    <x v="106"/>
    <x v="216"/>
    <s v="COVER              ZDC 10.-25/"/>
    <s v="AF"/>
    <n v="26.49"/>
    <n v="5"/>
    <n v="132.44999999999999"/>
    <x v="341"/>
    <n v="31"/>
    <n v="2025"/>
    <n v="21"/>
    <x v="55"/>
    <n v="20"/>
    <n v="60"/>
    <s v="approved"/>
    <n v="42"/>
    <s v="yes"/>
    <m/>
    <m/>
    <m/>
    <m/>
    <m/>
    <m/>
    <x v="0"/>
    <x v="26"/>
    <x v="1283"/>
    <n v="5500511038"/>
    <s v="R901238578"/>
    <n v="5"/>
    <n v="132.44999999999999"/>
    <m/>
    <m/>
    <s v="20251021/31.07.2025/20251379/20251380-30.10.2025"/>
    <x v="0"/>
    <x v="9"/>
    <x v="0"/>
    <m/>
  </r>
  <r>
    <x v="12"/>
    <x v="0"/>
    <x v="327"/>
    <x v="106"/>
    <x v="216"/>
    <s v="COVER              ZDC 10.-25/"/>
    <s v="AF"/>
    <n v="26.49"/>
    <n v="31"/>
    <n v="821.18999999999994"/>
    <x v="217"/>
    <n v="37"/>
    <n v="2025"/>
    <n v="21"/>
    <x v="55"/>
    <n v="20"/>
    <n v="60"/>
    <s v="approved"/>
    <n v="42"/>
    <s v="yes"/>
    <m/>
    <m/>
    <m/>
    <m/>
    <m/>
    <m/>
    <x v="0"/>
    <x v="26"/>
    <x v="1284"/>
    <n v="5500511038"/>
    <s v="R901238578"/>
    <n v="31"/>
    <n v="821.18999999999994"/>
    <m/>
    <m/>
    <s v="20251021/31.07.2025"/>
    <x v="0"/>
    <x v="10"/>
    <x v="0"/>
    <m/>
  </r>
  <r>
    <x v="12"/>
    <x v="0"/>
    <x v="327"/>
    <x v="189"/>
    <x v="216"/>
    <s v="COVER              ZDC 10.-25/"/>
    <s v="AF"/>
    <n v="26.49"/>
    <n v="51"/>
    <n v="1350.99"/>
    <x v="267"/>
    <n v="40"/>
    <n v="2025"/>
    <n v="21"/>
    <x v="55"/>
    <n v="20"/>
    <n v="60"/>
    <s v="approved"/>
    <n v="1.0625"/>
    <m/>
    <m/>
    <m/>
    <m/>
    <m/>
    <m/>
    <m/>
    <x v="1"/>
    <x v="3"/>
    <x v="4"/>
    <s v=""/>
    <s v=""/>
    <m/>
    <n v="0"/>
    <m/>
    <m/>
    <m/>
    <x v="1"/>
    <x v="11"/>
    <x v="0"/>
    <m/>
  </r>
  <r>
    <x v="12"/>
    <x v="1"/>
    <x v="327"/>
    <x v="170"/>
    <x v="216"/>
    <s v="COVER              ZDC 10.-25/"/>
    <s v="AF"/>
    <n v="26.49"/>
    <n v="28"/>
    <n v="741.71999999999991"/>
    <x v="437"/>
    <n v="44"/>
    <n v="2025"/>
    <n v="21"/>
    <x v="55"/>
    <n v="20"/>
    <n v="60"/>
    <s v="approved"/>
    <n v="42"/>
    <s v="yes"/>
    <m/>
    <m/>
    <m/>
    <m/>
    <m/>
    <m/>
    <x v="1"/>
    <x v="3"/>
    <x v="4"/>
    <s v=""/>
    <s v=""/>
    <m/>
    <n v="0"/>
    <m/>
    <m/>
    <m/>
    <x v="1"/>
    <x v="11"/>
    <x v="0"/>
    <m/>
  </r>
  <r>
    <x v="12"/>
    <x v="0"/>
    <x v="327"/>
    <x v="189"/>
    <x v="216"/>
    <s v="COVER              ZDC 10.-25/"/>
    <s v="AF"/>
    <n v="0"/>
    <n v="46"/>
    <n v="0"/>
    <x v="206"/>
    <n v="2"/>
    <n v="2026"/>
    <n v="21"/>
    <x v="55"/>
    <n v="20"/>
    <n v="60"/>
    <s v="approved"/>
    <n v="0.95833333333333337"/>
    <m/>
    <m/>
    <m/>
    <m/>
    <m/>
    <m/>
    <m/>
    <x v="1"/>
    <x v="3"/>
    <x v="4"/>
    <s v=""/>
    <s v=""/>
    <m/>
    <n v="0"/>
    <m/>
    <m/>
    <m/>
    <x v="2"/>
    <x v="6"/>
    <x v="3"/>
    <m/>
  </r>
  <r>
    <x v="12"/>
    <x v="1"/>
    <x v="327"/>
    <x v="170"/>
    <x v="216"/>
    <s v="COVER              ZDC 10.-25/"/>
    <s v="AF"/>
    <n v="0"/>
    <n v="72"/>
    <n v="0"/>
    <x v="438"/>
    <n v="6"/>
    <n v="2026"/>
    <n v="21"/>
    <x v="55"/>
    <n v="20"/>
    <n v="60"/>
    <s v="approved"/>
    <n v="42"/>
    <s v="yes"/>
    <m/>
    <m/>
    <m/>
    <m/>
    <m/>
    <m/>
    <x v="1"/>
    <x v="3"/>
    <x v="4"/>
    <s v=""/>
    <s v=""/>
    <m/>
    <n v="0"/>
    <m/>
    <m/>
    <m/>
    <x v="2"/>
    <x v="7"/>
    <x v="3"/>
    <m/>
  </r>
  <r>
    <x v="12"/>
    <x v="0"/>
    <x v="327"/>
    <x v="189"/>
    <x v="216"/>
    <s v="COVER              ZDC 10.-25/"/>
    <s v="AF"/>
    <n v="0"/>
    <n v="70"/>
    <n v="0"/>
    <x v="438"/>
    <n v="6"/>
    <n v="2026"/>
    <n v="21"/>
    <x v="55"/>
    <n v="20"/>
    <n v="60"/>
    <s v="approved"/>
    <n v="1.4583333333333333"/>
    <m/>
    <m/>
    <m/>
    <m/>
    <m/>
    <m/>
    <m/>
    <x v="1"/>
    <x v="3"/>
    <x v="4"/>
    <s v=""/>
    <s v=""/>
    <m/>
    <n v="0"/>
    <m/>
    <m/>
    <m/>
    <x v="2"/>
    <x v="7"/>
    <x v="3"/>
    <m/>
  </r>
  <r>
    <x v="12"/>
    <x v="1"/>
    <x v="327"/>
    <x v="170"/>
    <x v="216"/>
    <s v="COVER              ZDC 10.-25/"/>
    <s v="AF"/>
    <n v="0"/>
    <n v="63"/>
    <n v="0"/>
    <x v="439"/>
    <n v="45"/>
    <n v="2025"/>
    <n v="21"/>
    <x v="55"/>
    <n v="20"/>
    <n v="60"/>
    <s v="approved"/>
    <s v="No"/>
    <m/>
    <m/>
    <s v=""/>
    <s v=""/>
    <m/>
    <n v="0"/>
    <m/>
    <x v="1"/>
    <x v="3"/>
    <x v="4"/>
    <s v=""/>
    <s v=""/>
    <m/>
    <n v="0"/>
    <m/>
    <m/>
    <m/>
    <x v="2"/>
    <x v="6"/>
    <x v="3"/>
    <m/>
  </r>
  <r>
    <x v="12"/>
    <x v="0"/>
    <x v="327"/>
    <x v="189"/>
    <x v="216"/>
    <s v="COVER              ZDC 10.-25/"/>
    <s v="AF"/>
    <n v="0"/>
    <n v="69"/>
    <n v="0"/>
    <x v="440"/>
    <n v="10"/>
    <n v="2026"/>
    <n v="21"/>
    <x v="55"/>
    <n v="20"/>
    <n v="60"/>
    <s v="approved"/>
    <n v="1.4375"/>
    <m/>
    <m/>
    <m/>
    <m/>
    <m/>
    <m/>
    <m/>
    <x v="1"/>
    <x v="3"/>
    <x v="4"/>
    <s v=""/>
    <s v=""/>
    <m/>
    <n v="0"/>
    <m/>
    <m/>
    <m/>
    <x v="2"/>
    <x v="5"/>
    <x v="3"/>
    <m/>
  </r>
  <r>
    <x v="12"/>
    <x v="1"/>
    <x v="327"/>
    <x v="170"/>
    <x v="216"/>
    <s v="COVER              ZDC 10.-25/"/>
    <s v="AF"/>
    <n v="0"/>
    <n v="57"/>
    <n v="0"/>
    <x v="440"/>
    <n v="10"/>
    <n v="2026"/>
    <n v="21"/>
    <x v="55"/>
    <n v="20"/>
    <n v="60"/>
    <s v="approved"/>
    <n v="42"/>
    <s v="yes"/>
    <m/>
    <m/>
    <m/>
    <m/>
    <m/>
    <m/>
    <x v="1"/>
    <x v="3"/>
    <x v="4"/>
    <s v=""/>
    <s v=""/>
    <m/>
    <n v="0"/>
    <m/>
    <m/>
    <m/>
    <x v="2"/>
    <x v="5"/>
    <x v="3"/>
    <m/>
  </r>
  <r>
    <x v="11"/>
    <x v="0"/>
    <x v="328"/>
    <x v="190"/>
    <x v="217"/>
    <s v="RING               6,37/11X3,6 Z9,3"/>
    <s v="A"/>
    <n v="2.63"/>
    <n v="154"/>
    <n v="405.02"/>
    <x v="56"/>
    <n v="7"/>
    <n v="2025"/>
    <n v="415"/>
    <x v="79"/>
    <n v="150"/>
    <m/>
    <s v="project"/>
    <n v="42"/>
    <s v="yes"/>
    <m/>
    <m/>
    <m/>
    <m/>
    <s v="Yes"/>
    <m/>
    <x v="0"/>
    <x v="28"/>
    <x v="1285"/>
    <n v="5500502908"/>
    <s v="R901269565"/>
    <n v="154"/>
    <n v="405.02"/>
    <m/>
    <s v="proiect neinceput, se adteapta update Lucian Coza"/>
    <s v="20250288-07.03.2025"/>
    <x v="1"/>
    <x v="7"/>
    <x v="0"/>
    <m/>
  </r>
  <r>
    <x v="12"/>
    <x v="0"/>
    <x v="329"/>
    <x v="169"/>
    <x v="218"/>
    <s v="PLATE              STW0360/ ADAPTER"/>
    <s v="AD"/>
    <n v="7.28"/>
    <n v="41"/>
    <n v="298.48"/>
    <x v="316"/>
    <n v="38"/>
    <n v="2024"/>
    <n v="0"/>
    <x v="68"/>
    <n v="150"/>
    <n v="60"/>
    <s v="approved"/>
    <n v="42"/>
    <s v="no"/>
    <m/>
    <m/>
    <m/>
    <m/>
    <m/>
    <m/>
    <x v="0"/>
    <x v="43"/>
    <x v="1286"/>
    <n v="5500511046"/>
    <s v="R901279760"/>
    <n v="41"/>
    <n v="298.48"/>
    <m/>
    <m/>
    <s v="20241290-10.10.2024"/>
    <x v="1"/>
    <x v="10"/>
    <x v="1"/>
    <m/>
  </r>
  <r>
    <x v="12"/>
    <x v="0"/>
    <x v="329"/>
    <x v="169"/>
    <x v="218"/>
    <s v="PLATE              STW0360/ ADAPTER"/>
    <s v="AD"/>
    <n v="7.28"/>
    <n v="12"/>
    <n v="87.36"/>
    <x v="293"/>
    <n v="44"/>
    <n v="2024"/>
    <n v="0"/>
    <x v="68"/>
    <n v="150"/>
    <n v="60"/>
    <s v="approved"/>
    <n v="42"/>
    <s v="no"/>
    <m/>
    <m/>
    <m/>
    <m/>
    <m/>
    <m/>
    <x v="0"/>
    <x v="325"/>
    <x v="1287"/>
    <n v="5500511046"/>
    <s v="R901279760"/>
    <n v="12"/>
    <n v="87.36"/>
    <m/>
    <m/>
    <s v="20241361-30.10.2024"/>
    <x v="0"/>
    <x v="11"/>
    <x v="1"/>
    <m/>
  </r>
  <r>
    <x v="12"/>
    <x v="0"/>
    <x v="329"/>
    <x v="169"/>
    <x v="218"/>
    <s v="PLATE              STW0360/ ADAPTER"/>
    <s v="AD"/>
    <n v="7.28"/>
    <n v="10"/>
    <n v="72.8"/>
    <x v="293"/>
    <n v="44"/>
    <n v="2024"/>
    <n v="0"/>
    <x v="68"/>
    <n v="150"/>
    <n v="60"/>
    <s v="approved"/>
    <n v="42"/>
    <s v="no"/>
    <m/>
    <m/>
    <m/>
    <m/>
    <m/>
    <m/>
    <x v="0"/>
    <x v="325"/>
    <x v="1287"/>
    <n v="5500511046"/>
    <s v="R901279760"/>
    <n v="10"/>
    <n v="72.8"/>
    <m/>
    <m/>
    <s v="20241361-30.10.2024"/>
    <x v="0"/>
    <x v="11"/>
    <x v="1"/>
    <m/>
  </r>
  <r>
    <x v="12"/>
    <x v="0"/>
    <x v="329"/>
    <x v="169"/>
    <x v="218"/>
    <s v="PLATE              STW0360/ ADAPTER"/>
    <s v="AD"/>
    <n v="7.28"/>
    <n v="74"/>
    <n v="538.72"/>
    <x v="293"/>
    <n v="44"/>
    <n v="2024"/>
    <n v="0"/>
    <x v="68"/>
    <n v="150"/>
    <n v="60"/>
    <s v="approved"/>
    <n v="42"/>
    <s v="no"/>
    <m/>
    <m/>
    <m/>
    <m/>
    <m/>
    <s v="ready 1nov"/>
    <x v="0"/>
    <x v="283"/>
    <x v="1288"/>
    <n v="5500511046"/>
    <s v="R901279760"/>
    <n v="74"/>
    <n v="538.72"/>
    <m/>
    <m/>
    <s v="20241404-08.11.2024"/>
    <x v="1"/>
    <x v="11"/>
    <x v="1"/>
    <m/>
  </r>
  <r>
    <x v="12"/>
    <x v="0"/>
    <x v="329"/>
    <x v="169"/>
    <x v="218"/>
    <s v="PLATE              STW0360/ ADAPTER"/>
    <s v="AD"/>
    <n v="7.28"/>
    <n v="42"/>
    <n v="305.76"/>
    <x v="272"/>
    <n v="47"/>
    <n v="2024"/>
    <n v="0"/>
    <x v="68"/>
    <n v="150"/>
    <n v="60"/>
    <s v="approved"/>
    <n v="42"/>
    <s v="no"/>
    <m/>
    <m/>
    <m/>
    <m/>
    <m/>
    <s v="ready 1nov"/>
    <x v="0"/>
    <x v="283"/>
    <x v="1288"/>
    <n v="5500511046"/>
    <s v="R901279760"/>
    <n v="42"/>
    <n v="305.76"/>
    <m/>
    <m/>
    <s v="20241404-08.11.2024"/>
    <x v="0"/>
    <x v="4"/>
    <x v="1"/>
    <m/>
  </r>
  <r>
    <x v="12"/>
    <x v="0"/>
    <x v="329"/>
    <x v="169"/>
    <x v="218"/>
    <s v="PLATE              STW0360/ ADAPTER"/>
    <s v="AD"/>
    <n v="7.28"/>
    <n v="8"/>
    <n v="58.24"/>
    <x v="272"/>
    <n v="47"/>
    <n v="2024"/>
    <n v="0"/>
    <x v="68"/>
    <n v="150"/>
    <n v="60"/>
    <s v="approved"/>
    <n v="42"/>
    <m/>
    <m/>
    <m/>
    <m/>
    <m/>
    <m/>
    <m/>
    <x v="0"/>
    <x v="52"/>
    <x v="1289"/>
    <n v="5500511046"/>
    <s v="R901279760"/>
    <n v="8"/>
    <n v="58.24"/>
    <m/>
    <m/>
    <s v="20241427-14.11.2024"/>
    <x v="0"/>
    <x v="4"/>
    <x v="1"/>
    <m/>
  </r>
  <r>
    <x v="12"/>
    <x v="0"/>
    <x v="329"/>
    <x v="169"/>
    <x v="218"/>
    <s v="PLATE              STW0360/ ADAPTER"/>
    <s v="AD"/>
    <n v="7.73"/>
    <n v="20"/>
    <n v="154.60000000000002"/>
    <x v="441"/>
    <n v="1"/>
    <n v="2025"/>
    <n v="0"/>
    <x v="68"/>
    <n v="150"/>
    <n v="60"/>
    <s v="approved"/>
    <n v="42"/>
    <m/>
    <m/>
    <m/>
    <m/>
    <m/>
    <m/>
    <m/>
    <x v="0"/>
    <x v="52"/>
    <x v="1289"/>
    <n v="5500511046"/>
    <s v="R901279760"/>
    <n v="20"/>
    <n v="154.60000000000002"/>
    <m/>
    <m/>
    <s v="20241427-14.11.2024"/>
    <x v="0"/>
    <x v="6"/>
    <x v="0"/>
    <m/>
  </r>
  <r>
    <x v="12"/>
    <x v="0"/>
    <x v="329"/>
    <x v="169"/>
    <x v="218"/>
    <s v="PLATE              STW0360/ ADAPTER"/>
    <s v="AD"/>
    <n v="7.73"/>
    <n v="37"/>
    <n v="286.01"/>
    <x v="442"/>
    <n v="15"/>
    <n v="2025"/>
    <n v="0"/>
    <x v="68"/>
    <n v="150"/>
    <n v="60"/>
    <s v="approved"/>
    <n v="42"/>
    <s v="no"/>
    <m/>
    <m/>
    <m/>
    <m/>
    <m/>
    <m/>
    <x v="0"/>
    <x v="98"/>
    <x v="1290"/>
    <n v="5500511046"/>
    <s v="R901279760"/>
    <n v="37"/>
    <n v="286.01"/>
    <m/>
    <m/>
    <s v="20250552-24.04.2025"/>
    <x v="1"/>
    <x v="1"/>
    <x v="0"/>
    <m/>
  </r>
  <r>
    <x v="12"/>
    <x v="0"/>
    <x v="329"/>
    <x v="169"/>
    <x v="218"/>
    <s v="PLATE              STW0360/ ADAPTER"/>
    <s v="AD"/>
    <n v="7.73"/>
    <n v="218"/>
    <n v="1685.14"/>
    <x v="442"/>
    <n v="15"/>
    <n v="2025"/>
    <n v="0"/>
    <x v="68"/>
    <n v="150"/>
    <n v="60"/>
    <s v="approved"/>
    <n v="42"/>
    <s v="no"/>
    <m/>
    <m/>
    <m/>
    <m/>
    <m/>
    <m/>
    <x v="0"/>
    <x v="155"/>
    <x v="1291"/>
    <n v="5500511046"/>
    <s v="R901279760"/>
    <n v="218"/>
    <n v="1685.14"/>
    <m/>
    <s v="Atentie, nu am inchis comanda rpincipala din carescadem!"/>
    <s v="20250771-20.06.2025"/>
    <x v="1"/>
    <x v="1"/>
    <x v="0"/>
    <m/>
  </r>
  <r>
    <x v="12"/>
    <x v="0"/>
    <x v="329"/>
    <x v="169"/>
    <x v="218"/>
    <s v="PLATE              STW0360/ ADAPTER"/>
    <s v="AD"/>
    <n v="7.73"/>
    <n v="58"/>
    <n v="448.34000000000003"/>
    <x v="443"/>
    <n v="37"/>
    <n v="2025"/>
    <n v="0"/>
    <x v="68"/>
    <n v="150"/>
    <n v="60"/>
    <s v="approved"/>
    <n v="42"/>
    <s v="no"/>
    <m/>
    <m/>
    <s v="yes"/>
    <m/>
    <m/>
    <m/>
    <x v="0"/>
    <x v="182"/>
    <x v="1292"/>
    <n v="5500511046"/>
    <s v="R901279760"/>
    <n v="58"/>
    <n v="448.34000000000003"/>
    <m/>
    <m/>
    <s v="20251002-28.07.2025"/>
    <x v="0"/>
    <x v="10"/>
    <x v="0"/>
    <m/>
  </r>
  <r>
    <x v="12"/>
    <x v="0"/>
    <x v="329"/>
    <x v="169"/>
    <x v="218"/>
    <s v="PLATE              STW0360/ ADAPTER"/>
    <s v="AD"/>
    <n v="7.73"/>
    <n v="42"/>
    <n v="324.66000000000003"/>
    <x v="443"/>
    <n v="37"/>
    <n v="2025"/>
    <n v="0"/>
    <x v="68"/>
    <n v="150"/>
    <n v="60"/>
    <s v="approved"/>
    <n v="42"/>
    <s v="no"/>
    <m/>
    <m/>
    <s v="yes"/>
    <m/>
    <m/>
    <m/>
    <x v="0"/>
    <x v="109"/>
    <x v="4"/>
    <s v=""/>
    <s v=""/>
    <n v="0"/>
    <n v="0"/>
    <m/>
    <s v="Comanda Anulata"/>
    <m/>
    <x v="1"/>
    <x v="10"/>
    <x v="0"/>
    <m/>
  </r>
  <r>
    <x v="12"/>
    <x v="1"/>
    <x v="329"/>
    <x v="169"/>
    <x v="218"/>
    <s v="PLATE              STW0360/ ADAPTER"/>
    <s v="AD"/>
    <n v="7.73"/>
    <n v="100"/>
    <n v="773"/>
    <x v="25"/>
    <n v="45"/>
    <n v="2025"/>
    <n v="0"/>
    <x v="68"/>
    <n v="150"/>
    <n v="60"/>
    <s v="approved"/>
    <n v="42"/>
    <s v="no"/>
    <m/>
    <m/>
    <s v="yes"/>
    <m/>
    <m/>
    <m/>
    <x v="1"/>
    <x v="3"/>
    <x v="4"/>
    <s v=""/>
    <s v=""/>
    <m/>
    <n v="0"/>
    <m/>
    <m/>
    <m/>
    <x v="1"/>
    <x v="4"/>
    <x v="0"/>
    <m/>
  </r>
  <r>
    <x v="12"/>
    <x v="1"/>
    <x v="329"/>
    <x v="169"/>
    <x v="218"/>
    <s v="PLATE              STW0360/ ADAPTER"/>
    <s v="AD"/>
    <n v="0"/>
    <n v="100"/>
    <n v="0"/>
    <x v="444"/>
    <n v="3"/>
    <n v="2026"/>
    <n v="0"/>
    <x v="68"/>
    <n v="150"/>
    <n v="60"/>
    <s v="approved"/>
    <n v="42"/>
    <s v="no"/>
    <m/>
    <m/>
    <m/>
    <m/>
    <m/>
    <m/>
    <x v="1"/>
    <x v="3"/>
    <x v="4"/>
    <s v=""/>
    <s v=""/>
    <m/>
    <n v="0"/>
    <m/>
    <m/>
    <m/>
    <x v="2"/>
    <x v="6"/>
    <x v="3"/>
    <m/>
  </r>
  <r>
    <x v="12"/>
    <x v="1"/>
    <x v="329"/>
    <x v="169"/>
    <x v="218"/>
    <s v="PLATE              STW0360/ ADAPTER"/>
    <s v="AD"/>
    <n v="0"/>
    <n v="100"/>
    <n v="0"/>
    <x v="28"/>
    <n v="11"/>
    <n v="2026"/>
    <n v="0"/>
    <x v="68"/>
    <n v="150"/>
    <n v="60"/>
    <s v="approved"/>
    <n v="42"/>
    <s v="no"/>
    <m/>
    <m/>
    <m/>
    <m/>
    <m/>
    <m/>
    <x v="1"/>
    <x v="3"/>
    <x v="4"/>
    <s v=""/>
    <s v=""/>
    <m/>
    <n v="0"/>
    <m/>
    <m/>
    <m/>
    <x v="2"/>
    <x v="5"/>
    <x v="3"/>
    <m/>
  </r>
  <r>
    <x v="12"/>
    <x v="0"/>
    <x v="330"/>
    <x v="106"/>
    <x v="219"/>
    <s v="PLATE              4WRPN 6/ ADAPTER"/>
    <s v="AD"/>
    <n v="4.32"/>
    <n v="95"/>
    <n v="410.40000000000003"/>
    <x v="445"/>
    <n v="43"/>
    <n v="2024"/>
    <n v="0"/>
    <x v="68"/>
    <n v="500"/>
    <n v="60"/>
    <s v="approved"/>
    <n v="42"/>
    <s v="no"/>
    <m/>
    <m/>
    <m/>
    <m/>
    <m/>
    <m/>
    <x v="0"/>
    <x v="325"/>
    <x v="1293"/>
    <n v="5500511045"/>
    <s v="R901321450"/>
    <n v="95"/>
    <n v="410.40000000000003"/>
    <m/>
    <m/>
    <s v="20241362-30.10.2024"/>
    <x v="1"/>
    <x v="11"/>
    <x v="1"/>
    <m/>
  </r>
  <r>
    <x v="12"/>
    <x v="0"/>
    <x v="330"/>
    <x v="106"/>
    <x v="219"/>
    <s v="PLATE              4WRPN 6/ ADAPTER"/>
    <s v="AD"/>
    <n v="4.32"/>
    <n v="84"/>
    <n v="362.88"/>
    <x v="445"/>
    <n v="43"/>
    <n v="2024"/>
    <n v="0"/>
    <x v="68"/>
    <n v="500"/>
    <n v="60"/>
    <s v="approved"/>
    <n v="42"/>
    <s v="no"/>
    <m/>
    <m/>
    <m/>
    <m/>
    <m/>
    <m/>
    <x v="0"/>
    <x v="308"/>
    <x v="1294"/>
    <n v="5500511045"/>
    <s v="R901321450"/>
    <n v="84"/>
    <n v="362.88"/>
    <m/>
    <m/>
    <s v="20241372-31.10.2024"/>
    <x v="1"/>
    <x v="11"/>
    <x v="1"/>
    <m/>
  </r>
  <r>
    <x v="12"/>
    <x v="0"/>
    <x v="330"/>
    <x v="106"/>
    <x v="219"/>
    <s v="PLATE              4WRPN 6/ ADAPTER"/>
    <s v="AD"/>
    <n v="4.32"/>
    <n v="71"/>
    <n v="306.72000000000003"/>
    <x v="293"/>
    <n v="44"/>
    <n v="2024"/>
    <n v="0"/>
    <x v="68"/>
    <n v="500"/>
    <n v="60"/>
    <s v="approved"/>
    <n v="42"/>
    <s v="no"/>
    <m/>
    <m/>
    <m/>
    <m/>
    <s v="Yes"/>
    <s v="ready 1nov"/>
    <x v="0"/>
    <x v="283"/>
    <x v="1295"/>
    <n v="5500511045"/>
    <s v="R901321450"/>
    <n v="71"/>
    <n v="306.72000000000003"/>
    <m/>
    <m/>
    <s v="20241405-08.11.2024"/>
    <x v="1"/>
    <x v="11"/>
    <x v="1"/>
    <m/>
  </r>
  <r>
    <x v="12"/>
    <x v="0"/>
    <x v="330"/>
    <x v="31"/>
    <x v="219"/>
    <s v="PLATE              4WRPN 6/ ADAPTER"/>
    <s v="AD"/>
    <n v="4.32"/>
    <n v="3"/>
    <n v="12.96"/>
    <x v="127"/>
    <n v="45"/>
    <n v="2024"/>
    <n v="0"/>
    <x v="68"/>
    <n v="500"/>
    <n v="60"/>
    <s v="approved"/>
    <n v="42"/>
    <s v="no"/>
    <m/>
    <m/>
    <m/>
    <m/>
    <s v="Yes"/>
    <s v="ready 1nov"/>
    <x v="0"/>
    <x v="283"/>
    <x v="1295"/>
    <n v="5500511045"/>
    <s v="R901321450"/>
    <n v="3"/>
    <n v="12.96"/>
    <m/>
    <m/>
    <s v="20241405-08.11.2024"/>
    <x v="0"/>
    <x v="4"/>
    <x v="1"/>
    <m/>
  </r>
  <r>
    <x v="12"/>
    <x v="0"/>
    <x v="330"/>
    <x v="31"/>
    <x v="219"/>
    <s v="PLATE              4WRPN 6/ ADAPTER"/>
    <s v="AD"/>
    <n v="4.32"/>
    <n v="10"/>
    <n v="43.2"/>
    <x v="127"/>
    <n v="45"/>
    <n v="2024"/>
    <n v="0"/>
    <x v="68"/>
    <n v="500"/>
    <n v="61"/>
    <s v="approved"/>
    <n v="42"/>
    <s v="no"/>
    <m/>
    <m/>
    <m/>
    <m/>
    <m/>
    <m/>
    <x v="0"/>
    <x v="283"/>
    <x v="1295"/>
    <n v="5500511045"/>
    <s v="R901321450"/>
    <n v="10"/>
    <n v="43.2"/>
    <m/>
    <m/>
    <s v="20241405-08.11.2024"/>
    <x v="0"/>
    <x v="4"/>
    <x v="1"/>
    <m/>
  </r>
  <r>
    <x v="12"/>
    <x v="0"/>
    <x v="330"/>
    <x v="31"/>
    <x v="219"/>
    <s v="PLATE              4WRPN 6/ ADAPTER"/>
    <s v="AD"/>
    <n v="4.32"/>
    <n v="84"/>
    <n v="362.88"/>
    <x v="127"/>
    <n v="45"/>
    <n v="2024"/>
    <n v="0"/>
    <x v="68"/>
    <n v="500"/>
    <n v="60"/>
    <s v="approved"/>
    <n v="42"/>
    <s v="no"/>
    <m/>
    <m/>
    <m/>
    <m/>
    <m/>
    <m/>
    <x v="0"/>
    <x v="290"/>
    <x v="1296"/>
    <n v="5500511045"/>
    <s v="R901321450"/>
    <n v="84"/>
    <n v="362.88"/>
    <m/>
    <m/>
    <s v="20241527-06.12.2024"/>
    <x v="1"/>
    <x v="4"/>
    <x v="1"/>
    <m/>
  </r>
  <r>
    <x v="12"/>
    <x v="0"/>
    <x v="330"/>
    <x v="31"/>
    <x v="219"/>
    <s v="PLATE              4WRPN 6/ ADAPTER"/>
    <s v="AD"/>
    <n v="4.32"/>
    <n v="114"/>
    <n v="492.48"/>
    <x v="127"/>
    <n v="45"/>
    <n v="2024"/>
    <n v="0"/>
    <x v="68"/>
    <n v="500"/>
    <n v="61"/>
    <s v="approved"/>
    <n v="42"/>
    <s v="no"/>
    <m/>
    <m/>
    <m/>
    <m/>
    <m/>
    <m/>
    <x v="0"/>
    <x v="338"/>
    <x v="1297"/>
    <n v="5500511045"/>
    <s v="R901321450"/>
    <n v="114"/>
    <n v="492.48"/>
    <m/>
    <m/>
    <s v="20241550-12.12.2024"/>
    <x v="1"/>
    <x v="4"/>
    <x v="1"/>
    <m/>
  </r>
  <r>
    <x v="12"/>
    <x v="0"/>
    <x v="330"/>
    <x v="31"/>
    <x v="219"/>
    <s v="PLATE              4WRPN 6/ ADAPTER"/>
    <s v="AD"/>
    <n v="4.32"/>
    <n v="39"/>
    <n v="168.48000000000002"/>
    <x v="127"/>
    <n v="45"/>
    <n v="2024"/>
    <n v="0"/>
    <x v="68"/>
    <n v="500"/>
    <n v="60"/>
    <s v="approved"/>
    <n v="42"/>
    <s v="no"/>
    <m/>
    <m/>
    <m/>
    <m/>
    <m/>
    <m/>
    <x v="0"/>
    <x v="53"/>
    <x v="1298"/>
    <n v="5500511045"/>
    <s v="R901321450"/>
    <n v="39"/>
    <n v="168.48000000000002"/>
    <m/>
    <m/>
    <s v="20241601-20.12.2024"/>
    <x v="1"/>
    <x v="4"/>
    <x v="1"/>
    <m/>
  </r>
  <r>
    <x v="12"/>
    <x v="0"/>
    <x v="330"/>
    <x v="31"/>
    <x v="219"/>
    <s v="PLATE              4WRPN 6/ ADAPTER"/>
    <s v="AD"/>
    <n v="4.32"/>
    <n v="176"/>
    <n v="760.32"/>
    <x v="200"/>
    <n v="49"/>
    <n v="2024"/>
    <n v="0"/>
    <x v="68"/>
    <n v="500"/>
    <n v="60"/>
    <s v="approved"/>
    <n v="42"/>
    <s v="no"/>
    <m/>
    <m/>
    <m/>
    <m/>
    <m/>
    <m/>
    <x v="0"/>
    <x v="53"/>
    <x v="1298"/>
    <n v="5500511045"/>
    <s v="R901321450"/>
    <n v="176"/>
    <n v="760.32"/>
    <m/>
    <m/>
    <s v="20241601-20.12.2024"/>
    <x v="1"/>
    <x v="3"/>
    <x v="1"/>
    <m/>
  </r>
  <r>
    <x v="12"/>
    <x v="0"/>
    <x v="330"/>
    <x v="31"/>
    <x v="219"/>
    <s v="PLATE              4WRPN 6/ ADAPTER"/>
    <s v="AD"/>
    <n v="4.4000000000000004"/>
    <n v="232"/>
    <n v="1020.8000000000001"/>
    <x v="179"/>
    <n v="8"/>
    <n v="2025"/>
    <n v="0"/>
    <x v="68"/>
    <n v="500"/>
    <n v="60"/>
    <s v="approved"/>
    <n v="42"/>
    <s v="no"/>
    <m/>
    <m/>
    <m/>
    <m/>
    <s v="Yes"/>
    <m/>
    <x v="0"/>
    <x v="274"/>
    <x v="1299"/>
    <n v="5500511045"/>
    <s v="R901321450"/>
    <n v="232"/>
    <n v="1020.8000000000001"/>
    <m/>
    <m/>
    <s v="20250240-27.02.2025"/>
    <x v="1"/>
    <x v="7"/>
    <x v="0"/>
    <m/>
  </r>
  <r>
    <x v="12"/>
    <x v="0"/>
    <x v="330"/>
    <x v="31"/>
    <x v="219"/>
    <s v="PLATE              4WRPN 6/ ADAPTER"/>
    <s v="AD"/>
    <n v="4.4000000000000004"/>
    <n v="18"/>
    <n v="79.2"/>
    <x v="184"/>
    <n v="11"/>
    <n v="2025"/>
    <n v="0"/>
    <x v="68"/>
    <n v="500"/>
    <n v="60"/>
    <s v="approved"/>
    <n v="42"/>
    <s v="no"/>
    <m/>
    <m/>
    <m/>
    <m/>
    <s v="yes - 100"/>
    <m/>
    <x v="0"/>
    <x v="301"/>
    <x v="1300"/>
    <n v="5500511045"/>
    <s v="R901321450"/>
    <n v="18"/>
    <n v="79.2"/>
    <m/>
    <m/>
    <s v="20250500-11.04.2025"/>
    <x v="1"/>
    <x v="5"/>
    <x v="0"/>
    <m/>
  </r>
  <r>
    <x v="12"/>
    <x v="0"/>
    <x v="330"/>
    <x v="31"/>
    <x v="219"/>
    <s v="PLATE              4WRPN 6/ ADAPTER"/>
    <s v="AD"/>
    <n v="4.4000000000000004"/>
    <n v="38"/>
    <n v="167.20000000000002"/>
    <x v="388"/>
    <n v="12"/>
    <n v="2025"/>
    <n v="0"/>
    <x v="68"/>
    <n v="500"/>
    <n v="60"/>
    <s v="approved"/>
    <n v="42"/>
    <s v="no"/>
    <m/>
    <m/>
    <m/>
    <m/>
    <m/>
    <m/>
    <x v="0"/>
    <x v="301"/>
    <x v="1300"/>
    <n v="5500511045"/>
    <s v="R901321450"/>
    <n v="38"/>
    <n v="167.20000000000002"/>
    <m/>
    <m/>
    <s v="20250500-11.04.2025"/>
    <x v="1"/>
    <x v="5"/>
    <x v="0"/>
    <m/>
  </r>
  <r>
    <x v="12"/>
    <x v="0"/>
    <x v="330"/>
    <x v="31"/>
    <x v="219"/>
    <s v="PLATE              4WRPN 6/ ADAPTER"/>
    <s v="AD"/>
    <n v="4.4000000000000004"/>
    <n v="51"/>
    <n v="224.4"/>
    <x v="388"/>
    <n v="12"/>
    <n v="2025"/>
    <n v="0"/>
    <x v="68"/>
    <n v="500"/>
    <n v="60"/>
    <s v="approved"/>
    <n v="42"/>
    <s v="no"/>
    <m/>
    <m/>
    <m/>
    <m/>
    <m/>
    <m/>
    <x v="0"/>
    <x v="96"/>
    <x v="1301"/>
    <n v="5500511045"/>
    <s v="R901321450"/>
    <n v="51"/>
    <n v="224.4"/>
    <m/>
    <m/>
    <s v="20250538-22.04.2025"/>
    <x v="1"/>
    <x v="5"/>
    <x v="0"/>
    <m/>
  </r>
  <r>
    <x v="12"/>
    <x v="0"/>
    <x v="330"/>
    <x v="31"/>
    <x v="219"/>
    <s v="PLATE              4WRPN 6/ ADAPTER"/>
    <s v="AD"/>
    <n v="4.4000000000000004"/>
    <n v="50"/>
    <n v="220.00000000000003"/>
    <x v="158"/>
    <n v="17"/>
    <n v="2025"/>
    <n v="0"/>
    <x v="68"/>
    <n v="500"/>
    <n v="60"/>
    <s v="approved"/>
    <n v="42"/>
    <s v="no"/>
    <m/>
    <m/>
    <m/>
    <m/>
    <m/>
    <m/>
    <x v="0"/>
    <x v="141"/>
    <x v="1302"/>
    <n v="5500511045"/>
    <s v="R901321450"/>
    <n v="50"/>
    <n v="220.00000000000003"/>
    <m/>
    <m/>
    <s v="20250618-13.05.2025"/>
    <x v="1"/>
    <x v="1"/>
    <x v="0"/>
    <m/>
  </r>
  <r>
    <x v="12"/>
    <x v="0"/>
    <x v="330"/>
    <x v="31"/>
    <x v="219"/>
    <s v="PLATE              4WRPN 6/ ADAPTER"/>
    <s v="AD"/>
    <n v="4.4000000000000004"/>
    <n v="49"/>
    <n v="215.60000000000002"/>
    <x v="446"/>
    <n v="18"/>
    <n v="2025"/>
    <n v="0"/>
    <x v="68"/>
    <n v="500"/>
    <n v="60"/>
    <s v="approved"/>
    <n v="42"/>
    <s v="no"/>
    <m/>
    <m/>
    <m/>
    <m/>
    <m/>
    <m/>
    <x v="0"/>
    <x v="143"/>
    <x v="1303"/>
    <n v="5500511045"/>
    <s v="R901321450"/>
    <n v="49"/>
    <n v="215.60000000000002"/>
    <m/>
    <m/>
    <s v="20250630-19.05.2025"/>
    <x v="1"/>
    <x v="1"/>
    <x v="0"/>
    <m/>
  </r>
  <r>
    <x v="12"/>
    <x v="0"/>
    <x v="330"/>
    <x v="31"/>
    <x v="219"/>
    <s v="PLATE              4WRPN 6/ ADAPTER"/>
    <s v="AD"/>
    <n v="4.4000000000000004"/>
    <n v="241"/>
    <n v="1060.4000000000001"/>
    <x v="143"/>
    <n v="19"/>
    <n v="2025"/>
    <n v="0"/>
    <x v="68"/>
    <n v="500"/>
    <n v="60"/>
    <s v="approved"/>
    <n v="42"/>
    <s v="no"/>
    <m/>
    <m/>
    <s v="yes"/>
    <m/>
    <m/>
    <m/>
    <x v="0"/>
    <x v="330"/>
    <x v="1304"/>
    <n v="5500511045"/>
    <s v="R901321450"/>
    <n v="241"/>
    <n v="1060.4000000000001"/>
    <m/>
    <m/>
    <s v="20250653-23.05.2025"/>
    <x v="1"/>
    <x v="2"/>
    <x v="0"/>
    <m/>
  </r>
  <r>
    <x v="12"/>
    <x v="0"/>
    <x v="330"/>
    <x v="31"/>
    <x v="219"/>
    <s v="PLATE              4WRPN 6/ ADAPTER"/>
    <s v="AD"/>
    <n v="4.4000000000000004"/>
    <n v="86"/>
    <n v="378.40000000000003"/>
    <x v="113"/>
    <n v="19"/>
    <n v="2025"/>
    <n v="0"/>
    <x v="68"/>
    <n v="500"/>
    <n v="60"/>
    <s v="approved"/>
    <n v="42"/>
    <s v="no"/>
    <m/>
    <m/>
    <m/>
    <m/>
    <m/>
    <m/>
    <x v="0"/>
    <x v="91"/>
    <x v="1305"/>
    <n v="5500511045"/>
    <s v="R901321450"/>
    <n v="86"/>
    <n v="378.40000000000003"/>
    <m/>
    <m/>
    <s v="20250595-08.05.2025"/>
    <x v="0"/>
    <x v="2"/>
    <x v="0"/>
    <m/>
  </r>
  <r>
    <x v="12"/>
    <x v="0"/>
    <x v="330"/>
    <x v="31"/>
    <x v="219"/>
    <s v="PLATE              4WRPN 6/ ADAPTER"/>
    <s v="AD"/>
    <n v="4.4000000000000004"/>
    <n v="44"/>
    <n v="193.60000000000002"/>
    <x v="78"/>
    <n v="21"/>
    <n v="2025"/>
    <n v="0"/>
    <x v="68"/>
    <n v="500"/>
    <n v="60"/>
    <s v="approved"/>
    <n v="42"/>
    <s v="no"/>
    <m/>
    <m/>
    <m/>
    <m/>
    <m/>
    <m/>
    <x v="0"/>
    <x v="2"/>
    <x v="1306"/>
    <n v="5500511045"/>
    <s v="R901321450"/>
    <n v="44"/>
    <n v="193.60000000000002"/>
    <m/>
    <m/>
    <s v="20250563-29.04.2025"/>
    <x v="0"/>
    <x v="2"/>
    <x v="0"/>
    <m/>
  </r>
  <r>
    <x v="12"/>
    <x v="0"/>
    <x v="330"/>
    <x v="31"/>
    <x v="219"/>
    <s v="PLATE              4WRPN 6/ ADAPTER"/>
    <s v="AD"/>
    <n v="4.4000000000000004"/>
    <n v="10"/>
    <n v="44"/>
    <x v="78"/>
    <n v="21"/>
    <n v="2025"/>
    <n v="0"/>
    <x v="68"/>
    <n v="500"/>
    <n v="60"/>
    <s v="approved"/>
    <n v="42"/>
    <s v="no"/>
    <m/>
    <m/>
    <s v="yes"/>
    <m/>
    <m/>
    <m/>
    <x v="0"/>
    <x v="319"/>
    <x v="1307"/>
    <n v="5500511045"/>
    <s v="R901321450"/>
    <n v="10"/>
    <n v="44"/>
    <m/>
    <m/>
    <s v="20250684-30.05.2025"/>
    <x v="1"/>
    <x v="2"/>
    <x v="0"/>
    <m/>
  </r>
  <r>
    <x v="12"/>
    <x v="0"/>
    <x v="330"/>
    <x v="31"/>
    <x v="219"/>
    <s v="PLATE              4WRPN 6/ ADAPTER"/>
    <s v="AD"/>
    <n v="4.4000000000000004"/>
    <n v="265"/>
    <n v="1166"/>
    <x v="78"/>
    <n v="21"/>
    <n v="2025"/>
    <n v="0"/>
    <x v="68"/>
    <n v="500"/>
    <n v="60"/>
    <s v="approved"/>
    <n v="42"/>
    <s v="no"/>
    <m/>
    <m/>
    <s v="yes"/>
    <m/>
    <m/>
    <m/>
    <x v="0"/>
    <x v="157"/>
    <x v="1308"/>
    <n v="5500511045"/>
    <s v="R901321450"/>
    <n v="265"/>
    <n v="1166"/>
    <m/>
    <m/>
    <s v="20250713-06.05.2025"/>
    <x v="1"/>
    <x v="2"/>
    <x v="0"/>
    <m/>
  </r>
  <r>
    <x v="12"/>
    <x v="0"/>
    <x v="330"/>
    <x v="31"/>
    <x v="219"/>
    <s v="PLATE              4WRPN 6/ ADAPTER"/>
    <s v="AD"/>
    <n v="4.4000000000000004"/>
    <n v="35"/>
    <n v="154"/>
    <x v="202"/>
    <n v="29"/>
    <n v="2025"/>
    <n v="0"/>
    <x v="68"/>
    <n v="500"/>
    <n v="61"/>
    <s v="approved"/>
    <n v="42"/>
    <s v="no"/>
    <m/>
    <m/>
    <m/>
    <m/>
    <m/>
    <m/>
    <x v="0"/>
    <x v="182"/>
    <x v="1309"/>
    <n v="5500511045"/>
    <s v="R901321450"/>
    <n v="35"/>
    <n v="154"/>
    <m/>
    <m/>
    <s v="20251003-28.07.2025"/>
    <x v="1"/>
    <x v="8"/>
    <x v="0"/>
    <m/>
  </r>
  <r>
    <x v="12"/>
    <x v="0"/>
    <x v="330"/>
    <x v="31"/>
    <x v="219"/>
    <s v="PLATE              4WRPN 6/ ADAPTER"/>
    <s v="AD"/>
    <n v="4.4000000000000004"/>
    <n v="81"/>
    <n v="356.40000000000003"/>
    <x v="202"/>
    <n v="29"/>
    <n v="2025"/>
    <n v="0"/>
    <x v="68"/>
    <n v="500"/>
    <n v="61"/>
    <s v="approved"/>
    <n v="42"/>
    <s v="no"/>
    <m/>
    <m/>
    <m/>
    <m/>
    <m/>
    <m/>
    <x v="0"/>
    <x v="26"/>
    <x v="1310"/>
    <n v="5500511045"/>
    <s v="R901321450"/>
    <n v="81"/>
    <n v="356.40000000000003"/>
    <m/>
    <m/>
    <s v="20251020/31.07.2025"/>
    <x v="1"/>
    <x v="8"/>
    <x v="0"/>
    <m/>
  </r>
  <r>
    <x v="12"/>
    <x v="0"/>
    <x v="330"/>
    <x v="31"/>
    <x v="219"/>
    <s v="PLATE              4WRPN 6/ ADAPTER"/>
    <s v="AD"/>
    <n v="4.4000000000000004"/>
    <n v="93"/>
    <n v="409.20000000000005"/>
    <x v="202"/>
    <n v="29"/>
    <n v="2025"/>
    <n v="0"/>
    <x v="68"/>
    <n v="500"/>
    <n v="61"/>
    <s v="approved"/>
    <n v="42"/>
    <s v="no"/>
    <m/>
    <m/>
    <m/>
    <m/>
    <m/>
    <m/>
    <x v="0"/>
    <x v="203"/>
    <x v="1311"/>
    <n v="5500511045"/>
    <s v="R901321450"/>
    <n v="93"/>
    <n v="409.20000000000005"/>
    <m/>
    <m/>
    <m/>
    <x v="1"/>
    <x v="8"/>
    <x v="0"/>
    <m/>
  </r>
  <r>
    <x v="12"/>
    <x v="0"/>
    <x v="330"/>
    <x v="31"/>
    <x v="219"/>
    <s v="PLATE              4WRPN 6/ ADAPTER"/>
    <s v="AD"/>
    <n v="4.4000000000000004"/>
    <n v="159"/>
    <n v="699.6"/>
    <x v="447"/>
    <n v="30"/>
    <n v="2025"/>
    <n v="0"/>
    <x v="68"/>
    <n v="500"/>
    <n v="60"/>
    <s v="approved"/>
    <n v="42"/>
    <s v="no"/>
    <m/>
    <m/>
    <s v="yes"/>
    <m/>
    <m/>
    <m/>
    <x v="0"/>
    <x v="203"/>
    <x v="1311"/>
    <n v="5500511045"/>
    <s v="R901321450"/>
    <n v="159"/>
    <n v="699.6"/>
    <m/>
    <m/>
    <m/>
    <x v="1"/>
    <x v="8"/>
    <x v="0"/>
    <m/>
  </r>
  <r>
    <x v="12"/>
    <x v="0"/>
    <x v="330"/>
    <x v="31"/>
    <x v="219"/>
    <s v="PLATE              4WRPN 6/ ADAPTER"/>
    <s v="AD"/>
    <n v="4.4000000000000004"/>
    <n v="145"/>
    <n v="638"/>
    <x v="447"/>
    <n v="30"/>
    <n v="2025"/>
    <n v="0"/>
    <x v="68"/>
    <n v="500"/>
    <n v="60"/>
    <s v="approved"/>
    <n v="42"/>
    <s v="no"/>
    <m/>
    <m/>
    <s v="yes"/>
    <m/>
    <m/>
    <m/>
    <x v="0"/>
    <x v="50"/>
    <x v="1312"/>
    <n v="5500511045"/>
    <s v="R901321450"/>
    <n v="145"/>
    <n v="638"/>
    <m/>
    <m/>
    <s v="20251187-15.09.2025"/>
    <x v="1"/>
    <x v="8"/>
    <x v="0"/>
    <m/>
  </r>
  <r>
    <x v="12"/>
    <x v="0"/>
    <x v="330"/>
    <x v="31"/>
    <x v="219"/>
    <s v="PLATE              4WRPN 6/ ADAPTER"/>
    <s v="AD"/>
    <n v="4.4000000000000004"/>
    <n v="196"/>
    <n v="862.40000000000009"/>
    <x v="447"/>
    <n v="30"/>
    <n v="2025"/>
    <n v="0"/>
    <x v="68"/>
    <n v="500"/>
    <n v="60"/>
    <s v="approved"/>
    <n v="4.083333333333333"/>
    <m/>
    <m/>
    <m/>
    <m/>
    <m/>
    <m/>
    <m/>
    <x v="0"/>
    <x v="109"/>
    <x v="1313"/>
    <n v="5500511045"/>
    <s v="R901321450"/>
    <n v="196"/>
    <n v="862.40000000000009"/>
    <m/>
    <m/>
    <s v="20251223-24.09.2025"/>
    <x v="1"/>
    <x v="8"/>
    <x v="0"/>
    <m/>
  </r>
  <r>
    <x v="12"/>
    <x v="0"/>
    <x v="330"/>
    <x v="31"/>
    <x v="219"/>
    <s v="PLATE              4WRPN 6/ ADAPTER"/>
    <s v="AD"/>
    <n v="4.4000000000000004"/>
    <n v="123"/>
    <n v="541.20000000000005"/>
    <x v="329"/>
    <n v="40"/>
    <n v="2025"/>
    <n v="0"/>
    <x v="68"/>
    <n v="500"/>
    <n v="60"/>
    <s v="approved"/>
    <n v="42"/>
    <s v="no"/>
    <m/>
    <m/>
    <s v="yes"/>
    <m/>
    <m/>
    <m/>
    <x v="0"/>
    <x v="109"/>
    <x v="1313"/>
    <n v="5500511045"/>
    <s v="R901321450"/>
    <n v="123"/>
    <n v="541.20000000000005"/>
    <m/>
    <m/>
    <s v="20251223-24.09.2025"/>
    <x v="0"/>
    <x v="11"/>
    <x v="0"/>
    <m/>
  </r>
  <r>
    <x v="12"/>
    <x v="1"/>
    <x v="330"/>
    <x v="31"/>
    <x v="219"/>
    <s v="PLATE              4WRPN 6/ ADAPTER"/>
    <s v="AD"/>
    <n v="4.4000000000000004"/>
    <n v="130"/>
    <n v="572"/>
    <x v="41"/>
    <n v="43"/>
    <n v="2025"/>
    <n v="0"/>
    <x v="68"/>
    <n v="500"/>
    <n v="60"/>
    <s v="approved"/>
    <n v="2.7083333333333335"/>
    <m/>
    <m/>
    <m/>
    <m/>
    <m/>
    <m/>
    <m/>
    <x v="0"/>
    <x v="335"/>
    <x v="1314"/>
    <n v="5500511045"/>
    <s v="R901321450"/>
    <n v="130"/>
    <n v="572"/>
    <m/>
    <m/>
    <s v="20251300-08.10.2025"/>
    <x v="0"/>
    <x v="11"/>
    <x v="0"/>
    <m/>
  </r>
  <r>
    <x v="12"/>
    <x v="1"/>
    <x v="330"/>
    <x v="31"/>
    <x v="219"/>
    <s v="PLATE              4WRPN 6/ ADAPTER"/>
    <s v="AD"/>
    <n v="4.4000000000000004"/>
    <n v="370"/>
    <n v="1628.0000000000002"/>
    <x v="41"/>
    <n v="43"/>
    <n v="2025"/>
    <n v="0"/>
    <x v="68"/>
    <n v="500"/>
    <n v="60"/>
    <s v="approved"/>
    <n v="42"/>
    <s v="no"/>
    <m/>
    <m/>
    <m/>
    <m/>
    <m/>
    <m/>
    <x v="0"/>
    <x v="336"/>
    <x v="1315"/>
    <n v="5500511045"/>
    <s v="R901321450"/>
    <n v="370"/>
    <n v="1628.0000000000002"/>
    <m/>
    <m/>
    <s v="20251311-15.10.2025"/>
    <x v="0"/>
    <x v="11"/>
    <x v="0"/>
    <m/>
  </r>
  <r>
    <x v="12"/>
    <x v="1"/>
    <x v="330"/>
    <x v="31"/>
    <x v="219"/>
    <s v="PLATE              4WRPN 6/ ADAPTER"/>
    <s v="AD"/>
    <n v="4.4000000000000004"/>
    <n v="134"/>
    <n v="589.6"/>
    <x v="42"/>
    <n v="48"/>
    <n v="2025"/>
    <n v="0"/>
    <x v="68"/>
    <n v="500"/>
    <n v="60"/>
    <s v="approved"/>
    <n v="2.7916666666666665"/>
    <m/>
    <m/>
    <m/>
    <m/>
    <m/>
    <m/>
    <m/>
    <x v="0"/>
    <x v="336"/>
    <x v="1315"/>
    <n v="5500511045"/>
    <s v="R901321450"/>
    <n v="134"/>
    <n v="589.6"/>
    <m/>
    <m/>
    <s v="20251311-15.10.2025"/>
    <x v="0"/>
    <x v="4"/>
    <x v="0"/>
    <m/>
  </r>
  <r>
    <x v="12"/>
    <x v="1"/>
    <x v="330"/>
    <x v="31"/>
    <x v="219"/>
    <s v="PLATE              4WRPN 6/ ADAPTER"/>
    <s v="AD"/>
    <n v="4.4000000000000004"/>
    <n v="49"/>
    <n v="215.60000000000002"/>
    <x v="42"/>
    <n v="48"/>
    <n v="2025"/>
    <n v="0"/>
    <x v="68"/>
    <n v="500"/>
    <n v="60"/>
    <s v="approved"/>
    <n v="1.0208333333333333"/>
    <m/>
    <m/>
    <m/>
    <m/>
    <m/>
    <m/>
    <m/>
    <x v="0"/>
    <x v="135"/>
    <x v="1316"/>
    <n v="5500511045"/>
    <s v="R901321450"/>
    <n v="49"/>
    <n v="215.60000000000002"/>
    <m/>
    <m/>
    <s v="20251415-31.10.2025"/>
    <x v="0"/>
    <x v="4"/>
    <x v="0"/>
    <m/>
  </r>
  <r>
    <x v="12"/>
    <x v="1"/>
    <x v="330"/>
    <x v="31"/>
    <x v="219"/>
    <s v="PLATE              4WRPN 6/ ADAPTER"/>
    <s v="AD"/>
    <n v="4.4000000000000004"/>
    <n v="317"/>
    <n v="1394.8000000000002"/>
    <x v="42"/>
    <n v="48"/>
    <n v="2025"/>
    <n v="0"/>
    <x v="68"/>
    <n v="500"/>
    <n v="60"/>
    <s v="approved"/>
    <n v="42"/>
    <s v="no"/>
    <m/>
    <m/>
    <m/>
    <m/>
    <m/>
    <m/>
    <x v="1"/>
    <x v="3"/>
    <x v="4"/>
    <s v=""/>
    <s v=""/>
    <m/>
    <n v="0"/>
    <m/>
    <m/>
    <m/>
    <x v="2"/>
    <x v="4"/>
    <x v="0"/>
    <m/>
  </r>
  <r>
    <x v="12"/>
    <x v="1"/>
    <x v="330"/>
    <x v="31"/>
    <x v="219"/>
    <s v="PLATE              4WRPN 6/ ADAPTER"/>
    <s v="AD"/>
    <n v="0"/>
    <n v="500"/>
    <n v="0"/>
    <x v="448"/>
    <n v="4"/>
    <n v="2026"/>
    <n v="0"/>
    <x v="68"/>
    <n v="500"/>
    <n v="60"/>
    <s v="approved"/>
    <n v="42"/>
    <s v="no"/>
    <m/>
    <m/>
    <m/>
    <m/>
    <m/>
    <m/>
    <x v="1"/>
    <x v="3"/>
    <x v="4"/>
    <s v=""/>
    <s v=""/>
    <m/>
    <n v="0"/>
    <m/>
    <m/>
    <m/>
    <x v="2"/>
    <x v="6"/>
    <x v="3"/>
    <m/>
  </r>
  <r>
    <x v="12"/>
    <x v="1"/>
    <x v="330"/>
    <x v="31"/>
    <x v="219"/>
    <s v="PLATE              4WRPN 6/ ADAPTER"/>
    <s v="AD"/>
    <n v="0"/>
    <n v="500"/>
    <n v="0"/>
    <x v="27"/>
    <n v="10"/>
    <n v="2026"/>
    <n v="0"/>
    <x v="68"/>
    <n v="500"/>
    <n v="60"/>
    <s v="approved"/>
    <n v="42"/>
    <s v="no"/>
    <m/>
    <m/>
    <m/>
    <m/>
    <m/>
    <m/>
    <x v="1"/>
    <x v="3"/>
    <x v="4"/>
    <s v=""/>
    <s v=""/>
    <m/>
    <n v="0"/>
    <m/>
    <m/>
    <m/>
    <x v="2"/>
    <x v="5"/>
    <x v="3"/>
    <m/>
  </r>
  <r>
    <x v="12"/>
    <x v="1"/>
    <x v="330"/>
    <x v="31"/>
    <x v="219"/>
    <s v="PLATE              4WRPN 6/ ADAPTER"/>
    <s v="AD"/>
    <n v="0"/>
    <n v="500"/>
    <n v="0"/>
    <x v="58"/>
    <n v="27"/>
    <n v="2026"/>
    <n v="0"/>
    <x v="68"/>
    <n v="500"/>
    <n v="60"/>
    <s v="approved"/>
    <n v="42"/>
    <s v="no"/>
    <m/>
    <m/>
    <m/>
    <m/>
    <m/>
    <m/>
    <x v="1"/>
    <x v="3"/>
    <x v="4"/>
    <s v=""/>
    <s v=""/>
    <m/>
    <n v="0"/>
    <m/>
    <m/>
    <m/>
    <x v="2"/>
    <x v="0"/>
    <x v="3"/>
    <m/>
  </r>
  <r>
    <x v="3"/>
    <x v="0"/>
    <x v="22"/>
    <x v="8"/>
    <x v="220"/>
    <s v="VALVE_INSERT_LR16DB_SO18"/>
    <n v="0"/>
    <n v="20.11"/>
    <n v="5"/>
    <n v="100.55"/>
    <x v="73"/>
    <n v="7"/>
    <n v="2022"/>
    <n v="0"/>
    <x v="5"/>
    <n v="230"/>
    <m/>
    <s v="project"/>
    <n v="56"/>
    <s v="yes"/>
    <m/>
    <m/>
    <m/>
    <m/>
    <m/>
    <m/>
    <x v="0"/>
    <x v="3"/>
    <x v="4"/>
    <s v=""/>
    <s v=""/>
    <n v="0"/>
    <n v="0"/>
    <m/>
    <s v="Proiect Anulat"/>
    <m/>
    <x v="1"/>
    <x v="7"/>
    <x v="4"/>
    <m/>
  </r>
  <r>
    <x v="3"/>
    <x v="0"/>
    <x v="331"/>
    <x v="8"/>
    <x v="221"/>
    <s v="PLATE              4WRPF 10/ ADAPTER"/>
    <s v="AA"/>
    <n v="15.3"/>
    <n v="5"/>
    <n v="76.5"/>
    <x v="449"/>
    <n v="40"/>
    <n v="2022"/>
    <n v="0"/>
    <x v="68"/>
    <n v="20"/>
    <m/>
    <s v="project"/>
    <n v="42"/>
    <s v="no"/>
    <m/>
    <m/>
    <m/>
    <m/>
    <m/>
    <m/>
    <x v="0"/>
    <x v="3"/>
    <x v="4"/>
    <s v=""/>
    <s v=""/>
    <n v="0"/>
    <n v="0"/>
    <m/>
    <s v="Proiect Anulat"/>
    <m/>
    <x v="1"/>
    <x v="10"/>
    <x v="4"/>
    <m/>
  </r>
  <r>
    <x v="12"/>
    <x v="0"/>
    <x v="332"/>
    <x v="3"/>
    <x v="222"/>
    <s v="HOUSING            DBD.10G1X/J3"/>
    <s v="h"/>
    <n v="31.15"/>
    <n v="28"/>
    <n v="872.19999999999993"/>
    <x v="450"/>
    <n v="17"/>
    <n v="2024"/>
    <n v="73"/>
    <x v="70"/>
    <n v="30"/>
    <n v="60"/>
    <s v="approved"/>
    <n v="56"/>
    <s v="yes"/>
    <m/>
    <m/>
    <m/>
    <m/>
    <m/>
    <s v="241010 / 241412"/>
    <x v="0"/>
    <x v="208"/>
    <x v="1317"/>
    <n v="5500511040"/>
    <s v="R901469358"/>
    <n v="28"/>
    <n v="872.19999999999993"/>
    <m/>
    <m/>
    <m/>
    <x v="0"/>
    <x v="1"/>
    <x v="1"/>
    <m/>
  </r>
  <r>
    <x v="12"/>
    <x v="0"/>
    <x v="332"/>
    <x v="31"/>
    <x v="222"/>
    <s v="HOUSING            DBD.10G1X/J3"/>
    <s v="h"/>
    <n v="31.15"/>
    <n v="47"/>
    <n v="1464.05"/>
    <x v="373"/>
    <n v="22"/>
    <n v="2024"/>
    <n v="73"/>
    <x v="70"/>
    <n v="30"/>
    <n v="60"/>
    <s v="approved"/>
    <n v="56"/>
    <s v="yes"/>
    <m/>
    <m/>
    <m/>
    <m/>
    <m/>
    <n v="241615"/>
    <x v="0"/>
    <x v="209"/>
    <x v="1318"/>
    <n v="5500511040"/>
    <s v="R901469358"/>
    <n v="47"/>
    <n v="1464.05"/>
    <m/>
    <m/>
    <s v="20240545/ 15.05.2024"/>
    <x v="0"/>
    <x v="2"/>
    <x v="1"/>
    <m/>
  </r>
  <r>
    <x v="12"/>
    <x v="0"/>
    <x v="332"/>
    <x v="106"/>
    <x v="222"/>
    <s v="HOUSING            DBD.10G1X/J3"/>
    <s v="h"/>
    <n v="31.15"/>
    <n v="24"/>
    <n v="747.59999999999991"/>
    <x v="101"/>
    <n v="27"/>
    <n v="2024"/>
    <n v="73"/>
    <x v="70"/>
    <n v="30"/>
    <n v="60"/>
    <s v="approved"/>
    <n v="56"/>
    <s v="yes"/>
    <m/>
    <m/>
    <m/>
    <s v="kw36"/>
    <m/>
    <n v="241615"/>
    <x v="0"/>
    <x v="32"/>
    <x v="1319"/>
    <n v="5500511040"/>
    <s v="R901469358"/>
    <n v="24"/>
    <n v="747.59999999999991"/>
    <m/>
    <m/>
    <s v="20240854-05.07.2024"/>
    <x v="0"/>
    <x v="8"/>
    <x v="1"/>
    <m/>
  </r>
  <r>
    <x v="12"/>
    <x v="0"/>
    <x v="332"/>
    <x v="106"/>
    <x v="222"/>
    <s v="HOUSING            DBD.10G1X/J3"/>
    <s v="h"/>
    <n v="31.15"/>
    <n v="8"/>
    <n v="249.2"/>
    <x v="317"/>
    <n v="44"/>
    <n v="2024"/>
    <n v="73"/>
    <x v="70"/>
    <n v="30"/>
    <n v="60"/>
    <s v="approved"/>
    <n v="56"/>
    <s v="yes"/>
    <m/>
    <m/>
    <m/>
    <s v="kw36"/>
    <m/>
    <n v="242409"/>
    <x v="0"/>
    <x v="224"/>
    <x v="1320"/>
    <n v="5500511040"/>
    <s v="R901469358"/>
    <n v="8"/>
    <n v="249.2"/>
    <m/>
    <m/>
    <s v="20241229-27.09.2024"/>
    <x v="0"/>
    <x v="11"/>
    <x v="1"/>
    <m/>
  </r>
  <r>
    <x v="12"/>
    <x v="0"/>
    <x v="332"/>
    <x v="106"/>
    <x v="222"/>
    <s v="HOUSING            DBD.10G1X/J3"/>
    <s v="h"/>
    <n v="31.15"/>
    <n v="54"/>
    <n v="1682.1"/>
    <x v="346"/>
    <n v="50"/>
    <n v="2024"/>
    <n v="73"/>
    <x v="70"/>
    <n v="30"/>
    <n v="60"/>
    <s v="approved"/>
    <n v="56"/>
    <s v="yes"/>
    <m/>
    <m/>
    <m/>
    <s v="de verificat stock fizic 773"/>
    <m/>
    <m/>
    <x v="0"/>
    <x v="338"/>
    <x v="1321"/>
    <n v="5500511040"/>
    <s v="R901469358"/>
    <n v="54"/>
    <n v="1682.1"/>
    <m/>
    <m/>
    <s v="20241547-12.12.2024"/>
    <x v="0"/>
    <x v="3"/>
    <x v="1"/>
    <m/>
  </r>
  <r>
    <x v="12"/>
    <x v="0"/>
    <x v="332"/>
    <x v="106"/>
    <x v="222"/>
    <s v="HOUSING            DBD.10G1X/J3"/>
    <s v="h"/>
    <n v="31.15"/>
    <n v="24"/>
    <n v="747.59999999999991"/>
    <x v="382"/>
    <n v="19"/>
    <n v="2025"/>
    <n v="73"/>
    <x v="70"/>
    <n v="30"/>
    <n v="60"/>
    <s v="approved"/>
    <n v="56"/>
    <s v="yes"/>
    <m/>
    <m/>
    <m/>
    <m/>
    <m/>
    <m/>
    <x v="0"/>
    <x v="48"/>
    <x v="1322"/>
    <n v="5500511040"/>
    <s v="R901469358"/>
    <n v="24"/>
    <n v="747.59999999999991"/>
    <m/>
    <m/>
    <s v="20250746-17.06.2025"/>
    <x v="1"/>
    <x v="2"/>
    <x v="0"/>
    <m/>
  </r>
  <r>
    <x v="12"/>
    <x v="0"/>
    <x v="332"/>
    <x v="106"/>
    <x v="222"/>
    <s v="HOUSING            DBD.10G1X/J3"/>
    <s v="h"/>
    <n v="31.15"/>
    <n v="8"/>
    <n v="249.2"/>
    <x v="172"/>
    <n v="46"/>
    <n v="2025"/>
    <n v="73"/>
    <x v="70"/>
    <n v="30"/>
    <n v="60"/>
    <s v="approved"/>
    <n v="0.16666666666666666"/>
    <m/>
    <m/>
    <m/>
    <m/>
    <m/>
    <m/>
    <m/>
    <x v="0"/>
    <x v="163"/>
    <x v="1323"/>
    <n v="5500511040"/>
    <s v="R901469358"/>
    <n v="8"/>
    <n v="249.2"/>
    <m/>
    <m/>
    <s v="20251387-31.10.2025"/>
    <x v="0"/>
    <x v="4"/>
    <x v="0"/>
    <m/>
  </r>
  <r>
    <x v="12"/>
    <x v="0"/>
    <x v="332"/>
    <x v="106"/>
    <x v="222"/>
    <s v="HOUSING            DBD.10G1X/J3"/>
    <s v="h"/>
    <n v="31.15"/>
    <n v="18"/>
    <n v="560.69999999999993"/>
    <x v="172"/>
    <n v="46"/>
    <n v="2025"/>
    <n v="73"/>
    <x v="70"/>
    <n v="30"/>
    <n v="60"/>
    <s v="approved"/>
    <n v="0.375"/>
    <m/>
    <m/>
    <m/>
    <m/>
    <m/>
    <m/>
    <m/>
    <x v="0"/>
    <x v="135"/>
    <x v="1324"/>
    <n v="5500511040"/>
    <s v="R901469358"/>
    <n v="18"/>
    <n v="560.69999999999993"/>
    <m/>
    <m/>
    <s v="20251418-31.10.2025"/>
    <x v="4"/>
    <x v="4"/>
    <x v="0"/>
    <m/>
  </r>
  <r>
    <x v="12"/>
    <x v="0"/>
    <x v="332"/>
    <x v="106"/>
    <x v="222"/>
    <s v="HOUSING            DBD.10G1X/J3"/>
    <s v="h"/>
    <n v="31.15"/>
    <n v="6"/>
    <n v="186.89999999999998"/>
    <x v="172"/>
    <n v="46"/>
    <n v="2025"/>
    <n v="73"/>
    <x v="70"/>
    <n v="30"/>
    <n v="60"/>
    <s v="approved"/>
    <n v="56"/>
    <s v="yes"/>
    <m/>
    <m/>
    <m/>
    <m/>
    <m/>
    <m/>
    <x v="1"/>
    <x v="3"/>
    <x v="4"/>
    <s v=""/>
    <s v=""/>
    <m/>
    <n v="0"/>
    <m/>
    <m/>
    <m/>
    <x v="2"/>
    <x v="4"/>
    <x v="0"/>
    <m/>
  </r>
  <r>
    <x v="12"/>
    <x v="1"/>
    <x v="332"/>
    <x v="106"/>
    <x v="222"/>
    <s v="HOUSING            DBD.10G1X/J3"/>
    <s v="h"/>
    <n v="0"/>
    <n v="64"/>
    <n v="0"/>
    <x v="27"/>
    <n v="10"/>
    <n v="2026"/>
    <n v="73"/>
    <x v="70"/>
    <n v="30"/>
    <n v="60"/>
    <s v="approved"/>
    <n v="56"/>
    <s v="yes"/>
    <m/>
    <m/>
    <m/>
    <m/>
    <m/>
    <m/>
    <x v="1"/>
    <x v="3"/>
    <x v="4"/>
    <s v=""/>
    <s v=""/>
    <m/>
    <n v="0"/>
    <m/>
    <m/>
    <m/>
    <x v="2"/>
    <x v="5"/>
    <x v="3"/>
    <m/>
  </r>
  <r>
    <x v="12"/>
    <x v="0"/>
    <x v="333"/>
    <x v="3"/>
    <x v="223"/>
    <s v="HOUSING            DBD.20G1X/J3"/>
    <s v="g"/>
    <n v="51.31"/>
    <n v="21"/>
    <n v="1077.51"/>
    <x v="162"/>
    <n v="16"/>
    <n v="2024"/>
    <n v="90"/>
    <x v="72"/>
    <n v="10"/>
    <n v="60"/>
    <s v="approved"/>
    <n v="56"/>
    <s v="yes"/>
    <m/>
    <m/>
    <m/>
    <m/>
    <m/>
    <n v="241308"/>
    <x v="0"/>
    <x v="4"/>
    <x v="1325"/>
    <n v="5500511041"/>
    <s v="R901469362"/>
    <n v="21"/>
    <n v="1077.51"/>
    <m/>
    <m/>
    <s v="20240396-11.04.2024"/>
    <x v="0"/>
    <x v="1"/>
    <x v="1"/>
    <m/>
  </r>
  <r>
    <x v="12"/>
    <x v="0"/>
    <x v="333"/>
    <x v="75"/>
    <x v="223"/>
    <s v="HOUSING            DBD.20G1X/J3"/>
    <s v="g"/>
    <n v="51.31"/>
    <n v="27"/>
    <n v="1385.3700000000001"/>
    <x v="373"/>
    <n v="22"/>
    <n v="2024"/>
    <n v="90"/>
    <x v="72"/>
    <n v="10"/>
    <n v="60"/>
    <s v="approved"/>
    <n v="56"/>
    <s v="yes"/>
    <m/>
    <m/>
    <m/>
    <m/>
    <m/>
    <n v="241902"/>
    <x v="0"/>
    <x v="164"/>
    <x v="1326"/>
    <n v="5500511041"/>
    <s v="R901469362"/>
    <n v="27"/>
    <n v="1385.3700000000001"/>
    <m/>
    <m/>
    <s v="20240600-24.05.2024"/>
    <x v="0"/>
    <x v="2"/>
    <x v="1"/>
    <m/>
  </r>
  <r>
    <x v="12"/>
    <x v="0"/>
    <x v="333"/>
    <x v="106"/>
    <x v="223"/>
    <s v="HOUSING            DBD.20G1X/J3"/>
    <s v="g"/>
    <n v="51.31"/>
    <n v="9"/>
    <n v="461.79"/>
    <x v="101"/>
    <n v="27"/>
    <n v="2024"/>
    <n v="90"/>
    <x v="72"/>
    <n v="10"/>
    <n v="60"/>
    <s v="approved"/>
    <n v="56"/>
    <s v="yes"/>
    <m/>
    <m/>
    <m/>
    <m/>
    <m/>
    <n v="243008"/>
    <x v="0"/>
    <x v="32"/>
    <x v="1327"/>
    <n v="5500511041"/>
    <s v="R901469362"/>
    <n v="9"/>
    <n v="461.79"/>
    <m/>
    <m/>
    <s v="20240853-05.07.2024"/>
    <x v="0"/>
    <x v="8"/>
    <x v="1"/>
    <m/>
  </r>
  <r>
    <x v="12"/>
    <x v="0"/>
    <x v="333"/>
    <x v="106"/>
    <x v="223"/>
    <s v="HOUSING            DBD.20G1X/J3"/>
    <s v="g"/>
    <n v="51.31"/>
    <n v="21"/>
    <n v="1077.51"/>
    <x v="101"/>
    <n v="27"/>
    <n v="2024"/>
    <n v="90"/>
    <x v="72"/>
    <n v="10"/>
    <n v="60"/>
    <s v="approved"/>
    <n v="56"/>
    <s v="yes"/>
    <m/>
    <m/>
    <m/>
    <m/>
    <m/>
    <m/>
    <x v="0"/>
    <x v="81"/>
    <x v="1328"/>
    <n v="5500511041"/>
    <s v="R901469362"/>
    <n v="12"/>
    <n v="615.72"/>
    <m/>
    <m/>
    <s v="20240960-26.07.2024"/>
    <x v="1"/>
    <x v="8"/>
    <x v="1"/>
    <m/>
  </r>
  <r>
    <x v="12"/>
    <x v="0"/>
    <x v="333"/>
    <x v="106"/>
    <x v="223"/>
    <s v="HOUSING            DBD.20G1X/J3"/>
    <s v="g"/>
    <n v="51.31"/>
    <n v="9"/>
    <n v="461.79"/>
    <x v="360"/>
    <n v="48"/>
    <n v="2024"/>
    <n v="90"/>
    <x v="72"/>
    <n v="10"/>
    <n v="60"/>
    <s v="approved"/>
    <n v="56"/>
    <s v="yes"/>
    <m/>
    <m/>
    <m/>
    <m/>
    <m/>
    <m/>
    <x v="0"/>
    <x v="81"/>
    <x v="1328"/>
    <n v="5500511041"/>
    <s v="R901469362"/>
    <n v="9"/>
    <n v="461.79"/>
    <m/>
    <m/>
    <s v="20240960-26.07.2024"/>
    <x v="0"/>
    <x v="4"/>
    <x v="1"/>
    <m/>
  </r>
  <r>
    <x v="12"/>
    <x v="0"/>
    <x v="333"/>
    <x v="106"/>
    <x v="223"/>
    <s v="HOUSING            DBD.20G1X/J3"/>
    <s v="g"/>
    <n v="51.31"/>
    <n v="17"/>
    <n v="872.27"/>
    <x v="346"/>
    <n v="50"/>
    <n v="2024"/>
    <n v="90"/>
    <x v="72"/>
    <n v="10"/>
    <n v="60"/>
    <s v="approved"/>
    <n v="56"/>
    <s v="yes"/>
    <m/>
    <m/>
    <m/>
    <s v="ned to be send at galvanic treatment  // EuroNarcis"/>
    <m/>
    <m/>
    <x v="0"/>
    <x v="338"/>
    <x v="1329"/>
    <n v="5500511041"/>
    <s v="R901469362"/>
    <n v="17"/>
    <n v="872.27"/>
    <m/>
    <m/>
    <s v="20241546-12.12.2024"/>
    <x v="0"/>
    <x v="3"/>
    <x v="1"/>
    <m/>
  </r>
  <r>
    <x v="12"/>
    <x v="0"/>
    <x v="333"/>
    <x v="106"/>
    <x v="223"/>
    <s v="HOUSING            DBD.20G1X/J3"/>
    <s v="g"/>
    <n v="48.87"/>
    <n v="21"/>
    <n v="1026.27"/>
    <x v="144"/>
    <n v="9"/>
    <n v="2025"/>
    <n v="90"/>
    <x v="72"/>
    <n v="10"/>
    <n v="60"/>
    <s v="approved"/>
    <n v="56"/>
    <s v="yes"/>
    <m/>
    <m/>
    <m/>
    <m/>
    <s v="Yes"/>
    <m/>
    <x v="0"/>
    <x v="222"/>
    <x v="1330"/>
    <n v="5500511041"/>
    <s v="R901469362"/>
    <n v="21"/>
    <n v="1026.27"/>
    <m/>
    <m/>
    <s v="20250177-19.02.2025"/>
    <x v="0"/>
    <x v="7"/>
    <x v="0"/>
    <m/>
  </r>
  <r>
    <x v="12"/>
    <x v="0"/>
    <x v="333"/>
    <x v="106"/>
    <x v="223"/>
    <s v="HOUSING            DBD.20G1X/J3"/>
    <s v="g"/>
    <n v="48.87"/>
    <n v="39"/>
    <n v="1905.9299999999998"/>
    <x v="54"/>
    <n v="18"/>
    <n v="2025"/>
    <n v="90"/>
    <x v="72"/>
    <n v="10"/>
    <n v="60"/>
    <s v="approved"/>
    <n v="56"/>
    <s v="yes"/>
    <m/>
    <m/>
    <m/>
    <m/>
    <s v="Yes"/>
    <m/>
    <x v="0"/>
    <x v="143"/>
    <x v="1331"/>
    <n v="5500511041"/>
    <s v="R901469362"/>
    <n v="39"/>
    <n v="1905.9299999999998"/>
    <m/>
    <m/>
    <s v="20250634-19.05.2025"/>
    <x v="1"/>
    <x v="1"/>
    <x v="0"/>
    <m/>
  </r>
  <r>
    <x v="12"/>
    <x v="0"/>
    <x v="333"/>
    <x v="106"/>
    <x v="223"/>
    <s v="HOUSING            DBD.20G1X/J3"/>
    <s v="g"/>
    <n v="48.87"/>
    <n v="26"/>
    <n v="1270.6199999999999"/>
    <x v="153"/>
    <n v="24"/>
    <n v="2025"/>
    <n v="90"/>
    <x v="72"/>
    <n v="10"/>
    <n v="60"/>
    <s v="approved"/>
    <n v="56"/>
    <s v="yes"/>
    <m/>
    <m/>
    <m/>
    <m/>
    <s v="Yes"/>
    <m/>
    <x v="0"/>
    <x v="193"/>
    <x v="1332"/>
    <n v="5500511041"/>
    <s v="R901469362"/>
    <n v="26"/>
    <n v="1270.6199999999999"/>
    <m/>
    <m/>
    <s v="20250905-14.07.2025"/>
    <x v="1"/>
    <x v="0"/>
    <x v="0"/>
    <m/>
  </r>
  <r>
    <x v="12"/>
    <x v="0"/>
    <x v="333"/>
    <x v="106"/>
    <x v="223"/>
    <s v="HOUSING            DBD.20G1X/J3"/>
    <s v="g"/>
    <n v="48.87"/>
    <n v="31"/>
    <n v="1514.97"/>
    <x v="25"/>
    <n v="45"/>
    <n v="2025"/>
    <n v="90"/>
    <x v="72"/>
    <n v="10"/>
    <n v="60"/>
    <s v="approved"/>
    <n v="56"/>
    <s v="yes"/>
    <m/>
    <m/>
    <m/>
    <m/>
    <m/>
    <m/>
    <x v="0"/>
    <x v="163"/>
    <x v="1333"/>
    <n v="5500511041"/>
    <s v="R901469362"/>
    <n v="31"/>
    <n v="1514.97"/>
    <m/>
    <m/>
    <s v="20251389-31.10.2025"/>
    <x v="0"/>
    <x v="4"/>
    <x v="0"/>
    <m/>
  </r>
  <r>
    <x v="12"/>
    <x v="0"/>
    <x v="334"/>
    <x v="86"/>
    <x v="224"/>
    <s v="HOUSING DBD.20G1X/VJ3 BG"/>
    <s v="G"/>
    <n v="103.2"/>
    <n v="2"/>
    <n v="206.4"/>
    <x v="267"/>
    <n v="40"/>
    <n v="2025"/>
    <n v="0"/>
    <x v="72"/>
    <n v="5"/>
    <n v="61"/>
    <s v="approved"/>
    <n v="56"/>
    <s v="yes"/>
    <m/>
    <m/>
    <m/>
    <m/>
    <m/>
    <m/>
    <x v="0"/>
    <x v="163"/>
    <x v="1334"/>
    <n v="4510865668"/>
    <s v="R901469363"/>
    <n v="2"/>
    <n v="206.4"/>
    <m/>
    <m/>
    <s v="20251388-31.10.2025"/>
    <x v="1"/>
    <x v="11"/>
    <x v="0"/>
    <m/>
  </r>
  <r>
    <x v="12"/>
    <x v="0"/>
    <x v="335"/>
    <x v="106"/>
    <x v="225"/>
    <s v="HOUSING            DBD.30P1X/J3"/>
    <s v="f"/>
    <n v="140"/>
    <n v="21"/>
    <n v="2940"/>
    <x v="168"/>
    <n v="23"/>
    <n v="2025"/>
    <n v="90"/>
    <x v="74"/>
    <n v="5"/>
    <n v="60"/>
    <s v="approved"/>
    <n v="56"/>
    <s v="yes"/>
    <m/>
    <m/>
    <m/>
    <m/>
    <m/>
    <m/>
    <x v="0"/>
    <x v="48"/>
    <x v="1335"/>
    <n v="5500511042"/>
    <s v="R901469368"/>
    <n v="21"/>
    <n v="2940"/>
    <m/>
    <m/>
    <s v="20250747-17.06.2025"/>
    <x v="1"/>
    <x v="0"/>
    <x v="0"/>
    <m/>
  </r>
  <r>
    <x v="12"/>
    <x v="0"/>
    <x v="335"/>
    <x v="106"/>
    <x v="225"/>
    <s v="HOUSING            DBD.30P1X/J3"/>
    <s v="f"/>
    <n v="140"/>
    <n v="11"/>
    <n v="1540"/>
    <x v="168"/>
    <n v="23"/>
    <n v="2025"/>
    <n v="90"/>
    <x v="74"/>
    <n v="5"/>
    <n v="60"/>
    <s v="approved"/>
    <n v="56"/>
    <s v="yes"/>
    <m/>
    <m/>
    <m/>
    <m/>
    <m/>
    <m/>
    <x v="0"/>
    <x v="196"/>
    <x v="1336"/>
    <n v="5500511042"/>
    <s v="R901469368"/>
    <n v="11"/>
    <n v="1540"/>
    <m/>
    <m/>
    <s v="20250873-09.07.2025"/>
    <x v="1"/>
    <x v="0"/>
    <x v="0"/>
    <m/>
  </r>
  <r>
    <x v="11"/>
    <x v="0"/>
    <x v="336"/>
    <x v="75"/>
    <x v="226"/>
    <s v="THROTTLE SCREW     2FRM 5   3Q VD-T"/>
    <s v="AA"/>
    <n v="34"/>
    <n v="17"/>
    <n v="578"/>
    <x v="175"/>
    <n v="27"/>
    <n v="2024"/>
    <n v="0"/>
    <x v="76"/>
    <n v="20"/>
    <n v="42"/>
    <s v="approved"/>
    <n v="0.35416666666666669"/>
    <s v="yes"/>
    <m/>
    <m/>
    <m/>
    <m/>
    <m/>
    <m/>
    <x v="0"/>
    <x v="357"/>
    <x v="1337"/>
    <n v="5500502903"/>
    <s v="R901531786"/>
    <n v="17"/>
    <n v="578"/>
    <m/>
    <m/>
    <s v="20240497-30.04.2024"/>
    <x v="0"/>
    <x v="8"/>
    <x v="1"/>
    <m/>
  </r>
  <r>
    <x v="11"/>
    <x v="0"/>
    <x v="336"/>
    <x v="75"/>
    <x v="226"/>
    <s v="THROTTLE SCREW     2FRM 5   3Q VD-T"/>
    <s v="AA"/>
    <n v="34"/>
    <n v="33"/>
    <n v="1122"/>
    <x v="175"/>
    <n v="27"/>
    <n v="2024"/>
    <n v="0"/>
    <x v="76"/>
    <n v="20"/>
    <n v="42"/>
    <s v="approved"/>
    <n v="0.6875"/>
    <s v="yes"/>
    <m/>
    <m/>
    <m/>
    <s v="ETA 28oct"/>
    <s v="Yes"/>
    <m/>
    <x v="0"/>
    <x v="3"/>
    <x v="211"/>
    <n v="5500502903"/>
    <s v="R901531786"/>
    <n v="0"/>
    <n v="0"/>
    <m/>
    <s v="Proiect Anulat"/>
    <m/>
    <x v="1"/>
    <x v="8"/>
    <x v="1"/>
    <m/>
  </r>
  <r>
    <x v="11"/>
    <x v="0"/>
    <x v="337"/>
    <x v="191"/>
    <x v="227"/>
    <s v="PLATE ZDR 6 DP0-45/.W80 AS"/>
    <s v="A"/>
    <n v="2"/>
    <n v="400"/>
    <n v="800"/>
    <x v="451"/>
    <n v="32"/>
    <n v="2024"/>
    <n v="0"/>
    <x v="68"/>
    <n v="0"/>
    <n v="42"/>
    <s v="project"/>
    <n v="42"/>
    <s v="no"/>
    <m/>
    <m/>
    <m/>
    <m/>
    <m/>
    <n v="242115"/>
    <x v="0"/>
    <x v="124"/>
    <x v="1338"/>
    <n v="4510046543"/>
    <s v="R901580817"/>
    <n v="345"/>
    <n v="690"/>
    <m/>
    <m/>
    <s v="20241044-09.08.2024"/>
    <x v="0"/>
    <x v="9"/>
    <x v="1"/>
    <m/>
  </r>
  <r>
    <x v="11"/>
    <x v="0"/>
    <x v="337"/>
    <x v="191"/>
    <x v="227"/>
    <s v="PLATE ZDR 6 DP0-45/.W80 AS"/>
    <s v="A"/>
    <n v="2"/>
    <n v="0"/>
    <n v="0"/>
    <x v="451"/>
    <n v="32"/>
    <n v="2024"/>
    <n v="0"/>
    <x v="68"/>
    <n v="0"/>
    <m/>
    <s v="project"/>
    <n v="42"/>
    <s v="no"/>
    <m/>
    <m/>
    <m/>
    <m/>
    <m/>
    <m/>
    <x v="0"/>
    <x v="358"/>
    <x v="1339"/>
    <n v="4510046543"/>
    <s v="R901580817"/>
    <n v="55"/>
    <n v="110"/>
    <m/>
    <s v="25 carcase NOK (pistoane OK)"/>
    <s v="20241117-30.08.2024"/>
    <x v="1"/>
    <x v="9"/>
    <x v="1"/>
    <m/>
  </r>
  <r>
    <x v="11"/>
    <x v="0"/>
    <x v="338"/>
    <x v="191"/>
    <x v="227"/>
    <s v="PLATE ZDR 6 DP0-45/.W80 AS"/>
    <s v="A"/>
    <n v="2"/>
    <n v="386"/>
    <n v="772"/>
    <x v="451"/>
    <n v="32"/>
    <n v="2024"/>
    <n v="0"/>
    <x v="68"/>
    <n v="0"/>
    <n v="42"/>
    <s v="project"/>
    <n v="42"/>
    <s v="no"/>
    <m/>
    <m/>
    <m/>
    <m/>
    <m/>
    <n v="242115"/>
    <x v="0"/>
    <x v="358"/>
    <x v="1340"/>
    <n v="4510046550"/>
    <s v="R901580817"/>
    <n v="386"/>
    <n v="772"/>
    <m/>
    <s v="am returnat 14 pistoane"/>
    <s v="20241118-30.08.2024"/>
    <x v="1"/>
    <x v="9"/>
    <x v="1"/>
    <m/>
  </r>
  <r>
    <x v="11"/>
    <x v="0"/>
    <x v="338"/>
    <x v="191"/>
    <x v="227"/>
    <s v="PLATE ZDR 6 DP0-45/.W80 AS"/>
    <s v="A"/>
    <n v="2"/>
    <n v="11"/>
    <n v="33.46"/>
    <x v="451"/>
    <n v="32"/>
    <n v="2024"/>
    <n v="0"/>
    <x v="68"/>
    <n v="0"/>
    <m/>
    <s v="project"/>
    <n v="42"/>
    <s v="no"/>
    <m/>
    <m/>
    <m/>
    <m/>
    <m/>
    <m/>
    <x v="0"/>
    <x v="255"/>
    <x v="1341"/>
    <n v="4510046550"/>
    <s v="R901580817"/>
    <n v="11"/>
    <n v="22"/>
    <m/>
    <m/>
    <s v="20250074-27.01.2025"/>
    <x v="1"/>
    <x v="9"/>
    <x v="1"/>
    <m/>
  </r>
  <r>
    <x v="11"/>
    <x v="0"/>
    <x v="339"/>
    <x v="118"/>
    <x v="227"/>
    <s v="PLATE ZDR 6 DP0-45/.W80 AS"/>
    <s v="A"/>
    <n v="2"/>
    <n v="484"/>
    <n v="968"/>
    <x v="195"/>
    <n v="8"/>
    <n v="2025"/>
    <n v="0"/>
    <x v="68"/>
    <n v="0"/>
    <m/>
    <s v="project"/>
    <n v="42"/>
    <s v="no"/>
    <m/>
    <m/>
    <m/>
    <m/>
    <m/>
    <m/>
    <x v="0"/>
    <x v="249"/>
    <x v="1342"/>
    <n v="4510463285"/>
    <s v="R901580817"/>
    <n v="484"/>
    <n v="968"/>
    <m/>
    <m/>
    <s v="20250131-10.02.2025"/>
    <x v="0"/>
    <x v="7"/>
    <x v="0"/>
    <m/>
  </r>
  <r>
    <x v="11"/>
    <x v="0"/>
    <x v="339"/>
    <x v="118"/>
    <x v="227"/>
    <s v="PLATE ZDR 6 DP0-45/.W80 AS"/>
    <s v="A"/>
    <n v="2"/>
    <n v="995"/>
    <n v="1990"/>
    <x v="195"/>
    <n v="8"/>
    <n v="2025"/>
    <n v="0"/>
    <x v="68"/>
    <n v="0"/>
    <m/>
    <s v="project"/>
    <n v="42"/>
    <s v="no"/>
    <m/>
    <m/>
    <m/>
    <m/>
    <m/>
    <m/>
    <x v="0"/>
    <x v="353"/>
    <x v="1343"/>
    <n v="4510463285"/>
    <s v="R901580817"/>
    <n v="995"/>
    <n v="1990"/>
    <m/>
    <m/>
    <s v="20250158-14.02.2025"/>
    <x v="0"/>
    <x v="7"/>
    <x v="0"/>
    <m/>
  </r>
  <r>
    <x v="11"/>
    <x v="0"/>
    <x v="339"/>
    <x v="118"/>
    <x v="227"/>
    <s v="PLATE ZDR 6 DP0-45/.W80 AS"/>
    <s v="A"/>
    <n v="2"/>
    <n v="21"/>
    <n v="42"/>
    <x v="195"/>
    <n v="8"/>
    <n v="2025"/>
    <n v="0"/>
    <x v="68"/>
    <n v="0"/>
    <m/>
    <s v="project"/>
    <n v="42"/>
    <s v="no"/>
    <m/>
    <m/>
    <m/>
    <m/>
    <m/>
    <m/>
    <x v="0"/>
    <x v="339"/>
    <x v="1344"/>
    <n v="4510463285"/>
    <s v="R901580817"/>
    <n v="21"/>
    <n v="42"/>
    <m/>
    <m/>
    <s v="20250253-28.02.2025"/>
    <x v="1"/>
    <x v="7"/>
    <x v="0"/>
    <m/>
  </r>
  <r>
    <x v="11"/>
    <x v="0"/>
    <x v="340"/>
    <x v="118"/>
    <x v="227"/>
    <s v="PLATE ZDR 6 DP0-45/.W80 AS"/>
    <s v="A"/>
    <n v="2"/>
    <n v="683"/>
    <n v="1366"/>
    <x v="419"/>
    <n v="10"/>
    <n v="2025"/>
    <n v="0"/>
    <x v="68"/>
    <n v="0"/>
    <m/>
    <s v="project"/>
    <n v="42"/>
    <s v="no"/>
    <m/>
    <m/>
    <m/>
    <m/>
    <m/>
    <m/>
    <x v="0"/>
    <x v="339"/>
    <x v="1345"/>
    <n v="4510463272"/>
    <s v="R901580817"/>
    <n v="683"/>
    <n v="1366"/>
    <m/>
    <m/>
    <s v="20250258-28.02.2025"/>
    <x v="0"/>
    <x v="5"/>
    <x v="0"/>
    <m/>
  </r>
  <r>
    <x v="11"/>
    <x v="0"/>
    <x v="340"/>
    <x v="118"/>
    <x v="227"/>
    <s v="PLATE ZDR 6 DP0-45/.W80 AS"/>
    <s v="A"/>
    <n v="2"/>
    <n v="484"/>
    <n v="968"/>
    <x v="419"/>
    <n v="10"/>
    <n v="2025"/>
    <n v="0"/>
    <x v="68"/>
    <n v="0"/>
    <m/>
    <s v="project"/>
    <n v="42"/>
    <s v="no"/>
    <m/>
    <m/>
    <m/>
    <m/>
    <m/>
    <m/>
    <x v="0"/>
    <x v="28"/>
    <x v="1346"/>
    <n v="4510463272"/>
    <s v="R901580817"/>
    <n v="484"/>
    <n v="968"/>
    <m/>
    <m/>
    <s v="20250289-07.03.2025"/>
    <x v="0"/>
    <x v="5"/>
    <x v="0"/>
    <m/>
  </r>
  <r>
    <x v="11"/>
    <x v="0"/>
    <x v="340"/>
    <x v="118"/>
    <x v="227"/>
    <s v="PLATE ZDR 6 DP0-45/.W80 AS"/>
    <s v="A"/>
    <n v="2"/>
    <n v="334"/>
    <n v="668"/>
    <x v="419"/>
    <n v="10"/>
    <n v="2025"/>
    <n v="0"/>
    <x v="68"/>
    <n v="0"/>
    <m/>
    <s v="project"/>
    <n v="42"/>
    <s v="no"/>
    <m/>
    <m/>
    <m/>
    <m/>
    <m/>
    <m/>
    <x v="0"/>
    <x v="28"/>
    <x v="1347"/>
    <n v="4510463272"/>
    <s v="R901580817"/>
    <n v="334"/>
    <n v="668"/>
    <m/>
    <m/>
    <s v="20250291-07.03.2025"/>
    <x v="0"/>
    <x v="5"/>
    <x v="0"/>
    <m/>
  </r>
  <r>
    <x v="11"/>
    <x v="0"/>
    <x v="341"/>
    <x v="192"/>
    <x v="227"/>
    <s v="PLATE ZDR 6 DP0-45/.W80 AS"/>
    <s v="A"/>
    <n v="2"/>
    <n v="950"/>
    <n v="1900"/>
    <x v="186"/>
    <n v="16"/>
    <n v="2025"/>
    <n v="0"/>
    <x v="68"/>
    <n v="0"/>
    <m/>
    <s v="approved"/>
    <n v="42"/>
    <s v="no"/>
    <m/>
    <m/>
    <m/>
    <m/>
    <m/>
    <m/>
    <x v="0"/>
    <x v="316"/>
    <x v="1348"/>
    <n v="4510603628"/>
    <s v="R901580817"/>
    <n v="950"/>
    <n v="1900"/>
    <m/>
    <m/>
    <s v="20250499-14.04.2025"/>
    <x v="0"/>
    <x v="1"/>
    <x v="0"/>
    <m/>
  </r>
  <r>
    <x v="11"/>
    <x v="0"/>
    <x v="342"/>
    <x v="193"/>
    <x v="227"/>
    <s v="PLATE ZDR 6 DP0-45/.W80 AS"/>
    <s v="A"/>
    <n v="2"/>
    <n v="956"/>
    <n v="1912"/>
    <x v="157"/>
    <n v="17"/>
    <n v="2025"/>
    <m/>
    <x v="68"/>
    <m/>
    <m/>
    <s v="approved"/>
    <n v="19.916666666666668"/>
    <m/>
    <m/>
    <m/>
    <m/>
    <m/>
    <m/>
    <m/>
    <x v="0"/>
    <x v="278"/>
    <x v="1349"/>
    <n v="4510627533"/>
    <s v="R901580817"/>
    <n v="956"/>
    <n v="1912"/>
    <m/>
    <m/>
    <s v="20250566-30.04.2025"/>
    <x v="1"/>
    <x v="1"/>
    <x v="0"/>
    <m/>
  </r>
  <r>
    <x v="11"/>
    <x v="0"/>
    <x v="343"/>
    <x v="143"/>
    <x v="227"/>
    <s v="PLATE ZDR 6 DP0-45/.W80 AS"/>
    <s v="A"/>
    <n v="2"/>
    <n v="500"/>
    <n v="1000"/>
    <x v="151"/>
    <n v="44"/>
    <n v="2025"/>
    <m/>
    <x v="68"/>
    <m/>
    <m/>
    <s v="approved"/>
    <n v="42"/>
    <s v="no"/>
    <m/>
    <m/>
    <m/>
    <m/>
    <m/>
    <m/>
    <x v="1"/>
    <x v="3"/>
    <x v="4"/>
    <s v=""/>
    <s v=""/>
    <m/>
    <n v="0"/>
    <m/>
    <m/>
    <m/>
    <x v="1"/>
    <x v="11"/>
    <x v="0"/>
    <m/>
  </r>
  <r>
    <x v="0"/>
    <x v="0"/>
    <x v="344"/>
    <x v="130"/>
    <x v="228"/>
    <s v="300696787-0000 "/>
    <s v="AA"/>
    <n v="150"/>
    <n v="2859"/>
    <n v="428850"/>
    <x v="124"/>
    <n v="17"/>
    <n v="2024"/>
    <n v="0"/>
    <x v="51"/>
    <n v="0"/>
    <m/>
    <s v="approved"/>
    <n v="42"/>
    <s v="no"/>
    <m/>
    <m/>
    <m/>
    <m/>
    <m/>
    <s v="241406/241715"/>
    <x v="0"/>
    <x v="5"/>
    <x v="1350"/>
    <n v="36528261"/>
    <s v="RKDK.N222-EA-M3-0042"/>
    <n v="212"/>
    <n v="31800"/>
    <m/>
    <m/>
    <s v="20240376-12.04.2024"/>
    <x v="0"/>
    <x v="1"/>
    <x v="1"/>
    <m/>
  </r>
  <r>
    <x v="0"/>
    <x v="0"/>
    <x v="344"/>
    <x v="130"/>
    <x v="228"/>
    <s v="300696787-0000 "/>
    <s v="AA"/>
    <n v="150"/>
    <m/>
    <n v="0"/>
    <x v="124"/>
    <n v="17"/>
    <n v="2024"/>
    <n v="0"/>
    <x v="51"/>
    <n v="0"/>
    <m/>
    <m/>
    <n v="42"/>
    <m/>
    <m/>
    <m/>
    <m/>
    <m/>
    <m/>
    <m/>
    <x v="0"/>
    <x v="223"/>
    <x v="1351"/>
    <n v="36528261"/>
    <s v="RKDK.N222-EA-M3-0042"/>
    <n v="755"/>
    <n v="113250"/>
    <m/>
    <m/>
    <s v="20240399-17.04.2024"/>
    <x v="0"/>
    <x v="1"/>
    <x v="1"/>
    <m/>
  </r>
  <r>
    <x v="0"/>
    <x v="0"/>
    <x v="344"/>
    <x v="130"/>
    <x v="228"/>
    <s v="300696787-0000 "/>
    <s v="AA"/>
    <n v="150"/>
    <m/>
    <n v="0"/>
    <x v="124"/>
    <n v="17"/>
    <n v="2024"/>
    <n v="0"/>
    <x v="51"/>
    <n v="0"/>
    <m/>
    <m/>
    <n v="42"/>
    <m/>
    <m/>
    <m/>
    <m/>
    <m/>
    <m/>
    <m/>
    <x v="0"/>
    <x v="208"/>
    <x v="1352"/>
    <n v="36528261"/>
    <s v="RKDK.N222-EA-M3-0042"/>
    <n v="460"/>
    <n v="69000"/>
    <m/>
    <m/>
    <s v="20240406-18.04.2024"/>
    <x v="0"/>
    <x v="1"/>
    <x v="1"/>
    <m/>
  </r>
  <r>
    <x v="0"/>
    <x v="0"/>
    <x v="344"/>
    <x v="130"/>
    <x v="228"/>
    <s v="300696787-0000 "/>
    <s v="AA"/>
    <n v="150"/>
    <m/>
    <n v="0"/>
    <x v="124"/>
    <n v="17"/>
    <n v="2024"/>
    <n v="0"/>
    <x v="51"/>
    <n v="0"/>
    <m/>
    <m/>
    <n v="42"/>
    <m/>
    <m/>
    <m/>
    <m/>
    <m/>
    <m/>
    <m/>
    <x v="0"/>
    <x v="359"/>
    <x v="1353"/>
    <n v="36528261"/>
    <s v="RKDK.N222-EA-M3-0042"/>
    <n v="592"/>
    <n v="88800"/>
    <m/>
    <m/>
    <s v="20240438-23.04.2024"/>
    <x v="0"/>
    <x v="1"/>
    <x v="1"/>
    <m/>
  </r>
  <r>
    <x v="0"/>
    <x v="0"/>
    <x v="344"/>
    <x v="130"/>
    <x v="228"/>
    <s v="300696787-0000 "/>
    <s v="AA"/>
    <n v="150"/>
    <m/>
    <n v="0"/>
    <x v="124"/>
    <n v="17"/>
    <n v="2024"/>
    <n v="0"/>
    <x v="51"/>
    <n v="0"/>
    <m/>
    <m/>
    <n v="42"/>
    <m/>
    <m/>
    <m/>
    <m/>
    <m/>
    <m/>
    <m/>
    <x v="0"/>
    <x v="174"/>
    <x v="1354"/>
    <n v="36528261"/>
    <s v="RKDK.N222-EA-M3-0042"/>
    <n v="518"/>
    <n v="77700"/>
    <m/>
    <m/>
    <s v="20240443-24.04.2024"/>
    <x v="0"/>
    <x v="1"/>
    <x v="1"/>
    <m/>
  </r>
  <r>
    <x v="0"/>
    <x v="0"/>
    <x v="344"/>
    <x v="130"/>
    <x v="228"/>
    <s v="300696787-0000 "/>
    <s v="AA"/>
    <n v="150"/>
    <m/>
    <n v="0"/>
    <x v="124"/>
    <n v="17"/>
    <n v="2024"/>
    <n v="0"/>
    <x v="51"/>
    <n v="0"/>
    <m/>
    <m/>
    <n v="42"/>
    <m/>
    <m/>
    <m/>
    <m/>
    <m/>
    <m/>
    <m/>
    <x v="0"/>
    <x v="175"/>
    <x v="1355"/>
    <n v="36528261"/>
    <s v="RKDK.N222-EA-M3-0042"/>
    <n v="322"/>
    <n v="48300"/>
    <m/>
    <m/>
    <s v="20240448-25.04.2024"/>
    <x v="1"/>
    <x v="1"/>
    <x v="1"/>
    <m/>
  </r>
  <r>
    <x v="0"/>
    <x v="0"/>
    <x v="345"/>
    <x v="114"/>
    <x v="228"/>
    <s v="300696787-0000 "/>
    <s v="AA"/>
    <n v="150"/>
    <n v="970"/>
    <n v="145500"/>
    <x v="242"/>
    <n v="36"/>
    <n v="2024"/>
    <n v="0"/>
    <x v="51"/>
    <n v="0"/>
    <m/>
    <s v="approved"/>
    <n v="42"/>
    <s v="no"/>
    <m/>
    <m/>
    <m/>
    <n v="45512"/>
    <m/>
    <m/>
    <x v="0"/>
    <x v="351"/>
    <x v="1356"/>
    <n v="37430836"/>
    <s v="RKDK.N222-EA-M3-0042"/>
    <n v="970"/>
    <n v="145500"/>
    <m/>
    <m/>
    <s v="20241126-31.08.2024"/>
    <x v="0"/>
    <x v="10"/>
    <x v="1"/>
    <m/>
  </r>
  <r>
    <x v="0"/>
    <x v="0"/>
    <x v="346"/>
    <x v="63"/>
    <x v="229"/>
    <s v="300697848-0000 "/>
    <s v="AA"/>
    <n v="1.54"/>
    <n v="1362"/>
    <n v="2097.48"/>
    <x v="234"/>
    <n v="15"/>
    <n v="2024"/>
    <n v="0"/>
    <x v="51"/>
    <n v="0"/>
    <m/>
    <s v="approved"/>
    <n v="42"/>
    <s v="no"/>
    <m/>
    <m/>
    <m/>
    <m/>
    <m/>
    <n v="241409"/>
    <x v="0"/>
    <x v="5"/>
    <x v="1357"/>
    <n v="36541702"/>
    <s v="RKDK.N316-EA-M3-0042"/>
    <n v="639"/>
    <n v="984.06000000000006"/>
    <m/>
    <m/>
    <s v="20240375-12.04.2024"/>
    <x v="0"/>
    <x v="1"/>
    <x v="1"/>
    <m/>
  </r>
  <r>
    <x v="0"/>
    <x v="0"/>
    <x v="346"/>
    <x v="63"/>
    <x v="229"/>
    <s v="300697848-0000 "/>
    <s v="AA"/>
    <n v="1.54"/>
    <m/>
    <n v="0"/>
    <x v="234"/>
    <n v="15"/>
    <n v="2024"/>
    <n v="0"/>
    <x v="51"/>
    <n v="0"/>
    <m/>
    <m/>
    <n v="42"/>
    <m/>
    <m/>
    <m/>
    <m/>
    <m/>
    <m/>
    <m/>
    <x v="0"/>
    <x v="206"/>
    <x v="1358"/>
    <n v="36541702"/>
    <s v="RKDK.N316-EA-M3-0042"/>
    <n v="689"/>
    <n v="1061.06"/>
    <n v="34"/>
    <m/>
    <s v="20240377-15.04.2024"/>
    <x v="1"/>
    <x v="1"/>
    <x v="1"/>
    <m/>
  </r>
  <r>
    <x v="0"/>
    <x v="0"/>
    <x v="347"/>
    <x v="75"/>
    <x v="229"/>
    <s v="300697848-0000 "/>
    <s v="AA"/>
    <n v="1.54"/>
    <n v="842"/>
    <n v="1296.68"/>
    <x v="405"/>
    <n v="24"/>
    <n v="2024"/>
    <n v="0"/>
    <x v="51"/>
    <n v="0"/>
    <m/>
    <s v="approved"/>
    <n v="42"/>
    <s v="no"/>
    <m/>
    <m/>
    <m/>
    <m/>
    <m/>
    <s v="242310/242506"/>
    <x v="0"/>
    <x v="65"/>
    <x v="1359"/>
    <n v="36895741"/>
    <s v="RKDK.N316-EA-M3-0042"/>
    <n v="400"/>
    <n v="616"/>
    <m/>
    <m/>
    <s v="20240710-18.06.2024"/>
    <x v="1"/>
    <x v="0"/>
    <x v="1"/>
    <m/>
  </r>
  <r>
    <x v="0"/>
    <x v="0"/>
    <x v="347"/>
    <x v="75"/>
    <x v="229"/>
    <s v="300697848-0000 "/>
    <s v="AA"/>
    <n v="1.54"/>
    <m/>
    <n v="0"/>
    <x v="405"/>
    <n v="24"/>
    <n v="2024"/>
    <n v="0"/>
    <x v="51"/>
    <n v="0"/>
    <m/>
    <m/>
    <n v="0"/>
    <m/>
    <m/>
    <m/>
    <m/>
    <m/>
    <m/>
    <m/>
    <x v="0"/>
    <x v="66"/>
    <x v="1360"/>
    <n v="36895741"/>
    <s v="RKDK.N316-EA-M3-0042"/>
    <n v="297"/>
    <n v="457.38"/>
    <m/>
    <m/>
    <s v="20240725-19.06.2024"/>
    <x v="1"/>
    <x v="0"/>
    <x v="1"/>
    <m/>
  </r>
  <r>
    <x v="0"/>
    <x v="0"/>
    <x v="347"/>
    <x v="75"/>
    <x v="229"/>
    <s v="300697848-0000 "/>
    <s v="AA"/>
    <n v="1.54"/>
    <m/>
    <n v="0"/>
    <x v="405"/>
    <n v="24"/>
    <n v="2024"/>
    <n v="0"/>
    <x v="51"/>
    <n v="0"/>
    <m/>
    <m/>
    <n v="0"/>
    <m/>
    <m/>
    <m/>
    <m/>
    <m/>
    <m/>
    <m/>
    <x v="0"/>
    <x v="67"/>
    <x v="1361"/>
    <n v="36895741"/>
    <s v="RKDK.N316-EA-M3-0042"/>
    <n v="132"/>
    <n v="203.28"/>
    <n v="13"/>
    <m/>
    <s v="20240736-21.06.2024"/>
    <x v="1"/>
    <x v="0"/>
    <x v="1"/>
    <m/>
  </r>
  <r>
    <x v="0"/>
    <x v="0"/>
    <x v="348"/>
    <x v="117"/>
    <x v="229"/>
    <s v="300697848-0000 "/>
    <s v="AA"/>
    <n v="1.54"/>
    <n v="1500"/>
    <n v="2310"/>
    <x v="242"/>
    <n v="36"/>
    <n v="2024"/>
    <n v="0"/>
    <x v="51"/>
    <n v="0"/>
    <m/>
    <s v="approved"/>
    <n v="42"/>
    <s v="no"/>
    <m/>
    <m/>
    <m/>
    <m/>
    <m/>
    <m/>
    <x v="0"/>
    <x v="351"/>
    <x v="1362"/>
    <n v="37405219"/>
    <s v="RKDK.N316-EA-M3-0042"/>
    <n v="1499"/>
    <n v="2308.46"/>
    <n v="1"/>
    <m/>
    <s v="20241125-31.08.2024"/>
    <x v="0"/>
    <x v="10"/>
    <x v="1"/>
    <m/>
  </r>
  <r>
    <x v="0"/>
    <x v="0"/>
    <x v="349"/>
    <x v="14"/>
    <x v="230"/>
    <s v="300783892-0000 "/>
    <s v="AA"/>
    <n v="150"/>
    <n v="1064"/>
    <n v="159600"/>
    <x v="373"/>
    <n v="22"/>
    <n v="2024"/>
    <n v="0"/>
    <x v="51"/>
    <n v="500"/>
    <m/>
    <s v="approved"/>
    <n v="42"/>
    <s v="no"/>
    <m/>
    <m/>
    <m/>
    <m/>
    <m/>
    <s v="241908/242118"/>
    <x v="0"/>
    <x v="164"/>
    <x v="1363"/>
    <n v="36771296"/>
    <s v="RKDK.N317-EA-M3-0042"/>
    <n v="430"/>
    <n v="64500"/>
    <m/>
    <m/>
    <s v="20240595-24.05.2024"/>
    <x v="0"/>
    <x v="2"/>
    <x v="1"/>
    <m/>
  </r>
  <r>
    <x v="0"/>
    <x v="0"/>
    <x v="349"/>
    <x v="14"/>
    <x v="230"/>
    <s v="300783892-0000 "/>
    <s v="AA"/>
    <n v="150"/>
    <m/>
    <n v="0"/>
    <x v="373"/>
    <n v="22"/>
    <n v="2024"/>
    <n v="0"/>
    <x v="51"/>
    <n v="500"/>
    <m/>
    <m/>
    <n v="42"/>
    <m/>
    <m/>
    <m/>
    <m/>
    <m/>
    <m/>
    <m/>
    <x v="0"/>
    <x v="165"/>
    <x v="1364"/>
    <n v="36771296"/>
    <s v="RKDK.N317-EA-M3-0042"/>
    <n v="628"/>
    <n v="94200"/>
    <s v="6 NOK"/>
    <m/>
    <s v="20240604-27.05.2024"/>
    <x v="0"/>
    <x v="2"/>
    <x v="1"/>
    <m/>
  </r>
  <r>
    <x v="0"/>
    <x v="0"/>
    <x v="350"/>
    <x v="194"/>
    <x v="230"/>
    <s v="300783892-0000 "/>
    <s v="AA"/>
    <n v="150"/>
    <n v="1081"/>
    <n v="162150"/>
    <x v="289"/>
    <n v="30"/>
    <n v="2024"/>
    <n v="0"/>
    <x v="51"/>
    <n v="500"/>
    <m/>
    <s v="approved"/>
    <n v="42"/>
    <s v="no"/>
    <m/>
    <m/>
    <m/>
    <m/>
    <m/>
    <n v="242811"/>
    <x v="0"/>
    <x v="80"/>
    <x v="1365"/>
    <n v="37243888"/>
    <s v="RKDK.N317-EA-M3-0042"/>
    <n v="556"/>
    <n v="83400"/>
    <m/>
    <m/>
    <s v="20240949-25.07.2024"/>
    <x v="0"/>
    <x v="8"/>
    <x v="1"/>
    <m/>
  </r>
  <r>
    <x v="0"/>
    <x v="0"/>
    <x v="350"/>
    <x v="194"/>
    <x v="230"/>
    <s v="300783892-0000 "/>
    <s v="AA"/>
    <n v="150"/>
    <m/>
    <n v="0"/>
    <x v="289"/>
    <n v="30"/>
    <n v="2024"/>
    <n v="0"/>
    <x v="51"/>
    <n v="500"/>
    <m/>
    <s v="approved"/>
    <n v="0"/>
    <m/>
    <m/>
    <m/>
    <m/>
    <m/>
    <m/>
    <m/>
    <x v="0"/>
    <x v="81"/>
    <x v="1366"/>
    <n v="37243888"/>
    <s v="RKDK.N317-EA-M3-0042"/>
    <n v="525"/>
    <n v="78750"/>
    <m/>
    <m/>
    <s v="20240968-26.07.2024"/>
    <x v="0"/>
    <x v="8"/>
    <x v="1"/>
    <m/>
  </r>
  <r>
    <x v="0"/>
    <x v="0"/>
    <x v="351"/>
    <x v="36"/>
    <x v="231"/>
    <s v="094132526-8011 "/>
    <s v="AA"/>
    <n v="5.65"/>
    <n v="100"/>
    <n v="565"/>
    <x v="94"/>
    <n v="14"/>
    <n v="2024"/>
    <n v="0"/>
    <x v="61"/>
    <n v="0"/>
    <m/>
    <s v="approved"/>
    <n v="42"/>
    <s v="no"/>
    <m/>
    <m/>
    <m/>
    <m/>
    <m/>
    <s v="241402"/>
    <x v="0"/>
    <x v="256"/>
    <x v="1367"/>
    <n v="36509090"/>
    <s v="TK.KWSE20-A-0038-WW1"/>
    <n v="100"/>
    <n v="565"/>
    <m/>
    <m/>
    <s v="20240350-09.04.2024"/>
    <x v="1"/>
    <x v="1"/>
    <x v="1"/>
    <m/>
  </r>
  <r>
    <x v="0"/>
    <x v="0"/>
    <x v="352"/>
    <x v="36"/>
    <x v="231"/>
    <s v="094132526-8011 "/>
    <s v="AA"/>
    <n v="5.65"/>
    <n v="100"/>
    <n v="565"/>
    <x v="236"/>
    <n v="15"/>
    <n v="2024"/>
    <n v="0"/>
    <x v="61"/>
    <n v="0"/>
    <m/>
    <s v="approved"/>
    <n v="42"/>
    <s v="no"/>
    <m/>
    <m/>
    <m/>
    <m/>
    <m/>
    <s v="241506"/>
    <x v="0"/>
    <x v="256"/>
    <x v="1368"/>
    <n v="36509092"/>
    <s v="TK.KWSE20-A-0038-WW1"/>
    <n v="100"/>
    <n v="565"/>
    <m/>
    <m/>
    <s v="20240351-09.04.2024"/>
    <x v="0"/>
    <x v="1"/>
    <x v="1"/>
    <m/>
  </r>
  <r>
    <x v="0"/>
    <x v="0"/>
    <x v="353"/>
    <x v="36"/>
    <x v="231"/>
    <s v="094132526-8011 "/>
    <s v="AA"/>
    <n v="5.65"/>
    <n v="100"/>
    <n v="565"/>
    <x v="365"/>
    <n v="16"/>
    <n v="2024"/>
    <n v="0"/>
    <x v="61"/>
    <n v="0"/>
    <m/>
    <s v="approved"/>
    <n v="42"/>
    <s v="no"/>
    <m/>
    <m/>
    <m/>
    <m/>
    <m/>
    <s v="241506"/>
    <x v="0"/>
    <x v="223"/>
    <x v="1369"/>
    <n v="36509099"/>
    <s v="TK.KWSE20-A-0038-WW1"/>
    <n v="100"/>
    <n v="565"/>
    <m/>
    <m/>
    <s v="20240400-17.04.2024"/>
    <x v="0"/>
    <x v="1"/>
    <x v="1"/>
    <m/>
  </r>
  <r>
    <x v="0"/>
    <x v="0"/>
    <x v="354"/>
    <x v="36"/>
    <x v="231"/>
    <s v="094132526-8011 "/>
    <s v="AA"/>
    <n v="5.65"/>
    <n v="100"/>
    <n v="565"/>
    <x v="450"/>
    <n v="17"/>
    <n v="2024"/>
    <n v="0"/>
    <x v="61"/>
    <n v="0"/>
    <m/>
    <s v="approved"/>
    <n v="42"/>
    <s v="no"/>
    <m/>
    <m/>
    <m/>
    <m/>
    <m/>
    <s v="241506"/>
    <x v="0"/>
    <x v="359"/>
    <x v="1370"/>
    <n v="36509096"/>
    <s v="TK.KWSE20-A-0038-WW1"/>
    <n v="84"/>
    <n v="474.6"/>
    <m/>
    <m/>
    <s v="20240440-23.04.2024"/>
    <x v="0"/>
    <x v="1"/>
    <x v="1"/>
    <m/>
  </r>
  <r>
    <x v="0"/>
    <x v="0"/>
    <x v="354"/>
    <x v="36"/>
    <x v="231"/>
    <s v="094132526-8011 "/>
    <s v="AA"/>
    <n v="5.65"/>
    <m/>
    <n v="0"/>
    <x v="450"/>
    <n v="17"/>
    <n v="2024"/>
    <n v="0"/>
    <x v="61"/>
    <n v="0"/>
    <m/>
    <s v="approved"/>
    <n v="42"/>
    <m/>
    <m/>
    <m/>
    <m/>
    <m/>
    <m/>
    <m/>
    <x v="0"/>
    <x v="175"/>
    <x v="1371"/>
    <n v="36509096"/>
    <s v="TK.KWSE20-A-0038-WW1"/>
    <n v="16"/>
    <n v="90.4"/>
    <m/>
    <m/>
    <s v="20240452-25.04.2024"/>
    <x v="0"/>
    <x v="1"/>
    <x v="1"/>
    <m/>
  </r>
  <r>
    <x v="0"/>
    <x v="0"/>
    <x v="355"/>
    <x v="38"/>
    <x v="231"/>
    <s v="094132526-8011 "/>
    <s v="AA"/>
    <n v="5.65"/>
    <n v="175"/>
    <n v="988.75000000000011"/>
    <x v="96"/>
    <n v="19"/>
    <n v="2024"/>
    <n v="0"/>
    <x v="61"/>
    <n v="0"/>
    <m/>
    <s v="approved"/>
    <n v="42"/>
    <s v="no"/>
    <m/>
    <m/>
    <m/>
    <m/>
    <m/>
    <n v="241722"/>
    <x v="0"/>
    <x v="59"/>
    <x v="1372"/>
    <n v="36635801"/>
    <s v="TK.KWSE20-A-0038-WW1"/>
    <n v="175"/>
    <n v="988.75000000000011"/>
    <m/>
    <m/>
    <s v="20240487-30.04.2024"/>
    <x v="0"/>
    <x v="2"/>
    <x v="1"/>
    <m/>
  </r>
  <r>
    <x v="0"/>
    <x v="0"/>
    <x v="356"/>
    <x v="38"/>
    <x v="231"/>
    <s v="094132526-8011 "/>
    <s v="AA"/>
    <n v="5.65"/>
    <n v="175"/>
    <n v="988.75000000000011"/>
    <x v="426"/>
    <n v="19"/>
    <n v="2024"/>
    <n v="0"/>
    <x v="61"/>
    <n v="0"/>
    <m/>
    <s v="approved"/>
    <n v="42"/>
    <s v="no"/>
    <m/>
    <m/>
    <m/>
    <m/>
    <m/>
    <n v="241722"/>
    <x v="0"/>
    <x v="60"/>
    <x v="1373"/>
    <n v="36635804"/>
    <s v="TK.KWSE20-A-0038-WW1"/>
    <n v="82"/>
    <n v="463.3"/>
    <m/>
    <m/>
    <s v="20240520-09.05.2024"/>
    <x v="0"/>
    <x v="2"/>
    <x v="1"/>
    <m/>
  </r>
  <r>
    <x v="0"/>
    <x v="0"/>
    <x v="356"/>
    <x v="38"/>
    <x v="231"/>
    <s v="094132526-8011 "/>
    <s v="AA"/>
    <n v="5.65"/>
    <m/>
    <n v="0"/>
    <x v="426"/>
    <n v="19"/>
    <n v="2024"/>
    <n v="0"/>
    <x v="61"/>
    <n v="0"/>
    <m/>
    <s v="approved"/>
    <n v="42"/>
    <m/>
    <m/>
    <m/>
    <m/>
    <m/>
    <m/>
    <m/>
    <x v="0"/>
    <x v="209"/>
    <x v="1374"/>
    <n v="36635804"/>
    <s v="TK.KWSE20-A-0038-WW1"/>
    <n v="93"/>
    <n v="525.45000000000005"/>
    <m/>
    <m/>
    <s v="20240549-16.05.2024"/>
    <x v="1"/>
    <x v="2"/>
    <x v="1"/>
    <m/>
  </r>
  <r>
    <x v="0"/>
    <x v="0"/>
    <x v="357"/>
    <x v="38"/>
    <x v="231"/>
    <s v="094132526-8011 "/>
    <s v="AA"/>
    <n v="5.65"/>
    <n v="100"/>
    <n v="565"/>
    <x v="452"/>
    <n v="20"/>
    <n v="2024"/>
    <n v="0"/>
    <x v="61"/>
    <n v="0"/>
    <m/>
    <s v="approved"/>
    <n v="42"/>
    <s v="no"/>
    <m/>
    <m/>
    <m/>
    <m/>
    <m/>
    <n v="242006"/>
    <x v="0"/>
    <x v="209"/>
    <x v="1375"/>
    <n v="36635809"/>
    <s v="TK.KWSE20-A-0038-WW1"/>
    <n v="61"/>
    <n v="344.65000000000003"/>
    <m/>
    <m/>
    <s v="20240550 / 16.05.2024"/>
    <x v="0"/>
    <x v="2"/>
    <x v="1"/>
    <m/>
  </r>
  <r>
    <x v="0"/>
    <x v="0"/>
    <x v="357"/>
    <x v="38"/>
    <x v="231"/>
    <s v="094132526-8011 "/>
    <s v="AA"/>
    <n v="5.65"/>
    <m/>
    <n v="0"/>
    <x v="452"/>
    <n v="20"/>
    <n v="2024"/>
    <n v="0"/>
    <x v="61"/>
    <n v="0"/>
    <m/>
    <s v="approved"/>
    <n v="42"/>
    <m/>
    <m/>
    <m/>
    <m/>
    <m/>
    <m/>
    <m/>
    <x v="0"/>
    <x v="360"/>
    <x v="1376"/>
    <n v="36635809"/>
    <s v="TK.KWSE20-A-0038-WW1"/>
    <n v="39"/>
    <n v="220.35000000000002"/>
    <m/>
    <m/>
    <s v="20240564-20.05.2024"/>
    <x v="1"/>
    <x v="2"/>
    <x v="1"/>
    <m/>
  </r>
  <r>
    <x v="0"/>
    <x v="0"/>
    <x v="358"/>
    <x v="38"/>
    <x v="231"/>
    <s v="094132526-8011 "/>
    <s v="AA"/>
    <n v="5.65"/>
    <n v="100"/>
    <n v="565"/>
    <x v="453"/>
    <n v="20"/>
    <n v="2024"/>
    <n v="0"/>
    <x v="61"/>
    <n v="0"/>
    <m/>
    <s v="approved"/>
    <n v="42"/>
    <s v="no"/>
    <m/>
    <m/>
    <m/>
    <m/>
    <m/>
    <n v="242006"/>
    <x v="0"/>
    <x v="360"/>
    <x v="1377"/>
    <n v="36635815"/>
    <s v="TK.KWSE20-A-0038-WW1"/>
    <n v="100"/>
    <n v="565"/>
    <m/>
    <m/>
    <s v="20240565-20.05.2024"/>
    <x v="1"/>
    <x v="2"/>
    <x v="1"/>
    <m/>
  </r>
  <r>
    <x v="0"/>
    <x v="0"/>
    <x v="359"/>
    <x v="38"/>
    <x v="231"/>
    <s v="094132526-8011 "/>
    <s v="AA"/>
    <n v="5.65"/>
    <n v="150"/>
    <n v="847.5"/>
    <x v="454"/>
    <n v="22"/>
    <n v="2024"/>
    <n v="0"/>
    <x v="61"/>
    <n v="0"/>
    <m/>
    <s v="approved"/>
    <n v="42"/>
    <s v="no"/>
    <m/>
    <m/>
    <m/>
    <m/>
    <m/>
    <n v="242111"/>
    <x v="0"/>
    <x v="213"/>
    <x v="1378"/>
    <n v="36635887"/>
    <s v="TK.KWSE20-A-0038-WW1"/>
    <n v="150"/>
    <n v="847.5"/>
    <m/>
    <m/>
    <s v="20240578-22.05.2024"/>
    <x v="0"/>
    <x v="2"/>
    <x v="1"/>
    <m/>
  </r>
  <r>
    <x v="0"/>
    <x v="0"/>
    <x v="360"/>
    <x v="145"/>
    <x v="231"/>
    <s v="094132526-8011 "/>
    <s v="AA"/>
    <n v="5.65"/>
    <n v="100"/>
    <n v="565"/>
    <x v="104"/>
    <n v="32"/>
    <n v="2024"/>
    <n v="0"/>
    <x v="61"/>
    <n v="0"/>
    <m/>
    <s v="approved"/>
    <n v="42"/>
    <s v="no"/>
    <m/>
    <m/>
    <m/>
    <m/>
    <m/>
    <m/>
    <x v="0"/>
    <x v="84"/>
    <x v="1379"/>
    <n v="37380424"/>
    <s v="TK.KWSE20-A-0038-WW1"/>
    <n v="53"/>
    <n v="299.45000000000005"/>
    <m/>
    <m/>
    <s v="20241016-06.08.2024"/>
    <x v="0"/>
    <x v="9"/>
    <x v="1"/>
    <m/>
  </r>
  <r>
    <x v="0"/>
    <x v="0"/>
    <x v="360"/>
    <x v="145"/>
    <x v="231"/>
    <s v="094132526-8011 "/>
    <s v="AA"/>
    <n v="5.65"/>
    <n v="0"/>
    <n v="0"/>
    <x v="104"/>
    <n v="32"/>
    <n v="2024"/>
    <n v="0"/>
    <x v="61"/>
    <n v="0"/>
    <m/>
    <s v="approved"/>
    <n v="0"/>
    <m/>
    <m/>
    <m/>
    <m/>
    <m/>
    <m/>
    <m/>
    <x v="0"/>
    <x v="351"/>
    <x v="1380"/>
    <n v="37380424"/>
    <s v="TK.KWSE20-A-0038-WW1"/>
    <n v="47"/>
    <n v="265.55"/>
    <m/>
    <m/>
    <s v="20241127-31.08.2024"/>
    <x v="1"/>
    <x v="9"/>
    <x v="1"/>
    <m/>
  </r>
  <r>
    <x v="0"/>
    <x v="0"/>
    <x v="361"/>
    <x v="145"/>
    <x v="231"/>
    <s v="094132526-8011 "/>
    <s v="AA"/>
    <n v="5.65"/>
    <n v="100"/>
    <n v="565"/>
    <x v="105"/>
    <n v="33"/>
    <n v="2024"/>
    <n v="0"/>
    <x v="61"/>
    <n v="0"/>
    <m/>
    <s v="approved"/>
    <n v="42"/>
    <s v="no"/>
    <m/>
    <m/>
    <m/>
    <m/>
    <m/>
    <m/>
    <x v="0"/>
    <x v="351"/>
    <x v="1381"/>
    <n v="37380425"/>
    <s v="TK.KWSE20-A-0038-WW1"/>
    <n v="100"/>
    <n v="565"/>
    <m/>
    <m/>
    <s v="20241128-31.08.2024"/>
    <x v="1"/>
    <x v="9"/>
    <x v="1"/>
    <m/>
  </r>
  <r>
    <x v="0"/>
    <x v="0"/>
    <x v="362"/>
    <x v="145"/>
    <x v="231"/>
    <s v="094132526-8011 "/>
    <s v="AA"/>
    <n v="5.65"/>
    <n v="100"/>
    <n v="565"/>
    <x v="219"/>
    <n v="34"/>
    <n v="2024"/>
    <n v="0"/>
    <x v="61"/>
    <n v="0"/>
    <m/>
    <s v="approved"/>
    <n v="42"/>
    <s v="no"/>
    <m/>
    <m/>
    <m/>
    <m/>
    <m/>
    <m/>
    <x v="0"/>
    <x v="351"/>
    <x v="1382"/>
    <n v="37380431"/>
    <s v="TK.KWSE20-A-0038-WW1"/>
    <n v="100"/>
    <n v="565"/>
    <m/>
    <m/>
    <s v="20241129-31.08.2024"/>
    <x v="1"/>
    <x v="9"/>
    <x v="1"/>
    <m/>
  </r>
  <r>
    <x v="0"/>
    <x v="0"/>
    <x v="363"/>
    <x v="145"/>
    <x v="231"/>
    <s v="094132526-8011 "/>
    <s v="AA"/>
    <n v="5.65"/>
    <n v="100"/>
    <n v="565"/>
    <x v="455"/>
    <n v="35"/>
    <n v="2024"/>
    <n v="0"/>
    <x v="61"/>
    <n v="0"/>
    <m/>
    <s v="approved"/>
    <n v="42"/>
    <s v="no"/>
    <m/>
    <m/>
    <m/>
    <m/>
    <m/>
    <m/>
    <x v="0"/>
    <x v="351"/>
    <x v="1383"/>
    <n v="37380435"/>
    <s v="TK.KWSE20-A-0038-WW1"/>
    <n v="100"/>
    <n v="565"/>
    <m/>
    <m/>
    <s v="20241130-31.08.2024"/>
    <x v="1"/>
    <x v="9"/>
    <x v="1"/>
    <m/>
  </r>
  <r>
    <x v="0"/>
    <x v="0"/>
    <x v="364"/>
    <x v="32"/>
    <x v="231"/>
    <s v="094132526-8011 "/>
    <s v="AA"/>
    <n v="5.65"/>
    <n v="50"/>
    <n v="282.5"/>
    <x v="242"/>
    <n v="36"/>
    <n v="2024"/>
    <n v="0"/>
    <x v="61"/>
    <n v="0"/>
    <m/>
    <s v="approved"/>
    <n v="42"/>
    <s v="no"/>
    <m/>
    <m/>
    <m/>
    <n v="45513"/>
    <m/>
    <m/>
    <x v="0"/>
    <x v="39"/>
    <x v="1384"/>
    <n v="37521146"/>
    <s v="TK.KWSE20-A-0038-WW1"/>
    <n v="50"/>
    <n v="282.5"/>
    <m/>
    <m/>
    <s v="20241138-03.09.2024"/>
    <x v="0"/>
    <x v="10"/>
    <x v="1"/>
    <m/>
  </r>
  <r>
    <x v="0"/>
    <x v="0"/>
    <x v="365"/>
    <x v="32"/>
    <x v="231"/>
    <s v="094132526-8011 "/>
    <s v="AA"/>
    <n v="5.65"/>
    <n v="4"/>
    <n v="22.6"/>
    <x v="49"/>
    <n v="36"/>
    <n v="2024"/>
    <n v="0"/>
    <x v="61"/>
    <n v="0"/>
    <m/>
    <s v="approved"/>
    <n v="42"/>
    <m/>
    <m/>
    <m/>
    <m/>
    <m/>
    <m/>
    <m/>
    <x v="0"/>
    <x v="233"/>
    <x v="1385"/>
    <n v="37520887"/>
    <s v="TK.KWSE20-A-0038-WW1"/>
    <n v="4"/>
    <n v="22.6"/>
    <m/>
    <s v="PPAP"/>
    <s v="20241258-03.10.2024"/>
    <x v="1"/>
    <x v="10"/>
    <x v="1"/>
    <m/>
  </r>
  <r>
    <x v="0"/>
    <x v="0"/>
    <x v="364"/>
    <x v="32"/>
    <x v="231"/>
    <s v="094132526-8011 "/>
    <s v="AA"/>
    <n v="5.65"/>
    <n v="50"/>
    <n v="282.5"/>
    <x v="243"/>
    <n v="37"/>
    <n v="2024"/>
    <n v="0"/>
    <x v="61"/>
    <n v="0"/>
    <m/>
    <s v="approved"/>
    <n v="42"/>
    <m/>
    <m/>
    <m/>
    <m/>
    <m/>
    <m/>
    <m/>
    <x v="0"/>
    <x v="265"/>
    <x v="1386"/>
    <n v="37521146"/>
    <s v="TK.KWSE20-A-0038-WW1"/>
    <n v="50"/>
    <n v="282.5"/>
    <m/>
    <m/>
    <s v="20241165-10.09.2024"/>
    <x v="0"/>
    <x v="10"/>
    <x v="1"/>
    <m/>
  </r>
  <r>
    <x v="0"/>
    <x v="0"/>
    <x v="364"/>
    <x v="32"/>
    <x v="231"/>
    <s v="094132526-8011 "/>
    <s v="AA"/>
    <n v="5.65"/>
    <n v="50"/>
    <n v="282.5"/>
    <x v="218"/>
    <n v="38"/>
    <n v="2024"/>
    <n v="0"/>
    <x v="61"/>
    <n v="0"/>
    <m/>
    <s v="approved"/>
    <n v="42"/>
    <m/>
    <m/>
    <m/>
    <m/>
    <m/>
    <m/>
    <m/>
    <x v="0"/>
    <x v="266"/>
    <x v="1387"/>
    <n v="37521146"/>
    <s v="TK.KWSE20-A-0038-WW1"/>
    <n v="50"/>
    <n v="282.5"/>
    <m/>
    <m/>
    <s v="20241186-17.09.2024"/>
    <x v="0"/>
    <x v="10"/>
    <x v="1"/>
    <m/>
  </r>
  <r>
    <x v="0"/>
    <x v="0"/>
    <x v="364"/>
    <x v="32"/>
    <x v="231"/>
    <s v="094132526-8011 "/>
    <s v="AA"/>
    <n v="5.65"/>
    <n v="50"/>
    <n v="282.5"/>
    <x v="244"/>
    <n v="38"/>
    <n v="2024"/>
    <n v="0"/>
    <x v="61"/>
    <n v="0"/>
    <m/>
    <s v="approved"/>
    <n v="42"/>
    <m/>
    <m/>
    <m/>
    <m/>
    <m/>
    <m/>
    <m/>
    <x v="0"/>
    <x v="266"/>
    <x v="1387"/>
    <n v="37521146"/>
    <s v="TK.KWSE20-A-0038-WW1"/>
    <n v="50"/>
    <n v="282.5"/>
    <m/>
    <m/>
    <s v="20241186-17.09.2024"/>
    <x v="0"/>
    <x v="10"/>
    <x v="1"/>
    <m/>
  </r>
  <r>
    <x v="0"/>
    <x v="0"/>
    <x v="364"/>
    <x v="32"/>
    <x v="231"/>
    <s v="094132526-8011 "/>
    <s v="AA"/>
    <n v="5.65"/>
    <n v="50"/>
    <n v="282.5"/>
    <x v="456"/>
    <n v="40"/>
    <n v="2024"/>
    <n v="0"/>
    <x v="61"/>
    <n v="0"/>
    <m/>
    <s v="approved"/>
    <n v="42"/>
    <m/>
    <m/>
    <m/>
    <m/>
    <m/>
    <m/>
    <m/>
    <x v="0"/>
    <x v="88"/>
    <x v="1388"/>
    <n v="37521146"/>
    <s v="TK.KWSE20-A-0038-WW1"/>
    <n v="50"/>
    <n v="282.5"/>
    <m/>
    <m/>
    <s v="20241252-30.09.2024"/>
    <x v="0"/>
    <x v="10"/>
    <x v="1"/>
    <m/>
  </r>
  <r>
    <x v="0"/>
    <x v="0"/>
    <x v="366"/>
    <x v="12"/>
    <x v="231"/>
    <s v="094132526-8011 "/>
    <s v="AA"/>
    <n v="5.65"/>
    <n v="46"/>
    <n v="259.90000000000003"/>
    <x v="107"/>
    <n v="40"/>
    <n v="2024"/>
    <n v="0"/>
    <x v="61"/>
    <n v="0"/>
    <m/>
    <s v="approved"/>
    <n v="42"/>
    <m/>
    <m/>
    <m/>
    <m/>
    <m/>
    <m/>
    <m/>
    <x v="0"/>
    <x v="88"/>
    <x v="1389"/>
    <n v="37672548"/>
    <s v="TK.KWSE20-A-0038-WW1"/>
    <n v="31"/>
    <n v="175.15"/>
    <m/>
    <m/>
    <s v="20241253-30.09.2024"/>
    <x v="0"/>
    <x v="11"/>
    <x v="1"/>
    <m/>
  </r>
  <r>
    <x v="0"/>
    <x v="0"/>
    <x v="366"/>
    <x v="12"/>
    <x v="231"/>
    <s v="094132526-8011 "/>
    <s v="AA"/>
    <n v="5.65"/>
    <n v="0"/>
    <n v="0"/>
    <x v="107"/>
    <n v="40"/>
    <n v="2024"/>
    <n v="0"/>
    <x v="61"/>
    <n v="0"/>
    <m/>
    <s v="approved"/>
    <n v="0"/>
    <m/>
    <m/>
    <m/>
    <m/>
    <m/>
    <m/>
    <m/>
    <x v="0"/>
    <x v="354"/>
    <x v="1390"/>
    <n v="37672548"/>
    <s v="TK.KWSE20-A-0038-WW1"/>
    <n v="15"/>
    <n v="84.75"/>
    <m/>
    <m/>
    <s v="20241272-08.10.2024"/>
    <x v="1"/>
    <x v="11"/>
    <x v="1"/>
    <m/>
  </r>
  <r>
    <x v="0"/>
    <x v="0"/>
    <x v="367"/>
    <x v="12"/>
    <x v="231"/>
    <s v="094132526-8011 "/>
    <s v="AA"/>
    <n v="5.65"/>
    <n v="250"/>
    <n v="1412.5"/>
    <x v="108"/>
    <n v="41"/>
    <n v="2024"/>
    <n v="0"/>
    <x v="61"/>
    <n v="0"/>
    <m/>
    <s v="approved"/>
    <n v="42"/>
    <m/>
    <m/>
    <m/>
    <m/>
    <m/>
    <m/>
    <m/>
    <x v="0"/>
    <x v="354"/>
    <x v="1391"/>
    <n v="37672551"/>
    <s v="TK.KWSE20-A-0038-WW1"/>
    <n v="148"/>
    <n v="836.2"/>
    <m/>
    <m/>
    <s v="20241286-08.10.2024"/>
    <x v="0"/>
    <x v="11"/>
    <x v="1"/>
    <m/>
  </r>
  <r>
    <x v="0"/>
    <x v="0"/>
    <x v="367"/>
    <x v="12"/>
    <x v="231"/>
    <s v="094132526-8011 "/>
    <s v="AA"/>
    <n v="5.65"/>
    <n v="0"/>
    <n v="0"/>
    <x v="108"/>
    <n v="41"/>
    <n v="2024"/>
    <n v="0"/>
    <x v="61"/>
    <n v="0"/>
    <m/>
    <s v="approved"/>
    <n v="0"/>
    <m/>
    <m/>
    <m/>
    <m/>
    <m/>
    <m/>
    <m/>
    <x v="0"/>
    <x v="361"/>
    <x v="1392"/>
    <n v="37672551"/>
    <s v="TK.KWSE20-A-0038-WW1"/>
    <n v="102"/>
    <n v="576.30000000000007"/>
    <m/>
    <m/>
    <s v="20241308-15.10.2024"/>
    <x v="1"/>
    <x v="11"/>
    <x v="1"/>
    <m/>
  </r>
  <r>
    <x v="0"/>
    <x v="0"/>
    <x v="368"/>
    <x v="12"/>
    <x v="231"/>
    <s v="094132526-8011 "/>
    <s v="AA"/>
    <n v="5.65"/>
    <n v="50"/>
    <n v="282.5"/>
    <x v="245"/>
    <n v="42"/>
    <n v="2024"/>
    <n v="0"/>
    <x v="61"/>
    <n v="0"/>
    <m/>
    <s v="approved"/>
    <n v="42"/>
    <m/>
    <m/>
    <m/>
    <m/>
    <m/>
    <m/>
    <m/>
    <x v="0"/>
    <x v="361"/>
    <x v="1393"/>
    <n v="37672552"/>
    <s v="TK.KWSE20-A-0038-WW1"/>
    <n v="50"/>
    <n v="282.5"/>
    <m/>
    <m/>
    <s v="20241309-15.10.2024"/>
    <x v="0"/>
    <x v="11"/>
    <x v="1"/>
    <m/>
  </r>
  <r>
    <x v="0"/>
    <x v="0"/>
    <x v="369"/>
    <x v="12"/>
    <x v="231"/>
    <s v="094132526-8011 "/>
    <s v="AA"/>
    <n v="5.65"/>
    <n v="2"/>
    <n v="11.3"/>
    <x v="246"/>
    <n v="43"/>
    <n v="2024"/>
    <n v="0"/>
    <x v="61"/>
    <n v="0"/>
    <m/>
    <s v="approved"/>
    <n v="42"/>
    <m/>
    <m/>
    <m/>
    <m/>
    <m/>
    <m/>
    <m/>
    <x v="0"/>
    <x v="361"/>
    <x v="1394"/>
    <n v="37672553"/>
    <s v="TK.KWSE20-A-0038-WW1"/>
    <n v="2"/>
    <n v="11.3"/>
    <m/>
    <m/>
    <s v="20241310-15.10.2024"/>
    <x v="0"/>
    <x v="11"/>
    <x v="1"/>
    <m/>
  </r>
  <r>
    <x v="0"/>
    <x v="0"/>
    <x v="369"/>
    <x v="12"/>
    <x v="231"/>
    <s v="094132526-8011 "/>
    <s v="AA"/>
    <n v="5.65"/>
    <n v="43"/>
    <n v="242.95000000000002"/>
    <x v="246"/>
    <n v="43"/>
    <n v="2024"/>
    <n v="0"/>
    <x v="61"/>
    <n v="0"/>
    <m/>
    <s v="approved"/>
    <n v="42"/>
    <m/>
    <m/>
    <m/>
    <m/>
    <m/>
    <m/>
    <m/>
    <x v="0"/>
    <x v="267"/>
    <x v="1395"/>
    <n v="37672553"/>
    <s v="TK.KWSE20-A-0038-WW1"/>
    <n v="43"/>
    <n v="242.95000000000002"/>
    <m/>
    <m/>
    <s v="20241343-25.10.2024"/>
    <x v="1"/>
    <x v="11"/>
    <x v="1"/>
    <m/>
  </r>
  <r>
    <x v="0"/>
    <x v="0"/>
    <x v="370"/>
    <x v="12"/>
    <x v="231"/>
    <s v="094132526-8011 "/>
    <s v="AA"/>
    <n v="5.65"/>
    <n v="50"/>
    <n v="282.5"/>
    <x v="23"/>
    <n v="44"/>
    <n v="2024"/>
    <n v="0"/>
    <x v="61"/>
    <n v="0"/>
    <m/>
    <s v="approved"/>
    <n v="42"/>
    <m/>
    <m/>
    <m/>
    <m/>
    <m/>
    <m/>
    <m/>
    <x v="0"/>
    <x v="267"/>
    <x v="1396"/>
    <n v="37672555"/>
    <s v="TK.KWSE20-A-0038-WW1"/>
    <n v="50"/>
    <n v="282.5"/>
    <m/>
    <m/>
    <s v="20241342-25.10.2024"/>
    <x v="0"/>
    <x v="11"/>
    <x v="1"/>
    <m/>
  </r>
  <r>
    <x v="0"/>
    <x v="0"/>
    <x v="371"/>
    <x v="43"/>
    <x v="231"/>
    <s v="094132526-8011 "/>
    <s v="AA"/>
    <n v="5.65"/>
    <n v="405"/>
    <n v="2288.25"/>
    <x v="109"/>
    <n v="45"/>
    <n v="2024"/>
    <n v="0"/>
    <x v="61"/>
    <n v="0"/>
    <m/>
    <s v="approved"/>
    <n v="42"/>
    <s v="no"/>
    <m/>
    <m/>
    <m/>
    <s v="ETA 28oct"/>
    <m/>
    <m/>
    <x v="0"/>
    <x v="283"/>
    <x v="1397"/>
    <n v="37871627"/>
    <s v="TK.KWSE20-A-0038-WW1"/>
    <n v="405"/>
    <n v="2288.25"/>
    <m/>
    <m/>
    <s v="20241412-08.11.2024"/>
    <x v="1"/>
    <x v="4"/>
    <x v="1"/>
    <m/>
  </r>
  <r>
    <x v="0"/>
    <x v="0"/>
    <x v="371"/>
    <x v="43"/>
    <x v="231"/>
    <s v="094132526-8011 "/>
    <s v="AA"/>
    <n v="5.65"/>
    <n v="27"/>
    <n v="152.55000000000001"/>
    <x v="247"/>
    <n v="46"/>
    <n v="2024"/>
    <n v="0"/>
    <x v="61"/>
    <n v="0"/>
    <m/>
    <s v="approved"/>
    <n v="42"/>
    <s v="no"/>
    <m/>
    <m/>
    <m/>
    <m/>
    <m/>
    <m/>
    <x v="0"/>
    <x v="283"/>
    <x v="1397"/>
    <n v="37871627"/>
    <s v="TK.KWSE20-A-0038-WW1"/>
    <n v="27"/>
    <n v="152.55000000000001"/>
    <m/>
    <m/>
    <s v="20241412-08.11.2024"/>
    <x v="0"/>
    <x v="4"/>
    <x v="1"/>
    <m/>
  </r>
  <r>
    <x v="0"/>
    <x v="0"/>
    <x v="371"/>
    <x v="43"/>
    <x v="231"/>
    <s v="094132526-8011 "/>
    <s v="AA"/>
    <n v="5.65"/>
    <n v="290"/>
    <n v="1638.5"/>
    <x v="247"/>
    <n v="46"/>
    <n v="2024"/>
    <n v="0"/>
    <x v="61"/>
    <n v="0"/>
    <m/>
    <s v="approved"/>
    <n v="42"/>
    <s v="no"/>
    <m/>
    <m/>
    <m/>
    <m/>
    <m/>
    <m/>
    <x v="0"/>
    <x v="269"/>
    <x v="1398"/>
    <n v="37871627"/>
    <s v="TK.KWSE20-A-0038-WW1"/>
    <n v="290"/>
    <n v="1638.5"/>
    <m/>
    <m/>
    <s v="20241433-12.11.2024"/>
    <x v="0"/>
    <x v="4"/>
    <x v="1"/>
    <m/>
  </r>
  <r>
    <x v="0"/>
    <x v="0"/>
    <x v="371"/>
    <x v="43"/>
    <x v="231"/>
    <s v="094132526-8011 "/>
    <s v="AA"/>
    <n v="5.65"/>
    <n v="83"/>
    <n v="468.95000000000005"/>
    <x v="247"/>
    <n v="46"/>
    <n v="2024"/>
    <n v="0"/>
    <x v="61"/>
    <n v="0"/>
    <m/>
    <s v="approved"/>
    <n v="42"/>
    <m/>
    <m/>
    <m/>
    <m/>
    <m/>
    <m/>
    <m/>
    <x v="0"/>
    <x v="346"/>
    <x v="1399"/>
    <n v="37871627"/>
    <s v="TK.KWSE20-A-0038-WW1"/>
    <n v="83"/>
    <n v="468.95000000000005"/>
    <m/>
    <m/>
    <s v="20241435-13.11.2024"/>
    <x v="0"/>
    <x v="4"/>
    <x v="1"/>
    <m/>
  </r>
  <r>
    <x v="0"/>
    <x v="0"/>
    <x v="372"/>
    <x v="136"/>
    <x v="231"/>
    <s v="094132526-8011 "/>
    <s v="AA"/>
    <n v="5.65"/>
    <n v="55"/>
    <n v="310.75"/>
    <x v="251"/>
    <n v="2"/>
    <n v="2025"/>
    <n v="0"/>
    <x v="61"/>
    <n v="0"/>
    <m/>
    <s v="approved"/>
    <n v="42"/>
    <s v="no"/>
    <m/>
    <m/>
    <m/>
    <m/>
    <m/>
    <m/>
    <x v="0"/>
    <x v="271"/>
    <x v="1400"/>
    <n v="38215944"/>
    <s v="TK.KWSE20-A-0038-WW1"/>
    <n v="55"/>
    <n v="310.75"/>
    <m/>
    <m/>
    <s v="20250007-09.01.2025"/>
    <x v="0"/>
    <x v="6"/>
    <x v="0"/>
    <m/>
  </r>
  <r>
    <x v="0"/>
    <x v="0"/>
    <x v="372"/>
    <x v="136"/>
    <x v="231"/>
    <s v="094132526-8011 "/>
    <s v="AA"/>
    <n v="5.65"/>
    <n v="118"/>
    <n v="666.7"/>
    <x v="251"/>
    <n v="2"/>
    <n v="2025"/>
    <n v="0"/>
    <x v="61"/>
    <n v="0"/>
    <m/>
    <s v="approved"/>
    <n v="42"/>
    <s v="no"/>
    <m/>
    <m/>
    <m/>
    <m/>
    <m/>
    <m/>
    <x v="0"/>
    <x v="362"/>
    <x v="1401"/>
    <n v="38215944"/>
    <s v="TK.KWSE20-A-0038-WW1"/>
    <n v="118"/>
    <n v="666.7"/>
    <m/>
    <m/>
    <s v="20250039-17.01.2025"/>
    <x v="1"/>
    <x v="6"/>
    <x v="0"/>
    <m/>
  </r>
  <r>
    <x v="0"/>
    <x v="0"/>
    <x v="372"/>
    <x v="136"/>
    <x v="231"/>
    <s v="094132526-8011 "/>
    <s v="AA"/>
    <n v="5.65"/>
    <n v="27"/>
    <n v="152.55000000000001"/>
    <x v="251"/>
    <n v="2"/>
    <n v="2025"/>
    <n v="0"/>
    <x v="61"/>
    <n v="0"/>
    <m/>
    <s v="approved"/>
    <n v="42"/>
    <s v="no"/>
    <m/>
    <m/>
    <m/>
    <m/>
    <m/>
    <m/>
    <x v="0"/>
    <x v="363"/>
    <x v="1402"/>
    <n v="38215944"/>
    <s v="TK.KWSE20-A-0038-WW1"/>
    <n v="27"/>
    <n v="152.55000000000001"/>
    <m/>
    <m/>
    <s v="20250059-20.11.2025"/>
    <x v="1"/>
    <x v="6"/>
    <x v="0"/>
    <m/>
  </r>
  <r>
    <x v="0"/>
    <x v="0"/>
    <x v="372"/>
    <x v="136"/>
    <x v="231"/>
    <s v="094132526-8011 "/>
    <s v="AA"/>
    <n v="5.65"/>
    <n v="200"/>
    <n v="1130"/>
    <x v="252"/>
    <n v="3"/>
    <n v="2025"/>
    <n v="0"/>
    <x v="61"/>
    <n v="0"/>
    <m/>
    <s v="approved"/>
    <n v="42"/>
    <s v="no"/>
    <m/>
    <m/>
    <m/>
    <m/>
    <m/>
    <m/>
    <x v="0"/>
    <x v="363"/>
    <x v="1402"/>
    <n v="38215944"/>
    <s v="TK.KWSE20-A-0038-WW1"/>
    <n v="200"/>
    <n v="1130"/>
    <m/>
    <m/>
    <s v="20250059-20.11.2025"/>
    <x v="1"/>
    <x v="6"/>
    <x v="0"/>
    <m/>
  </r>
  <r>
    <x v="0"/>
    <x v="0"/>
    <x v="372"/>
    <x v="136"/>
    <x v="231"/>
    <s v="094132526-8011 "/>
    <s v="AA"/>
    <n v="5.65"/>
    <n v="85"/>
    <n v="480.25000000000006"/>
    <x v="252"/>
    <n v="3"/>
    <n v="2025"/>
    <n v="0"/>
    <x v="61"/>
    <n v="0"/>
    <m/>
    <s v="approved"/>
    <n v="42"/>
    <s v="no"/>
    <m/>
    <m/>
    <m/>
    <m/>
    <m/>
    <m/>
    <x v="0"/>
    <x v="363"/>
    <x v="1402"/>
    <n v="38215944"/>
    <s v="TK.KWSE20-A-0038-WW1"/>
    <n v="85"/>
    <n v="480.25000000000006"/>
    <m/>
    <m/>
    <s v="20250059-20.11.2025"/>
    <x v="1"/>
    <x v="6"/>
    <x v="0"/>
    <m/>
  </r>
  <r>
    <x v="0"/>
    <x v="0"/>
    <x v="372"/>
    <x v="136"/>
    <x v="231"/>
    <s v="094132526-8011 "/>
    <s v="AA"/>
    <n v="5.65"/>
    <n v="128"/>
    <n v="932.25000000000011"/>
    <x v="252"/>
    <n v="3"/>
    <n v="2025"/>
    <n v="0"/>
    <x v="61"/>
    <n v="0"/>
    <m/>
    <s v="approved"/>
    <n v="42"/>
    <s v="no"/>
    <m/>
    <m/>
    <m/>
    <s v=""/>
    <s v=""/>
    <m/>
    <x v="0"/>
    <x v="248"/>
    <x v="1403"/>
    <n v="38215944"/>
    <s v="TK.KWSE20-A-0038-WW1"/>
    <n v="128"/>
    <n v="723.2"/>
    <m/>
    <s v="storno f20250734/17.06.2025"/>
    <s v="20250060-21.01.2025/20250734-17.06.2025"/>
    <x v="1"/>
    <x v="6"/>
    <x v="0"/>
    <m/>
  </r>
  <r>
    <x v="0"/>
    <x v="0"/>
    <x v="372"/>
    <x v="136"/>
    <x v="231"/>
    <s v="094132526-8011 "/>
    <s v="AA"/>
    <n v="5.65"/>
    <n v="36"/>
    <n v="203.4"/>
    <x v="252"/>
    <n v="3"/>
    <n v="2025"/>
    <n v="0"/>
    <x v="61"/>
    <n v="0"/>
    <m/>
    <s v="approved"/>
    <n v="42"/>
    <s v="no"/>
    <m/>
    <m/>
    <m/>
    <m/>
    <m/>
    <m/>
    <x v="0"/>
    <x v="327"/>
    <x v="1404"/>
    <n v="38215944"/>
    <s v="TK.KWSE20-A-0038-WW1"/>
    <n v="36"/>
    <n v="203.4"/>
    <m/>
    <m/>
    <s v="20250067-23.01.2025"/>
    <x v="1"/>
    <x v="6"/>
    <x v="0"/>
    <m/>
  </r>
  <r>
    <x v="0"/>
    <x v="0"/>
    <x v="372"/>
    <x v="136"/>
    <x v="231"/>
    <s v="094132526-8011 "/>
    <s v="AA"/>
    <n v="5.65"/>
    <n v="0"/>
    <n v="932.25000000000011"/>
    <x v="252"/>
    <n v="3"/>
    <n v="2025"/>
    <n v="0"/>
    <x v="61"/>
    <n v="0"/>
    <m/>
    <s v="approved"/>
    <n v="42"/>
    <s v="no"/>
    <m/>
    <m/>
    <m/>
    <s v=""/>
    <s v=""/>
    <m/>
    <x v="0"/>
    <x v="3"/>
    <x v="4"/>
    <s v=""/>
    <s v=""/>
    <m/>
    <n v="0"/>
    <m/>
    <s v="storno f20250734/17.06.2025"/>
    <m/>
    <x v="1"/>
    <x v="6"/>
    <x v="0"/>
    <m/>
  </r>
  <r>
    <x v="0"/>
    <x v="0"/>
    <x v="372"/>
    <x v="136"/>
    <x v="231"/>
    <s v="094132526-8011 "/>
    <s v="AA"/>
    <n v="5.65"/>
    <n v="150"/>
    <n v="847.5"/>
    <x v="253"/>
    <n v="4"/>
    <n v="2025"/>
    <n v="0"/>
    <x v="61"/>
    <n v="0"/>
    <m/>
    <s v="approved"/>
    <n v="42"/>
    <s v="no"/>
    <m/>
    <m/>
    <m/>
    <m/>
    <m/>
    <m/>
    <x v="0"/>
    <x v="327"/>
    <x v="1404"/>
    <n v="38215944"/>
    <s v="TK.KWSE20-A-0038-WW1"/>
    <n v="150"/>
    <n v="847.5"/>
    <m/>
    <m/>
    <s v="20250067-23.01.2025"/>
    <x v="0"/>
    <x v="6"/>
    <x v="0"/>
    <m/>
  </r>
  <r>
    <x v="0"/>
    <x v="0"/>
    <x v="373"/>
    <x v="195"/>
    <x v="231"/>
    <s v="094132526-8011 "/>
    <s v="AA"/>
    <n v="5.65"/>
    <n v="63"/>
    <n v="355.95000000000005"/>
    <x v="457"/>
    <n v="6"/>
    <n v="2025"/>
    <n v="0"/>
    <x v="61"/>
    <n v="0"/>
    <m/>
    <s v="approved"/>
    <n v="42"/>
    <s v="no"/>
    <m/>
    <m/>
    <m/>
    <m/>
    <m/>
    <m/>
    <x v="0"/>
    <x v="42"/>
    <x v="1405"/>
    <n v="38474442"/>
    <s v="TK.KWSE20-A-0038-WW1"/>
    <n v="63"/>
    <n v="355.95000000000005"/>
    <m/>
    <m/>
    <s v="20250120-07.02.2025"/>
    <x v="0"/>
    <x v="7"/>
    <x v="0"/>
    <m/>
  </r>
  <r>
    <x v="0"/>
    <x v="0"/>
    <x v="373"/>
    <x v="195"/>
    <x v="231"/>
    <s v="094132526-8011 "/>
    <s v="AA"/>
    <n v="5.65"/>
    <n v="137"/>
    <n v="774.05000000000007"/>
    <x v="457"/>
    <n v="6"/>
    <n v="2025"/>
    <n v="0"/>
    <x v="61"/>
    <n v="0"/>
    <m/>
    <s v="approved"/>
    <n v="42"/>
    <s v="no"/>
    <m/>
    <m/>
    <m/>
    <m/>
    <s v="Yes"/>
    <m/>
    <x v="0"/>
    <x v="238"/>
    <x v="1406"/>
    <n v="38474442"/>
    <s v="TK.KWSE20-A-0038-WW1"/>
    <n v="137"/>
    <n v="774.05000000000007"/>
    <m/>
    <m/>
    <s v="20250187-19.02.2025"/>
    <x v="1"/>
    <x v="7"/>
    <x v="0"/>
    <m/>
  </r>
  <r>
    <x v="0"/>
    <x v="0"/>
    <x v="373"/>
    <x v="195"/>
    <x v="231"/>
    <s v="094132526-8011 "/>
    <s v="AA"/>
    <n v="5.65"/>
    <n v="38"/>
    <n v="214.70000000000002"/>
    <x v="56"/>
    <n v="7"/>
    <n v="2025"/>
    <n v="0"/>
    <x v="61"/>
    <n v="0"/>
    <m/>
    <m/>
    <n v="42"/>
    <m/>
    <m/>
    <m/>
    <m/>
    <m/>
    <m/>
    <m/>
    <x v="0"/>
    <x v="238"/>
    <x v="1406"/>
    <n v="38474442"/>
    <s v="TK.KWSE20-A-0038-WW1"/>
    <n v="38"/>
    <n v="214.70000000000002"/>
    <m/>
    <m/>
    <s v="20250187-19.02.2025"/>
    <x v="1"/>
    <x v="7"/>
    <x v="0"/>
    <m/>
  </r>
  <r>
    <x v="0"/>
    <x v="0"/>
    <x v="373"/>
    <x v="195"/>
    <x v="231"/>
    <s v="094132526-8011 "/>
    <s v="AA"/>
    <n v="5.65"/>
    <n v="104"/>
    <n v="587.6"/>
    <x v="56"/>
    <n v="7"/>
    <n v="2025"/>
    <n v="0"/>
    <x v="61"/>
    <n v="0"/>
    <m/>
    <s v="approved"/>
    <n v="42"/>
    <s v="no"/>
    <m/>
    <m/>
    <m/>
    <m/>
    <s v="Yes"/>
    <m/>
    <x v="0"/>
    <x v="364"/>
    <x v="1407"/>
    <n v="38474442"/>
    <s v="TK.KWSE20-A-0038-WW1"/>
    <n v="104"/>
    <n v="587.6"/>
    <m/>
    <m/>
    <s v="20250197-20.02.2025"/>
    <x v="1"/>
    <x v="7"/>
    <x v="0"/>
    <m/>
  </r>
  <r>
    <x v="0"/>
    <x v="0"/>
    <x v="374"/>
    <x v="139"/>
    <x v="231"/>
    <s v="094132526-8011 "/>
    <s v="AA"/>
    <n v="5.65"/>
    <n v="59"/>
    <n v="333.35"/>
    <x v="56"/>
    <n v="7"/>
    <n v="2025"/>
    <n v="0"/>
    <x v="61"/>
    <n v="0"/>
    <m/>
    <s v="approved"/>
    <n v="42"/>
    <s v="no"/>
    <m/>
    <m/>
    <m/>
    <m/>
    <m/>
    <m/>
    <x v="0"/>
    <x v="11"/>
    <x v="1408"/>
    <n v="38676253"/>
    <s v="TK.KWSE20-A-0038-WW1"/>
    <n v="59"/>
    <n v="333.35"/>
    <m/>
    <m/>
    <s v="20250207-21.02.2025"/>
    <x v="1"/>
    <x v="7"/>
    <x v="0"/>
    <m/>
  </r>
  <r>
    <x v="0"/>
    <x v="0"/>
    <x v="373"/>
    <x v="195"/>
    <x v="231"/>
    <s v="094132526-8011 "/>
    <s v="AA"/>
    <n v="5.65"/>
    <n v="58"/>
    <n v="327.70000000000005"/>
    <x v="56"/>
    <n v="7"/>
    <n v="2025"/>
    <n v="0"/>
    <x v="61"/>
    <n v="0"/>
    <m/>
    <s v="approved"/>
    <n v="42"/>
    <s v="no"/>
    <m/>
    <m/>
    <m/>
    <m/>
    <s v="Yes"/>
    <m/>
    <x v="0"/>
    <x v="11"/>
    <x v="1409"/>
    <n v="38474442"/>
    <s v="TK.KWSE20-A-0038-WW1"/>
    <n v="58"/>
    <n v="327.70000000000005"/>
    <m/>
    <m/>
    <s v="20250206-21.02.2025"/>
    <x v="1"/>
    <x v="7"/>
    <x v="0"/>
    <m/>
  </r>
  <r>
    <x v="0"/>
    <x v="0"/>
    <x v="374"/>
    <x v="139"/>
    <x v="231"/>
    <s v="094132526-8011 "/>
    <s v="AA"/>
    <n v="5.65"/>
    <n v="250"/>
    <n v="1412.5"/>
    <x v="254"/>
    <n v="10"/>
    <n v="2025"/>
    <n v="0"/>
    <x v="61"/>
    <n v="0"/>
    <m/>
    <s v="approved"/>
    <n v="42"/>
    <s v="no"/>
    <m/>
    <m/>
    <m/>
    <m/>
    <m/>
    <m/>
    <x v="0"/>
    <x v="166"/>
    <x v="1410"/>
    <n v="38676253"/>
    <s v="TK.KWSE20-A-0038-WW1"/>
    <n v="250"/>
    <n v="1412.5"/>
    <m/>
    <m/>
    <s v="20250267-04.03.2025"/>
    <x v="0"/>
    <x v="5"/>
    <x v="0"/>
    <m/>
  </r>
  <r>
    <x v="0"/>
    <x v="0"/>
    <x v="374"/>
    <x v="139"/>
    <x v="231"/>
    <s v="094132526-8011 "/>
    <s v="AA"/>
    <n v="5.65"/>
    <n v="51"/>
    <n v="288.15000000000003"/>
    <x v="255"/>
    <n v="11"/>
    <n v="2025"/>
    <n v="0"/>
    <x v="61"/>
    <n v="0"/>
    <m/>
    <s v="approved"/>
    <n v="42"/>
    <s v="no"/>
    <m/>
    <m/>
    <m/>
    <m/>
    <m/>
    <m/>
    <x v="0"/>
    <x v="166"/>
    <x v="1410"/>
    <n v="38676253"/>
    <s v="TK.KWSE20-A-0038-WW1"/>
    <n v="51"/>
    <n v="288.15000000000003"/>
    <m/>
    <m/>
    <s v="20250267-04.03.2025"/>
    <x v="0"/>
    <x v="5"/>
    <x v="0"/>
    <m/>
  </r>
  <r>
    <x v="0"/>
    <x v="0"/>
    <x v="374"/>
    <x v="139"/>
    <x v="231"/>
    <s v="094132526-8011 "/>
    <s v="AA"/>
    <n v="5.65"/>
    <n v="137"/>
    <n v="774.05000000000007"/>
    <x v="255"/>
    <n v="11"/>
    <n v="2025"/>
    <n v="0"/>
    <x v="61"/>
    <n v="0"/>
    <m/>
    <s v="approved"/>
    <n v="42"/>
    <s v="no"/>
    <m/>
    <m/>
    <m/>
    <m/>
    <m/>
    <m/>
    <x v="0"/>
    <x v="216"/>
    <x v="1411"/>
    <n v="38676253"/>
    <s v="TK.KWSE20-A-0038-WW1"/>
    <n v="137"/>
    <n v="774.05000000000007"/>
    <m/>
    <m/>
    <s v="20250282-06.03.2025"/>
    <x v="0"/>
    <x v="5"/>
    <x v="0"/>
    <m/>
  </r>
  <r>
    <x v="0"/>
    <x v="0"/>
    <x v="374"/>
    <x v="139"/>
    <x v="231"/>
    <s v="094132526-8011 "/>
    <s v="AA"/>
    <n v="5.65"/>
    <n v="62"/>
    <n v="350.3"/>
    <x v="255"/>
    <n v="11"/>
    <n v="2025"/>
    <n v="0"/>
    <x v="61"/>
    <n v="0"/>
    <m/>
    <s v="approved"/>
    <n v="42"/>
    <s v="no"/>
    <m/>
    <m/>
    <m/>
    <m/>
    <m/>
    <m/>
    <x v="0"/>
    <x v="29"/>
    <x v="1412"/>
    <n v="38676253"/>
    <s v="TK.KWSE20-A-0038-WW1"/>
    <n v="62"/>
    <n v="350.3"/>
    <m/>
    <m/>
    <s v="20250303-11.03.2025"/>
    <x v="0"/>
    <x v="5"/>
    <x v="0"/>
    <m/>
  </r>
  <r>
    <x v="0"/>
    <x v="0"/>
    <x v="374"/>
    <x v="139"/>
    <x v="231"/>
    <s v="094132526-8011 "/>
    <s v="AA"/>
    <n v="5.65"/>
    <n v="64"/>
    <n v="361.6"/>
    <x v="256"/>
    <n v="12"/>
    <n v="2025"/>
    <n v="0"/>
    <x v="61"/>
    <n v="0"/>
    <m/>
    <s v="approved"/>
    <n v="42"/>
    <s v="no"/>
    <m/>
    <m/>
    <m/>
    <m/>
    <m/>
    <m/>
    <x v="0"/>
    <x v="167"/>
    <x v="1413"/>
    <n v="38676253"/>
    <s v="TK.KWSE20-A-0038-WW1"/>
    <n v="64"/>
    <n v="361.6"/>
    <m/>
    <m/>
    <s v="20250342-18.03.2025"/>
    <x v="0"/>
    <x v="5"/>
    <x v="0"/>
    <m/>
  </r>
  <r>
    <x v="0"/>
    <x v="0"/>
    <x v="374"/>
    <x v="139"/>
    <x v="231"/>
    <s v="094132526-8011 "/>
    <s v="AA"/>
    <n v="5.65"/>
    <n v="186"/>
    <n v="1050.9000000000001"/>
    <x v="256"/>
    <n v="12"/>
    <n v="2025"/>
    <n v="0"/>
    <x v="61"/>
    <n v="0"/>
    <m/>
    <s v="approved"/>
    <n v="42"/>
    <s v="no"/>
    <m/>
    <m/>
    <m/>
    <m/>
    <m/>
    <m/>
    <x v="0"/>
    <x v="37"/>
    <x v="1414"/>
    <n v="38676253"/>
    <s v="TK.KWSE20-A-0038-WW1"/>
    <n v="186"/>
    <n v="1050.9000000000001"/>
    <m/>
    <m/>
    <s v="20250359-20.03.2025"/>
    <x v="0"/>
    <x v="5"/>
    <x v="0"/>
    <m/>
  </r>
  <r>
    <x v="0"/>
    <x v="0"/>
    <x v="374"/>
    <x v="139"/>
    <x v="231"/>
    <s v="094132526-8011 "/>
    <s v="AA"/>
    <n v="5.65"/>
    <n v="200"/>
    <n v="1130"/>
    <x v="9"/>
    <n v="13"/>
    <n v="2025"/>
    <n v="0"/>
    <x v="61"/>
    <n v="0"/>
    <m/>
    <s v="approved"/>
    <n v="42"/>
    <s v="no"/>
    <m/>
    <m/>
    <m/>
    <m/>
    <m/>
    <m/>
    <x v="0"/>
    <x v="171"/>
    <x v="1415"/>
    <n v="38676253"/>
    <s v="TK.KWSE20-A-0038-WW1"/>
    <n v="200"/>
    <n v="1130"/>
    <m/>
    <m/>
    <s v="20250377-25.03.2025"/>
    <x v="0"/>
    <x v="5"/>
    <x v="0"/>
    <m/>
  </r>
  <r>
    <x v="0"/>
    <x v="0"/>
    <x v="374"/>
    <x v="139"/>
    <x v="231"/>
    <s v="094132526-8011 "/>
    <s v="AA"/>
    <n v="5.65"/>
    <n v="200"/>
    <n v="1130"/>
    <x v="111"/>
    <n v="14"/>
    <n v="2025"/>
    <n v="0"/>
    <x v="61"/>
    <n v="0"/>
    <m/>
    <s v="approved"/>
    <n v="42"/>
    <s v="no"/>
    <m/>
    <m/>
    <m/>
    <m/>
    <m/>
    <m/>
    <x v="0"/>
    <x v="315"/>
    <x v="1416"/>
    <n v="38676253"/>
    <s v="TK.KWSE20-A-0038-WW1"/>
    <n v="200"/>
    <n v="1130"/>
    <m/>
    <m/>
    <s v="20250426-31.03.2025"/>
    <x v="0"/>
    <x v="1"/>
    <x v="0"/>
    <m/>
  </r>
  <r>
    <x v="0"/>
    <x v="0"/>
    <x v="375"/>
    <x v="18"/>
    <x v="231"/>
    <s v="094132526-8011 "/>
    <s v="AA"/>
    <n v="5.65"/>
    <n v="200"/>
    <n v="1130"/>
    <x v="458"/>
    <n v="15"/>
    <n v="2025"/>
    <n v="0"/>
    <x v="61"/>
    <n v="0"/>
    <m/>
    <s v="approved"/>
    <n v="42"/>
    <s v="no"/>
    <m/>
    <m/>
    <m/>
    <m/>
    <m/>
    <m/>
    <x v="0"/>
    <x v="315"/>
    <x v="1417"/>
    <n v="5410716"/>
    <s v="TK.KWSE20-A-0038-WW1"/>
    <n v="200"/>
    <n v="1130"/>
    <m/>
    <m/>
    <s v="20250427-31.03.2025"/>
    <x v="0"/>
    <x v="1"/>
    <x v="0"/>
    <m/>
  </r>
  <r>
    <x v="0"/>
    <x v="0"/>
    <x v="375"/>
    <x v="18"/>
    <x v="231"/>
    <s v="094132526-8011 "/>
    <s v="AA"/>
    <n v="5.65"/>
    <n v="100"/>
    <n v="565"/>
    <x v="389"/>
    <n v="16"/>
    <n v="2025"/>
    <n v="0"/>
    <x v="61"/>
    <n v="0"/>
    <m/>
    <s v="approved"/>
    <n v="42"/>
    <s v="no"/>
    <m/>
    <m/>
    <m/>
    <m/>
    <m/>
    <m/>
    <x v="0"/>
    <x v="315"/>
    <x v="1417"/>
    <n v="5410716"/>
    <s v="TK.KWSE20-A-0038-WW1"/>
    <n v="100"/>
    <n v="565"/>
    <m/>
    <m/>
    <s v="20250427-31.03.2025"/>
    <x v="0"/>
    <x v="1"/>
    <x v="0"/>
    <m/>
  </r>
  <r>
    <x v="0"/>
    <x v="0"/>
    <x v="375"/>
    <x v="46"/>
    <x v="231"/>
    <s v="094132526-8011 "/>
    <s v="AA"/>
    <n v="5.65"/>
    <n v="226"/>
    <n v="1276.9000000000001"/>
    <x v="129"/>
    <n v="19"/>
    <n v="2025"/>
    <n v="0"/>
    <x v="61"/>
    <n v="0"/>
    <m/>
    <s v="approved"/>
    <n v="42"/>
    <s v="no"/>
    <m/>
    <m/>
    <m/>
    <m/>
    <m/>
    <m/>
    <x v="0"/>
    <x v="365"/>
    <x v="1418"/>
    <n v="5410716"/>
    <s v="TK.KWSE20-A-0038-WW1"/>
    <n v="226"/>
    <n v="1276.9000000000001"/>
    <m/>
    <m/>
    <s v="20250587-06.05.2025"/>
    <x v="0"/>
    <x v="2"/>
    <x v="0"/>
    <m/>
  </r>
  <r>
    <x v="0"/>
    <x v="0"/>
    <x v="375"/>
    <x v="46"/>
    <x v="231"/>
    <s v="094132526-8011 "/>
    <s v="AA"/>
    <n v="5.65"/>
    <n v="35"/>
    <n v="197.75"/>
    <x v="10"/>
    <n v="20"/>
    <n v="2025"/>
    <n v="0"/>
    <x v="61"/>
    <n v="0"/>
    <m/>
    <s v="approved"/>
    <n v="0.72916666666666663"/>
    <s v="no"/>
    <m/>
    <m/>
    <m/>
    <m/>
    <m/>
    <m/>
    <x v="0"/>
    <x v="150"/>
    <x v="1419"/>
    <n v="5410716"/>
    <s v="TK.KWSE20-A-0038-WW1"/>
    <n v="35"/>
    <n v="197.75"/>
    <m/>
    <m/>
    <s v="20250709-05.06.2025"/>
    <x v="1"/>
    <x v="2"/>
    <x v="0"/>
    <m/>
  </r>
  <r>
    <x v="0"/>
    <x v="0"/>
    <x v="375"/>
    <x v="46"/>
    <x v="231"/>
    <s v="094132526-8011 "/>
    <s v="AA"/>
    <n v="5.65"/>
    <n v="45"/>
    <n v="254.25000000000003"/>
    <x v="10"/>
    <n v="20"/>
    <n v="2025"/>
    <n v="0"/>
    <x v="61"/>
    <n v="0"/>
    <m/>
    <s v="approved"/>
    <n v="42"/>
    <s v="no"/>
    <m/>
    <m/>
    <m/>
    <m/>
    <m/>
    <m/>
    <x v="0"/>
    <x v="48"/>
    <x v="1420"/>
    <n v="5410716"/>
    <s v="TK.KWSE20-A-0038-WW1"/>
    <n v="45"/>
    <n v="254.25000000000003"/>
    <m/>
    <m/>
    <s v="20250719-10.06.2025"/>
    <x v="1"/>
    <x v="2"/>
    <x v="0"/>
    <m/>
  </r>
  <r>
    <x v="0"/>
    <x v="0"/>
    <x v="375"/>
    <x v="46"/>
    <x v="231"/>
    <s v="094132526-8011 "/>
    <s v="AA"/>
    <n v="5.65"/>
    <n v="58"/>
    <n v="327.70000000000005"/>
    <x v="10"/>
    <n v="20"/>
    <n v="2025"/>
    <n v="0"/>
    <x v="61"/>
    <n v="0"/>
    <m/>
    <s v="approved"/>
    <n v="42"/>
    <s v="no"/>
    <m/>
    <m/>
    <m/>
    <m/>
    <m/>
    <m/>
    <x v="0"/>
    <x v="46"/>
    <x v="1421"/>
    <n v="5410716"/>
    <s v="TK.KWSE20-A-0038-WW1"/>
    <n v="58"/>
    <n v="327.70000000000005"/>
    <m/>
    <m/>
    <s v="20250756-17.06.2025"/>
    <x v="1"/>
    <x v="2"/>
    <x v="0"/>
    <m/>
  </r>
  <r>
    <x v="0"/>
    <x v="0"/>
    <x v="375"/>
    <x v="46"/>
    <x v="231"/>
    <s v="094132526-8011 "/>
    <s v="AA"/>
    <n v="5.65"/>
    <n v="65"/>
    <n v="367.25"/>
    <x v="10"/>
    <n v="20"/>
    <n v="2025"/>
    <n v="0"/>
    <x v="61"/>
    <n v="0"/>
    <m/>
    <s v="approved"/>
    <n v="42"/>
    <s v="no"/>
    <m/>
    <m/>
    <m/>
    <m/>
    <m/>
    <m/>
    <x v="0"/>
    <x v="154"/>
    <x v="1422"/>
    <n v="5410716"/>
    <s v="TK.KWSE20-A-0038-WW1"/>
    <n v="65"/>
    <n v="367.25"/>
    <m/>
    <m/>
    <s v="20250762-19.06.2025"/>
    <x v="1"/>
    <x v="2"/>
    <x v="0"/>
    <m/>
  </r>
  <r>
    <x v="0"/>
    <x v="0"/>
    <x v="375"/>
    <x v="46"/>
    <x v="231"/>
    <s v="094132526-8011 "/>
    <s v="AA"/>
    <n v="5.65"/>
    <n v="74"/>
    <n v="418.1"/>
    <x v="10"/>
    <n v="20"/>
    <n v="2025"/>
    <n v="0"/>
    <x v="61"/>
    <n v="0"/>
    <m/>
    <s v="approved"/>
    <n v="42"/>
    <s v="no"/>
    <m/>
    <m/>
    <m/>
    <m/>
    <m/>
    <m/>
    <x v="0"/>
    <x v="194"/>
    <x v="1423"/>
    <n v="5410716"/>
    <s v="TK.KWSE20-A-0038-WW1"/>
    <n v="74"/>
    <n v="418.1"/>
    <m/>
    <m/>
    <s v="20250847-02.07.2025"/>
    <x v="1"/>
    <x v="2"/>
    <x v="0"/>
    <m/>
  </r>
  <r>
    <x v="0"/>
    <x v="0"/>
    <x v="375"/>
    <x v="46"/>
    <x v="231"/>
    <s v="094132526-8011 "/>
    <s v="AA"/>
    <n v="5.65"/>
    <n v="148"/>
    <n v="836.2"/>
    <x v="258"/>
    <n v="21"/>
    <n v="2025"/>
    <n v="0"/>
    <x v="61"/>
    <n v="0"/>
    <m/>
    <s v="approved"/>
    <n v="42"/>
    <s v="no"/>
    <m/>
    <m/>
    <m/>
    <m/>
    <m/>
    <m/>
    <x v="0"/>
    <x v="195"/>
    <x v="1424"/>
    <n v="5410716"/>
    <s v="TK.KWSE20-A-0038-WW1"/>
    <n v="148"/>
    <n v="836.2"/>
    <m/>
    <m/>
    <s v="20250856-02.07.2025"/>
    <x v="1"/>
    <x v="2"/>
    <x v="0"/>
    <m/>
  </r>
  <r>
    <x v="0"/>
    <x v="0"/>
    <x v="375"/>
    <x v="46"/>
    <x v="231"/>
    <s v="094132526-8011 "/>
    <s v="AA"/>
    <n v="5.65"/>
    <n v="79"/>
    <n v="446.35"/>
    <x v="258"/>
    <n v="21"/>
    <n v="2025"/>
    <n v="0"/>
    <x v="61"/>
    <n v="0"/>
    <m/>
    <s v="approved"/>
    <n v="42"/>
    <s v="no"/>
    <m/>
    <m/>
    <m/>
    <m/>
    <m/>
    <m/>
    <x v="0"/>
    <x v="196"/>
    <x v="1425"/>
    <n v="5410716"/>
    <s v="TK.KWSE20-A-0038-WW1"/>
    <n v="79"/>
    <n v="446.35"/>
    <m/>
    <m/>
    <s v="20250863-04.07.2025"/>
    <x v="1"/>
    <x v="2"/>
    <x v="0"/>
    <m/>
  </r>
  <r>
    <x v="0"/>
    <x v="0"/>
    <x v="375"/>
    <x v="46"/>
    <x v="231"/>
    <s v="094132526-8011 "/>
    <s v="AA"/>
    <n v="5.65"/>
    <n v="123"/>
    <n v="694.95"/>
    <x v="153"/>
    <n v="24"/>
    <n v="2025"/>
    <n v="0"/>
    <x v="61"/>
    <n v="0"/>
    <m/>
    <s v="approved"/>
    <n v="2.5625"/>
    <m/>
    <m/>
    <m/>
    <m/>
    <m/>
    <m/>
    <m/>
    <x v="0"/>
    <x v="250"/>
    <x v="1426"/>
    <n v="5410716"/>
    <s v="TK.KWSE20-A-0038-WW1"/>
    <n v="123"/>
    <n v="694.95"/>
    <m/>
    <m/>
    <s v="20250887-08.07.2025"/>
    <x v="1"/>
    <x v="0"/>
    <x v="0"/>
    <m/>
  </r>
  <r>
    <x v="0"/>
    <x v="0"/>
    <x v="375"/>
    <x v="46"/>
    <x v="231"/>
    <s v="094132526-8011 "/>
    <s v="AA"/>
    <n v="5.65"/>
    <n v="131"/>
    <n v="740.15000000000009"/>
    <x v="153"/>
    <n v="24"/>
    <n v="2025"/>
    <n v="0"/>
    <x v="61"/>
    <n v="0"/>
    <m/>
    <s v="approved"/>
    <n v="2.7291666666666665"/>
    <m/>
    <m/>
    <m/>
    <m/>
    <m/>
    <m/>
    <m/>
    <x v="0"/>
    <x v="251"/>
    <x v="1427"/>
    <n v="5410716"/>
    <s v="TK.KWSE20-A-0038-WW1"/>
    <n v="131"/>
    <n v="740.15000000000009"/>
    <m/>
    <m/>
    <s v="20250883-09.07.2025"/>
    <x v="1"/>
    <x v="0"/>
    <x v="0"/>
    <m/>
  </r>
  <r>
    <x v="0"/>
    <x v="0"/>
    <x v="375"/>
    <x v="46"/>
    <x v="231"/>
    <s v="094132526-8011 "/>
    <s v="AA"/>
    <n v="5.65"/>
    <n v="84"/>
    <n v="474.6"/>
    <x v="153"/>
    <n v="24"/>
    <n v="2025"/>
    <n v="0"/>
    <x v="61"/>
    <n v="0"/>
    <m/>
    <s v="approved"/>
    <n v="42"/>
    <s v="no"/>
    <m/>
    <m/>
    <m/>
    <m/>
    <m/>
    <m/>
    <x v="0"/>
    <x v="251"/>
    <x v="1428"/>
    <n v="5410716"/>
    <s v="TK.KWSE20-A-0038-WW1"/>
    <n v="84"/>
    <n v="474.6"/>
    <m/>
    <m/>
    <s v="20250888-09.07.2025"/>
    <x v="1"/>
    <x v="0"/>
    <x v="0"/>
    <m/>
  </r>
  <r>
    <x v="0"/>
    <x v="0"/>
    <x v="375"/>
    <x v="46"/>
    <x v="231"/>
    <s v="094132526-8011 "/>
    <s v="AA"/>
    <n v="5.65"/>
    <n v="97"/>
    <n v="548.05000000000007"/>
    <x v="459"/>
    <n v="25"/>
    <n v="2025"/>
    <n v="0"/>
    <x v="61"/>
    <n v="0"/>
    <m/>
    <s v="approved"/>
    <n v="42"/>
    <s v="no"/>
    <m/>
    <m/>
    <m/>
    <m/>
    <m/>
    <m/>
    <x v="0"/>
    <x v="100"/>
    <x v="1429"/>
    <n v="5410716"/>
    <s v="TK.KWSE20-A-0038-WW1"/>
    <n v="97"/>
    <n v="548.05000000000007"/>
    <m/>
    <m/>
    <s v="20250897-10.07.2025"/>
    <x v="1"/>
    <x v="0"/>
    <x v="0"/>
    <m/>
  </r>
  <r>
    <x v="0"/>
    <x v="0"/>
    <x v="375"/>
    <x v="46"/>
    <x v="231"/>
    <s v="094132526-8011 "/>
    <s v="AA"/>
    <n v="5.65"/>
    <n v="87"/>
    <n v="491.55"/>
    <x v="459"/>
    <n v="25"/>
    <n v="2025"/>
    <n v="0"/>
    <x v="61"/>
    <n v="0"/>
    <m/>
    <s v="approved"/>
    <n v="42"/>
    <s v="no"/>
    <m/>
    <m/>
    <m/>
    <m/>
    <m/>
    <m/>
    <x v="0"/>
    <x v="281"/>
    <x v="1430"/>
    <n v="5410716"/>
    <s v="TK.KWSE20-A-0038-WW1"/>
    <n v="87"/>
    <n v="491.55"/>
    <m/>
    <m/>
    <s v="20250903-11.07.2025"/>
    <x v="1"/>
    <x v="0"/>
    <x v="0"/>
    <m/>
  </r>
  <r>
    <x v="0"/>
    <x v="0"/>
    <x v="375"/>
    <x v="46"/>
    <x v="231"/>
    <s v="094132526-8011 "/>
    <s v="AA"/>
    <n v="5.65"/>
    <n v="110"/>
    <n v="621.5"/>
    <x v="230"/>
    <n v="26"/>
    <n v="2025"/>
    <n v="0"/>
    <x v="61"/>
    <n v="0"/>
    <m/>
    <s v="approved"/>
    <n v="42"/>
    <s v="no"/>
    <m/>
    <m/>
    <m/>
    <m/>
    <m/>
    <m/>
    <x v="0"/>
    <x v="282"/>
    <x v="1431"/>
    <n v="5410716"/>
    <s v="TK.KWSE20-A-0038-WW1"/>
    <n v="110"/>
    <n v="621.5"/>
    <m/>
    <m/>
    <s v="20250914-14.07.2025"/>
    <x v="1"/>
    <x v="0"/>
    <x v="0"/>
    <m/>
  </r>
  <r>
    <x v="0"/>
    <x v="0"/>
    <x v="375"/>
    <x v="46"/>
    <x v="231"/>
    <s v="094132526-8011 "/>
    <s v="AA"/>
    <n v="5.65"/>
    <n v="87"/>
    <n v="491.55"/>
    <x v="230"/>
    <n v="26"/>
    <n v="2025"/>
    <n v="0"/>
    <x v="61"/>
    <n v="0"/>
    <m/>
    <s v="approved"/>
    <n v="42"/>
    <s v="no"/>
    <m/>
    <m/>
    <m/>
    <m/>
    <m/>
    <m/>
    <x v="0"/>
    <x v="181"/>
    <x v="1432"/>
    <n v="5410716"/>
    <s v="TK.KWSE20-A-0038-WW1"/>
    <n v="87"/>
    <n v="491.55"/>
    <m/>
    <m/>
    <s v="20250917-15.07.2025"/>
    <x v="1"/>
    <x v="0"/>
    <x v="0"/>
    <m/>
  </r>
  <r>
    <x v="0"/>
    <x v="0"/>
    <x v="375"/>
    <x v="46"/>
    <x v="231"/>
    <s v="094132526-8011 "/>
    <s v="AA"/>
    <n v="5.65"/>
    <n v="96"/>
    <n v="542.40000000000009"/>
    <x v="230"/>
    <n v="26"/>
    <n v="2025"/>
    <n v="0"/>
    <x v="61"/>
    <n v="0"/>
    <m/>
    <s v="approved"/>
    <n v="42"/>
    <s v="no"/>
    <m/>
    <m/>
    <m/>
    <m/>
    <m/>
    <m/>
    <x v="0"/>
    <x v="366"/>
    <x v="1433"/>
    <n v="5410716"/>
    <s v="TK.KWSE20-A-0038-WW1"/>
    <n v="96"/>
    <n v="542.40000000000009"/>
    <m/>
    <m/>
    <s v="20250930-16.07.2025"/>
    <x v="1"/>
    <x v="0"/>
    <x v="0"/>
    <m/>
  </r>
  <r>
    <x v="0"/>
    <x v="0"/>
    <x v="375"/>
    <x v="46"/>
    <x v="231"/>
    <s v="094132526-8011 "/>
    <s v="AA"/>
    <n v="5.65"/>
    <n v="96"/>
    <n v="542.40000000000009"/>
    <x v="230"/>
    <n v="26"/>
    <n v="2025"/>
    <n v="0"/>
    <x v="61"/>
    <n v="0"/>
    <m/>
    <s v="approved"/>
    <n v="42"/>
    <s v="no"/>
    <m/>
    <m/>
    <m/>
    <m/>
    <m/>
    <m/>
    <x v="0"/>
    <x v="130"/>
    <x v="1434"/>
    <n v="5410716"/>
    <s v="TK.KWSE20-A-0038-WW1"/>
    <n v="96"/>
    <n v="542.40000000000009"/>
    <m/>
    <m/>
    <s v="20250934-17.07.2025"/>
    <x v="1"/>
    <x v="0"/>
    <x v="0"/>
    <m/>
  </r>
  <r>
    <x v="0"/>
    <x v="0"/>
    <x v="375"/>
    <x v="46"/>
    <x v="231"/>
    <s v="094132526-8011 "/>
    <s v="AA"/>
    <n v="5.65"/>
    <n v="52"/>
    <n v="293.8"/>
    <x v="230"/>
    <n v="26"/>
    <n v="2025"/>
    <n v="0"/>
    <x v="61"/>
    <n v="0"/>
    <m/>
    <s v="approved"/>
    <n v="42"/>
    <s v="no"/>
    <m/>
    <m/>
    <m/>
    <m/>
    <m/>
    <m/>
    <x v="0"/>
    <x v="130"/>
    <x v="1435"/>
    <n v="5410716"/>
    <s v="TK.KWSE20-A-0038-WW1"/>
    <n v="52"/>
    <n v="293.8"/>
    <m/>
    <m/>
    <s v="20250951-18.07.2025"/>
    <x v="1"/>
    <x v="0"/>
    <x v="0"/>
    <m/>
  </r>
  <r>
    <x v="0"/>
    <x v="0"/>
    <x v="375"/>
    <x v="46"/>
    <x v="231"/>
    <s v="094132526-8011 "/>
    <s v="AA"/>
    <n v="5.65"/>
    <n v="47"/>
    <n v="265.55"/>
    <x v="460"/>
    <n v="29"/>
    <n v="2025"/>
    <n v="0"/>
    <x v="61"/>
    <n v="0"/>
    <m/>
    <s v="approved"/>
    <n v="42"/>
    <s v="no"/>
    <m/>
    <m/>
    <m/>
    <m/>
    <m/>
    <m/>
    <x v="0"/>
    <x v="7"/>
    <x v="1436"/>
    <n v="5410716"/>
    <s v="TK.KWSE20-A-0038-WW1"/>
    <n v="47"/>
    <n v="265.55"/>
    <m/>
    <m/>
    <s v="20250950-21.07.2025"/>
    <x v="1"/>
    <x v="8"/>
    <x v="0"/>
    <m/>
  </r>
  <r>
    <x v="0"/>
    <x v="0"/>
    <x v="375"/>
    <x v="46"/>
    <x v="231"/>
    <s v="094132526-8011 "/>
    <s v="AA"/>
    <n v="5.65"/>
    <n v="104"/>
    <n v="587.6"/>
    <x v="299"/>
    <n v="30"/>
    <n v="2025"/>
    <n v="0"/>
    <x v="61"/>
    <n v="0"/>
    <m/>
    <s v="approved"/>
    <n v="42"/>
    <s v="no"/>
    <m/>
    <m/>
    <m/>
    <m/>
    <m/>
    <m/>
    <x v="0"/>
    <x v="367"/>
    <x v="1437"/>
    <n v="5410716"/>
    <s v="TK.KWSE20-A-0038-WW1"/>
    <n v="104"/>
    <n v="587.6"/>
    <m/>
    <m/>
    <s v="20250970-22.07.2025"/>
    <x v="0"/>
    <x v="8"/>
    <x v="0"/>
    <m/>
  </r>
  <r>
    <x v="0"/>
    <x v="0"/>
    <x v="375"/>
    <x v="46"/>
    <x v="231"/>
    <s v="094132526-8011 "/>
    <s v="AA"/>
    <n v="5.65"/>
    <n v="41"/>
    <n v="231.65"/>
    <x v="376"/>
    <n v="31"/>
    <n v="2025"/>
    <n v="0"/>
    <x v="61"/>
    <n v="0"/>
    <m/>
    <s v="approved"/>
    <n v="42"/>
    <s v="no"/>
    <m/>
    <m/>
    <m/>
    <m/>
    <m/>
    <m/>
    <x v="0"/>
    <x v="368"/>
    <x v="1438"/>
    <n v="5410716"/>
    <s v="TK.KWSE20-A-0038-WW1"/>
    <n v="41"/>
    <n v="231.65"/>
    <m/>
    <m/>
    <s v="20250973-23.07.2025"/>
    <x v="0"/>
    <x v="8"/>
    <x v="0"/>
    <m/>
  </r>
  <r>
    <x v="0"/>
    <x v="0"/>
    <x v="375"/>
    <x v="46"/>
    <x v="231"/>
    <s v="094132526-8011 "/>
    <s v="AA"/>
    <n v="5.65"/>
    <n v="79"/>
    <n v="446.35"/>
    <x v="165"/>
    <n v="31"/>
    <n v="2025"/>
    <n v="0"/>
    <x v="61"/>
    <n v="0"/>
    <m/>
    <s v="approved"/>
    <n v="42"/>
    <s v="no"/>
    <m/>
    <m/>
    <m/>
    <m/>
    <m/>
    <m/>
    <x v="0"/>
    <x v="197"/>
    <x v="1439"/>
    <n v="5410716"/>
    <s v="TK.KWSE20-A-0038-WW1"/>
    <n v="79"/>
    <n v="446.35"/>
    <m/>
    <m/>
    <s v="20250982-25.07.2025"/>
    <x v="0"/>
    <x v="8"/>
    <x v="0"/>
    <m/>
  </r>
  <r>
    <x v="0"/>
    <x v="0"/>
    <x v="375"/>
    <x v="46"/>
    <x v="231"/>
    <s v="094132526-8011 "/>
    <s v="AA"/>
    <n v="5.65"/>
    <n v="125"/>
    <n v="706.25"/>
    <x v="165"/>
    <n v="31"/>
    <n v="2025"/>
    <n v="0"/>
    <x v="61"/>
    <n v="0"/>
    <m/>
    <s v="approved"/>
    <n v="42"/>
    <s v="no"/>
    <m/>
    <m/>
    <m/>
    <m/>
    <m/>
    <m/>
    <x v="0"/>
    <x v="198"/>
    <x v="1440"/>
    <n v="5410716"/>
    <s v="TK.KWSE20-A-0038-WW1"/>
    <n v="125"/>
    <n v="706.25"/>
    <m/>
    <m/>
    <s v="20250987-25.07.2025"/>
    <x v="0"/>
    <x v="8"/>
    <x v="0"/>
    <m/>
  </r>
  <r>
    <x v="0"/>
    <x v="0"/>
    <x v="375"/>
    <x v="46"/>
    <x v="231"/>
    <s v="094132526-8011 "/>
    <s v="AA"/>
    <n v="5.65"/>
    <n v="103"/>
    <n v="581.95000000000005"/>
    <x v="461"/>
    <n v="34"/>
    <n v="2025"/>
    <n v="0"/>
    <x v="61"/>
    <n v="0"/>
    <m/>
    <s v="approved"/>
    <n v="42"/>
    <s v="no"/>
    <m/>
    <m/>
    <m/>
    <m/>
    <m/>
    <m/>
    <x v="0"/>
    <x v="104"/>
    <x v="1441"/>
    <n v="5410716"/>
    <s v="TK.KWSE20-A-0038-WW1"/>
    <n v="103"/>
    <n v="581.95000000000005"/>
    <m/>
    <m/>
    <s v="20251125-28.08.2025"/>
    <x v="1"/>
    <x v="9"/>
    <x v="0"/>
    <m/>
  </r>
  <r>
    <x v="0"/>
    <x v="0"/>
    <x v="375"/>
    <x v="46"/>
    <x v="231"/>
    <s v="094132526-8011 "/>
    <s v="AA"/>
    <n v="5.65"/>
    <n v="30"/>
    <n v="169.5"/>
    <x v="391"/>
    <n v="34"/>
    <n v="2025"/>
    <n v="0"/>
    <x v="61"/>
    <n v="0"/>
    <m/>
    <s v="approved"/>
    <n v="42"/>
    <s v="no"/>
    <m/>
    <m/>
    <m/>
    <m/>
    <m/>
    <m/>
    <x v="0"/>
    <x v="104"/>
    <x v="1441"/>
    <n v="5410716"/>
    <s v="TK.KWSE20-A-0038-WW1"/>
    <n v="30"/>
    <n v="169.5"/>
    <m/>
    <m/>
    <s v="20251125-28.08.2025"/>
    <x v="1"/>
    <x v="9"/>
    <x v="0"/>
    <m/>
  </r>
  <r>
    <x v="0"/>
    <x v="0"/>
    <x v="375"/>
    <x v="46"/>
    <x v="231"/>
    <s v="094132526-8011 "/>
    <s v="AA"/>
    <n v="5.65"/>
    <n v="70"/>
    <n v="395.5"/>
    <x v="391"/>
    <n v="34"/>
    <n v="2025"/>
    <n v="0"/>
    <x v="61"/>
    <n v="0"/>
    <m/>
    <s v="approved"/>
    <n v="42"/>
    <s v="no"/>
    <m/>
    <m/>
    <m/>
    <m/>
    <m/>
    <m/>
    <x v="0"/>
    <x v="161"/>
    <x v="1442"/>
    <n v="5410716"/>
    <s v="TK.KWSE20-A-0038-WW1"/>
    <n v="70"/>
    <n v="395.5"/>
    <m/>
    <m/>
    <s v="20251128-29.08.2025"/>
    <x v="1"/>
    <x v="9"/>
    <x v="0"/>
    <m/>
  </r>
  <r>
    <x v="0"/>
    <x v="0"/>
    <x v="375"/>
    <x v="46"/>
    <x v="231"/>
    <s v="094132526-8011 "/>
    <s v="AA"/>
    <n v="5.65"/>
    <n v="50"/>
    <n v="282.5"/>
    <x v="462"/>
    <n v="35"/>
    <n v="2025"/>
    <n v="0"/>
    <x v="61"/>
    <n v="0"/>
    <m/>
    <s v="approved"/>
    <n v="42"/>
    <s v="no"/>
    <m/>
    <m/>
    <m/>
    <m/>
    <m/>
    <m/>
    <x v="0"/>
    <x v="161"/>
    <x v="1442"/>
    <n v="5410716"/>
    <s v="TK.KWSE20-A-0038-WW1"/>
    <n v="50"/>
    <n v="282.5"/>
    <m/>
    <m/>
    <s v="20251128-29.08.2025"/>
    <x v="0"/>
    <x v="9"/>
    <x v="0"/>
    <m/>
  </r>
  <r>
    <x v="0"/>
    <x v="0"/>
    <x v="375"/>
    <x v="46"/>
    <x v="231"/>
    <s v="094132526-8011 "/>
    <s v="AA"/>
    <n v="5.65"/>
    <n v="96"/>
    <n v="542.40000000000009"/>
    <x v="462"/>
    <n v="35"/>
    <n v="2025"/>
    <n v="0"/>
    <x v="61"/>
    <n v="0"/>
    <m/>
    <s v="approved"/>
    <n v="42"/>
    <s v="no"/>
    <m/>
    <m/>
    <m/>
    <m/>
    <m/>
    <m/>
    <x v="0"/>
    <x v="173"/>
    <x v="1443"/>
    <n v="5410716"/>
    <s v="TK.KWSE20-A-0038-WW1"/>
    <n v="96"/>
    <n v="542.40000000000009"/>
    <m/>
    <m/>
    <s v="20251138-01.09.2025"/>
    <x v="1"/>
    <x v="9"/>
    <x v="0"/>
    <m/>
  </r>
  <r>
    <x v="0"/>
    <x v="0"/>
    <x v="376"/>
    <x v="196"/>
    <x v="231"/>
    <s v="094132526-8011 "/>
    <s v="AA"/>
    <n v="5.65"/>
    <n v="96"/>
    <n v="542.40000000000009"/>
    <x v="463"/>
    <n v="38"/>
    <n v="2025"/>
    <n v="0"/>
    <x v="61"/>
    <n v="0"/>
    <m/>
    <s v="approved"/>
    <n v="42"/>
    <s v="no"/>
    <m/>
    <m/>
    <m/>
    <m/>
    <m/>
    <m/>
    <x v="0"/>
    <x v="369"/>
    <x v="1444"/>
    <n v="50087710"/>
    <s v="TK.KWSE20-A-0038-WW1"/>
    <n v="96"/>
    <n v="542.40000000000009"/>
    <m/>
    <m/>
    <s v="20251155-05.09.2025"/>
    <x v="0"/>
    <x v="10"/>
    <x v="0"/>
    <m/>
  </r>
  <r>
    <x v="0"/>
    <x v="0"/>
    <x v="376"/>
    <x v="196"/>
    <x v="231"/>
    <s v="094132526-8011 "/>
    <s v="AA"/>
    <n v="5.65"/>
    <n v="172"/>
    <n v="971.80000000000007"/>
    <x v="463"/>
    <n v="38"/>
    <n v="2025"/>
    <n v="0"/>
    <x v="61"/>
    <n v="0"/>
    <m/>
    <s v="approved"/>
    <n v="42"/>
    <m/>
    <m/>
    <m/>
    <m/>
    <m/>
    <m/>
    <m/>
    <x v="0"/>
    <x v="370"/>
    <x v="1445"/>
    <n v="50087710"/>
    <s v="TK.KWSE20-A-0038-WW1"/>
    <n v="172"/>
    <n v="971.80000000000007"/>
    <m/>
    <m/>
    <s v="20251158-09.09.2025"/>
    <x v="0"/>
    <x v="10"/>
    <x v="0"/>
    <m/>
  </r>
  <r>
    <x v="0"/>
    <x v="0"/>
    <x v="375"/>
    <x v="46"/>
    <x v="231"/>
    <s v="094132526-8011 "/>
    <s v="AA"/>
    <n v="5.65"/>
    <n v="51"/>
    <n v="288.15000000000003"/>
    <x v="463"/>
    <n v="38"/>
    <n v="2025"/>
    <n v="0"/>
    <x v="61"/>
    <n v="0"/>
    <m/>
    <s v="approved"/>
    <n v="42"/>
    <s v="no"/>
    <m/>
    <m/>
    <m/>
    <m/>
    <m/>
    <m/>
    <x v="0"/>
    <x v="31"/>
    <x v="1446"/>
    <n v="5410716"/>
    <s v="TK.KWSE20-A-0038-WW1"/>
    <n v="51"/>
    <n v="288.15000000000003"/>
    <m/>
    <m/>
    <s v="20251317-16.10.2025"/>
    <x v="1"/>
    <x v="10"/>
    <x v="0"/>
    <m/>
  </r>
  <r>
    <x v="0"/>
    <x v="0"/>
    <x v="376"/>
    <x v="196"/>
    <x v="231"/>
    <s v="094132526-8011 "/>
    <s v="AA"/>
    <n v="5.65"/>
    <n v="32"/>
    <n v="180.8"/>
    <x v="463"/>
    <n v="38"/>
    <n v="2025"/>
    <n v="0"/>
    <x v="61"/>
    <n v="0"/>
    <m/>
    <s v="approved"/>
    <n v="42"/>
    <s v="no"/>
    <m/>
    <m/>
    <m/>
    <m/>
    <m/>
    <m/>
    <x v="0"/>
    <x v="31"/>
    <x v="1446"/>
    <n v="50087710"/>
    <s v="TK.KWSE20-A-0038-WW1"/>
    <n v="32"/>
    <n v="180.8"/>
    <m/>
    <s v="REBUTURI"/>
    <s v="20251318-16.10.2025"/>
    <x v="1"/>
    <x v="10"/>
    <x v="0"/>
    <m/>
  </r>
  <r>
    <x v="0"/>
    <x v="0"/>
    <x v="375"/>
    <x v="46"/>
    <x v="231"/>
    <s v="094132526-8011 "/>
    <s v="AA"/>
    <n v="5.65"/>
    <n v="57"/>
    <n v="322.05"/>
    <x v="356"/>
    <n v="43"/>
    <n v="2025"/>
    <n v="0"/>
    <x v="61"/>
    <n v="0"/>
    <m/>
    <s v="approved"/>
    <n v="1.1875"/>
    <m/>
    <m/>
    <m/>
    <m/>
    <m/>
    <m/>
    <m/>
    <x v="0"/>
    <x v="31"/>
    <x v="1446"/>
    <n v="5410716"/>
    <s v="TK.KWSE20-A-0038-WW1"/>
    <n v="57"/>
    <n v="322.05"/>
    <m/>
    <m/>
    <s v="20251317-16.10.2025"/>
    <x v="0"/>
    <x v="11"/>
    <x v="0"/>
    <m/>
  </r>
  <r>
    <x v="0"/>
    <x v="0"/>
    <x v="375"/>
    <x v="46"/>
    <x v="231"/>
    <s v="094132526-8011 "/>
    <s v="AA"/>
    <n v="5.65"/>
    <n v="48"/>
    <n v="271.20000000000005"/>
    <x v="356"/>
    <n v="43"/>
    <n v="2025"/>
    <n v="0"/>
    <x v="61"/>
    <n v="0"/>
    <m/>
    <s v="approved"/>
    <n v="1"/>
    <m/>
    <m/>
    <m/>
    <m/>
    <m/>
    <m/>
    <m/>
    <x v="0"/>
    <x v="116"/>
    <x v="1447"/>
    <n v="5410716"/>
    <s v="TK.KWSE20-A-0038-WW1"/>
    <n v="48"/>
    <n v="271.20000000000005"/>
    <m/>
    <m/>
    <s v="20251323-17.10.2025"/>
    <x v="0"/>
    <x v="11"/>
    <x v="0"/>
    <m/>
  </r>
  <r>
    <x v="0"/>
    <x v="0"/>
    <x v="375"/>
    <x v="46"/>
    <x v="231"/>
    <s v="094132526-8011 "/>
    <s v="AA"/>
    <n v="5.65"/>
    <n v="95"/>
    <n v="536.75"/>
    <x v="356"/>
    <n v="43"/>
    <n v="2025"/>
    <n v="0"/>
    <x v="61"/>
    <n v="0"/>
    <m/>
    <s v="approved"/>
    <n v="42"/>
    <s v="no"/>
    <m/>
    <m/>
    <m/>
    <m/>
    <m/>
    <m/>
    <x v="0"/>
    <x v="117"/>
    <x v="1448"/>
    <n v="5410716"/>
    <s v="TK.KWSE20-A-0038-WW1"/>
    <n v="95"/>
    <n v="536.75"/>
    <m/>
    <m/>
    <s v="20251339-21.10.2025"/>
    <x v="0"/>
    <x v="11"/>
    <x v="0"/>
    <m/>
  </r>
  <r>
    <x v="0"/>
    <x v="0"/>
    <x v="375"/>
    <x v="46"/>
    <x v="231"/>
    <s v="094132526-8011 "/>
    <s v="AA"/>
    <n v="5.65"/>
    <n v="49"/>
    <n v="276.85000000000002"/>
    <x v="392"/>
    <n v="43"/>
    <n v="2025"/>
    <n v="0"/>
    <x v="61"/>
    <n v="0"/>
    <m/>
    <s v="approved"/>
    <n v="1.0208333333333333"/>
    <m/>
    <m/>
    <m/>
    <m/>
    <m/>
    <m/>
    <m/>
    <x v="0"/>
    <x v="117"/>
    <x v="1448"/>
    <n v="5410716"/>
    <s v="TK.KWSE20-A-0038-WW1"/>
    <n v="49"/>
    <n v="276.85000000000002"/>
    <m/>
    <m/>
    <s v="20251339-21.10.2025"/>
    <x v="0"/>
    <x v="11"/>
    <x v="0"/>
    <m/>
  </r>
  <r>
    <x v="0"/>
    <x v="0"/>
    <x v="375"/>
    <x v="46"/>
    <x v="231"/>
    <s v="094132526-8011 "/>
    <s v="AA"/>
    <n v="5.65"/>
    <n v="151"/>
    <n v="853.15000000000009"/>
    <x v="392"/>
    <n v="43"/>
    <n v="2025"/>
    <n v="0"/>
    <x v="61"/>
    <n v="0"/>
    <m/>
    <s v="approved"/>
    <n v="42"/>
    <s v="no"/>
    <m/>
    <m/>
    <m/>
    <m/>
    <m/>
    <m/>
    <x v="0"/>
    <x v="134"/>
    <x v="1449"/>
    <n v="5410716"/>
    <s v="TK.KWSE20-A-0038-WW1"/>
    <n v="151"/>
    <n v="853.15000000000009"/>
    <m/>
    <m/>
    <s v="20251348-23.10.2025"/>
    <x v="0"/>
    <x v="11"/>
    <x v="0"/>
    <m/>
  </r>
  <r>
    <x v="0"/>
    <x v="0"/>
    <x v="375"/>
    <x v="46"/>
    <x v="231"/>
    <s v="094132526-8011 "/>
    <s v="AA"/>
    <n v="5.65"/>
    <n v="65"/>
    <n v="367.25"/>
    <x v="151"/>
    <n v="44"/>
    <n v="2025"/>
    <n v="0"/>
    <x v="61"/>
    <n v="0"/>
    <m/>
    <s v="approved"/>
    <n v="1.3541666666666667"/>
    <m/>
    <m/>
    <m/>
    <m/>
    <m/>
    <m/>
    <m/>
    <x v="0"/>
    <x v="134"/>
    <x v="1449"/>
    <n v="5410716"/>
    <s v="TK.KWSE20-A-0038-WW1"/>
    <n v="65"/>
    <n v="367.25"/>
    <m/>
    <m/>
    <s v="20251348-23.10.2025"/>
    <x v="0"/>
    <x v="11"/>
    <x v="0"/>
    <m/>
  </r>
  <r>
    <x v="0"/>
    <x v="0"/>
    <x v="375"/>
    <x v="46"/>
    <x v="231"/>
    <s v="094132526-8011 "/>
    <s v="AA"/>
    <n v="5.65"/>
    <n v="144"/>
    <n v="813.6"/>
    <x v="151"/>
    <n v="44"/>
    <n v="2025"/>
    <n v="0"/>
    <x v="61"/>
    <n v="0"/>
    <m/>
    <s v="approved"/>
    <n v="42"/>
    <s v="no"/>
    <m/>
    <m/>
    <m/>
    <m/>
    <m/>
    <m/>
    <x v="0"/>
    <x v="47"/>
    <x v="1450"/>
    <n v="5410716"/>
    <s v="TK.KWSE20-A-0038-WW1"/>
    <n v="144"/>
    <n v="813.6"/>
    <m/>
    <m/>
    <s v="20251357-28.10.2025"/>
    <x v="0"/>
    <x v="11"/>
    <x v="0"/>
    <m/>
  </r>
  <r>
    <x v="0"/>
    <x v="0"/>
    <x v="375"/>
    <x v="197"/>
    <x v="231"/>
    <s v="094132526-8011 "/>
    <s v="AA"/>
    <n v="5.65"/>
    <n v="391"/>
    <n v="2209.15"/>
    <x v="121"/>
    <n v="49"/>
    <n v="2025"/>
    <n v="0"/>
    <x v="61"/>
    <n v="0"/>
    <m/>
    <s v="approved"/>
    <n v="42"/>
    <s v="no"/>
    <m/>
    <m/>
    <m/>
    <m/>
    <m/>
    <m/>
    <x v="0"/>
    <x v="118"/>
    <x v="1451"/>
    <n v="5410716"/>
    <s v="TK.KWSE20-A-0038-WW1"/>
    <n v="391"/>
    <n v="2209.15"/>
    <m/>
    <m/>
    <s v="20251403-04.11.2025"/>
    <x v="0"/>
    <x v="4"/>
    <x v="0"/>
    <m/>
  </r>
  <r>
    <x v="0"/>
    <x v="1"/>
    <x v="375"/>
    <x v="46"/>
    <x v="231"/>
    <s v="094132526-8011 "/>
    <s v="AA"/>
    <n v="5.65"/>
    <n v="51"/>
    <n v="288.15000000000003"/>
    <x v="122"/>
    <n v="51"/>
    <n v="2025"/>
    <n v="0"/>
    <x v="61"/>
    <n v="0"/>
    <m/>
    <s v="approved"/>
    <n v="1.0625"/>
    <m/>
    <m/>
    <m/>
    <m/>
    <m/>
    <m/>
    <m/>
    <x v="0"/>
    <x v="118"/>
    <x v="1451"/>
    <n v="5410716"/>
    <s v="TK.KWSE20-A-0038-WW1"/>
    <n v="51"/>
    <n v="288.15000000000003"/>
    <m/>
    <m/>
    <s v="20251403-04.11.2025"/>
    <x v="0"/>
    <x v="3"/>
    <x v="0"/>
    <m/>
  </r>
  <r>
    <x v="0"/>
    <x v="1"/>
    <x v="375"/>
    <x v="46"/>
    <x v="231"/>
    <s v="094132526-8011 "/>
    <s v="AA"/>
    <n v="5.65"/>
    <n v="749"/>
    <n v="4231.8500000000004"/>
    <x v="122"/>
    <n v="51"/>
    <n v="2025"/>
    <n v="0"/>
    <x v="61"/>
    <n v="0"/>
    <m/>
    <s v="approved"/>
    <n v="42"/>
    <s v="no"/>
    <m/>
    <m/>
    <m/>
    <m/>
    <m/>
    <m/>
    <x v="1"/>
    <x v="3"/>
    <x v="4"/>
    <s v=""/>
    <s v=""/>
    <m/>
    <n v="0"/>
    <m/>
    <m/>
    <m/>
    <x v="2"/>
    <x v="3"/>
    <x v="0"/>
    <m/>
  </r>
  <r>
    <x v="0"/>
    <x v="0"/>
    <x v="377"/>
    <x v="38"/>
    <x v="232"/>
    <s v="054380529-8011 "/>
    <n v="0"/>
    <n v="3.56"/>
    <n v="250"/>
    <n v="890"/>
    <x v="96"/>
    <n v="19"/>
    <n v="2024"/>
    <n v="0"/>
    <x v="61"/>
    <n v="0"/>
    <m/>
    <s v="approved"/>
    <n v="42"/>
    <s v="no"/>
    <m/>
    <m/>
    <m/>
    <m/>
    <m/>
    <n v="241705"/>
    <x v="0"/>
    <x v="313"/>
    <x v="1452"/>
    <n v="36635738"/>
    <s v="TK.KWVE15-B-A-ESC-0038-WW1"/>
    <n v="150"/>
    <n v="534"/>
    <m/>
    <m/>
    <s v="20240544-15.05.2024"/>
    <x v="1"/>
    <x v="2"/>
    <x v="1"/>
    <m/>
  </r>
  <r>
    <x v="0"/>
    <x v="0"/>
    <x v="377"/>
    <x v="38"/>
    <x v="232"/>
    <s v="054380529-8011 "/>
    <n v="0"/>
    <n v="3.56"/>
    <m/>
    <n v="0"/>
    <x v="96"/>
    <n v="19"/>
    <n v="2024"/>
    <n v="0"/>
    <x v="61"/>
    <n v="0"/>
    <m/>
    <s v="approved"/>
    <n v="42"/>
    <m/>
    <m/>
    <m/>
    <m/>
    <m/>
    <m/>
    <m/>
    <x v="0"/>
    <x v="209"/>
    <x v="1453"/>
    <n v="36635738"/>
    <s v="TK.KWVE15-B-A-ESC-0038-WW1"/>
    <n v="100"/>
    <n v="356"/>
    <m/>
    <m/>
    <s v="20240551-16.05.2024"/>
    <x v="1"/>
    <x v="2"/>
    <x v="1"/>
    <m/>
  </r>
  <r>
    <x v="0"/>
    <x v="0"/>
    <x v="378"/>
    <x v="38"/>
    <x v="232"/>
    <s v="054380529-8011 "/>
    <n v="0"/>
    <n v="3.56"/>
    <n v="250"/>
    <n v="890"/>
    <x v="426"/>
    <n v="19"/>
    <n v="2024"/>
    <n v="0"/>
    <x v="61"/>
    <n v="0"/>
    <m/>
    <s v="approved"/>
    <n v="42"/>
    <s v="no"/>
    <m/>
    <m/>
    <m/>
    <m/>
    <m/>
    <n v="241801"/>
    <x v="0"/>
    <x v="209"/>
    <x v="1454"/>
    <n v="36635745"/>
    <s v="TK.KWVE15-B-A-ESC-0038-WW1"/>
    <n v="100"/>
    <n v="356"/>
    <m/>
    <m/>
    <s v="20240554-16.05.2024"/>
    <x v="1"/>
    <x v="2"/>
    <x v="1"/>
    <m/>
  </r>
  <r>
    <x v="0"/>
    <x v="0"/>
    <x v="378"/>
    <x v="38"/>
    <x v="232"/>
    <s v="054380529-8011 "/>
    <n v="0"/>
    <n v="3.56"/>
    <m/>
    <n v="0"/>
    <x v="426"/>
    <n v="19"/>
    <n v="2024"/>
    <n v="0"/>
    <x v="61"/>
    <n v="0"/>
    <m/>
    <s v="approved"/>
    <n v="42"/>
    <m/>
    <m/>
    <m/>
    <m/>
    <m/>
    <m/>
    <m/>
    <x v="0"/>
    <x v="360"/>
    <x v="1455"/>
    <n v="36635745"/>
    <s v="TK.KWVE15-B-A-ESC-0038-WW1"/>
    <n v="75"/>
    <n v="267"/>
    <m/>
    <m/>
    <s v="20240563-20.05.2024"/>
    <x v="1"/>
    <x v="2"/>
    <x v="1"/>
    <m/>
  </r>
  <r>
    <x v="0"/>
    <x v="0"/>
    <x v="378"/>
    <x v="38"/>
    <x v="232"/>
    <s v="054380529-8011 "/>
    <n v="0"/>
    <n v="3.56"/>
    <m/>
    <n v="0"/>
    <x v="426"/>
    <n v="19"/>
    <n v="2024"/>
    <n v="0"/>
    <x v="61"/>
    <n v="0"/>
    <m/>
    <s v="approved"/>
    <n v="42"/>
    <m/>
    <m/>
    <m/>
    <m/>
    <m/>
    <m/>
    <m/>
    <x v="0"/>
    <x v="62"/>
    <x v="1456"/>
    <n v="36635745"/>
    <s v="TK.KWVE15-B-A-ESC-0038-WW1"/>
    <n v="75"/>
    <n v="267"/>
    <m/>
    <m/>
    <s v="20240572-21.05.2024"/>
    <x v="1"/>
    <x v="2"/>
    <x v="1"/>
    <m/>
  </r>
  <r>
    <x v="0"/>
    <x v="0"/>
    <x v="379"/>
    <x v="38"/>
    <x v="232"/>
    <s v="054380529-8011 "/>
    <n v="0"/>
    <n v="3.56"/>
    <n v="250"/>
    <n v="890"/>
    <x v="452"/>
    <n v="20"/>
    <n v="2024"/>
    <n v="0"/>
    <x v="61"/>
    <n v="0"/>
    <m/>
    <s v="approved"/>
    <n v="42"/>
    <s v="no"/>
    <m/>
    <m/>
    <m/>
    <m/>
    <m/>
    <n v="242001"/>
    <x v="0"/>
    <x v="62"/>
    <x v="1457"/>
    <n v="36635748"/>
    <s v="TK.KWVE15-B-A-ESC-0038-WW1"/>
    <n v="76"/>
    <n v="270.56"/>
    <m/>
    <m/>
    <s v="20240573-21.05.2024"/>
    <x v="1"/>
    <x v="2"/>
    <x v="1"/>
    <m/>
  </r>
  <r>
    <x v="0"/>
    <x v="0"/>
    <x v="379"/>
    <x v="38"/>
    <x v="232"/>
    <s v="054380529-8011 "/>
    <n v="0"/>
    <n v="3.56"/>
    <m/>
    <n v="0"/>
    <x v="452"/>
    <n v="20"/>
    <n v="2024"/>
    <n v="0"/>
    <x v="61"/>
    <n v="0"/>
    <m/>
    <s v="approved"/>
    <n v="42"/>
    <m/>
    <m/>
    <m/>
    <m/>
    <m/>
    <m/>
    <m/>
    <x v="0"/>
    <x v="213"/>
    <x v="1458"/>
    <n v="36635748"/>
    <s v="TK.KWVE15-B-A-ESC-0038-WW1"/>
    <n v="50"/>
    <n v="178"/>
    <m/>
    <m/>
    <s v="20240579-22.05.2024"/>
    <x v="1"/>
    <x v="2"/>
    <x v="1"/>
    <m/>
  </r>
  <r>
    <x v="0"/>
    <x v="0"/>
    <x v="379"/>
    <x v="38"/>
    <x v="232"/>
    <s v="054380529-8011 "/>
    <n v="0"/>
    <n v="3.56"/>
    <m/>
    <n v="0"/>
    <x v="452"/>
    <n v="20"/>
    <n v="2024"/>
    <n v="0"/>
    <x v="61"/>
    <n v="0"/>
    <m/>
    <s v="approved"/>
    <n v="42"/>
    <m/>
    <m/>
    <m/>
    <m/>
    <m/>
    <m/>
    <m/>
    <x v="0"/>
    <x v="257"/>
    <x v="1459"/>
    <n v="36635748"/>
    <s v="TK.KWVE15-B-A-ESC-0038-WW1"/>
    <n v="124"/>
    <n v="441.44"/>
    <m/>
    <m/>
    <s v="20240588-23.05.2024"/>
    <x v="1"/>
    <x v="2"/>
    <x v="1"/>
    <m/>
  </r>
  <r>
    <x v="0"/>
    <x v="0"/>
    <x v="380"/>
    <x v="38"/>
    <x v="232"/>
    <s v="054380529-8011 "/>
    <n v="0"/>
    <n v="3.56"/>
    <n v="250"/>
    <n v="890"/>
    <x v="453"/>
    <n v="20"/>
    <n v="2024"/>
    <n v="0"/>
    <x v="61"/>
    <n v="0"/>
    <m/>
    <s v="approved"/>
    <n v="42"/>
    <s v="no"/>
    <m/>
    <m/>
    <m/>
    <m/>
    <m/>
    <n v="242001"/>
    <x v="0"/>
    <x v="164"/>
    <x v="1460"/>
    <n v="36635751"/>
    <s v="TK.KWVE15-B-A-ESC-0038-WW1"/>
    <n v="96"/>
    <n v="341.76"/>
    <m/>
    <m/>
    <s v="20240598-24.05.2024"/>
    <x v="1"/>
    <x v="2"/>
    <x v="1"/>
    <m/>
  </r>
  <r>
    <x v="0"/>
    <x v="0"/>
    <x v="380"/>
    <x v="38"/>
    <x v="232"/>
    <s v="054380529-8011 "/>
    <n v="0"/>
    <n v="3.56"/>
    <m/>
    <n v="0"/>
    <x v="453"/>
    <n v="20"/>
    <n v="2024"/>
    <n v="0"/>
    <x v="61"/>
    <n v="0"/>
    <m/>
    <s v="approved"/>
    <n v="42"/>
    <m/>
    <m/>
    <m/>
    <m/>
    <m/>
    <m/>
    <m/>
    <x v="0"/>
    <x v="165"/>
    <x v="1461"/>
    <n v="36635751"/>
    <s v="TK.KWVE15-B-A-ESC-0038-WW1"/>
    <n v="145"/>
    <n v="516.20000000000005"/>
    <m/>
    <m/>
    <s v="20240606-27.05.2024"/>
    <x v="1"/>
    <x v="2"/>
    <x v="1"/>
    <m/>
  </r>
  <r>
    <x v="0"/>
    <x v="0"/>
    <x v="380"/>
    <x v="38"/>
    <x v="232"/>
    <s v="054380529-8011 "/>
    <n v="0"/>
    <n v="3.56"/>
    <m/>
    <n v="0"/>
    <x v="453"/>
    <n v="20"/>
    <n v="2024"/>
    <n v="0"/>
    <x v="61"/>
    <n v="0"/>
    <m/>
    <s v="approved"/>
    <n v="42"/>
    <m/>
    <m/>
    <m/>
    <m/>
    <m/>
    <m/>
    <m/>
    <x v="0"/>
    <x v="17"/>
    <x v="1462"/>
    <n v="36635751"/>
    <s v="TK.KWVE15-B-A-ESC-0038-WW1"/>
    <n v="9"/>
    <n v="32.04"/>
    <m/>
    <m/>
    <s v="20240612-28.05.2024"/>
    <x v="1"/>
    <x v="2"/>
    <x v="1"/>
    <m/>
  </r>
  <r>
    <x v="0"/>
    <x v="0"/>
    <x v="381"/>
    <x v="38"/>
    <x v="232"/>
    <s v="054380529-8011 "/>
    <n v="0"/>
    <n v="3.56"/>
    <n v="250"/>
    <n v="890"/>
    <x v="97"/>
    <n v="21"/>
    <n v="2024"/>
    <n v="0"/>
    <x v="61"/>
    <n v="0"/>
    <m/>
    <s v="approved"/>
    <n v="42"/>
    <s v="no"/>
    <m/>
    <m/>
    <m/>
    <m/>
    <m/>
    <n v="242001"/>
    <x v="0"/>
    <x v="17"/>
    <x v="1463"/>
    <n v="36635753"/>
    <s v="TK.KWVE15-B-A-ESC-0038-WW1"/>
    <n v="110"/>
    <n v="391.6"/>
    <m/>
    <m/>
    <s v="20240613-28.05.2024"/>
    <x v="1"/>
    <x v="2"/>
    <x v="1"/>
    <m/>
  </r>
  <r>
    <x v="0"/>
    <x v="0"/>
    <x v="381"/>
    <x v="38"/>
    <x v="232"/>
    <s v="054380529-8011 "/>
    <n v="0"/>
    <n v="3.56"/>
    <m/>
    <n v="0"/>
    <x v="97"/>
    <n v="21"/>
    <n v="2024"/>
    <n v="0"/>
    <x v="61"/>
    <n v="0"/>
    <m/>
    <s v="approved"/>
    <n v="42"/>
    <m/>
    <m/>
    <m/>
    <m/>
    <m/>
    <m/>
    <m/>
    <x v="0"/>
    <x v="176"/>
    <x v="1464"/>
    <n v="36635753"/>
    <s v="TK.KWVE15-B-A-ESC-0038-WW1"/>
    <n v="140"/>
    <n v="498.40000000000003"/>
    <m/>
    <m/>
    <s v="20240621-29.05.2024"/>
    <x v="1"/>
    <x v="2"/>
    <x v="1"/>
    <m/>
  </r>
  <r>
    <x v="0"/>
    <x v="0"/>
    <x v="382"/>
    <x v="38"/>
    <x v="232"/>
    <s v="054380529-8011 "/>
    <n v="0"/>
    <n v="3.56"/>
    <n v="250"/>
    <n v="890"/>
    <x v="237"/>
    <n v="21"/>
    <n v="2024"/>
    <n v="0"/>
    <x v="61"/>
    <n v="0"/>
    <m/>
    <s v="approved"/>
    <n v="42"/>
    <s v="no"/>
    <m/>
    <m/>
    <m/>
    <m/>
    <m/>
    <n v="242001"/>
    <x v="0"/>
    <x v="34"/>
    <x v="1465"/>
    <n v="36635755"/>
    <s v="TK.KWVE15-B-A-ESC-0038-WW1"/>
    <n v="194"/>
    <n v="690.64"/>
    <m/>
    <m/>
    <s v="20240630-30.05.2024"/>
    <x v="1"/>
    <x v="2"/>
    <x v="1"/>
    <m/>
  </r>
  <r>
    <x v="0"/>
    <x v="0"/>
    <x v="382"/>
    <x v="38"/>
    <x v="232"/>
    <s v="054380529-8011 "/>
    <n v="0"/>
    <n v="3.56"/>
    <m/>
    <n v="0"/>
    <x v="237"/>
    <n v="21"/>
    <n v="2024"/>
    <n v="0"/>
    <x v="61"/>
    <n v="0"/>
    <m/>
    <s v="approved"/>
    <n v="42"/>
    <m/>
    <m/>
    <m/>
    <m/>
    <m/>
    <m/>
    <m/>
    <x v="0"/>
    <x v="341"/>
    <x v="1466"/>
    <n v="36635755"/>
    <s v="TK.KWVE15-B-A-ESC-0038-WW1"/>
    <n v="56"/>
    <n v="199.36"/>
    <m/>
    <m/>
    <s v="20240633-31.05.2024"/>
    <x v="1"/>
    <x v="2"/>
    <x v="1"/>
    <m/>
  </r>
  <r>
    <x v="0"/>
    <x v="0"/>
    <x v="383"/>
    <x v="38"/>
    <x v="232"/>
    <s v="054380529-8011 "/>
    <n v="0"/>
    <n v="3.56"/>
    <n v="250"/>
    <n v="890"/>
    <x v="238"/>
    <n v="22"/>
    <n v="2024"/>
    <n v="0"/>
    <x v="61"/>
    <n v="0"/>
    <m/>
    <s v="approved"/>
    <n v="42"/>
    <s v="no"/>
    <m/>
    <m/>
    <m/>
    <m/>
    <m/>
    <n v="242001"/>
    <x v="0"/>
    <x v="258"/>
    <x v="1467"/>
    <n v="36635759"/>
    <s v="TK.KWVE15-B-A-ESC-0038-WW1"/>
    <n v="180"/>
    <n v="640.79999999999995"/>
    <m/>
    <m/>
    <s v="20240643-31.05.2024"/>
    <x v="1"/>
    <x v="2"/>
    <x v="1"/>
    <m/>
  </r>
  <r>
    <x v="0"/>
    <x v="0"/>
    <x v="383"/>
    <x v="38"/>
    <x v="232"/>
    <s v="054380529-8011 "/>
    <n v="0"/>
    <n v="3.56"/>
    <m/>
    <n v="0"/>
    <x v="238"/>
    <n v="22"/>
    <n v="2024"/>
    <n v="0"/>
    <x v="61"/>
    <n v="0"/>
    <m/>
    <s v="approved"/>
    <n v="42"/>
    <m/>
    <m/>
    <m/>
    <m/>
    <m/>
    <m/>
    <m/>
    <x v="0"/>
    <x v="259"/>
    <x v="1468"/>
    <n v="36635759"/>
    <s v="TK.KWVE15-B-A-ESC-0038-WW1"/>
    <n v="41"/>
    <n v="145.96"/>
    <m/>
    <m/>
    <s v="20240662-05.06.2024"/>
    <x v="1"/>
    <x v="2"/>
    <x v="1"/>
    <m/>
  </r>
  <r>
    <x v="0"/>
    <x v="0"/>
    <x v="383"/>
    <x v="38"/>
    <x v="232"/>
    <s v="054380529-8011 "/>
    <n v="0"/>
    <n v="3.56"/>
    <m/>
    <n v="0"/>
    <x v="238"/>
    <n v="22"/>
    <n v="2024"/>
    <n v="0"/>
    <x v="61"/>
    <n v="0"/>
    <m/>
    <s v="approved"/>
    <n v="42"/>
    <m/>
    <m/>
    <m/>
    <m/>
    <m/>
    <m/>
    <m/>
    <x v="0"/>
    <x v="342"/>
    <x v="1469"/>
    <n v="36635759"/>
    <s v="TK.KWVE15-B-A-ESC-0038-WW1"/>
    <n v="29"/>
    <n v="103.24"/>
    <m/>
    <m/>
    <s v="20240672-11.06.2024"/>
    <x v="1"/>
    <x v="2"/>
    <x v="1"/>
    <m/>
  </r>
  <r>
    <x v="0"/>
    <x v="0"/>
    <x v="384"/>
    <x v="38"/>
    <x v="232"/>
    <s v="054380529-8011 "/>
    <n v="0"/>
    <n v="3.56"/>
    <n v="150"/>
    <n v="534"/>
    <x v="454"/>
    <n v="22"/>
    <n v="2024"/>
    <n v="0"/>
    <x v="61"/>
    <n v="0"/>
    <m/>
    <s v="approved"/>
    <n v="42"/>
    <s v="no"/>
    <m/>
    <m/>
    <m/>
    <m/>
    <m/>
    <n v="242001"/>
    <x v="0"/>
    <x v="341"/>
    <x v="1470"/>
    <n v="36635762"/>
    <s v="TK.KWVE15-B-A-ESC-0038-WW1"/>
    <n v="29"/>
    <n v="103.24"/>
    <m/>
    <m/>
    <s v="20240634-31.05.2024"/>
    <x v="0"/>
    <x v="2"/>
    <x v="1"/>
    <m/>
  </r>
  <r>
    <x v="0"/>
    <x v="0"/>
    <x v="384"/>
    <x v="38"/>
    <x v="232"/>
    <s v="054380529-8011 "/>
    <n v="0"/>
    <n v="3.56"/>
    <m/>
    <n v="0"/>
    <x v="454"/>
    <n v="22"/>
    <n v="2024"/>
    <n v="0"/>
    <x v="61"/>
    <n v="0"/>
    <m/>
    <s v="approved"/>
    <n v="42"/>
    <m/>
    <m/>
    <m/>
    <m/>
    <m/>
    <m/>
    <m/>
    <x v="0"/>
    <x v="259"/>
    <x v="1471"/>
    <n v="36635762"/>
    <s v="TK.KWVE15-B-A-ESC-0038-WW1"/>
    <n v="104"/>
    <n v="370.24"/>
    <m/>
    <m/>
    <s v="20240663-05.06.2024"/>
    <x v="1"/>
    <x v="2"/>
    <x v="1"/>
    <m/>
  </r>
  <r>
    <x v="0"/>
    <x v="0"/>
    <x v="384"/>
    <x v="38"/>
    <x v="232"/>
    <s v="054380529-8011 "/>
    <n v="0"/>
    <n v="3.56"/>
    <m/>
    <n v="0"/>
    <x v="454"/>
    <n v="22"/>
    <n v="2024"/>
    <n v="0"/>
    <x v="61"/>
    <n v="0"/>
    <m/>
    <s v="approved"/>
    <n v="0"/>
    <m/>
    <m/>
    <m/>
    <m/>
    <m/>
    <m/>
    <m/>
    <x v="0"/>
    <x v="261"/>
    <x v="1472"/>
    <n v="36635762"/>
    <s v="TK.KWVE15-B-A-ESC-0038-WW1"/>
    <n v="17"/>
    <n v="60.52"/>
    <m/>
    <m/>
    <s v="20240679-12.06.2024"/>
    <x v="1"/>
    <x v="2"/>
    <x v="1"/>
    <m/>
  </r>
  <r>
    <x v="0"/>
    <x v="0"/>
    <x v="385"/>
    <x v="75"/>
    <x v="232"/>
    <s v="054380529-8011 "/>
    <n v="0"/>
    <n v="3.56"/>
    <n v="300"/>
    <n v="1068"/>
    <x v="98"/>
    <n v="23"/>
    <n v="2024"/>
    <n v="0"/>
    <x v="61"/>
    <n v="0"/>
    <m/>
    <s v="approved"/>
    <n v="42"/>
    <s v="no"/>
    <m/>
    <m/>
    <m/>
    <m/>
    <m/>
    <n v="242306"/>
    <x v="0"/>
    <x v="352"/>
    <x v="1473"/>
    <n v="36856222"/>
    <s v="TK.KWVE15-B-A-ESC-0038-WW1"/>
    <n v="179"/>
    <n v="637.24"/>
    <m/>
    <m/>
    <s v="20240668-10.06.2024"/>
    <x v="1"/>
    <x v="0"/>
    <x v="1"/>
    <m/>
  </r>
  <r>
    <x v="0"/>
    <x v="0"/>
    <x v="385"/>
    <x v="75"/>
    <x v="232"/>
    <s v="054380529-8011 "/>
    <n v="0"/>
    <n v="3.56"/>
    <m/>
    <n v="0"/>
    <x v="98"/>
    <n v="23"/>
    <n v="2024"/>
    <n v="0"/>
    <x v="61"/>
    <n v="0"/>
    <m/>
    <s v="approved"/>
    <n v="0"/>
    <m/>
    <m/>
    <m/>
    <m/>
    <m/>
    <m/>
    <m/>
    <x v="0"/>
    <x v="261"/>
    <x v="1474"/>
    <n v="36856222"/>
    <s v="TK.KWVE15-B-A-ESC-0038-WW1"/>
    <n v="121"/>
    <n v="430.76"/>
    <m/>
    <m/>
    <s v="20240681-12.06.2024"/>
    <x v="1"/>
    <x v="0"/>
    <x v="1"/>
    <m/>
  </r>
  <r>
    <x v="0"/>
    <x v="0"/>
    <x v="385"/>
    <x v="75"/>
    <x v="232"/>
    <s v="054380529-8011 "/>
    <n v="0"/>
    <n v="3.56"/>
    <n v="300"/>
    <n v="1068"/>
    <x v="182"/>
    <n v="23"/>
    <n v="2024"/>
    <n v="0"/>
    <x v="61"/>
    <n v="0"/>
    <m/>
    <s v="approved"/>
    <n v="42"/>
    <s v="no"/>
    <m/>
    <m/>
    <m/>
    <m/>
    <m/>
    <n v="242405"/>
    <x v="0"/>
    <x v="121"/>
    <x v="1475"/>
    <n v="36856222"/>
    <s v="TK.KWVE15-B-A-ESC-0038-WW1"/>
    <n v="144"/>
    <n v="512.64"/>
    <m/>
    <m/>
    <s v="20240688-13.06.2024"/>
    <x v="1"/>
    <x v="0"/>
    <x v="1"/>
    <m/>
  </r>
  <r>
    <x v="0"/>
    <x v="0"/>
    <x v="385"/>
    <x v="75"/>
    <x v="232"/>
    <s v="054380529-8011 "/>
    <n v="0"/>
    <n v="3.56"/>
    <m/>
    <n v="0"/>
    <x v="182"/>
    <n v="23"/>
    <n v="2024"/>
    <n v="0"/>
    <x v="61"/>
    <n v="0"/>
    <m/>
    <s v="approved"/>
    <n v="0"/>
    <m/>
    <m/>
    <m/>
    <m/>
    <m/>
    <m/>
    <m/>
    <x v="0"/>
    <x v="122"/>
    <x v="1476"/>
    <n v="36856222"/>
    <s v="TK.KWVE15-B-A-ESC-0038-WW1"/>
    <n v="141"/>
    <n v="501.96"/>
    <m/>
    <m/>
    <s v="20240698-14.06.2024"/>
    <x v="1"/>
    <x v="0"/>
    <x v="1"/>
    <m/>
  </r>
  <r>
    <x v="0"/>
    <x v="0"/>
    <x v="385"/>
    <x v="75"/>
    <x v="232"/>
    <s v="054380529-8011 "/>
    <n v="0"/>
    <n v="3.56"/>
    <m/>
    <n v="0"/>
    <x v="182"/>
    <n v="23"/>
    <n v="2024"/>
    <n v="0"/>
    <x v="61"/>
    <n v="0"/>
    <m/>
    <s v="approved"/>
    <n v="0"/>
    <m/>
    <m/>
    <m/>
    <m/>
    <m/>
    <m/>
    <m/>
    <x v="0"/>
    <x v="64"/>
    <x v="1477"/>
    <n v="36856222"/>
    <s v="TK.KWVE15-B-A-ESC-0038-WW1"/>
    <n v="15"/>
    <n v="53.4"/>
    <m/>
    <m/>
    <s v="20240703-17.06.2024"/>
    <x v="1"/>
    <x v="0"/>
    <x v="1"/>
    <m/>
  </r>
  <r>
    <x v="0"/>
    <x v="0"/>
    <x v="386"/>
    <x v="75"/>
    <x v="232"/>
    <s v="054380529-8011 "/>
    <n v="0"/>
    <n v="3.56"/>
    <n v="300"/>
    <n v="1068"/>
    <x v="99"/>
    <n v="24"/>
    <n v="2024"/>
    <n v="0"/>
    <x v="61"/>
    <n v="0"/>
    <m/>
    <s v="approved"/>
    <n v="42"/>
    <s v="no"/>
    <m/>
    <m/>
    <m/>
    <m/>
    <m/>
    <n v="242405"/>
    <x v="0"/>
    <x v="64"/>
    <x v="1478"/>
    <n v="36856237"/>
    <s v="TK.KWVE15-B-A-ESC-0038-WW1"/>
    <n v="93"/>
    <n v="331.08"/>
    <m/>
    <m/>
    <s v="20240704-17.06.2024"/>
    <x v="1"/>
    <x v="0"/>
    <x v="1"/>
    <m/>
  </r>
  <r>
    <x v="0"/>
    <x v="0"/>
    <x v="386"/>
    <x v="75"/>
    <x v="232"/>
    <s v="054380529-8011 "/>
    <n v="0"/>
    <n v="3.56"/>
    <m/>
    <n v="0"/>
    <x v="99"/>
    <n v="24"/>
    <n v="2024"/>
    <n v="0"/>
    <x v="61"/>
    <n v="0"/>
    <m/>
    <s v="approved"/>
    <n v="0"/>
    <m/>
    <m/>
    <m/>
    <m/>
    <m/>
    <m/>
    <m/>
    <x v="0"/>
    <x v="65"/>
    <x v="1479"/>
    <n v="36856237"/>
    <s v="TK.KWVE15-B-A-ESC-0038-WW1"/>
    <n v="119"/>
    <n v="423.64"/>
    <m/>
    <m/>
    <s v="20240713-18.06.2024"/>
    <x v="1"/>
    <x v="0"/>
    <x v="1"/>
    <m/>
  </r>
  <r>
    <x v="0"/>
    <x v="0"/>
    <x v="386"/>
    <x v="75"/>
    <x v="232"/>
    <s v="054380529-8011 "/>
    <n v="0"/>
    <n v="3.56"/>
    <m/>
    <n v="0"/>
    <x v="99"/>
    <n v="24"/>
    <n v="2024"/>
    <n v="0"/>
    <x v="61"/>
    <n v="0"/>
    <m/>
    <s v="approved"/>
    <n v="0"/>
    <m/>
    <m/>
    <m/>
    <m/>
    <m/>
    <m/>
    <m/>
    <x v="0"/>
    <x v="66"/>
    <x v="1480"/>
    <n v="36856237"/>
    <s v="TK.KWVE15-B-A-ESC-0038-WW1"/>
    <n v="88"/>
    <n v="313.28000000000003"/>
    <m/>
    <m/>
    <s v="20240722-19.06.2024"/>
    <x v="1"/>
    <x v="0"/>
    <x v="1"/>
    <m/>
  </r>
  <r>
    <x v="0"/>
    <x v="0"/>
    <x v="386"/>
    <x v="75"/>
    <x v="232"/>
    <s v="054380529-8011 "/>
    <n v="0"/>
    <n v="3.56"/>
    <n v="300"/>
    <n v="1068"/>
    <x v="239"/>
    <n v="24"/>
    <n v="2024"/>
    <n v="0"/>
    <x v="61"/>
    <n v="0"/>
    <m/>
    <s v="approved"/>
    <n v="42"/>
    <s v="no"/>
    <m/>
    <m/>
    <m/>
    <m/>
    <m/>
    <n v="242405"/>
    <x v="0"/>
    <x v="66"/>
    <x v="1480"/>
    <n v="36856237"/>
    <s v="TK.KWVE15-B-A-ESC-0038-WW1"/>
    <n v="59"/>
    <n v="210.04"/>
    <m/>
    <m/>
    <s v="20240722-19.06.2024"/>
    <x v="1"/>
    <x v="0"/>
    <x v="1"/>
    <m/>
  </r>
  <r>
    <x v="0"/>
    <x v="0"/>
    <x v="386"/>
    <x v="75"/>
    <x v="232"/>
    <s v="054380529-8011 "/>
    <n v="0"/>
    <n v="3.56"/>
    <m/>
    <n v="0"/>
    <x v="239"/>
    <n v="24"/>
    <n v="2024"/>
    <n v="0"/>
    <x v="61"/>
    <n v="0"/>
    <m/>
    <s v="approved"/>
    <n v="0"/>
    <m/>
    <m/>
    <m/>
    <m/>
    <m/>
    <m/>
    <m/>
    <x v="0"/>
    <x v="25"/>
    <x v="1481"/>
    <n v="36856237"/>
    <s v="TK.KWVE15-B-A-ESC-0038-WW1"/>
    <n v="195"/>
    <n v="694.2"/>
    <m/>
    <m/>
    <s v="20240729-21.06.2024"/>
    <x v="1"/>
    <x v="0"/>
    <x v="1"/>
    <m/>
  </r>
  <r>
    <x v="0"/>
    <x v="0"/>
    <x v="386"/>
    <x v="75"/>
    <x v="232"/>
    <s v="054380529-8011 "/>
    <n v="0"/>
    <n v="3.56"/>
    <m/>
    <n v="0"/>
    <x v="239"/>
    <n v="24"/>
    <n v="2024"/>
    <n v="0"/>
    <x v="61"/>
    <n v="0"/>
    <m/>
    <s v="approved"/>
    <n v="0"/>
    <m/>
    <m/>
    <m/>
    <m/>
    <m/>
    <m/>
    <m/>
    <x v="0"/>
    <x v="68"/>
    <x v="1482"/>
    <n v="36856237"/>
    <s v="TK.KWVE15-B-A-ESC-0038-WW1"/>
    <n v="46"/>
    <n v="163.76"/>
    <m/>
    <m/>
    <s v="20240747-25.06.2024"/>
    <x v="1"/>
    <x v="0"/>
    <x v="1"/>
    <m/>
  </r>
  <r>
    <x v="0"/>
    <x v="0"/>
    <x v="387"/>
    <x v="75"/>
    <x v="232"/>
    <s v="054380529-8011 "/>
    <n v="0"/>
    <n v="3.56"/>
    <n v="150"/>
    <n v="534"/>
    <x v="100"/>
    <n v="25"/>
    <n v="2024"/>
    <n v="0"/>
    <x v="61"/>
    <n v="0"/>
    <m/>
    <s v="approved"/>
    <n v="42"/>
    <s v="no"/>
    <m/>
    <m/>
    <m/>
    <m/>
    <m/>
    <n v="242503"/>
    <x v="0"/>
    <x v="68"/>
    <x v="1483"/>
    <n v="36856252"/>
    <s v="TK.KWVE15-B-A-ESC-0038-WW1"/>
    <n v="150"/>
    <n v="534"/>
    <m/>
    <m/>
    <s v="20240748-25.06.2024"/>
    <x v="1"/>
    <x v="0"/>
    <x v="1"/>
    <m/>
  </r>
  <r>
    <x v="0"/>
    <x v="0"/>
    <x v="387"/>
    <x v="75"/>
    <x v="232"/>
    <s v="054380529-8011 "/>
    <n v="0"/>
    <n v="3.56"/>
    <n v="150"/>
    <n v="534"/>
    <x v="226"/>
    <n v="25"/>
    <n v="2024"/>
    <n v="0"/>
    <x v="61"/>
    <n v="0"/>
    <m/>
    <s v="approved"/>
    <n v="42"/>
    <s v="no"/>
    <m/>
    <m/>
    <m/>
    <m/>
    <m/>
    <n v="242503"/>
    <x v="0"/>
    <x v="68"/>
    <x v="1483"/>
    <n v="36856252"/>
    <s v="TK.KWVE15-B-A-ESC-0038-WW1"/>
    <n v="145"/>
    <n v="516.20000000000005"/>
    <m/>
    <m/>
    <s v="20240748-25.06.2024"/>
    <x v="1"/>
    <x v="0"/>
    <x v="1"/>
    <m/>
  </r>
  <r>
    <x v="0"/>
    <x v="0"/>
    <x v="387"/>
    <x v="75"/>
    <x v="232"/>
    <s v="054380529-8011 "/>
    <n v="0"/>
    <n v="3.56"/>
    <m/>
    <n v="0"/>
    <x v="226"/>
    <n v="25"/>
    <n v="2024"/>
    <n v="0"/>
    <x v="61"/>
    <n v="0"/>
    <m/>
    <s v="approved"/>
    <n v="0"/>
    <m/>
    <m/>
    <m/>
    <m/>
    <m/>
    <m/>
    <m/>
    <x v="0"/>
    <x v="72"/>
    <x v="1484"/>
    <n v="36856252"/>
    <s v="TK.KWVE15-B-A-ESC-0038-WW1"/>
    <n v="5"/>
    <n v="17.8"/>
    <m/>
    <m/>
    <s v="20240806-02.07.2024"/>
    <x v="1"/>
    <x v="0"/>
    <x v="1"/>
    <m/>
  </r>
  <r>
    <x v="0"/>
    <x v="0"/>
    <x v="388"/>
    <x v="75"/>
    <x v="232"/>
    <s v="054380529-8011 "/>
    <n v="0"/>
    <n v="3.56"/>
    <n v="150"/>
    <n v="534"/>
    <x v="240"/>
    <n v="26"/>
    <n v="2024"/>
    <n v="0"/>
    <x v="61"/>
    <n v="0"/>
    <m/>
    <s v="approved"/>
    <n v="42"/>
    <s v="no"/>
    <m/>
    <m/>
    <m/>
    <m/>
    <m/>
    <n v="242503"/>
    <x v="0"/>
    <x v="72"/>
    <x v="1485"/>
    <n v="36856273"/>
    <s v="TK.KWVE15-B-A-ESC-0038-WW1"/>
    <n v="150"/>
    <n v="534"/>
    <m/>
    <m/>
    <s v="20240807-02.07.2024"/>
    <x v="1"/>
    <x v="0"/>
    <x v="1"/>
    <m/>
  </r>
  <r>
    <x v="0"/>
    <x v="0"/>
    <x v="388"/>
    <x v="75"/>
    <x v="232"/>
    <s v="054380529-8011 "/>
    <n v="0"/>
    <n v="3.56"/>
    <n v="150"/>
    <n v="534"/>
    <x v="180"/>
    <n v="26"/>
    <n v="2024"/>
    <n v="0"/>
    <x v="61"/>
    <n v="0"/>
    <m/>
    <s v="approved"/>
    <n v="42"/>
    <s v="no"/>
    <m/>
    <m/>
    <m/>
    <m/>
    <m/>
    <s v="242503/242603"/>
    <x v="0"/>
    <x v="72"/>
    <x v="1485"/>
    <n v="36856273"/>
    <s v="TK.KWVE15-B-A-ESC-0038-WW1"/>
    <n v="48"/>
    <n v="170.88"/>
    <m/>
    <m/>
    <s v="20240807-02.07.2024"/>
    <x v="1"/>
    <x v="0"/>
    <x v="1"/>
    <m/>
  </r>
  <r>
    <x v="0"/>
    <x v="0"/>
    <x v="388"/>
    <x v="75"/>
    <x v="232"/>
    <s v="054380529-8011 "/>
    <n v="0"/>
    <n v="3.56"/>
    <m/>
    <n v="0"/>
    <x v="180"/>
    <n v="26"/>
    <n v="2024"/>
    <n v="0"/>
    <x v="61"/>
    <n v="0"/>
    <m/>
    <s v="approved"/>
    <n v="0"/>
    <m/>
    <m/>
    <m/>
    <m/>
    <m/>
    <m/>
    <m/>
    <x v="0"/>
    <x v="73"/>
    <x v="1486"/>
    <n v="36856273"/>
    <s v="TK.KWVE15-B-A-ESC-0038-WW1"/>
    <n v="0"/>
    <n v="0"/>
    <n v="28"/>
    <m/>
    <m/>
    <x v="1"/>
    <x v="0"/>
    <x v="1"/>
    <m/>
  </r>
  <r>
    <x v="0"/>
    <x v="0"/>
    <x v="388"/>
    <x v="75"/>
    <x v="232"/>
    <s v="054380529-8011 "/>
    <n v="0"/>
    <n v="3.56"/>
    <m/>
    <n v="0"/>
    <x v="180"/>
    <n v="26"/>
    <n v="2024"/>
    <n v="0"/>
    <x v="61"/>
    <n v="0"/>
    <m/>
    <s v="approved"/>
    <n v="0"/>
    <m/>
    <m/>
    <m/>
    <m/>
    <m/>
    <m/>
    <m/>
    <x v="0"/>
    <x v="73"/>
    <x v="1487"/>
    <n v="36856273"/>
    <s v="TK.KWVE15-B-A-ESC-0038-WW1"/>
    <n v="74"/>
    <n v="263.44"/>
    <m/>
    <m/>
    <s v="20240814-03.07.2024"/>
    <x v="1"/>
    <x v="0"/>
    <x v="1"/>
    <m/>
  </r>
  <r>
    <x v="0"/>
    <x v="0"/>
    <x v="388"/>
    <x v="75"/>
    <x v="232"/>
    <s v="054380529-8011 "/>
    <n v="0"/>
    <n v="3.56"/>
    <m/>
    <n v="0"/>
    <x v="180"/>
    <n v="26"/>
    <n v="2024"/>
    <n v="0"/>
    <x v="61"/>
    <n v="0"/>
    <m/>
    <s v="approved"/>
    <n v="0"/>
    <m/>
    <m/>
    <m/>
    <m/>
    <m/>
    <m/>
    <m/>
    <x v="0"/>
    <x v="126"/>
    <x v="1488"/>
    <n v="36856273"/>
    <s v="TK.KWVE15-B-A-ESC-0038-WW1"/>
    <n v="28"/>
    <n v="99.68"/>
    <m/>
    <m/>
    <s v="20241021-07.08.2024"/>
    <x v="1"/>
    <x v="0"/>
    <x v="1"/>
    <m/>
  </r>
  <r>
    <x v="0"/>
    <x v="0"/>
    <x v="389"/>
    <x v="133"/>
    <x v="232"/>
    <s v="054380529-8011 "/>
    <n v="0"/>
    <n v="3.56"/>
    <n v="100"/>
    <n v="356"/>
    <x v="241"/>
    <n v="27"/>
    <n v="2024"/>
    <n v="0"/>
    <x v="61"/>
    <n v="0"/>
    <m/>
    <s v="approved"/>
    <n v="42"/>
    <s v="no"/>
    <m/>
    <m/>
    <m/>
    <m/>
    <m/>
    <n v="242705"/>
    <x v="0"/>
    <x v="9"/>
    <x v="1489"/>
    <n v="37069186"/>
    <s v="TK.KWVE15-B-A-ESC-0038-WW1"/>
    <n v="100"/>
    <n v="356"/>
    <m/>
    <m/>
    <s v="20240826-04.07.2024"/>
    <x v="0"/>
    <x v="8"/>
    <x v="1"/>
    <m/>
  </r>
  <r>
    <x v="0"/>
    <x v="0"/>
    <x v="389"/>
    <x v="133"/>
    <x v="232"/>
    <s v="054380529-8011 "/>
    <n v="0"/>
    <n v="3.56"/>
    <n v="100"/>
    <n v="356"/>
    <x v="101"/>
    <n v="27"/>
    <n v="2024"/>
    <n v="0"/>
    <x v="61"/>
    <n v="0"/>
    <m/>
    <s v="approved"/>
    <n v="42"/>
    <s v="no"/>
    <m/>
    <m/>
    <m/>
    <m/>
    <m/>
    <n v="242705"/>
    <x v="0"/>
    <x v="32"/>
    <x v="1490"/>
    <n v="37069186"/>
    <s v="TK.KWVE15-B-A-ESC-0038-WW1"/>
    <n v="100"/>
    <n v="356"/>
    <m/>
    <m/>
    <s v="20240838-05.07.2024"/>
    <x v="0"/>
    <x v="8"/>
    <x v="1"/>
    <m/>
  </r>
  <r>
    <x v="0"/>
    <x v="0"/>
    <x v="390"/>
    <x v="133"/>
    <x v="232"/>
    <s v="054380529-8011 "/>
    <n v="0"/>
    <n v="3.56"/>
    <n v="100"/>
    <n v="356"/>
    <x v="125"/>
    <n v="28"/>
    <n v="2024"/>
    <n v="0"/>
    <x v="61"/>
    <n v="0"/>
    <m/>
    <s v="approved"/>
    <n v="42"/>
    <s v="no"/>
    <m/>
    <m/>
    <m/>
    <m/>
    <m/>
    <n v="242705"/>
    <x v="0"/>
    <x v="32"/>
    <x v="1491"/>
    <n v="37069198"/>
    <s v="TK.KWVE15-B-A-ESC-0038-WW1"/>
    <n v="24"/>
    <n v="85.44"/>
    <m/>
    <m/>
    <s v="20240839-05.07.2024"/>
    <x v="0"/>
    <x v="8"/>
    <x v="1"/>
    <m/>
  </r>
  <r>
    <x v="0"/>
    <x v="0"/>
    <x v="390"/>
    <x v="133"/>
    <x v="232"/>
    <s v="054380529-8011 "/>
    <n v="0"/>
    <n v="3.56"/>
    <m/>
    <n v="0"/>
    <x v="125"/>
    <n v="28"/>
    <n v="2024"/>
    <n v="0"/>
    <x v="61"/>
    <n v="0"/>
    <m/>
    <s v="approved"/>
    <n v="0"/>
    <m/>
    <m/>
    <m/>
    <m/>
    <m/>
    <m/>
    <m/>
    <x v="0"/>
    <x v="262"/>
    <x v="1492"/>
    <n v="37069198"/>
    <s v="TK.KWVE15-B-A-ESC-0038-WW1"/>
    <n v="76"/>
    <n v="270.56"/>
    <m/>
    <m/>
    <s v="20240844-08.07.2024"/>
    <x v="0"/>
    <x v="8"/>
    <x v="1"/>
    <m/>
  </r>
  <r>
    <x v="0"/>
    <x v="0"/>
    <x v="390"/>
    <x v="133"/>
    <x v="232"/>
    <s v="054380529-8011 "/>
    <n v="0"/>
    <n v="3.56"/>
    <n v="100"/>
    <n v="356"/>
    <x v="102"/>
    <n v="28"/>
    <n v="2024"/>
    <n v="0"/>
    <x v="61"/>
    <n v="0"/>
    <m/>
    <s v="approved"/>
    <n v="42"/>
    <s v="no"/>
    <m/>
    <m/>
    <m/>
    <m/>
    <m/>
    <n v="242705"/>
    <x v="0"/>
    <x v="262"/>
    <x v="1492"/>
    <n v="37069198"/>
    <s v="TK.KWVE15-B-A-ESC-0038-WW1"/>
    <n v="17"/>
    <n v="60.52"/>
    <m/>
    <m/>
    <s v="20240844-08.07.2024"/>
    <x v="0"/>
    <x v="8"/>
    <x v="1"/>
    <m/>
  </r>
  <r>
    <x v="0"/>
    <x v="0"/>
    <x v="390"/>
    <x v="133"/>
    <x v="232"/>
    <s v="054380529-8011 "/>
    <n v="0"/>
    <n v="3.56"/>
    <m/>
    <n v="0"/>
    <x v="102"/>
    <n v="28"/>
    <n v="2024"/>
    <n v="0"/>
    <x v="61"/>
    <n v="0"/>
    <m/>
    <s v="approved"/>
    <n v="0"/>
    <m/>
    <m/>
    <m/>
    <m/>
    <m/>
    <m/>
    <m/>
    <x v="0"/>
    <x v="247"/>
    <x v="1493"/>
    <n v="37069198"/>
    <s v="TK.KWVE15-B-A-ESC-0038-WW1"/>
    <n v="83"/>
    <n v="295.48"/>
    <m/>
    <m/>
    <s v="20240862-09.07.2024"/>
    <x v="0"/>
    <x v="8"/>
    <x v="1"/>
    <m/>
  </r>
  <r>
    <x v="0"/>
    <x v="0"/>
    <x v="391"/>
    <x v="133"/>
    <x v="232"/>
    <s v="054380529-8011 "/>
    <n v="0"/>
    <n v="3.56"/>
    <n v="100"/>
    <n v="356"/>
    <x v="464"/>
    <n v="29"/>
    <n v="2024"/>
    <n v="0"/>
    <x v="61"/>
    <n v="0"/>
    <m/>
    <s v="approved"/>
    <n v="42"/>
    <s v="no"/>
    <m/>
    <m/>
    <m/>
    <m/>
    <m/>
    <n v="242705"/>
    <x v="0"/>
    <x v="247"/>
    <x v="1494"/>
    <n v="37069205"/>
    <s v="TK.KWVE15-B-A-ESC-0038-WW1"/>
    <n v="18"/>
    <n v="64.08"/>
    <m/>
    <m/>
    <s v="20240863-09.07.2024"/>
    <x v="0"/>
    <x v="8"/>
    <x v="1"/>
    <m/>
  </r>
  <r>
    <x v="0"/>
    <x v="0"/>
    <x v="391"/>
    <x v="133"/>
    <x v="232"/>
    <s v="054380529-8011 "/>
    <n v="0"/>
    <n v="3.56"/>
    <m/>
    <n v="0"/>
    <x v="465"/>
    <n v="29"/>
    <n v="2024"/>
    <n v="0"/>
    <x v="61"/>
    <n v="0"/>
    <m/>
    <s v="approved"/>
    <n v="0"/>
    <m/>
    <m/>
    <m/>
    <m/>
    <m/>
    <m/>
    <m/>
    <x v="0"/>
    <x v="263"/>
    <x v="1495"/>
    <n v="37069205"/>
    <s v="TK.KWVE15-B-A-ESC-0038-WW1"/>
    <n v="82"/>
    <n v="291.92"/>
    <m/>
    <m/>
    <s v="20240864-10.07.2024"/>
    <x v="0"/>
    <x v="8"/>
    <x v="1"/>
    <m/>
  </r>
  <r>
    <x v="0"/>
    <x v="0"/>
    <x v="391"/>
    <x v="133"/>
    <x v="232"/>
    <s v="054380529-8011 "/>
    <n v="0"/>
    <n v="3.56"/>
    <n v="100"/>
    <n v="356"/>
    <x v="466"/>
    <n v="29"/>
    <n v="2024"/>
    <n v="0"/>
    <x v="61"/>
    <n v="0"/>
    <m/>
    <s v="approved"/>
    <n v="42"/>
    <s v="no"/>
    <m/>
    <m/>
    <m/>
    <m/>
    <m/>
    <n v="242705"/>
    <x v="0"/>
    <x v="263"/>
    <x v="1495"/>
    <n v="37069205"/>
    <s v="TK.KWVE15-B-A-ESC-0038-WW1"/>
    <n v="55"/>
    <n v="195.8"/>
    <m/>
    <m/>
    <s v="20240864-10.07.2024"/>
    <x v="0"/>
    <x v="8"/>
    <x v="1"/>
    <m/>
  </r>
  <r>
    <x v="0"/>
    <x v="0"/>
    <x v="391"/>
    <x v="133"/>
    <x v="232"/>
    <s v="054380529-8011 "/>
    <n v="0"/>
    <n v="3.56"/>
    <m/>
    <n v="0"/>
    <x v="466"/>
    <n v="29"/>
    <n v="2024"/>
    <n v="0"/>
    <x v="61"/>
    <n v="0"/>
    <m/>
    <s v="approved"/>
    <n v="0"/>
    <m/>
    <m/>
    <m/>
    <m/>
    <m/>
    <m/>
    <m/>
    <x v="0"/>
    <x v="123"/>
    <x v="1496"/>
    <n v="37069205"/>
    <s v="TK.KWVE15-B-A-ESC-0038-WW1"/>
    <n v="44"/>
    <n v="156.64000000000001"/>
    <m/>
    <m/>
    <s v="20240983-05.08.2024"/>
    <x v="1"/>
    <x v="8"/>
    <x v="1"/>
    <m/>
  </r>
  <r>
    <x v="0"/>
    <x v="0"/>
    <x v="391"/>
    <x v="133"/>
    <x v="232"/>
    <s v="054380529-8011 "/>
    <n v="0"/>
    <n v="3.56"/>
    <m/>
    <n v="0"/>
    <x v="466"/>
    <n v="29"/>
    <n v="2024"/>
    <n v="0"/>
    <x v="61"/>
    <n v="0"/>
    <m/>
    <s v="approved"/>
    <n v="0"/>
    <m/>
    <m/>
    <m/>
    <m/>
    <m/>
    <m/>
    <m/>
    <x v="0"/>
    <x v="124"/>
    <x v="1497"/>
    <n v="37069205"/>
    <s v="TK.KWVE15-B-A-ESC-0038-WW1"/>
    <n v="1"/>
    <n v="3.56"/>
    <m/>
    <m/>
    <s v="20240987-05.08.2024"/>
    <x v="1"/>
    <x v="8"/>
    <x v="1"/>
    <m/>
  </r>
  <r>
    <x v="0"/>
    <x v="0"/>
    <x v="392"/>
    <x v="133"/>
    <x v="232"/>
    <s v="054380529-8011 "/>
    <n v="0"/>
    <n v="3.56"/>
    <n v="100"/>
    <n v="356"/>
    <x v="351"/>
    <n v="30"/>
    <n v="2024"/>
    <n v="0"/>
    <x v="61"/>
    <n v="0"/>
    <m/>
    <s v="approved"/>
    <n v="42"/>
    <s v="no"/>
    <m/>
    <m/>
    <m/>
    <m/>
    <m/>
    <m/>
    <x v="0"/>
    <x v="124"/>
    <x v="1498"/>
    <n v="37069213"/>
    <s v="TK.KWVE15-B-A-ESC-0038-WW1"/>
    <n v="100"/>
    <n v="356"/>
    <m/>
    <m/>
    <s v="20240984-05.08.2024"/>
    <x v="1"/>
    <x v="8"/>
    <x v="1"/>
    <m/>
  </r>
  <r>
    <x v="0"/>
    <x v="0"/>
    <x v="392"/>
    <x v="133"/>
    <x v="232"/>
    <s v="054380529-8011 "/>
    <n v="0"/>
    <n v="3.56"/>
    <n v="100"/>
    <n v="356"/>
    <x v="415"/>
    <n v="30"/>
    <n v="2024"/>
    <n v="0"/>
    <x v="61"/>
    <n v="0"/>
    <m/>
    <s v="approved"/>
    <n v="42"/>
    <s v="no"/>
    <m/>
    <m/>
    <m/>
    <m/>
    <m/>
    <m/>
    <x v="0"/>
    <x v="124"/>
    <x v="1498"/>
    <n v="37069213"/>
    <s v="TK.KWVE15-B-A-ESC-0038-WW1"/>
    <n v="43"/>
    <n v="153.08000000000001"/>
    <m/>
    <m/>
    <s v="20240984-05.08.2024"/>
    <x v="1"/>
    <x v="8"/>
    <x v="1"/>
    <m/>
  </r>
  <r>
    <x v="0"/>
    <x v="0"/>
    <x v="392"/>
    <x v="133"/>
    <x v="232"/>
    <s v="054380529-8011 "/>
    <n v="0"/>
    <n v="3.56"/>
    <m/>
    <n v="0"/>
    <x v="415"/>
    <n v="30"/>
    <n v="2024"/>
    <n v="0"/>
    <x v="61"/>
    <n v="0"/>
    <m/>
    <s v="approved"/>
    <n v="0"/>
    <m/>
    <m/>
    <m/>
    <m/>
    <m/>
    <m/>
    <m/>
    <x v="0"/>
    <x v="125"/>
    <x v="1499"/>
    <n v="37069213"/>
    <s v="TK.KWVE15-B-A-ESC-0038-WW1"/>
    <n v="57"/>
    <n v="202.92000000000002"/>
    <m/>
    <m/>
    <s v="20241013-06.08.2024"/>
    <x v="1"/>
    <x v="8"/>
    <x v="1"/>
    <m/>
  </r>
  <r>
    <x v="0"/>
    <x v="0"/>
    <x v="393"/>
    <x v="133"/>
    <x v="232"/>
    <s v="054380529-8011 "/>
    <n v="0"/>
    <n v="3.56"/>
    <n v="100"/>
    <n v="356"/>
    <x v="467"/>
    <n v="31"/>
    <n v="2024"/>
    <n v="0"/>
    <x v="61"/>
    <n v="0"/>
    <m/>
    <s v="approved"/>
    <n v="42"/>
    <s v="no"/>
    <m/>
    <m/>
    <m/>
    <m/>
    <m/>
    <m/>
    <x v="0"/>
    <x v="125"/>
    <x v="1500"/>
    <n v="37069230"/>
    <s v="TK.KWVE15-B-A-ESC-0038-WW1"/>
    <n v="46"/>
    <n v="163.76"/>
    <m/>
    <m/>
    <s v="20241014-06.08.2024"/>
    <x v="1"/>
    <x v="8"/>
    <x v="1"/>
    <m/>
  </r>
  <r>
    <x v="0"/>
    <x v="0"/>
    <x v="393"/>
    <x v="133"/>
    <x v="232"/>
    <s v="054380529-8011 "/>
    <n v="0"/>
    <n v="3.56"/>
    <m/>
    <n v="0"/>
    <x v="467"/>
    <n v="31"/>
    <n v="2024"/>
    <n v="0"/>
    <x v="61"/>
    <n v="0"/>
    <m/>
    <s v="approved"/>
    <n v="0"/>
    <s v="no"/>
    <m/>
    <m/>
    <m/>
    <m/>
    <m/>
    <m/>
    <x v="0"/>
    <x v="84"/>
    <x v="1501"/>
    <n v="37069230"/>
    <s v="TK.KWVE15-B-A-ESC-0038-WW1"/>
    <n v="54"/>
    <n v="192.24"/>
    <m/>
    <m/>
    <s v="20241018-06.08.2024"/>
    <x v="1"/>
    <x v="8"/>
    <x v="1"/>
    <m/>
  </r>
  <r>
    <x v="0"/>
    <x v="0"/>
    <x v="393"/>
    <x v="133"/>
    <x v="232"/>
    <s v="054380529-8011 "/>
    <n v="0"/>
    <n v="3.56"/>
    <n v="100"/>
    <n v="356"/>
    <x v="212"/>
    <n v="31"/>
    <n v="2024"/>
    <n v="0"/>
    <x v="61"/>
    <n v="0"/>
    <m/>
    <s v="approved"/>
    <n v="42"/>
    <s v="no"/>
    <m/>
    <m/>
    <m/>
    <m/>
    <m/>
    <m/>
    <x v="0"/>
    <x v="84"/>
    <x v="1501"/>
    <n v="37069230"/>
    <s v="TK.KWVE15-B-A-ESC-0038-WW1"/>
    <n v="35"/>
    <n v="124.60000000000001"/>
    <m/>
    <m/>
    <s v="20241018-06.08.2024"/>
    <x v="1"/>
    <x v="8"/>
    <x v="1"/>
    <m/>
  </r>
  <r>
    <x v="0"/>
    <x v="0"/>
    <x v="393"/>
    <x v="133"/>
    <x v="232"/>
    <s v="054380529-8011 "/>
    <n v="0"/>
    <n v="3.56"/>
    <m/>
    <n v="0"/>
    <x v="212"/>
    <n v="31"/>
    <n v="2024"/>
    <n v="0"/>
    <x v="61"/>
    <n v="0"/>
    <m/>
    <s v="approved"/>
    <n v="0"/>
    <m/>
    <m/>
    <m/>
    <m/>
    <m/>
    <m/>
    <m/>
    <x v="0"/>
    <x v="126"/>
    <x v="1502"/>
    <n v="37069230"/>
    <s v="TK.KWVE15-B-A-ESC-0038-WW1"/>
    <n v="65"/>
    <n v="231.4"/>
    <m/>
    <m/>
    <s v="20241020-07.08.2024"/>
    <x v="1"/>
    <x v="8"/>
    <x v="1"/>
    <m/>
  </r>
  <r>
    <x v="0"/>
    <x v="0"/>
    <x v="394"/>
    <x v="198"/>
    <x v="232"/>
    <s v="054380529-8011 "/>
    <n v="0"/>
    <n v="3.56"/>
    <n v="100"/>
    <n v="356"/>
    <x v="104"/>
    <n v="32"/>
    <n v="2024"/>
    <n v="0"/>
    <x v="61"/>
    <n v="0"/>
    <m/>
    <s v="approved"/>
    <n v="42"/>
    <s v="no"/>
    <m/>
    <m/>
    <m/>
    <m/>
    <m/>
    <m/>
    <x v="0"/>
    <x v="126"/>
    <x v="1503"/>
    <n v="37327340"/>
    <s v="TK.KWVE15-B-A-ESC-0038-WW1"/>
    <n v="22"/>
    <n v="78.320000000000007"/>
    <m/>
    <m/>
    <s v="20241022-07.08.2024"/>
    <x v="0"/>
    <x v="9"/>
    <x v="1"/>
    <m/>
  </r>
  <r>
    <x v="0"/>
    <x v="0"/>
    <x v="394"/>
    <x v="198"/>
    <x v="232"/>
    <s v="054380529-8011 "/>
    <n v="0"/>
    <n v="3.56"/>
    <m/>
    <n v="0"/>
    <x v="401"/>
    <n v="32"/>
    <n v="2024"/>
    <n v="0"/>
    <x v="61"/>
    <n v="0"/>
    <m/>
    <s v="approved"/>
    <n v="0"/>
    <m/>
    <m/>
    <m/>
    <m/>
    <m/>
    <m/>
    <m/>
    <x v="0"/>
    <x v="85"/>
    <x v="1504"/>
    <n v="37327340"/>
    <s v="TK.KWVE15-B-A-ESC-0038-WW1"/>
    <n v="73"/>
    <n v="259.88"/>
    <m/>
    <m/>
    <s v="20241030-08.08.2024"/>
    <x v="0"/>
    <x v="9"/>
    <x v="1"/>
    <m/>
  </r>
  <r>
    <x v="0"/>
    <x v="0"/>
    <x v="394"/>
    <x v="198"/>
    <x v="232"/>
    <s v="054380529-8011 "/>
    <n v="0"/>
    <n v="3.56"/>
    <m/>
    <n v="0"/>
    <x v="369"/>
    <n v="32"/>
    <n v="2024"/>
    <n v="0"/>
    <x v="61"/>
    <n v="0"/>
    <m/>
    <s v="approved"/>
    <n v="0"/>
    <m/>
    <m/>
    <m/>
    <m/>
    <m/>
    <m/>
    <m/>
    <x v="0"/>
    <x v="86"/>
    <x v="1505"/>
    <n v="37327340"/>
    <s v="TK.KWVE15-B-A-ESC-0038-WW1"/>
    <n v="5"/>
    <n v="17.8"/>
    <m/>
    <m/>
    <s v="20241036-09.08.2024"/>
    <x v="0"/>
    <x v="9"/>
    <x v="1"/>
    <m/>
  </r>
  <r>
    <x v="0"/>
    <x v="0"/>
    <x v="395"/>
    <x v="198"/>
    <x v="232"/>
    <s v="054380529-8011 "/>
    <n v="0"/>
    <n v="3.56"/>
    <n v="100"/>
    <n v="356"/>
    <x v="105"/>
    <n v="33"/>
    <n v="2024"/>
    <n v="0"/>
    <x v="61"/>
    <n v="0"/>
    <m/>
    <s v="approved"/>
    <n v="42"/>
    <s v="no"/>
    <m/>
    <m/>
    <m/>
    <m/>
    <m/>
    <m/>
    <x v="0"/>
    <x v="86"/>
    <x v="1506"/>
    <n v="37327346"/>
    <s v="TK.KWVE15-B-A-ESC-0038-WW1"/>
    <n v="76"/>
    <n v="270.56"/>
    <m/>
    <m/>
    <s v="20241037-09.08.2024"/>
    <x v="0"/>
    <x v="9"/>
    <x v="1"/>
    <m/>
  </r>
  <r>
    <x v="0"/>
    <x v="0"/>
    <x v="395"/>
    <x v="198"/>
    <x v="232"/>
    <s v="054380529-8011 "/>
    <n v="0"/>
    <n v="3.56"/>
    <n v="0"/>
    <n v="0"/>
    <x v="105"/>
    <n v="33"/>
    <n v="2024"/>
    <n v="0"/>
    <x v="61"/>
    <n v="0"/>
    <m/>
    <s v="approved"/>
    <n v="0"/>
    <m/>
    <m/>
    <m/>
    <m/>
    <m/>
    <m/>
    <m/>
    <x v="0"/>
    <x v="87"/>
    <x v="1507"/>
    <n v="37327346"/>
    <s v="TK.KWVE15-B-A-ESC-0038-WW1"/>
    <n v="24"/>
    <n v="85.44"/>
    <m/>
    <m/>
    <s v="20241069-19.08.2024"/>
    <x v="1"/>
    <x v="9"/>
    <x v="1"/>
    <m/>
  </r>
  <r>
    <x v="0"/>
    <x v="0"/>
    <x v="396"/>
    <x v="32"/>
    <x v="232"/>
    <s v="054380529-8011 "/>
    <n v="0"/>
    <n v="3.56"/>
    <n v="300"/>
    <n v="1068"/>
    <x v="242"/>
    <n v="36"/>
    <n v="2024"/>
    <n v="0"/>
    <x v="61"/>
    <n v="0"/>
    <m/>
    <s v="approved"/>
    <n v="42"/>
    <m/>
    <m/>
    <m/>
    <m/>
    <m/>
    <m/>
    <m/>
    <x v="0"/>
    <x v="39"/>
    <x v="1508"/>
    <n v="37521048"/>
    <s v="TK.KWVE15-B-A-ESC-0038-WW1"/>
    <n v="300"/>
    <n v="1068"/>
    <m/>
    <m/>
    <s v="20241139-03.09.2024"/>
    <x v="0"/>
    <x v="10"/>
    <x v="1"/>
    <m/>
  </r>
  <r>
    <x v="0"/>
    <x v="0"/>
    <x v="396"/>
    <x v="32"/>
    <x v="232"/>
    <s v="054380529-8011 "/>
    <n v="0"/>
    <n v="3.56"/>
    <n v="300"/>
    <n v="1068"/>
    <x v="243"/>
    <n v="37"/>
    <n v="2024"/>
    <n v="0"/>
    <x v="61"/>
    <n v="0"/>
    <m/>
    <s v="approved"/>
    <n v="42"/>
    <m/>
    <m/>
    <m/>
    <m/>
    <m/>
    <m/>
    <m/>
    <x v="0"/>
    <x v="265"/>
    <x v="1509"/>
    <n v="37521048"/>
    <s v="TK.KWVE15-B-A-ESC-0038-WW1"/>
    <n v="300"/>
    <n v="1068"/>
    <m/>
    <m/>
    <s v="20241163-10.09.2024"/>
    <x v="0"/>
    <x v="10"/>
    <x v="1"/>
    <m/>
  </r>
  <r>
    <x v="0"/>
    <x v="0"/>
    <x v="396"/>
    <x v="32"/>
    <x v="232"/>
    <s v="054380529-8011 "/>
    <n v="0"/>
    <n v="3.56"/>
    <n v="100"/>
    <n v="356"/>
    <x v="218"/>
    <n v="38"/>
    <n v="2024"/>
    <n v="0"/>
    <x v="61"/>
    <n v="0"/>
    <m/>
    <s v="approved"/>
    <n v="42"/>
    <m/>
    <m/>
    <m/>
    <m/>
    <m/>
    <m/>
    <m/>
    <x v="0"/>
    <x v="266"/>
    <x v="1510"/>
    <n v="37521048"/>
    <s v="TK.KWVE15-B-A-ESC-0038-WW1"/>
    <n v="100"/>
    <n v="356"/>
    <m/>
    <m/>
    <s v="20241188-17.09.2024"/>
    <x v="0"/>
    <x v="10"/>
    <x v="1"/>
    <m/>
  </r>
  <r>
    <x v="0"/>
    <x v="0"/>
    <x v="396"/>
    <x v="32"/>
    <x v="232"/>
    <s v="054380529-8011 "/>
    <n v="0"/>
    <n v="3.56"/>
    <n v="100"/>
    <n v="356"/>
    <x v="456"/>
    <n v="40"/>
    <n v="2024"/>
    <n v="0"/>
    <x v="61"/>
    <n v="0"/>
    <m/>
    <s v="approved"/>
    <n v="42"/>
    <s v="no"/>
    <m/>
    <m/>
    <m/>
    <m/>
    <m/>
    <m/>
    <x v="0"/>
    <x v="88"/>
    <x v="1511"/>
    <n v="37521048"/>
    <s v="TK.KWVE15-B-A-ESC-0038-WW1"/>
    <n v="100"/>
    <n v="356"/>
    <m/>
    <m/>
    <s v="20241246-30.09.2024"/>
    <x v="0"/>
    <x v="10"/>
    <x v="1"/>
    <m/>
  </r>
  <r>
    <x v="0"/>
    <x v="0"/>
    <x v="396"/>
    <x v="32"/>
    <x v="232"/>
    <s v="054380529-8011 "/>
    <n v="0"/>
    <n v="3.56"/>
    <n v="100"/>
    <n v="356"/>
    <x v="107"/>
    <n v="40"/>
    <n v="2024"/>
    <n v="0"/>
    <x v="61"/>
    <n v="0"/>
    <m/>
    <s v="approved"/>
    <n v="42"/>
    <m/>
    <m/>
    <m/>
    <m/>
    <m/>
    <m/>
    <m/>
    <x v="0"/>
    <x v="88"/>
    <x v="1511"/>
    <n v="37521048"/>
    <s v="TK.KWVE15-B-A-ESC-0038-WW1"/>
    <n v="100"/>
    <n v="356"/>
    <m/>
    <m/>
    <s v="20241246-30.09.2024"/>
    <x v="0"/>
    <x v="11"/>
    <x v="1"/>
    <m/>
  </r>
  <r>
    <x v="0"/>
    <x v="0"/>
    <x v="397"/>
    <x v="12"/>
    <x v="232"/>
    <s v="054380529-8011 "/>
    <n v="0"/>
    <n v="3.56"/>
    <n v="200"/>
    <n v="712"/>
    <x v="108"/>
    <n v="41"/>
    <n v="2024"/>
    <n v="0"/>
    <x v="61"/>
    <n v="0"/>
    <m/>
    <s v="approved"/>
    <n v="42"/>
    <m/>
    <m/>
    <m/>
    <m/>
    <m/>
    <m/>
    <m/>
    <x v="0"/>
    <x v="88"/>
    <x v="1512"/>
    <n v="37672561"/>
    <s v="TK.KWVE15-B-A-ESC-0038-WW1"/>
    <n v="60"/>
    <n v="213.6"/>
    <m/>
    <m/>
    <s v="20241247-30.09.2024"/>
    <x v="0"/>
    <x v="11"/>
    <x v="1"/>
    <m/>
  </r>
  <r>
    <x v="0"/>
    <x v="0"/>
    <x v="397"/>
    <x v="12"/>
    <x v="232"/>
    <s v="054380529-8011 "/>
    <n v="0"/>
    <n v="3.56"/>
    <n v="0"/>
    <n v="0"/>
    <x v="108"/>
    <n v="41"/>
    <n v="2024"/>
    <n v="0"/>
    <x v="61"/>
    <n v="0"/>
    <m/>
    <s v="approved"/>
    <n v="0"/>
    <m/>
    <m/>
    <m/>
    <m/>
    <m/>
    <m/>
    <m/>
    <x v="0"/>
    <x v="354"/>
    <x v="1513"/>
    <n v="37672561"/>
    <s v="TK.KWVE15-B-A-ESC-0038-WW1"/>
    <n v="122"/>
    <n v="434.32"/>
    <m/>
    <m/>
    <s v="20241271-08.10.2024"/>
    <x v="0"/>
    <x v="11"/>
    <x v="1"/>
    <m/>
  </r>
  <r>
    <x v="0"/>
    <x v="0"/>
    <x v="397"/>
    <x v="12"/>
    <x v="232"/>
    <s v="054380529-8011 "/>
    <n v="0"/>
    <n v="3.56"/>
    <n v="0"/>
    <n v="0"/>
    <x v="108"/>
    <n v="41"/>
    <n v="2024"/>
    <n v="0"/>
    <x v="61"/>
    <n v="0"/>
    <m/>
    <s v="approved"/>
    <n v="0"/>
    <m/>
    <m/>
    <m/>
    <m/>
    <m/>
    <m/>
    <m/>
    <x v="0"/>
    <x v="8"/>
    <x v="1514"/>
    <n v="37672561"/>
    <s v="TK.KWVE15-B-A-ESC-0038-WW1"/>
    <n v="18"/>
    <n v="64.08"/>
    <m/>
    <m/>
    <s v="20241315-16.10.2024"/>
    <x v="1"/>
    <x v="11"/>
    <x v="1"/>
    <m/>
  </r>
  <r>
    <x v="0"/>
    <x v="0"/>
    <x v="398"/>
    <x v="12"/>
    <x v="232"/>
    <s v="054380529-8011 "/>
    <n v="0"/>
    <n v="3.56"/>
    <n v="200"/>
    <n v="712"/>
    <x v="245"/>
    <n v="42"/>
    <n v="2024"/>
    <n v="0"/>
    <x v="61"/>
    <n v="0"/>
    <m/>
    <s v="approved"/>
    <n v="42"/>
    <m/>
    <m/>
    <m/>
    <m/>
    <m/>
    <m/>
    <m/>
    <x v="0"/>
    <x v="8"/>
    <x v="1515"/>
    <n v="37672567"/>
    <s v="TK.KWVE15-B-A-ESC-0038-WW1"/>
    <n v="200"/>
    <n v="712"/>
    <m/>
    <m/>
    <s v="20241316-16.10.2024"/>
    <x v="0"/>
    <x v="11"/>
    <x v="1"/>
    <m/>
  </r>
  <r>
    <x v="0"/>
    <x v="0"/>
    <x v="399"/>
    <x v="12"/>
    <x v="232"/>
    <s v="054380529-8011 "/>
    <n v="0"/>
    <n v="3.56"/>
    <n v="200"/>
    <n v="712"/>
    <x v="246"/>
    <n v="43"/>
    <n v="2024"/>
    <n v="0"/>
    <x v="61"/>
    <n v="0"/>
    <m/>
    <s v="approved"/>
    <n v="42"/>
    <m/>
    <m/>
    <m/>
    <m/>
    <m/>
    <m/>
    <m/>
    <x v="0"/>
    <x v="8"/>
    <x v="1516"/>
    <n v="37672568"/>
    <s v="TK.KWVE15-B-A-ESC-0038-WW1"/>
    <n v="200"/>
    <n v="712"/>
    <m/>
    <m/>
    <s v="20241318-17.10.2024"/>
    <x v="0"/>
    <x v="11"/>
    <x v="1"/>
    <m/>
  </r>
  <r>
    <x v="0"/>
    <x v="0"/>
    <x v="400"/>
    <x v="12"/>
    <x v="232"/>
    <s v="054380529-8011 "/>
    <n v="0"/>
    <n v="3.56"/>
    <n v="87"/>
    <n v="309.72000000000003"/>
    <x v="23"/>
    <n v="44"/>
    <n v="2024"/>
    <n v="0"/>
    <x v="61"/>
    <n v="0"/>
    <m/>
    <s v="approved"/>
    <n v="42"/>
    <m/>
    <m/>
    <m/>
    <m/>
    <m/>
    <m/>
    <m/>
    <x v="0"/>
    <x v="8"/>
    <x v="1517"/>
    <n v="37672570"/>
    <s v="TK.KWVE15-B-A-ESC-0038-WW1"/>
    <n v="87"/>
    <n v="309.72000000000003"/>
    <m/>
    <m/>
    <s v="20241317-16.10.2024"/>
    <x v="0"/>
    <x v="11"/>
    <x v="1"/>
    <m/>
  </r>
  <r>
    <x v="0"/>
    <x v="0"/>
    <x v="400"/>
    <x v="12"/>
    <x v="232"/>
    <s v="054380529-8011 "/>
    <n v="0"/>
    <n v="3.56"/>
    <n v="113"/>
    <n v="402.28000000000003"/>
    <x v="23"/>
    <n v="44"/>
    <n v="2024"/>
    <n v="0"/>
    <x v="61"/>
    <n v="0"/>
    <m/>
    <s v="approved"/>
    <n v="42"/>
    <m/>
    <m/>
    <m/>
    <m/>
    <m/>
    <m/>
    <m/>
    <x v="0"/>
    <x v="267"/>
    <x v="1518"/>
    <n v="37672570"/>
    <s v="TK.KWVE15-B-A-ESC-0038-WW1"/>
    <n v="69"/>
    <n v="245.64000000000001"/>
    <m/>
    <m/>
    <s v="20241344-25.10.2024"/>
    <x v="0"/>
    <x v="11"/>
    <x v="1"/>
    <m/>
  </r>
  <r>
    <x v="0"/>
    <x v="0"/>
    <x v="401"/>
    <x v="43"/>
    <x v="232"/>
    <s v="054380529-8011 "/>
    <n v="0"/>
    <n v="3.56"/>
    <n v="44"/>
    <n v="156.64000000000001"/>
    <x v="109"/>
    <n v="45"/>
    <n v="2024"/>
    <n v="0"/>
    <x v="61"/>
    <n v="0"/>
    <m/>
    <s v="approved"/>
    <n v="42"/>
    <s v="no"/>
    <m/>
    <m/>
    <m/>
    <m/>
    <m/>
    <m/>
    <x v="0"/>
    <x v="308"/>
    <x v="1519"/>
    <n v="37871632"/>
    <s v="TK.KWVE15-B-A-ESC-0038-WW1"/>
    <n v="44"/>
    <n v="156.64000000000001"/>
    <m/>
    <m/>
    <s v="20241375-31.10.2024"/>
    <x v="0"/>
    <x v="4"/>
    <x v="1"/>
    <m/>
  </r>
  <r>
    <x v="0"/>
    <x v="0"/>
    <x v="401"/>
    <x v="43"/>
    <x v="232"/>
    <s v="054380529-8011 "/>
    <n v="0"/>
    <n v="3.56"/>
    <n v="144"/>
    <n v="512.64"/>
    <x v="109"/>
    <n v="45"/>
    <n v="2024"/>
    <n v="0"/>
    <x v="61"/>
    <n v="0"/>
    <m/>
    <s v="approved"/>
    <n v="42"/>
    <s v="no"/>
    <m/>
    <m/>
    <m/>
    <s v="ETA 28oct"/>
    <m/>
    <s v="need asap"/>
    <x v="0"/>
    <x v="283"/>
    <x v="1520"/>
    <n v="37871632"/>
    <s v="TK.KWVE15-B-A-ESC-0038-WW1"/>
    <n v="144"/>
    <n v="512.64"/>
    <m/>
    <m/>
    <s v="20241414-08.11.2024"/>
    <x v="1"/>
    <x v="4"/>
    <x v="1"/>
    <m/>
  </r>
  <r>
    <x v="0"/>
    <x v="0"/>
    <x v="401"/>
    <x v="43"/>
    <x v="232"/>
    <s v="054380529-8011 "/>
    <n v="0"/>
    <n v="3.56"/>
    <n v="56"/>
    <n v="199.36"/>
    <x v="109"/>
    <n v="45"/>
    <n v="2024"/>
    <n v="0"/>
    <x v="61"/>
    <n v="0"/>
    <m/>
    <s v="approved"/>
    <n v="42"/>
    <s v="no"/>
    <m/>
    <m/>
    <m/>
    <m/>
    <m/>
    <m/>
    <x v="0"/>
    <x v="253"/>
    <x v="1521"/>
    <n v="37871632"/>
    <s v="TK.KWVE15-B-A-ESC-0038-WW1"/>
    <n v="56"/>
    <n v="199.36"/>
    <m/>
    <m/>
    <s v="20241541-10.12.2024"/>
    <x v="1"/>
    <x v="4"/>
    <x v="1"/>
    <m/>
  </r>
  <r>
    <x v="0"/>
    <x v="0"/>
    <x v="402"/>
    <x v="199"/>
    <x v="232"/>
    <s v="054380529-8011 "/>
    <n v="0"/>
    <n v="3.56"/>
    <n v="150"/>
    <n v="534"/>
    <x v="468"/>
    <n v="49"/>
    <n v="2024"/>
    <n v="0"/>
    <x v="61"/>
    <n v="0"/>
    <m/>
    <s v="approved"/>
    <n v="42"/>
    <s v="no"/>
    <m/>
    <m/>
    <m/>
    <m/>
    <m/>
    <m/>
    <x v="0"/>
    <x v="253"/>
    <x v="1522"/>
    <n v="38036624"/>
    <s v="TK.KWVE15-B-A-ESC-0038-WW1"/>
    <n v="150"/>
    <n v="534"/>
    <m/>
    <m/>
    <s v="20241542-10.12.2024"/>
    <x v="1"/>
    <x v="3"/>
    <x v="1"/>
    <m/>
  </r>
  <r>
    <x v="0"/>
    <x v="0"/>
    <x v="402"/>
    <x v="199"/>
    <x v="232"/>
    <s v="054380529-8011 "/>
    <n v="0"/>
    <n v="3.56"/>
    <n v="446"/>
    <n v="1587.76"/>
    <x v="468"/>
    <n v="49"/>
    <n v="2024"/>
    <n v="0"/>
    <x v="61"/>
    <n v="0"/>
    <m/>
    <s v="approved"/>
    <n v="42"/>
    <s v="no"/>
    <s v="w"/>
    <m/>
    <m/>
    <m/>
    <m/>
    <m/>
    <x v="0"/>
    <x v="338"/>
    <x v="1523"/>
    <n v="38036624"/>
    <s v="TK.KWVE15-B-A-ESC-0038-WW1"/>
    <n v="446"/>
    <n v="1587.76"/>
    <m/>
    <m/>
    <s v="20241572-16.12.2024"/>
    <x v="1"/>
    <x v="3"/>
    <x v="1"/>
    <m/>
  </r>
  <r>
    <x v="0"/>
    <x v="0"/>
    <x v="402"/>
    <x v="199"/>
    <x v="232"/>
    <s v="054380529-8011 "/>
    <n v="0"/>
    <n v="3.56"/>
    <n v="4"/>
    <n v="14.24"/>
    <x v="250"/>
    <n v="50"/>
    <n v="2024"/>
    <n v="0"/>
    <x v="61"/>
    <n v="0"/>
    <m/>
    <s v="approved"/>
    <n v="42"/>
    <s v="no"/>
    <m/>
    <m/>
    <m/>
    <m/>
    <m/>
    <m/>
    <x v="0"/>
    <x v="362"/>
    <x v="1524"/>
    <n v="38036624"/>
    <s v="TK.KWVE15-B-A-ESC-0038-WW1"/>
    <n v="4"/>
    <n v="14.24"/>
    <m/>
    <m/>
    <s v="20250041-17.01.2025"/>
    <x v="1"/>
    <x v="3"/>
    <x v="1"/>
    <m/>
  </r>
  <r>
    <x v="0"/>
    <x v="0"/>
    <x v="403"/>
    <x v="136"/>
    <x v="232"/>
    <s v="054380529-8011 "/>
    <n v="0"/>
    <n v="3.56"/>
    <n v="300"/>
    <n v="1068"/>
    <x v="251"/>
    <n v="2"/>
    <n v="2025"/>
    <n v="0"/>
    <x v="61"/>
    <n v="0"/>
    <m/>
    <s v="approved"/>
    <n v="42"/>
    <s v="no"/>
    <m/>
    <m/>
    <m/>
    <m/>
    <m/>
    <m/>
    <x v="0"/>
    <x v="362"/>
    <x v="1525"/>
    <n v="38215957"/>
    <s v="TK.KWVE15-B-A-ESC-0038-WW1"/>
    <n v="300"/>
    <n v="1068"/>
    <m/>
    <m/>
    <s v="20250040-17.01.2025"/>
    <x v="1"/>
    <x v="6"/>
    <x v="0"/>
    <m/>
  </r>
  <r>
    <x v="0"/>
    <x v="0"/>
    <x v="403"/>
    <x v="136"/>
    <x v="232"/>
    <s v="054380529-8011 "/>
    <n v="0"/>
    <n v="3.56"/>
    <n v="270"/>
    <n v="961.2"/>
    <x v="252"/>
    <n v="3"/>
    <n v="2025"/>
    <n v="0"/>
    <x v="61"/>
    <n v="0"/>
    <m/>
    <s v="approved"/>
    <n v="42"/>
    <s v="no"/>
    <m/>
    <m/>
    <m/>
    <m/>
    <m/>
    <m/>
    <x v="0"/>
    <x v="362"/>
    <x v="1525"/>
    <n v="38215957"/>
    <s v="TK.KWVE15-B-A-ESC-0038-WW1"/>
    <n v="270"/>
    <n v="961.2"/>
    <m/>
    <m/>
    <s v="20250040-17.01.2025"/>
    <x v="0"/>
    <x v="6"/>
    <x v="0"/>
    <m/>
  </r>
  <r>
    <x v="0"/>
    <x v="0"/>
    <x v="403"/>
    <x v="136"/>
    <x v="232"/>
    <s v="054380529-8011 "/>
    <n v="0"/>
    <n v="3.56"/>
    <n v="26"/>
    <n v="92.56"/>
    <x v="252"/>
    <n v="3"/>
    <n v="2025"/>
    <n v="0"/>
    <x v="61"/>
    <n v="0"/>
    <m/>
    <s v="approved"/>
    <n v="42"/>
    <s v="no"/>
    <m/>
    <m/>
    <m/>
    <m/>
    <m/>
    <m/>
    <x v="0"/>
    <x v="347"/>
    <x v="1526"/>
    <n v="38215957"/>
    <s v="TK.KWVE15-B-A-ESC-0038-WW1"/>
    <n v="26"/>
    <n v="92.56"/>
    <m/>
    <m/>
    <s v="20250103-31.01.2025"/>
    <x v="1"/>
    <x v="6"/>
    <x v="0"/>
    <m/>
  </r>
  <r>
    <x v="0"/>
    <x v="0"/>
    <x v="403"/>
    <x v="136"/>
    <x v="232"/>
    <s v="054380529-8011 "/>
    <n v="0"/>
    <n v="3.56"/>
    <n v="93"/>
    <n v="331.08"/>
    <x v="253"/>
    <n v="4"/>
    <n v="2025"/>
    <n v="0"/>
    <x v="61"/>
    <n v="0"/>
    <m/>
    <s v="approved"/>
    <n v="42"/>
    <s v="no"/>
    <m/>
    <m/>
    <m/>
    <m/>
    <m/>
    <m/>
    <x v="0"/>
    <x v="347"/>
    <x v="1526"/>
    <n v="38215957"/>
    <s v="TK.KWVE15-B-A-ESC-0038-WW1"/>
    <n v="93"/>
    <n v="331.08"/>
    <m/>
    <m/>
    <s v="20250103-31.01.2025"/>
    <x v="1"/>
    <x v="6"/>
    <x v="0"/>
    <m/>
  </r>
  <r>
    <x v="0"/>
    <x v="0"/>
    <x v="403"/>
    <x v="136"/>
    <x v="232"/>
    <s v="054380529-8011 "/>
    <n v="0"/>
    <n v="3.56"/>
    <n v="7"/>
    <n v="24.92"/>
    <x v="253"/>
    <n v="4"/>
    <n v="2025"/>
    <n v="0"/>
    <x v="61"/>
    <n v="0"/>
    <m/>
    <s v="approved"/>
    <n v="42"/>
    <s v="no"/>
    <m/>
    <m/>
    <m/>
    <m/>
    <m/>
    <m/>
    <x v="0"/>
    <x v="242"/>
    <x v="1527"/>
    <n v="38215957"/>
    <s v="TK.KWVE15-B-A-ESC-0038-WW1"/>
    <n v="7"/>
    <n v="24.92"/>
    <m/>
    <m/>
    <s v="20250104-31.01.2025"/>
    <x v="1"/>
    <x v="6"/>
    <x v="0"/>
    <m/>
  </r>
  <r>
    <x v="0"/>
    <x v="0"/>
    <x v="404"/>
    <x v="195"/>
    <x v="232"/>
    <s v="054380529-8011 "/>
    <n v="0"/>
    <n v="3.56"/>
    <n v="300"/>
    <n v="1068"/>
    <x v="457"/>
    <n v="6"/>
    <n v="2025"/>
    <n v="0"/>
    <x v="61"/>
    <n v="0"/>
    <m/>
    <s v="approved"/>
    <n v="42"/>
    <s v="no"/>
    <m/>
    <m/>
    <m/>
    <m/>
    <m/>
    <m/>
    <x v="0"/>
    <x v="242"/>
    <x v="1528"/>
    <n v="38474464"/>
    <s v="TK.KWVE15-B-A-ESC-0038-WW1"/>
    <n v="300"/>
    <n v="1068"/>
    <m/>
    <m/>
    <s v="20250106-31.01.2025"/>
    <x v="0"/>
    <x v="7"/>
    <x v="0"/>
    <m/>
  </r>
  <r>
    <x v="0"/>
    <x v="0"/>
    <x v="404"/>
    <x v="195"/>
    <x v="232"/>
    <s v="054380529-8011 "/>
    <n v="0"/>
    <n v="3.56"/>
    <n v="21"/>
    <n v="74.760000000000005"/>
    <x v="56"/>
    <n v="7"/>
    <n v="2025"/>
    <n v="0"/>
    <x v="61"/>
    <n v="0"/>
    <m/>
    <s v="approved"/>
    <n v="42"/>
    <s v="no"/>
    <m/>
    <m/>
    <m/>
    <m/>
    <m/>
    <m/>
    <x v="0"/>
    <x v="242"/>
    <x v="1528"/>
    <n v="38474464"/>
    <s v="TK.KWVE15-B-A-ESC-0038-WW1"/>
    <n v="21"/>
    <n v="74.760000000000005"/>
    <m/>
    <m/>
    <s v="20250106-31.01.2025"/>
    <x v="0"/>
    <x v="7"/>
    <x v="0"/>
    <m/>
  </r>
  <r>
    <x v="0"/>
    <x v="0"/>
    <x v="404"/>
    <x v="195"/>
    <x v="232"/>
    <s v="054380529-8011 "/>
    <n v="0"/>
    <n v="3.56"/>
    <n v="273"/>
    <n v="971.88"/>
    <x v="56"/>
    <n v="7"/>
    <n v="2025"/>
    <n v="0"/>
    <x v="61"/>
    <n v="0"/>
    <m/>
    <s v="approved"/>
    <n v="42"/>
    <s v="no"/>
    <m/>
    <m/>
    <m/>
    <m/>
    <s v="Yes"/>
    <m/>
    <x v="0"/>
    <x v="243"/>
    <x v="1529"/>
    <n v="38474464"/>
    <s v="TK.KWVE15-B-A-ESC-0038-WW1"/>
    <n v="273"/>
    <n v="971.88"/>
    <m/>
    <s v="6 pcs stornate"/>
    <s v="20250165-17.02.2025 / 202507624-16.06.2025"/>
    <x v="1"/>
    <x v="7"/>
    <x v="0"/>
    <m/>
  </r>
  <r>
    <x v="0"/>
    <x v="0"/>
    <x v="404"/>
    <x v="195"/>
    <x v="232"/>
    <s v="054380529-8011 "/>
    <n v="0"/>
    <n v="3.56"/>
    <n v="3"/>
    <n v="10.68"/>
    <x v="195"/>
    <n v="8"/>
    <n v="2025"/>
    <n v="0"/>
    <x v="61"/>
    <n v="0"/>
    <m/>
    <s v="approved"/>
    <n v="42"/>
    <s v="no"/>
    <m/>
    <m/>
    <m/>
    <m/>
    <s v="Yes"/>
    <m/>
    <x v="0"/>
    <x v="243"/>
    <x v="1529"/>
    <n v="38474464"/>
    <s v="TK.KWVE15-B-A-ESC-0038-WW1"/>
    <n v="3"/>
    <n v="10.68"/>
    <m/>
    <m/>
    <s v="20250165-17.02.2025"/>
    <x v="0"/>
    <x v="7"/>
    <x v="0"/>
    <m/>
  </r>
  <r>
    <x v="0"/>
    <x v="0"/>
    <x v="404"/>
    <x v="195"/>
    <x v="232"/>
    <s v="054380529-8011 "/>
    <n v="0"/>
    <n v="3.56"/>
    <n v="97"/>
    <n v="345.32"/>
    <x v="195"/>
    <n v="8"/>
    <n v="2025"/>
    <n v="0"/>
    <x v="61"/>
    <n v="0"/>
    <m/>
    <s v="approved"/>
    <n v="42"/>
    <s v="no"/>
    <m/>
    <m/>
    <m/>
    <m/>
    <s v="Yes"/>
    <m/>
    <x v="0"/>
    <x v="222"/>
    <x v="1530"/>
    <n v="38474464"/>
    <s v="TK.KWVE15-B-A-ESC-0038-WW1"/>
    <n v="97"/>
    <n v="345.32"/>
    <m/>
    <m/>
    <s v="20250183-18.02.2025"/>
    <x v="0"/>
    <x v="7"/>
    <x v="0"/>
    <m/>
  </r>
  <r>
    <x v="0"/>
    <x v="0"/>
    <x v="404"/>
    <x v="195"/>
    <x v="232"/>
    <s v="054380529-8011 "/>
    <n v="0"/>
    <n v="3.56"/>
    <n v="92"/>
    <n v="327.52"/>
    <x v="336"/>
    <n v="9"/>
    <n v="2025"/>
    <n v="0"/>
    <x v="61"/>
    <n v="0"/>
    <m/>
    <s v="approved"/>
    <n v="42"/>
    <s v="no"/>
    <m/>
    <m/>
    <m/>
    <m/>
    <s v="Yes"/>
    <m/>
    <x v="0"/>
    <x v="222"/>
    <x v="1530"/>
    <n v="38474464"/>
    <s v="TK.KWVE15-B-A-ESC-0038-WW1"/>
    <n v="92"/>
    <n v="327.52"/>
    <m/>
    <m/>
    <s v="20250183-18.02.2025"/>
    <x v="0"/>
    <x v="7"/>
    <x v="0"/>
    <m/>
  </r>
  <r>
    <x v="0"/>
    <x v="0"/>
    <x v="404"/>
    <x v="195"/>
    <x v="232"/>
    <s v="054380529-8011 "/>
    <n v="0"/>
    <n v="3.56"/>
    <n v="316"/>
    <n v="1124.96"/>
    <x v="336"/>
    <n v="9"/>
    <n v="2025"/>
    <n v="0"/>
    <x v="61"/>
    <n v="0"/>
    <m/>
    <s v="approved"/>
    <n v="42"/>
    <s v="no"/>
    <m/>
    <m/>
    <m/>
    <m/>
    <m/>
    <m/>
    <x v="0"/>
    <x v="274"/>
    <x v="1531"/>
    <n v="38474464"/>
    <s v="TK.KWVE15-B-A-ESC-0038-WW1"/>
    <n v="316"/>
    <n v="1124.96"/>
    <m/>
    <m/>
    <s v="20250223-27.02.2025"/>
    <x v="0"/>
    <x v="7"/>
    <x v="0"/>
    <m/>
  </r>
  <r>
    <x v="0"/>
    <x v="0"/>
    <x v="404"/>
    <x v="195"/>
    <x v="232"/>
    <s v="054380529-8011 "/>
    <n v="0"/>
    <n v="3.56"/>
    <n v="292"/>
    <n v="1039.52"/>
    <x v="336"/>
    <n v="9"/>
    <n v="2025"/>
    <n v="0"/>
    <x v="61"/>
    <n v="0"/>
    <m/>
    <s v="approved"/>
    <n v="42"/>
    <s v="no"/>
    <m/>
    <m/>
    <m/>
    <m/>
    <m/>
    <m/>
    <x v="0"/>
    <x v="166"/>
    <x v="1532"/>
    <n v="38474464"/>
    <s v="TK.KWVE15-B-A-ESC-0038-WW1"/>
    <n v="292"/>
    <n v="1039.52"/>
    <m/>
    <m/>
    <s v="20250266-04.03.2025"/>
    <x v="1"/>
    <x v="7"/>
    <x v="0"/>
    <m/>
  </r>
  <r>
    <x v="0"/>
    <x v="0"/>
    <x v="405"/>
    <x v="139"/>
    <x v="232"/>
    <s v="054380529-8011 "/>
    <n v="0"/>
    <n v="3.56"/>
    <n v="331"/>
    <n v="1178.3600000000001"/>
    <x v="254"/>
    <n v="10"/>
    <n v="2025"/>
    <n v="0"/>
    <x v="61"/>
    <n v="0"/>
    <m/>
    <s v="approved"/>
    <n v="42"/>
    <s v="no"/>
    <m/>
    <m/>
    <m/>
    <m/>
    <m/>
    <m/>
    <x v="0"/>
    <x v="166"/>
    <x v="1533"/>
    <n v="38676275"/>
    <s v="TK.KWVE15-B-A-ESC-0038-WW1"/>
    <n v="331"/>
    <n v="1178.3600000000001"/>
    <m/>
    <m/>
    <s v="20250270-04.03.2025"/>
    <x v="0"/>
    <x v="5"/>
    <x v="0"/>
    <m/>
  </r>
  <r>
    <x v="0"/>
    <x v="0"/>
    <x v="405"/>
    <x v="139"/>
    <x v="232"/>
    <s v="054380529-8011 "/>
    <n v="0"/>
    <n v="3.56"/>
    <n v="69"/>
    <n v="245.64000000000001"/>
    <x v="254"/>
    <n v="10"/>
    <n v="2025"/>
    <n v="0"/>
    <x v="61"/>
    <n v="0"/>
    <m/>
    <s v="approved"/>
    <n v="42"/>
    <s v="no"/>
    <m/>
    <m/>
    <m/>
    <m/>
    <m/>
    <m/>
    <x v="0"/>
    <x v="371"/>
    <x v="1534"/>
    <n v="38676275"/>
    <s v="TK.KWVE15-B-A-ESC-0038-WW1"/>
    <n v="69"/>
    <n v="245.64000000000001"/>
    <m/>
    <m/>
    <s v="20250314-13.03.2025"/>
    <x v="1"/>
    <x v="5"/>
    <x v="0"/>
    <m/>
  </r>
  <r>
    <x v="0"/>
    <x v="0"/>
    <x v="405"/>
    <x v="139"/>
    <x v="232"/>
    <s v="054380529-8011 "/>
    <n v="0"/>
    <n v="3.56"/>
    <n v="400"/>
    <n v="1424"/>
    <x v="255"/>
    <n v="11"/>
    <n v="2025"/>
    <n v="0"/>
    <x v="61"/>
    <n v="0"/>
    <m/>
    <s v="approved"/>
    <n v="42"/>
    <s v="no"/>
    <m/>
    <m/>
    <m/>
    <m/>
    <m/>
    <m/>
    <x v="0"/>
    <x v="371"/>
    <x v="1534"/>
    <n v="38676275"/>
    <s v="TK.KWVE15-B-A-ESC-0038-WW1"/>
    <n v="400"/>
    <n v="1424"/>
    <m/>
    <m/>
    <s v="20250314-13.03.2025"/>
    <x v="0"/>
    <x v="5"/>
    <x v="0"/>
    <m/>
  </r>
  <r>
    <x v="0"/>
    <x v="0"/>
    <x v="405"/>
    <x v="139"/>
    <x v="232"/>
    <s v="054380529-8011 "/>
    <n v="0"/>
    <n v="3.56"/>
    <n v="94"/>
    <n v="334.64"/>
    <x v="256"/>
    <n v="12"/>
    <n v="2025"/>
    <n v="0"/>
    <x v="61"/>
    <n v="0"/>
    <m/>
    <s v="approved"/>
    <n v="42"/>
    <s v="no"/>
    <m/>
    <m/>
    <m/>
    <m/>
    <m/>
    <m/>
    <x v="0"/>
    <x v="371"/>
    <x v="1534"/>
    <n v="38676275"/>
    <s v="TK.KWVE15-B-A-ESC-0038-WW1"/>
    <n v="94"/>
    <n v="334.64"/>
    <m/>
    <m/>
    <s v="20250314-13.03.2025"/>
    <x v="0"/>
    <x v="5"/>
    <x v="0"/>
    <m/>
  </r>
  <r>
    <x v="0"/>
    <x v="0"/>
    <x v="405"/>
    <x v="139"/>
    <x v="232"/>
    <s v="054380529-8011 "/>
    <n v="0"/>
    <n v="3.56"/>
    <n v="306"/>
    <n v="1089.3600000000001"/>
    <x v="256"/>
    <n v="12"/>
    <n v="2025"/>
    <n v="0"/>
    <x v="61"/>
    <n v="0"/>
    <m/>
    <s v="approved"/>
    <n v="42"/>
    <s v="no"/>
    <m/>
    <m/>
    <m/>
    <m/>
    <m/>
    <m/>
    <x v="0"/>
    <x v="348"/>
    <x v="1535"/>
    <n v="38676275"/>
    <s v="TK.KWVE15-B-A-ESC-0038-WW1"/>
    <n v="306"/>
    <n v="1089.3600000000001"/>
    <m/>
    <m/>
    <s v="20250322-14.03.2025"/>
    <x v="0"/>
    <x v="5"/>
    <x v="0"/>
    <m/>
  </r>
  <r>
    <x v="0"/>
    <x v="0"/>
    <x v="405"/>
    <x v="139"/>
    <x v="232"/>
    <s v="054380529-8011 "/>
    <n v="0"/>
    <n v="3.56"/>
    <n v="200"/>
    <n v="712"/>
    <x v="9"/>
    <n v="13"/>
    <n v="2025"/>
    <n v="0"/>
    <x v="61"/>
    <n v="0"/>
    <m/>
    <s v="approved"/>
    <n v="42"/>
    <s v="no"/>
    <m/>
    <m/>
    <m/>
    <m/>
    <m/>
    <m/>
    <x v="0"/>
    <x v="167"/>
    <x v="1536"/>
    <n v="38676275"/>
    <s v="TK.KWVE15-B-A-ESC-0038-WW1"/>
    <n v="200"/>
    <n v="712"/>
    <m/>
    <m/>
    <s v="20250339/20250343-18.03.2025"/>
    <x v="0"/>
    <x v="5"/>
    <x v="0"/>
    <m/>
  </r>
  <r>
    <x v="0"/>
    <x v="0"/>
    <x v="405"/>
    <x v="139"/>
    <x v="232"/>
    <s v="054380529-8011 "/>
    <n v="0"/>
    <n v="3.56"/>
    <n v="124"/>
    <n v="441.44"/>
    <x v="111"/>
    <n v="14"/>
    <n v="2025"/>
    <n v="0"/>
    <x v="61"/>
    <n v="0"/>
    <m/>
    <s v="approved"/>
    <n v="42"/>
    <s v="no"/>
    <m/>
    <m/>
    <m/>
    <m/>
    <m/>
    <m/>
    <x v="0"/>
    <x v="315"/>
    <x v="1537"/>
    <n v="38676275"/>
    <s v="TK.KWVE15-B-A-ESC-0038-WW1"/>
    <n v="124"/>
    <n v="441.44"/>
    <m/>
    <m/>
    <s v="20250430-31.03.2025"/>
    <x v="0"/>
    <x v="1"/>
    <x v="0"/>
    <m/>
  </r>
  <r>
    <x v="0"/>
    <x v="0"/>
    <x v="405"/>
    <x v="139"/>
    <x v="232"/>
    <s v="054380529-8011 "/>
    <n v="0"/>
    <n v="3.56"/>
    <n v="76"/>
    <n v="270.56"/>
    <x v="111"/>
    <n v="14"/>
    <n v="2025"/>
    <n v="0"/>
    <x v="61"/>
    <n v="0"/>
    <m/>
    <s v="approved"/>
    <n v="42"/>
    <s v="no"/>
    <m/>
    <m/>
    <m/>
    <m/>
    <m/>
    <m/>
    <x v="0"/>
    <x v="278"/>
    <x v="1538"/>
    <n v="38676275"/>
    <s v="TK.KWVE15-B-A-ESC-0038-WW1"/>
    <n v="76"/>
    <n v="270.56"/>
    <m/>
    <m/>
    <s v="20250568-30.04.2025"/>
    <x v="1"/>
    <x v="1"/>
    <x v="0"/>
    <m/>
  </r>
  <r>
    <x v="0"/>
    <x v="0"/>
    <x v="406"/>
    <x v="46"/>
    <x v="232"/>
    <s v="054380529-8011 "/>
    <n v="0"/>
    <n v="3.56"/>
    <n v="476"/>
    <n v="1694.56"/>
    <x v="129"/>
    <n v="19"/>
    <n v="2025"/>
    <n v="0"/>
    <x v="61"/>
    <n v="0"/>
    <m/>
    <s v="approved"/>
    <n v="42"/>
    <s v="no"/>
    <m/>
    <m/>
    <m/>
    <m/>
    <m/>
    <m/>
    <x v="0"/>
    <x v="99"/>
    <x v="1539"/>
    <n v="5410521"/>
    <s v="TK.KWVE15-B-A-ESC-0038-WW1"/>
    <n v="476"/>
    <n v="1694.56"/>
    <m/>
    <m/>
    <s v="20250580-06.05.2025"/>
    <x v="0"/>
    <x v="2"/>
    <x v="0"/>
    <m/>
  </r>
  <r>
    <x v="0"/>
    <x v="0"/>
    <x v="406"/>
    <x v="46"/>
    <x v="232"/>
    <s v="054380529-8011 "/>
    <n v="0"/>
    <n v="3.56"/>
    <n v="124"/>
    <n v="441.44"/>
    <x v="10"/>
    <n v="20"/>
    <n v="2025"/>
    <n v="0"/>
    <x v="61"/>
    <n v="0"/>
    <m/>
    <s v="approved"/>
    <n v="42"/>
    <s v="no"/>
    <m/>
    <m/>
    <m/>
    <m/>
    <m/>
    <m/>
    <x v="0"/>
    <x v="91"/>
    <x v="1540"/>
    <n v="5410521"/>
    <s v="TK.KWVE15-B-A-ESC-0038-WW1"/>
    <n v="124"/>
    <n v="441.44"/>
    <m/>
    <m/>
    <s v="20250593-08.05.2025"/>
    <x v="0"/>
    <x v="2"/>
    <x v="0"/>
    <m/>
  </r>
  <r>
    <x v="0"/>
    <x v="0"/>
    <x v="406"/>
    <x v="46"/>
    <x v="232"/>
    <s v="054380529-8011 "/>
    <n v="0"/>
    <n v="3.56"/>
    <n v="233"/>
    <n v="829.48"/>
    <x v="258"/>
    <n v="21"/>
    <n v="2025"/>
    <n v="0"/>
    <x v="61"/>
    <n v="0"/>
    <m/>
    <s v="approved"/>
    <n v="42"/>
    <s v="no"/>
    <m/>
    <m/>
    <m/>
    <m/>
    <m/>
    <m/>
    <x v="0"/>
    <x v="91"/>
    <x v="1540"/>
    <n v="5410521"/>
    <s v="TK.KWVE15-B-A-ESC-0038-WW1"/>
    <n v="233"/>
    <n v="829.48"/>
    <m/>
    <m/>
    <s v="20250593-08.05.2025"/>
    <x v="0"/>
    <x v="2"/>
    <x v="0"/>
    <m/>
  </r>
  <r>
    <x v="0"/>
    <x v="0"/>
    <x v="406"/>
    <x v="46"/>
    <x v="232"/>
    <s v="054380529-8011 "/>
    <n v="0"/>
    <n v="3.56"/>
    <n v="62"/>
    <n v="220.72"/>
    <x v="259"/>
    <n v="22"/>
    <n v="2025"/>
    <n v="0"/>
    <x v="61"/>
    <n v="0"/>
    <m/>
    <s v="approved"/>
    <n v="42"/>
    <s v="no"/>
    <m/>
    <m/>
    <m/>
    <m/>
    <m/>
    <m/>
    <x v="0"/>
    <x v="141"/>
    <x v="1541"/>
    <n v="5410521"/>
    <s v="TK.KWVE15-B-A-ESC-0038-WW1"/>
    <n v="62"/>
    <n v="220.72"/>
    <m/>
    <m/>
    <s v="20250613-13.05.2025"/>
    <x v="0"/>
    <x v="2"/>
    <x v="0"/>
    <m/>
  </r>
  <r>
    <x v="0"/>
    <x v="0"/>
    <x v="406"/>
    <x v="46"/>
    <x v="232"/>
    <s v="054380529-8011 "/>
    <n v="0"/>
    <n v="3.56"/>
    <n v="105"/>
    <n v="373.8"/>
    <x v="259"/>
    <n v="22"/>
    <n v="2025"/>
    <n v="0"/>
    <x v="61"/>
    <n v="0"/>
    <m/>
    <s v="approved"/>
    <n v="42"/>
    <s v="no"/>
    <m/>
    <m/>
    <m/>
    <m/>
    <m/>
    <m/>
    <x v="0"/>
    <x v="147"/>
    <x v="1542"/>
    <n v="5410521"/>
    <s v="TK.KWVE15-B-A-ESC-0038-WW1"/>
    <n v="105"/>
    <n v="373.8"/>
    <m/>
    <m/>
    <s v="20250675-29.05.2025"/>
    <x v="1"/>
    <x v="2"/>
    <x v="0"/>
    <m/>
  </r>
  <r>
    <x v="0"/>
    <x v="0"/>
    <x v="406"/>
    <x v="46"/>
    <x v="232"/>
    <s v="054380529-8011 "/>
    <n v="0"/>
    <n v="3.56"/>
    <n v="238"/>
    <n v="847.28"/>
    <x v="168"/>
    <n v="23"/>
    <n v="2025"/>
    <n v="0"/>
    <x v="61"/>
    <n v="0"/>
    <m/>
    <s v="approved"/>
    <n v="4.958333333333333"/>
    <s v="no"/>
    <m/>
    <m/>
    <m/>
    <m/>
    <m/>
    <m/>
    <x v="0"/>
    <x v="6"/>
    <x v="1543"/>
    <n v="5410521"/>
    <s v="TK.KWVE15-B-A-ESC-0038-WW1"/>
    <n v="238"/>
    <n v="847.28"/>
    <m/>
    <m/>
    <s v="20250700-03.06.2025"/>
    <x v="0"/>
    <x v="0"/>
    <x v="0"/>
    <m/>
  </r>
  <r>
    <x v="0"/>
    <x v="0"/>
    <x v="406"/>
    <x v="46"/>
    <x v="232"/>
    <s v="054380529-8011 "/>
    <n v="0"/>
    <n v="3.56"/>
    <n v="315"/>
    <n v="1121.4000000000001"/>
    <x v="260"/>
    <n v="24"/>
    <n v="2025"/>
    <n v="0"/>
    <x v="61"/>
    <n v="0"/>
    <m/>
    <s v="approved"/>
    <n v="6.5625"/>
    <m/>
    <m/>
    <m/>
    <m/>
    <m/>
    <m/>
    <m/>
    <x v="0"/>
    <x v="150"/>
    <x v="1544"/>
    <n v="5410521"/>
    <s v="TK.KWVE15-B-A-ESC-0038-WW1"/>
    <n v="315"/>
    <n v="1121.4000000000001"/>
    <m/>
    <m/>
    <s v="20250710-05.06.2025"/>
    <x v="0"/>
    <x v="0"/>
    <x v="0"/>
    <m/>
  </r>
  <r>
    <x v="0"/>
    <x v="0"/>
    <x v="406"/>
    <x v="46"/>
    <x v="232"/>
    <s v="054380529-8011 "/>
    <n v="0"/>
    <n v="3.56"/>
    <n v="44"/>
    <n v="156.64000000000001"/>
    <x v="260"/>
    <n v="24"/>
    <n v="2025"/>
    <n v="0"/>
    <x v="61"/>
    <n v="0"/>
    <m/>
    <s v="approved"/>
    <n v="0.91666666666666663"/>
    <m/>
    <m/>
    <m/>
    <m/>
    <m/>
    <m/>
    <m/>
    <x v="0"/>
    <x v="154"/>
    <x v="1545"/>
    <n v="5410521"/>
    <s v="TK.KWVE15-B-A-ESC-0038-WW1"/>
    <n v="44"/>
    <n v="156.64000000000001"/>
    <m/>
    <m/>
    <s v="20250759-19.06.2025"/>
    <x v="1"/>
    <x v="0"/>
    <x v="0"/>
    <m/>
  </r>
  <r>
    <x v="0"/>
    <x v="0"/>
    <x v="406"/>
    <x v="46"/>
    <x v="232"/>
    <s v="054380529-8011 "/>
    <n v="0"/>
    <n v="3.56"/>
    <n v="119"/>
    <n v="423.64"/>
    <x v="260"/>
    <n v="24"/>
    <n v="2025"/>
    <n v="0"/>
    <x v="61"/>
    <n v="0"/>
    <m/>
    <s v="approved"/>
    <n v="2.4791666666666665"/>
    <s v="no"/>
    <m/>
    <m/>
    <m/>
    <m/>
    <m/>
    <m/>
    <x v="0"/>
    <x v="7"/>
    <x v="1546"/>
    <n v="5410521"/>
    <s v="TK.KWVE15-B-A-ESC-0038-WW1"/>
    <n v="119"/>
    <n v="423.64"/>
    <m/>
    <m/>
    <s v="20250949-21.07.2025"/>
    <x v="1"/>
    <x v="0"/>
    <x v="0"/>
    <m/>
  </r>
  <r>
    <x v="0"/>
    <x v="0"/>
    <x v="406"/>
    <x v="46"/>
    <x v="232"/>
    <s v="054380529-8011 "/>
    <n v="0"/>
    <n v="3.56"/>
    <n v="199"/>
    <n v="708.44"/>
    <x v="201"/>
    <n v="28"/>
    <n v="2025"/>
    <n v="0"/>
    <x v="61"/>
    <n v="0"/>
    <m/>
    <s v="approved"/>
    <n v="4.145833333333333"/>
    <s v="no"/>
    <m/>
    <m/>
    <m/>
    <m/>
    <m/>
    <m/>
    <x v="0"/>
    <x v="367"/>
    <x v="1547"/>
    <n v="5410521"/>
    <s v="TK.KWVE15-B-A-ESC-0038-WW1"/>
    <n v="199"/>
    <n v="708.44"/>
    <m/>
    <m/>
    <s v="20250971-22.07.2025"/>
    <x v="1"/>
    <x v="8"/>
    <x v="0"/>
    <m/>
  </r>
  <r>
    <x v="0"/>
    <x v="0"/>
    <x v="406"/>
    <x v="46"/>
    <x v="232"/>
    <s v="054380529-8011 "/>
    <n v="0"/>
    <n v="3.56"/>
    <n v="271"/>
    <n v="964.76"/>
    <x v="201"/>
    <n v="28"/>
    <n v="2025"/>
    <n v="0"/>
    <x v="61"/>
    <n v="0"/>
    <m/>
    <s v="approved"/>
    <n v="5.645833333333333"/>
    <s v="no"/>
    <m/>
    <m/>
    <m/>
    <m/>
    <m/>
    <m/>
    <x v="0"/>
    <x v="368"/>
    <x v="1548"/>
    <n v="5410521"/>
    <s v="TK.KWVE15-B-A-ESC-0038-WW1"/>
    <n v="271"/>
    <n v="964.76"/>
    <m/>
    <m/>
    <s v="20250972-23.07.2025"/>
    <x v="1"/>
    <x v="8"/>
    <x v="0"/>
    <m/>
  </r>
  <r>
    <x v="0"/>
    <x v="0"/>
    <x v="406"/>
    <x v="46"/>
    <x v="232"/>
    <s v="054380529-8011 "/>
    <n v="0"/>
    <n v="3.56"/>
    <n v="219"/>
    <n v="779.64"/>
    <x v="116"/>
    <n v="29"/>
    <n v="2025"/>
    <n v="0"/>
    <x v="61"/>
    <n v="0"/>
    <m/>
    <s v="approved"/>
    <n v="4.5625"/>
    <s v="no"/>
    <m/>
    <m/>
    <m/>
    <m/>
    <m/>
    <m/>
    <x v="0"/>
    <x v="197"/>
    <x v="1549"/>
    <n v="5410521"/>
    <s v="TK.KWVE15-B-A-ESC-0038-WW1"/>
    <n v="219"/>
    <n v="779.64"/>
    <m/>
    <m/>
    <s v="20250983-25.07.2025"/>
    <x v="1"/>
    <x v="8"/>
    <x v="0"/>
    <m/>
  </r>
  <r>
    <x v="0"/>
    <x v="0"/>
    <x v="406"/>
    <x v="46"/>
    <x v="232"/>
    <s v="054380529-8011 "/>
    <n v="0"/>
    <n v="3.56"/>
    <n v="287"/>
    <n v="1021.72"/>
    <x v="116"/>
    <n v="29"/>
    <n v="2025"/>
    <n v="0"/>
    <x v="61"/>
    <n v="0"/>
    <m/>
    <s v="approved"/>
    <n v="5.979166666666667"/>
    <s v="no"/>
    <m/>
    <m/>
    <m/>
    <m/>
    <m/>
    <m/>
    <x v="0"/>
    <x v="198"/>
    <x v="1550"/>
    <n v="5410521"/>
    <s v="TK.KWVE15-B-A-ESC-0038-WW1"/>
    <n v="287"/>
    <n v="1021.72"/>
    <m/>
    <m/>
    <s v="20250990-25.07.2025"/>
    <x v="1"/>
    <x v="8"/>
    <x v="0"/>
    <m/>
  </r>
  <r>
    <x v="0"/>
    <x v="0"/>
    <x v="406"/>
    <x v="46"/>
    <x v="232"/>
    <s v="054380529-8011 "/>
    <n v="0"/>
    <n v="3.56"/>
    <n v="217"/>
    <n v="772.52"/>
    <x v="116"/>
    <n v="29"/>
    <n v="2025"/>
    <n v="0"/>
    <x v="61"/>
    <n v="0"/>
    <m/>
    <s v="approved"/>
    <n v="4.520833333333333"/>
    <s v="no"/>
    <m/>
    <m/>
    <m/>
    <m/>
    <m/>
    <m/>
    <x v="0"/>
    <x v="182"/>
    <x v="1551"/>
    <n v="5410521"/>
    <s v="TK.KWVE15-B-A-ESC-0038-WW1"/>
    <n v="217"/>
    <n v="772.52"/>
    <m/>
    <m/>
    <s v="20250993-28.07.2025"/>
    <x v="1"/>
    <x v="8"/>
    <x v="0"/>
    <m/>
  </r>
  <r>
    <x v="0"/>
    <x v="0"/>
    <x v="406"/>
    <x v="46"/>
    <x v="232"/>
    <s v="054380529-8011 "/>
    <n v="0"/>
    <n v="3.56"/>
    <n v="217"/>
    <n v="772.52"/>
    <x v="116"/>
    <n v="29"/>
    <n v="2025"/>
    <n v="0"/>
    <x v="61"/>
    <n v="0"/>
    <m/>
    <s v="approved"/>
    <n v="4.520833333333333"/>
    <s v="no"/>
    <m/>
    <m/>
    <m/>
    <m/>
    <m/>
    <m/>
    <x v="0"/>
    <x v="199"/>
    <x v="1552"/>
    <n v="5410521"/>
    <s v="TK.KWVE15-B-A-ESC-0038-WW1"/>
    <n v="217"/>
    <n v="772.52"/>
    <m/>
    <m/>
    <s v="20250997/29.07"/>
    <x v="1"/>
    <x v="8"/>
    <x v="0"/>
    <m/>
  </r>
  <r>
    <x v="0"/>
    <x v="0"/>
    <x v="406"/>
    <x v="46"/>
    <x v="232"/>
    <s v="054380529-8011 "/>
    <n v="0"/>
    <n v="3.56"/>
    <n v="238"/>
    <n v="847.28"/>
    <x v="469"/>
    <n v="32"/>
    <n v="2025"/>
    <n v="0"/>
    <x v="61"/>
    <n v="0"/>
    <m/>
    <s v="approved"/>
    <n v="4.958333333333333"/>
    <s v="no"/>
    <m/>
    <m/>
    <m/>
    <m/>
    <m/>
    <m/>
    <x v="0"/>
    <x v="200"/>
    <x v="1553"/>
    <n v="5410521"/>
    <s v="TK.KWVE15-B-A-ESC-0038-WW1"/>
    <n v="238"/>
    <n v="847.28"/>
    <m/>
    <m/>
    <s v="20251007/30.07.2025"/>
    <x v="0"/>
    <x v="9"/>
    <x v="0"/>
    <m/>
  </r>
  <r>
    <x v="0"/>
    <x v="0"/>
    <x v="406"/>
    <x v="46"/>
    <x v="232"/>
    <s v="054380529-8011 "/>
    <n v="0"/>
    <n v="3.56"/>
    <n v="238"/>
    <n v="847.28"/>
    <x v="469"/>
    <n v="32"/>
    <n v="2025"/>
    <n v="0"/>
    <x v="61"/>
    <n v="0"/>
    <m/>
    <s v="approved"/>
    <n v="4.958333333333333"/>
    <s v="no"/>
    <m/>
    <m/>
    <m/>
    <m/>
    <m/>
    <m/>
    <x v="0"/>
    <x v="26"/>
    <x v="1554"/>
    <n v="5410521"/>
    <s v="TK.KWVE15-B-A-ESC-0038-WW1"/>
    <n v="238"/>
    <n v="847.28"/>
    <m/>
    <m/>
    <s v="20251012/31.07.2025"/>
    <x v="0"/>
    <x v="9"/>
    <x v="0"/>
    <m/>
  </r>
  <r>
    <x v="0"/>
    <x v="0"/>
    <x v="406"/>
    <x v="46"/>
    <x v="232"/>
    <s v="054380529-8011 "/>
    <n v="0"/>
    <n v="3.56"/>
    <n v="0"/>
    <n v="0"/>
    <x v="470"/>
    <n v="35"/>
    <n v="2025"/>
    <n v="0"/>
    <x v="61"/>
    <n v="0"/>
    <m/>
    <s v="approved"/>
    <n v="0"/>
    <s v="no"/>
    <m/>
    <m/>
    <m/>
    <m/>
    <m/>
    <m/>
    <x v="0"/>
    <x v="202"/>
    <x v="1555"/>
    <n v="0"/>
    <s v="TK.KWVE15-B-A-ESC-0038-WW1"/>
    <n v="0"/>
    <n v="0"/>
    <m/>
    <m/>
    <m/>
    <x v="0"/>
    <x v="9"/>
    <x v="0"/>
    <m/>
  </r>
  <r>
    <x v="0"/>
    <x v="0"/>
    <x v="406"/>
    <x v="46"/>
    <x v="232"/>
    <s v="054380529-8011 "/>
    <n v="0"/>
    <n v="3.56"/>
    <n v="184"/>
    <n v="655.04"/>
    <x v="470"/>
    <n v="35"/>
    <n v="2025"/>
    <n v="0"/>
    <x v="61"/>
    <n v="0"/>
    <m/>
    <s v="approved"/>
    <n v="3.8333333333333335"/>
    <s v="no"/>
    <m/>
    <m/>
    <m/>
    <m/>
    <m/>
    <m/>
    <x v="0"/>
    <x v="202"/>
    <x v="1555"/>
    <n v="5410521"/>
    <s v="TK.KWVE15-B-A-ESC-0038-WW1"/>
    <n v="184"/>
    <n v="655.04"/>
    <m/>
    <m/>
    <s v="20251031-06.08.2025"/>
    <x v="0"/>
    <x v="9"/>
    <x v="0"/>
    <m/>
  </r>
  <r>
    <x v="0"/>
    <x v="0"/>
    <x v="406"/>
    <x v="46"/>
    <x v="232"/>
    <s v="054380529-8011 "/>
    <n v="0"/>
    <n v="3.56"/>
    <n v="451"/>
    <n v="1605.56"/>
    <x v="471"/>
    <n v="36"/>
    <n v="2025"/>
    <n v="0"/>
    <x v="61"/>
    <n v="0"/>
    <m/>
    <s v="approved"/>
    <n v="9.3958333333333339"/>
    <s v="no"/>
    <m/>
    <m/>
    <m/>
    <m/>
    <m/>
    <m/>
    <x v="0"/>
    <x v="202"/>
    <x v="1555"/>
    <n v="5410521"/>
    <s v="TK.KWVE15-B-A-ESC-0038-WW1"/>
    <n v="451"/>
    <n v="1605.56"/>
    <m/>
    <m/>
    <s v="20251031-06.08.2025"/>
    <x v="0"/>
    <x v="10"/>
    <x v="0"/>
    <m/>
  </r>
  <r>
    <x v="0"/>
    <x v="0"/>
    <x v="406"/>
    <x v="46"/>
    <x v="232"/>
    <s v="054380529-8011 "/>
    <n v="0"/>
    <n v="3.56"/>
    <n v="16"/>
    <n v="56.96"/>
    <x v="472"/>
    <n v="38"/>
    <n v="2025"/>
    <n v="0"/>
    <x v="61"/>
    <n v="0"/>
    <m/>
    <s v="approved"/>
    <n v="0.33333333333333331"/>
    <s v="no"/>
    <m/>
    <m/>
    <m/>
    <m/>
    <m/>
    <m/>
    <x v="0"/>
    <x v="202"/>
    <x v="1555"/>
    <n v="5410521"/>
    <s v="TK.KWVE15-B-A-ESC-0038-WW1"/>
    <n v="16"/>
    <n v="56.96"/>
    <m/>
    <m/>
    <s v="20251031-06.08.2025"/>
    <x v="0"/>
    <x v="10"/>
    <x v="0"/>
    <m/>
  </r>
  <r>
    <x v="0"/>
    <x v="0"/>
    <x v="406"/>
    <x v="46"/>
    <x v="232"/>
    <s v="054380529-8011 "/>
    <n v="0"/>
    <n v="3.56"/>
    <n v="206"/>
    <n v="733.36"/>
    <x v="472"/>
    <n v="38"/>
    <n v="2025"/>
    <n v="0"/>
    <x v="61"/>
    <n v="0"/>
    <m/>
    <s v="approved"/>
    <n v="4.291666666666667"/>
    <s v="no"/>
    <m/>
    <m/>
    <m/>
    <m/>
    <m/>
    <m/>
    <x v="0"/>
    <x v="162"/>
    <x v="1556"/>
    <n v="5410521"/>
    <s v="TK.KWVE15-B-A-ESC-0038-WW1"/>
    <n v="206"/>
    <n v="733.36"/>
    <m/>
    <m/>
    <s v="20251134-01.09.2025"/>
    <x v="0"/>
    <x v="10"/>
    <x v="0"/>
    <m/>
  </r>
  <r>
    <x v="0"/>
    <x v="0"/>
    <x v="406"/>
    <x v="46"/>
    <x v="232"/>
    <s v="054380529-8011 "/>
    <n v="0"/>
    <n v="3.56"/>
    <n v="178"/>
    <n v="633.68000000000006"/>
    <x v="473"/>
    <n v="39"/>
    <n v="2025"/>
    <n v="0"/>
    <x v="61"/>
    <n v="0"/>
    <m/>
    <s v="approved"/>
    <n v="3.7083333333333335"/>
    <s v="no"/>
    <m/>
    <m/>
    <m/>
    <m/>
    <m/>
    <m/>
    <x v="0"/>
    <x v="107"/>
    <x v="1557"/>
    <n v="5410521"/>
    <s v="TK.KWVE15-B-A-ESC-0038-WW1"/>
    <n v="178"/>
    <n v="633.68000000000006"/>
    <m/>
    <m/>
    <s v="20251192-18.09.2025"/>
    <x v="0"/>
    <x v="10"/>
    <x v="0"/>
    <m/>
  </r>
  <r>
    <x v="0"/>
    <x v="0"/>
    <x v="406"/>
    <x v="46"/>
    <x v="232"/>
    <s v="054380529-8011 "/>
    <n v="0"/>
    <n v="3.56"/>
    <n v="60"/>
    <n v="213.6"/>
    <x v="283"/>
    <n v="40"/>
    <n v="2025"/>
    <n v="0"/>
    <x v="61"/>
    <n v="0"/>
    <m/>
    <s v="approved"/>
    <n v="1.25"/>
    <m/>
    <m/>
    <m/>
    <m/>
    <m/>
    <m/>
    <m/>
    <x v="0"/>
    <x v="107"/>
    <x v="1557"/>
    <n v="5410521"/>
    <s v="TK.KWVE15-B-A-ESC-0038-WW1"/>
    <n v="60"/>
    <n v="213.6"/>
    <m/>
    <m/>
    <s v="20251192-18.09.2025"/>
    <x v="0"/>
    <x v="10"/>
    <x v="0"/>
    <m/>
  </r>
  <r>
    <x v="0"/>
    <x v="0"/>
    <x v="406"/>
    <x v="46"/>
    <x v="232"/>
    <s v="054380529-8011 "/>
    <n v="0"/>
    <n v="3.56"/>
    <n v="140"/>
    <n v="498.40000000000003"/>
    <x v="283"/>
    <n v="40"/>
    <n v="2025"/>
    <n v="0"/>
    <x v="61"/>
    <n v="0"/>
    <m/>
    <s v="approved"/>
    <n v="2.9166666666666665"/>
    <s v="no"/>
    <m/>
    <m/>
    <m/>
    <m/>
    <m/>
    <m/>
    <x v="0"/>
    <x v="108"/>
    <x v="1558"/>
    <n v="5410521"/>
    <s v="TK.KWVE15-B-A-ESC-0038-WW1"/>
    <n v="140"/>
    <n v="498.40000000000003"/>
    <m/>
    <m/>
    <s v="20251196-19.09.2025"/>
    <x v="0"/>
    <x v="10"/>
    <x v="0"/>
    <m/>
  </r>
  <r>
    <x v="0"/>
    <x v="0"/>
    <x v="406"/>
    <x v="46"/>
    <x v="232"/>
    <s v="054380529-8011 "/>
    <n v="0"/>
    <n v="3.56"/>
    <n v="200"/>
    <n v="712"/>
    <x v="474"/>
    <n v="40"/>
    <n v="2025"/>
    <n v="0"/>
    <x v="61"/>
    <n v="0"/>
    <m/>
    <s v="approved"/>
    <n v="4.166666666666667"/>
    <m/>
    <m/>
    <m/>
    <m/>
    <m/>
    <m/>
    <m/>
    <x v="0"/>
    <x v="108"/>
    <x v="1558"/>
    <n v="5410521"/>
    <s v="TK.KWVE15-B-A-ESC-0038-WW1"/>
    <n v="200"/>
    <n v="712"/>
    <m/>
    <m/>
    <m/>
    <x v="0"/>
    <x v="11"/>
    <x v="0"/>
    <m/>
  </r>
  <r>
    <x v="0"/>
    <x v="0"/>
    <x v="406"/>
    <x v="46"/>
    <x v="232"/>
    <s v="054380529-8011 "/>
    <n v="0"/>
    <n v="3.56"/>
    <n v="35"/>
    <n v="124.60000000000001"/>
    <x v="130"/>
    <n v="41"/>
    <n v="2025"/>
    <n v="0"/>
    <x v="61"/>
    <n v="0"/>
    <m/>
    <s v="approved"/>
    <n v="0.72916666666666663"/>
    <m/>
    <m/>
    <m/>
    <m/>
    <m/>
    <m/>
    <m/>
    <x v="0"/>
    <x v="108"/>
    <x v="1558"/>
    <n v="5410521"/>
    <s v="TK.KWVE15-B-A-ESC-0038-WW1"/>
    <n v="35"/>
    <n v="124.60000000000001"/>
    <m/>
    <m/>
    <s v="20251196-19.09.2025"/>
    <x v="0"/>
    <x v="11"/>
    <x v="0"/>
    <m/>
  </r>
  <r>
    <x v="0"/>
    <x v="0"/>
    <x v="406"/>
    <x v="46"/>
    <x v="232"/>
    <s v="054380529-8011 "/>
    <n v="0"/>
    <n v="3.56"/>
    <n v="119"/>
    <n v="423.64"/>
    <x v="130"/>
    <n v="41"/>
    <n v="2025"/>
    <n v="0"/>
    <x v="61"/>
    <n v="0"/>
    <m/>
    <s v="approved"/>
    <n v="2.4791666666666665"/>
    <m/>
    <m/>
    <m/>
    <m/>
    <m/>
    <m/>
    <m/>
    <x v="0"/>
    <x v="372"/>
    <x v="1559"/>
    <n v="5410521"/>
    <s v="TK.KWVE15-B-A-ESC-0038-WW1"/>
    <n v="119"/>
    <n v="423.64"/>
    <m/>
    <m/>
    <s v="20251213-22.09.2025"/>
    <x v="0"/>
    <x v="11"/>
    <x v="0"/>
    <m/>
  </r>
  <r>
    <x v="0"/>
    <x v="0"/>
    <x v="406"/>
    <x v="46"/>
    <x v="232"/>
    <s v="054380529-8011 "/>
    <n v="0"/>
    <n v="3.56"/>
    <n v="162"/>
    <n v="576.72"/>
    <x v="475"/>
    <n v="43"/>
    <n v="2025"/>
    <n v="0"/>
    <x v="61"/>
    <n v="0"/>
    <m/>
    <s v="approved"/>
    <n v="3.375"/>
    <m/>
    <m/>
    <m/>
    <m/>
    <m/>
    <m/>
    <m/>
    <x v="0"/>
    <x v="132"/>
    <x v="1560"/>
    <n v="5410521"/>
    <s v="TK.KWVE15-B-A-ESC-0038-WW1"/>
    <n v="162"/>
    <n v="576.72"/>
    <m/>
    <m/>
    <s v="20251267-02.10.2025"/>
    <x v="0"/>
    <x v="11"/>
    <x v="0"/>
    <m/>
  </r>
  <r>
    <x v="0"/>
    <x v="0"/>
    <x v="406"/>
    <x v="46"/>
    <x v="232"/>
    <s v="054380529-8011 "/>
    <n v="0"/>
    <n v="3.56"/>
    <n v="300"/>
    <n v="1068"/>
    <x v="132"/>
    <n v="44"/>
    <n v="2025"/>
    <n v="0"/>
    <x v="61"/>
    <n v="0"/>
    <m/>
    <s v="approved"/>
    <n v="6.25"/>
    <m/>
    <m/>
    <m/>
    <m/>
    <m/>
    <m/>
    <m/>
    <x v="0"/>
    <x v="132"/>
    <x v="1560"/>
    <n v="5410521"/>
    <s v="TK.KWVE15-B-A-ESC-0038-WW1"/>
    <n v="300"/>
    <n v="1068"/>
    <m/>
    <m/>
    <s v="20251267-02.10.2025"/>
    <x v="0"/>
    <x v="11"/>
    <x v="0"/>
    <m/>
  </r>
  <r>
    <x v="0"/>
    <x v="0"/>
    <x v="406"/>
    <x v="197"/>
    <x v="232"/>
    <s v="054380529-8011 "/>
    <n v="0"/>
    <n v="3.56"/>
    <n v="500"/>
    <n v="1780"/>
    <x v="476"/>
    <n v="45"/>
    <n v="2025"/>
    <n v="0"/>
    <x v="61"/>
    <n v="0"/>
    <m/>
    <s v="approved"/>
    <n v="10.416666666666666"/>
    <m/>
    <m/>
    <m/>
    <m/>
    <m/>
    <m/>
    <m/>
    <x v="0"/>
    <x v="118"/>
    <x v="1561"/>
    <n v="5410521"/>
    <s v="TK.KWVE15-B-A-ESC-0038-WW1"/>
    <n v="500"/>
    <n v="1780"/>
    <m/>
    <m/>
    <s v="20251404-04.11.2025"/>
    <x v="0"/>
    <x v="4"/>
    <x v="0"/>
    <m/>
  </r>
  <r>
    <x v="0"/>
    <x v="0"/>
    <x v="406"/>
    <x v="197"/>
    <x v="232"/>
    <s v="054380529-8011 "/>
    <n v="0"/>
    <n v="3.56"/>
    <n v="70"/>
    <n v="249.20000000000002"/>
    <x v="173"/>
    <n v="46"/>
    <n v="2025"/>
    <n v="0"/>
    <x v="61"/>
    <n v="0"/>
    <m/>
    <s v="approved"/>
    <n v="1.4583333333333333"/>
    <m/>
    <m/>
    <m/>
    <m/>
    <m/>
    <m/>
    <m/>
    <x v="0"/>
    <x v="118"/>
    <x v="1561"/>
    <n v="5410521"/>
    <s v="TK.KWVE15-B-A-ESC-0038-WW1"/>
    <n v="70"/>
    <n v="249.20000000000002"/>
    <m/>
    <m/>
    <s v="20251404-04.11.2025"/>
    <x v="0"/>
    <x v="4"/>
    <x v="0"/>
    <m/>
  </r>
  <r>
    <x v="0"/>
    <x v="0"/>
    <x v="406"/>
    <x v="197"/>
    <x v="232"/>
    <s v="054380529-8011 "/>
    <n v="0"/>
    <n v="3.56"/>
    <n v="430"/>
    <n v="1530.8"/>
    <x v="173"/>
    <n v="46"/>
    <n v="2025"/>
    <n v="0"/>
    <x v="61"/>
    <n v="0"/>
    <m/>
    <s v="approved"/>
    <n v="8.9583333333333339"/>
    <m/>
    <m/>
    <m/>
    <m/>
    <m/>
    <m/>
    <m/>
    <x v="1"/>
    <x v="3"/>
    <x v="4"/>
    <s v=""/>
    <s v=""/>
    <m/>
    <n v="0"/>
    <m/>
    <m/>
    <m/>
    <x v="2"/>
    <x v="4"/>
    <x v="0"/>
    <m/>
  </r>
  <r>
    <x v="0"/>
    <x v="0"/>
    <x v="406"/>
    <x v="197"/>
    <x v="232"/>
    <s v="054380529-8011 "/>
    <n v="0"/>
    <n v="3.56"/>
    <n v="1000"/>
    <n v="3560"/>
    <x v="477"/>
    <n v="46"/>
    <n v="2025"/>
    <n v="0"/>
    <x v="61"/>
    <n v="0"/>
    <m/>
    <s v="approved"/>
    <n v="20.833333333333332"/>
    <m/>
    <m/>
    <m/>
    <m/>
    <m/>
    <m/>
    <m/>
    <x v="1"/>
    <x v="3"/>
    <x v="4"/>
    <s v=""/>
    <s v=""/>
    <m/>
    <n v="0"/>
    <m/>
    <m/>
    <m/>
    <x v="2"/>
    <x v="4"/>
    <x v="0"/>
    <m/>
  </r>
  <r>
    <x v="0"/>
    <x v="1"/>
    <x v="406"/>
    <x v="46"/>
    <x v="232"/>
    <s v="054380529-8011 "/>
    <n v="0"/>
    <n v="3.56"/>
    <n v="200"/>
    <n v="712"/>
    <x v="478"/>
    <n v="51"/>
    <n v="2025"/>
    <n v="0"/>
    <x v="61"/>
    <n v="0"/>
    <m/>
    <s v="approved"/>
    <n v="4.166666666666667"/>
    <m/>
    <m/>
    <m/>
    <m/>
    <m/>
    <m/>
    <m/>
    <x v="1"/>
    <x v="3"/>
    <x v="4"/>
    <s v=""/>
    <s v=""/>
    <m/>
    <n v="0"/>
    <m/>
    <m/>
    <m/>
    <x v="2"/>
    <x v="3"/>
    <x v="0"/>
    <m/>
  </r>
  <r>
    <x v="0"/>
    <x v="0"/>
    <x v="407"/>
    <x v="51"/>
    <x v="233"/>
    <s v="054830877-8011"/>
    <s v="AA"/>
    <n v="5.72"/>
    <n v="187"/>
    <n v="1069.6399999999999"/>
    <x v="479"/>
    <n v="13"/>
    <n v="2024"/>
    <n v="0"/>
    <x v="61"/>
    <n v="0"/>
    <m/>
    <s v="approved"/>
    <n v="42"/>
    <s v="no"/>
    <m/>
    <m/>
    <m/>
    <m/>
    <m/>
    <n v="241303"/>
    <x v="0"/>
    <x v="137"/>
    <x v="1562"/>
    <n v="36340001"/>
    <s v="TK.KWVE20-B-A-L-0038-WW1"/>
    <n v="187"/>
    <n v="1069.6399999999999"/>
    <m/>
    <m/>
    <s v="20240326-29.03.2024"/>
    <x v="0"/>
    <x v="5"/>
    <x v="1"/>
    <m/>
  </r>
  <r>
    <x v="0"/>
    <x v="0"/>
    <x v="408"/>
    <x v="36"/>
    <x v="233"/>
    <s v="054830877-8011"/>
    <s v="AA"/>
    <n v="5.72"/>
    <n v="125"/>
    <n v="715"/>
    <x v="94"/>
    <n v="14"/>
    <n v="2024"/>
    <n v="0"/>
    <x v="61"/>
    <n v="0"/>
    <m/>
    <s v="approved"/>
    <n v="42"/>
    <s v="no"/>
    <m/>
    <m/>
    <m/>
    <m/>
    <m/>
    <s v="241315"/>
    <x v="0"/>
    <x v="57"/>
    <x v="1563"/>
    <n v="36508920"/>
    <s v="TK.KWVE20-B-A-L-0038-WW1"/>
    <n v="125"/>
    <n v="715"/>
    <m/>
    <m/>
    <s v="20240322-01.04.2024"/>
    <x v="0"/>
    <x v="1"/>
    <x v="1"/>
    <m/>
  </r>
  <r>
    <x v="0"/>
    <x v="0"/>
    <x v="409"/>
    <x v="36"/>
    <x v="233"/>
    <s v="054830877-8011"/>
    <s v="AA"/>
    <n v="5.72"/>
    <n v="125"/>
    <n v="715"/>
    <x v="480"/>
    <n v="14"/>
    <n v="2024"/>
    <n v="0"/>
    <x v="61"/>
    <n v="0"/>
    <m/>
    <s v="approved"/>
    <n v="42"/>
    <s v="no"/>
    <m/>
    <m/>
    <m/>
    <m/>
    <m/>
    <s v="241315"/>
    <x v="0"/>
    <x v="119"/>
    <x v="1564"/>
    <n v="36508924"/>
    <s v="TK.KWVE20-B-A-L-0038-WW1"/>
    <n v="125"/>
    <n v="715"/>
    <m/>
    <m/>
    <s v="20240332-04.04.2024"/>
    <x v="0"/>
    <x v="1"/>
    <x v="1"/>
    <m/>
  </r>
  <r>
    <x v="0"/>
    <x v="0"/>
    <x v="410"/>
    <x v="36"/>
    <x v="233"/>
    <s v="054830877-8011"/>
    <s v="AA"/>
    <n v="5.72"/>
    <n v="225"/>
    <n v="1287"/>
    <x v="236"/>
    <n v="15"/>
    <n v="2024"/>
    <n v="0"/>
    <x v="61"/>
    <n v="0"/>
    <m/>
    <s v="approved"/>
    <n v="42"/>
    <s v="no"/>
    <m/>
    <m/>
    <m/>
    <m/>
    <m/>
    <s v="241411"/>
    <x v="0"/>
    <x v="119"/>
    <x v="1565"/>
    <n v="36508929"/>
    <s v="TK.KWVE20-B-A-L-0038-WW1"/>
    <n v="70"/>
    <n v="400.4"/>
    <m/>
    <m/>
    <s v="20240333-04.04.2024"/>
    <x v="0"/>
    <x v="1"/>
    <x v="1"/>
    <m/>
  </r>
  <r>
    <x v="0"/>
    <x v="0"/>
    <x v="410"/>
    <x v="36"/>
    <x v="233"/>
    <s v="054830877-8011"/>
    <s v="AA"/>
    <n v="5.72"/>
    <m/>
    <n v="0"/>
    <x v="236"/>
    <n v="15"/>
    <n v="2024"/>
    <n v="0"/>
    <x v="61"/>
    <n v="0"/>
    <m/>
    <s v="approved"/>
    <n v="42"/>
    <m/>
    <m/>
    <m/>
    <m/>
    <m/>
    <m/>
    <m/>
    <x v="0"/>
    <x v="256"/>
    <x v="1566"/>
    <n v="36508929"/>
    <s v="TK.KWVE20-B-A-L-0038-WW1"/>
    <n v="134"/>
    <n v="766.48"/>
    <m/>
    <m/>
    <m/>
    <x v="0"/>
    <x v="1"/>
    <x v="1"/>
    <m/>
  </r>
  <r>
    <x v="0"/>
    <x v="0"/>
    <x v="410"/>
    <x v="36"/>
    <x v="233"/>
    <s v="054830877-8011"/>
    <s v="AA"/>
    <n v="5.72"/>
    <m/>
    <n v="0"/>
    <x v="236"/>
    <n v="15"/>
    <n v="2024"/>
    <n v="0"/>
    <x v="61"/>
    <n v="0"/>
    <m/>
    <s v="approved"/>
    <n v="42"/>
    <m/>
    <m/>
    <m/>
    <m/>
    <m/>
    <m/>
    <m/>
    <x v="0"/>
    <x v="4"/>
    <x v="1567"/>
    <n v="36508929"/>
    <s v="TK.KWVE20-B-A-L-0038-WW1"/>
    <n v="21"/>
    <n v="120.11999999999999"/>
    <m/>
    <m/>
    <s v="20240367-11.04.2024"/>
    <x v="0"/>
    <x v="1"/>
    <x v="1"/>
    <m/>
  </r>
  <r>
    <x v="0"/>
    <x v="0"/>
    <x v="411"/>
    <x v="36"/>
    <x v="233"/>
    <s v="054830877-8011"/>
    <s v="AA"/>
    <n v="5.72"/>
    <n v="225"/>
    <n v="1287"/>
    <x v="481"/>
    <n v="15"/>
    <n v="2024"/>
    <n v="0"/>
    <x v="61"/>
    <n v="0"/>
    <m/>
    <s v="approved"/>
    <n v="42"/>
    <s v="no"/>
    <m/>
    <m/>
    <m/>
    <m/>
    <m/>
    <s v="241507"/>
    <x v="0"/>
    <x v="4"/>
    <x v="1568"/>
    <n v="36508932"/>
    <s v="TK.KWVE20-B-A-L-0038-WW1"/>
    <n v="136"/>
    <n v="777.92"/>
    <m/>
    <m/>
    <s v="20240368-11.04.2024"/>
    <x v="0"/>
    <x v="1"/>
    <x v="1"/>
    <m/>
  </r>
  <r>
    <x v="0"/>
    <x v="0"/>
    <x v="411"/>
    <x v="36"/>
    <x v="233"/>
    <s v="054830877-8011"/>
    <s v="AA"/>
    <n v="5.72"/>
    <m/>
    <n v="0"/>
    <x v="481"/>
    <n v="15"/>
    <n v="2024"/>
    <n v="0"/>
    <x v="61"/>
    <n v="0"/>
    <m/>
    <s v="approved"/>
    <n v="42"/>
    <m/>
    <m/>
    <m/>
    <m/>
    <m/>
    <m/>
    <m/>
    <x v="0"/>
    <x v="5"/>
    <x v="1569"/>
    <n v="36508932"/>
    <s v="TK.KWVE20-B-A-L-0038-WW1"/>
    <n v="89"/>
    <n v="509.08"/>
    <m/>
    <m/>
    <s v="20240372-12.04.2024"/>
    <x v="0"/>
    <x v="1"/>
    <x v="1"/>
    <m/>
  </r>
  <r>
    <x v="0"/>
    <x v="0"/>
    <x v="411"/>
    <x v="36"/>
    <x v="233"/>
    <s v="054830877-8011"/>
    <s v="AA"/>
    <n v="5.72"/>
    <m/>
    <n v="0"/>
    <x v="481"/>
    <n v="15"/>
    <n v="2024"/>
    <n v="0"/>
    <x v="61"/>
    <n v="0"/>
    <m/>
    <s v="approved"/>
    <n v="42"/>
    <m/>
    <m/>
    <m/>
    <m/>
    <m/>
    <m/>
    <m/>
    <x v="0"/>
    <x v="175"/>
    <x v="1570"/>
    <n v="36508932"/>
    <s v="TK.KWVE20-B-A-L-0038-WW1"/>
    <n v="25"/>
    <n v="143"/>
    <m/>
    <m/>
    <s v="20240453-25.04.2024"/>
    <x v="1"/>
    <x v="1"/>
    <x v="1"/>
    <m/>
  </r>
  <r>
    <x v="0"/>
    <x v="0"/>
    <x v="412"/>
    <x v="36"/>
    <x v="233"/>
    <s v="054830877-8011"/>
    <s v="AA"/>
    <n v="5.72"/>
    <n v="225"/>
    <n v="1287"/>
    <x v="365"/>
    <n v="16"/>
    <n v="2024"/>
    <n v="0"/>
    <x v="61"/>
    <n v="0"/>
    <m/>
    <s v="approved"/>
    <n v="42"/>
    <s v="no"/>
    <m/>
    <m/>
    <m/>
    <m/>
    <m/>
    <s v="241516"/>
    <x v="0"/>
    <x v="5"/>
    <x v="1571"/>
    <n v="36508943"/>
    <s v="TK.KWVE20-B-A-L-0038-WW1"/>
    <n v="23"/>
    <n v="131.56"/>
    <m/>
    <m/>
    <s v="20240373-12.04.2024"/>
    <x v="0"/>
    <x v="1"/>
    <x v="1"/>
    <m/>
  </r>
  <r>
    <x v="0"/>
    <x v="0"/>
    <x v="412"/>
    <x v="36"/>
    <x v="233"/>
    <s v="054830877-8011"/>
    <s v="AA"/>
    <n v="5.72"/>
    <m/>
    <n v="0"/>
    <x v="482"/>
    <n v="16"/>
    <n v="2024"/>
    <n v="0"/>
    <x v="61"/>
    <n v="0"/>
    <m/>
    <s v="approved"/>
    <n v="42"/>
    <m/>
    <m/>
    <m/>
    <m/>
    <m/>
    <m/>
    <m/>
    <x v="0"/>
    <x v="58"/>
    <x v="1572"/>
    <n v="36508943"/>
    <s v="TK.KWVE20-B-A-L-0038-WW1"/>
    <n v="202"/>
    <n v="1155.44"/>
    <m/>
    <m/>
    <s v="20240390-16.04.2024"/>
    <x v="0"/>
    <x v="1"/>
    <x v="1"/>
    <m/>
  </r>
  <r>
    <x v="0"/>
    <x v="0"/>
    <x v="413"/>
    <x v="36"/>
    <x v="233"/>
    <s v="054830877-8011"/>
    <s v="AA"/>
    <n v="5.72"/>
    <n v="250"/>
    <n v="1430"/>
    <x v="483"/>
    <n v="16"/>
    <n v="2024"/>
    <n v="0"/>
    <x v="61"/>
    <n v="0"/>
    <m/>
    <s v="approved"/>
    <n v="42"/>
    <s v="no"/>
    <m/>
    <m/>
    <m/>
    <m/>
    <m/>
    <s v="241519"/>
    <x v="0"/>
    <x v="58"/>
    <x v="1573"/>
    <n v="36508936"/>
    <s v="TK.KWVE20-B-A-L-0038-WW1"/>
    <n v="45"/>
    <n v="257.39999999999998"/>
    <m/>
    <m/>
    <s v="20240391-16.04.2024"/>
    <x v="0"/>
    <x v="1"/>
    <x v="1"/>
    <m/>
  </r>
  <r>
    <x v="0"/>
    <x v="0"/>
    <x v="413"/>
    <x v="36"/>
    <x v="233"/>
    <s v="054830877-8011"/>
    <s v="AA"/>
    <n v="5.72"/>
    <m/>
    <n v="0"/>
    <x v="483"/>
    <n v="16"/>
    <n v="2024"/>
    <n v="0"/>
    <x v="61"/>
    <n v="0"/>
    <m/>
    <s v="approved"/>
    <n v="42"/>
    <m/>
    <m/>
    <m/>
    <m/>
    <m/>
    <m/>
    <m/>
    <x v="0"/>
    <x v="208"/>
    <x v="1574"/>
    <n v="36508936"/>
    <s v="TK.KWVE20-B-A-L-0038-WW1"/>
    <n v="48"/>
    <n v="274.56"/>
    <m/>
    <m/>
    <s v="20240402-18.04.2024"/>
    <x v="0"/>
    <x v="1"/>
    <x v="1"/>
    <m/>
  </r>
  <r>
    <x v="0"/>
    <x v="0"/>
    <x v="413"/>
    <x v="36"/>
    <x v="233"/>
    <s v="054830877-8011"/>
    <s v="AA"/>
    <n v="5.72"/>
    <m/>
    <n v="0"/>
    <x v="483"/>
    <n v="16"/>
    <n v="2024"/>
    <n v="0"/>
    <x v="61"/>
    <n v="0"/>
    <m/>
    <s v="approved"/>
    <n v="42"/>
    <m/>
    <m/>
    <m/>
    <m/>
    <m/>
    <m/>
    <m/>
    <x v="0"/>
    <x v="208"/>
    <x v="1575"/>
    <n v="36508936"/>
    <s v="TK.KWVE20-B-A-L-0038-WW1"/>
    <n v="96"/>
    <n v="549.12"/>
    <m/>
    <m/>
    <s v="20240403-20.04.2024"/>
    <x v="0"/>
    <x v="1"/>
    <x v="1"/>
    <m/>
  </r>
  <r>
    <x v="0"/>
    <x v="0"/>
    <x v="413"/>
    <x v="36"/>
    <x v="233"/>
    <s v="054830877-8011"/>
    <s v="AA"/>
    <n v="5.72"/>
    <m/>
    <n v="0"/>
    <x v="483"/>
    <n v="16"/>
    <n v="2024"/>
    <n v="0"/>
    <x v="61"/>
    <n v="0"/>
    <m/>
    <s v="approved"/>
    <n v="42"/>
    <m/>
    <m/>
    <m/>
    <m/>
    <m/>
    <m/>
    <m/>
    <x v="0"/>
    <x v="15"/>
    <x v="1576"/>
    <n v="36508936"/>
    <s v="TK.KWVE20-B-A-L-0038-WW1"/>
    <n v="61"/>
    <n v="348.91999999999996"/>
    <m/>
    <m/>
    <s v="20240431-19.04.2024"/>
    <x v="0"/>
    <x v="1"/>
    <x v="1"/>
    <m/>
  </r>
  <r>
    <x v="0"/>
    <x v="0"/>
    <x v="414"/>
    <x v="53"/>
    <x v="233"/>
    <s v="054830877-8011"/>
    <s v="AA"/>
    <n v="5.72"/>
    <n v="325"/>
    <n v="1859"/>
    <x v="450"/>
    <n v="17"/>
    <n v="2024"/>
    <n v="0"/>
    <x v="61"/>
    <n v="0"/>
    <m/>
    <s v="approved"/>
    <n v="42"/>
    <s v="no"/>
    <m/>
    <m/>
    <m/>
    <m/>
    <m/>
    <s v="241520"/>
    <x v="0"/>
    <x v="15"/>
    <x v="1577"/>
    <n v="36508951"/>
    <s v="TK.KWVE20-B-A-L-0038-WW1"/>
    <n v="56"/>
    <n v="320.32"/>
    <m/>
    <m/>
    <s v="20240432-19.04.2024"/>
    <x v="0"/>
    <x v="1"/>
    <x v="1"/>
    <m/>
  </r>
  <r>
    <x v="0"/>
    <x v="0"/>
    <x v="414"/>
    <x v="53"/>
    <x v="233"/>
    <s v="054830877-8011"/>
    <s v="AA"/>
    <n v="5.72"/>
    <m/>
    <n v="0"/>
    <x v="450"/>
    <n v="17"/>
    <n v="2024"/>
    <n v="0"/>
    <x v="61"/>
    <n v="0"/>
    <m/>
    <s v="approved"/>
    <n v="42"/>
    <m/>
    <m/>
    <m/>
    <m/>
    <m/>
    <m/>
    <m/>
    <x v="0"/>
    <x v="359"/>
    <x v="1578"/>
    <n v="36508951"/>
    <s v="TK.KWVE20-B-A-L-0038-WW1"/>
    <n v="269"/>
    <n v="1538.6799999999998"/>
    <m/>
    <m/>
    <s v="20240441-23.04.2024"/>
    <x v="0"/>
    <x v="1"/>
    <x v="1"/>
    <m/>
  </r>
  <r>
    <x v="0"/>
    <x v="0"/>
    <x v="415"/>
    <x v="38"/>
    <x v="233"/>
    <s v="054830877-8011"/>
    <s v="AA"/>
    <n v="5.72"/>
    <n v="200"/>
    <n v="1144"/>
    <x v="96"/>
    <n v="19"/>
    <n v="2024"/>
    <n v="0"/>
    <x v="61"/>
    <n v="0"/>
    <m/>
    <s v="approved"/>
    <n v="42"/>
    <s v="no"/>
    <m/>
    <m/>
    <m/>
    <m/>
    <m/>
    <s v="241703 /241803"/>
    <x v="0"/>
    <x v="59"/>
    <x v="1579"/>
    <n v="36635770"/>
    <s v="TK.KWVE20-B-A-L-0038-WW1"/>
    <n v="200"/>
    <n v="1144"/>
    <m/>
    <m/>
    <s v="2024432-30.04.2024"/>
    <x v="0"/>
    <x v="2"/>
    <x v="1"/>
    <m/>
  </r>
  <r>
    <x v="0"/>
    <x v="0"/>
    <x v="416"/>
    <x v="38"/>
    <x v="233"/>
    <s v="054830877-8011"/>
    <s v="AA"/>
    <n v="5.72"/>
    <n v="200"/>
    <n v="1144"/>
    <x v="426"/>
    <n v="19"/>
    <n v="2024"/>
    <n v="0"/>
    <x v="61"/>
    <n v="0"/>
    <m/>
    <s v="approved"/>
    <n v="42"/>
    <s v="no"/>
    <m/>
    <m/>
    <m/>
    <m/>
    <m/>
    <n v="241803"/>
    <x v="0"/>
    <x v="60"/>
    <x v="1580"/>
    <n v="36635773"/>
    <s v="TK.KWVE20-B-A-L-0038-WW1"/>
    <n v="200"/>
    <n v="1144"/>
    <m/>
    <m/>
    <s v="20240514-09.05.2024"/>
    <x v="0"/>
    <x v="2"/>
    <x v="1"/>
    <m/>
  </r>
  <r>
    <x v="0"/>
    <x v="0"/>
    <x v="417"/>
    <x v="38"/>
    <x v="233"/>
    <s v="054830877-8011"/>
    <s v="AA"/>
    <n v="5.72"/>
    <n v="200"/>
    <n v="1144"/>
    <x v="452"/>
    <n v="20"/>
    <n v="2024"/>
    <n v="0"/>
    <x v="61"/>
    <n v="0"/>
    <m/>
    <s v="approved"/>
    <n v="42"/>
    <s v="no"/>
    <m/>
    <m/>
    <m/>
    <m/>
    <m/>
    <n v="242003"/>
    <x v="0"/>
    <x v="22"/>
    <x v="1581"/>
    <n v="36635780"/>
    <s v="TK.KWVE20-B-A-L-0038-WW1"/>
    <n v="200"/>
    <n v="1144"/>
    <m/>
    <m/>
    <s v="20240534-14.05.2024"/>
    <x v="0"/>
    <x v="2"/>
    <x v="1"/>
    <m/>
  </r>
  <r>
    <x v="0"/>
    <x v="0"/>
    <x v="418"/>
    <x v="38"/>
    <x v="233"/>
    <s v="054830877-8011"/>
    <s v="AA"/>
    <n v="5.72"/>
    <n v="200"/>
    <n v="1144"/>
    <x v="453"/>
    <n v="20"/>
    <n v="2024"/>
    <n v="0"/>
    <x v="61"/>
    <n v="0"/>
    <m/>
    <s v="approved"/>
    <n v="42"/>
    <s v="no"/>
    <m/>
    <m/>
    <m/>
    <m/>
    <m/>
    <n v="242003"/>
    <x v="0"/>
    <x v="22"/>
    <x v="1582"/>
    <n v="36635782"/>
    <s v="TK.KWVE20-B-A-L-0038-WW1"/>
    <n v="125"/>
    <n v="715"/>
    <m/>
    <m/>
    <s v="20240535-14.05.2024"/>
    <x v="0"/>
    <x v="2"/>
    <x v="1"/>
    <m/>
  </r>
  <r>
    <x v="0"/>
    <x v="0"/>
    <x v="418"/>
    <x v="38"/>
    <x v="233"/>
    <s v="054830877-8011"/>
    <s v="AA"/>
    <n v="5.72"/>
    <m/>
    <n v="0"/>
    <x v="453"/>
    <n v="20"/>
    <n v="2024"/>
    <n v="0"/>
    <x v="61"/>
    <n v="0"/>
    <m/>
    <s v="approved"/>
    <n v="42"/>
    <m/>
    <m/>
    <m/>
    <m/>
    <m/>
    <m/>
    <m/>
    <x v="0"/>
    <x v="209"/>
    <x v="1583"/>
    <n v="36635782"/>
    <s v="TK.KWVE20-B-A-L-0038-WW1"/>
    <n v="52"/>
    <n v="297.44"/>
    <m/>
    <m/>
    <s v="20240547-16.05.2024"/>
    <x v="0"/>
    <x v="2"/>
    <x v="1"/>
    <m/>
  </r>
  <r>
    <x v="0"/>
    <x v="0"/>
    <x v="418"/>
    <x v="38"/>
    <x v="233"/>
    <s v="054830877-8011"/>
    <s v="AA"/>
    <n v="5.72"/>
    <m/>
    <n v="0"/>
    <x v="453"/>
    <n v="20"/>
    <n v="2024"/>
    <n v="0"/>
    <x v="61"/>
    <n v="0"/>
    <m/>
    <s v="approved"/>
    <n v="42"/>
    <m/>
    <m/>
    <m/>
    <m/>
    <m/>
    <m/>
    <m/>
    <x v="0"/>
    <x v="17"/>
    <x v="1584"/>
    <n v="36635782"/>
    <s v="TK.KWVE20-B-A-L-0038-WW1"/>
    <n v="23"/>
    <n v="131.56"/>
    <m/>
    <m/>
    <s v="20240610-28.05.2024"/>
    <x v="1"/>
    <x v="2"/>
    <x v="1"/>
    <m/>
  </r>
  <r>
    <x v="0"/>
    <x v="0"/>
    <x v="419"/>
    <x v="38"/>
    <x v="233"/>
    <s v="054830877-8011"/>
    <s v="AA"/>
    <n v="5.72"/>
    <n v="175"/>
    <n v="1001"/>
    <x v="97"/>
    <n v="21"/>
    <n v="2024"/>
    <n v="0"/>
    <x v="61"/>
    <n v="0"/>
    <m/>
    <s v="approved"/>
    <n v="42"/>
    <s v="no"/>
    <m/>
    <m/>
    <m/>
    <m/>
    <m/>
    <n v="242117"/>
    <x v="0"/>
    <x v="17"/>
    <x v="1585"/>
    <n v="36635784"/>
    <s v="TK.KWVE20-B-A-L-0038-WW1"/>
    <n v="175"/>
    <n v="1001"/>
    <m/>
    <m/>
    <s v="20240611-28.05.2024"/>
    <x v="1"/>
    <x v="2"/>
    <x v="1"/>
    <m/>
  </r>
  <r>
    <x v="0"/>
    <x v="0"/>
    <x v="420"/>
    <x v="38"/>
    <x v="233"/>
    <s v="054830877-8011"/>
    <s v="AA"/>
    <n v="5.72"/>
    <n v="175"/>
    <n v="1001"/>
    <x v="237"/>
    <n v="21"/>
    <n v="2024"/>
    <n v="0"/>
    <x v="61"/>
    <n v="0"/>
    <m/>
    <s v="approved"/>
    <n v="42"/>
    <s v="no"/>
    <m/>
    <m/>
    <m/>
    <m/>
    <m/>
    <n v="242117"/>
    <x v="0"/>
    <x v="176"/>
    <x v="1586"/>
    <n v="36635786"/>
    <s v="TK.KWVE20-B-A-L-0038-WW1"/>
    <n v="161"/>
    <n v="920.92"/>
    <m/>
    <m/>
    <s v="20240620-29.05.2024"/>
    <x v="1"/>
    <x v="2"/>
    <x v="1"/>
    <m/>
  </r>
  <r>
    <x v="0"/>
    <x v="0"/>
    <x v="420"/>
    <x v="38"/>
    <x v="233"/>
    <s v="054830877-8011"/>
    <s v="AA"/>
    <n v="5.72"/>
    <m/>
    <n v="0"/>
    <x v="237"/>
    <n v="21"/>
    <n v="2024"/>
    <n v="0"/>
    <x v="61"/>
    <n v="0"/>
    <m/>
    <s v="approved"/>
    <n v="42"/>
    <m/>
    <m/>
    <m/>
    <m/>
    <m/>
    <m/>
    <m/>
    <x v="0"/>
    <x v="34"/>
    <x v="1587"/>
    <n v="36635786"/>
    <s v="TK.KWVE20-B-A-L-0038-WW1"/>
    <n v="14"/>
    <n v="80.08"/>
    <m/>
    <m/>
    <s v="20240628-30.05.2024"/>
    <x v="1"/>
    <x v="2"/>
    <x v="1"/>
    <m/>
  </r>
  <r>
    <x v="0"/>
    <x v="0"/>
    <x v="421"/>
    <x v="38"/>
    <x v="233"/>
    <s v="054830877-8011"/>
    <s v="AA"/>
    <n v="5.72"/>
    <n v="175"/>
    <n v="1001"/>
    <x v="238"/>
    <n v="22"/>
    <n v="2024"/>
    <n v="0"/>
    <x v="61"/>
    <n v="0"/>
    <m/>
    <s v="approved"/>
    <n v="42"/>
    <s v="no"/>
    <m/>
    <m/>
    <m/>
    <m/>
    <m/>
    <n v="242117"/>
    <x v="0"/>
    <x v="34"/>
    <x v="1588"/>
    <n v="36635790"/>
    <s v="TK.KWVE20-B-A-L-0038-WW1"/>
    <n v="97"/>
    <n v="554.84"/>
    <m/>
    <m/>
    <s v="20240629-30.05.2024"/>
    <x v="0"/>
    <x v="2"/>
    <x v="1"/>
    <m/>
  </r>
  <r>
    <x v="0"/>
    <x v="0"/>
    <x v="421"/>
    <x v="38"/>
    <x v="233"/>
    <s v="054830877-8011"/>
    <s v="AA"/>
    <n v="5.72"/>
    <m/>
    <n v="0"/>
    <x v="238"/>
    <n v="22"/>
    <n v="2024"/>
    <n v="0"/>
    <x v="61"/>
    <n v="0"/>
    <m/>
    <s v="approved"/>
    <n v="42"/>
    <m/>
    <m/>
    <m/>
    <m/>
    <m/>
    <m/>
    <m/>
    <x v="0"/>
    <x v="341"/>
    <x v="1589"/>
    <n v="36635790"/>
    <s v="TK.KWVE20-B-A-L-0038-WW1"/>
    <n v="78"/>
    <n v="446.15999999999997"/>
    <m/>
    <m/>
    <s v="20240632-31.05.2024"/>
    <x v="1"/>
    <x v="2"/>
    <x v="1"/>
    <m/>
  </r>
  <r>
    <x v="0"/>
    <x v="0"/>
    <x v="422"/>
    <x v="38"/>
    <x v="233"/>
    <s v="054830877-8011"/>
    <s v="AA"/>
    <n v="5.72"/>
    <n v="175"/>
    <n v="1001"/>
    <x v="454"/>
    <n v="22"/>
    <n v="2024"/>
    <n v="0"/>
    <x v="61"/>
    <n v="0"/>
    <m/>
    <s v="approved"/>
    <n v="42"/>
    <s v="no"/>
    <m/>
    <m/>
    <m/>
    <m/>
    <m/>
    <n v="242117"/>
    <x v="0"/>
    <x v="258"/>
    <x v="1590"/>
    <n v="36635794"/>
    <s v="TK.KWVE20-B-A-L-0038-WW1"/>
    <n v="80"/>
    <n v="457.59999999999997"/>
    <m/>
    <m/>
    <s v="20240644-31.05.2024"/>
    <x v="1"/>
    <x v="2"/>
    <x v="1"/>
    <m/>
  </r>
  <r>
    <x v="0"/>
    <x v="0"/>
    <x v="422"/>
    <x v="38"/>
    <x v="233"/>
    <s v="054830877-8011"/>
    <s v="AA"/>
    <n v="5.72"/>
    <m/>
    <n v="0"/>
    <x v="454"/>
    <n v="22"/>
    <n v="2024"/>
    <n v="0"/>
    <x v="61"/>
    <n v="0"/>
    <m/>
    <s v="approved"/>
    <n v="42"/>
    <m/>
    <m/>
    <m/>
    <m/>
    <m/>
    <m/>
    <m/>
    <x v="0"/>
    <x v="63"/>
    <x v="1591"/>
    <n v="36635794"/>
    <s v="TK.KWVE20-B-A-L-0038-WW1"/>
    <n v="95"/>
    <n v="543.4"/>
    <m/>
    <m/>
    <s v="20240646-04.06.2024"/>
    <x v="1"/>
    <x v="2"/>
    <x v="1"/>
    <m/>
  </r>
  <r>
    <x v="0"/>
    <x v="0"/>
    <x v="423"/>
    <x v="75"/>
    <x v="233"/>
    <s v="054830877-8011"/>
    <s v="AA"/>
    <n v="5.72"/>
    <n v="100"/>
    <n v="572"/>
    <x v="98"/>
    <n v="23"/>
    <n v="2024"/>
    <n v="0"/>
    <x v="61"/>
    <n v="0"/>
    <m/>
    <s v="approved"/>
    <n v="42"/>
    <s v="no"/>
    <m/>
    <m/>
    <m/>
    <m/>
    <m/>
    <n v="242217"/>
    <x v="0"/>
    <x v="259"/>
    <x v="1592"/>
    <n v="36856400"/>
    <s v="TK.KWVE20-B-A-L-0038-WW1"/>
    <n v="100"/>
    <n v="572"/>
    <m/>
    <m/>
    <s v="20240651-05.06.2024"/>
    <x v="0"/>
    <x v="0"/>
    <x v="1"/>
    <m/>
  </r>
  <r>
    <x v="0"/>
    <x v="0"/>
    <x v="423"/>
    <x v="75"/>
    <x v="233"/>
    <s v="054830877-8011"/>
    <s v="AA"/>
    <n v="5.72"/>
    <n v="100"/>
    <n v="572"/>
    <x v="182"/>
    <n v="23"/>
    <n v="2024"/>
    <n v="0"/>
    <x v="61"/>
    <n v="0"/>
    <m/>
    <s v="approved"/>
    <n v="42"/>
    <s v="no"/>
    <m/>
    <m/>
    <m/>
    <m/>
    <m/>
    <n v="242217"/>
    <x v="0"/>
    <x v="218"/>
    <x v="1593"/>
    <n v="36856400"/>
    <s v="TK.KWVE20-B-A-L-0038-WW1"/>
    <n v="100"/>
    <n v="572"/>
    <m/>
    <m/>
    <s v="20240658-06.06.2024"/>
    <x v="0"/>
    <x v="0"/>
    <x v="1"/>
    <m/>
  </r>
  <r>
    <x v="0"/>
    <x v="0"/>
    <x v="424"/>
    <x v="75"/>
    <x v="233"/>
    <s v="054830877-8011"/>
    <s v="AA"/>
    <n v="5.72"/>
    <n v="100"/>
    <n v="572"/>
    <x v="99"/>
    <n v="24"/>
    <n v="2024"/>
    <n v="0"/>
    <x v="61"/>
    <n v="0"/>
    <m/>
    <s v="approved"/>
    <n v="42"/>
    <s v="no"/>
    <m/>
    <m/>
    <m/>
    <m/>
    <m/>
    <n v="242217"/>
    <x v="0"/>
    <x v="260"/>
    <x v="1594"/>
    <n v="36856413"/>
    <s v="TK.KWVE20-B-A-L-0038-WW1"/>
    <n v="100"/>
    <n v="572"/>
    <m/>
    <m/>
    <s v="20240665-07.06.2024"/>
    <x v="0"/>
    <x v="0"/>
    <x v="1"/>
    <m/>
  </r>
  <r>
    <x v="0"/>
    <x v="0"/>
    <x v="424"/>
    <x v="75"/>
    <x v="233"/>
    <s v="054830877-8011"/>
    <s v="AA"/>
    <n v="5.72"/>
    <n v="100"/>
    <n v="572"/>
    <x v="239"/>
    <n v="24"/>
    <n v="2024"/>
    <n v="0"/>
    <x v="61"/>
    <n v="0"/>
    <m/>
    <s v="approved"/>
    <n v="42"/>
    <s v="no"/>
    <m/>
    <m/>
    <m/>
    <m/>
    <m/>
    <n v="242217"/>
    <x v="0"/>
    <x v="352"/>
    <x v="1595"/>
    <n v="36856413"/>
    <s v="TK.KWVE20-B-A-L-0038-WW1"/>
    <n v="94"/>
    <n v="537.67999999999995"/>
    <m/>
    <m/>
    <s v="20240667-10.06.2024"/>
    <x v="0"/>
    <x v="0"/>
    <x v="1"/>
    <m/>
  </r>
  <r>
    <x v="0"/>
    <x v="0"/>
    <x v="424"/>
    <x v="75"/>
    <x v="233"/>
    <s v="054830877-8011"/>
    <s v="AA"/>
    <n v="5.72"/>
    <m/>
    <n v="0"/>
    <x v="239"/>
    <n v="24"/>
    <n v="2024"/>
    <n v="0"/>
    <x v="61"/>
    <n v="0"/>
    <m/>
    <s v="approved"/>
    <n v="0"/>
    <m/>
    <m/>
    <m/>
    <m/>
    <m/>
    <m/>
    <m/>
    <x v="0"/>
    <x v="69"/>
    <x v="1596"/>
    <n v="36856413"/>
    <s v="TK.KWVE20-B-A-L-0038-WW1"/>
    <n v="6"/>
    <n v="34.32"/>
    <m/>
    <m/>
    <s v="20240759-26.06.2024"/>
    <x v="1"/>
    <x v="0"/>
    <x v="1"/>
    <m/>
  </r>
  <r>
    <x v="0"/>
    <x v="0"/>
    <x v="425"/>
    <x v="75"/>
    <x v="233"/>
    <s v="054830877-8011"/>
    <s v="AA"/>
    <n v="5.72"/>
    <n v="100"/>
    <n v="572"/>
    <x v="100"/>
    <n v="25"/>
    <n v="2024"/>
    <n v="0"/>
    <x v="61"/>
    <n v="0"/>
    <m/>
    <s v="approved"/>
    <n v="42"/>
    <s v="no"/>
    <m/>
    <m/>
    <m/>
    <m/>
    <m/>
    <n v="242217"/>
    <x v="0"/>
    <x v="69"/>
    <x v="1597"/>
    <n v="36862944"/>
    <s v="TK.KWVE20-B-A-L-0038-WW1"/>
    <n v="24"/>
    <n v="137.28"/>
    <m/>
    <m/>
    <s v="20240760-26.06.2024"/>
    <x v="1"/>
    <x v="0"/>
    <x v="1"/>
    <m/>
  </r>
  <r>
    <x v="0"/>
    <x v="0"/>
    <x v="425"/>
    <x v="75"/>
    <x v="233"/>
    <s v="054830877-8011"/>
    <s v="AA"/>
    <n v="5.72"/>
    <m/>
    <n v="0"/>
    <x v="100"/>
    <n v="25"/>
    <n v="2024"/>
    <n v="0"/>
    <x v="61"/>
    <n v="0"/>
    <m/>
    <s v="approved"/>
    <n v="0"/>
    <m/>
    <m/>
    <m/>
    <m/>
    <m/>
    <m/>
    <m/>
    <x v="0"/>
    <x v="70"/>
    <x v="1598"/>
    <n v="36862944"/>
    <s v="TK.KWVE20-B-A-L-0038-WW1"/>
    <n v="72"/>
    <n v="411.84"/>
    <m/>
    <m/>
    <s v="20240769-27.06.2024"/>
    <x v="1"/>
    <x v="0"/>
    <x v="1"/>
    <m/>
  </r>
  <r>
    <x v="0"/>
    <x v="0"/>
    <x v="425"/>
    <x v="75"/>
    <x v="233"/>
    <s v="054830877-8011"/>
    <s v="AA"/>
    <n v="5.72"/>
    <m/>
    <n v="0"/>
    <x v="100"/>
    <n v="25"/>
    <n v="2024"/>
    <n v="0"/>
    <x v="61"/>
    <n v="0"/>
    <m/>
    <s v="approved"/>
    <n v="0"/>
    <m/>
    <m/>
    <m/>
    <m/>
    <m/>
    <m/>
    <m/>
    <x v="0"/>
    <x v="27"/>
    <x v="1599"/>
    <n v="36862944"/>
    <s v="TK.KWVE20-B-A-L-0038-WW1"/>
    <n v="4"/>
    <n v="22.88"/>
    <m/>
    <m/>
    <s v="20240785-28.06.2024"/>
    <x v="1"/>
    <x v="0"/>
    <x v="1"/>
    <m/>
  </r>
  <r>
    <x v="0"/>
    <x v="0"/>
    <x v="425"/>
    <x v="31"/>
    <x v="233"/>
    <s v="054830877-8011"/>
    <s v="AA"/>
    <n v="5.72"/>
    <n v="100"/>
    <n v="572"/>
    <x v="226"/>
    <n v="25"/>
    <n v="2024"/>
    <n v="0"/>
    <x v="61"/>
    <n v="0"/>
    <m/>
    <s v="approved"/>
    <n v="42"/>
    <s v="no"/>
    <m/>
    <m/>
    <m/>
    <m/>
    <m/>
    <n v="242217"/>
    <x v="0"/>
    <x v="27"/>
    <x v="1599"/>
    <n v="36862944"/>
    <s v="TK.KWVE20-B-A-L-0038-WW1"/>
    <n v="100"/>
    <n v="572"/>
    <m/>
    <m/>
    <s v="20240785-28.06.2024"/>
    <x v="1"/>
    <x v="0"/>
    <x v="1"/>
    <m/>
  </r>
  <r>
    <x v="0"/>
    <x v="0"/>
    <x v="426"/>
    <x v="31"/>
    <x v="233"/>
    <s v="054830877-8011"/>
    <s v="AA"/>
    <n v="5.72"/>
    <n v="100"/>
    <n v="572"/>
    <x v="240"/>
    <n v="26"/>
    <n v="2024"/>
    <n v="0"/>
    <x v="61"/>
    <n v="0"/>
    <m/>
    <s v="approved"/>
    <n v="42"/>
    <s v="no"/>
    <m/>
    <m/>
    <m/>
    <m/>
    <m/>
    <s v="242217/242605"/>
    <x v="0"/>
    <x v="27"/>
    <x v="1600"/>
    <n v="36862973"/>
    <s v="TK.KWVE20-B-A-L-0038-WW1"/>
    <n v="25"/>
    <n v="143"/>
    <m/>
    <m/>
    <s v="20240786-28.06.2024"/>
    <x v="1"/>
    <x v="0"/>
    <x v="1"/>
    <m/>
  </r>
  <r>
    <x v="0"/>
    <x v="0"/>
    <x v="426"/>
    <x v="31"/>
    <x v="233"/>
    <s v="054830877-8011"/>
    <s v="AA"/>
    <n v="5.72"/>
    <m/>
    <n v="0"/>
    <x v="240"/>
    <n v="26"/>
    <n v="2024"/>
    <n v="0"/>
    <x v="61"/>
    <n v="0"/>
    <m/>
    <s v="approved"/>
    <n v="0"/>
    <m/>
    <m/>
    <m/>
    <m/>
    <m/>
    <m/>
    <m/>
    <x v="0"/>
    <x v="72"/>
    <x v="1601"/>
    <n v="36862973"/>
    <s v="TK.KWVE20-B-A-L-0038-WW1"/>
    <n v="75"/>
    <n v="429"/>
    <m/>
    <m/>
    <s v="20240805-02.07.2024"/>
    <x v="1"/>
    <x v="0"/>
    <x v="1"/>
    <m/>
  </r>
  <r>
    <x v="0"/>
    <x v="0"/>
    <x v="426"/>
    <x v="200"/>
    <x v="233"/>
    <s v="054830877-8011"/>
    <s v="AA"/>
    <n v="5.72"/>
    <n v="100"/>
    <n v="572"/>
    <x v="240"/>
    <n v="26"/>
    <n v="2024"/>
    <n v="0"/>
    <x v="61"/>
    <n v="0"/>
    <m/>
    <s v="approved"/>
    <n v="42"/>
    <s v="no"/>
    <m/>
    <m/>
    <m/>
    <m/>
    <m/>
    <s v="242217/242605"/>
    <x v="0"/>
    <x v="72"/>
    <x v="1601"/>
    <n v="36862973"/>
    <s v="TK.KWVE20-B-A-L-0038-WW1"/>
    <n v="100"/>
    <n v="572"/>
    <m/>
    <m/>
    <s v="20240805-02.07.2024"/>
    <x v="1"/>
    <x v="0"/>
    <x v="1"/>
    <m/>
  </r>
  <r>
    <x v="0"/>
    <x v="0"/>
    <x v="427"/>
    <x v="133"/>
    <x v="233"/>
    <s v="054830877-8011"/>
    <s v="AA"/>
    <n v="5.72"/>
    <n v="100"/>
    <n v="572"/>
    <x v="241"/>
    <n v="27"/>
    <n v="2024"/>
    <n v="0"/>
    <x v="61"/>
    <n v="0"/>
    <m/>
    <s v="approved"/>
    <n v="42"/>
    <s v="no"/>
    <m/>
    <m/>
    <m/>
    <m/>
    <m/>
    <n v="242703"/>
    <x v="0"/>
    <x v="73"/>
    <x v="1602"/>
    <n v="37069550"/>
    <s v="TK.KWVE20-B-A-L-0038-WW1"/>
    <n v="100"/>
    <n v="572"/>
    <m/>
    <m/>
    <s v="20240815-03.07.2024"/>
    <x v="0"/>
    <x v="8"/>
    <x v="1"/>
    <m/>
  </r>
  <r>
    <x v="0"/>
    <x v="0"/>
    <x v="427"/>
    <x v="133"/>
    <x v="233"/>
    <s v="054830877-8011"/>
    <s v="AA"/>
    <n v="5.72"/>
    <n v="100"/>
    <n v="572"/>
    <x v="101"/>
    <n v="27"/>
    <n v="2024"/>
    <n v="0"/>
    <x v="61"/>
    <n v="0"/>
    <m/>
    <s v="approved"/>
    <n v="42"/>
    <s v="no"/>
    <m/>
    <m/>
    <m/>
    <m/>
    <m/>
    <n v="242703"/>
    <x v="0"/>
    <x v="73"/>
    <x v="1602"/>
    <n v="37069550"/>
    <s v="TK.KWVE20-B-A-L-0038-WW1"/>
    <n v="100"/>
    <n v="572"/>
    <m/>
    <m/>
    <s v="20240815-03.07.2024"/>
    <x v="0"/>
    <x v="8"/>
    <x v="1"/>
    <m/>
  </r>
  <r>
    <x v="0"/>
    <x v="0"/>
    <x v="428"/>
    <x v="133"/>
    <x v="233"/>
    <s v="054830877-8011"/>
    <s v="AA"/>
    <n v="5.72"/>
    <n v="100"/>
    <n v="572"/>
    <x v="125"/>
    <n v="28"/>
    <n v="2024"/>
    <n v="0"/>
    <x v="61"/>
    <n v="0"/>
    <m/>
    <s v="approved"/>
    <n v="42"/>
    <s v="no"/>
    <m/>
    <m/>
    <m/>
    <m/>
    <m/>
    <n v="242703"/>
    <x v="0"/>
    <x v="73"/>
    <x v="1603"/>
    <n v="37069552"/>
    <s v="TK.KWVE20-B-A-L-0038-WW1"/>
    <n v="8"/>
    <n v="45.76"/>
    <m/>
    <m/>
    <s v="20240816-03.07.2024"/>
    <x v="0"/>
    <x v="8"/>
    <x v="1"/>
    <m/>
  </r>
  <r>
    <x v="0"/>
    <x v="0"/>
    <x v="428"/>
    <x v="133"/>
    <x v="233"/>
    <s v="054830877-8011"/>
    <s v="AA"/>
    <n v="5.72"/>
    <m/>
    <n v="0"/>
    <x v="125"/>
    <n v="28"/>
    <n v="2024"/>
    <n v="0"/>
    <x v="61"/>
    <n v="0"/>
    <m/>
    <s v="approved"/>
    <n v="0"/>
    <m/>
    <m/>
    <m/>
    <m/>
    <m/>
    <m/>
    <m/>
    <x v="0"/>
    <x v="9"/>
    <x v="1604"/>
    <n v="37069552"/>
    <s v="TK.KWVE20-B-A-L-0038-WW1"/>
    <n v="92"/>
    <n v="526.24"/>
    <m/>
    <m/>
    <s v="20240821-04.07.2024"/>
    <x v="0"/>
    <x v="8"/>
    <x v="1"/>
    <m/>
  </r>
  <r>
    <x v="0"/>
    <x v="0"/>
    <x v="428"/>
    <x v="133"/>
    <x v="233"/>
    <s v="054830877-8011"/>
    <s v="AA"/>
    <n v="5.72"/>
    <n v="100"/>
    <n v="572"/>
    <x v="102"/>
    <n v="28"/>
    <n v="2024"/>
    <n v="0"/>
    <x v="61"/>
    <n v="0"/>
    <m/>
    <s v="approved"/>
    <n v="42"/>
    <s v="no"/>
    <m/>
    <m/>
    <m/>
    <m/>
    <m/>
    <n v="242703"/>
    <x v="0"/>
    <x v="9"/>
    <x v="1604"/>
    <n v="37069552"/>
    <s v="TK.KWVE20-B-A-L-0038-WW1"/>
    <n v="32"/>
    <n v="183.04"/>
    <m/>
    <m/>
    <s v="20240821-04.07.2024"/>
    <x v="0"/>
    <x v="8"/>
    <x v="1"/>
    <m/>
  </r>
  <r>
    <x v="0"/>
    <x v="0"/>
    <x v="428"/>
    <x v="133"/>
    <x v="233"/>
    <s v="054830877-8011"/>
    <s v="AA"/>
    <n v="5.72"/>
    <m/>
    <n v="0"/>
    <x v="102"/>
    <n v="28"/>
    <n v="2024"/>
    <n v="0"/>
    <x v="61"/>
    <n v="0"/>
    <m/>
    <s v="approved"/>
    <n v="0"/>
    <m/>
    <m/>
    <m/>
    <m/>
    <m/>
    <m/>
    <m/>
    <x v="0"/>
    <x v="32"/>
    <x v="1605"/>
    <n v="37069552"/>
    <s v="TK.KWVE20-B-A-L-0038-WW1"/>
    <n v="68"/>
    <n v="388.96"/>
    <m/>
    <m/>
    <s v="20240840-05.07.2024"/>
    <x v="0"/>
    <x v="8"/>
    <x v="1"/>
    <m/>
  </r>
  <r>
    <x v="0"/>
    <x v="0"/>
    <x v="429"/>
    <x v="133"/>
    <x v="233"/>
    <s v="054830877-8011"/>
    <s v="AA"/>
    <n v="5.72"/>
    <n v="100"/>
    <n v="572"/>
    <x v="464"/>
    <n v="29"/>
    <n v="2024"/>
    <n v="0"/>
    <x v="61"/>
    <n v="0"/>
    <m/>
    <s v="approved"/>
    <n v="42"/>
    <s v="no"/>
    <m/>
    <m/>
    <m/>
    <m/>
    <m/>
    <n v="242703"/>
    <x v="0"/>
    <x v="32"/>
    <x v="1606"/>
    <n v="37069557"/>
    <s v="TK.KWVE20-B-A-L-0038-WW1"/>
    <n v="41"/>
    <n v="234.51999999999998"/>
    <m/>
    <m/>
    <s v="20240841-05.07.2024"/>
    <x v="0"/>
    <x v="8"/>
    <x v="1"/>
    <m/>
  </r>
  <r>
    <x v="0"/>
    <x v="0"/>
    <x v="429"/>
    <x v="133"/>
    <x v="233"/>
    <s v="054830877-8011"/>
    <s v="AA"/>
    <n v="5.72"/>
    <m/>
    <n v="0"/>
    <x v="464"/>
    <n v="29"/>
    <n v="2024"/>
    <n v="0"/>
    <x v="61"/>
    <n v="0"/>
    <m/>
    <s v="approved"/>
    <n v="0"/>
    <m/>
    <m/>
    <m/>
    <m/>
    <m/>
    <m/>
    <m/>
    <x v="0"/>
    <x v="77"/>
    <x v="1607"/>
    <n v="37069557"/>
    <s v="TK.KWVE20-B-A-L-0038-WW1"/>
    <n v="59"/>
    <n v="337.47999999999996"/>
    <m/>
    <m/>
    <s v="20240910-19.07.2024"/>
    <x v="1"/>
    <x v="8"/>
    <x v="1"/>
    <m/>
  </r>
  <r>
    <x v="0"/>
    <x v="0"/>
    <x v="429"/>
    <x v="133"/>
    <x v="233"/>
    <s v="054830877-8011"/>
    <s v="AA"/>
    <n v="5.72"/>
    <n v="100"/>
    <n v="572"/>
    <x v="466"/>
    <n v="29"/>
    <n v="2024"/>
    <n v="0"/>
    <x v="61"/>
    <n v="0"/>
    <m/>
    <s v="approved"/>
    <n v="42"/>
    <s v="no"/>
    <m/>
    <m/>
    <m/>
    <m/>
    <m/>
    <n v="242903"/>
    <x v="0"/>
    <x v="77"/>
    <x v="1607"/>
    <n v="37069557"/>
    <s v="TK.KWVE20-B-A-L-0038-WW1"/>
    <n v="100"/>
    <n v="572"/>
    <m/>
    <m/>
    <s v="20240910-19.07.2024"/>
    <x v="0"/>
    <x v="8"/>
    <x v="1"/>
    <m/>
  </r>
  <r>
    <x v="0"/>
    <x v="0"/>
    <x v="430"/>
    <x v="133"/>
    <x v="233"/>
    <s v="054830877-8011"/>
    <s v="AA"/>
    <n v="5.72"/>
    <n v="100"/>
    <n v="572"/>
    <x v="351"/>
    <n v="30"/>
    <n v="2024"/>
    <n v="0"/>
    <x v="61"/>
    <n v="0"/>
    <m/>
    <s v="approved"/>
    <n v="42"/>
    <s v="no"/>
    <m/>
    <m/>
    <m/>
    <m/>
    <m/>
    <n v="242903"/>
    <x v="0"/>
    <x v="77"/>
    <x v="1608"/>
    <n v="37069574"/>
    <s v="TK.KWVE20-B-A-L-0038-WW1"/>
    <n v="33"/>
    <n v="188.76"/>
    <m/>
    <m/>
    <s v="20240911-19.07.2024"/>
    <x v="0"/>
    <x v="8"/>
    <x v="1"/>
    <m/>
  </r>
  <r>
    <x v="0"/>
    <x v="0"/>
    <x v="430"/>
    <x v="133"/>
    <x v="233"/>
    <s v="054830877-8011"/>
    <s v="AA"/>
    <n v="5.72"/>
    <m/>
    <n v="0"/>
    <x v="351"/>
    <n v="30"/>
    <n v="2024"/>
    <n v="0"/>
    <x v="61"/>
    <n v="0"/>
    <m/>
    <s v="approved"/>
    <n v="0"/>
    <m/>
    <m/>
    <m/>
    <m/>
    <m/>
    <m/>
    <m/>
    <x v="0"/>
    <x v="78"/>
    <x v="1609"/>
    <n v="37069574"/>
    <s v="TK.KWVE20-B-A-L-0038-WW1"/>
    <n v="67"/>
    <n v="383.24"/>
    <m/>
    <m/>
    <s v="20240921-22.07.2024"/>
    <x v="0"/>
    <x v="8"/>
    <x v="1"/>
    <m/>
  </r>
  <r>
    <x v="0"/>
    <x v="0"/>
    <x v="430"/>
    <x v="133"/>
    <x v="233"/>
    <s v="054830877-8011"/>
    <s v="AA"/>
    <n v="5.72"/>
    <n v="100"/>
    <n v="572"/>
    <x v="415"/>
    <n v="30"/>
    <n v="2024"/>
    <n v="0"/>
    <x v="61"/>
    <n v="0"/>
    <m/>
    <s v="approved"/>
    <n v="42"/>
    <s v="no"/>
    <m/>
    <m/>
    <m/>
    <m/>
    <m/>
    <n v="242903"/>
    <x v="0"/>
    <x v="78"/>
    <x v="1609"/>
    <n v="37069574"/>
    <s v="TK.KWVE20-B-A-L-0038-WW1"/>
    <n v="47"/>
    <n v="268.83999999999997"/>
    <m/>
    <m/>
    <s v="20240921-22.07.2024"/>
    <x v="0"/>
    <x v="8"/>
    <x v="1"/>
    <m/>
  </r>
  <r>
    <x v="0"/>
    <x v="0"/>
    <x v="430"/>
    <x v="133"/>
    <x v="233"/>
    <s v="054830877-8011"/>
    <s v="AA"/>
    <n v="5.72"/>
    <m/>
    <n v="0"/>
    <x v="415"/>
    <n v="30"/>
    <n v="2024"/>
    <n v="0"/>
    <x v="61"/>
    <n v="0"/>
    <m/>
    <s v="approved"/>
    <n v="0"/>
    <m/>
    <m/>
    <m/>
    <m/>
    <m/>
    <m/>
    <m/>
    <x v="0"/>
    <x v="18"/>
    <x v="1610"/>
    <n v="37069574"/>
    <s v="TK.KWVE20-B-A-L-0038-WW1"/>
    <n v="53"/>
    <n v="303.15999999999997"/>
    <m/>
    <m/>
    <s v="20240926-23.07.2024"/>
    <x v="0"/>
    <x v="8"/>
    <x v="1"/>
    <m/>
  </r>
  <r>
    <x v="0"/>
    <x v="0"/>
    <x v="431"/>
    <x v="133"/>
    <x v="233"/>
    <s v="054830877-8011"/>
    <s v="AA"/>
    <n v="5.72"/>
    <n v="100"/>
    <n v="572"/>
    <x v="467"/>
    <n v="31"/>
    <n v="2024"/>
    <n v="0"/>
    <x v="61"/>
    <n v="0"/>
    <m/>
    <s v="approved"/>
    <n v="42"/>
    <s v="no"/>
    <m/>
    <m/>
    <m/>
    <m/>
    <m/>
    <n v="242903"/>
    <x v="0"/>
    <x v="79"/>
    <x v="1611"/>
    <n v="37069576"/>
    <s v="TK.KWVE20-B-A-L-0038-WW1"/>
    <n v="52"/>
    <n v="297.44"/>
    <m/>
    <m/>
    <s v="20240944-25.07.2024"/>
    <x v="0"/>
    <x v="8"/>
    <x v="1"/>
    <m/>
  </r>
  <r>
    <x v="0"/>
    <x v="0"/>
    <x v="431"/>
    <x v="133"/>
    <x v="233"/>
    <s v="054830877-8011"/>
    <s v="AA"/>
    <n v="5.72"/>
    <m/>
    <n v="0"/>
    <x v="467"/>
    <n v="31"/>
    <n v="2024"/>
    <n v="0"/>
    <x v="61"/>
    <n v="0"/>
    <m/>
    <s v="approved"/>
    <n v="0"/>
    <m/>
    <m/>
    <m/>
    <m/>
    <m/>
    <m/>
    <m/>
    <x v="0"/>
    <x v="80"/>
    <x v="1612"/>
    <n v="37069576"/>
    <s v="TK.KWVE20-B-A-L-0038-WW1"/>
    <n v="46"/>
    <n v="263.12"/>
    <m/>
    <m/>
    <s v="20240951-25.07.2024"/>
    <x v="0"/>
    <x v="8"/>
    <x v="1"/>
    <m/>
  </r>
  <r>
    <x v="0"/>
    <x v="0"/>
    <x v="431"/>
    <x v="133"/>
    <x v="233"/>
    <s v="054830877-8011"/>
    <s v="AA"/>
    <n v="5.72"/>
    <m/>
    <n v="0"/>
    <x v="467"/>
    <n v="31"/>
    <n v="2024"/>
    <n v="0"/>
    <x v="61"/>
    <n v="0"/>
    <m/>
    <s v="approved"/>
    <n v="0"/>
    <m/>
    <m/>
    <m/>
    <m/>
    <m/>
    <m/>
    <m/>
    <x v="0"/>
    <x v="81"/>
    <x v="1613"/>
    <n v="37069576"/>
    <s v="TK.KWVE20-B-A-L-0038-WW1"/>
    <n v="2"/>
    <n v="11.44"/>
    <m/>
    <m/>
    <s v="20240965-26.07.2024"/>
    <x v="0"/>
    <x v="8"/>
    <x v="1"/>
    <m/>
  </r>
  <r>
    <x v="0"/>
    <x v="0"/>
    <x v="431"/>
    <x v="133"/>
    <x v="233"/>
    <s v="054830877-8011"/>
    <s v="AA"/>
    <n v="5.72"/>
    <n v="100"/>
    <n v="572"/>
    <x v="212"/>
    <n v="31"/>
    <n v="2024"/>
    <n v="0"/>
    <x v="61"/>
    <n v="0"/>
    <m/>
    <s v="approved"/>
    <n v="42"/>
    <s v="no"/>
    <m/>
    <m/>
    <m/>
    <s v="09.08.2024"/>
    <m/>
    <n v="242903"/>
    <x v="0"/>
    <x v="81"/>
    <x v="1613"/>
    <n v="37069576"/>
    <s v="TK.KWVE20-B-A-L-0038-WW1"/>
    <n v="50"/>
    <n v="286"/>
    <m/>
    <m/>
    <s v="20240965-26.07.2024"/>
    <x v="0"/>
    <x v="8"/>
    <x v="1"/>
    <m/>
  </r>
  <r>
    <x v="0"/>
    <x v="0"/>
    <x v="431"/>
    <x v="133"/>
    <x v="233"/>
    <s v="054830877-8011"/>
    <s v="AA"/>
    <n v="5.72"/>
    <m/>
    <n v="0"/>
    <x v="212"/>
    <n v="31"/>
    <n v="2024"/>
    <n v="0"/>
    <x v="61"/>
    <n v="0"/>
    <m/>
    <s v="approved"/>
    <n v="42"/>
    <m/>
    <m/>
    <m/>
    <m/>
    <m/>
    <m/>
    <m/>
    <x v="0"/>
    <x v="82"/>
    <x v="1614"/>
    <n v="37069576"/>
    <s v="TK.KWVE20-B-A-L-0038-WW1"/>
    <n v="50"/>
    <n v="286"/>
    <m/>
    <m/>
    <s v="20241007-06.08.2024"/>
    <x v="0"/>
    <x v="8"/>
    <x v="1"/>
    <m/>
  </r>
  <r>
    <x v="0"/>
    <x v="0"/>
    <x v="432"/>
    <x v="32"/>
    <x v="233"/>
    <s v="054830877-8011"/>
    <s v="AA"/>
    <n v="5.72"/>
    <n v="76"/>
    <n v="434.71999999999997"/>
    <x v="484"/>
    <n v="39"/>
    <n v="2024"/>
    <n v="0"/>
    <x v="61"/>
    <n v="0"/>
    <m/>
    <s v="approved"/>
    <n v="42"/>
    <m/>
    <m/>
    <m/>
    <m/>
    <m/>
    <m/>
    <m/>
    <x v="0"/>
    <x v="39"/>
    <x v="1615"/>
    <n v="37521072"/>
    <s v="TK.KWVE20-B-A-L-0038-WW1"/>
    <n v="76"/>
    <n v="434.71999999999997"/>
    <m/>
    <m/>
    <s v="20241140-03.09.2024"/>
    <x v="0"/>
    <x v="10"/>
    <x v="1"/>
    <m/>
  </r>
  <r>
    <x v="0"/>
    <x v="0"/>
    <x v="433"/>
    <x v="12"/>
    <x v="233"/>
    <s v="054830877-8011"/>
    <s v="AA"/>
    <n v="5.72"/>
    <n v="150"/>
    <n v="858"/>
    <x v="107"/>
    <n v="40"/>
    <n v="2024"/>
    <n v="0"/>
    <x v="61"/>
    <n v="0"/>
    <m/>
    <s v="approved"/>
    <n v="42"/>
    <m/>
    <m/>
    <m/>
    <m/>
    <m/>
    <m/>
    <m/>
    <x v="0"/>
    <x v="88"/>
    <x v="1616"/>
    <n v="37672575"/>
    <s v="TK.KWVE20-B-A-L-0038-WW1"/>
    <n v="150"/>
    <n v="858"/>
    <m/>
    <m/>
    <s v="20241248-30.09.2024"/>
    <x v="0"/>
    <x v="11"/>
    <x v="1"/>
    <m/>
  </r>
  <r>
    <x v="0"/>
    <x v="0"/>
    <x v="434"/>
    <x v="12"/>
    <x v="233"/>
    <s v="054830877-8011"/>
    <s v="AA"/>
    <n v="5.72"/>
    <n v="150"/>
    <n v="858"/>
    <x v="108"/>
    <n v="41"/>
    <n v="2024"/>
    <n v="0"/>
    <x v="61"/>
    <n v="0"/>
    <m/>
    <s v="approved"/>
    <n v="42"/>
    <m/>
    <m/>
    <m/>
    <m/>
    <m/>
    <m/>
    <m/>
    <x v="0"/>
    <x v="88"/>
    <x v="1617"/>
    <n v="37672576"/>
    <s v="TK.KWVE20-B-A-L-0038-WW1"/>
    <n v="57"/>
    <n v="326.03999999999996"/>
    <m/>
    <m/>
    <s v="20241249-30.09.2024"/>
    <x v="0"/>
    <x v="11"/>
    <x v="1"/>
    <m/>
  </r>
  <r>
    <x v="0"/>
    <x v="0"/>
    <x v="434"/>
    <x v="12"/>
    <x v="233"/>
    <s v="054830877-8011"/>
    <s v="AA"/>
    <n v="5.72"/>
    <n v="0"/>
    <n v="0"/>
    <x v="108"/>
    <n v="41"/>
    <n v="2024"/>
    <n v="0"/>
    <x v="61"/>
    <n v="0"/>
    <m/>
    <s v="approved"/>
    <n v="0"/>
    <m/>
    <m/>
    <m/>
    <m/>
    <m/>
    <m/>
    <m/>
    <x v="0"/>
    <x v="354"/>
    <x v="1618"/>
    <n v="37672576"/>
    <s v="TK.KWVE20-B-A-L-0038-WW1"/>
    <n v="93"/>
    <n v="531.95999999999992"/>
    <m/>
    <m/>
    <s v="20241273-08.10.2024"/>
    <x v="0"/>
    <x v="11"/>
    <x v="1"/>
    <m/>
  </r>
  <r>
    <x v="0"/>
    <x v="0"/>
    <x v="435"/>
    <x v="12"/>
    <x v="233"/>
    <s v="054830877-8011"/>
    <s v="AA"/>
    <n v="5.72"/>
    <n v="50"/>
    <n v="286"/>
    <x v="245"/>
    <n v="42"/>
    <n v="2024"/>
    <n v="0"/>
    <x v="61"/>
    <n v="0"/>
    <m/>
    <s v="approved"/>
    <n v="42"/>
    <m/>
    <m/>
    <m/>
    <m/>
    <m/>
    <m/>
    <m/>
    <x v="0"/>
    <x v="354"/>
    <x v="1619"/>
    <n v="37672577"/>
    <s v="TK.KWVE20-B-A-L-0038-WW1"/>
    <n v="50"/>
    <n v="286"/>
    <m/>
    <m/>
    <s v="20241279-08.10.2024"/>
    <x v="0"/>
    <x v="11"/>
    <x v="1"/>
    <m/>
  </r>
  <r>
    <x v="0"/>
    <x v="0"/>
    <x v="436"/>
    <x v="12"/>
    <x v="233"/>
    <s v="054830877-8011"/>
    <s v="AA"/>
    <n v="5.72"/>
    <n v="51"/>
    <n v="291.71999999999997"/>
    <x v="246"/>
    <n v="43"/>
    <n v="2024"/>
    <n v="0"/>
    <x v="61"/>
    <n v="0"/>
    <m/>
    <s v="approved"/>
    <n v="42"/>
    <m/>
    <m/>
    <m/>
    <m/>
    <m/>
    <m/>
    <m/>
    <x v="0"/>
    <x v="354"/>
    <x v="1620"/>
    <n v="37672578"/>
    <s v="TK.KWVE20-B-A-L-0038-WW1"/>
    <n v="51"/>
    <n v="291.71999999999997"/>
    <m/>
    <m/>
    <s v="20241278-08.10.2024"/>
    <x v="0"/>
    <x v="11"/>
    <x v="1"/>
    <m/>
  </r>
  <r>
    <x v="0"/>
    <x v="0"/>
    <x v="436"/>
    <x v="12"/>
    <x v="233"/>
    <s v="054830877-8011"/>
    <s v="AA"/>
    <n v="5.72"/>
    <n v="195"/>
    <n v="1115.3999999999999"/>
    <x v="246"/>
    <n v="43"/>
    <n v="2024"/>
    <n v="0"/>
    <x v="61"/>
    <n v="0"/>
    <m/>
    <s v="approved"/>
    <n v="42"/>
    <m/>
    <m/>
    <m/>
    <m/>
    <m/>
    <m/>
    <m/>
    <x v="0"/>
    <x v="268"/>
    <x v="1621"/>
    <n v="37672578"/>
    <s v="TK.KWVE20-B-A-L-0038-WW1"/>
    <n v="195"/>
    <n v="1115.3999999999999"/>
    <m/>
    <m/>
    <s v="20241359-29.10.2024"/>
    <x v="1"/>
    <x v="11"/>
    <x v="1"/>
    <m/>
  </r>
  <r>
    <x v="0"/>
    <x v="0"/>
    <x v="437"/>
    <x v="43"/>
    <x v="233"/>
    <s v="054830877-8011"/>
    <s v="AA"/>
    <n v="5.72"/>
    <n v="234"/>
    <n v="1338.48"/>
    <x v="127"/>
    <n v="45"/>
    <n v="2024"/>
    <n v="0"/>
    <x v="61"/>
    <n v="0"/>
    <m/>
    <s v="approved"/>
    <n v="42"/>
    <s v="no"/>
    <m/>
    <m/>
    <m/>
    <m/>
    <m/>
    <m/>
    <x v="0"/>
    <x v="308"/>
    <x v="1622"/>
    <n v="37871634"/>
    <s v="TK.KWVE20-B-A-L-0038-WW1"/>
    <n v="234"/>
    <n v="1338.48"/>
    <m/>
    <m/>
    <s v="20241374-31.10.2024"/>
    <x v="0"/>
    <x v="4"/>
    <x v="1"/>
    <m/>
  </r>
  <r>
    <x v="0"/>
    <x v="0"/>
    <x v="437"/>
    <x v="43"/>
    <x v="233"/>
    <s v="054830877-8011"/>
    <s v="AA"/>
    <n v="5.72"/>
    <n v="170"/>
    <n v="972.4"/>
    <x v="127"/>
    <n v="45"/>
    <n v="2024"/>
    <n v="0"/>
    <x v="61"/>
    <n v="0"/>
    <m/>
    <s v="approved"/>
    <n v="42"/>
    <s v="no"/>
    <m/>
    <m/>
    <m/>
    <m/>
    <m/>
    <m/>
    <x v="0"/>
    <x v="283"/>
    <x v="1623"/>
    <n v="37871634"/>
    <s v="TK.KWVE20-B-A-L-0038-WW1"/>
    <n v="170"/>
    <n v="972.4"/>
    <m/>
    <m/>
    <s v="20241413-08.11.2024"/>
    <x v="0"/>
    <x v="4"/>
    <x v="1"/>
    <m/>
  </r>
  <r>
    <x v="0"/>
    <x v="0"/>
    <x v="437"/>
    <x v="43"/>
    <x v="233"/>
    <s v="054830877-8011"/>
    <s v="AA"/>
    <n v="5.72"/>
    <n v="146"/>
    <n v="835.12"/>
    <x v="319"/>
    <n v="46"/>
    <n v="2024"/>
    <n v="0"/>
    <x v="61"/>
    <n v="0"/>
    <m/>
    <s v="approved"/>
    <n v="42"/>
    <s v="no"/>
    <m/>
    <m/>
    <m/>
    <m/>
    <m/>
    <m/>
    <x v="0"/>
    <x v="283"/>
    <x v="1623"/>
    <n v="37871634"/>
    <s v="TK.KWVE20-B-A-L-0038-WW1"/>
    <n v="146"/>
    <n v="835.12"/>
    <m/>
    <m/>
    <s v="20241413-08.11.2024"/>
    <x v="0"/>
    <x v="4"/>
    <x v="1"/>
    <m/>
  </r>
  <r>
    <x v="0"/>
    <x v="0"/>
    <x v="437"/>
    <x v="43"/>
    <x v="233"/>
    <s v="054830877-8011"/>
    <s v="AA"/>
    <n v="5.72"/>
    <n v="52"/>
    <n v="297.44"/>
    <x v="319"/>
    <n v="46"/>
    <n v="2024"/>
    <n v="0"/>
    <x v="61"/>
    <n v="0"/>
    <m/>
    <s v="approved"/>
    <n v="42"/>
    <s v="no"/>
    <m/>
    <m/>
    <m/>
    <m/>
    <m/>
    <m/>
    <x v="0"/>
    <x v="270"/>
    <x v="1624"/>
    <n v="37871634"/>
    <s v="TK.KWVE20-B-A-L-0038-WW1"/>
    <n v="52"/>
    <n v="297.44"/>
    <m/>
    <m/>
    <s v="20241457-21.11.2024"/>
    <x v="1"/>
    <x v="4"/>
    <x v="1"/>
    <m/>
  </r>
  <r>
    <x v="0"/>
    <x v="0"/>
    <x v="437"/>
    <x v="43"/>
    <x v="233"/>
    <s v="054830877-8011"/>
    <s v="AA"/>
    <n v="5.72"/>
    <n v="152"/>
    <n v="869.43999999999994"/>
    <x v="319"/>
    <n v="46"/>
    <n v="2024"/>
    <n v="0"/>
    <x v="61"/>
    <n v="0"/>
    <m/>
    <s v="approved"/>
    <n v="42"/>
    <s v="no"/>
    <m/>
    <m/>
    <m/>
    <m/>
    <m/>
    <m/>
    <x v="0"/>
    <x v="270"/>
    <x v="1625"/>
    <n v="37871634"/>
    <s v="TK.KWVE20-B-A-L-0038-WW1"/>
    <n v="152"/>
    <n v="869.43999999999994"/>
    <m/>
    <m/>
    <s v="20241453-21.11.2024"/>
    <x v="1"/>
    <x v="4"/>
    <x v="1"/>
    <m/>
  </r>
  <r>
    <x v="0"/>
    <x v="0"/>
    <x v="437"/>
    <x v="43"/>
    <x v="233"/>
    <s v="054830877-8011"/>
    <s v="AA"/>
    <n v="5.72"/>
    <n v="131"/>
    <n v="749.31999999999994"/>
    <x v="319"/>
    <n v="46"/>
    <n v="2024"/>
    <n v="0"/>
    <x v="61"/>
    <n v="0"/>
    <m/>
    <s v="approved"/>
    <n v="42"/>
    <s v="no"/>
    <m/>
    <m/>
    <m/>
    <m/>
    <m/>
    <m/>
    <x v="0"/>
    <x v="270"/>
    <x v="1625"/>
    <n v="37871634"/>
    <s v="TK.KWVE20-B-A-L-0038-WW1"/>
    <n v="131"/>
    <n v="749.31999999999994"/>
    <m/>
    <m/>
    <s v="20241453-21.11.2024"/>
    <x v="1"/>
    <x v="4"/>
    <x v="1"/>
    <m/>
  </r>
  <r>
    <x v="0"/>
    <x v="0"/>
    <x v="437"/>
    <x v="43"/>
    <x v="233"/>
    <s v="054830877-8011"/>
    <s v="AA"/>
    <n v="5.72"/>
    <n v="219"/>
    <n v="1252.6799999999998"/>
    <x v="485"/>
    <n v="47"/>
    <n v="2024"/>
    <n v="0"/>
    <x v="61"/>
    <n v="0"/>
    <m/>
    <s v="approved"/>
    <n v="42"/>
    <s v="no"/>
    <m/>
    <m/>
    <m/>
    <m/>
    <m/>
    <m/>
    <x v="0"/>
    <x v="333"/>
    <x v="1626"/>
    <n v="37871634"/>
    <s v="TK.KWVE20-B-A-L-0038-WW1"/>
    <n v="219"/>
    <n v="1252.6799999999998"/>
    <m/>
    <m/>
    <s v="20241483-27.11.2024"/>
    <x v="1"/>
    <x v="4"/>
    <x v="1"/>
    <m/>
  </r>
  <r>
    <x v="0"/>
    <x v="0"/>
    <x v="437"/>
    <x v="43"/>
    <x v="233"/>
    <s v="054830877-8011"/>
    <s v="AA"/>
    <n v="5.72"/>
    <n v="100"/>
    <n v="572"/>
    <x v="485"/>
    <n v="47"/>
    <n v="2024"/>
    <n v="0"/>
    <x v="61"/>
    <n v="0"/>
    <m/>
    <s v="approved"/>
    <n v="42"/>
    <m/>
    <m/>
    <m/>
    <m/>
    <m/>
    <m/>
    <m/>
    <x v="0"/>
    <x v="333"/>
    <x v="1626"/>
    <n v="37871634"/>
    <s v="TK.KWVE20-B-A-L-0038-WW1"/>
    <n v="100"/>
    <n v="572"/>
    <m/>
    <m/>
    <s v="20241483-27.11.2024"/>
    <x v="1"/>
    <x v="4"/>
    <x v="1"/>
    <m/>
  </r>
  <r>
    <x v="0"/>
    <x v="0"/>
    <x v="437"/>
    <x v="43"/>
    <x v="233"/>
    <s v="054830877-8011"/>
    <s v="AA"/>
    <n v="5.72"/>
    <n v="36"/>
    <n v="205.92"/>
    <x v="486"/>
    <n v="48"/>
    <n v="2024"/>
    <n v="0"/>
    <x v="61"/>
    <n v="0"/>
    <m/>
    <s v="approved"/>
    <n v="42"/>
    <s v="no"/>
    <m/>
    <m/>
    <m/>
    <m/>
    <m/>
    <m/>
    <x v="0"/>
    <x v="90"/>
    <x v="1627"/>
    <n v="37871634"/>
    <s v="TK.KWVE20-B-A-L-0038-WW1"/>
    <n v="36"/>
    <n v="205.92"/>
    <m/>
    <m/>
    <s v="20241497-03.12.2024"/>
    <x v="1"/>
    <x v="4"/>
    <x v="1"/>
    <m/>
  </r>
  <r>
    <x v="0"/>
    <x v="0"/>
    <x v="438"/>
    <x v="199"/>
    <x v="233"/>
    <s v="054830877-8011"/>
    <s v="AA"/>
    <n v="5.72"/>
    <n v="41"/>
    <n v="234.51999999999998"/>
    <x v="468"/>
    <n v="49"/>
    <n v="2024"/>
    <n v="0"/>
    <x v="61"/>
    <n v="0"/>
    <m/>
    <s v="approved"/>
    <n v="42"/>
    <s v="no"/>
    <m/>
    <m/>
    <m/>
    <m/>
    <m/>
    <m/>
    <x v="0"/>
    <x v="90"/>
    <x v="1628"/>
    <n v="38036644"/>
    <s v="TK.KWVE20-B-A-L-0038-WW1"/>
    <n v="41"/>
    <n v="234.51999999999998"/>
    <m/>
    <m/>
    <s v="20241498-03.12.2024"/>
    <x v="0"/>
    <x v="3"/>
    <x v="1"/>
    <m/>
  </r>
  <r>
    <x v="0"/>
    <x v="0"/>
    <x v="438"/>
    <x v="199"/>
    <x v="233"/>
    <s v="054830877-8011"/>
    <s v="AA"/>
    <n v="5.72"/>
    <n v="209"/>
    <n v="1195.48"/>
    <x v="468"/>
    <n v="49"/>
    <n v="2024"/>
    <n v="0"/>
    <x v="61"/>
    <n v="0"/>
    <m/>
    <s v="approved"/>
    <n v="42"/>
    <s v="no"/>
    <m/>
    <m/>
    <m/>
    <m/>
    <m/>
    <m/>
    <x v="0"/>
    <x v="253"/>
    <x v="1629"/>
    <n v="38036644"/>
    <s v="TK.KWVE20-B-A-L-0038-WW1"/>
    <n v="209"/>
    <n v="1195.48"/>
    <m/>
    <m/>
    <s v="20241539-10.12.2024"/>
    <x v="1"/>
    <x v="3"/>
    <x v="1"/>
    <m/>
  </r>
  <r>
    <x v="0"/>
    <x v="0"/>
    <x v="438"/>
    <x v="199"/>
    <x v="233"/>
    <s v="054830877-8011"/>
    <s v="AA"/>
    <n v="5.72"/>
    <n v="101"/>
    <n v="577.72"/>
    <x v="250"/>
    <n v="50"/>
    <n v="2024"/>
    <n v="0"/>
    <x v="61"/>
    <n v="0"/>
    <m/>
    <s v="approved"/>
    <n v="42"/>
    <s v="no"/>
    <m/>
    <m/>
    <m/>
    <m/>
    <m/>
    <m/>
    <x v="0"/>
    <x v="253"/>
    <x v="1629"/>
    <n v="38036644"/>
    <s v="TK.KWVE20-B-A-L-0038-WW1"/>
    <n v="101"/>
    <n v="577.72"/>
    <m/>
    <m/>
    <s v="20241539-10.12.2024"/>
    <x v="0"/>
    <x v="3"/>
    <x v="1"/>
    <m/>
  </r>
  <r>
    <x v="0"/>
    <x v="0"/>
    <x v="438"/>
    <x v="199"/>
    <x v="233"/>
    <s v="054830877-8011"/>
    <s v="AA"/>
    <n v="5.72"/>
    <n v="149"/>
    <n v="852.28"/>
    <x v="250"/>
    <n v="50"/>
    <n v="2024"/>
    <n v="0"/>
    <x v="61"/>
    <n v="0"/>
    <m/>
    <s v="approved"/>
    <n v="42"/>
    <s v="no"/>
    <m/>
    <m/>
    <m/>
    <m/>
    <m/>
    <m/>
    <x v="0"/>
    <x v="56"/>
    <x v="1630"/>
    <n v="38036644"/>
    <s v="TK.KWVE20-B-A-L-0038-WW1"/>
    <n v="149"/>
    <n v="852.28"/>
    <m/>
    <m/>
    <s v="20241588-17.12.2024"/>
    <x v="1"/>
    <x v="3"/>
    <x v="1"/>
    <m/>
  </r>
  <r>
    <x v="0"/>
    <x v="0"/>
    <x v="439"/>
    <x v="136"/>
    <x v="233"/>
    <s v="054830877-8011"/>
    <s v="AA"/>
    <n v="5.72"/>
    <n v="191"/>
    <n v="1092.52"/>
    <x v="251"/>
    <n v="2"/>
    <n v="2025"/>
    <n v="0"/>
    <x v="61"/>
    <n v="0"/>
    <m/>
    <s v="approved"/>
    <n v="42"/>
    <s v="no"/>
    <m/>
    <m/>
    <m/>
    <m/>
    <m/>
    <m/>
    <x v="0"/>
    <x v="271"/>
    <x v="1631"/>
    <n v="38215967"/>
    <s v="TK.KWVE20-B-A-L-0038-WW1"/>
    <n v="191"/>
    <n v="1092.52"/>
    <m/>
    <m/>
    <s v="20250006-09.01.2025"/>
    <x v="0"/>
    <x v="6"/>
    <x v="0"/>
    <m/>
  </r>
  <r>
    <x v="0"/>
    <x v="0"/>
    <x v="439"/>
    <x v="136"/>
    <x v="233"/>
    <s v="054830877-8011"/>
    <s v="AA"/>
    <n v="5.72"/>
    <n v="9"/>
    <n v="51.48"/>
    <x v="251"/>
    <n v="2"/>
    <n v="2025"/>
    <n v="0"/>
    <x v="61"/>
    <n v="0"/>
    <m/>
    <s v="approved"/>
    <n v="42"/>
    <s v="no"/>
    <m/>
    <m/>
    <m/>
    <m/>
    <m/>
    <m/>
    <x v="0"/>
    <x v="245"/>
    <x v="1632"/>
    <n v="38215967"/>
    <s v="TK.KWVE20-B-A-L-0038-WW1"/>
    <n v="9"/>
    <n v="51.48"/>
    <m/>
    <m/>
    <s v="20250012-10.01.2025"/>
    <x v="0"/>
    <x v="6"/>
    <x v="0"/>
    <m/>
  </r>
  <r>
    <x v="0"/>
    <x v="0"/>
    <x v="439"/>
    <x v="136"/>
    <x v="233"/>
    <s v="054830877-8011"/>
    <s v="AA"/>
    <n v="5.72"/>
    <n v="125"/>
    <n v="715"/>
    <x v="252"/>
    <n v="3"/>
    <n v="2025"/>
    <n v="0"/>
    <x v="61"/>
    <n v="0"/>
    <m/>
    <s v="approved"/>
    <n v="42"/>
    <s v="no"/>
    <m/>
    <m/>
    <m/>
    <m/>
    <m/>
    <m/>
    <x v="0"/>
    <x v="245"/>
    <x v="1632"/>
    <n v="38215967"/>
    <s v="TK.KWVE20-B-A-L-0038-WW1"/>
    <n v="125"/>
    <n v="715"/>
    <m/>
    <m/>
    <s v="20250012-10.01.2025"/>
    <x v="0"/>
    <x v="6"/>
    <x v="0"/>
    <m/>
  </r>
  <r>
    <x v="0"/>
    <x v="0"/>
    <x v="439"/>
    <x v="136"/>
    <x v="233"/>
    <s v="054830877-8011"/>
    <s v="AA"/>
    <n v="5.72"/>
    <n v="75"/>
    <n v="429"/>
    <x v="252"/>
    <n v="3"/>
    <n v="2025"/>
    <n v="0"/>
    <x v="61"/>
    <n v="0"/>
    <m/>
    <s v="approved"/>
    <n v="42"/>
    <s v="no"/>
    <m/>
    <m/>
    <m/>
    <m/>
    <m/>
    <m/>
    <x v="0"/>
    <x v="272"/>
    <x v="1633"/>
    <n v="38215967"/>
    <s v="TK.KWVE20-B-A-L-0038-WW1"/>
    <n v="75"/>
    <n v="429"/>
    <m/>
    <m/>
    <s v="20250024-14.01.2025"/>
    <x v="0"/>
    <x v="6"/>
    <x v="0"/>
    <m/>
  </r>
  <r>
    <x v="0"/>
    <x v="0"/>
    <x v="439"/>
    <x v="136"/>
    <x v="233"/>
    <s v="054830877-8011"/>
    <s v="AA"/>
    <n v="5.72"/>
    <n v="100"/>
    <n v="572"/>
    <x v="253"/>
    <n v="4"/>
    <n v="2025"/>
    <n v="0"/>
    <x v="61"/>
    <n v="0"/>
    <m/>
    <s v="approved"/>
    <n v="42"/>
    <s v="no"/>
    <m/>
    <m/>
    <m/>
    <m/>
    <m/>
    <m/>
    <x v="0"/>
    <x v="272"/>
    <x v="1633"/>
    <n v="38215967"/>
    <s v="TK.KWVE20-B-A-L-0038-WW1"/>
    <n v="100"/>
    <n v="572"/>
    <m/>
    <m/>
    <s v="20250024-14.01.2025"/>
    <x v="0"/>
    <x v="6"/>
    <x v="0"/>
    <m/>
  </r>
  <r>
    <x v="0"/>
    <x v="0"/>
    <x v="439"/>
    <x v="201"/>
    <x v="233"/>
    <s v="054830877-8011"/>
    <s v="AA"/>
    <n v="5.72"/>
    <n v="250"/>
    <n v="1430"/>
    <x v="253"/>
    <n v="4"/>
    <n v="2025"/>
    <n v="0"/>
    <x v="61"/>
    <n v="0"/>
    <m/>
    <s v="approved"/>
    <n v="42"/>
    <s v="no"/>
    <m/>
    <m/>
    <m/>
    <m/>
    <m/>
    <m/>
    <x v="0"/>
    <x v="272"/>
    <x v="1634"/>
    <n v="38215967"/>
    <s v="TK.KWVE20-B-A-L-0038-WW1"/>
    <n v="214"/>
    <n v="1224.08"/>
    <n v="36"/>
    <s v="Stornare -&gt; Aviz BVOLS.2517 - cda trecuta gresit 38397720 (era pt BAH)"/>
    <s v="20250025-14.01.2025/20250415-31.03.2025/20250416-31.03.2025"/>
    <x v="0"/>
    <x v="6"/>
    <x v="0"/>
    <m/>
  </r>
  <r>
    <x v="0"/>
    <x v="0"/>
    <x v="440"/>
    <x v="195"/>
    <x v="233"/>
    <s v="054830877-8011"/>
    <s v="AA"/>
    <n v="5.72"/>
    <n v="184"/>
    <n v="1052.48"/>
    <x v="457"/>
    <n v="6"/>
    <n v="2025"/>
    <n v="0"/>
    <x v="61"/>
    <n v="0"/>
    <m/>
    <s v="approved"/>
    <n v="42"/>
    <s v="no"/>
    <m/>
    <m/>
    <m/>
    <m/>
    <s v="Yes"/>
    <m/>
    <x v="0"/>
    <x v="249"/>
    <x v="1635"/>
    <n v="38474480"/>
    <s v="TK.KWVE20-B-A-L-0038-WW1"/>
    <n v="184"/>
    <n v="1052.48"/>
    <m/>
    <m/>
    <s v="20250127-07.02.2025"/>
    <x v="0"/>
    <x v="7"/>
    <x v="0"/>
    <m/>
  </r>
  <r>
    <x v="0"/>
    <x v="0"/>
    <x v="440"/>
    <x v="195"/>
    <x v="233"/>
    <s v="054830877-8011"/>
    <s v="AA"/>
    <n v="5.72"/>
    <n v="116"/>
    <n v="663.52"/>
    <x v="457"/>
    <n v="6"/>
    <n v="2025"/>
    <n v="0"/>
    <x v="61"/>
    <n v="0"/>
    <m/>
    <s v="approved"/>
    <n v="42"/>
    <s v="no"/>
    <m/>
    <m/>
    <m/>
    <m/>
    <s v="Yes"/>
    <m/>
    <x v="0"/>
    <x v="273"/>
    <x v="1636"/>
    <n v="38474480"/>
    <s v="TK.KWVE20-B-A-L-0038-WW1"/>
    <n v="116"/>
    <n v="663.52"/>
    <m/>
    <m/>
    <s v="20250147-11.02.2025"/>
    <x v="1"/>
    <x v="7"/>
    <x v="0"/>
    <m/>
  </r>
  <r>
    <x v="0"/>
    <x v="0"/>
    <x v="440"/>
    <x v="195"/>
    <x v="233"/>
    <s v="054830877-8011"/>
    <s v="AA"/>
    <n v="5.72"/>
    <n v="89"/>
    <n v="509.08"/>
    <x v="56"/>
    <n v="7"/>
    <n v="2025"/>
    <n v="0"/>
    <x v="61"/>
    <n v="0"/>
    <m/>
    <s v="approved"/>
    <n v="42"/>
    <s v="no"/>
    <m/>
    <m/>
    <m/>
    <m/>
    <s v="Yes"/>
    <m/>
    <x v="0"/>
    <x v="273"/>
    <x v="1636"/>
    <n v="38474480"/>
    <s v="TK.KWVE20-B-A-L-0038-WW1"/>
    <n v="89"/>
    <n v="509.08"/>
    <m/>
    <m/>
    <s v="20250147-11.02.2025"/>
    <x v="0"/>
    <x v="7"/>
    <x v="0"/>
    <m/>
  </r>
  <r>
    <x v="0"/>
    <x v="0"/>
    <x v="440"/>
    <x v="195"/>
    <x v="233"/>
    <s v="054830877-8011"/>
    <s v="AA"/>
    <n v="5.72"/>
    <n v="144"/>
    <n v="823.68"/>
    <x v="56"/>
    <n v="7"/>
    <n v="2025"/>
    <n v="0"/>
    <x v="61"/>
    <n v="0"/>
    <m/>
    <s v="approved"/>
    <n v="42"/>
    <s v="no"/>
    <m/>
    <m/>
    <m/>
    <m/>
    <s v="Yes"/>
    <m/>
    <x v="0"/>
    <x v="328"/>
    <x v="1637"/>
    <n v="38474480"/>
    <s v="TK.KWVE20-B-A-L-0038-WW1"/>
    <n v="144"/>
    <n v="823.68"/>
    <m/>
    <m/>
    <s v="20250150-12.02.2025"/>
    <x v="0"/>
    <x v="7"/>
    <x v="0"/>
    <m/>
  </r>
  <r>
    <x v="0"/>
    <x v="0"/>
    <x v="440"/>
    <x v="195"/>
    <x v="233"/>
    <s v="054830877-8011"/>
    <s v="AA"/>
    <n v="5.72"/>
    <n v="67"/>
    <n v="383.24"/>
    <x v="56"/>
    <n v="7"/>
    <n v="2025"/>
    <n v="0"/>
    <x v="61"/>
    <n v="0"/>
    <m/>
    <s v="approved"/>
    <n v="42"/>
    <s v="no"/>
    <m/>
    <m/>
    <m/>
    <m/>
    <s v="Yes"/>
    <m/>
    <x v="0"/>
    <x v="373"/>
    <x v="1638"/>
    <n v="38474480"/>
    <s v="TK.KWVE20-B-A-L-0038-WW1"/>
    <n v="67"/>
    <n v="383.24"/>
    <m/>
    <m/>
    <s v="20250152-12.02.2025"/>
    <x v="0"/>
    <x v="7"/>
    <x v="0"/>
    <m/>
  </r>
  <r>
    <x v="0"/>
    <x v="0"/>
    <x v="440"/>
    <x v="195"/>
    <x v="233"/>
    <s v="054830877-8011"/>
    <s v="AA"/>
    <n v="5.72"/>
    <n v="56"/>
    <n v="320.32"/>
    <x v="195"/>
    <n v="8"/>
    <n v="2025"/>
    <n v="0"/>
    <x v="61"/>
    <n v="0"/>
    <m/>
    <s v="approved"/>
    <n v="42"/>
    <s v="no"/>
    <m/>
    <m/>
    <m/>
    <m/>
    <s v="Yes"/>
    <m/>
    <x v="0"/>
    <x v="373"/>
    <x v="1638"/>
    <n v="38474480"/>
    <s v="TK.KWVE20-B-A-L-0038-WW1"/>
    <n v="56"/>
    <n v="320.32"/>
    <m/>
    <m/>
    <s v="20250152-12.02.2025"/>
    <x v="0"/>
    <x v="7"/>
    <x v="0"/>
    <m/>
  </r>
  <r>
    <x v="0"/>
    <x v="0"/>
    <x v="440"/>
    <x v="195"/>
    <x v="233"/>
    <s v="054830877-8011"/>
    <s v="AA"/>
    <n v="5.72"/>
    <n v="47"/>
    <n v="268.83999999999997"/>
    <x v="195"/>
    <n v="8"/>
    <n v="2025"/>
    <n v="0"/>
    <x v="61"/>
    <n v="0"/>
    <m/>
    <s v="approved"/>
    <n v="42"/>
    <s v="no"/>
    <m/>
    <m/>
    <m/>
    <m/>
    <s v="Yes"/>
    <m/>
    <x v="0"/>
    <x v="243"/>
    <x v="1639"/>
    <n v="38474480"/>
    <s v="TK.KWVE20-B-A-L-0038-WW1"/>
    <n v="47"/>
    <n v="268.83999999999997"/>
    <m/>
    <m/>
    <s v="20250167-17.02.2025"/>
    <x v="0"/>
    <x v="7"/>
    <x v="0"/>
    <m/>
  </r>
  <r>
    <x v="0"/>
    <x v="0"/>
    <x v="440"/>
    <x v="195"/>
    <x v="233"/>
    <s v="054830877-8011"/>
    <s v="AA"/>
    <n v="5.72"/>
    <n v="128"/>
    <n v="732.16"/>
    <x v="195"/>
    <n v="8"/>
    <n v="2025"/>
    <n v="0"/>
    <x v="61"/>
    <n v="0"/>
    <m/>
    <s v="approved"/>
    <n v="42"/>
    <m/>
    <m/>
    <m/>
    <m/>
    <m/>
    <m/>
    <m/>
    <x v="0"/>
    <x v="274"/>
    <x v="1640"/>
    <n v="38474480"/>
    <s v="TK.KWVE20-B-A-L-0038-WW1"/>
    <n v="128"/>
    <n v="732.16"/>
    <m/>
    <m/>
    <s v="20250224-28.02.2025"/>
    <x v="1"/>
    <x v="7"/>
    <x v="0"/>
    <m/>
  </r>
  <r>
    <x v="0"/>
    <x v="0"/>
    <x v="440"/>
    <x v="195"/>
    <x v="233"/>
    <s v="054830877-8011"/>
    <s v="AA"/>
    <n v="5.72"/>
    <n v="69"/>
    <n v="394.68"/>
    <x v="195"/>
    <n v="8"/>
    <n v="2025"/>
    <n v="0"/>
    <x v="61"/>
    <n v="0"/>
    <m/>
    <s v="approved"/>
    <n v="42"/>
    <s v="no"/>
    <m/>
    <m/>
    <m/>
    <m/>
    <s v="Yes"/>
    <m/>
    <x v="0"/>
    <x v="166"/>
    <x v="1641"/>
    <n v="38474480"/>
    <s v="TK.KWVE20-B-A-L-0038-WW1"/>
    <n v="69"/>
    <n v="394.68"/>
    <m/>
    <m/>
    <s v="20250265-04.03.2025"/>
    <x v="1"/>
    <x v="7"/>
    <x v="0"/>
    <m/>
  </r>
  <r>
    <x v="0"/>
    <x v="0"/>
    <x v="441"/>
    <x v="139"/>
    <x v="233"/>
    <s v="054830877-8011"/>
    <s v="AA"/>
    <n v="5.72"/>
    <n v="187"/>
    <n v="1069.6399999999999"/>
    <x v="254"/>
    <n v="10"/>
    <n v="2025"/>
    <n v="0"/>
    <x v="61"/>
    <n v="0"/>
    <m/>
    <s v="approved"/>
    <n v="42"/>
    <s v="no"/>
    <m/>
    <m/>
    <m/>
    <m/>
    <m/>
    <m/>
    <x v="0"/>
    <x v="166"/>
    <x v="1642"/>
    <n v="38676312"/>
    <s v="TK.KWVE20-B-A-L-0038-WW1"/>
    <n v="187"/>
    <n v="1069.6399999999999"/>
    <m/>
    <m/>
    <s v="20250269-04.03.2025"/>
    <x v="0"/>
    <x v="5"/>
    <x v="0"/>
    <m/>
  </r>
  <r>
    <x v="0"/>
    <x v="0"/>
    <x v="441"/>
    <x v="139"/>
    <x v="233"/>
    <s v="054830877-8011"/>
    <s v="AA"/>
    <n v="5.72"/>
    <n v="63"/>
    <n v="360.35999999999996"/>
    <x v="254"/>
    <n v="10"/>
    <n v="2025"/>
    <n v="0"/>
    <x v="61"/>
    <n v="0"/>
    <m/>
    <s v="approved"/>
    <n v="42"/>
    <s v="no"/>
    <m/>
    <m/>
    <m/>
    <m/>
    <m/>
    <m/>
    <x v="0"/>
    <x v="29"/>
    <x v="1643"/>
    <n v="38676312"/>
    <s v="TK.KWVE20-B-A-L-0038-WW1"/>
    <n v="63"/>
    <n v="360.35999999999996"/>
    <m/>
    <m/>
    <s v="20250304-11.03.2025"/>
    <x v="1"/>
    <x v="5"/>
    <x v="0"/>
    <m/>
  </r>
  <r>
    <x v="0"/>
    <x v="0"/>
    <x v="441"/>
    <x v="139"/>
    <x v="233"/>
    <s v="054830877-8011"/>
    <s v="AA"/>
    <n v="5.72"/>
    <n v="250"/>
    <n v="1430"/>
    <x v="255"/>
    <n v="11"/>
    <n v="2025"/>
    <n v="0"/>
    <x v="61"/>
    <n v="0"/>
    <m/>
    <s v="approved"/>
    <n v="42"/>
    <s v="no"/>
    <m/>
    <m/>
    <m/>
    <m/>
    <m/>
    <m/>
    <x v="0"/>
    <x v="371"/>
    <x v="1644"/>
    <n v="38676312"/>
    <s v="TK.KWVE20-B-A-L-0038-WW1"/>
    <n v="250"/>
    <n v="1430"/>
    <m/>
    <m/>
    <s v="20250315-13.03.2025"/>
    <x v="0"/>
    <x v="5"/>
    <x v="0"/>
    <m/>
  </r>
  <r>
    <x v="0"/>
    <x v="0"/>
    <x v="441"/>
    <x v="139"/>
    <x v="233"/>
    <s v="054830877-8011"/>
    <s v="AA"/>
    <n v="5.72"/>
    <n v="250"/>
    <n v="1430"/>
    <x v="256"/>
    <n v="12"/>
    <n v="2025"/>
    <n v="0"/>
    <x v="61"/>
    <n v="0"/>
    <m/>
    <s v="approved"/>
    <n v="42"/>
    <s v="no"/>
    <m/>
    <m/>
    <m/>
    <m/>
    <m/>
    <m/>
    <x v="0"/>
    <x v="167"/>
    <x v="1645"/>
    <n v="38676312"/>
    <s v="TK.KWVE20-B-A-L-0038-WW1"/>
    <n v="250"/>
    <n v="1430"/>
    <m/>
    <m/>
    <s v="20250341-18.03.2025"/>
    <x v="0"/>
    <x v="5"/>
    <x v="0"/>
    <m/>
  </r>
  <r>
    <x v="0"/>
    <x v="0"/>
    <x v="441"/>
    <x v="139"/>
    <x v="233"/>
    <s v="054830877-8011"/>
    <s v="AA"/>
    <n v="5.72"/>
    <n v="100"/>
    <n v="572"/>
    <x v="9"/>
    <n v="13"/>
    <n v="2025"/>
    <n v="0"/>
    <x v="61"/>
    <n v="0"/>
    <m/>
    <s v="approved"/>
    <n v="42"/>
    <s v="no"/>
    <m/>
    <m/>
    <m/>
    <m/>
    <m/>
    <m/>
    <x v="0"/>
    <x v="167"/>
    <x v="1645"/>
    <n v="38676312"/>
    <s v="TK.KWVE20-B-A-L-0038-WW1"/>
    <n v="100"/>
    <n v="572"/>
    <m/>
    <m/>
    <s v="20250341-18.03.2025"/>
    <x v="0"/>
    <x v="5"/>
    <x v="0"/>
    <m/>
  </r>
  <r>
    <x v="0"/>
    <x v="0"/>
    <x v="441"/>
    <x v="139"/>
    <x v="233"/>
    <s v="054830877-8011"/>
    <s v="AA"/>
    <n v="5.72"/>
    <n v="100"/>
    <n v="572"/>
    <x v="111"/>
    <n v="14"/>
    <n v="2025"/>
    <n v="0"/>
    <x v="61"/>
    <n v="0"/>
    <m/>
    <s v="approved"/>
    <n v="42"/>
    <s v="no"/>
    <m/>
    <m/>
    <m/>
    <m/>
    <m/>
    <m/>
    <x v="0"/>
    <x v="315"/>
    <x v="1646"/>
    <n v="38676312"/>
    <s v="TK.KWVE20-B-A-L-0038-WW1"/>
    <n v="100"/>
    <n v="572"/>
    <m/>
    <m/>
    <s v="20250433-31.03.2025"/>
    <x v="0"/>
    <x v="1"/>
    <x v="0"/>
    <m/>
  </r>
  <r>
    <x v="0"/>
    <x v="0"/>
    <x v="442"/>
    <x v="18"/>
    <x v="233"/>
    <s v="054830877-8011"/>
    <s v="AA"/>
    <n v="5.72"/>
    <n v="53"/>
    <n v="303.15999999999997"/>
    <x v="458"/>
    <n v="15"/>
    <n v="2025"/>
    <n v="0"/>
    <x v="61"/>
    <n v="0"/>
    <m/>
    <s v="approved"/>
    <n v="42"/>
    <s v="no"/>
    <m/>
    <m/>
    <m/>
    <m/>
    <m/>
    <m/>
    <x v="0"/>
    <x v="315"/>
    <x v="1647"/>
    <n v="5410524"/>
    <s v="TK.KWVE20-B-A-L-0038-WW1"/>
    <n v="53"/>
    <n v="303.15999999999997"/>
    <m/>
    <m/>
    <s v="20250434-31.03.2025"/>
    <x v="0"/>
    <x v="1"/>
    <x v="0"/>
    <m/>
  </r>
  <r>
    <x v="0"/>
    <x v="0"/>
    <x v="442"/>
    <x v="18"/>
    <x v="233"/>
    <s v="054830877-8011"/>
    <s v="AA"/>
    <n v="5.72"/>
    <n v="80"/>
    <n v="457.59999999999997"/>
    <x v="458"/>
    <n v="15"/>
    <n v="2025"/>
    <n v="0"/>
    <x v="61"/>
    <n v="0"/>
    <m/>
    <s v="approved"/>
    <n v="42"/>
    <s v="no"/>
    <m/>
    <m/>
    <m/>
    <m/>
    <m/>
    <m/>
    <x v="0"/>
    <x v="276"/>
    <x v="1648"/>
    <n v="5410524"/>
    <s v="TK.KWVE20-B-A-L-0038-WW1"/>
    <n v="80"/>
    <n v="457.59999999999997"/>
    <m/>
    <m/>
    <s v="20250449-03.04.2025"/>
    <x v="0"/>
    <x v="1"/>
    <x v="0"/>
    <m/>
  </r>
  <r>
    <x v="0"/>
    <x v="0"/>
    <x v="442"/>
    <x v="18"/>
    <x v="233"/>
    <s v="054830877-8011"/>
    <s v="AA"/>
    <n v="5.72"/>
    <n v="67"/>
    <n v="383.24"/>
    <x v="458"/>
    <n v="15"/>
    <n v="2025"/>
    <n v="0"/>
    <x v="61"/>
    <n v="0"/>
    <m/>
    <s v="approved"/>
    <n v="42"/>
    <s v="no"/>
    <m/>
    <m/>
    <m/>
    <m/>
    <m/>
    <m/>
    <x v="0"/>
    <x v="30"/>
    <x v="1649"/>
    <n v="5410524"/>
    <s v="TK.KWVE20-B-A-L-0038-WW1"/>
    <n v="67"/>
    <n v="383.24"/>
    <m/>
    <m/>
    <s v="20250472-08.04.2025"/>
    <x v="0"/>
    <x v="1"/>
    <x v="0"/>
    <m/>
  </r>
  <r>
    <x v="0"/>
    <x v="0"/>
    <x v="442"/>
    <x v="18"/>
    <x v="233"/>
    <s v="054830877-8011"/>
    <s v="AA"/>
    <n v="5.72"/>
    <n v="200"/>
    <n v="1144"/>
    <x v="389"/>
    <n v="16"/>
    <n v="2025"/>
    <n v="0"/>
    <x v="61"/>
    <n v="0"/>
    <m/>
    <s v="approved"/>
    <n v="42"/>
    <s v="no"/>
    <m/>
    <m/>
    <m/>
    <m/>
    <m/>
    <m/>
    <x v="0"/>
    <x v="30"/>
    <x v="1649"/>
    <n v="5410524"/>
    <s v="TK.KWVE20-B-A-L-0038-WW1"/>
    <n v="200"/>
    <n v="1144"/>
    <m/>
    <m/>
    <s v="20250472-08.04.2025"/>
    <x v="0"/>
    <x v="1"/>
    <x v="0"/>
    <m/>
  </r>
  <r>
    <x v="0"/>
    <x v="0"/>
    <x v="442"/>
    <x v="18"/>
    <x v="233"/>
    <s v="054830877-8011"/>
    <s v="AA"/>
    <n v="5.72"/>
    <n v="36"/>
    <n v="205.92"/>
    <x v="157"/>
    <n v="17"/>
    <n v="2025"/>
    <n v="0"/>
    <x v="61"/>
    <n v="0"/>
    <m/>
    <s v="approved"/>
    <n v="42"/>
    <s v="no"/>
    <m/>
    <m/>
    <m/>
    <m/>
    <m/>
    <m/>
    <x v="0"/>
    <x v="30"/>
    <x v="1649"/>
    <n v="5410524"/>
    <s v="TK.KWVE20-B-A-L-0038-WW1"/>
    <n v="36"/>
    <n v="205.92"/>
    <m/>
    <m/>
    <s v="20250472-08.04.2025"/>
    <x v="0"/>
    <x v="1"/>
    <x v="0"/>
    <m/>
  </r>
  <r>
    <x v="0"/>
    <x v="0"/>
    <x v="442"/>
    <x v="18"/>
    <x v="233"/>
    <s v="054830877-8011"/>
    <s v="AA"/>
    <n v="5.72"/>
    <n v="154"/>
    <n v="880.88"/>
    <x v="157"/>
    <n v="17"/>
    <n v="2025"/>
    <n v="0"/>
    <x v="61"/>
    <n v="0"/>
    <m/>
    <s v="approved"/>
    <n v="42"/>
    <s v="no"/>
    <m/>
    <m/>
    <m/>
    <m/>
    <m/>
    <m/>
    <x v="0"/>
    <x v="95"/>
    <x v="1650"/>
    <n v="5410524"/>
    <s v="TK.KWVE20-B-A-L-0038-WW1"/>
    <n v="154"/>
    <n v="880.88"/>
    <m/>
    <m/>
    <s v="20250508-15.04.2025"/>
    <x v="0"/>
    <x v="1"/>
    <x v="0"/>
    <m/>
  </r>
  <r>
    <x v="0"/>
    <x v="0"/>
    <x v="442"/>
    <x v="46"/>
    <x v="233"/>
    <s v="054830877-8011"/>
    <s v="AA"/>
    <n v="5.72"/>
    <n v="300"/>
    <n v="1716"/>
    <x v="129"/>
    <n v="19"/>
    <n v="2025"/>
    <n v="0"/>
    <x v="61"/>
    <n v="0"/>
    <m/>
    <s v="approved"/>
    <n v="42"/>
    <s v="no"/>
    <m/>
    <m/>
    <m/>
    <m/>
    <m/>
    <m/>
    <x v="0"/>
    <x v="99"/>
    <x v="1651"/>
    <n v="5410524"/>
    <s v="TK.KWVE20-B-A-L-0038-WW1"/>
    <n v="300"/>
    <n v="1716"/>
    <m/>
    <m/>
    <s v="20250584-06.05.2025"/>
    <x v="0"/>
    <x v="2"/>
    <x v="0"/>
    <m/>
  </r>
  <r>
    <x v="0"/>
    <x v="0"/>
    <x v="442"/>
    <x v="46"/>
    <x v="233"/>
    <s v="054830877-8011"/>
    <s v="AA"/>
    <n v="5.72"/>
    <n v="240"/>
    <n v="1372.8"/>
    <x v="10"/>
    <n v="20"/>
    <n v="2025"/>
    <n v="0"/>
    <x v="61"/>
    <n v="0"/>
    <m/>
    <s v="approved"/>
    <n v="42"/>
    <s v="no"/>
    <m/>
    <m/>
    <m/>
    <m/>
    <m/>
    <m/>
    <x v="0"/>
    <x v="99"/>
    <x v="1651"/>
    <n v="5410524"/>
    <s v="TK.KWVE20-B-A-L-0038-WW1"/>
    <n v="240"/>
    <n v="1372.8"/>
    <m/>
    <m/>
    <s v="20250584-06.05.2025"/>
    <x v="0"/>
    <x v="2"/>
    <x v="0"/>
    <m/>
  </r>
  <r>
    <x v="0"/>
    <x v="0"/>
    <x v="442"/>
    <x v="46"/>
    <x v="233"/>
    <s v="054830877-8011"/>
    <s v="AA"/>
    <n v="5.72"/>
    <n v="64"/>
    <n v="366.08"/>
    <x v="10"/>
    <n v="20"/>
    <n v="2025"/>
    <n v="0"/>
    <x v="61"/>
    <n v="0"/>
    <m/>
    <s v="approved"/>
    <n v="42"/>
    <s v="no"/>
    <m/>
    <m/>
    <m/>
    <m/>
    <m/>
    <m/>
    <x v="0"/>
    <x v="46"/>
    <x v="1652"/>
    <n v="5410524"/>
    <s v="TK.KWVE20-B-A-L-0038-WW1"/>
    <n v="64"/>
    <n v="366.08"/>
    <m/>
    <m/>
    <s v="20250754-17.06.2025"/>
    <x v="1"/>
    <x v="2"/>
    <x v="0"/>
    <m/>
  </r>
  <r>
    <x v="0"/>
    <x v="0"/>
    <x v="442"/>
    <x v="46"/>
    <x v="233"/>
    <s v="054830877-8011"/>
    <s v="AA"/>
    <n v="5.72"/>
    <n v="80"/>
    <n v="457.59999999999997"/>
    <x v="10"/>
    <n v="20"/>
    <n v="2025"/>
    <n v="0"/>
    <x v="61"/>
    <n v="0"/>
    <m/>
    <s v="approved"/>
    <n v="42"/>
    <s v="no"/>
    <m/>
    <m/>
    <m/>
    <m/>
    <m/>
    <m/>
    <x v="0"/>
    <x v="154"/>
    <x v="1653"/>
    <n v="5410524"/>
    <s v="TK.KWVE20-B-A-L-0038-WW1"/>
    <n v="80"/>
    <n v="457.59999999999997"/>
    <m/>
    <m/>
    <s v="20250760-19.06.2025"/>
    <x v="1"/>
    <x v="2"/>
    <x v="0"/>
    <m/>
  </r>
  <r>
    <x v="0"/>
    <x v="0"/>
    <x v="442"/>
    <x v="46"/>
    <x v="233"/>
    <s v="054830877-8011"/>
    <s v="AA"/>
    <n v="5.72"/>
    <n v="97"/>
    <n v="554.84"/>
    <x v="10"/>
    <n v="20"/>
    <n v="2025"/>
    <n v="0"/>
    <x v="61"/>
    <n v="0"/>
    <m/>
    <s v="approved"/>
    <n v="42"/>
    <s v="no"/>
    <m/>
    <m/>
    <m/>
    <m/>
    <m/>
    <m/>
    <x v="0"/>
    <x v="155"/>
    <x v="1654"/>
    <n v="5410524"/>
    <s v="TK.KWVE20-B-A-L-0038-WW1"/>
    <n v="96"/>
    <n v="549.12"/>
    <m/>
    <m/>
    <s v="20250765-20.06.2025"/>
    <x v="1"/>
    <x v="2"/>
    <x v="0"/>
    <m/>
  </r>
  <r>
    <x v="0"/>
    <x v="0"/>
    <x v="442"/>
    <x v="46"/>
    <x v="233"/>
    <s v="054830877-8011"/>
    <s v="AA"/>
    <n v="5.72"/>
    <n v="199"/>
    <n v="1138.28"/>
    <x v="258"/>
    <n v="21"/>
    <n v="2025"/>
    <n v="0"/>
    <x v="61"/>
    <n v="0"/>
    <m/>
    <s v="approved"/>
    <n v="42"/>
    <s v="no"/>
    <m/>
    <m/>
    <m/>
    <m/>
    <m/>
    <m/>
    <x v="0"/>
    <x v="178"/>
    <x v="1655"/>
    <n v="5410524"/>
    <s v="TK.KWVE20-B-A-L-0038-WW1"/>
    <n v="199"/>
    <n v="1138.28"/>
    <m/>
    <m/>
    <s v="20250779-24.06.2025"/>
    <x v="1"/>
    <x v="2"/>
    <x v="0"/>
    <m/>
  </r>
  <r>
    <x v="0"/>
    <x v="0"/>
    <x v="442"/>
    <x v="46"/>
    <x v="233"/>
    <s v="054830877-8011"/>
    <s v="AA"/>
    <n v="5.72"/>
    <n v="64"/>
    <n v="366.08"/>
    <x v="70"/>
    <n v="23"/>
    <n v="2025"/>
    <n v="0"/>
    <x v="61"/>
    <n v="0"/>
    <m/>
    <s v="approved"/>
    <n v="1.3333333333333333"/>
    <m/>
    <m/>
    <m/>
    <m/>
    <m/>
    <m/>
    <m/>
    <x v="0"/>
    <x v="178"/>
    <x v="1655"/>
    <n v="5410524"/>
    <s v="TK.KWVE20-B-A-L-0038-WW1"/>
    <n v="64"/>
    <n v="366.08"/>
    <m/>
    <m/>
    <s v="20250779-24.06.2025"/>
    <x v="1"/>
    <x v="0"/>
    <x v="0"/>
    <m/>
  </r>
  <r>
    <x v="0"/>
    <x v="0"/>
    <x v="442"/>
    <x v="46"/>
    <x v="233"/>
    <s v="054830877-8011"/>
    <s v="AA"/>
    <n v="5.72"/>
    <n v="9"/>
    <n v="51.48"/>
    <x v="70"/>
    <n v="23"/>
    <n v="2025"/>
    <n v="0"/>
    <x v="61"/>
    <n v="0"/>
    <m/>
    <s v="approved"/>
    <n v="0.1875"/>
    <m/>
    <m/>
    <m/>
    <m/>
    <m/>
    <m/>
    <m/>
    <x v="0"/>
    <x v="178"/>
    <x v="1655"/>
    <n v="5410524"/>
    <s v="TK.KWVE20-B-A-L-0038-WW1"/>
    <n v="9"/>
    <n v="51.48"/>
    <m/>
    <m/>
    <s v="20250779-24.06.2025"/>
    <x v="1"/>
    <x v="0"/>
    <x v="0"/>
    <m/>
  </r>
  <r>
    <x v="0"/>
    <x v="0"/>
    <x v="442"/>
    <x v="46"/>
    <x v="233"/>
    <s v="054830877-8011"/>
    <s v="AA"/>
    <n v="5.72"/>
    <n v="227"/>
    <n v="1298.44"/>
    <x v="262"/>
    <n v="25"/>
    <n v="2025"/>
    <n v="0"/>
    <x v="61"/>
    <n v="0"/>
    <m/>
    <s v="approved"/>
    <n v="4.729166666666667"/>
    <m/>
    <m/>
    <m/>
    <m/>
    <m/>
    <m/>
    <m/>
    <x v="0"/>
    <x v="180"/>
    <x v="1656"/>
    <n v="5410524"/>
    <s v="TK.KWVE20-B-A-L-0038-WW1"/>
    <n v="227"/>
    <n v="1298.44"/>
    <m/>
    <m/>
    <s v="20250793-26.06.2025"/>
    <x v="1"/>
    <x v="0"/>
    <x v="0"/>
    <m/>
  </r>
  <r>
    <x v="0"/>
    <x v="0"/>
    <x v="442"/>
    <x v="46"/>
    <x v="233"/>
    <s v="054830877-8011"/>
    <s v="AA"/>
    <n v="5.72"/>
    <n v="29"/>
    <n v="165.88"/>
    <x v="262"/>
    <n v="25"/>
    <n v="2025"/>
    <n v="0"/>
    <x v="61"/>
    <n v="0"/>
    <m/>
    <s v="approved"/>
    <n v="0.60416666666666663"/>
    <m/>
    <m/>
    <m/>
    <m/>
    <m/>
    <m/>
    <m/>
    <x v="0"/>
    <x v="180"/>
    <x v="1656"/>
    <n v="5410524"/>
    <s v="TK.KWVE20-B-A-L-0038-WW1"/>
    <n v="29"/>
    <n v="165.88"/>
    <m/>
    <m/>
    <s v="20250793-26.06.2025"/>
    <x v="1"/>
    <x v="0"/>
    <x v="0"/>
    <m/>
  </r>
  <r>
    <x v="0"/>
    <x v="0"/>
    <x v="442"/>
    <x v="46"/>
    <x v="233"/>
    <s v="054830877-8011"/>
    <s v="AA"/>
    <n v="5.72"/>
    <n v="94"/>
    <n v="537.67999999999995"/>
    <x v="262"/>
    <n v="25"/>
    <n v="2025"/>
    <n v="0"/>
    <x v="61"/>
    <n v="0"/>
    <m/>
    <s v="approved"/>
    <n v="1.9583333333333333"/>
    <m/>
    <m/>
    <m/>
    <m/>
    <m/>
    <m/>
    <m/>
    <x v="0"/>
    <x v="0"/>
    <x v="1657"/>
    <n v="5410524"/>
    <s v="TK.KWVE20-B-A-L-0038-WW1"/>
    <n v="94"/>
    <n v="537.67999999999995"/>
    <m/>
    <m/>
    <s v="20250795-27.06.2025"/>
    <x v="1"/>
    <x v="0"/>
    <x v="0"/>
    <m/>
  </r>
  <r>
    <x v="0"/>
    <x v="0"/>
    <x v="442"/>
    <x v="46"/>
    <x v="233"/>
    <s v="054830877-8011"/>
    <s v="AA"/>
    <n v="5.72"/>
    <n v="131"/>
    <n v="749.31999999999994"/>
    <x v="262"/>
    <n v="25"/>
    <n v="2025"/>
    <n v="0"/>
    <x v="61"/>
    <n v="0"/>
    <m/>
    <s v="approved"/>
    <n v="2.7291666666666665"/>
    <m/>
    <m/>
    <m/>
    <m/>
    <m/>
    <m/>
    <m/>
    <x v="0"/>
    <x v="129"/>
    <x v="1658"/>
    <n v="5410524"/>
    <s v="TK.KWVE20-B-A-L-0038-WW1"/>
    <n v="0"/>
    <n v="0"/>
    <m/>
    <s v="STORNO"/>
    <s v="20250865-07.07.2025/20250882-09.07.2025"/>
    <x v="1"/>
    <x v="0"/>
    <x v="0"/>
    <m/>
  </r>
  <r>
    <x v="0"/>
    <x v="0"/>
    <x v="442"/>
    <x v="46"/>
    <x v="233"/>
    <s v="054830877-8011"/>
    <s v="AA"/>
    <n v="5.72"/>
    <n v="62"/>
    <n v="354.64"/>
    <x v="216"/>
    <n v="26"/>
    <n v="2025"/>
    <n v="0"/>
    <x v="61"/>
    <n v="0"/>
    <m/>
    <s v="approved"/>
    <n v="1.2916666666666667"/>
    <m/>
    <m/>
    <m/>
    <m/>
    <m/>
    <m/>
    <m/>
    <x v="0"/>
    <x v="182"/>
    <x v="1659"/>
    <n v="5410524"/>
    <s v="TK.KWVE20-B-A-L-0038-WW1"/>
    <n v="62"/>
    <n v="354.64"/>
    <m/>
    <m/>
    <s v="20250992-28.07.2025"/>
    <x v="1"/>
    <x v="0"/>
    <x v="0"/>
    <m/>
  </r>
  <r>
    <x v="0"/>
    <x v="0"/>
    <x v="442"/>
    <x v="46"/>
    <x v="233"/>
    <s v="054830877-8011"/>
    <s v="AA"/>
    <n v="5.72"/>
    <n v="92"/>
    <n v="526.24"/>
    <x v="216"/>
    <n v="26"/>
    <n v="2025"/>
    <n v="0"/>
    <x v="61"/>
    <n v="0"/>
    <m/>
    <s v="approved"/>
    <n v="1.9166666666666667"/>
    <m/>
    <m/>
    <m/>
    <m/>
    <m/>
    <m/>
    <m/>
    <x v="0"/>
    <x v="199"/>
    <x v="1660"/>
    <n v="5410524"/>
    <s v="TK.KWVE20-B-A-L-0038-WW1"/>
    <n v="92"/>
    <n v="526.24"/>
    <m/>
    <m/>
    <s v="20250998/29.07"/>
    <x v="1"/>
    <x v="0"/>
    <x v="0"/>
    <m/>
  </r>
  <r>
    <x v="0"/>
    <x v="0"/>
    <x v="442"/>
    <x v="46"/>
    <x v="233"/>
    <s v="054830877-8011"/>
    <s v="AA"/>
    <n v="5.72"/>
    <n v="111"/>
    <n v="634.91999999999996"/>
    <x v="216"/>
    <n v="26"/>
    <n v="2025"/>
    <n v="0"/>
    <x v="61"/>
    <n v="0"/>
    <m/>
    <s v="approved"/>
    <n v="2.3125"/>
    <m/>
    <m/>
    <m/>
    <m/>
    <m/>
    <m/>
    <m/>
    <x v="0"/>
    <x v="200"/>
    <x v="1661"/>
    <n v="5410524"/>
    <s v="TK.KWVE20-B-A-L-0038-WW1"/>
    <n v="111"/>
    <n v="634.91999999999996"/>
    <m/>
    <m/>
    <s v="20251008/30.07.2025"/>
    <x v="1"/>
    <x v="0"/>
    <x v="0"/>
    <m/>
  </r>
  <r>
    <x v="0"/>
    <x v="0"/>
    <x v="442"/>
    <x v="46"/>
    <x v="233"/>
    <s v="054830877-8011"/>
    <s v="AA"/>
    <n v="5.72"/>
    <n v="80"/>
    <n v="457.59999999999997"/>
    <x v="216"/>
    <n v="26"/>
    <n v="2025"/>
    <n v="0"/>
    <x v="61"/>
    <n v="0"/>
    <m/>
    <s v="approved"/>
    <n v="1.6666666666666667"/>
    <m/>
    <m/>
    <m/>
    <m/>
    <m/>
    <m/>
    <m/>
    <x v="0"/>
    <x v="26"/>
    <x v="1662"/>
    <n v="5410524"/>
    <s v="TK.KWVE20-B-A-L-0038-WW1"/>
    <n v="80"/>
    <n v="457.59999999999997"/>
    <m/>
    <m/>
    <s v="20251011/31.07.2025"/>
    <x v="1"/>
    <x v="0"/>
    <x v="0"/>
    <m/>
  </r>
  <r>
    <x v="0"/>
    <x v="0"/>
    <x v="442"/>
    <x v="46"/>
    <x v="233"/>
    <s v="054830877-8011"/>
    <s v="AA"/>
    <n v="5.72"/>
    <n v="32"/>
    <n v="183.04"/>
    <x v="134"/>
    <n v="27"/>
    <n v="2025"/>
    <n v="0"/>
    <x v="61"/>
    <n v="0"/>
    <m/>
    <s v="approved"/>
    <n v="0.66666666666666663"/>
    <m/>
    <m/>
    <m/>
    <m/>
    <m/>
    <m/>
    <m/>
    <x v="0"/>
    <x v="202"/>
    <x v="1663"/>
    <n v="5410524"/>
    <s v="TK.KWVE20-B-A-L-0038-WW1"/>
    <n v="32"/>
    <n v="183.04"/>
    <m/>
    <m/>
    <s v="20251029-06.08.2025"/>
    <x v="1"/>
    <x v="8"/>
    <x v="0"/>
    <m/>
  </r>
  <r>
    <x v="0"/>
    <x v="0"/>
    <x v="442"/>
    <x v="46"/>
    <x v="233"/>
    <s v="054830877-8011"/>
    <s v="AA"/>
    <n v="5.72"/>
    <n v="21"/>
    <n v="120.11999999999999"/>
    <x v="134"/>
    <n v="27"/>
    <n v="2025"/>
    <n v="0"/>
    <x v="61"/>
    <n v="0"/>
    <m/>
    <s v="approved"/>
    <n v="0.4375"/>
    <m/>
    <m/>
    <m/>
    <m/>
    <m/>
    <m/>
    <m/>
    <x v="0"/>
    <x v="23"/>
    <x v="1664"/>
    <n v="5410524"/>
    <s v="TK.KWVE20-B-A-L-0038-WW1"/>
    <n v="21"/>
    <n v="120.11999999999999"/>
    <m/>
    <m/>
    <s v="20251042-07.08.2025"/>
    <x v="1"/>
    <x v="8"/>
    <x v="0"/>
    <m/>
  </r>
  <r>
    <x v="0"/>
    <x v="0"/>
    <x v="442"/>
    <x v="46"/>
    <x v="233"/>
    <s v="054830877-8011"/>
    <s v="AA"/>
    <n v="5.72"/>
    <n v="7"/>
    <n v="40.04"/>
    <x v="286"/>
    <n v="33"/>
    <n v="2025"/>
    <n v="0"/>
    <x v="61"/>
    <n v="0"/>
    <m/>
    <s v="approved"/>
    <n v="0.14583333333333334"/>
    <m/>
    <m/>
    <m/>
    <m/>
    <m/>
    <m/>
    <m/>
    <x v="0"/>
    <x v="23"/>
    <x v="1664"/>
    <n v="5410524"/>
    <s v="TK.KWVE20-B-A-L-0038-WW1"/>
    <n v="7"/>
    <n v="40.04"/>
    <m/>
    <m/>
    <s v="20251042-07.08.2025"/>
    <x v="0"/>
    <x v="9"/>
    <x v="0"/>
    <m/>
  </r>
  <r>
    <x v="0"/>
    <x v="0"/>
    <x v="442"/>
    <x v="46"/>
    <x v="233"/>
    <s v="054830877-8011"/>
    <s v="AA"/>
    <n v="5.72"/>
    <n v="64"/>
    <n v="366.08"/>
    <x v="286"/>
    <n v="33"/>
    <n v="2025"/>
    <n v="0"/>
    <x v="61"/>
    <n v="0"/>
    <m/>
    <s v="approved"/>
    <n v="1.3333333333333333"/>
    <m/>
    <m/>
    <m/>
    <m/>
    <m/>
    <m/>
    <m/>
    <x v="0"/>
    <x v="203"/>
    <x v="1665"/>
    <n v="5410524"/>
    <s v="TK.KWVE20-B-A-L-0038-WW1"/>
    <n v="64"/>
    <n v="366.08"/>
    <m/>
    <m/>
    <s v="20251047-08.08.2025"/>
    <x v="0"/>
    <x v="9"/>
    <x v="0"/>
    <m/>
  </r>
  <r>
    <x v="0"/>
    <x v="0"/>
    <x v="442"/>
    <x v="46"/>
    <x v="233"/>
    <s v="054830877-8011"/>
    <s v="AA"/>
    <n v="5.72"/>
    <n v="64"/>
    <n v="366.08"/>
    <x v="286"/>
    <n v="33"/>
    <n v="2025"/>
    <n v="0"/>
    <x v="61"/>
    <n v="0"/>
    <m/>
    <s v="approved"/>
    <n v="1.3333333333333333"/>
    <m/>
    <m/>
    <m/>
    <m/>
    <m/>
    <m/>
    <m/>
    <x v="0"/>
    <x v="183"/>
    <x v="1666"/>
    <n v="5410524"/>
    <s v="TK.KWVE20-B-A-L-0038-WW1"/>
    <n v="64"/>
    <n v="366.08"/>
    <m/>
    <m/>
    <s v="20251055-14.08.2025"/>
    <x v="0"/>
    <x v="9"/>
    <x v="0"/>
    <m/>
  </r>
  <r>
    <x v="0"/>
    <x v="0"/>
    <x v="442"/>
    <x v="46"/>
    <x v="233"/>
    <s v="054830877-8011"/>
    <s v="AA"/>
    <n v="5.72"/>
    <n v="80"/>
    <n v="457.59999999999997"/>
    <x v="286"/>
    <n v="33"/>
    <n v="2025"/>
    <n v="0"/>
    <x v="61"/>
    <n v="0"/>
    <m/>
    <s v="approved"/>
    <n v="1.6666666666666667"/>
    <m/>
    <m/>
    <m/>
    <m/>
    <m/>
    <m/>
    <m/>
    <x v="0"/>
    <x v="185"/>
    <x v="1667"/>
    <n v="5410524"/>
    <s v="TK.KWVE20-B-A-L-0038-WW1"/>
    <n v="80"/>
    <n v="457.59999999999997"/>
    <m/>
    <m/>
    <s v="20251073-14.08.2025"/>
    <x v="0"/>
    <x v="9"/>
    <x v="0"/>
    <m/>
  </r>
  <r>
    <x v="0"/>
    <x v="0"/>
    <x v="442"/>
    <x v="46"/>
    <x v="233"/>
    <s v="054830877-8011"/>
    <s v="AA"/>
    <n v="5.72"/>
    <n v="30"/>
    <n v="171.6"/>
    <x v="286"/>
    <n v="33"/>
    <n v="2025"/>
    <n v="0"/>
    <x v="61"/>
    <n v="0"/>
    <m/>
    <s v="approved"/>
    <n v="0.625"/>
    <m/>
    <m/>
    <m/>
    <m/>
    <m/>
    <m/>
    <m/>
    <x v="0"/>
    <x v="204"/>
    <x v="1668"/>
    <n v="5410524"/>
    <s v="TK.KWVE20-B-A-L-0038-WW1"/>
    <n v="30"/>
    <n v="171.6"/>
    <m/>
    <m/>
    <s v="20251090-20.08.2025"/>
    <x v="1"/>
    <x v="9"/>
    <x v="0"/>
    <m/>
  </r>
  <r>
    <x v="0"/>
    <x v="0"/>
    <x v="442"/>
    <x v="46"/>
    <x v="233"/>
    <s v="054830877-8011"/>
    <s v="AA"/>
    <n v="5.72"/>
    <n v="55"/>
    <n v="314.59999999999997"/>
    <x v="286"/>
    <n v="33"/>
    <n v="2025"/>
    <n v="0"/>
    <x v="61"/>
    <n v="0"/>
    <m/>
    <s v="approved"/>
    <n v="1.1458333333333333"/>
    <m/>
    <m/>
    <m/>
    <m/>
    <m/>
    <m/>
    <m/>
    <x v="0"/>
    <x v="252"/>
    <x v="1669"/>
    <n v="5410524"/>
    <s v="TK.KWVE20-B-A-L-0038-WW1"/>
    <n v="55"/>
    <n v="314.59999999999997"/>
    <m/>
    <m/>
    <s v="20251106-22.08.2025"/>
    <x v="1"/>
    <x v="9"/>
    <x v="0"/>
    <m/>
  </r>
  <r>
    <x v="0"/>
    <x v="0"/>
    <x v="442"/>
    <x v="46"/>
    <x v="233"/>
    <s v="054830877-8011"/>
    <s v="AA"/>
    <n v="5.72"/>
    <n v="300"/>
    <n v="1716"/>
    <x v="461"/>
    <n v="34"/>
    <n v="2025"/>
    <n v="0"/>
    <x v="61"/>
    <n v="0"/>
    <m/>
    <s v="approved"/>
    <n v="6.25"/>
    <m/>
    <m/>
    <m/>
    <m/>
    <m/>
    <m/>
    <m/>
    <x v="0"/>
    <x v="252"/>
    <x v="1669"/>
    <n v="5410524"/>
    <s v="TK.KWVE20-B-A-L-0038-WW1"/>
    <n v="300"/>
    <n v="1716"/>
    <m/>
    <m/>
    <s v="20251106-22.08.2025"/>
    <x v="1"/>
    <x v="9"/>
    <x v="0"/>
    <m/>
  </r>
  <r>
    <x v="0"/>
    <x v="0"/>
    <x v="442"/>
    <x v="46"/>
    <x v="233"/>
    <s v="054830877-8011"/>
    <s v="AA"/>
    <n v="5.72"/>
    <n v="88"/>
    <n v="503.35999999999996"/>
    <x v="233"/>
    <n v="35"/>
    <n v="2025"/>
    <n v="0"/>
    <x v="61"/>
    <n v="0"/>
    <m/>
    <s v="approved"/>
    <n v="1.8333333333333333"/>
    <m/>
    <m/>
    <m/>
    <m/>
    <m/>
    <m/>
    <m/>
    <x v="0"/>
    <x v="252"/>
    <x v="1669"/>
    <n v="5410524"/>
    <s v="TK.KWVE20-B-A-L-0038-WW1"/>
    <n v="88"/>
    <n v="503.35999999999996"/>
    <m/>
    <m/>
    <s v="20251106-22.08.2025"/>
    <x v="0"/>
    <x v="9"/>
    <x v="0"/>
    <m/>
  </r>
  <r>
    <x v="0"/>
    <x v="0"/>
    <x v="442"/>
    <x v="46"/>
    <x v="233"/>
    <s v="054830877-8011"/>
    <s v="AA"/>
    <n v="5.72"/>
    <n v="96"/>
    <n v="549.12"/>
    <x v="233"/>
    <n v="35"/>
    <n v="2025"/>
    <n v="0"/>
    <x v="61"/>
    <n v="0"/>
    <m/>
    <s v="approved"/>
    <n v="2"/>
    <m/>
    <m/>
    <m/>
    <m/>
    <m/>
    <m/>
    <m/>
    <x v="0"/>
    <x v="102"/>
    <x v="1670"/>
    <n v="5410524"/>
    <s v="TK.KWVE20-B-A-L-0038-WW1"/>
    <n v="96"/>
    <n v="549.12"/>
    <m/>
    <m/>
    <s v="20251109-25.08.2025"/>
    <x v="0"/>
    <x v="9"/>
    <x v="0"/>
    <m/>
  </r>
  <r>
    <x v="0"/>
    <x v="0"/>
    <x v="442"/>
    <x v="46"/>
    <x v="233"/>
    <s v="054830877-8011"/>
    <s v="AA"/>
    <n v="5.72"/>
    <n v="96"/>
    <n v="549.12"/>
    <x v="233"/>
    <n v="35"/>
    <n v="2025"/>
    <n v="0"/>
    <x v="61"/>
    <n v="0"/>
    <m/>
    <s v="approved"/>
    <n v="2"/>
    <m/>
    <m/>
    <m/>
    <m/>
    <m/>
    <m/>
    <m/>
    <x v="0"/>
    <x v="44"/>
    <x v="1671"/>
    <n v="5410524"/>
    <s v="TK.KWVE20-B-A-L-0038-WW1"/>
    <n v="96"/>
    <n v="549.12"/>
    <m/>
    <m/>
    <s v="20251112-26.08.2025"/>
    <x v="0"/>
    <x v="9"/>
    <x v="0"/>
    <m/>
  </r>
  <r>
    <x v="0"/>
    <x v="0"/>
    <x v="442"/>
    <x v="46"/>
    <x v="233"/>
    <s v="054830877-8011"/>
    <s v="AA"/>
    <n v="5.72"/>
    <n v="20"/>
    <n v="114.39999999999999"/>
    <x v="233"/>
    <n v="35"/>
    <n v="2025"/>
    <n v="0"/>
    <x v="61"/>
    <n v="0"/>
    <m/>
    <s v="approved"/>
    <n v="0.41666666666666669"/>
    <m/>
    <m/>
    <m/>
    <m/>
    <m/>
    <m/>
    <m/>
    <x v="0"/>
    <x v="104"/>
    <x v="1672"/>
    <n v="5410524"/>
    <s v="TK.KWVE20-B-A-L-0038-WW1"/>
    <n v="20"/>
    <n v="114.39999999999999"/>
    <m/>
    <m/>
    <s v="20251124-28.08.2025"/>
    <x v="0"/>
    <x v="9"/>
    <x v="0"/>
    <m/>
  </r>
  <r>
    <x v="0"/>
    <x v="0"/>
    <x v="442"/>
    <x v="46"/>
    <x v="233"/>
    <s v="054830877-8011"/>
    <s v="AA"/>
    <n v="5.72"/>
    <n v="50"/>
    <n v="286"/>
    <x v="80"/>
    <n v="36"/>
    <n v="2025"/>
    <n v="0"/>
    <x v="61"/>
    <n v="0"/>
    <m/>
    <s v="approved"/>
    <n v="1.0416666666666667"/>
    <m/>
    <m/>
    <m/>
    <m/>
    <m/>
    <m/>
    <m/>
    <x v="0"/>
    <x v="104"/>
    <x v="1672"/>
    <n v="5410524"/>
    <s v="TK.KWVE20-B-A-L-0038-WW1"/>
    <n v="50"/>
    <n v="286"/>
    <m/>
    <m/>
    <s v="20251124-28.08.2025"/>
    <x v="0"/>
    <x v="10"/>
    <x v="0"/>
    <m/>
  </r>
  <r>
    <x v="0"/>
    <x v="0"/>
    <x v="442"/>
    <x v="46"/>
    <x v="233"/>
    <s v="054830877-8011"/>
    <s v="AA"/>
    <n v="5.72"/>
    <n v="24"/>
    <n v="137.28"/>
    <x v="487"/>
    <n v="38"/>
    <n v="2025"/>
    <n v="0"/>
    <x v="61"/>
    <n v="0"/>
    <m/>
    <s v="approved"/>
    <n v="0.5"/>
    <m/>
    <m/>
    <m/>
    <m/>
    <m/>
    <m/>
    <m/>
    <x v="0"/>
    <x v="104"/>
    <x v="1672"/>
    <n v="5410524"/>
    <s v="TK.KWVE20-B-A-L-0038-WW1"/>
    <n v="24"/>
    <n v="137.28"/>
    <m/>
    <m/>
    <s v="20251124-28.08.2025"/>
    <x v="0"/>
    <x v="10"/>
    <x v="0"/>
    <m/>
  </r>
  <r>
    <x v="0"/>
    <x v="0"/>
    <x v="442"/>
    <x v="46"/>
    <x v="233"/>
    <s v="054830877-8011"/>
    <s v="AA"/>
    <n v="5.72"/>
    <n v="79"/>
    <n v="451.88"/>
    <x v="487"/>
    <n v="38"/>
    <n v="2025"/>
    <n v="0"/>
    <x v="61"/>
    <n v="0"/>
    <m/>
    <s v="approved"/>
    <n v="1.6458333333333333"/>
    <m/>
    <m/>
    <m/>
    <m/>
    <m/>
    <m/>
    <m/>
    <x v="0"/>
    <x v="162"/>
    <x v="1673"/>
    <n v="5410524"/>
    <s v="TK.KWVE20-B-A-L-0038-WW1"/>
    <n v="79"/>
    <n v="451.88"/>
    <m/>
    <m/>
    <s v="20251136-01.09.2025"/>
    <x v="0"/>
    <x v="10"/>
    <x v="0"/>
    <m/>
  </r>
  <r>
    <x v="0"/>
    <x v="0"/>
    <x v="442"/>
    <x v="46"/>
    <x v="233"/>
    <s v="054830877-8011"/>
    <s v="AA"/>
    <n v="5.72"/>
    <n v="78"/>
    <n v="446.15999999999997"/>
    <x v="487"/>
    <n v="38"/>
    <n v="2025"/>
    <n v="0"/>
    <x v="61"/>
    <n v="0"/>
    <m/>
    <s v="approved"/>
    <n v="1.625"/>
    <m/>
    <m/>
    <m/>
    <m/>
    <m/>
    <m/>
    <m/>
    <x v="0"/>
    <x v="320"/>
    <x v="1674"/>
    <n v="5410524"/>
    <s v="TK.KWVE20-B-A-L-0038-WW1"/>
    <n v="78"/>
    <n v="446.15999999999997"/>
    <m/>
    <m/>
    <s v="20251151-04.09.2025"/>
    <x v="0"/>
    <x v="10"/>
    <x v="0"/>
    <m/>
  </r>
  <r>
    <x v="0"/>
    <x v="0"/>
    <x v="442"/>
    <x v="46"/>
    <x v="233"/>
    <s v="054830877-8011"/>
    <s v="AA"/>
    <n v="5.72"/>
    <n v="144"/>
    <n v="823.68"/>
    <x v="473"/>
    <n v="39"/>
    <n v="2025"/>
    <n v="0"/>
    <x v="61"/>
    <n v="0"/>
    <m/>
    <s v="approved"/>
    <n v="3"/>
    <m/>
    <m/>
    <m/>
    <m/>
    <m/>
    <m/>
    <m/>
    <x v="0"/>
    <x v="374"/>
    <x v="1675"/>
    <n v="5410524"/>
    <s v="TK.KWVE20-B-A-L-0038-WW1"/>
    <n v="144"/>
    <n v="823.68"/>
    <m/>
    <m/>
    <s v="20251168-10.09.2025"/>
    <x v="0"/>
    <x v="10"/>
    <x v="0"/>
    <m/>
  </r>
  <r>
    <x v="0"/>
    <x v="0"/>
    <x v="442"/>
    <x v="46"/>
    <x v="233"/>
    <s v="054830877-8011"/>
    <s v="AA"/>
    <n v="5.72"/>
    <n v="96"/>
    <n v="549.12"/>
    <x v="473"/>
    <n v="39"/>
    <n v="2025"/>
    <n v="0"/>
    <x v="61"/>
    <n v="0"/>
    <m/>
    <s v="approved"/>
    <n v="2"/>
    <m/>
    <m/>
    <m/>
    <m/>
    <m/>
    <m/>
    <m/>
    <x v="0"/>
    <x v="241"/>
    <x v="1676"/>
    <n v="5410524"/>
    <s v="TK.KWVE20-B-A-L-0038-WW1"/>
    <n v="96"/>
    <n v="549.12"/>
    <m/>
    <m/>
    <s v="20251175/15.09.2025"/>
    <x v="0"/>
    <x v="10"/>
    <x v="0"/>
    <m/>
  </r>
  <r>
    <x v="0"/>
    <x v="0"/>
    <x v="442"/>
    <x v="46"/>
    <x v="233"/>
    <s v="054830877-8011"/>
    <s v="AA"/>
    <n v="5.72"/>
    <n v="144"/>
    <n v="823.68"/>
    <x v="473"/>
    <n v="39"/>
    <n v="2025"/>
    <n v="0"/>
    <x v="61"/>
    <n v="0"/>
    <m/>
    <s v="approved"/>
    <n v="3"/>
    <m/>
    <m/>
    <m/>
    <m/>
    <m/>
    <m/>
    <m/>
    <x v="0"/>
    <x v="107"/>
    <x v="1677"/>
    <n v="5410524"/>
    <s v="TK.KWVE20-B-A-L-0038-WW1"/>
    <n v="144"/>
    <n v="823.68"/>
    <m/>
    <m/>
    <s v="20251191-18.09.2025"/>
    <x v="0"/>
    <x v="10"/>
    <x v="0"/>
    <m/>
  </r>
  <r>
    <x v="0"/>
    <x v="0"/>
    <x v="442"/>
    <x v="46"/>
    <x v="233"/>
    <s v="054830877-8011"/>
    <s v="AA"/>
    <n v="5.72"/>
    <n v="96"/>
    <n v="549.12"/>
    <x v="473"/>
    <n v="39"/>
    <n v="2025"/>
    <n v="0"/>
    <x v="61"/>
    <n v="0"/>
    <m/>
    <s v="approved"/>
    <n v="2"/>
    <m/>
    <m/>
    <m/>
    <m/>
    <m/>
    <m/>
    <m/>
    <x v="0"/>
    <x v="108"/>
    <x v="1678"/>
    <n v="5410524"/>
    <s v="TK.KWVE20-B-A-L-0038-WW1"/>
    <n v="96"/>
    <n v="549.12"/>
    <m/>
    <m/>
    <s v="20251197-19.09.2025"/>
    <x v="0"/>
    <x v="10"/>
    <x v="0"/>
    <m/>
  </r>
  <r>
    <x v="0"/>
    <x v="0"/>
    <x v="442"/>
    <x v="46"/>
    <x v="233"/>
    <s v="054830877-8011"/>
    <s v="AA"/>
    <n v="5.72"/>
    <n v="84"/>
    <n v="480.47999999999996"/>
    <x v="473"/>
    <n v="39"/>
    <n v="2025"/>
    <n v="0"/>
    <x v="61"/>
    <n v="0"/>
    <m/>
    <s v="approved"/>
    <n v="1.75"/>
    <m/>
    <m/>
    <m/>
    <m/>
    <m/>
    <m/>
    <m/>
    <x v="0"/>
    <x v="372"/>
    <x v="1679"/>
    <n v="5410524"/>
    <s v="TK.KWVE20-B-A-L-0038-WW1"/>
    <n v="84"/>
    <n v="480.47999999999996"/>
    <m/>
    <m/>
    <s v="20251212-22.09.2025"/>
    <x v="0"/>
    <x v="10"/>
    <x v="0"/>
    <m/>
  </r>
  <r>
    <x v="0"/>
    <x v="0"/>
    <x v="442"/>
    <x v="46"/>
    <x v="233"/>
    <s v="054830877-8011"/>
    <s v="AA"/>
    <n v="5.72"/>
    <n v="235"/>
    <n v="1344.2"/>
    <x v="488"/>
    <n v="41"/>
    <n v="2025"/>
    <n v="0"/>
    <x v="61"/>
    <n v="0"/>
    <m/>
    <s v="approved"/>
    <n v="4.895833333333333"/>
    <m/>
    <m/>
    <m/>
    <m/>
    <m/>
    <m/>
    <m/>
    <x v="0"/>
    <x v="132"/>
    <x v="1680"/>
    <n v="5410524"/>
    <s v="TK.KWVE20-B-A-L-0038-WW1"/>
    <n v="235"/>
    <n v="1344.2"/>
    <m/>
    <m/>
    <s v="20251263-02.10.2025"/>
    <x v="0"/>
    <x v="11"/>
    <x v="0"/>
    <m/>
  </r>
  <r>
    <x v="0"/>
    <x v="0"/>
    <x v="442"/>
    <x v="46"/>
    <x v="233"/>
    <s v="054830877-8011"/>
    <s v="AA"/>
    <n v="5.72"/>
    <n v="300"/>
    <n v="1716"/>
    <x v="135"/>
    <n v="41"/>
    <n v="2025"/>
    <n v="0"/>
    <x v="61"/>
    <n v="0"/>
    <m/>
    <s v="approved"/>
    <n v="6.25"/>
    <m/>
    <m/>
    <m/>
    <m/>
    <m/>
    <m/>
    <m/>
    <x v="0"/>
    <x v="132"/>
    <x v="1680"/>
    <n v="5410524"/>
    <s v="TK.KWVE20-B-A-L-0038-WW1"/>
    <n v="300"/>
    <n v="1716"/>
    <m/>
    <m/>
    <s v="20251263-02.10.2025"/>
    <x v="0"/>
    <x v="11"/>
    <x v="0"/>
    <m/>
  </r>
  <r>
    <x v="0"/>
    <x v="0"/>
    <x v="442"/>
    <x v="46"/>
    <x v="233"/>
    <s v="054830877-8011"/>
    <s v="AA"/>
    <n v="5.72"/>
    <n v="27"/>
    <n v="154.44"/>
    <x v="135"/>
    <n v="41"/>
    <n v="2025"/>
    <n v="0"/>
    <x v="61"/>
    <n v="0"/>
    <m/>
    <s v="approved"/>
    <n v="0.5625"/>
    <m/>
    <m/>
    <m/>
    <m/>
    <m/>
    <m/>
    <m/>
    <x v="0"/>
    <x v="132"/>
    <x v="1680"/>
    <n v="5410524"/>
    <s v="TK.KWVE20-B-A-L-0038-WW1"/>
    <n v="27"/>
    <n v="154.44"/>
    <m/>
    <m/>
    <s v="20251263-02.10.2025"/>
    <x v="0"/>
    <x v="11"/>
    <x v="0"/>
    <m/>
  </r>
  <r>
    <x v="0"/>
    <x v="0"/>
    <x v="442"/>
    <x v="46"/>
    <x v="233"/>
    <s v="054830877-8011"/>
    <s v="AA"/>
    <n v="5.72"/>
    <n v="192"/>
    <n v="1098.24"/>
    <x v="356"/>
    <n v="43"/>
    <n v="2025"/>
    <n v="0"/>
    <x v="61"/>
    <n v="0"/>
    <m/>
    <s v="approved"/>
    <n v="4"/>
    <m/>
    <m/>
    <m/>
    <m/>
    <m/>
    <m/>
    <m/>
    <x v="0"/>
    <x v="133"/>
    <x v="1681"/>
    <n v="5410524"/>
    <s v="TK.KWVE20-B-A-L-0038-WW1"/>
    <n v="192"/>
    <n v="1098.24"/>
    <m/>
    <m/>
    <s v="20251271-03.10.2025"/>
    <x v="0"/>
    <x v="11"/>
    <x v="0"/>
    <m/>
  </r>
  <r>
    <x v="0"/>
    <x v="0"/>
    <x v="442"/>
    <x v="46"/>
    <x v="233"/>
    <s v="054830877-8011"/>
    <s v="AA"/>
    <n v="5.72"/>
    <n v="108"/>
    <n v="617.76"/>
    <x v="356"/>
    <n v="43"/>
    <n v="2025"/>
    <n v="0"/>
    <x v="61"/>
    <n v="0"/>
    <m/>
    <s v="approved"/>
    <n v="2.25"/>
    <m/>
    <m/>
    <m/>
    <m/>
    <m/>
    <m/>
    <m/>
    <x v="0"/>
    <x v="113"/>
    <x v="1682"/>
    <n v="5410524"/>
    <s v="TK.KWVE20-B-A-L-0038-WW1"/>
    <n v="108"/>
    <n v="617.76"/>
    <m/>
    <m/>
    <s v="20251271-07.10.2025"/>
    <x v="0"/>
    <x v="11"/>
    <x v="0"/>
    <m/>
  </r>
  <r>
    <x v="0"/>
    <x v="0"/>
    <x v="442"/>
    <x v="46"/>
    <x v="233"/>
    <s v="054830877-8011"/>
    <s v="AA"/>
    <n v="5.72"/>
    <n v="36"/>
    <n v="205.92"/>
    <x v="437"/>
    <n v="44"/>
    <n v="2025"/>
    <n v="0"/>
    <x v="61"/>
    <n v="0"/>
    <m/>
    <s v="approved"/>
    <n v="0.75"/>
    <m/>
    <m/>
    <m/>
    <m/>
    <m/>
    <m/>
    <m/>
    <x v="0"/>
    <x v="113"/>
    <x v="1682"/>
    <n v="5410524"/>
    <s v="TK.KWVE20-B-A-L-0038-WW1"/>
    <n v="36"/>
    <n v="205.92"/>
    <m/>
    <m/>
    <s v="20251291-07.10.2025"/>
    <x v="0"/>
    <x v="11"/>
    <x v="0"/>
    <m/>
  </r>
  <r>
    <x v="0"/>
    <x v="0"/>
    <x v="442"/>
    <x v="46"/>
    <x v="233"/>
    <s v="054830877-8011"/>
    <s v="AA"/>
    <n v="5.72"/>
    <n v="64"/>
    <n v="366.08"/>
    <x v="437"/>
    <n v="44"/>
    <n v="2025"/>
    <n v="0"/>
    <x v="61"/>
    <n v="0"/>
    <m/>
    <s v="approved"/>
    <n v="1.3333333333333333"/>
    <m/>
    <m/>
    <m/>
    <m/>
    <m/>
    <m/>
    <m/>
    <x v="0"/>
    <x v="114"/>
    <x v="1683"/>
    <n v="5410524"/>
    <s v="TK.KWVE20-B-A-L-0038-WW1"/>
    <n v="64"/>
    <n v="366.08"/>
    <m/>
    <m/>
    <s v="20251294-09.10.2025"/>
    <x v="0"/>
    <x v="11"/>
    <x v="0"/>
    <m/>
  </r>
  <r>
    <x v="0"/>
    <x v="0"/>
    <x v="442"/>
    <x v="46"/>
    <x v="233"/>
    <s v="054830877-8011"/>
    <s v="AA"/>
    <n v="5.72"/>
    <n v="100"/>
    <n v="572"/>
    <x v="25"/>
    <n v="45"/>
    <n v="2025"/>
    <n v="0"/>
    <x v="61"/>
    <n v="0"/>
    <m/>
    <s v="approved"/>
    <n v="2.0833333333333335"/>
    <m/>
    <m/>
    <m/>
    <m/>
    <m/>
    <m/>
    <m/>
    <x v="0"/>
    <x v="114"/>
    <x v="1683"/>
    <n v="5410524"/>
    <s v="TK.KWVE20-B-A-L-0038-WW1"/>
    <n v="100"/>
    <n v="572"/>
    <m/>
    <m/>
    <s v="20251294-09.10.2025"/>
    <x v="0"/>
    <x v="4"/>
    <x v="0"/>
    <m/>
  </r>
  <r>
    <x v="0"/>
    <x v="0"/>
    <x v="442"/>
    <x v="46"/>
    <x v="233"/>
    <s v="054830877-8011"/>
    <s v="AA"/>
    <n v="5.72"/>
    <n v="28"/>
    <n v="160.16"/>
    <x v="172"/>
    <n v="46"/>
    <n v="2025"/>
    <n v="0"/>
    <x v="61"/>
    <n v="0"/>
    <m/>
    <s v="approved"/>
    <n v="0.58333333333333337"/>
    <m/>
    <m/>
    <m/>
    <m/>
    <m/>
    <m/>
    <m/>
    <x v="0"/>
    <x v="114"/>
    <x v="1683"/>
    <n v="5410524"/>
    <s v="TK.KWVE20-B-A-L-0038-WW1"/>
    <n v="28"/>
    <n v="160.16"/>
    <m/>
    <m/>
    <m/>
    <x v="0"/>
    <x v="4"/>
    <x v="0"/>
    <m/>
  </r>
  <r>
    <x v="0"/>
    <x v="0"/>
    <x v="442"/>
    <x v="197"/>
    <x v="233"/>
    <s v="054830877-8011"/>
    <s v="AA"/>
    <n v="5.72"/>
    <n v="308"/>
    <n v="1761.76"/>
    <x v="172"/>
    <n v="46"/>
    <n v="2025"/>
    <n v="0"/>
    <x v="61"/>
    <n v="0"/>
    <m/>
    <s v="approved"/>
    <n v="6.416666666666667"/>
    <m/>
    <m/>
    <m/>
    <m/>
    <m/>
    <m/>
    <m/>
    <x v="0"/>
    <x v="118"/>
    <x v="1684"/>
    <n v="5410524"/>
    <s v="TK.KWVE20-B-A-L-0038-WW1"/>
    <n v="308"/>
    <n v="1761.76"/>
    <m/>
    <m/>
    <s v="20251407-04.11.2025"/>
    <x v="0"/>
    <x v="4"/>
    <x v="0"/>
    <m/>
  </r>
  <r>
    <x v="0"/>
    <x v="0"/>
    <x v="442"/>
    <x v="197"/>
    <x v="233"/>
    <s v="054830877-8011"/>
    <s v="AA"/>
    <n v="5.72"/>
    <n v="692"/>
    <n v="3958.24"/>
    <x v="172"/>
    <n v="46"/>
    <n v="2025"/>
    <n v="0"/>
    <x v="61"/>
    <n v="0"/>
    <m/>
    <s v="approved"/>
    <n v="14.416666666666666"/>
    <m/>
    <m/>
    <m/>
    <m/>
    <m/>
    <m/>
    <m/>
    <x v="1"/>
    <x v="3"/>
    <x v="4"/>
    <s v=""/>
    <s v=""/>
    <m/>
    <n v="0"/>
    <m/>
    <m/>
    <m/>
    <x v="2"/>
    <x v="4"/>
    <x v="0"/>
    <m/>
  </r>
  <r>
    <x v="0"/>
    <x v="0"/>
    <x v="442"/>
    <x v="197"/>
    <x v="233"/>
    <s v="054830877-8011"/>
    <s v="AA"/>
    <n v="5.72"/>
    <n v="500"/>
    <n v="2860"/>
    <x v="378"/>
    <n v="46"/>
    <n v="2025"/>
    <n v="0"/>
    <x v="61"/>
    <n v="0"/>
    <m/>
    <s v="approved"/>
    <n v="10.416666666666666"/>
    <m/>
    <m/>
    <m/>
    <m/>
    <m/>
    <m/>
    <m/>
    <x v="1"/>
    <x v="3"/>
    <x v="4"/>
    <s v=""/>
    <s v=""/>
    <m/>
    <n v="0"/>
    <m/>
    <m/>
    <m/>
    <x v="2"/>
    <x v="4"/>
    <x v="0"/>
    <m/>
  </r>
  <r>
    <x v="0"/>
    <x v="1"/>
    <x v="442"/>
    <x v="46"/>
    <x v="233"/>
    <s v="054830877-8011"/>
    <s v="AA"/>
    <n v="5.72"/>
    <n v="550"/>
    <n v="3146"/>
    <x v="122"/>
    <n v="51"/>
    <n v="2025"/>
    <n v="0"/>
    <x v="61"/>
    <n v="0"/>
    <m/>
    <s v="approved"/>
    <n v="11.458333333333334"/>
    <m/>
    <m/>
    <m/>
    <m/>
    <m/>
    <m/>
    <m/>
    <x v="1"/>
    <x v="3"/>
    <x v="4"/>
    <s v=""/>
    <s v=""/>
    <m/>
    <n v="0"/>
    <m/>
    <m/>
    <m/>
    <x v="2"/>
    <x v="3"/>
    <x v="0"/>
    <m/>
  </r>
  <r>
    <x v="0"/>
    <x v="0"/>
    <x v="443"/>
    <x v="36"/>
    <x v="234"/>
    <s v="059018879-8011"/>
    <n v="0"/>
    <n v="4.51"/>
    <n v="50"/>
    <n v="225.5"/>
    <x v="365"/>
    <n v="16"/>
    <n v="2024"/>
    <n v="0"/>
    <x v="61"/>
    <n v="0"/>
    <m/>
    <s v="approved"/>
    <n v="42"/>
    <s v="no"/>
    <m/>
    <m/>
    <m/>
    <m/>
    <m/>
    <s v="241301"/>
    <x v="0"/>
    <x v="5"/>
    <x v="1685"/>
    <n v="36508678"/>
    <s v="TK.KWVE30-B-A-H-0038-WW1"/>
    <n v="50"/>
    <n v="225.5"/>
    <m/>
    <m/>
    <s v="20240370-12.04.2024"/>
    <x v="0"/>
    <x v="1"/>
    <x v="1"/>
    <m/>
  </r>
  <r>
    <x v="0"/>
    <x v="0"/>
    <x v="444"/>
    <x v="36"/>
    <x v="234"/>
    <s v="059018879-8011"/>
    <n v="0"/>
    <n v="4.51"/>
    <n v="50"/>
    <n v="225.5"/>
    <x v="450"/>
    <n v="17"/>
    <n v="2024"/>
    <n v="0"/>
    <x v="61"/>
    <n v="0"/>
    <m/>
    <s v="approved"/>
    <n v="42"/>
    <s v="no"/>
    <m/>
    <m/>
    <m/>
    <m/>
    <m/>
    <s v="241301"/>
    <x v="0"/>
    <x v="5"/>
    <x v="1686"/>
    <n v="36508682"/>
    <s v="TK.KWVE30-B-A-H-0038-WW1"/>
    <n v="45"/>
    <n v="202.95"/>
    <m/>
    <m/>
    <s v="20240371-12.04.2024"/>
    <x v="0"/>
    <x v="1"/>
    <x v="1"/>
    <m/>
  </r>
  <r>
    <x v="0"/>
    <x v="0"/>
    <x v="444"/>
    <x v="36"/>
    <x v="234"/>
    <s v="059018879-8011"/>
    <n v="0"/>
    <n v="4.51"/>
    <n v="5"/>
    <n v="22.549999999999997"/>
    <x v="450"/>
    <n v="17"/>
    <n v="2024"/>
    <n v="0"/>
    <x v="61"/>
    <n v="0"/>
    <m/>
    <s v="approved"/>
    <n v="42"/>
    <m/>
    <m/>
    <m/>
    <m/>
    <m/>
    <m/>
    <m/>
    <x v="0"/>
    <x v="58"/>
    <x v="1687"/>
    <n v="36508682"/>
    <s v="TK.KWVE30-B-A-H-0038-WW1"/>
    <n v="5"/>
    <n v="22.549999999999997"/>
    <m/>
    <m/>
    <s v="20240388-16.04.2024"/>
    <x v="0"/>
    <x v="1"/>
    <x v="1"/>
    <m/>
  </r>
  <r>
    <x v="0"/>
    <x v="0"/>
    <x v="445"/>
    <x v="38"/>
    <x v="234"/>
    <s v="059018879-8011"/>
    <n v="0"/>
    <n v="4.51"/>
    <n v="50"/>
    <n v="225.5"/>
    <x v="96"/>
    <n v="19"/>
    <n v="2024"/>
    <n v="0"/>
    <x v="61"/>
    <n v="0"/>
    <m/>
    <s v="approved"/>
    <n v="42"/>
    <s v="no"/>
    <m/>
    <m/>
    <m/>
    <m/>
    <m/>
    <n v="241701"/>
    <x v="0"/>
    <x v="59"/>
    <x v="1688"/>
    <n v="36635662"/>
    <s v="TK.KWVE30-B-A-H-0038-WW1"/>
    <n v="50"/>
    <n v="225.5"/>
    <m/>
    <m/>
    <s v="20240488-30.04.2024"/>
    <x v="0"/>
    <x v="2"/>
    <x v="1"/>
    <m/>
  </r>
  <r>
    <x v="0"/>
    <x v="0"/>
    <x v="446"/>
    <x v="38"/>
    <x v="234"/>
    <s v="059018879-8011"/>
    <n v="0"/>
    <n v="4.51"/>
    <n v="50"/>
    <n v="225.5"/>
    <x v="426"/>
    <n v="19"/>
    <n v="2024"/>
    <n v="0"/>
    <x v="61"/>
    <n v="0"/>
    <m/>
    <s v="approved"/>
    <n v="42"/>
    <s v="no"/>
    <m/>
    <m/>
    <m/>
    <m/>
    <m/>
    <n v="241701"/>
    <x v="0"/>
    <x v="60"/>
    <x v="1689"/>
    <n v="36635667"/>
    <s v="TK.KWVE30-B-A-H-0038-WW1"/>
    <n v="50"/>
    <n v="225.5"/>
    <m/>
    <m/>
    <s v="20240517-09.05.2024"/>
    <x v="0"/>
    <x v="2"/>
    <x v="1"/>
    <m/>
  </r>
  <r>
    <x v="0"/>
    <x v="0"/>
    <x v="447"/>
    <x v="38"/>
    <x v="234"/>
    <s v="059018879-8011"/>
    <n v="0"/>
    <n v="4.51"/>
    <n v="50"/>
    <n v="225.5"/>
    <x v="452"/>
    <n v="20"/>
    <n v="2024"/>
    <n v="0"/>
    <x v="61"/>
    <n v="0"/>
    <m/>
    <s v="approved"/>
    <n v="42"/>
    <s v="no"/>
    <m/>
    <m/>
    <m/>
    <m/>
    <m/>
    <n v="241701"/>
    <x v="0"/>
    <x v="60"/>
    <x v="1690"/>
    <n v="36635674"/>
    <s v="TK.KWVE30-B-A-H-0038-WW1"/>
    <n v="50"/>
    <n v="225.5"/>
    <m/>
    <m/>
    <s v="20240518-09.05.2024"/>
    <x v="0"/>
    <x v="2"/>
    <x v="1"/>
    <m/>
  </r>
  <r>
    <x v="0"/>
    <x v="0"/>
    <x v="448"/>
    <x v="38"/>
    <x v="234"/>
    <s v="059018879-8011"/>
    <n v="0"/>
    <n v="4.51"/>
    <n v="50"/>
    <n v="225.5"/>
    <x v="453"/>
    <n v="20"/>
    <n v="2024"/>
    <n v="0"/>
    <x v="61"/>
    <n v="0"/>
    <m/>
    <s v="approved"/>
    <n v="42"/>
    <s v="no"/>
    <m/>
    <m/>
    <m/>
    <m/>
    <m/>
    <n v="241701"/>
    <x v="0"/>
    <x v="60"/>
    <x v="1691"/>
    <n v="36635676"/>
    <s v="TK.KWVE30-B-A-H-0038-WW1"/>
    <n v="50"/>
    <n v="225.5"/>
    <m/>
    <m/>
    <s v="20240519-09.05.2024"/>
    <x v="0"/>
    <x v="2"/>
    <x v="1"/>
    <m/>
  </r>
  <r>
    <x v="0"/>
    <x v="0"/>
    <x v="449"/>
    <x v="202"/>
    <x v="234"/>
    <s v="059018879-8011"/>
    <n v="0"/>
    <n v="4.51"/>
    <n v="50"/>
    <n v="225.5"/>
    <x v="97"/>
    <n v="21"/>
    <n v="2024"/>
    <n v="0"/>
    <x v="61"/>
    <n v="0"/>
    <m/>
    <s v="approved"/>
    <n v="42"/>
    <s v="no"/>
    <m/>
    <m/>
    <m/>
    <m/>
    <m/>
    <n v="241807"/>
    <x v="0"/>
    <x v="120"/>
    <x v="1692"/>
    <n v="36642257"/>
    <s v="TK.KWVE30-B-A-H-0038-WW1"/>
    <n v="50"/>
    <n v="225.5"/>
    <m/>
    <m/>
    <s v="20240531-14.05.2024"/>
    <x v="0"/>
    <x v="2"/>
    <x v="1"/>
    <m/>
  </r>
  <r>
    <x v="0"/>
    <x v="0"/>
    <x v="450"/>
    <x v="38"/>
    <x v="234"/>
    <s v="059018879-8011"/>
    <n v="0"/>
    <n v="4.51"/>
    <n v="50"/>
    <n v="225.5"/>
    <x v="237"/>
    <n v="21"/>
    <n v="2024"/>
    <n v="0"/>
    <x v="61"/>
    <n v="0"/>
    <m/>
    <s v="approved"/>
    <n v="42"/>
    <s v="no"/>
    <m/>
    <m/>
    <m/>
    <m/>
    <m/>
    <n v="241807"/>
    <x v="0"/>
    <x v="120"/>
    <x v="1693"/>
    <n v="36635679"/>
    <s v="TK.KWVE30-B-A-H-0038-WW1"/>
    <n v="50"/>
    <n v="225.5"/>
    <m/>
    <m/>
    <s v="20240532-14.05.2024"/>
    <x v="0"/>
    <x v="2"/>
    <x v="1"/>
    <m/>
  </r>
  <r>
    <x v="0"/>
    <x v="0"/>
    <x v="451"/>
    <x v="38"/>
    <x v="234"/>
    <s v="059018879-8011"/>
    <n v="0"/>
    <n v="4.51"/>
    <n v="50"/>
    <n v="225.5"/>
    <x v="238"/>
    <n v="22"/>
    <n v="2024"/>
    <n v="0"/>
    <x v="61"/>
    <n v="0"/>
    <m/>
    <s v="approved"/>
    <n v="42"/>
    <s v="no"/>
    <m/>
    <m/>
    <m/>
    <m/>
    <m/>
    <n v="241807"/>
    <x v="0"/>
    <x v="120"/>
    <x v="1694"/>
    <n v="36635684"/>
    <s v="TK.KWVE30-B-A-H-0038-WW1"/>
    <n v="50"/>
    <n v="225.5"/>
    <m/>
    <m/>
    <s v="20240533-14.05.2024"/>
    <x v="0"/>
    <x v="2"/>
    <x v="1"/>
    <m/>
  </r>
  <r>
    <x v="0"/>
    <x v="0"/>
    <x v="452"/>
    <x v="38"/>
    <x v="234"/>
    <s v="059018879-8011"/>
    <n v="0"/>
    <n v="4.51"/>
    <n v="50"/>
    <n v="225.5"/>
    <x v="454"/>
    <n v="22"/>
    <n v="2024"/>
    <n v="0"/>
    <x v="61"/>
    <n v="0"/>
    <m/>
    <s v="approved"/>
    <n v="42"/>
    <s v="no"/>
    <m/>
    <m/>
    <m/>
    <m/>
    <m/>
    <n v="242106"/>
    <x v="0"/>
    <x v="260"/>
    <x v="1695"/>
    <n v="36635691"/>
    <s v="TK.KWVE30-B-A-H-0038-WW1"/>
    <n v="50"/>
    <n v="225.5"/>
    <m/>
    <m/>
    <s v="20240664-07.06.2024"/>
    <x v="1"/>
    <x v="2"/>
    <x v="1"/>
    <m/>
  </r>
  <r>
    <x v="0"/>
    <x v="0"/>
    <x v="453"/>
    <x v="203"/>
    <x v="234"/>
    <s v="059018879-8011"/>
    <n v="0"/>
    <n v="4.51"/>
    <n v="150"/>
    <n v="676.5"/>
    <x v="241"/>
    <n v="27"/>
    <n v="2024"/>
    <n v="0"/>
    <x v="61"/>
    <n v="0"/>
    <m/>
    <s v="approved"/>
    <n v="42"/>
    <s v="no"/>
    <m/>
    <m/>
    <m/>
    <m/>
    <m/>
    <n v="242807"/>
    <x v="0"/>
    <x v="264"/>
    <x v="1696"/>
    <n v="37064281"/>
    <s v="TK.KWVE30-B-A-H-0038-WW1"/>
    <n v="26"/>
    <n v="117.25999999999999"/>
    <m/>
    <m/>
    <s v="20240870-10.07.2024"/>
    <x v="1"/>
    <x v="8"/>
    <x v="1"/>
    <m/>
  </r>
  <r>
    <x v="0"/>
    <x v="0"/>
    <x v="453"/>
    <x v="203"/>
    <x v="234"/>
    <s v="059018879-8011"/>
    <n v="0"/>
    <n v="4.51"/>
    <n v="73"/>
    <n v="329.22999999999996"/>
    <x v="241"/>
    <n v="27"/>
    <n v="2024"/>
    <n v="0"/>
    <x v="61"/>
    <n v="0"/>
    <m/>
    <s v="approved"/>
    <n v="1.5208333333333333"/>
    <m/>
    <m/>
    <m/>
    <m/>
    <m/>
    <m/>
    <m/>
    <x v="0"/>
    <x v="74"/>
    <x v="1697"/>
    <n v="37064281"/>
    <s v="TK.KWVE30-B-A-H-0038-WW1"/>
    <n v="73"/>
    <n v="329.22999999999996"/>
    <m/>
    <m/>
    <s v="20240887-15.07.2024"/>
    <x v="1"/>
    <x v="8"/>
    <x v="1"/>
    <m/>
  </r>
  <r>
    <x v="0"/>
    <x v="0"/>
    <x v="453"/>
    <x v="203"/>
    <x v="234"/>
    <s v="059018879-8011"/>
    <n v="0"/>
    <n v="4.51"/>
    <n v="51"/>
    <n v="230.01"/>
    <x v="241"/>
    <n v="27"/>
    <n v="2024"/>
    <n v="0"/>
    <x v="61"/>
    <n v="0"/>
    <m/>
    <s v="approved"/>
    <n v="1.0625"/>
    <m/>
    <m/>
    <m/>
    <m/>
    <m/>
    <m/>
    <m/>
    <x v="0"/>
    <x v="77"/>
    <x v="1698"/>
    <n v="37064281"/>
    <s v="TK.KWVE30-B-A-H-0038-WW1"/>
    <n v="51"/>
    <n v="230.01"/>
    <m/>
    <m/>
    <s v="20240909-19.07.2024"/>
    <x v="1"/>
    <x v="8"/>
    <x v="1"/>
    <m/>
  </r>
  <r>
    <x v="0"/>
    <x v="0"/>
    <x v="453"/>
    <x v="203"/>
    <x v="234"/>
    <s v="059018879-8011"/>
    <n v="0"/>
    <n v="4.51"/>
    <n v="21"/>
    <n v="94.71"/>
    <x v="101"/>
    <n v="27"/>
    <n v="2024"/>
    <n v="0"/>
    <x v="61"/>
    <n v="0"/>
    <m/>
    <s v="approved"/>
    <n v="42"/>
    <s v="no"/>
    <m/>
    <m/>
    <m/>
    <m/>
    <m/>
    <n v="242807"/>
    <x v="0"/>
    <x v="77"/>
    <x v="1698"/>
    <n v="37064281"/>
    <s v="TK.KWVE30-B-A-H-0038-WW1"/>
    <n v="21"/>
    <n v="94.71"/>
    <m/>
    <m/>
    <s v="20240909-19.07.2024"/>
    <x v="1"/>
    <x v="8"/>
    <x v="1"/>
    <m/>
  </r>
  <r>
    <x v="0"/>
    <x v="0"/>
    <x v="453"/>
    <x v="203"/>
    <x v="234"/>
    <s v="059018879-8011"/>
    <n v="0"/>
    <n v="4.51"/>
    <n v="32"/>
    <n v="144.32"/>
    <x v="101"/>
    <n v="27"/>
    <n v="2024"/>
    <n v="0"/>
    <x v="61"/>
    <n v="0"/>
    <m/>
    <s v="approved"/>
    <n v="0.66666666666666663"/>
    <m/>
    <m/>
    <m/>
    <m/>
    <m/>
    <m/>
    <m/>
    <x v="0"/>
    <x v="78"/>
    <x v="1699"/>
    <n v="37064281"/>
    <s v="TK.KWVE30-B-A-H-0038-WW1"/>
    <n v="32"/>
    <n v="144.32"/>
    <m/>
    <m/>
    <s v="20240922-22.07.2024"/>
    <x v="1"/>
    <x v="8"/>
    <x v="1"/>
    <m/>
  </r>
  <r>
    <x v="0"/>
    <x v="0"/>
    <x v="453"/>
    <x v="203"/>
    <x v="234"/>
    <s v="059018879-8011"/>
    <n v="0"/>
    <n v="4.51"/>
    <n v="97"/>
    <n v="437.46999999999997"/>
    <x v="101"/>
    <n v="27"/>
    <n v="2024"/>
    <n v="0"/>
    <x v="61"/>
    <n v="0"/>
    <m/>
    <s v="approved"/>
    <n v="2.0208333333333335"/>
    <m/>
    <m/>
    <m/>
    <m/>
    <m/>
    <m/>
    <m/>
    <x v="0"/>
    <x v="18"/>
    <x v="1700"/>
    <n v="37064281"/>
    <s v="TK.KWVE30-B-A-H-0038-WW1"/>
    <n v="97"/>
    <n v="437.46999999999997"/>
    <m/>
    <m/>
    <s v="20240925-23.07.2024"/>
    <x v="1"/>
    <x v="8"/>
    <x v="1"/>
    <m/>
  </r>
  <r>
    <x v="0"/>
    <x v="0"/>
    <x v="454"/>
    <x v="203"/>
    <x v="234"/>
    <s v="059018879-8011"/>
    <n v="0"/>
    <n v="4.51"/>
    <n v="90"/>
    <n v="405.9"/>
    <x v="125"/>
    <n v="28"/>
    <n v="2024"/>
    <n v="0"/>
    <x v="61"/>
    <n v="0"/>
    <m/>
    <s v="approved"/>
    <n v="42"/>
    <s v="no"/>
    <m/>
    <m/>
    <m/>
    <m/>
    <m/>
    <m/>
    <x v="0"/>
    <x v="79"/>
    <x v="1701"/>
    <n v="37064287"/>
    <s v="TK.KWVE30-B-A-H-0038-WW1"/>
    <n v="90"/>
    <n v="405.9"/>
    <m/>
    <m/>
    <s v="20240946-24.07.2024"/>
    <x v="1"/>
    <x v="8"/>
    <x v="1"/>
    <m/>
  </r>
  <r>
    <x v="0"/>
    <x v="0"/>
    <x v="454"/>
    <x v="203"/>
    <x v="234"/>
    <s v="059018879-8011"/>
    <n v="0"/>
    <n v="4.51"/>
    <n v="10"/>
    <n v="45.099999999999994"/>
    <x v="125"/>
    <n v="28"/>
    <n v="2024"/>
    <n v="0"/>
    <x v="61"/>
    <n v="0"/>
    <m/>
    <s v="approved"/>
    <n v="0.20833333333333334"/>
    <m/>
    <m/>
    <m/>
    <m/>
    <m/>
    <m/>
    <m/>
    <x v="0"/>
    <x v="80"/>
    <x v="1702"/>
    <n v="37064287"/>
    <s v="TK.KWVE30-B-A-H-0038-WW1"/>
    <n v="10"/>
    <n v="45.099999999999994"/>
    <m/>
    <m/>
    <s v="20240950-25.07.2024"/>
    <x v="1"/>
    <x v="8"/>
    <x v="1"/>
    <m/>
  </r>
  <r>
    <x v="0"/>
    <x v="0"/>
    <x v="454"/>
    <x v="203"/>
    <x v="234"/>
    <s v="059018879-8011"/>
    <n v="0"/>
    <n v="4.51"/>
    <n v="50"/>
    <n v="225.5"/>
    <x v="125"/>
    <n v="28"/>
    <n v="2024"/>
    <n v="0"/>
    <x v="61"/>
    <n v="0"/>
    <m/>
    <s v="approved"/>
    <n v="1.0416666666666667"/>
    <m/>
    <m/>
    <m/>
    <m/>
    <m/>
    <m/>
    <m/>
    <x v="0"/>
    <x v="85"/>
    <x v="1703"/>
    <n v="37064287"/>
    <s v="TK.KWVE30-B-A-H-0038-WW1"/>
    <n v="50"/>
    <n v="225.5"/>
    <m/>
    <m/>
    <s v="20241028-08.08.2024"/>
    <x v="1"/>
    <x v="8"/>
    <x v="1"/>
    <m/>
  </r>
  <r>
    <x v="0"/>
    <x v="0"/>
    <x v="454"/>
    <x v="203"/>
    <x v="234"/>
    <s v="059018879-8011"/>
    <n v="0"/>
    <n v="4.51"/>
    <n v="54"/>
    <n v="243.54"/>
    <x v="102"/>
    <n v="28"/>
    <n v="2024"/>
    <n v="0"/>
    <x v="61"/>
    <n v="0"/>
    <m/>
    <s v="approved"/>
    <n v="42"/>
    <s v="no"/>
    <m/>
    <m/>
    <m/>
    <m/>
    <m/>
    <m/>
    <x v="0"/>
    <x v="80"/>
    <x v="1702"/>
    <n v="37064287"/>
    <s v="TK.KWVE30-B-A-H-0038-WW1"/>
    <n v="54"/>
    <n v="243.54"/>
    <m/>
    <m/>
    <s v="20240950-25.07.2024"/>
    <x v="1"/>
    <x v="8"/>
    <x v="1"/>
    <m/>
  </r>
  <r>
    <x v="0"/>
    <x v="0"/>
    <x v="454"/>
    <x v="203"/>
    <x v="234"/>
    <s v="059018879-8011"/>
    <n v="0"/>
    <n v="4.51"/>
    <n v="96"/>
    <n v="432.96"/>
    <x v="102"/>
    <n v="28"/>
    <n v="2024"/>
    <n v="0"/>
    <x v="61"/>
    <n v="0"/>
    <m/>
    <s v="approved"/>
    <n v="2"/>
    <m/>
    <m/>
    <m/>
    <m/>
    <m/>
    <m/>
    <m/>
    <x v="0"/>
    <x v="81"/>
    <x v="1704"/>
    <n v="37064287"/>
    <s v="TK.KWVE30-B-A-H-0038-WW1"/>
    <n v="96"/>
    <n v="432.96"/>
    <m/>
    <m/>
    <s v="20240966-26.07.2024"/>
    <x v="1"/>
    <x v="8"/>
    <x v="1"/>
    <m/>
  </r>
  <r>
    <x v="0"/>
    <x v="0"/>
    <x v="455"/>
    <x v="203"/>
    <x v="234"/>
    <s v="059018879-8011"/>
    <n v="0"/>
    <n v="4.51"/>
    <n v="48"/>
    <n v="216.48"/>
    <x v="464"/>
    <n v="29"/>
    <n v="2024"/>
    <n v="0"/>
    <x v="61"/>
    <n v="0"/>
    <m/>
    <s v="approved"/>
    <n v="42"/>
    <s v="no"/>
    <m/>
    <m/>
    <m/>
    <m/>
    <m/>
    <m/>
    <x v="0"/>
    <x v="82"/>
    <x v="1705"/>
    <n v="37064295"/>
    <s v="TK.KWVE30-B-A-H-0038-WW1"/>
    <n v="48"/>
    <n v="216.48"/>
    <m/>
    <m/>
    <s v="20241011-06.08.2024"/>
    <x v="1"/>
    <x v="8"/>
    <x v="1"/>
    <m/>
  </r>
  <r>
    <x v="0"/>
    <x v="0"/>
    <x v="455"/>
    <x v="203"/>
    <x v="234"/>
    <s v="059018879-8011"/>
    <n v="0"/>
    <n v="4.51"/>
    <n v="27"/>
    <n v="121.77"/>
    <x v="464"/>
    <n v="29"/>
    <n v="2024"/>
    <n v="0"/>
    <x v="61"/>
    <n v="0"/>
    <m/>
    <s v="approved"/>
    <n v="0.5625"/>
    <m/>
    <m/>
    <m/>
    <m/>
    <m/>
    <m/>
    <m/>
    <x v="0"/>
    <x v="83"/>
    <x v="1706"/>
    <n v="37064295"/>
    <s v="TK.KWVE30-B-A-H-0038-WW1"/>
    <n v="27"/>
    <n v="121.77"/>
    <m/>
    <m/>
    <s v="20240972-30.07.2024"/>
    <x v="1"/>
    <x v="8"/>
    <x v="1"/>
    <m/>
  </r>
  <r>
    <x v="0"/>
    <x v="0"/>
    <x v="455"/>
    <x v="203"/>
    <x v="234"/>
    <s v="059018879-8011"/>
    <n v="0"/>
    <n v="4.51"/>
    <n v="75"/>
    <n v="338.25"/>
    <x v="489"/>
    <n v="29"/>
    <n v="2024"/>
    <n v="0"/>
    <x v="61"/>
    <n v="0"/>
    <m/>
    <s v="approved"/>
    <n v="42"/>
    <s v="no"/>
    <m/>
    <m/>
    <m/>
    <m/>
    <m/>
    <m/>
    <x v="0"/>
    <x v="83"/>
    <x v="1706"/>
    <n v="37064295"/>
    <s v="TK.KWVE30-B-A-H-0038-WW1"/>
    <n v="75"/>
    <n v="338.25"/>
    <m/>
    <m/>
    <s v="20240972-30.07.2024"/>
    <x v="1"/>
    <x v="8"/>
    <x v="1"/>
    <m/>
  </r>
  <r>
    <x v="0"/>
    <x v="0"/>
    <x v="456"/>
    <x v="198"/>
    <x v="234"/>
    <s v="059018879-8011"/>
    <n v="0"/>
    <n v="4.51"/>
    <n v="7"/>
    <n v="31.57"/>
    <x v="104"/>
    <n v="32"/>
    <n v="2024"/>
    <n v="0"/>
    <x v="61"/>
    <n v="0"/>
    <m/>
    <s v="approved"/>
    <n v="42"/>
    <s v="no"/>
    <m/>
    <m/>
    <m/>
    <m/>
    <m/>
    <m/>
    <x v="0"/>
    <x v="83"/>
    <x v="1707"/>
    <n v="37327725"/>
    <s v="TK.KWVE30-B-A-H-0038-WW1"/>
    <n v="7"/>
    <n v="31.57"/>
    <m/>
    <m/>
    <s v="20240990-05.08.2024"/>
    <x v="0"/>
    <x v="9"/>
    <x v="1"/>
    <m/>
  </r>
  <r>
    <x v="0"/>
    <x v="0"/>
    <x v="456"/>
    <x v="198"/>
    <x v="234"/>
    <s v="059018879-8011"/>
    <n v="0"/>
    <n v="4.51"/>
    <n v="94"/>
    <n v="423.94"/>
    <x v="104"/>
    <n v="32"/>
    <n v="2024"/>
    <n v="0"/>
    <x v="61"/>
    <n v="0"/>
    <m/>
    <s v="approved"/>
    <n v="1.9583333333333333"/>
    <m/>
    <m/>
    <m/>
    <m/>
    <m/>
    <m/>
    <m/>
    <x v="0"/>
    <x v="10"/>
    <x v="1708"/>
    <n v="37327725"/>
    <s v="TK.KWVE30-B-A-H-0038-WW1"/>
    <n v="94"/>
    <n v="423.94"/>
    <m/>
    <m/>
    <s v="20240975-02.08.2024"/>
    <x v="0"/>
    <x v="9"/>
    <x v="1"/>
    <m/>
  </r>
  <r>
    <x v="0"/>
    <x v="0"/>
    <x v="456"/>
    <x v="198"/>
    <x v="234"/>
    <s v="059018879-8011"/>
    <n v="0"/>
    <n v="4.51"/>
    <n v="23"/>
    <n v="103.72999999999999"/>
    <x v="104"/>
    <n v="32"/>
    <n v="2024"/>
    <n v="0"/>
    <x v="61"/>
    <n v="0"/>
    <m/>
    <s v="approved"/>
    <n v="0.47916666666666669"/>
    <m/>
    <m/>
    <m/>
    <m/>
    <m/>
    <m/>
    <m/>
    <x v="0"/>
    <x v="85"/>
    <x v="1709"/>
    <n v="37327725"/>
    <s v="TK.KWVE30-B-A-H-0038-WW1"/>
    <n v="23"/>
    <n v="103.72999999999999"/>
    <m/>
    <m/>
    <s v="20241029-08.08.2024"/>
    <x v="0"/>
    <x v="9"/>
    <x v="1"/>
    <m/>
  </r>
  <r>
    <x v="0"/>
    <x v="0"/>
    <x v="456"/>
    <x v="198"/>
    <x v="234"/>
    <s v="059018879-8011"/>
    <n v="0"/>
    <n v="4.51"/>
    <n v="57"/>
    <n v="257.07"/>
    <x v="104"/>
    <n v="32"/>
    <n v="2024"/>
    <n v="0"/>
    <x v="61"/>
    <n v="0"/>
    <m/>
    <s v="approved"/>
    <n v="1.1875"/>
    <m/>
    <m/>
    <m/>
    <m/>
    <m/>
    <m/>
    <m/>
    <x v="0"/>
    <x v="86"/>
    <x v="1710"/>
    <n v="37327725"/>
    <s v="TK.KWVE30-B-A-H-0038-WW1"/>
    <n v="57"/>
    <n v="257.07"/>
    <m/>
    <m/>
    <s v="20241040-09.08.2024"/>
    <x v="1"/>
    <x v="9"/>
    <x v="1"/>
    <m/>
  </r>
  <r>
    <x v="0"/>
    <x v="0"/>
    <x v="456"/>
    <x v="198"/>
    <x v="234"/>
    <s v="059018879-8011"/>
    <n v="0"/>
    <n v="4.51"/>
    <n v="19"/>
    <n v="85.69"/>
    <x v="104"/>
    <n v="32"/>
    <n v="2024"/>
    <n v="0"/>
    <x v="61"/>
    <n v="0"/>
    <m/>
    <s v="approved"/>
    <n v="0.39583333333333331"/>
    <m/>
    <m/>
    <m/>
    <m/>
    <m/>
    <m/>
    <m/>
    <x v="0"/>
    <x v="87"/>
    <x v="1711"/>
    <n v="37327725"/>
    <s v="TK.KWVE30-B-A-H-0038-WW1"/>
    <n v="19"/>
    <n v="85.69"/>
    <m/>
    <m/>
    <s v="20241070-19.08.2024"/>
    <x v="1"/>
    <x v="9"/>
    <x v="1"/>
    <m/>
  </r>
  <r>
    <x v="0"/>
    <x v="0"/>
    <x v="457"/>
    <x v="198"/>
    <x v="234"/>
    <s v="059018879-8011"/>
    <n v="0"/>
    <n v="4.51"/>
    <n v="100"/>
    <n v="451"/>
    <x v="105"/>
    <n v="33"/>
    <n v="2024"/>
    <n v="0"/>
    <x v="61"/>
    <n v="0"/>
    <m/>
    <s v="approved"/>
    <n v="42"/>
    <s v="no"/>
    <m/>
    <m/>
    <m/>
    <m/>
    <m/>
    <m/>
    <x v="0"/>
    <x v="87"/>
    <x v="1712"/>
    <n v="37327727"/>
    <s v="TK.KWVE30-B-A-H-0038-WW1"/>
    <n v="100"/>
    <n v="451"/>
    <m/>
    <m/>
    <s v="20241071-19.08.2024"/>
    <x v="1"/>
    <x v="9"/>
    <x v="1"/>
    <m/>
  </r>
  <r>
    <x v="0"/>
    <x v="0"/>
    <x v="458"/>
    <x v="198"/>
    <x v="234"/>
    <s v="059018879-8011"/>
    <n v="0"/>
    <n v="4.51"/>
    <n v="100"/>
    <n v="451"/>
    <x v="219"/>
    <n v="34"/>
    <n v="2024"/>
    <n v="0"/>
    <x v="61"/>
    <n v="0"/>
    <m/>
    <s v="approved"/>
    <n v="42"/>
    <s v="no"/>
    <m/>
    <m/>
    <m/>
    <m/>
    <m/>
    <m/>
    <x v="0"/>
    <x v="87"/>
    <x v="1713"/>
    <n v="37327729"/>
    <s v="TK.KWVE30-B-A-H-0038-WW1"/>
    <n v="100"/>
    <n v="451"/>
    <m/>
    <m/>
    <s v="20241072-19.08.2024"/>
    <x v="0"/>
    <x v="9"/>
    <x v="1"/>
    <m/>
  </r>
  <r>
    <x v="0"/>
    <x v="0"/>
    <x v="459"/>
    <x v="198"/>
    <x v="234"/>
    <s v="059018879-8011"/>
    <n v="0"/>
    <n v="4.51"/>
    <n v="100"/>
    <n v="451"/>
    <x v="455"/>
    <n v="35"/>
    <n v="2024"/>
    <n v="0"/>
    <x v="61"/>
    <n v="0"/>
    <m/>
    <s v="approved"/>
    <n v="42"/>
    <s v="no"/>
    <m/>
    <m/>
    <m/>
    <m/>
    <m/>
    <m/>
    <x v="0"/>
    <x v="87"/>
    <x v="1714"/>
    <n v="37327732"/>
    <s v="TK.KWVE30-B-A-H-0038-WW1"/>
    <n v="100"/>
    <n v="451"/>
    <m/>
    <m/>
    <s v="20241074-19.08.2024"/>
    <x v="0"/>
    <x v="9"/>
    <x v="1"/>
    <m/>
  </r>
  <r>
    <x v="0"/>
    <x v="0"/>
    <x v="460"/>
    <x v="12"/>
    <x v="234"/>
    <s v="059018879-8011"/>
    <n v="0"/>
    <n v="4.51"/>
    <n v="200"/>
    <n v="902"/>
    <x v="107"/>
    <n v="40"/>
    <n v="2024"/>
    <n v="0"/>
    <x v="61"/>
    <n v="0"/>
    <m/>
    <s v="approved"/>
    <n v="42"/>
    <s v="no"/>
    <m/>
    <m/>
    <m/>
    <m/>
    <m/>
    <m/>
    <x v="0"/>
    <x v="88"/>
    <x v="1715"/>
    <n v="37672581"/>
    <s v="TK.KWVE30-B-A-H-0038-WW1"/>
    <n v="200"/>
    <n v="902"/>
    <m/>
    <m/>
    <s v="20241250-30.09.2024"/>
    <x v="0"/>
    <x v="11"/>
    <x v="1"/>
    <m/>
  </r>
  <r>
    <x v="0"/>
    <x v="0"/>
    <x v="461"/>
    <x v="12"/>
    <x v="234"/>
    <s v="059018879-8011"/>
    <n v="0"/>
    <n v="4.51"/>
    <n v="92"/>
    <n v="414.91999999999996"/>
    <x v="108"/>
    <n v="41"/>
    <n v="2024"/>
    <n v="0"/>
    <x v="61"/>
    <n v="0"/>
    <m/>
    <s v="approved"/>
    <n v="42"/>
    <s v="no"/>
    <m/>
    <m/>
    <m/>
    <m/>
    <m/>
    <m/>
    <x v="0"/>
    <x v="88"/>
    <x v="1716"/>
    <n v="37672583"/>
    <s v="TK.KWVE30-B-A-H-0038-WW1"/>
    <n v="92"/>
    <n v="414.91999999999996"/>
    <m/>
    <m/>
    <s v="20241251-30.09.2024"/>
    <x v="0"/>
    <x v="11"/>
    <x v="1"/>
    <m/>
  </r>
  <r>
    <x v="0"/>
    <x v="0"/>
    <x v="461"/>
    <x v="12"/>
    <x v="234"/>
    <s v="059018879-8011"/>
    <n v="0"/>
    <n v="4.51"/>
    <n v="107"/>
    <n v="482.57"/>
    <x v="108"/>
    <n v="41"/>
    <n v="2024"/>
    <n v="0"/>
    <x v="61"/>
    <n v="0"/>
    <m/>
    <s v="approved"/>
    <n v="2.2291666666666665"/>
    <s v="no"/>
    <m/>
    <m/>
    <m/>
    <m/>
    <m/>
    <m/>
    <x v="0"/>
    <x v="354"/>
    <x v="1717"/>
    <n v="37672583"/>
    <s v="TK.KWVE30-B-A-H-0038-WW1"/>
    <n v="107"/>
    <n v="482.57"/>
    <m/>
    <m/>
    <s v="20241277-08.10.2024/20241553-16.12.2024"/>
    <x v="0"/>
    <x v="11"/>
    <x v="1"/>
    <m/>
  </r>
  <r>
    <x v="0"/>
    <x v="0"/>
    <x v="462"/>
    <x v="12"/>
    <x v="234"/>
    <s v="059018879-8011"/>
    <n v="0"/>
    <n v="4.51"/>
    <n v="50"/>
    <n v="225.5"/>
    <x v="245"/>
    <n v="42"/>
    <n v="2024"/>
    <n v="0"/>
    <x v="61"/>
    <n v="0"/>
    <m/>
    <s v="approved"/>
    <n v="42"/>
    <s v="no"/>
    <m/>
    <m/>
    <m/>
    <m/>
    <m/>
    <m/>
    <x v="0"/>
    <x v="354"/>
    <x v="1718"/>
    <n v="37672584"/>
    <s v="TK.KWVE30-B-A-H-0038-WW1"/>
    <n v="50"/>
    <n v="225.5"/>
    <m/>
    <m/>
    <s v="20241276-08.10.2024"/>
    <x v="0"/>
    <x v="11"/>
    <x v="1"/>
    <m/>
  </r>
  <r>
    <x v="0"/>
    <x v="0"/>
    <x v="463"/>
    <x v="12"/>
    <x v="234"/>
    <s v="059018879-8011"/>
    <n v="0"/>
    <n v="4.51"/>
    <n v="50"/>
    <n v="225.5"/>
    <x v="246"/>
    <n v="43"/>
    <n v="2024"/>
    <n v="0"/>
    <x v="61"/>
    <n v="0"/>
    <m/>
    <s v="approved"/>
    <n v="42"/>
    <s v="no"/>
    <m/>
    <m/>
    <m/>
    <m/>
    <m/>
    <m/>
    <x v="0"/>
    <x v="354"/>
    <x v="1719"/>
    <n v="37672585"/>
    <s v="TK.KWVE30-B-A-H-0038-WW1"/>
    <n v="50"/>
    <n v="225.5"/>
    <m/>
    <m/>
    <s v="20241275-08.10.2024"/>
    <x v="0"/>
    <x v="11"/>
    <x v="1"/>
    <m/>
  </r>
  <r>
    <x v="0"/>
    <x v="0"/>
    <x v="464"/>
    <x v="12"/>
    <x v="234"/>
    <s v="059018879-8011"/>
    <n v="0"/>
    <n v="4.51"/>
    <n v="56"/>
    <n v="252.56"/>
    <x v="23"/>
    <n v="44"/>
    <n v="2024"/>
    <n v="0"/>
    <x v="61"/>
    <n v="0"/>
    <m/>
    <s v="approved"/>
    <n v="42"/>
    <s v="no"/>
    <m/>
    <m/>
    <m/>
    <m/>
    <m/>
    <m/>
    <x v="0"/>
    <x v="354"/>
    <x v="1720"/>
    <n v="37672592"/>
    <s v="TK.KWVE30-B-A-H-0038-WW1"/>
    <n v="56"/>
    <n v="252.56"/>
    <m/>
    <m/>
    <s v="20241274-08.10.2024"/>
    <x v="0"/>
    <x v="11"/>
    <x v="1"/>
    <m/>
  </r>
  <r>
    <x v="0"/>
    <x v="0"/>
    <x v="465"/>
    <x v="43"/>
    <x v="234"/>
    <s v="059018879-8011"/>
    <n v="0"/>
    <n v="4.51"/>
    <n v="174"/>
    <n v="784.74"/>
    <x v="109"/>
    <n v="45"/>
    <n v="2024"/>
    <n v="0"/>
    <x v="61"/>
    <n v="0"/>
    <m/>
    <s v="approved"/>
    <n v="42"/>
    <s v="no"/>
    <m/>
    <m/>
    <m/>
    <m/>
    <m/>
    <m/>
    <x v="0"/>
    <x v="267"/>
    <x v="1721"/>
    <n v="37871639"/>
    <s v="TK.KWVE30-B-A-H-0038-WW1"/>
    <n v="174"/>
    <n v="784.74"/>
    <m/>
    <m/>
    <s v="20241345-25.10.2024"/>
    <x v="0"/>
    <x v="4"/>
    <x v="1"/>
    <m/>
  </r>
  <r>
    <x v="0"/>
    <x v="0"/>
    <x v="465"/>
    <x v="204"/>
    <x v="234"/>
    <s v="059018879-8011"/>
    <n v="0"/>
    <n v="4.51"/>
    <n v="20"/>
    <n v="90.199999999999989"/>
    <x v="109"/>
    <n v="45"/>
    <n v="2024"/>
    <n v="0"/>
    <x v="61"/>
    <n v="0"/>
    <m/>
    <s v="approved"/>
    <n v="42"/>
    <s v="no"/>
    <m/>
    <m/>
    <m/>
    <m/>
    <m/>
    <m/>
    <x v="0"/>
    <x v="269"/>
    <x v="1722"/>
    <n v="37871639"/>
    <s v="TK.KWVE30-B-A-H-0038-WW1"/>
    <n v="20"/>
    <n v="90.199999999999989"/>
    <m/>
    <m/>
    <s v="20241432-12.11.2024"/>
    <x v="1"/>
    <x v="4"/>
    <x v="1"/>
    <m/>
  </r>
  <r>
    <x v="0"/>
    <x v="0"/>
    <x v="466"/>
    <x v="199"/>
    <x v="234"/>
    <s v="059018879-8011"/>
    <n v="0"/>
    <n v="4.51"/>
    <n v="300"/>
    <n v="1353"/>
    <x v="468"/>
    <n v="49"/>
    <n v="2024"/>
    <n v="0"/>
    <x v="61"/>
    <n v="0"/>
    <m/>
    <s v="approved"/>
    <n v="42"/>
    <s v="no"/>
    <m/>
    <m/>
    <m/>
    <m/>
    <m/>
    <m/>
    <x v="0"/>
    <x v="309"/>
    <x v="1723"/>
    <n v="38036655"/>
    <s v="TK.KWVE30-B-A-H-0038-WW1"/>
    <n v="300"/>
    <n v="1353"/>
    <m/>
    <m/>
    <s v="20241591-18.12.2024"/>
    <x v="1"/>
    <x v="3"/>
    <x v="1"/>
    <m/>
  </r>
  <r>
    <x v="0"/>
    <x v="0"/>
    <x v="466"/>
    <x v="199"/>
    <x v="234"/>
    <s v="059018879-8011"/>
    <n v="0"/>
    <n v="4.51"/>
    <n v="57"/>
    <n v="257.07"/>
    <x v="250"/>
    <n v="50"/>
    <n v="2024"/>
    <n v="0"/>
    <x v="61"/>
    <n v="0"/>
    <m/>
    <s v="approved"/>
    <n v="42"/>
    <s v="no"/>
    <m/>
    <m/>
    <m/>
    <m/>
    <m/>
    <m/>
    <x v="0"/>
    <x v="309"/>
    <x v="1723"/>
    <n v="38036655"/>
    <s v="TK.KWVE30-B-A-H-0038-WW1"/>
    <n v="57"/>
    <n v="257.07"/>
    <m/>
    <m/>
    <s v="20241591-18.12.2024"/>
    <x v="1"/>
    <x v="3"/>
    <x v="1"/>
    <m/>
  </r>
  <r>
    <x v="0"/>
    <x v="0"/>
    <x v="466"/>
    <x v="199"/>
    <x v="234"/>
    <s v="059018879-8011"/>
    <n v="0"/>
    <n v="4.51"/>
    <n v="192"/>
    <n v="865.92"/>
    <x v="250"/>
    <n v="50"/>
    <n v="2024"/>
    <n v="0"/>
    <x v="61"/>
    <n v="0"/>
    <m/>
    <s v="approved"/>
    <n v="42"/>
    <s v="no"/>
    <m/>
    <m/>
    <m/>
    <m/>
    <m/>
    <m/>
    <x v="0"/>
    <x v="375"/>
    <x v="1724"/>
    <n v="38036655"/>
    <s v="TK.KWVE30-B-A-H-0038-WW1"/>
    <n v="192"/>
    <n v="865.92"/>
    <m/>
    <m/>
    <s v="20241592-19.12.2024"/>
    <x v="1"/>
    <x v="3"/>
    <x v="1"/>
    <m/>
  </r>
  <r>
    <x v="0"/>
    <x v="0"/>
    <x v="466"/>
    <x v="199"/>
    <x v="234"/>
    <s v="059018879-8011"/>
    <n v="0"/>
    <n v="4.51"/>
    <n v="51"/>
    <n v="230.01"/>
    <x v="250"/>
    <n v="50"/>
    <n v="2024"/>
    <n v="0"/>
    <x v="61"/>
    <n v="0"/>
    <m/>
    <s v="approved"/>
    <n v="42"/>
    <s v="no"/>
    <m/>
    <m/>
    <m/>
    <m/>
    <m/>
    <m/>
    <x v="0"/>
    <x v="272"/>
    <x v="1725"/>
    <n v="38036655"/>
    <s v="TK.KWVE30-B-A-H-0038-WW1"/>
    <n v="51"/>
    <n v="230.01"/>
    <m/>
    <m/>
    <s v="20250026-14.01.2025"/>
    <x v="1"/>
    <x v="3"/>
    <x v="1"/>
    <m/>
  </r>
  <r>
    <x v="0"/>
    <x v="0"/>
    <x v="467"/>
    <x v="136"/>
    <x v="234"/>
    <s v="059018879-8011"/>
    <n v="0"/>
    <n v="4.51"/>
    <n v="100"/>
    <n v="451"/>
    <x v="251"/>
    <n v="2"/>
    <n v="2025"/>
    <n v="0"/>
    <x v="61"/>
    <n v="0"/>
    <m/>
    <s v="approved"/>
    <n v="42"/>
    <s v="no"/>
    <m/>
    <m/>
    <m/>
    <m/>
    <m/>
    <m/>
    <x v="0"/>
    <x v="272"/>
    <x v="1726"/>
    <n v="38215973"/>
    <s v="TK.KWVE30-B-A-H-0038-WW1"/>
    <n v="100"/>
    <n v="451"/>
    <m/>
    <m/>
    <s v="20250027-14.01.2025"/>
    <x v="1"/>
    <x v="6"/>
    <x v="0"/>
    <m/>
  </r>
  <r>
    <x v="0"/>
    <x v="0"/>
    <x v="468"/>
    <x v="137"/>
    <x v="234"/>
    <s v="059018879-8011"/>
    <n v="0"/>
    <n v="4.51"/>
    <n v="85"/>
    <n v="1127.5"/>
    <x v="253"/>
    <n v="4"/>
    <n v="2025"/>
    <n v="0"/>
    <x v="61"/>
    <n v="0"/>
    <m/>
    <s v="approved"/>
    <n v="42"/>
    <s v="no"/>
    <m/>
    <m/>
    <m/>
    <m/>
    <m/>
    <m/>
    <x v="0"/>
    <x v="248"/>
    <x v="1727"/>
    <n v="38397720"/>
    <s v="TK.KWVE30-B-A-H-0038-WW1"/>
    <n v="85"/>
    <n v="383.34999999999997"/>
    <m/>
    <m/>
    <s v="20250061-21.01.2025"/>
    <x v="0"/>
    <x v="6"/>
    <x v="0"/>
    <m/>
  </r>
  <r>
    <x v="0"/>
    <x v="0"/>
    <x v="468"/>
    <x v="137"/>
    <x v="234"/>
    <s v="059018879-8011"/>
    <n v="0"/>
    <n v="4.51"/>
    <n v="165"/>
    <n v="744.15"/>
    <x v="253"/>
    <n v="4"/>
    <n v="2025"/>
    <n v="0"/>
    <x v="61"/>
    <n v="0"/>
    <m/>
    <s v="approved"/>
    <n v="42"/>
    <s v="no"/>
    <m/>
    <m/>
    <m/>
    <m/>
    <m/>
    <m/>
    <x v="0"/>
    <x v="42"/>
    <x v="1728"/>
    <n v="38397720"/>
    <s v="TK.KWVE30-B-A-H-0038-WW1"/>
    <n v="165"/>
    <n v="744.15"/>
    <m/>
    <m/>
    <s v="20250123-07.02.2025"/>
    <x v="1"/>
    <x v="6"/>
    <x v="0"/>
    <m/>
  </r>
  <r>
    <x v="0"/>
    <x v="0"/>
    <x v="469"/>
    <x v="195"/>
    <x v="234"/>
    <s v="059018879-8011"/>
    <n v="0"/>
    <n v="4.51"/>
    <n v="105"/>
    <n v="473.54999999999995"/>
    <x v="457"/>
    <n v="6"/>
    <n v="2025"/>
    <n v="0"/>
    <x v="61"/>
    <n v="0"/>
    <m/>
    <s v="approved"/>
    <n v="42"/>
    <s v="no"/>
    <m/>
    <m/>
    <m/>
    <m/>
    <m/>
    <m/>
    <x v="0"/>
    <x v="42"/>
    <x v="1729"/>
    <n v="38474493"/>
    <s v="TK.KWVE30-B-A-H-0038-WW1"/>
    <n v="105"/>
    <n v="473.54999999999995"/>
    <m/>
    <m/>
    <s v="20250124-07.02.2025"/>
    <x v="0"/>
    <x v="7"/>
    <x v="0"/>
    <m/>
  </r>
  <r>
    <x v="0"/>
    <x v="0"/>
    <x v="469"/>
    <x v="195"/>
    <x v="234"/>
    <s v="059018879-8011"/>
    <n v="0"/>
    <n v="4.51"/>
    <n v="145"/>
    <n v="653.94999999999993"/>
    <x v="457"/>
    <n v="6"/>
    <n v="2025"/>
    <n v="0"/>
    <x v="61"/>
    <n v="0"/>
    <m/>
    <s v="approved"/>
    <n v="42"/>
    <s v="no"/>
    <m/>
    <m/>
    <m/>
    <m/>
    <s v="Yes"/>
    <m/>
    <x v="0"/>
    <x v="249"/>
    <x v="1730"/>
    <n v="38474493"/>
    <s v="TK.KWVE30-B-A-H-0038-WW1"/>
    <n v="145"/>
    <n v="653.94999999999993"/>
    <m/>
    <m/>
    <s v="20250126-07.02.2025"/>
    <x v="0"/>
    <x v="7"/>
    <x v="0"/>
    <m/>
  </r>
  <r>
    <x v="0"/>
    <x v="0"/>
    <x v="469"/>
    <x v="195"/>
    <x v="234"/>
    <s v="059018879-8011"/>
    <n v="0"/>
    <n v="4.51"/>
    <n v="44"/>
    <n v="198.44"/>
    <x v="56"/>
    <n v="7"/>
    <n v="2025"/>
    <n v="0"/>
    <x v="61"/>
    <n v="0"/>
    <m/>
    <s v="approved"/>
    <n v="42"/>
    <s v="no"/>
    <m/>
    <m/>
    <m/>
    <m/>
    <s v="Yes"/>
    <m/>
    <x v="0"/>
    <x v="249"/>
    <x v="1730"/>
    <n v="38474493"/>
    <s v="TK.KWVE30-B-A-H-0038-WW1"/>
    <n v="44"/>
    <n v="198.44"/>
    <m/>
    <m/>
    <m/>
    <x v="0"/>
    <x v="7"/>
    <x v="0"/>
    <m/>
  </r>
  <r>
    <x v="0"/>
    <x v="0"/>
    <x v="469"/>
    <x v="195"/>
    <x v="234"/>
    <s v="059018879-8011"/>
    <n v="0"/>
    <n v="4.51"/>
    <n v="160"/>
    <n v="721.59999999999991"/>
    <x v="56"/>
    <n v="7"/>
    <n v="2025"/>
    <n v="0"/>
    <x v="61"/>
    <n v="0"/>
    <m/>
    <s v="approved"/>
    <n v="42"/>
    <s v="no"/>
    <m/>
    <m/>
    <m/>
    <m/>
    <s v="Yes"/>
    <m/>
    <x v="0"/>
    <x v="273"/>
    <x v="1731"/>
    <n v="38474493"/>
    <s v="TK.KWVE30-B-A-H-0038-WW1"/>
    <n v="160"/>
    <n v="721.59999999999991"/>
    <m/>
    <m/>
    <s v="20250148-11.02.2025"/>
    <x v="0"/>
    <x v="7"/>
    <x v="0"/>
    <m/>
  </r>
  <r>
    <x v="0"/>
    <x v="0"/>
    <x v="469"/>
    <x v="195"/>
    <x v="234"/>
    <s v="059018879-8011"/>
    <n v="0"/>
    <n v="4.51"/>
    <n v="46"/>
    <n v="207.45999999999998"/>
    <x v="56"/>
    <n v="7"/>
    <n v="2025"/>
    <n v="0"/>
    <x v="61"/>
    <n v="0"/>
    <m/>
    <s v="approved"/>
    <n v="42"/>
    <s v="no"/>
    <m/>
    <m/>
    <m/>
    <m/>
    <s v="Yes"/>
    <m/>
    <x v="0"/>
    <x v="243"/>
    <x v="1732"/>
    <n v="38474493"/>
    <s v="TK.KWVE30-B-A-H-0038-WW1"/>
    <n v="46"/>
    <n v="207.45999999999998"/>
    <m/>
    <m/>
    <s v="20250164-17.02.2025"/>
    <x v="1"/>
    <x v="7"/>
    <x v="0"/>
    <m/>
  </r>
  <r>
    <x v="0"/>
    <x v="0"/>
    <x v="469"/>
    <x v="195"/>
    <x v="234"/>
    <s v="059018879-8011"/>
    <n v="0"/>
    <n v="4.51"/>
    <n v="49"/>
    <n v="220.98999999999998"/>
    <x v="195"/>
    <n v="8"/>
    <n v="2025"/>
    <n v="0"/>
    <x v="61"/>
    <n v="0"/>
    <m/>
    <s v="approved"/>
    <n v="42"/>
    <s v="no"/>
    <m/>
    <m/>
    <m/>
    <m/>
    <s v="Yes"/>
    <m/>
    <x v="0"/>
    <x v="243"/>
    <x v="1732"/>
    <n v="38474493"/>
    <s v="TK.KWVE30-B-A-H-0038-WW1"/>
    <n v="49"/>
    <n v="220.98999999999998"/>
    <m/>
    <m/>
    <s v="20250164-17.02.2025"/>
    <x v="0"/>
    <x v="7"/>
    <x v="0"/>
    <m/>
  </r>
  <r>
    <x v="0"/>
    <x v="0"/>
    <x v="469"/>
    <x v="195"/>
    <x v="234"/>
    <s v="059018879-8011"/>
    <n v="0"/>
    <n v="4.51"/>
    <n v="172"/>
    <n v="775.71999999999991"/>
    <x v="195"/>
    <n v="8"/>
    <n v="2025"/>
    <n v="0"/>
    <x v="61"/>
    <n v="0"/>
    <m/>
    <s v="approved"/>
    <n v="42"/>
    <s v="no"/>
    <m/>
    <m/>
    <m/>
    <m/>
    <m/>
    <m/>
    <x v="0"/>
    <x v="238"/>
    <x v="1733"/>
    <n v="38474493"/>
    <s v="TK.KWVE30-B-A-H-0038-WW1"/>
    <n v="172"/>
    <n v="775.71999999999991"/>
    <m/>
    <m/>
    <s v="20250188-19.02.2025"/>
    <x v="0"/>
    <x v="7"/>
    <x v="0"/>
    <m/>
  </r>
  <r>
    <x v="0"/>
    <x v="0"/>
    <x v="469"/>
    <x v="195"/>
    <x v="234"/>
    <s v="059018879-8011"/>
    <n v="0"/>
    <n v="4.51"/>
    <n v="29"/>
    <n v="130.79"/>
    <x v="195"/>
    <n v="8"/>
    <n v="2025"/>
    <n v="0"/>
    <x v="61"/>
    <n v="0"/>
    <m/>
    <s v="approved"/>
    <n v="42"/>
    <s v="no"/>
    <m/>
    <m/>
    <m/>
    <m/>
    <s v="Yes"/>
    <m/>
    <x v="0"/>
    <x v="364"/>
    <x v="1734"/>
    <n v="38474493"/>
    <s v="TK.KWVE30-B-A-H-0038-WW1"/>
    <n v="29"/>
    <n v="130.79"/>
    <m/>
    <m/>
    <s v="20250198-20.02.2025"/>
    <x v="0"/>
    <x v="7"/>
    <x v="0"/>
    <m/>
  </r>
  <r>
    <x v="0"/>
    <x v="0"/>
    <x v="469"/>
    <x v="195"/>
    <x v="234"/>
    <s v="059018879-8011"/>
    <n v="0"/>
    <n v="4.51"/>
    <n v="163"/>
    <n v="735.13"/>
    <x v="163"/>
    <n v="9"/>
    <n v="2025"/>
    <n v="0"/>
    <x v="61"/>
    <n v="0"/>
    <m/>
    <s v="approved"/>
    <n v="42"/>
    <s v="no"/>
    <m/>
    <m/>
    <m/>
    <m/>
    <m/>
    <m/>
    <x v="0"/>
    <x v="364"/>
    <x v="1734"/>
    <n v="38474493"/>
    <s v="TK.KWVE30-B-A-H-0038-WW1"/>
    <n v="163"/>
    <n v="735.13"/>
    <m/>
    <m/>
    <s v="20250198-20.02.2025"/>
    <x v="0"/>
    <x v="7"/>
    <x v="0"/>
    <m/>
  </r>
  <r>
    <x v="0"/>
    <x v="0"/>
    <x v="469"/>
    <x v="195"/>
    <x v="234"/>
    <s v="059018879-8011"/>
    <n v="0"/>
    <n v="4.51"/>
    <n v="32"/>
    <n v="144.32"/>
    <x v="163"/>
    <n v="9"/>
    <n v="2025"/>
    <n v="0"/>
    <x v="61"/>
    <n v="0"/>
    <m/>
    <s v="approved"/>
    <n v="42"/>
    <s v="no"/>
    <m/>
    <m/>
    <m/>
    <m/>
    <m/>
    <m/>
    <x v="0"/>
    <x v="11"/>
    <x v="1735"/>
    <n v="38474493"/>
    <s v="TK.KWVE30-B-A-H-0038-WW1"/>
    <n v="32"/>
    <n v="144.32"/>
    <m/>
    <m/>
    <s v="20250204-21.02.2025"/>
    <x v="0"/>
    <x v="7"/>
    <x v="0"/>
    <m/>
  </r>
  <r>
    <x v="0"/>
    <x v="0"/>
    <x v="469"/>
    <x v="195"/>
    <x v="234"/>
    <s v="059018879-8011"/>
    <n v="0"/>
    <n v="4.51"/>
    <n v="416"/>
    <n v="1876.1599999999999"/>
    <x v="163"/>
    <n v="9"/>
    <n v="2025"/>
    <n v="0"/>
    <x v="61"/>
    <n v="0"/>
    <m/>
    <s v="approved"/>
    <n v="42"/>
    <s v="no"/>
    <m/>
    <m/>
    <m/>
    <m/>
    <m/>
    <m/>
    <x v="0"/>
    <x v="318"/>
    <x v="1736"/>
    <n v="38474493"/>
    <s v="TK.KWVE30-B-A-H-0038-WW1"/>
    <n v="416"/>
    <n v="1876.1599999999999"/>
    <m/>
    <m/>
    <s v="20250208-24.02.2025"/>
    <x v="0"/>
    <x v="7"/>
    <x v="0"/>
    <m/>
  </r>
  <r>
    <x v="0"/>
    <x v="0"/>
    <x v="469"/>
    <x v="195"/>
    <x v="234"/>
    <s v="059018879-8011"/>
    <n v="0"/>
    <n v="4.51"/>
    <n v="199"/>
    <n v="897.49"/>
    <x v="163"/>
    <n v="9"/>
    <n v="2025"/>
    <n v="0"/>
    <x v="61"/>
    <n v="0"/>
    <m/>
    <s v="approved"/>
    <n v="42"/>
    <s v="no"/>
    <m/>
    <m/>
    <m/>
    <m/>
    <m/>
    <m/>
    <x v="0"/>
    <x v="190"/>
    <x v="1737"/>
    <n v="38474493"/>
    <s v="TK.KWVE30-B-A-H-0038-WW1"/>
    <n v="199"/>
    <n v="897.49"/>
    <m/>
    <m/>
    <s v="20250216-25.02.2025"/>
    <x v="0"/>
    <x v="7"/>
    <x v="0"/>
    <m/>
  </r>
  <r>
    <x v="0"/>
    <x v="0"/>
    <x v="470"/>
    <x v="46"/>
    <x v="234"/>
    <s v="059018879-8011"/>
    <n v="0"/>
    <n v="4.51"/>
    <n v="98"/>
    <n v="441.97999999999996"/>
    <x v="129"/>
    <n v="19"/>
    <n v="2025"/>
    <n v="0"/>
    <x v="61"/>
    <n v="0"/>
    <m/>
    <s v="approved"/>
    <n v="42"/>
    <s v="no"/>
    <m/>
    <m/>
    <m/>
    <m/>
    <m/>
    <m/>
    <x v="0"/>
    <x v="99"/>
    <x v="1738"/>
    <n v="5410527"/>
    <s v="TK.KWVE30-B-A-H-0038-WW1"/>
    <n v="98"/>
    <n v="441.97999999999996"/>
    <m/>
    <m/>
    <s v="20250586-06.05.2025"/>
    <x v="0"/>
    <x v="2"/>
    <x v="0"/>
    <m/>
  </r>
  <r>
    <x v="0"/>
    <x v="0"/>
    <x v="470"/>
    <x v="46"/>
    <x v="234"/>
    <s v="059018879-8011"/>
    <n v="0"/>
    <n v="4.51"/>
    <n v="180"/>
    <n v="811.8"/>
    <x v="10"/>
    <n v="20"/>
    <n v="2025"/>
    <n v="0"/>
    <x v="61"/>
    <n v="0"/>
    <m/>
    <s v="approved"/>
    <n v="42"/>
    <s v="no"/>
    <m/>
    <m/>
    <m/>
    <m/>
    <m/>
    <m/>
    <x v="0"/>
    <x v="280"/>
    <x v="1739"/>
    <n v="5410527"/>
    <s v="TK.KWVE30-B-A-H-0038-WW1"/>
    <n v="180"/>
    <n v="811.8"/>
    <m/>
    <m/>
    <s v="20250643-22.05.2025"/>
    <x v="1"/>
    <x v="2"/>
    <x v="0"/>
    <m/>
  </r>
  <r>
    <x v="0"/>
    <x v="0"/>
    <x v="470"/>
    <x v="46"/>
    <x v="234"/>
    <s v="059018879-8011"/>
    <n v="0"/>
    <n v="4.51"/>
    <n v="22"/>
    <n v="99.22"/>
    <x v="10"/>
    <n v="20"/>
    <n v="2025"/>
    <n v="0"/>
    <x v="61"/>
    <n v="0"/>
    <m/>
    <s v="approved"/>
    <n v="42"/>
    <s v="no"/>
    <m/>
    <m/>
    <m/>
    <m/>
    <m/>
    <m/>
    <x v="0"/>
    <x v="128"/>
    <x v="1740"/>
    <n v="5410527"/>
    <s v="TK.KWVE30-B-A-H-0038-WW1"/>
    <n v="22"/>
    <n v="99.22"/>
    <m/>
    <m/>
    <s v="20250668-27.05.2025"/>
    <x v="1"/>
    <x v="2"/>
    <x v="0"/>
    <m/>
  </r>
  <r>
    <x v="0"/>
    <x v="0"/>
    <x v="470"/>
    <x v="46"/>
    <x v="234"/>
    <s v="059018879-8011"/>
    <n v="0"/>
    <n v="4.51"/>
    <n v="98"/>
    <n v="441.97999999999996"/>
    <x v="216"/>
    <n v="26"/>
    <n v="2025"/>
    <n v="0"/>
    <x v="61"/>
    <n v="0"/>
    <m/>
    <s v="approved"/>
    <n v="2.0416666666666665"/>
    <m/>
    <m/>
    <m/>
    <m/>
    <m/>
    <m/>
    <m/>
    <x v="0"/>
    <x v="151"/>
    <x v="1741"/>
    <n v="5410527"/>
    <s v="TK.KWVE30-B-A-H-0038-WW1"/>
    <n v="98"/>
    <n v="441.97999999999996"/>
    <m/>
    <m/>
    <s v="20250728-12.06.2025"/>
    <x v="0"/>
    <x v="0"/>
    <x v="0"/>
    <m/>
  </r>
  <r>
    <x v="0"/>
    <x v="0"/>
    <x v="470"/>
    <x v="46"/>
    <x v="234"/>
    <s v="059018879-8011"/>
    <n v="0"/>
    <n v="4.51"/>
    <n v="102"/>
    <n v="460.02"/>
    <x v="216"/>
    <n v="26"/>
    <n v="2025"/>
    <n v="0"/>
    <x v="61"/>
    <n v="0"/>
    <m/>
    <s v="approved"/>
    <n v="2.125"/>
    <m/>
    <m/>
    <m/>
    <m/>
    <m/>
    <m/>
    <m/>
    <x v="0"/>
    <x v="48"/>
    <x v="1742"/>
    <n v="5410527"/>
    <s v="TK.KWVE30-B-A-H-0038-WW1"/>
    <n v="102"/>
    <n v="460.02"/>
    <m/>
    <m/>
    <s v="20250735-13.06.2025"/>
    <x v="0"/>
    <x v="0"/>
    <x v="0"/>
    <m/>
  </r>
  <r>
    <x v="0"/>
    <x v="0"/>
    <x v="470"/>
    <x v="46"/>
    <x v="234"/>
    <s v="059018879-8011"/>
    <n v="0"/>
    <n v="4.51"/>
    <n v="133"/>
    <n v="599.82999999999993"/>
    <x v="216"/>
    <n v="26"/>
    <n v="2025"/>
    <n v="0"/>
    <x v="61"/>
    <n v="0"/>
    <m/>
    <s v="approved"/>
    <n v="2.7708333333333335"/>
    <m/>
    <m/>
    <m/>
    <m/>
    <m/>
    <m/>
    <m/>
    <x v="0"/>
    <x v="178"/>
    <x v="1743"/>
    <n v="5410527"/>
    <s v="TK.KWVE30-B-A-H-0038-WW1"/>
    <n v="133"/>
    <n v="599.82999999999993"/>
    <m/>
    <m/>
    <s v="20250777-24.06.2025"/>
    <x v="0"/>
    <x v="0"/>
    <x v="0"/>
    <m/>
  </r>
  <r>
    <x v="0"/>
    <x v="0"/>
    <x v="470"/>
    <x v="46"/>
    <x v="234"/>
    <s v="059018879-8011"/>
    <n v="0"/>
    <n v="4.51"/>
    <n v="100"/>
    <n v="451"/>
    <x v="490"/>
    <n v="39"/>
    <n v="2025"/>
    <n v="0"/>
    <x v="61"/>
    <n v="0"/>
    <m/>
    <s v="approved"/>
    <n v="2.0833333333333335"/>
    <m/>
    <m/>
    <m/>
    <m/>
    <m/>
    <m/>
    <m/>
    <x v="0"/>
    <x v="372"/>
    <x v="1744"/>
    <n v="5410527"/>
    <s v="TK.KWVE30-B-A-H-0038-WW1"/>
    <n v="100"/>
    <n v="451"/>
    <m/>
    <m/>
    <s v="20251211-22.09.2025"/>
    <x v="0"/>
    <x v="10"/>
    <x v="0"/>
    <m/>
  </r>
  <r>
    <x v="0"/>
    <x v="0"/>
    <x v="470"/>
    <x v="46"/>
    <x v="234"/>
    <s v="059018879-8011"/>
    <n v="0"/>
    <n v="4.51"/>
    <n v="60"/>
    <n v="270.59999999999997"/>
    <x v="490"/>
    <n v="39"/>
    <n v="2025"/>
    <n v="0"/>
    <x v="61"/>
    <n v="0"/>
    <m/>
    <s v="approved"/>
    <n v="1.25"/>
    <m/>
    <m/>
    <m/>
    <m/>
    <m/>
    <m/>
    <m/>
    <x v="0"/>
    <x v="372"/>
    <x v="1744"/>
    <n v="5410527"/>
    <s v="TK.KWVE30-B-A-H-0038-WW1"/>
    <n v="60"/>
    <n v="270.59999999999997"/>
    <m/>
    <m/>
    <s v="20251211-22.09.2025"/>
    <x v="0"/>
    <x v="10"/>
    <x v="0"/>
    <m/>
  </r>
  <r>
    <x v="0"/>
    <x v="0"/>
    <x v="470"/>
    <x v="46"/>
    <x v="234"/>
    <s v="059018879-8011"/>
    <n v="0"/>
    <n v="4.51"/>
    <n v="300"/>
    <n v="1353"/>
    <x v="25"/>
    <n v="45"/>
    <n v="2025"/>
    <n v="0"/>
    <x v="61"/>
    <n v="0"/>
    <m/>
    <s v="approved"/>
    <n v="6.25"/>
    <m/>
    <m/>
    <m/>
    <m/>
    <m/>
    <m/>
    <m/>
    <x v="1"/>
    <x v="3"/>
    <x v="4"/>
    <s v=""/>
    <s v=""/>
    <m/>
    <n v="0"/>
    <m/>
    <m/>
    <m/>
    <x v="1"/>
    <x v="4"/>
    <x v="0"/>
    <m/>
  </r>
  <r>
    <x v="0"/>
    <x v="0"/>
    <x v="470"/>
    <x v="46"/>
    <x v="234"/>
    <s v="059018879-8011"/>
    <n v="0"/>
    <n v="4.51"/>
    <n v="300"/>
    <n v="1353"/>
    <x v="172"/>
    <n v="46"/>
    <n v="2025"/>
    <n v="0"/>
    <x v="61"/>
    <n v="0"/>
    <m/>
    <s v="approved"/>
    <n v="6.25"/>
    <m/>
    <m/>
    <m/>
    <m/>
    <m/>
    <m/>
    <m/>
    <x v="1"/>
    <x v="3"/>
    <x v="4"/>
    <s v=""/>
    <s v=""/>
    <m/>
    <n v="0"/>
    <m/>
    <m/>
    <m/>
    <x v="2"/>
    <x v="4"/>
    <x v="0"/>
    <m/>
  </r>
  <r>
    <x v="0"/>
    <x v="1"/>
    <x v="470"/>
    <x v="46"/>
    <x v="234"/>
    <s v="059018879-8011"/>
    <n v="0"/>
    <n v="4.51"/>
    <n v="1000"/>
    <n v="4510"/>
    <x v="122"/>
    <n v="51"/>
    <n v="2025"/>
    <n v="0"/>
    <x v="61"/>
    <n v="0"/>
    <m/>
    <s v="approved"/>
    <n v="20.833333333333332"/>
    <m/>
    <m/>
    <m/>
    <m/>
    <m/>
    <m/>
    <m/>
    <x v="1"/>
    <x v="3"/>
    <x v="4"/>
    <s v=""/>
    <s v=""/>
    <m/>
    <n v="0"/>
    <m/>
    <m/>
    <m/>
    <x v="2"/>
    <x v="3"/>
    <x v="0"/>
    <m/>
  </r>
  <r>
    <x v="0"/>
    <x v="0"/>
    <x v="471"/>
    <x v="36"/>
    <x v="235"/>
    <s v="080814913-8011 "/>
    <n v="0"/>
    <n v="4.8099999999999996"/>
    <n v="100"/>
    <n v="480.99999999999994"/>
    <x v="94"/>
    <n v="14"/>
    <n v="2024"/>
    <n v="0"/>
    <x v="61"/>
    <n v="0"/>
    <m/>
    <s v="approved"/>
    <n v="42"/>
    <s v="no"/>
    <m/>
    <m/>
    <m/>
    <m/>
    <m/>
    <s v="241314"/>
    <x v="0"/>
    <x v="217"/>
    <x v="1745"/>
    <n v="36508701"/>
    <s v="TK.KWVE30-B-A-S-0038-WW1"/>
    <n v="100"/>
    <n v="480.99999999999994"/>
    <m/>
    <m/>
    <s v="20240325-01.04.2024"/>
    <x v="0"/>
    <x v="1"/>
    <x v="1"/>
    <m/>
  </r>
  <r>
    <x v="0"/>
    <x v="0"/>
    <x v="472"/>
    <x v="36"/>
    <x v="235"/>
    <s v="080814913-8011 "/>
    <n v="0"/>
    <n v="4.8099999999999996"/>
    <n v="100"/>
    <n v="480.99999999999994"/>
    <x v="480"/>
    <n v="14"/>
    <n v="2024"/>
    <n v="0"/>
    <x v="61"/>
    <n v="0"/>
    <m/>
    <s v="approved"/>
    <n v="42"/>
    <s v="no"/>
    <m/>
    <m/>
    <m/>
    <m/>
    <m/>
    <s v="241314"/>
    <x v="0"/>
    <x v="119"/>
    <x v="1746"/>
    <n v="36508702"/>
    <s v="TK.KWVE30-B-A-S-0038-WW1"/>
    <n v="100"/>
    <n v="480.99999999999994"/>
    <m/>
    <m/>
    <s v="20240331-04.04.2024"/>
    <x v="0"/>
    <x v="1"/>
    <x v="1"/>
    <m/>
  </r>
  <r>
    <x v="0"/>
    <x v="0"/>
    <x v="473"/>
    <x v="36"/>
    <x v="235"/>
    <s v="080814913-8011 "/>
    <n v="0"/>
    <n v="4.8099999999999996"/>
    <n v="150"/>
    <n v="721.49999999999989"/>
    <x v="236"/>
    <n v="15"/>
    <n v="2024"/>
    <n v="0"/>
    <x v="61"/>
    <n v="0"/>
    <m/>
    <s v="approved"/>
    <n v="42"/>
    <s v="no"/>
    <m/>
    <m/>
    <m/>
    <m/>
    <m/>
    <s v="241407"/>
    <x v="0"/>
    <x v="119"/>
    <x v="1747"/>
    <n v="36508720"/>
    <s v="TK.KWVE30-B-A-S-0038-WW1"/>
    <n v="28"/>
    <n v="134.67999999999998"/>
    <m/>
    <m/>
    <s v="20240334-04.04.2024"/>
    <x v="0"/>
    <x v="1"/>
    <x v="1"/>
    <m/>
  </r>
  <r>
    <x v="0"/>
    <x v="0"/>
    <x v="473"/>
    <x v="36"/>
    <x v="235"/>
    <s v="080814913-8011 "/>
    <n v="0"/>
    <n v="4.8099999999999996"/>
    <m/>
    <n v="0"/>
    <x v="236"/>
    <n v="15"/>
    <n v="2024"/>
    <n v="0"/>
    <x v="61"/>
    <n v="0"/>
    <m/>
    <s v="approved"/>
    <n v="42"/>
    <m/>
    <m/>
    <m/>
    <m/>
    <m/>
    <m/>
    <m/>
    <x v="0"/>
    <x v="256"/>
    <x v="1748"/>
    <n v="36508720"/>
    <s v="TK.KWVE30-B-A-S-0038-WW1"/>
    <n v="122"/>
    <n v="586.81999999999994"/>
    <m/>
    <m/>
    <s v="20240349-09.04.2024"/>
    <x v="0"/>
    <x v="1"/>
    <x v="1"/>
    <m/>
  </r>
  <r>
    <x v="0"/>
    <x v="0"/>
    <x v="474"/>
    <x v="36"/>
    <x v="235"/>
    <s v="080814913-8011 "/>
    <n v="0"/>
    <n v="4.8099999999999996"/>
    <n v="150"/>
    <n v="721.49999999999989"/>
    <x v="481"/>
    <n v="15"/>
    <n v="2024"/>
    <n v="0"/>
    <x v="61"/>
    <n v="0"/>
    <m/>
    <s v="approved"/>
    <n v="42"/>
    <s v="no"/>
    <m/>
    <m/>
    <m/>
    <m/>
    <m/>
    <s v="241407 / 241505"/>
    <x v="0"/>
    <x v="4"/>
    <x v="1749"/>
    <n v="36508722"/>
    <s v="TK.KWVE30-B-A-S-0038-WW1"/>
    <n v="150"/>
    <n v="721.49999999999989"/>
    <m/>
    <m/>
    <s v="20240366-11.04.2024"/>
    <x v="0"/>
    <x v="1"/>
    <x v="1"/>
    <m/>
  </r>
  <r>
    <x v="0"/>
    <x v="0"/>
    <x v="475"/>
    <x v="36"/>
    <x v="235"/>
    <s v="080814913-8011 "/>
    <n v="0"/>
    <n v="4.8099999999999996"/>
    <n v="150"/>
    <n v="721.49999999999989"/>
    <x v="365"/>
    <n v="16"/>
    <n v="2024"/>
    <n v="0"/>
    <x v="61"/>
    <n v="0"/>
    <m/>
    <s v="approved"/>
    <n v="42"/>
    <s v="no"/>
    <m/>
    <m/>
    <m/>
    <m/>
    <m/>
    <s v="241505"/>
    <x v="0"/>
    <x v="58"/>
    <x v="1750"/>
    <n v="36508727"/>
    <s v="TK.KWVE30-B-A-S-0038-WW1"/>
    <n v="150"/>
    <n v="721.49999999999989"/>
    <m/>
    <m/>
    <s v="20240392-16.04.2024"/>
    <x v="0"/>
    <x v="1"/>
    <x v="1"/>
    <m/>
  </r>
  <r>
    <x v="0"/>
    <x v="0"/>
    <x v="476"/>
    <x v="36"/>
    <x v="235"/>
    <s v="080814913-8011 "/>
    <n v="0"/>
    <n v="4.8099999999999996"/>
    <n v="150"/>
    <n v="721.49999999999989"/>
    <x v="483"/>
    <n v="16"/>
    <n v="2024"/>
    <n v="0"/>
    <x v="61"/>
    <n v="0"/>
    <m/>
    <s v="approved"/>
    <n v="42"/>
    <s v="no"/>
    <m/>
    <m/>
    <m/>
    <m/>
    <m/>
    <s v="241515"/>
    <x v="0"/>
    <x v="208"/>
    <x v="1751"/>
    <n v="36508730"/>
    <s v="TK.KWVE30-B-A-S-0038-WW1"/>
    <n v="150"/>
    <n v="721.49999999999989"/>
    <m/>
    <m/>
    <s v="20240404-20.04.2024"/>
    <x v="0"/>
    <x v="1"/>
    <x v="1"/>
    <m/>
  </r>
  <r>
    <x v="0"/>
    <x v="0"/>
    <x v="477"/>
    <x v="36"/>
    <x v="235"/>
    <s v="080814913-8011 "/>
    <n v="0"/>
    <n v="4.8099999999999996"/>
    <n v="100"/>
    <n v="480.99999999999994"/>
    <x v="450"/>
    <n v="17"/>
    <n v="2024"/>
    <n v="0"/>
    <x v="61"/>
    <n v="0"/>
    <m/>
    <s v="approved"/>
    <n v="42"/>
    <s v="no"/>
    <m/>
    <m/>
    <m/>
    <m/>
    <m/>
    <s v="241515"/>
    <x v="0"/>
    <x v="359"/>
    <x v="1752"/>
    <n v="36508738"/>
    <s v="TK.KWVE30-B-A-S-0038-WW1"/>
    <n v="100"/>
    <n v="480.99999999999994"/>
    <m/>
    <m/>
    <s v="20240439-23.04.2024"/>
    <x v="0"/>
    <x v="1"/>
    <x v="1"/>
    <m/>
  </r>
  <r>
    <x v="0"/>
    <x v="0"/>
    <x v="478"/>
    <x v="36"/>
    <x v="235"/>
    <s v="080814913-8011 "/>
    <n v="0"/>
    <n v="4.8099999999999996"/>
    <n v="100"/>
    <n v="480.99999999999994"/>
    <x v="310"/>
    <n v="17"/>
    <n v="2024"/>
    <n v="0"/>
    <x v="61"/>
    <n v="0"/>
    <m/>
    <s v="approved"/>
    <n v="42"/>
    <s v="no"/>
    <m/>
    <m/>
    <m/>
    <m/>
    <m/>
    <s v="241706"/>
    <x v="0"/>
    <x v="175"/>
    <x v="1753"/>
    <n v="36508740"/>
    <s v="TK.KWVE30-B-A-S-0038-WW1"/>
    <n v="100"/>
    <n v="480.99999999999994"/>
    <m/>
    <m/>
    <s v="20240450-25.04.2024"/>
    <x v="0"/>
    <x v="1"/>
    <x v="1"/>
    <m/>
  </r>
  <r>
    <x v="0"/>
    <x v="0"/>
    <x v="479"/>
    <x v="38"/>
    <x v="235"/>
    <s v="080814913-8011 "/>
    <n v="0"/>
    <n v="4.8099999999999996"/>
    <n v="250"/>
    <n v="1202.5"/>
    <x v="96"/>
    <n v="19"/>
    <n v="2024"/>
    <n v="0"/>
    <x v="61"/>
    <n v="0"/>
    <m/>
    <s v="approved"/>
    <n v="42"/>
    <s v="no"/>
    <m/>
    <m/>
    <m/>
    <m/>
    <m/>
    <n v="241718"/>
    <x v="0"/>
    <x v="59"/>
    <x v="1754"/>
    <n v="36635700"/>
    <s v="TK.KWVE30-B-A-S-0038-WW1"/>
    <n v="217"/>
    <n v="1043.77"/>
    <m/>
    <m/>
    <s v="20240486-30.04.2024"/>
    <x v="0"/>
    <x v="2"/>
    <x v="1"/>
    <m/>
  </r>
  <r>
    <x v="0"/>
    <x v="0"/>
    <x v="479"/>
    <x v="38"/>
    <x v="235"/>
    <s v="080814913-8011 "/>
    <n v="0"/>
    <n v="4.8099999999999996"/>
    <m/>
    <n v="0"/>
    <x v="96"/>
    <n v="19"/>
    <n v="2024"/>
    <n v="0"/>
    <x v="61"/>
    <n v="0"/>
    <m/>
    <s v="approved"/>
    <n v="42"/>
    <m/>
    <m/>
    <m/>
    <m/>
    <m/>
    <m/>
    <m/>
    <x v="0"/>
    <x v="59"/>
    <x v="1755"/>
    <n v="36635700"/>
    <s v="TK.KWVE30-B-A-S-0038-WW1"/>
    <n v="13"/>
    <n v="62.529999999999994"/>
    <m/>
    <m/>
    <s v="20240510-09.05.2024"/>
    <x v="0"/>
    <x v="2"/>
    <x v="1"/>
    <m/>
  </r>
  <r>
    <x v="0"/>
    <x v="0"/>
    <x v="479"/>
    <x v="38"/>
    <x v="235"/>
    <s v="080814913-8011 "/>
    <n v="0"/>
    <n v="4.8099999999999996"/>
    <m/>
    <n v="0"/>
    <x v="96"/>
    <n v="19"/>
    <n v="2024"/>
    <n v="0"/>
    <x v="61"/>
    <n v="0"/>
    <m/>
    <s v="approved"/>
    <n v="42"/>
    <m/>
    <m/>
    <m/>
    <m/>
    <m/>
    <m/>
    <m/>
    <x v="0"/>
    <x v="60"/>
    <x v="1756"/>
    <n v="36635700"/>
    <s v="TK.KWVE30-B-A-S-0038-WW1"/>
    <n v="20"/>
    <n v="96.199999999999989"/>
    <m/>
    <m/>
    <s v="20240515-09.05.2024"/>
    <x v="0"/>
    <x v="2"/>
    <x v="1"/>
    <m/>
  </r>
  <r>
    <x v="0"/>
    <x v="0"/>
    <x v="480"/>
    <x v="38"/>
    <x v="235"/>
    <s v="080814913-8011 "/>
    <n v="0"/>
    <n v="4.8099999999999996"/>
    <n v="250"/>
    <n v="1202.5"/>
    <x v="426"/>
    <n v="19"/>
    <n v="2024"/>
    <n v="0"/>
    <x v="61"/>
    <n v="0"/>
    <m/>
    <s v="approved"/>
    <n v="42"/>
    <s v="no"/>
    <m/>
    <m/>
    <m/>
    <m/>
    <m/>
    <n v="242002"/>
    <x v="0"/>
    <x v="60"/>
    <x v="1757"/>
    <n v="36635702"/>
    <s v="TK.KWVE30-B-A-S-0038-WW1"/>
    <n v="140"/>
    <n v="673.4"/>
    <m/>
    <m/>
    <s v="20240516-09.05.2024"/>
    <x v="0"/>
    <x v="2"/>
    <x v="1"/>
    <m/>
  </r>
  <r>
    <x v="0"/>
    <x v="0"/>
    <x v="480"/>
    <x v="38"/>
    <x v="235"/>
    <s v="080814913-8011 "/>
    <n v="0"/>
    <n v="4.8099999999999996"/>
    <m/>
    <n v="0"/>
    <x v="426"/>
    <n v="19"/>
    <n v="2024"/>
    <n v="0"/>
    <x v="61"/>
    <n v="0"/>
    <m/>
    <s v="approved"/>
    <n v="42"/>
    <m/>
    <m/>
    <m/>
    <m/>
    <m/>
    <m/>
    <m/>
    <x v="0"/>
    <x v="22"/>
    <x v="1758"/>
    <n v="36635702"/>
    <s v="TK.KWVE30-B-A-S-0038-WW1"/>
    <n v="110"/>
    <n v="529.09999999999991"/>
    <m/>
    <m/>
    <s v="20240537-14.05.2024"/>
    <x v="1"/>
    <x v="2"/>
    <x v="1"/>
    <m/>
  </r>
  <r>
    <x v="0"/>
    <x v="0"/>
    <x v="481"/>
    <x v="38"/>
    <x v="235"/>
    <s v="080814913-8011 "/>
    <n v="0"/>
    <n v="4.8099999999999996"/>
    <n v="250"/>
    <n v="1202.5"/>
    <x v="452"/>
    <n v="20"/>
    <n v="2024"/>
    <n v="0"/>
    <x v="61"/>
    <n v="0"/>
    <m/>
    <s v="approved"/>
    <n v="42"/>
    <s v="no"/>
    <m/>
    <m/>
    <m/>
    <m/>
    <m/>
    <n v="242002"/>
    <x v="0"/>
    <x v="22"/>
    <x v="1759"/>
    <n v="36635707"/>
    <s v="TK.KWVE30-B-A-S-0038-WW1"/>
    <n v="132"/>
    <n v="634.91999999999996"/>
    <m/>
    <m/>
    <s v="20240536-14.05.2024"/>
    <x v="0"/>
    <x v="2"/>
    <x v="1"/>
    <m/>
  </r>
  <r>
    <x v="0"/>
    <x v="0"/>
    <x v="481"/>
    <x v="38"/>
    <x v="235"/>
    <s v="080814913-8011 "/>
    <n v="0"/>
    <n v="4.8099999999999996"/>
    <m/>
    <n v="0"/>
    <x v="452"/>
    <n v="20"/>
    <n v="2024"/>
    <n v="0"/>
    <x v="61"/>
    <n v="0"/>
    <m/>
    <s v="approved"/>
    <n v="42"/>
    <m/>
    <m/>
    <m/>
    <m/>
    <m/>
    <m/>
    <m/>
    <x v="0"/>
    <x v="209"/>
    <x v="1760"/>
    <n v="36635707"/>
    <s v="TK.KWVE30-B-A-S-0038-WW1"/>
    <n v="118"/>
    <n v="567.57999999999993"/>
    <m/>
    <m/>
    <s v="20240548-16.05.2024"/>
    <x v="0"/>
    <x v="2"/>
    <x v="1"/>
    <m/>
  </r>
  <r>
    <x v="0"/>
    <x v="0"/>
    <x v="482"/>
    <x v="38"/>
    <x v="235"/>
    <s v="080814913-8011 "/>
    <n v="0"/>
    <n v="4.8099999999999996"/>
    <n v="250"/>
    <n v="1202.5"/>
    <x v="453"/>
    <n v="20"/>
    <n v="2024"/>
    <n v="0"/>
    <x v="61"/>
    <n v="0"/>
    <m/>
    <s v="approved"/>
    <n v="42"/>
    <s v="no"/>
    <m/>
    <m/>
    <m/>
    <m/>
    <m/>
    <n v="242002"/>
    <x v="0"/>
    <x v="164"/>
    <x v="1761"/>
    <n v="36635710"/>
    <s v="TK.KWVE30-B-A-S-0038-WW1"/>
    <n v="85"/>
    <n v="408.84999999999997"/>
    <m/>
    <m/>
    <s v="20240597-24.05.2024"/>
    <x v="1"/>
    <x v="2"/>
    <x v="1"/>
    <m/>
  </r>
  <r>
    <x v="0"/>
    <x v="0"/>
    <x v="482"/>
    <x v="38"/>
    <x v="235"/>
    <s v="080814913-8011 "/>
    <n v="0"/>
    <n v="4.8099999999999996"/>
    <m/>
    <n v="0"/>
    <x v="453"/>
    <n v="20"/>
    <n v="2024"/>
    <n v="0"/>
    <x v="61"/>
    <n v="0"/>
    <m/>
    <s v="approved"/>
    <n v="42"/>
    <m/>
    <m/>
    <m/>
    <m/>
    <m/>
    <m/>
    <m/>
    <x v="0"/>
    <x v="17"/>
    <x v="1762"/>
    <n v="36635710"/>
    <s v="TK.KWVE30-B-A-S-0038-WW1"/>
    <n v="128"/>
    <n v="615.67999999999995"/>
    <m/>
    <m/>
    <s v="20240614-28.05.2024"/>
    <x v="1"/>
    <x v="2"/>
    <x v="1"/>
    <m/>
  </r>
  <r>
    <x v="0"/>
    <x v="0"/>
    <x v="482"/>
    <x v="38"/>
    <x v="235"/>
    <s v="080814913-8011 "/>
    <n v="0"/>
    <n v="4.8099999999999996"/>
    <m/>
    <n v="0"/>
    <x v="453"/>
    <n v="20"/>
    <n v="2024"/>
    <n v="0"/>
    <x v="61"/>
    <n v="0"/>
    <m/>
    <s v="approved"/>
    <n v="42"/>
    <m/>
    <m/>
    <m/>
    <m/>
    <m/>
    <m/>
    <m/>
    <x v="0"/>
    <x v="176"/>
    <x v="1763"/>
    <n v="36635710"/>
    <s v="TK.KWVE30-B-A-S-0038-WW1"/>
    <n v="37"/>
    <n v="177.97"/>
    <m/>
    <m/>
    <s v="20240622-29.05.2024"/>
    <x v="1"/>
    <x v="2"/>
    <x v="1"/>
    <m/>
  </r>
  <r>
    <x v="0"/>
    <x v="0"/>
    <x v="483"/>
    <x v="38"/>
    <x v="235"/>
    <s v="080814913-8011 "/>
    <n v="0"/>
    <n v="4.8099999999999996"/>
    <n v="75"/>
    <n v="360.74999999999994"/>
    <x v="97"/>
    <n v="21"/>
    <n v="2024"/>
    <n v="0"/>
    <x v="61"/>
    <n v="0"/>
    <m/>
    <s v="approved"/>
    <n v="42"/>
    <s v="no"/>
    <m/>
    <m/>
    <m/>
    <m/>
    <m/>
    <n v="242107"/>
    <x v="0"/>
    <x v="176"/>
    <x v="1764"/>
    <n v="36635715"/>
    <s v="TK.KWVE30-B-A-S-0038-WW1"/>
    <n v="75"/>
    <n v="360.74999999999994"/>
    <m/>
    <m/>
    <s v="20240623-29.05.2024"/>
    <x v="1"/>
    <x v="2"/>
    <x v="1"/>
    <m/>
  </r>
  <r>
    <x v="0"/>
    <x v="0"/>
    <x v="484"/>
    <x v="38"/>
    <x v="235"/>
    <s v="080814913-8011 "/>
    <n v="0"/>
    <n v="4.8099999999999996"/>
    <n v="75"/>
    <n v="360.74999999999994"/>
    <x v="237"/>
    <n v="21"/>
    <n v="2024"/>
    <n v="0"/>
    <x v="61"/>
    <n v="0"/>
    <m/>
    <s v="approved"/>
    <n v="42"/>
    <s v="no"/>
    <m/>
    <m/>
    <m/>
    <m/>
    <m/>
    <n v="242107"/>
    <x v="0"/>
    <x v="176"/>
    <x v="1765"/>
    <n v="36635716"/>
    <s v="TK.KWVE30-B-A-S-0038-WW1"/>
    <n v="75"/>
    <n v="360.74999999999994"/>
    <m/>
    <m/>
    <s v="20240624-29.05.2024"/>
    <x v="1"/>
    <x v="2"/>
    <x v="1"/>
    <m/>
  </r>
  <r>
    <x v="0"/>
    <x v="0"/>
    <x v="485"/>
    <x v="38"/>
    <x v="235"/>
    <s v="080814913-8011 "/>
    <n v="0"/>
    <n v="4.8099999999999996"/>
    <n v="75"/>
    <n v="360.74999999999994"/>
    <x v="238"/>
    <n v="22"/>
    <n v="2024"/>
    <n v="0"/>
    <x v="61"/>
    <n v="0"/>
    <m/>
    <s v="approved"/>
    <n v="42"/>
    <s v="no"/>
    <m/>
    <m/>
    <m/>
    <m/>
    <m/>
    <n v="242107"/>
    <x v="0"/>
    <x v="176"/>
    <x v="1766"/>
    <n v="36635718"/>
    <s v="TK.KWVE30-B-A-S-0038-WW1"/>
    <n v="5"/>
    <n v="24.049999999999997"/>
    <m/>
    <m/>
    <s v="20240625-29.05.2024"/>
    <x v="0"/>
    <x v="2"/>
    <x v="1"/>
    <m/>
  </r>
  <r>
    <x v="0"/>
    <x v="0"/>
    <x v="485"/>
    <x v="38"/>
    <x v="235"/>
    <s v="080814913-8011 "/>
    <n v="0"/>
    <n v="4.8099999999999996"/>
    <m/>
    <n v="0"/>
    <x v="238"/>
    <n v="22"/>
    <n v="2024"/>
    <n v="0"/>
    <x v="61"/>
    <n v="0"/>
    <m/>
    <s v="approved"/>
    <n v="42"/>
    <m/>
    <m/>
    <m/>
    <m/>
    <m/>
    <m/>
    <m/>
    <x v="0"/>
    <x v="34"/>
    <x v="1767"/>
    <n v="36635718"/>
    <s v="TK.KWVE30-B-A-S-0038-WW1"/>
    <n v="70"/>
    <n v="336.7"/>
    <m/>
    <m/>
    <s v="20240627-30.05.2024"/>
    <x v="0"/>
    <x v="2"/>
    <x v="1"/>
    <m/>
  </r>
  <r>
    <x v="0"/>
    <x v="0"/>
    <x v="486"/>
    <x v="38"/>
    <x v="235"/>
    <s v="080814913-8011 "/>
    <n v="0"/>
    <n v="4.8099999999999996"/>
    <n v="75"/>
    <n v="360.74999999999994"/>
    <x v="454"/>
    <n v="22"/>
    <n v="2024"/>
    <n v="0"/>
    <x v="61"/>
    <n v="0"/>
    <m/>
    <s v="approved"/>
    <n v="42"/>
    <s v="no"/>
    <m/>
    <m/>
    <m/>
    <m/>
    <m/>
    <n v="242107"/>
    <x v="0"/>
    <x v="34"/>
    <x v="1768"/>
    <n v="36635721"/>
    <s v="TK.KWVE30-B-A-S-0038-WW1"/>
    <n v="20"/>
    <n v="96.199999999999989"/>
    <m/>
    <m/>
    <s v="20240631-30.05.2024"/>
    <x v="0"/>
    <x v="2"/>
    <x v="1"/>
    <m/>
  </r>
  <r>
    <x v="0"/>
    <x v="0"/>
    <x v="486"/>
    <x v="38"/>
    <x v="235"/>
    <s v="080814913-8011 "/>
    <n v="0"/>
    <n v="4.8099999999999996"/>
    <m/>
    <n v="0"/>
    <x v="454"/>
    <n v="22"/>
    <n v="2024"/>
    <n v="0"/>
    <x v="61"/>
    <n v="0"/>
    <m/>
    <s v="approved"/>
    <n v="0"/>
    <m/>
    <m/>
    <m/>
    <m/>
    <m/>
    <m/>
    <m/>
    <x v="0"/>
    <x v="342"/>
    <x v="1769"/>
    <n v="36635721"/>
    <s v="TK.KWVE30-B-A-S-0038-WW1"/>
    <n v="55"/>
    <n v="264.54999999999995"/>
    <m/>
    <m/>
    <s v="20240673-11.06.2024"/>
    <x v="1"/>
    <x v="2"/>
    <x v="1"/>
    <m/>
  </r>
  <r>
    <x v="0"/>
    <x v="0"/>
    <x v="487"/>
    <x v="75"/>
    <x v="235"/>
    <s v="080814913-8011 "/>
    <n v="0"/>
    <n v="4.8099999999999996"/>
    <n v="150"/>
    <n v="721.49999999999989"/>
    <x v="98"/>
    <n v="23"/>
    <n v="2024"/>
    <n v="0"/>
    <x v="61"/>
    <n v="0"/>
    <m/>
    <s v="approved"/>
    <n v="42"/>
    <s v="no"/>
    <m/>
    <m/>
    <m/>
    <m/>
    <m/>
    <n v="242312"/>
    <x v="0"/>
    <x v="352"/>
    <x v="1770"/>
    <n v="36856157"/>
    <s v="TK.KWVE30-B-A-S-0038-WW1"/>
    <n v="103"/>
    <n v="495.42999999999995"/>
    <m/>
    <m/>
    <s v="20240669-10.06.2024"/>
    <x v="1"/>
    <x v="0"/>
    <x v="1"/>
    <m/>
  </r>
  <r>
    <x v="0"/>
    <x v="0"/>
    <x v="487"/>
    <x v="75"/>
    <x v="235"/>
    <s v="080814913-8011 "/>
    <n v="0"/>
    <n v="4.8099999999999996"/>
    <m/>
    <n v="0"/>
    <x v="98"/>
    <n v="23"/>
    <n v="2024"/>
    <n v="0"/>
    <x v="61"/>
    <n v="0"/>
    <m/>
    <s v="approved"/>
    <n v="0"/>
    <m/>
    <m/>
    <m/>
    <m/>
    <m/>
    <m/>
    <m/>
    <x v="0"/>
    <x v="342"/>
    <x v="1771"/>
    <n v="36856157"/>
    <s v="TK.KWVE30-B-A-S-0038-WW1"/>
    <n v="47"/>
    <n v="226.07"/>
    <m/>
    <m/>
    <s v="20240674-11.06.2024"/>
    <x v="1"/>
    <x v="0"/>
    <x v="1"/>
    <m/>
  </r>
  <r>
    <x v="0"/>
    <x v="0"/>
    <x v="487"/>
    <x v="75"/>
    <x v="235"/>
    <s v="080814913-8011 "/>
    <n v="0"/>
    <n v="4.8099999999999996"/>
    <n v="134"/>
    <n v="644.54"/>
    <x v="182"/>
    <n v="23"/>
    <n v="2024"/>
    <n v="0"/>
    <x v="61"/>
    <n v="0"/>
    <m/>
    <s v="approved"/>
    <n v="42"/>
    <s v="no"/>
    <m/>
    <m/>
    <m/>
    <m/>
    <m/>
    <n v="242312"/>
    <x v="0"/>
    <x v="342"/>
    <x v="1771"/>
    <n v="36856157"/>
    <s v="TK.KWVE30-B-A-S-0038-WW1"/>
    <n v="26"/>
    <n v="125.05999999999999"/>
    <m/>
    <m/>
    <m/>
    <x v="1"/>
    <x v="0"/>
    <x v="1"/>
    <m/>
  </r>
  <r>
    <x v="0"/>
    <x v="0"/>
    <x v="487"/>
    <x v="75"/>
    <x v="235"/>
    <s v="080814913-8011 "/>
    <n v="0"/>
    <n v="4.8099999999999996"/>
    <m/>
    <n v="0"/>
    <x v="182"/>
    <n v="23"/>
    <n v="2024"/>
    <n v="0"/>
    <x v="61"/>
    <n v="0"/>
    <m/>
    <s v="approved"/>
    <n v="0"/>
    <m/>
    <m/>
    <m/>
    <m/>
    <m/>
    <m/>
    <m/>
    <x v="0"/>
    <x v="261"/>
    <x v="1772"/>
    <n v="36856157"/>
    <s v="TK.KWVE30-B-A-S-0038-WW1"/>
    <n v="96"/>
    <n v="461.76"/>
    <m/>
    <m/>
    <s v="20240682-12.06.2024"/>
    <x v="1"/>
    <x v="0"/>
    <x v="1"/>
    <m/>
  </r>
  <r>
    <x v="0"/>
    <x v="0"/>
    <x v="487"/>
    <x v="75"/>
    <x v="235"/>
    <s v="080814913-8011 "/>
    <n v="0"/>
    <n v="4.8099999999999996"/>
    <m/>
    <n v="0"/>
    <x v="182"/>
    <n v="23"/>
    <n v="2024"/>
    <n v="0"/>
    <x v="61"/>
    <n v="0"/>
    <m/>
    <s v="approved"/>
    <n v="0"/>
    <m/>
    <m/>
    <m/>
    <m/>
    <m/>
    <m/>
    <m/>
    <x v="0"/>
    <x v="121"/>
    <x v="1773"/>
    <n v="36856157"/>
    <s v="TK.KWVE30-B-A-S-0038-WW1"/>
    <n v="12"/>
    <n v="57.72"/>
    <m/>
    <m/>
    <s v="20240685-13.06.2024"/>
    <x v="1"/>
    <x v="0"/>
    <x v="1"/>
    <m/>
  </r>
  <r>
    <x v="0"/>
    <x v="0"/>
    <x v="488"/>
    <x v="75"/>
    <x v="235"/>
    <s v="080814913-8011 "/>
    <n v="0"/>
    <n v="4.8099999999999996"/>
    <n v="150"/>
    <n v="721.49999999999989"/>
    <x v="99"/>
    <n v="24"/>
    <n v="2024"/>
    <n v="0"/>
    <x v="61"/>
    <n v="0"/>
    <m/>
    <s v="approved"/>
    <n v="42"/>
    <s v="no"/>
    <m/>
    <m/>
    <m/>
    <m/>
    <m/>
    <n v="242312"/>
    <x v="0"/>
    <x v="121"/>
    <x v="1774"/>
    <n v="36856166"/>
    <s v="TK.KWVE30-B-A-S-0038-WW1"/>
    <n v="52"/>
    <n v="250.11999999999998"/>
    <m/>
    <m/>
    <s v="20240684-13.06.2024"/>
    <x v="0"/>
    <x v="0"/>
    <x v="1"/>
    <m/>
  </r>
  <r>
    <x v="0"/>
    <x v="0"/>
    <x v="488"/>
    <x v="75"/>
    <x v="235"/>
    <s v="080814913-8011 "/>
    <n v="0"/>
    <n v="4.8099999999999996"/>
    <m/>
    <n v="0"/>
    <x v="99"/>
    <n v="24"/>
    <n v="2024"/>
    <n v="0"/>
    <x v="61"/>
    <n v="0"/>
    <m/>
    <s v="approved"/>
    <n v="0"/>
    <m/>
    <m/>
    <m/>
    <m/>
    <m/>
    <m/>
    <m/>
    <x v="0"/>
    <x v="122"/>
    <x v="1775"/>
    <n v="36856166"/>
    <s v="TK.KWVE30-B-A-S-0038-WW1"/>
    <n v="98"/>
    <n v="471.37999999999994"/>
    <m/>
    <m/>
    <s v="20240696-14.06.2024"/>
    <x v="1"/>
    <x v="0"/>
    <x v="1"/>
    <m/>
  </r>
  <r>
    <x v="0"/>
    <x v="0"/>
    <x v="489"/>
    <x v="75"/>
    <x v="235"/>
    <s v="080814913-8011 "/>
    <n v="0"/>
    <n v="4.8099999999999996"/>
    <n v="150"/>
    <n v="721.49999999999989"/>
    <x v="99"/>
    <n v="24"/>
    <n v="2024"/>
    <n v="0"/>
    <x v="61"/>
    <n v="0"/>
    <m/>
    <s v="approved"/>
    <n v="42"/>
    <s v="no"/>
    <m/>
    <m/>
    <m/>
    <m/>
    <m/>
    <n v="242602"/>
    <x v="0"/>
    <x v="27"/>
    <x v="1119"/>
    <n v="36856203"/>
    <s v="TK.KWVE30-B-A-S-0038-WW1"/>
    <n v="73"/>
    <n v="351.13"/>
    <m/>
    <m/>
    <s v="20240787-28.06.2024"/>
    <x v="1"/>
    <x v="0"/>
    <x v="1"/>
    <m/>
  </r>
  <r>
    <x v="0"/>
    <x v="0"/>
    <x v="489"/>
    <x v="75"/>
    <x v="235"/>
    <s v="080814913-8011 "/>
    <n v="0"/>
    <n v="4.8099999999999996"/>
    <m/>
    <n v="0"/>
    <x v="99"/>
    <n v="24"/>
    <n v="2024"/>
    <n v="0"/>
    <x v="61"/>
    <n v="0"/>
    <m/>
    <s v="approved"/>
    <n v="0"/>
    <m/>
    <m/>
    <m/>
    <m/>
    <m/>
    <m/>
    <m/>
    <x v="0"/>
    <x v="71"/>
    <x v="1776"/>
    <n v="36856203"/>
    <s v="TK.KWVE30-B-A-S-0038-WW1"/>
    <n v="77"/>
    <n v="370.36999999999995"/>
    <m/>
    <m/>
    <s v="20240797-1.07.2024"/>
    <x v="1"/>
    <x v="0"/>
    <x v="1"/>
    <m/>
  </r>
  <r>
    <x v="0"/>
    <x v="0"/>
    <x v="488"/>
    <x v="75"/>
    <x v="235"/>
    <s v="080814913-8011 "/>
    <n v="0"/>
    <n v="4.8099999999999996"/>
    <n v="150"/>
    <n v="721.49999999999989"/>
    <x v="239"/>
    <n v="24"/>
    <n v="2024"/>
    <n v="0"/>
    <x v="61"/>
    <n v="0"/>
    <m/>
    <s v="approved"/>
    <n v="42"/>
    <s v="no"/>
    <m/>
    <m/>
    <m/>
    <m/>
    <m/>
    <n v="242312"/>
    <x v="0"/>
    <x v="65"/>
    <x v="1777"/>
    <n v="36856166"/>
    <s v="TK.KWVE30-B-A-S-0038-WW1"/>
    <n v="104"/>
    <n v="500.23999999999995"/>
    <m/>
    <m/>
    <s v="20240711-18.06.2024"/>
    <x v="1"/>
    <x v="0"/>
    <x v="1"/>
    <m/>
  </r>
  <r>
    <x v="0"/>
    <x v="0"/>
    <x v="488"/>
    <x v="75"/>
    <x v="235"/>
    <s v="080814913-8011 "/>
    <n v="0"/>
    <n v="4.8099999999999996"/>
    <m/>
    <n v="0"/>
    <x v="239"/>
    <n v="24"/>
    <n v="2024"/>
    <n v="0"/>
    <x v="61"/>
    <n v="0"/>
    <m/>
    <s v="approved"/>
    <n v="0"/>
    <m/>
    <m/>
    <m/>
    <m/>
    <m/>
    <m/>
    <m/>
    <x v="0"/>
    <x v="25"/>
    <x v="1778"/>
    <n v="36856166"/>
    <s v="TK.KWVE30-B-A-S-0038-WW1"/>
    <n v="32"/>
    <n v="153.91999999999999"/>
    <m/>
    <m/>
    <s v="20240728-22.06.2024"/>
    <x v="1"/>
    <x v="0"/>
    <x v="1"/>
    <m/>
  </r>
  <r>
    <x v="0"/>
    <x v="0"/>
    <x v="488"/>
    <x v="75"/>
    <x v="235"/>
    <s v="080814913-8011 "/>
    <n v="0"/>
    <n v="4.8099999999999996"/>
    <m/>
    <n v="0"/>
    <x v="239"/>
    <n v="24"/>
    <n v="2024"/>
    <n v="0"/>
    <x v="61"/>
    <n v="0"/>
    <m/>
    <s v="approved"/>
    <n v="0"/>
    <m/>
    <m/>
    <m/>
    <m/>
    <m/>
    <m/>
    <m/>
    <x v="0"/>
    <x v="70"/>
    <x v="1779"/>
    <n v="36856166"/>
    <s v="TK.KWVE30-B-A-S-0038-WW1"/>
    <n v="14"/>
    <n v="67.339999999999989"/>
    <m/>
    <m/>
    <s v="20240768-27.06.2024"/>
    <x v="1"/>
    <x v="0"/>
    <x v="1"/>
    <m/>
  </r>
  <r>
    <x v="0"/>
    <x v="0"/>
    <x v="489"/>
    <x v="75"/>
    <x v="235"/>
    <s v="080814913-8011 "/>
    <n v="0"/>
    <n v="4.8099999999999996"/>
    <n v="150"/>
    <n v="721.49999999999989"/>
    <x v="100"/>
    <n v="25"/>
    <n v="2024"/>
    <n v="0"/>
    <x v="61"/>
    <n v="0"/>
    <m/>
    <s v="approved"/>
    <n v="42"/>
    <s v="no"/>
    <m/>
    <m/>
    <m/>
    <m/>
    <m/>
    <n v="242602"/>
    <x v="0"/>
    <x v="70"/>
    <x v="1780"/>
    <n v="36856203"/>
    <s v="TK.KWVE30-B-A-S-0038-WW1"/>
    <n v="69"/>
    <n v="331.89"/>
    <m/>
    <m/>
    <s v="20240767-27.06.2024"/>
    <x v="1"/>
    <x v="0"/>
    <x v="1"/>
    <m/>
  </r>
  <r>
    <x v="0"/>
    <x v="0"/>
    <x v="489"/>
    <x v="75"/>
    <x v="235"/>
    <s v="080814913-8011 "/>
    <n v="0"/>
    <n v="4.8099999999999996"/>
    <m/>
    <n v="0"/>
    <x v="100"/>
    <n v="25"/>
    <n v="2024"/>
    <n v="0"/>
    <x v="61"/>
    <n v="0"/>
    <m/>
    <s v="approved"/>
    <n v="0"/>
    <m/>
    <m/>
    <m/>
    <m/>
    <m/>
    <m/>
    <m/>
    <x v="0"/>
    <x v="27"/>
    <x v="1781"/>
    <n v="36856203"/>
    <s v="TK.KWVE30-B-A-S-0038-WW1"/>
    <n v="81"/>
    <n v="389.60999999999996"/>
    <m/>
    <m/>
    <s v="20240787-28.06.2024"/>
    <x v="1"/>
    <x v="0"/>
    <x v="1"/>
    <m/>
  </r>
  <r>
    <x v="0"/>
    <x v="0"/>
    <x v="490"/>
    <x v="75"/>
    <x v="235"/>
    <s v="080814913-8011 "/>
    <n v="0"/>
    <n v="4.8099999999999996"/>
    <n v="150"/>
    <n v="721.49999999999989"/>
    <x v="240"/>
    <n v="26"/>
    <n v="2024"/>
    <n v="0"/>
    <x v="61"/>
    <n v="0"/>
    <m/>
    <s v="approved"/>
    <n v="42"/>
    <s v="no"/>
    <m/>
    <m/>
    <m/>
    <m/>
    <m/>
    <n v="242602"/>
    <x v="0"/>
    <x v="71"/>
    <x v="1782"/>
    <n v="36856208"/>
    <s v="TK.KWVE30-B-A-S-0038-WW1"/>
    <n v="16"/>
    <n v="76.959999999999994"/>
    <m/>
    <m/>
    <s v="20240798-1.07.2024"/>
    <x v="1"/>
    <x v="0"/>
    <x v="1"/>
    <m/>
  </r>
  <r>
    <x v="0"/>
    <x v="0"/>
    <x v="490"/>
    <x v="75"/>
    <x v="235"/>
    <s v="080814913-8011 "/>
    <n v="0"/>
    <n v="4.8099999999999996"/>
    <m/>
    <n v="0"/>
    <x v="240"/>
    <n v="26"/>
    <n v="2024"/>
    <n v="0"/>
    <x v="61"/>
    <n v="0"/>
    <m/>
    <s v="approved"/>
    <n v="0"/>
    <m/>
    <m/>
    <m/>
    <m/>
    <m/>
    <m/>
    <m/>
    <x v="0"/>
    <x v="72"/>
    <x v="1783"/>
    <n v="36856208"/>
    <s v="TK.KWVE30-B-A-S-0038-WW1"/>
    <n v="118"/>
    <n v="567.57999999999993"/>
    <m/>
    <m/>
    <s v="20240804-02.07.2024"/>
    <x v="1"/>
    <x v="0"/>
    <x v="1"/>
    <m/>
  </r>
  <r>
    <x v="0"/>
    <x v="0"/>
    <x v="490"/>
    <x v="75"/>
    <x v="235"/>
    <s v="080814913-8011 "/>
    <n v="0"/>
    <n v="4.8099999999999996"/>
    <m/>
    <n v="0"/>
    <x v="240"/>
    <n v="26"/>
    <n v="2024"/>
    <n v="0"/>
    <x v="61"/>
    <n v="0"/>
    <m/>
    <s v="approved"/>
    <n v="0"/>
    <m/>
    <m/>
    <m/>
    <m/>
    <m/>
    <m/>
    <m/>
    <x v="0"/>
    <x v="73"/>
    <x v="1784"/>
    <n v="36856208"/>
    <s v="TK.KWVE30-B-A-S-0038-WW1"/>
    <n v="16"/>
    <n v="76.959999999999994"/>
    <m/>
    <m/>
    <s v="20240817-03.07.2024"/>
    <x v="1"/>
    <x v="0"/>
    <x v="1"/>
    <m/>
  </r>
  <r>
    <x v="0"/>
    <x v="0"/>
    <x v="490"/>
    <x v="75"/>
    <x v="235"/>
    <s v="080814913-8011 "/>
    <n v="0"/>
    <n v="4.8099999999999996"/>
    <n v="150"/>
    <n v="721.49999999999989"/>
    <x v="180"/>
    <n v="26"/>
    <n v="2024"/>
    <n v="0"/>
    <x v="61"/>
    <n v="0"/>
    <m/>
    <s v="approved"/>
    <n v="42"/>
    <s v="no"/>
    <m/>
    <m/>
    <m/>
    <m/>
    <m/>
    <n v="242602"/>
    <x v="0"/>
    <x v="73"/>
    <x v="1784"/>
    <n v="36856208"/>
    <s v="TK.KWVE30-B-A-S-0038-WW1"/>
    <n v="112"/>
    <n v="538.71999999999991"/>
    <m/>
    <m/>
    <s v="20240817-03.07.2024"/>
    <x v="1"/>
    <x v="0"/>
    <x v="1"/>
    <m/>
  </r>
  <r>
    <x v="0"/>
    <x v="0"/>
    <x v="490"/>
    <x v="31"/>
    <x v="235"/>
    <s v="080814913-8011 "/>
    <n v="0"/>
    <n v="4.8099999999999996"/>
    <m/>
    <n v="0"/>
    <x v="180"/>
    <n v="26"/>
    <n v="2024"/>
    <n v="0"/>
    <x v="61"/>
    <n v="0"/>
    <m/>
    <s v="approved"/>
    <n v="0"/>
    <m/>
    <m/>
    <m/>
    <m/>
    <m/>
    <m/>
    <m/>
    <x v="0"/>
    <x v="9"/>
    <x v="1785"/>
    <n v="36856208"/>
    <s v="TK.KWVE30-B-A-S-0038-WW1"/>
    <n v="38"/>
    <n v="182.77999999999997"/>
    <m/>
    <m/>
    <s v="20240819-04.07.2024"/>
    <x v="1"/>
    <x v="0"/>
    <x v="1"/>
    <m/>
  </r>
  <r>
    <x v="0"/>
    <x v="0"/>
    <x v="491"/>
    <x v="133"/>
    <x v="235"/>
    <s v="080814913-8011 "/>
    <n v="0"/>
    <n v="4.8099999999999996"/>
    <n v="75"/>
    <n v="360.74999999999994"/>
    <x v="241"/>
    <n v="27"/>
    <n v="2024"/>
    <n v="0"/>
    <x v="61"/>
    <n v="0"/>
    <m/>
    <s v="approved"/>
    <n v="42"/>
    <s v="no"/>
    <m/>
    <m/>
    <m/>
    <m/>
    <m/>
    <n v="242704"/>
    <x v="0"/>
    <x v="9"/>
    <x v="1786"/>
    <n v="37069108"/>
    <s v="TK.KWVE30-B-A-S-0038-WW1"/>
    <n v="20"/>
    <n v="96.199999999999989"/>
    <m/>
    <m/>
    <s v="20240823-04.07.2024"/>
    <x v="0"/>
    <x v="8"/>
    <x v="1"/>
    <m/>
  </r>
  <r>
    <x v="0"/>
    <x v="0"/>
    <x v="491"/>
    <x v="133"/>
    <x v="235"/>
    <s v="080814913-8011 "/>
    <n v="0"/>
    <n v="4.8099999999999996"/>
    <m/>
    <n v="0"/>
    <x v="241"/>
    <n v="27"/>
    <n v="2024"/>
    <n v="0"/>
    <x v="61"/>
    <n v="0"/>
    <m/>
    <s v="approved"/>
    <n v="0"/>
    <m/>
    <m/>
    <m/>
    <m/>
    <m/>
    <m/>
    <m/>
    <x v="0"/>
    <x v="32"/>
    <x v="1787"/>
    <n v="37069108"/>
    <s v="TK.KWVE30-B-A-S-0038-WW1"/>
    <n v="55"/>
    <n v="264.54999999999995"/>
    <m/>
    <m/>
    <s v="20240842-05.07.2024"/>
    <x v="1"/>
    <x v="8"/>
    <x v="1"/>
    <m/>
  </r>
  <r>
    <x v="0"/>
    <x v="0"/>
    <x v="491"/>
    <x v="133"/>
    <x v="235"/>
    <s v="080814913-8011 "/>
    <n v="0"/>
    <n v="4.8099999999999996"/>
    <n v="75"/>
    <n v="360.74999999999994"/>
    <x v="101"/>
    <n v="27"/>
    <n v="2024"/>
    <n v="0"/>
    <x v="61"/>
    <n v="0"/>
    <m/>
    <s v="approved"/>
    <n v="42"/>
    <s v="no"/>
    <m/>
    <m/>
    <m/>
    <m/>
    <m/>
    <n v="242704"/>
    <x v="0"/>
    <x v="32"/>
    <x v="1787"/>
    <n v="37069108"/>
    <s v="TK.KWVE30-B-A-S-0038-WW1"/>
    <n v="61"/>
    <n v="293.40999999999997"/>
    <m/>
    <m/>
    <s v="20240842-05.07.2024"/>
    <x v="0"/>
    <x v="8"/>
    <x v="1"/>
    <m/>
  </r>
  <r>
    <x v="0"/>
    <x v="0"/>
    <x v="491"/>
    <x v="133"/>
    <x v="235"/>
    <s v="080814913-8011 "/>
    <n v="0"/>
    <n v="4.8099999999999996"/>
    <m/>
    <n v="0"/>
    <x v="101"/>
    <n v="27"/>
    <n v="2024"/>
    <n v="0"/>
    <x v="61"/>
    <n v="0"/>
    <m/>
    <s v="approved"/>
    <n v="0"/>
    <m/>
    <m/>
    <m/>
    <m/>
    <m/>
    <m/>
    <m/>
    <x v="0"/>
    <x v="262"/>
    <x v="1788"/>
    <n v="37069108"/>
    <s v="TK.KWVE30-B-A-S-0038-WW1"/>
    <n v="14"/>
    <n v="67.339999999999989"/>
    <m/>
    <m/>
    <s v="20240845-08.07.2024"/>
    <x v="1"/>
    <x v="8"/>
    <x v="1"/>
    <m/>
  </r>
  <r>
    <x v="0"/>
    <x v="0"/>
    <x v="492"/>
    <x v="133"/>
    <x v="235"/>
    <s v="080814913-8011 "/>
    <n v="0"/>
    <n v="4.8099999999999996"/>
    <n v="75"/>
    <n v="360.74999999999994"/>
    <x v="125"/>
    <n v="28"/>
    <n v="2024"/>
    <n v="0"/>
    <x v="61"/>
    <n v="0"/>
    <m/>
    <s v="approved"/>
    <n v="42"/>
    <s v="no"/>
    <m/>
    <m/>
    <m/>
    <m/>
    <m/>
    <n v="242704"/>
    <x v="0"/>
    <x v="262"/>
    <x v="1789"/>
    <n v="37069118"/>
    <s v="TK.KWVE30-B-A-S-0038-WW1"/>
    <n v="50"/>
    <n v="240.49999999999997"/>
    <m/>
    <m/>
    <s v="20240846-08.07.2024"/>
    <x v="0"/>
    <x v="8"/>
    <x v="1"/>
    <m/>
  </r>
  <r>
    <x v="0"/>
    <x v="0"/>
    <x v="492"/>
    <x v="133"/>
    <x v="235"/>
    <s v="080814913-8011 "/>
    <n v="0"/>
    <n v="4.8099999999999996"/>
    <m/>
    <n v="0"/>
    <x v="125"/>
    <n v="28"/>
    <n v="2024"/>
    <n v="0"/>
    <x v="61"/>
    <n v="0"/>
    <m/>
    <s v="approved"/>
    <n v="0"/>
    <m/>
    <m/>
    <m/>
    <m/>
    <m/>
    <m/>
    <m/>
    <x v="0"/>
    <x v="231"/>
    <x v="1790"/>
    <n v="37069118"/>
    <s v="TK.KWVE30-B-A-S-0038-WW1"/>
    <n v="25"/>
    <n v="120.24999999999999"/>
    <m/>
    <m/>
    <s v="20240873-12.07.2024"/>
    <x v="1"/>
    <x v="8"/>
    <x v="1"/>
    <m/>
  </r>
  <r>
    <x v="0"/>
    <x v="0"/>
    <x v="492"/>
    <x v="133"/>
    <x v="235"/>
    <s v="080814913-8011 "/>
    <n v="0"/>
    <n v="4.8099999999999996"/>
    <n v="75"/>
    <n v="360.74999999999994"/>
    <x v="102"/>
    <n v="28"/>
    <n v="2024"/>
    <n v="0"/>
    <x v="61"/>
    <n v="0"/>
    <m/>
    <s v="approved"/>
    <n v="42"/>
    <s v="no"/>
    <m/>
    <m/>
    <m/>
    <m/>
    <m/>
    <n v="242704"/>
    <x v="0"/>
    <x v="231"/>
    <x v="1790"/>
    <n v="37069118"/>
    <s v="TK.KWVE30-B-A-S-0038-WW1"/>
    <n v="75"/>
    <n v="360.74999999999994"/>
    <m/>
    <m/>
    <s v="20240873-12.07.2024"/>
    <x v="0"/>
    <x v="8"/>
    <x v="1"/>
    <m/>
  </r>
  <r>
    <x v="0"/>
    <x v="0"/>
    <x v="493"/>
    <x v="133"/>
    <x v="235"/>
    <s v="080814913-8011 "/>
    <n v="0"/>
    <n v="4.8099999999999996"/>
    <n v="75"/>
    <n v="360.74999999999994"/>
    <x v="464"/>
    <n v="29"/>
    <n v="2024"/>
    <n v="0"/>
    <x v="61"/>
    <n v="0"/>
    <m/>
    <s v="approved"/>
    <n v="42"/>
    <s v="no"/>
    <m/>
    <m/>
    <m/>
    <m/>
    <m/>
    <n v="242715"/>
    <x v="0"/>
    <x v="231"/>
    <x v="1791"/>
    <n v="37069129"/>
    <s v="TK.KWVE30-B-A-S-0038-WW1"/>
    <n v="52"/>
    <n v="250.11999999999998"/>
    <m/>
    <m/>
    <s v="20240874-12.07.2024"/>
    <x v="0"/>
    <x v="8"/>
    <x v="1"/>
    <m/>
  </r>
  <r>
    <x v="0"/>
    <x v="0"/>
    <x v="493"/>
    <x v="133"/>
    <x v="235"/>
    <s v="080814913-8011 "/>
    <n v="0"/>
    <n v="4.8099999999999996"/>
    <m/>
    <n v="0"/>
    <x v="464"/>
    <n v="29"/>
    <n v="2024"/>
    <n v="0"/>
    <x v="61"/>
    <n v="0"/>
    <m/>
    <s v="approved"/>
    <n v="0"/>
    <m/>
    <m/>
    <m/>
    <m/>
    <m/>
    <m/>
    <m/>
    <x v="0"/>
    <x v="61"/>
    <x v="1792"/>
    <n v="37069129"/>
    <s v="TK.KWVE30-B-A-S-0038-WW1"/>
    <n v="23"/>
    <n v="110.63"/>
    <m/>
    <m/>
    <s v="20240902-18.07.2024"/>
    <x v="0"/>
    <x v="8"/>
    <x v="1"/>
    <m/>
  </r>
  <r>
    <x v="0"/>
    <x v="0"/>
    <x v="493"/>
    <x v="133"/>
    <x v="235"/>
    <s v="080814913-8011 "/>
    <n v="0"/>
    <n v="4.8099999999999996"/>
    <n v="75"/>
    <n v="360.74999999999994"/>
    <x v="466"/>
    <n v="29"/>
    <n v="2024"/>
    <n v="0"/>
    <x v="61"/>
    <n v="0"/>
    <m/>
    <s v="approved"/>
    <n v="42"/>
    <s v="no"/>
    <m/>
    <m/>
    <m/>
    <m/>
    <m/>
    <n v="242715"/>
    <x v="0"/>
    <x v="61"/>
    <x v="1792"/>
    <n v="37069129"/>
    <s v="TK.KWVE30-B-A-S-0038-WW1"/>
    <n v="75"/>
    <n v="360.74999999999994"/>
    <m/>
    <m/>
    <s v="20240902-18.07.2024"/>
    <x v="0"/>
    <x v="8"/>
    <x v="1"/>
    <m/>
  </r>
  <r>
    <x v="0"/>
    <x v="0"/>
    <x v="494"/>
    <x v="198"/>
    <x v="235"/>
    <s v="080814913-8011 "/>
    <n v="0"/>
    <n v="4.8099999999999996"/>
    <n v="100"/>
    <n v="480.99999999999994"/>
    <x v="104"/>
    <n v="32"/>
    <n v="2024"/>
    <n v="0"/>
    <x v="61"/>
    <n v="0"/>
    <m/>
    <s v="approved"/>
    <n v="42"/>
    <s v="no"/>
    <m/>
    <m/>
    <m/>
    <m/>
    <m/>
    <m/>
    <x v="0"/>
    <x v="84"/>
    <x v="1793"/>
    <n v="37327735"/>
    <s v="TK.KWVE30-B-A-S-0038-WW1"/>
    <n v="100"/>
    <n v="480.99999999999994"/>
    <m/>
    <m/>
    <s v="20241015-06.08.2024"/>
    <x v="0"/>
    <x v="9"/>
    <x v="1"/>
    <m/>
  </r>
  <r>
    <x v="0"/>
    <x v="0"/>
    <x v="495"/>
    <x v="198"/>
    <x v="235"/>
    <s v="080814913-8011 "/>
    <n v="0"/>
    <n v="4.8099999999999996"/>
    <n v="100"/>
    <n v="480.99999999999994"/>
    <x v="105"/>
    <n v="33"/>
    <n v="2024"/>
    <n v="0"/>
    <x v="61"/>
    <n v="0"/>
    <m/>
    <s v="approved"/>
    <n v="42"/>
    <s v="no"/>
    <m/>
    <m/>
    <m/>
    <m/>
    <m/>
    <m/>
    <x v="0"/>
    <x v="86"/>
    <x v="1794"/>
    <n v="37327739"/>
    <s v="TK.KWVE30-B-A-S-0038-WW1"/>
    <n v="100"/>
    <n v="480.99999999999994"/>
    <m/>
    <m/>
    <s v="20241035-09.08.2024"/>
    <x v="0"/>
    <x v="9"/>
    <x v="1"/>
    <m/>
  </r>
  <r>
    <x v="0"/>
    <x v="0"/>
    <x v="496"/>
    <x v="12"/>
    <x v="235"/>
    <s v="080814913-8011 "/>
    <n v="0"/>
    <n v="4.8099999999999996"/>
    <n v="200"/>
    <n v="961.99999999999989"/>
    <x v="107"/>
    <n v="40"/>
    <n v="2024"/>
    <n v="0"/>
    <x v="61"/>
    <n v="0"/>
    <m/>
    <s v="approved"/>
    <n v="42"/>
    <m/>
    <m/>
    <m/>
    <m/>
    <m/>
    <m/>
    <m/>
    <x v="0"/>
    <x v="88"/>
    <x v="1795"/>
    <n v="37672788"/>
    <s v="TK.KWVE30-B-A-S-0038-WW1"/>
    <n v="159"/>
    <n v="764.79"/>
    <m/>
    <m/>
    <s v="20241245-30.09.2024"/>
    <x v="0"/>
    <x v="11"/>
    <x v="1"/>
    <m/>
  </r>
  <r>
    <x v="0"/>
    <x v="0"/>
    <x v="496"/>
    <x v="12"/>
    <x v="235"/>
    <s v="080814913-8011 "/>
    <n v="0"/>
    <n v="4.8099999999999996"/>
    <n v="0"/>
    <n v="0"/>
    <x v="107"/>
    <n v="40"/>
    <n v="2024"/>
    <n v="0"/>
    <x v="61"/>
    <n v="0"/>
    <m/>
    <s v="approved"/>
    <n v="0"/>
    <m/>
    <m/>
    <m/>
    <m/>
    <m/>
    <m/>
    <m/>
    <x v="0"/>
    <x v="354"/>
    <x v="1796"/>
    <n v="37672788"/>
    <s v="TK.KWVE30-B-A-S-0038-WW1"/>
    <n v="41"/>
    <n v="197.20999999999998"/>
    <m/>
    <m/>
    <s v="20241281-08.10.2024"/>
    <x v="1"/>
    <x v="11"/>
    <x v="1"/>
    <m/>
  </r>
  <r>
    <x v="0"/>
    <x v="0"/>
    <x v="497"/>
    <x v="12"/>
    <x v="235"/>
    <s v="080814913-8011 "/>
    <n v="0"/>
    <n v="4.8099999999999996"/>
    <n v="200"/>
    <n v="961.99999999999989"/>
    <x v="108"/>
    <n v="41"/>
    <n v="2024"/>
    <n v="0"/>
    <x v="61"/>
    <n v="0"/>
    <m/>
    <s v="approved"/>
    <n v="42"/>
    <m/>
    <m/>
    <m/>
    <m/>
    <m/>
    <m/>
    <m/>
    <x v="0"/>
    <x v="354"/>
    <x v="1797"/>
    <n v="37672799"/>
    <s v="TK.KWVE30-B-A-S-0038-WW1"/>
    <n v="14"/>
    <n v="67.339999999999989"/>
    <m/>
    <m/>
    <s v="20241280-08.10.2024"/>
    <x v="0"/>
    <x v="11"/>
    <x v="1"/>
    <m/>
  </r>
  <r>
    <x v="0"/>
    <x v="0"/>
    <x v="497"/>
    <x v="12"/>
    <x v="235"/>
    <s v="080814913-8011 "/>
    <n v="0"/>
    <n v="4.8099999999999996"/>
    <n v="0"/>
    <n v="0"/>
    <x v="108"/>
    <n v="41"/>
    <n v="2024"/>
    <n v="0"/>
    <x v="61"/>
    <n v="0"/>
    <m/>
    <s v="approved"/>
    <n v="42"/>
    <m/>
    <m/>
    <m/>
    <m/>
    <m/>
    <m/>
    <m/>
    <x v="0"/>
    <x v="8"/>
    <x v="1798"/>
    <n v="37672799"/>
    <s v="TK.KWVE30-B-A-S-0038-WW1"/>
    <n v="186"/>
    <n v="894.66"/>
    <m/>
    <m/>
    <s v="20241313-16.10.2024"/>
    <x v="1"/>
    <x v="11"/>
    <x v="1"/>
    <m/>
  </r>
  <r>
    <x v="0"/>
    <x v="0"/>
    <x v="498"/>
    <x v="12"/>
    <x v="235"/>
    <s v="080814913-8011 "/>
    <n v="0"/>
    <n v="4.8099999999999996"/>
    <n v="133"/>
    <n v="639.7299999999999"/>
    <x v="245"/>
    <n v="42"/>
    <n v="2024"/>
    <n v="0"/>
    <x v="61"/>
    <n v="0"/>
    <m/>
    <s v="approved"/>
    <n v="42"/>
    <m/>
    <m/>
    <m/>
    <m/>
    <m/>
    <m/>
    <m/>
    <x v="0"/>
    <x v="8"/>
    <x v="1799"/>
    <n v="37672808"/>
    <s v="TK.KWVE30-B-A-S-0038-WW1"/>
    <n v="133"/>
    <n v="639.7299999999999"/>
    <m/>
    <m/>
    <s v="20241314-16.10.2024"/>
    <x v="0"/>
    <x v="11"/>
    <x v="1"/>
    <m/>
  </r>
  <r>
    <x v="0"/>
    <x v="0"/>
    <x v="498"/>
    <x v="12"/>
    <x v="235"/>
    <s v="080814913-8011 "/>
    <n v="0"/>
    <n v="4.8099999999999996"/>
    <n v="67"/>
    <n v="322.27"/>
    <x v="245"/>
    <n v="42"/>
    <n v="2024"/>
    <n v="0"/>
    <x v="61"/>
    <n v="0"/>
    <n v="60"/>
    <s v="approved"/>
    <n v="42"/>
    <s v="yes"/>
    <m/>
    <m/>
    <m/>
    <m/>
    <m/>
    <m/>
    <x v="0"/>
    <x v="13"/>
    <x v="1800"/>
    <n v="37672808"/>
    <s v="TK.KWVE30-B-A-S-0038-WW1"/>
    <n v="67"/>
    <n v="322.27"/>
    <m/>
    <m/>
    <s v="20241331-18.10.2024"/>
    <x v="1"/>
    <x v="11"/>
    <x v="1"/>
    <m/>
  </r>
  <r>
    <x v="0"/>
    <x v="0"/>
    <x v="498"/>
    <x v="12"/>
    <x v="235"/>
    <s v="080814913-8011 "/>
    <n v="0"/>
    <n v="4.8099999999999996"/>
    <n v="28"/>
    <n v="134.67999999999998"/>
    <x v="246"/>
    <n v="43"/>
    <n v="2024"/>
    <n v="0"/>
    <x v="61"/>
    <n v="0"/>
    <n v="60"/>
    <s v="approved"/>
    <n v="42"/>
    <s v="yes"/>
    <m/>
    <m/>
    <m/>
    <m/>
    <m/>
    <m/>
    <x v="0"/>
    <x v="13"/>
    <x v="1801"/>
    <n v="37672808"/>
    <s v="TK.KWVE30-B-A-S-0038-WW1"/>
    <n v="28"/>
    <n v="134.67999999999998"/>
    <m/>
    <m/>
    <s v="20241332-18.10.2024"/>
    <x v="0"/>
    <x v="11"/>
    <x v="1"/>
    <m/>
  </r>
  <r>
    <x v="0"/>
    <x v="0"/>
    <x v="499"/>
    <x v="43"/>
    <x v="235"/>
    <s v="080814913-8011 "/>
    <n v="0"/>
    <n v="4.8099999999999996"/>
    <n v="64"/>
    <n v="307.83999999999997"/>
    <x v="109"/>
    <n v="45"/>
    <n v="2024"/>
    <n v="0"/>
    <x v="61"/>
    <n v="0"/>
    <m/>
    <s v="approved"/>
    <n v="42"/>
    <s v="no"/>
    <m/>
    <m/>
    <m/>
    <m/>
    <m/>
    <m/>
    <x v="0"/>
    <x v="308"/>
    <x v="1802"/>
    <n v="37871644"/>
    <s v="TK.KWVE30-B-A-S-0038-WW1"/>
    <n v="64"/>
    <n v="307.83999999999997"/>
    <m/>
    <m/>
    <s v="20241373-31.10.2024"/>
    <x v="0"/>
    <x v="4"/>
    <x v="1"/>
    <m/>
  </r>
  <r>
    <x v="0"/>
    <x v="0"/>
    <x v="499"/>
    <x v="43"/>
    <x v="235"/>
    <s v="080814913-8011 "/>
    <n v="0"/>
    <n v="4.8099999999999996"/>
    <n v="379"/>
    <n v="1822.9899999999998"/>
    <x v="109"/>
    <n v="45"/>
    <n v="2024"/>
    <n v="0"/>
    <x v="61"/>
    <n v="0"/>
    <m/>
    <s v="approved"/>
    <n v="42"/>
    <s v="no"/>
    <m/>
    <m/>
    <m/>
    <m/>
    <m/>
    <m/>
    <x v="0"/>
    <x v="269"/>
    <x v="1803"/>
    <n v="37871644"/>
    <s v="TK.KWVE30-B-A-S-0038-WW1"/>
    <n v="379"/>
    <n v="1822.9899999999998"/>
    <m/>
    <m/>
    <s v="20241434-12.11.2024"/>
    <x v="1"/>
    <x v="4"/>
    <x v="1"/>
    <m/>
  </r>
  <r>
    <x v="0"/>
    <x v="0"/>
    <x v="499"/>
    <x v="43"/>
    <x v="235"/>
    <s v="080814913-8011 "/>
    <n v="0"/>
    <n v="4.8099999999999996"/>
    <n v="7"/>
    <n v="33.669999999999995"/>
    <x v="109"/>
    <n v="45"/>
    <n v="2024"/>
    <n v="0"/>
    <x v="61"/>
    <n v="0"/>
    <m/>
    <s v="approved"/>
    <n v="42"/>
    <s v="no"/>
    <m/>
    <m/>
    <m/>
    <m/>
    <m/>
    <m/>
    <x v="0"/>
    <x v="244"/>
    <x v="1804"/>
    <n v="37871644"/>
    <s v="TK.KWVE30-B-A-S-0038-WW1"/>
    <n v="7"/>
    <n v="33.669999999999995"/>
    <m/>
    <m/>
    <s v="20241446-18.11.2024"/>
    <x v="1"/>
    <x v="4"/>
    <x v="1"/>
    <m/>
  </r>
  <r>
    <x v="0"/>
    <x v="0"/>
    <x v="499"/>
    <x v="43"/>
    <x v="235"/>
    <s v="080814913-8011 "/>
    <n v="0"/>
    <n v="4.8099999999999996"/>
    <n v="200"/>
    <n v="961.99999999999989"/>
    <x v="247"/>
    <n v="46"/>
    <n v="2024"/>
    <n v="0"/>
    <x v="61"/>
    <n v="0"/>
    <m/>
    <s v="approved"/>
    <n v="42"/>
    <s v="no"/>
    <m/>
    <m/>
    <m/>
    <m/>
    <m/>
    <m/>
    <x v="0"/>
    <x v="244"/>
    <x v="1804"/>
    <n v="37871644"/>
    <s v="TK.KWVE30-B-A-S-0038-WW1"/>
    <n v="200"/>
    <n v="961.99999999999989"/>
    <m/>
    <m/>
    <s v="20241446-18.11.2024"/>
    <x v="1"/>
    <x v="4"/>
    <x v="1"/>
    <m/>
  </r>
  <r>
    <x v="0"/>
    <x v="0"/>
    <x v="499"/>
    <x v="43"/>
    <x v="235"/>
    <s v="080814913-8011 "/>
    <n v="0"/>
    <n v="4.8099999999999996"/>
    <n v="22"/>
    <n v="105.82"/>
    <x v="247"/>
    <n v="46"/>
    <n v="2024"/>
    <n v="0"/>
    <x v="61"/>
    <n v="0"/>
    <m/>
    <s v="approved"/>
    <n v="42"/>
    <s v="no"/>
    <m/>
    <m/>
    <m/>
    <m/>
    <m/>
    <m/>
    <x v="0"/>
    <x v="333"/>
    <x v="1805"/>
    <n v="37871644"/>
    <s v="TK.KWVE30-B-A-S-0038-WW1"/>
    <n v="22"/>
    <n v="105.82"/>
    <m/>
    <m/>
    <s v="20241482-27.11.2024"/>
    <x v="1"/>
    <x v="4"/>
    <x v="1"/>
    <m/>
  </r>
  <r>
    <x v="0"/>
    <x v="0"/>
    <x v="500"/>
    <x v="199"/>
    <x v="235"/>
    <s v="080814913-8011 "/>
    <n v="0"/>
    <n v="4.8099999999999996"/>
    <n v="403"/>
    <n v="1938.4299999999998"/>
    <x v="468"/>
    <n v="49"/>
    <n v="2024"/>
    <n v="0"/>
    <x v="61"/>
    <n v="0"/>
    <m/>
    <s v="approved"/>
    <n v="42"/>
    <s v="no"/>
    <m/>
    <m/>
    <m/>
    <m/>
    <m/>
    <m/>
    <x v="0"/>
    <x v="90"/>
    <x v="1806"/>
    <n v="38036668"/>
    <s v="TK.KWVE30-B-A-S-0038-WW1"/>
    <n v="403"/>
    <n v="1938.4299999999998"/>
    <m/>
    <m/>
    <s v="20241499-03.12.2024"/>
    <x v="0"/>
    <x v="3"/>
    <x v="1"/>
    <m/>
  </r>
  <r>
    <x v="0"/>
    <x v="0"/>
    <x v="500"/>
    <x v="199"/>
    <x v="235"/>
    <s v="080814913-8011 "/>
    <n v="0"/>
    <n v="4.8099999999999996"/>
    <n v="107"/>
    <n v="514.66999999999996"/>
    <x v="250"/>
    <n v="50"/>
    <n v="2024"/>
    <n v="0"/>
    <x v="61"/>
    <n v="0"/>
    <m/>
    <s v="approved"/>
    <n v="42"/>
    <s v="no"/>
    <m/>
    <m/>
    <m/>
    <m/>
    <m/>
    <m/>
    <x v="0"/>
    <x v="271"/>
    <x v="1807"/>
    <n v="38036668"/>
    <s v="TK.KWVE30-B-A-S-0038-WW1"/>
    <n v="107"/>
    <n v="514.66999999999996"/>
    <m/>
    <m/>
    <s v="20250005-09.01.2025"/>
    <x v="1"/>
    <x v="3"/>
    <x v="1"/>
    <m/>
  </r>
  <r>
    <x v="0"/>
    <x v="0"/>
    <x v="500"/>
    <x v="199"/>
    <x v="235"/>
    <s v="080814913-8011 "/>
    <n v="0"/>
    <n v="4.8099999999999996"/>
    <n v="139"/>
    <n v="668.58999999999992"/>
    <x v="250"/>
    <n v="50"/>
    <n v="2024"/>
    <n v="0"/>
    <x v="61"/>
    <n v="0"/>
    <m/>
    <s v="approved"/>
    <n v="42"/>
    <s v="no"/>
    <m/>
    <m/>
    <m/>
    <m/>
    <m/>
    <m/>
    <x v="0"/>
    <x v="245"/>
    <x v="1808"/>
    <n v="38036668"/>
    <s v="TK.KWVE30-B-A-S-0038-WW1"/>
    <n v="139"/>
    <n v="668.58999999999992"/>
    <m/>
    <m/>
    <s v="20250013-10.01.2025"/>
    <x v="1"/>
    <x v="3"/>
    <x v="1"/>
    <m/>
  </r>
  <r>
    <x v="0"/>
    <x v="0"/>
    <x v="500"/>
    <x v="199"/>
    <x v="235"/>
    <s v="080814913-8011 "/>
    <n v="0"/>
    <n v="4.8099999999999996"/>
    <n v="51"/>
    <n v="245.30999999999997"/>
    <x v="250"/>
    <n v="50"/>
    <n v="2024"/>
    <n v="0"/>
    <x v="61"/>
    <n v="0"/>
    <m/>
    <s v="approved"/>
    <n v="42"/>
    <s v="no"/>
    <m/>
    <m/>
    <m/>
    <m/>
    <m/>
    <m/>
    <x v="0"/>
    <x v="272"/>
    <x v="1809"/>
    <n v="38036668"/>
    <s v="TK.KWVE30-B-A-S-0038-WW1"/>
    <n v="51"/>
    <n v="245.30999999999997"/>
    <m/>
    <m/>
    <s v="20250028-14.01.2025"/>
    <x v="1"/>
    <x v="3"/>
    <x v="1"/>
    <m/>
  </r>
  <r>
    <x v="0"/>
    <x v="0"/>
    <x v="501"/>
    <x v="136"/>
    <x v="235"/>
    <s v="080814913-8011 "/>
    <n v="0"/>
    <n v="4.8099999999999996"/>
    <n v="100"/>
    <n v="480.99999999999994"/>
    <x v="251"/>
    <n v="2"/>
    <n v="2025"/>
    <n v="0"/>
    <x v="61"/>
    <n v="0"/>
    <m/>
    <s v="approved"/>
    <n v="42"/>
    <s v="no"/>
    <m/>
    <m/>
    <m/>
    <m/>
    <m/>
    <m/>
    <x v="0"/>
    <x v="272"/>
    <x v="1810"/>
    <n v="38215976"/>
    <s v="TK.KWVE30-B-A-S-0038-WW1"/>
    <n v="100"/>
    <n v="480.99999999999994"/>
    <m/>
    <m/>
    <s v="20250029-14.01.2025"/>
    <x v="1"/>
    <x v="6"/>
    <x v="0"/>
    <m/>
  </r>
  <r>
    <x v="0"/>
    <x v="0"/>
    <x v="502"/>
    <x v="195"/>
    <x v="235"/>
    <s v="080814913-8011 "/>
    <n v="0"/>
    <n v="4.8099999999999996"/>
    <n v="9"/>
    <n v="43.29"/>
    <x v="457"/>
    <n v="6"/>
    <n v="2025"/>
    <n v="0"/>
    <x v="61"/>
    <n v="0"/>
    <m/>
    <s v="approved"/>
    <n v="42"/>
    <s v="no"/>
    <m/>
    <m/>
    <m/>
    <m/>
    <m/>
    <m/>
    <x v="0"/>
    <x v="42"/>
    <x v="1811"/>
    <n v="38474510"/>
    <s v="TK.KWVE30-B-A-S-0038-WW1"/>
    <n v="9"/>
    <n v="43.29"/>
    <m/>
    <m/>
    <s v="20250121-07.02.2025"/>
    <x v="0"/>
    <x v="7"/>
    <x v="0"/>
    <m/>
  </r>
  <r>
    <x v="0"/>
    <x v="0"/>
    <x v="502"/>
    <x v="195"/>
    <x v="235"/>
    <s v="080814913-8011 "/>
    <n v="0"/>
    <n v="4.8099999999999996"/>
    <n v="160"/>
    <n v="769.59999999999991"/>
    <x v="457"/>
    <n v="6"/>
    <n v="2025"/>
    <n v="0"/>
    <x v="61"/>
    <n v="0"/>
    <m/>
    <s v="approved"/>
    <n v="42"/>
    <s v="no"/>
    <m/>
    <m/>
    <m/>
    <m/>
    <s v="Yes"/>
    <m/>
    <x v="0"/>
    <x v="273"/>
    <x v="1812"/>
    <n v="38474510"/>
    <s v="TK.KWVE30-B-A-S-0038-WW1"/>
    <n v="160"/>
    <n v="769.59999999999991"/>
    <m/>
    <m/>
    <s v="20250149-11.02.2025"/>
    <x v="1"/>
    <x v="7"/>
    <x v="0"/>
    <m/>
  </r>
  <r>
    <x v="0"/>
    <x v="0"/>
    <x v="502"/>
    <x v="195"/>
    <x v="235"/>
    <s v="080814913-8011 "/>
    <n v="0"/>
    <n v="4.8099999999999996"/>
    <n v="131"/>
    <n v="630.1099999999999"/>
    <x v="457"/>
    <n v="6"/>
    <n v="2025"/>
    <n v="0"/>
    <x v="61"/>
    <n v="0"/>
    <m/>
    <s v="approved"/>
    <n v="42"/>
    <s v="no"/>
    <m/>
    <m/>
    <m/>
    <m/>
    <s v="Yes"/>
    <m/>
    <x v="0"/>
    <x v="328"/>
    <x v="1813"/>
    <n v="38474510"/>
    <s v="TK.KWVE30-B-A-S-0038-WW1"/>
    <n v="131"/>
    <n v="630.1099999999999"/>
    <m/>
    <m/>
    <s v="20250151-12.02.2025"/>
    <x v="1"/>
    <x v="7"/>
    <x v="0"/>
    <m/>
  </r>
  <r>
    <x v="0"/>
    <x v="0"/>
    <x v="502"/>
    <x v="195"/>
    <x v="235"/>
    <s v="080814913-8011 "/>
    <n v="0"/>
    <n v="4.8099999999999996"/>
    <n v="125"/>
    <n v="601.25"/>
    <x v="56"/>
    <n v="7"/>
    <n v="2025"/>
    <n v="0"/>
    <x v="61"/>
    <n v="0"/>
    <m/>
    <s v="approved"/>
    <n v="42"/>
    <s v="no"/>
    <m/>
    <m/>
    <m/>
    <m/>
    <s v="Yes"/>
    <m/>
    <x v="0"/>
    <x v="328"/>
    <x v="1813"/>
    <n v="38474510"/>
    <s v="TK.KWVE30-B-A-S-0038-WW1"/>
    <n v="125"/>
    <n v="601.25"/>
    <m/>
    <m/>
    <s v="20250151-12.02.2025"/>
    <x v="0"/>
    <x v="7"/>
    <x v="0"/>
    <m/>
  </r>
  <r>
    <x v="0"/>
    <x v="0"/>
    <x v="502"/>
    <x v="195"/>
    <x v="235"/>
    <s v="080814913-8011 "/>
    <n v="0"/>
    <n v="4.8099999999999996"/>
    <n v="175"/>
    <n v="841.74999999999989"/>
    <x v="56"/>
    <n v="7"/>
    <n v="2025"/>
    <n v="0"/>
    <x v="61"/>
    <n v="0"/>
    <m/>
    <s v="approved"/>
    <n v="42"/>
    <s v="no"/>
    <m/>
    <m/>
    <m/>
    <m/>
    <s v="Yes"/>
    <m/>
    <x v="0"/>
    <x v="373"/>
    <x v="1814"/>
    <n v="38474510"/>
    <s v="TK.KWVE30-B-A-S-0038-WW1"/>
    <n v="175"/>
    <n v="841.74999999999989"/>
    <m/>
    <m/>
    <s v="20250153-13.02.2025"/>
    <x v="0"/>
    <x v="7"/>
    <x v="0"/>
    <m/>
  </r>
  <r>
    <x v="0"/>
    <x v="0"/>
    <x v="503"/>
    <x v="139"/>
    <x v="235"/>
    <s v="080814913-8011 "/>
    <n v="0"/>
    <n v="4.8099999999999996"/>
    <n v="120"/>
    <n v="577.19999999999993"/>
    <x v="254"/>
    <n v="10"/>
    <n v="2025"/>
    <n v="0"/>
    <x v="61"/>
    <n v="0"/>
    <m/>
    <s v="approved"/>
    <n v="42"/>
    <s v="no"/>
    <m/>
    <m/>
    <m/>
    <m/>
    <m/>
    <m/>
    <x v="0"/>
    <x v="166"/>
    <x v="1815"/>
    <n v="38676789"/>
    <s v="TK.KWVE30-B-A-S-0038-WW1"/>
    <n v="120"/>
    <n v="577.19999999999993"/>
    <m/>
    <m/>
    <s v="20250264-04.03.2025"/>
    <x v="0"/>
    <x v="5"/>
    <x v="0"/>
    <m/>
  </r>
  <r>
    <x v="0"/>
    <x v="0"/>
    <x v="503"/>
    <x v="139"/>
    <x v="235"/>
    <s v="080814913-8011 "/>
    <n v="0"/>
    <n v="4.8099999999999996"/>
    <n v="280"/>
    <n v="1346.8"/>
    <x v="254"/>
    <n v="10"/>
    <n v="2025"/>
    <n v="0"/>
    <x v="61"/>
    <n v="0"/>
    <m/>
    <s v="approved"/>
    <n v="42"/>
    <s v="no"/>
    <m/>
    <m/>
    <m/>
    <m/>
    <m/>
    <m/>
    <x v="0"/>
    <x v="216"/>
    <x v="1816"/>
    <n v="38676789"/>
    <s v="TK.KWVE30-B-A-S-0038-WW1"/>
    <n v="0"/>
    <n v="0"/>
    <m/>
    <s v="ANULAT"/>
    <s v="20250281-06.03.2025/20250299-10.03.2025"/>
    <x v="0"/>
    <x v="5"/>
    <x v="0"/>
    <m/>
  </r>
  <r>
    <x v="0"/>
    <x v="0"/>
    <x v="503"/>
    <x v="139"/>
    <x v="235"/>
    <s v="080814913-8011 "/>
    <n v="0"/>
    <n v="4.8099999999999996"/>
    <n v="416"/>
    <n v="2000.9599999999998"/>
    <x v="254"/>
    <n v="10"/>
    <n v="2025"/>
    <n v="0"/>
    <x v="61"/>
    <n v="0"/>
    <m/>
    <s v="approved"/>
    <n v="42"/>
    <s v="no"/>
    <m/>
    <m/>
    <m/>
    <m/>
    <m/>
    <m/>
    <x v="0"/>
    <x v="216"/>
    <x v="1817"/>
    <n v="38676789"/>
    <s v="TK.KWVE30-B-A-S-0038-WW1"/>
    <n v="416"/>
    <n v="2000.9599999999998"/>
    <m/>
    <m/>
    <s v="20250300-10.03.2025"/>
    <x v="0"/>
    <x v="5"/>
    <x v="0"/>
    <m/>
  </r>
  <r>
    <x v="0"/>
    <x v="0"/>
    <x v="503"/>
    <x v="139"/>
    <x v="235"/>
    <s v="080814913-8011 "/>
    <n v="0"/>
    <n v="4.8099999999999996"/>
    <n v="200"/>
    <n v="961.99999999999989"/>
    <x v="255"/>
    <n v="11"/>
    <n v="2025"/>
    <n v="0"/>
    <x v="61"/>
    <n v="0"/>
    <m/>
    <s v="approved"/>
    <n v="42"/>
    <s v="no"/>
    <m/>
    <m/>
    <m/>
    <m/>
    <m/>
    <m/>
    <x v="0"/>
    <x v="216"/>
    <x v="1816"/>
    <n v="38676789"/>
    <s v="TK.KWVE30-B-A-S-0038-WW1"/>
    <n v="0"/>
    <n v="0"/>
    <m/>
    <s v="ANULAT"/>
    <s v="20250281-06.03.2025/20250299-10.03.2025"/>
    <x v="0"/>
    <x v="5"/>
    <x v="0"/>
    <m/>
  </r>
  <r>
    <x v="0"/>
    <x v="0"/>
    <x v="503"/>
    <x v="139"/>
    <x v="235"/>
    <s v="080814913-8011 "/>
    <n v="0"/>
    <n v="4.8099999999999996"/>
    <n v="200"/>
    <n v="961.99999999999989"/>
    <x v="255"/>
    <n v="11"/>
    <n v="2025"/>
    <n v="0"/>
    <x v="61"/>
    <n v="0"/>
    <m/>
    <s v="approved"/>
    <n v="42"/>
    <s v="no"/>
    <m/>
    <m/>
    <m/>
    <m/>
    <m/>
    <m/>
    <x v="0"/>
    <x v="29"/>
    <x v="1818"/>
    <n v="38676789"/>
    <s v="TK.KWVE30-B-A-S-0038-WW1"/>
    <n v="200"/>
    <n v="961.99999999999989"/>
    <m/>
    <m/>
    <s v="20250305-11.03.2025"/>
    <x v="0"/>
    <x v="5"/>
    <x v="0"/>
    <m/>
  </r>
  <r>
    <x v="0"/>
    <x v="0"/>
    <x v="503"/>
    <x v="139"/>
    <x v="235"/>
    <s v="080814913-8011 "/>
    <n v="0"/>
    <n v="4.8099999999999996"/>
    <n v="363"/>
    <n v="1746.0299999999997"/>
    <x v="256"/>
    <n v="12"/>
    <n v="2025"/>
    <n v="0"/>
    <x v="61"/>
    <n v="0"/>
    <m/>
    <s v="approved"/>
    <n v="42"/>
    <s v="no"/>
    <m/>
    <m/>
    <m/>
    <m/>
    <m/>
    <m/>
    <x v="0"/>
    <x v="371"/>
    <x v="1819"/>
    <n v="38676789"/>
    <s v="TK.KWVE30-B-A-S-0038-WW1"/>
    <n v="363"/>
    <n v="1746.0299999999997"/>
    <m/>
    <m/>
    <s v="20250316-13.03.2025"/>
    <x v="0"/>
    <x v="5"/>
    <x v="0"/>
    <m/>
  </r>
  <r>
    <x v="0"/>
    <x v="0"/>
    <x v="503"/>
    <x v="139"/>
    <x v="235"/>
    <s v="080814913-8011 "/>
    <n v="0"/>
    <n v="4.8099999999999996"/>
    <n v="101"/>
    <n v="485.80999999999995"/>
    <x v="256"/>
    <n v="12"/>
    <n v="2025"/>
    <n v="0"/>
    <x v="61"/>
    <n v="0"/>
    <m/>
    <s v="approved"/>
    <n v="42"/>
    <s v="no"/>
    <m/>
    <m/>
    <m/>
    <m/>
    <m/>
    <m/>
    <x v="0"/>
    <x v="171"/>
    <x v="1820"/>
    <n v="38676789"/>
    <s v="TK.KWVE30-B-A-S-0038-WW1"/>
    <n v="101"/>
    <n v="485.80999999999995"/>
    <m/>
    <m/>
    <s v="20250378-25.03.2025"/>
    <x v="1"/>
    <x v="5"/>
    <x v="0"/>
    <m/>
  </r>
  <r>
    <x v="0"/>
    <x v="0"/>
    <x v="503"/>
    <x v="139"/>
    <x v="235"/>
    <s v="080814913-8011 "/>
    <n v="0"/>
    <n v="4.8099999999999996"/>
    <n v="18"/>
    <n v="86.58"/>
    <x v="9"/>
    <n v="13"/>
    <n v="2025"/>
    <n v="0"/>
    <x v="61"/>
    <n v="0"/>
    <m/>
    <s v="approved"/>
    <n v="42"/>
    <s v="no"/>
    <m/>
    <m/>
    <m/>
    <m/>
    <m/>
    <m/>
    <x v="0"/>
    <x v="171"/>
    <x v="1820"/>
    <n v="38676789"/>
    <s v="TK.KWVE30-B-A-S-0038-WW1"/>
    <n v="18"/>
    <n v="86.58"/>
    <m/>
    <m/>
    <s v="20250378-25.03.2025"/>
    <x v="0"/>
    <x v="5"/>
    <x v="0"/>
    <m/>
  </r>
  <r>
    <x v="0"/>
    <x v="0"/>
    <x v="503"/>
    <x v="139"/>
    <x v="235"/>
    <s v="080814913-8011 "/>
    <n v="0"/>
    <n v="4.8099999999999996"/>
    <n v="382"/>
    <n v="1837.4199999999998"/>
    <x v="9"/>
    <n v="13"/>
    <n v="2025"/>
    <n v="0"/>
    <x v="61"/>
    <n v="0"/>
    <m/>
    <s v="approved"/>
    <n v="42"/>
    <s v="no"/>
    <m/>
    <m/>
    <m/>
    <m/>
    <m/>
    <m/>
    <x v="0"/>
    <x v="275"/>
    <x v="1821"/>
    <n v="38676789"/>
    <s v="TK.KWVE30-B-A-S-0038-WW1"/>
    <n v="382"/>
    <n v="1837.4199999999998"/>
    <m/>
    <m/>
    <s v="20250403-27.03.2025"/>
    <x v="0"/>
    <x v="5"/>
    <x v="0"/>
    <m/>
  </r>
  <r>
    <x v="0"/>
    <x v="0"/>
    <x v="503"/>
    <x v="139"/>
    <x v="235"/>
    <s v="080814913-8011 "/>
    <n v="0"/>
    <n v="4.8099999999999996"/>
    <n v="400"/>
    <n v="1923.9999999999998"/>
    <x v="111"/>
    <n v="14"/>
    <n v="2025"/>
    <n v="0"/>
    <x v="61"/>
    <n v="0"/>
    <m/>
    <s v="approved"/>
    <n v="42"/>
    <s v="no"/>
    <m/>
    <m/>
    <m/>
    <m/>
    <m/>
    <m/>
    <x v="0"/>
    <x v="315"/>
    <x v="1822"/>
    <n v="38676789"/>
    <s v="TK.KWVE30-B-A-S-0038-WW1"/>
    <n v="400"/>
    <n v="1923.9999999999998"/>
    <m/>
    <m/>
    <s v="20250431-31.03.2025"/>
    <x v="0"/>
    <x v="1"/>
    <x v="0"/>
    <m/>
  </r>
  <r>
    <x v="0"/>
    <x v="0"/>
    <x v="504"/>
    <x v="46"/>
    <x v="235"/>
    <s v="080814913-8011 "/>
    <n v="0"/>
    <n v="4.8099999999999996"/>
    <n v="179"/>
    <n v="860.9899999999999"/>
    <x v="129"/>
    <n v="19"/>
    <n v="2025"/>
    <n v="0"/>
    <x v="61"/>
    <n v="0"/>
    <m/>
    <s v="approved"/>
    <n v="42"/>
    <s v="no"/>
    <m/>
    <m/>
    <m/>
    <m/>
    <m/>
    <m/>
    <x v="0"/>
    <x v="99"/>
    <x v="1823"/>
    <n v="5410624"/>
    <s v="TK.KWVE30-B-A-S-0038-WW1"/>
    <n v="179"/>
    <n v="860.9899999999999"/>
    <m/>
    <m/>
    <s v="20250585-06.05.2025"/>
    <x v="0"/>
    <x v="2"/>
    <x v="0"/>
    <m/>
  </r>
  <r>
    <x v="0"/>
    <x v="0"/>
    <x v="504"/>
    <x v="46"/>
    <x v="235"/>
    <s v="080814913-8011 "/>
    <n v="0"/>
    <n v="4.8099999999999996"/>
    <n v="108"/>
    <n v="519.4799999999999"/>
    <x v="10"/>
    <n v="20"/>
    <n v="2025"/>
    <n v="0"/>
    <x v="61"/>
    <n v="0"/>
    <m/>
    <s v="approved"/>
    <n v="2.25"/>
    <m/>
    <m/>
    <m/>
    <m/>
    <m/>
    <m/>
    <m/>
    <x v="0"/>
    <x v="280"/>
    <x v="1824"/>
    <n v="5410624"/>
    <s v="TK.KWVE30-B-A-S-0038-WW1"/>
    <n v="108"/>
    <n v="519.4799999999999"/>
    <m/>
    <m/>
    <s v="20250644-22.05.2025"/>
    <x v="1"/>
    <x v="2"/>
    <x v="0"/>
    <m/>
  </r>
  <r>
    <x v="0"/>
    <x v="0"/>
    <x v="504"/>
    <x v="46"/>
    <x v="235"/>
    <s v="080814913-8011 "/>
    <n v="0"/>
    <n v="4.8099999999999996"/>
    <n v="113"/>
    <n v="543.53"/>
    <x v="10"/>
    <n v="20"/>
    <n v="2025"/>
    <n v="0"/>
    <x v="61"/>
    <n v="0"/>
    <m/>
    <s v="approved"/>
    <n v="2.3541666666666665"/>
    <m/>
    <m/>
    <m/>
    <m/>
    <m/>
    <m/>
    <m/>
    <x v="0"/>
    <x v="128"/>
    <x v="1825"/>
    <n v="5410624"/>
    <s v="TK.KWVE30-B-A-S-0038-WW1"/>
    <n v="113"/>
    <n v="543.53"/>
    <m/>
    <m/>
    <s v="20250667-27.05.2025"/>
    <x v="1"/>
    <x v="2"/>
    <x v="0"/>
    <m/>
  </r>
  <r>
    <x v="0"/>
    <x v="0"/>
    <x v="504"/>
    <x v="46"/>
    <x v="235"/>
    <s v="080814913-8011 "/>
    <n v="0"/>
    <n v="4.8099999999999996"/>
    <n v="67"/>
    <n v="322.27"/>
    <x v="168"/>
    <n v="23"/>
    <n v="2025"/>
    <n v="0"/>
    <x v="61"/>
    <n v="0"/>
    <m/>
    <s v="approved"/>
    <n v="42"/>
    <s v="no"/>
    <m/>
    <m/>
    <m/>
    <m/>
    <m/>
    <m/>
    <x v="0"/>
    <x v="178"/>
    <x v="1826"/>
    <n v="5410624"/>
    <s v="TK.KWVE30-B-A-S-0038-WW1"/>
    <n v="67"/>
    <n v="322.27"/>
    <m/>
    <m/>
    <s v="20250778-24.06.2025"/>
    <x v="1"/>
    <x v="0"/>
    <x v="0"/>
    <m/>
  </r>
  <r>
    <x v="0"/>
    <x v="0"/>
    <x v="504"/>
    <x v="46"/>
    <x v="235"/>
    <s v="080814913-8011 "/>
    <n v="0"/>
    <n v="4.8099999999999996"/>
    <n v="376"/>
    <n v="1808.56"/>
    <x v="260"/>
    <n v="24"/>
    <n v="2025"/>
    <n v="0"/>
    <x v="61"/>
    <n v="0"/>
    <m/>
    <s v="approved"/>
    <n v="42"/>
    <s v="no"/>
    <m/>
    <m/>
    <m/>
    <m/>
    <m/>
    <m/>
    <x v="0"/>
    <x v="178"/>
    <x v="1826"/>
    <n v="5410624"/>
    <s v="TK.KWVE30-B-A-S-0038-WW1"/>
    <n v="376"/>
    <n v="1808.56"/>
    <m/>
    <m/>
    <s v="20250778-24.06.2025"/>
    <x v="1"/>
    <x v="0"/>
    <x v="0"/>
    <m/>
  </r>
  <r>
    <x v="0"/>
    <x v="0"/>
    <x v="504"/>
    <x v="46"/>
    <x v="235"/>
    <s v="080814913-8011 "/>
    <n v="0"/>
    <n v="4.8099999999999996"/>
    <n v="397"/>
    <n v="1909.57"/>
    <x v="260"/>
    <n v="24"/>
    <n v="2025"/>
    <n v="0"/>
    <x v="61"/>
    <n v="0"/>
    <m/>
    <s v="approved"/>
    <n v="42"/>
    <s v="no"/>
    <m/>
    <m/>
    <m/>
    <m/>
    <m/>
    <m/>
    <x v="0"/>
    <x v="180"/>
    <x v="1827"/>
    <n v="5410624"/>
    <s v="TK.KWVE30-B-A-S-0038-WW1"/>
    <n v="397"/>
    <n v="1909.57"/>
    <m/>
    <m/>
    <s v="20250792-26.06.2025"/>
    <x v="1"/>
    <x v="0"/>
    <x v="0"/>
    <m/>
  </r>
  <r>
    <x v="0"/>
    <x v="0"/>
    <x v="504"/>
    <x v="46"/>
    <x v="235"/>
    <s v="080814913-8011 "/>
    <n v="0"/>
    <n v="4.8099999999999996"/>
    <n v="158"/>
    <n v="759.9799999999999"/>
    <x v="260"/>
    <n v="24"/>
    <n v="2025"/>
    <n v="0"/>
    <x v="61"/>
    <n v="0"/>
    <m/>
    <s v="approved"/>
    <n v="42"/>
    <s v="no"/>
    <m/>
    <m/>
    <m/>
    <m/>
    <m/>
    <m/>
    <x v="0"/>
    <x v="0"/>
    <x v="1828"/>
    <n v="5410624"/>
    <s v="TK.KWVE30-B-A-S-0038-WW1"/>
    <n v="158"/>
    <n v="759.9799999999999"/>
    <m/>
    <m/>
    <s v="20250794-27.06.2025"/>
    <x v="1"/>
    <x v="0"/>
    <x v="0"/>
    <m/>
  </r>
  <r>
    <x v="0"/>
    <x v="0"/>
    <x v="504"/>
    <x v="46"/>
    <x v="235"/>
    <s v="080814913-8011 "/>
    <n v="0"/>
    <n v="4.8099999999999996"/>
    <n v="196"/>
    <n v="942.75999999999988"/>
    <x v="260"/>
    <n v="24"/>
    <n v="2025"/>
    <n v="0"/>
    <x v="61"/>
    <n v="0"/>
    <m/>
    <s v="approved"/>
    <n v="42"/>
    <s v="no"/>
    <m/>
    <m/>
    <m/>
    <m/>
    <m/>
    <m/>
    <x v="0"/>
    <x v="12"/>
    <x v="1829"/>
    <n v="5410624"/>
    <s v="TK.KWVE30-B-A-S-0038-WW1"/>
    <n v="196"/>
    <n v="942.75999999999988"/>
    <m/>
    <m/>
    <s v="20250820-30.06.2025"/>
    <x v="1"/>
    <x v="0"/>
    <x v="0"/>
    <m/>
  </r>
  <r>
    <x v="0"/>
    <x v="0"/>
    <x v="504"/>
    <x v="46"/>
    <x v="235"/>
    <s v="080814913-8011 "/>
    <n v="0"/>
    <n v="4.8099999999999996"/>
    <n v="34"/>
    <n v="163.54"/>
    <x v="262"/>
    <n v="25"/>
    <n v="2025"/>
    <n v="0"/>
    <x v="61"/>
    <n v="0"/>
    <m/>
    <s v="approved"/>
    <n v="0.70833333333333337"/>
    <m/>
    <m/>
    <m/>
    <m/>
    <m/>
    <m/>
    <m/>
    <x v="0"/>
    <x v="46"/>
    <x v="1830"/>
    <n v="5410624"/>
    <s v="TK.KWVE30-B-A-S-0038-WW1"/>
    <n v="34"/>
    <n v="163.54"/>
    <m/>
    <m/>
    <s v="20250755-17.06.2025"/>
    <x v="0"/>
    <x v="0"/>
    <x v="0"/>
    <m/>
  </r>
  <r>
    <x v="0"/>
    <x v="0"/>
    <x v="504"/>
    <x v="46"/>
    <x v="235"/>
    <s v="080814913-8011 "/>
    <n v="0"/>
    <n v="4.8099999999999996"/>
    <n v="141"/>
    <n v="678.20999999999992"/>
    <x v="262"/>
    <n v="25"/>
    <n v="2025"/>
    <n v="0"/>
    <x v="61"/>
    <n v="0"/>
    <m/>
    <s v="approved"/>
    <n v="2.9375"/>
    <m/>
    <m/>
    <m/>
    <m/>
    <m/>
    <m/>
    <m/>
    <x v="0"/>
    <x v="154"/>
    <x v="1831"/>
    <n v="5410624"/>
    <s v="TK.KWVE30-B-A-S-0038-WW1"/>
    <n v="141"/>
    <n v="678.20999999999992"/>
    <m/>
    <m/>
    <s v="20250761-19.06.2025"/>
    <x v="0"/>
    <x v="0"/>
    <x v="0"/>
    <m/>
  </r>
  <r>
    <x v="0"/>
    <x v="0"/>
    <x v="504"/>
    <x v="46"/>
    <x v="235"/>
    <s v="080814913-8011 "/>
    <n v="0"/>
    <n v="4.8099999999999996"/>
    <n v="158"/>
    <n v="759.9799999999999"/>
    <x v="262"/>
    <n v="25"/>
    <n v="2025"/>
    <n v="0"/>
    <x v="61"/>
    <n v="0"/>
    <m/>
    <s v="approved"/>
    <n v="3.2916666666666665"/>
    <m/>
    <m/>
    <m/>
    <m/>
    <m/>
    <m/>
    <m/>
    <x v="0"/>
    <x v="0"/>
    <x v="1828"/>
    <n v="5410624"/>
    <s v="TK.KWVE30-B-A-S-0038-WW1"/>
    <n v="158"/>
    <n v="759.9799999999999"/>
    <m/>
    <m/>
    <m/>
    <x v="1"/>
    <x v="0"/>
    <x v="0"/>
    <m/>
  </r>
  <r>
    <x v="0"/>
    <x v="0"/>
    <x v="504"/>
    <x v="46"/>
    <x v="235"/>
    <s v="080814913-8011 "/>
    <n v="0"/>
    <n v="4.8099999999999996"/>
    <n v="125"/>
    <n v="601.25"/>
    <x v="262"/>
    <n v="25"/>
    <n v="2025"/>
    <n v="0"/>
    <x v="61"/>
    <n v="0"/>
    <m/>
    <s v="approved"/>
    <n v="2.6041666666666665"/>
    <m/>
    <m/>
    <m/>
    <m/>
    <m/>
    <m/>
    <m/>
    <x v="0"/>
    <x v="200"/>
    <x v="1832"/>
    <n v="5410624"/>
    <s v="TK.KWVE30-B-A-S-0038-WW1"/>
    <n v="125"/>
    <n v="601.25"/>
    <m/>
    <m/>
    <s v="20251006/31.07.2025"/>
    <x v="1"/>
    <x v="0"/>
    <x v="0"/>
    <m/>
  </r>
  <r>
    <x v="0"/>
    <x v="0"/>
    <x v="504"/>
    <x v="46"/>
    <x v="235"/>
    <s v="080814913-8011 "/>
    <n v="0"/>
    <n v="4.8099999999999996"/>
    <n v="178"/>
    <n v="856.18"/>
    <x v="491"/>
    <n v="30"/>
    <n v="2025"/>
    <n v="0"/>
    <x v="61"/>
    <n v="0"/>
    <m/>
    <s v="approved"/>
    <n v="3.7083333333333335"/>
    <m/>
    <m/>
    <m/>
    <m/>
    <m/>
    <m/>
    <m/>
    <x v="0"/>
    <x v="202"/>
    <x v="1833"/>
    <n v="5410624"/>
    <s v="TK.KWVE30-B-A-S-0038-WW1"/>
    <n v="178"/>
    <n v="856.18"/>
    <m/>
    <m/>
    <s v="20251028-06.08.2025"/>
    <x v="1"/>
    <x v="8"/>
    <x v="0"/>
    <m/>
  </r>
  <r>
    <x v="0"/>
    <x v="0"/>
    <x v="504"/>
    <x v="46"/>
    <x v="235"/>
    <s v="080814913-8011 "/>
    <n v="0"/>
    <n v="4.8099999999999996"/>
    <n v="180"/>
    <n v="865.8"/>
    <x v="491"/>
    <n v="30"/>
    <n v="2025"/>
    <n v="0"/>
    <x v="61"/>
    <n v="0"/>
    <m/>
    <s v="approved"/>
    <n v="3.75"/>
    <m/>
    <m/>
    <m/>
    <m/>
    <m/>
    <m/>
    <m/>
    <x v="0"/>
    <x v="183"/>
    <x v="1834"/>
    <n v="5410624"/>
    <s v="TK.KWVE30-B-A-S-0038-WW1"/>
    <n v="180"/>
    <n v="865.8"/>
    <m/>
    <m/>
    <s v="20251056-14.08.2025"/>
    <x v="1"/>
    <x v="8"/>
    <x v="0"/>
    <m/>
  </r>
  <r>
    <x v="0"/>
    <x v="0"/>
    <x v="504"/>
    <x v="46"/>
    <x v="235"/>
    <s v="080814913-8011 "/>
    <n v="0"/>
    <n v="4.8099999999999996"/>
    <n v="206"/>
    <n v="990.8599999999999"/>
    <x v="491"/>
    <n v="30"/>
    <n v="2025"/>
    <n v="0"/>
    <x v="61"/>
    <n v="0"/>
    <m/>
    <s v="approved"/>
    <n v="4.291666666666667"/>
    <m/>
    <m/>
    <m/>
    <m/>
    <m/>
    <m/>
    <m/>
    <x v="0"/>
    <x v="184"/>
    <x v="1835"/>
    <n v="5410624"/>
    <s v="TK.KWVE30-B-A-S-0038-WW1"/>
    <n v="206"/>
    <n v="990.8599999999999"/>
    <m/>
    <m/>
    <s v="20251062-14.08.2025"/>
    <x v="1"/>
    <x v="8"/>
    <x v="0"/>
    <m/>
  </r>
  <r>
    <x v="0"/>
    <x v="0"/>
    <x v="504"/>
    <x v="46"/>
    <x v="235"/>
    <s v="080814913-8011 "/>
    <n v="0"/>
    <n v="4.8099999999999996"/>
    <n v="40"/>
    <n v="192.39999999999998"/>
    <x v="420"/>
    <n v="32"/>
    <n v="2025"/>
    <n v="0"/>
    <x v="61"/>
    <n v="0"/>
    <m/>
    <s v="approved"/>
    <n v="0.83333333333333337"/>
    <m/>
    <m/>
    <m/>
    <m/>
    <m/>
    <m/>
    <m/>
    <x v="0"/>
    <x v="184"/>
    <x v="1835"/>
    <n v="5410624"/>
    <s v="TK.KWVE30-B-A-S-0038-WW1"/>
    <n v="40"/>
    <n v="192.39999999999998"/>
    <m/>
    <m/>
    <s v="20251062-14.08.2025"/>
    <x v="1"/>
    <x v="9"/>
    <x v="0"/>
    <m/>
  </r>
  <r>
    <x v="0"/>
    <x v="0"/>
    <x v="504"/>
    <x v="46"/>
    <x v="235"/>
    <s v="080814913-8011 "/>
    <n v="0"/>
    <n v="4.8099999999999996"/>
    <n v="85"/>
    <n v="408.84999999999997"/>
    <x v="420"/>
    <n v="32"/>
    <n v="2025"/>
    <n v="0"/>
    <x v="61"/>
    <n v="0"/>
    <m/>
    <s v="approved"/>
    <n v="1.7708333333333333"/>
    <m/>
    <m/>
    <m/>
    <m/>
    <m/>
    <m/>
    <m/>
    <x v="0"/>
    <x v="186"/>
    <x v="1836"/>
    <n v="5410624"/>
    <s v="TK.KWVE30-B-A-S-0038-WW1"/>
    <n v="85"/>
    <n v="408.84999999999997"/>
    <m/>
    <m/>
    <s v="20251063-14.08.2025"/>
    <x v="1"/>
    <x v="9"/>
    <x v="0"/>
    <m/>
  </r>
  <r>
    <x v="0"/>
    <x v="0"/>
    <x v="504"/>
    <x v="46"/>
    <x v="235"/>
    <s v="080814913-8011 "/>
    <n v="0"/>
    <n v="4.8099999999999996"/>
    <n v="82"/>
    <n v="394.41999999999996"/>
    <x v="420"/>
    <n v="32"/>
    <n v="2025"/>
    <n v="0"/>
    <x v="61"/>
    <n v="0"/>
    <m/>
    <s v="approved"/>
    <n v="1.7083333333333333"/>
    <m/>
    <m/>
    <m/>
    <m/>
    <m/>
    <m/>
    <m/>
    <x v="0"/>
    <x v="204"/>
    <x v="1837"/>
    <n v="5410624"/>
    <s v="TK.KWVE30-B-A-S-0038-WW1"/>
    <n v="82"/>
    <n v="394.41999999999996"/>
    <m/>
    <m/>
    <s v="20251091-20.08.2025"/>
    <x v="1"/>
    <x v="9"/>
    <x v="0"/>
    <m/>
  </r>
  <r>
    <x v="0"/>
    <x v="0"/>
    <x v="504"/>
    <x v="46"/>
    <x v="235"/>
    <s v="080814913-8011 "/>
    <n v="0"/>
    <n v="4.8099999999999996"/>
    <n v="43"/>
    <n v="206.82999999999998"/>
    <x v="420"/>
    <n v="32"/>
    <n v="2025"/>
    <n v="0"/>
    <x v="61"/>
    <n v="0"/>
    <m/>
    <s v="approved"/>
    <n v="0.89583333333333337"/>
    <m/>
    <m/>
    <m/>
    <m/>
    <m/>
    <m/>
    <m/>
    <x v="0"/>
    <x v="162"/>
    <x v="1838"/>
    <n v="5410624"/>
    <s v="TK.KWVE30-B-A-S-0038-WW1"/>
    <n v="43"/>
    <n v="206.82999999999998"/>
    <m/>
    <m/>
    <s v="20251135-01.09.2025"/>
    <x v="1"/>
    <x v="9"/>
    <x v="0"/>
    <m/>
  </r>
  <r>
    <x v="0"/>
    <x v="0"/>
    <x v="504"/>
    <x v="46"/>
    <x v="235"/>
    <s v="080814913-8011 "/>
    <n v="0"/>
    <n v="4.8099999999999996"/>
    <n v="93"/>
    <n v="447.33"/>
    <x v="362"/>
    <n v="33"/>
    <n v="2025"/>
    <n v="0"/>
    <x v="61"/>
    <n v="0"/>
    <m/>
    <s v="approved"/>
    <n v="1.9375"/>
    <m/>
    <m/>
    <m/>
    <m/>
    <m/>
    <m/>
    <m/>
    <x v="0"/>
    <x v="162"/>
    <x v="1838"/>
    <n v="5410624"/>
    <s v="TK.KWVE30-B-A-S-0038-WW1"/>
    <n v="96"/>
    <n v="461.76"/>
    <m/>
    <m/>
    <s v="20251135-01.09.2025"/>
    <x v="1"/>
    <x v="9"/>
    <x v="0"/>
    <m/>
  </r>
  <r>
    <x v="0"/>
    <x v="1"/>
    <x v="504"/>
    <x v="46"/>
    <x v="235"/>
    <s v="080814913-8011 "/>
    <n v="0"/>
    <n v="4.8099999999999996"/>
    <n v="160"/>
    <n v="769.59999999999991"/>
    <x v="362"/>
    <n v="33"/>
    <n v="2025"/>
    <n v="0"/>
    <x v="61"/>
    <n v="0"/>
    <m/>
    <s v="approved"/>
    <n v="3.3333333333333335"/>
    <m/>
    <m/>
    <m/>
    <m/>
    <m/>
    <m/>
    <m/>
    <x v="0"/>
    <x v="376"/>
    <x v="1839"/>
    <n v="5410624"/>
    <s v="TK.KWVE30-B-A-S-0038-WW1"/>
    <n v="160"/>
    <n v="769.59999999999991"/>
    <m/>
    <m/>
    <s v="20251147-03.09.2025"/>
    <x v="1"/>
    <x v="9"/>
    <x v="0"/>
    <m/>
  </r>
  <r>
    <x v="0"/>
    <x v="0"/>
    <x v="504"/>
    <x v="46"/>
    <x v="235"/>
    <s v="080814913-8011 "/>
    <n v="0"/>
    <n v="4.8099999999999996"/>
    <n v="192"/>
    <n v="923.52"/>
    <x v="80"/>
    <n v="36"/>
    <n v="2025"/>
    <n v="0"/>
    <x v="61"/>
    <n v="0"/>
    <m/>
    <s v="approved"/>
    <n v="4"/>
    <m/>
    <m/>
    <m/>
    <m/>
    <m/>
    <m/>
    <m/>
    <x v="0"/>
    <x v="320"/>
    <x v="1840"/>
    <n v="5410624"/>
    <s v="TK.KWVE30-B-A-S-0038-WW1"/>
    <n v="192"/>
    <n v="923.52"/>
    <m/>
    <m/>
    <s v="20251150-04.09.2025"/>
    <x v="0"/>
    <x v="10"/>
    <x v="0"/>
    <m/>
  </r>
  <r>
    <x v="0"/>
    <x v="0"/>
    <x v="504"/>
    <x v="46"/>
    <x v="235"/>
    <s v="080814913-8011 "/>
    <n v="0"/>
    <n v="4.8099999999999996"/>
    <n v="105"/>
    <n v="505.04999999999995"/>
    <x v="80"/>
    <n v="36"/>
    <n v="2025"/>
    <n v="0"/>
    <x v="61"/>
    <n v="0"/>
    <m/>
    <s v="approved"/>
    <n v="2.1875"/>
    <m/>
    <m/>
    <m/>
    <m/>
    <m/>
    <m/>
    <m/>
    <x v="0"/>
    <x v="105"/>
    <x v="1841"/>
    <n v="5410624"/>
    <s v="TK.KWVE30-B-A-S-0038-WW1"/>
    <n v="105"/>
    <n v="505.04999999999995"/>
    <m/>
    <m/>
    <s v="20251156-05.09.2025"/>
    <x v="1"/>
    <x v="10"/>
    <x v="0"/>
    <m/>
  </r>
  <r>
    <x v="0"/>
    <x v="0"/>
    <x v="504"/>
    <x v="46"/>
    <x v="235"/>
    <s v="080814913-8011 "/>
    <n v="0"/>
    <n v="4.8099999999999996"/>
    <n v="23"/>
    <n v="110.63"/>
    <x v="282"/>
    <n v="37"/>
    <n v="2025"/>
    <n v="0"/>
    <x v="61"/>
    <n v="0"/>
    <m/>
    <s v="approved"/>
    <n v="0.47916666666666669"/>
    <m/>
    <m/>
    <m/>
    <m/>
    <m/>
    <m/>
    <m/>
    <x v="0"/>
    <x v="105"/>
    <x v="1841"/>
    <n v="5410624"/>
    <s v="TK.KWVE30-B-A-S-0038-WW1"/>
    <n v="23"/>
    <n v="110.63"/>
    <m/>
    <m/>
    <s v="20251156-05.09.2025"/>
    <x v="0"/>
    <x v="10"/>
    <x v="0"/>
    <m/>
  </r>
  <r>
    <x v="0"/>
    <x v="0"/>
    <x v="504"/>
    <x v="46"/>
    <x v="235"/>
    <s v="080814913-8011 "/>
    <n v="0"/>
    <n v="4.8099999999999996"/>
    <n v="77"/>
    <n v="370.36999999999995"/>
    <x v="282"/>
    <n v="37"/>
    <n v="2025"/>
    <n v="0"/>
    <x v="61"/>
    <n v="0"/>
    <m/>
    <s v="approved"/>
    <n v="1.6041666666666667"/>
    <m/>
    <m/>
    <m/>
    <m/>
    <m/>
    <m/>
    <m/>
    <x v="0"/>
    <x v="370"/>
    <x v="1842"/>
    <n v="5410624"/>
    <s v="TK.KWVE30-B-A-S-0038-WW1"/>
    <n v="77"/>
    <n v="370.36999999999995"/>
    <m/>
    <m/>
    <s v="20251157-09.09.2025"/>
    <x v="0"/>
    <x v="10"/>
    <x v="0"/>
    <m/>
  </r>
  <r>
    <x v="0"/>
    <x v="0"/>
    <x v="504"/>
    <x v="46"/>
    <x v="235"/>
    <s v="080814913-8011 "/>
    <n v="0"/>
    <n v="4.8099999999999996"/>
    <n v="140"/>
    <n v="673.4"/>
    <x v="86"/>
    <n v="38"/>
    <n v="2025"/>
    <n v="0"/>
    <x v="61"/>
    <n v="0"/>
    <m/>
    <s v="approved"/>
    <n v="2.9166666666666665"/>
    <m/>
    <m/>
    <m/>
    <m/>
    <m/>
    <m/>
    <m/>
    <x v="0"/>
    <x v="370"/>
    <x v="1842"/>
    <n v="5410624"/>
    <s v="TK.KWVE30-B-A-S-0038-WW1"/>
    <n v="83"/>
    <n v="399.22999999999996"/>
    <m/>
    <m/>
    <s v="20251157-09.09.2025"/>
    <x v="0"/>
    <x v="10"/>
    <x v="0"/>
    <m/>
  </r>
  <r>
    <x v="0"/>
    <x v="0"/>
    <x v="504"/>
    <x v="46"/>
    <x v="235"/>
    <s v="080814913-8011 "/>
    <n v="0"/>
    <n v="4.8099999999999996"/>
    <n v="200"/>
    <n v="961.99999999999989"/>
    <x v="490"/>
    <n v="39"/>
    <n v="2025"/>
    <n v="0"/>
    <x v="61"/>
    <n v="0"/>
    <m/>
    <s v="approved"/>
    <n v="4.166666666666667"/>
    <m/>
    <m/>
    <m/>
    <m/>
    <m/>
    <m/>
    <m/>
    <x v="0"/>
    <x v="374"/>
    <x v="1843"/>
    <n v="5410624"/>
    <s v="TK.KWVE30-B-A-S-0038-WW1"/>
    <n v="200"/>
    <n v="961.99999999999989"/>
    <m/>
    <m/>
    <s v="20251167-10.09.2025"/>
    <x v="0"/>
    <x v="10"/>
    <x v="0"/>
    <m/>
  </r>
  <r>
    <x v="0"/>
    <x v="0"/>
    <x v="504"/>
    <x v="46"/>
    <x v="235"/>
    <s v="080814913-8011 "/>
    <n v="0"/>
    <n v="4.8099999999999996"/>
    <n v="88"/>
    <n v="423.28"/>
    <x v="119"/>
    <n v="40"/>
    <n v="2025"/>
    <n v="0"/>
    <x v="61"/>
    <n v="0"/>
    <m/>
    <s v="approved"/>
    <n v="1.8333333333333333"/>
    <m/>
    <m/>
    <m/>
    <m/>
    <m/>
    <m/>
    <m/>
    <x v="0"/>
    <x v="374"/>
    <x v="1843"/>
    <n v="5410624"/>
    <s v="TK.KWVE30-B-A-S-0038-WW1"/>
    <n v="88"/>
    <n v="423.28"/>
    <m/>
    <m/>
    <s v="20251167-10.09.2025"/>
    <x v="0"/>
    <x v="10"/>
    <x v="0"/>
    <m/>
  </r>
  <r>
    <x v="0"/>
    <x v="0"/>
    <x v="504"/>
    <x v="46"/>
    <x v="235"/>
    <s v="080814913-8011 "/>
    <n v="0"/>
    <n v="4.8099999999999996"/>
    <n v="32"/>
    <n v="153.91999999999999"/>
    <x v="119"/>
    <n v="40"/>
    <n v="2025"/>
    <n v="0"/>
    <x v="61"/>
    <n v="0"/>
    <m/>
    <s v="approved"/>
    <n v="0.66666666666666663"/>
    <m/>
    <m/>
    <m/>
    <m/>
    <m/>
    <m/>
    <m/>
    <x v="0"/>
    <x v="241"/>
    <x v="1844"/>
    <n v="5410624"/>
    <s v="TK.KWVE30-B-A-S-0038-WW1"/>
    <n v="32"/>
    <n v="153.91999999999999"/>
    <m/>
    <m/>
    <s v="20251172/12.09.2025"/>
    <x v="0"/>
    <x v="10"/>
    <x v="0"/>
    <m/>
  </r>
  <r>
    <x v="0"/>
    <x v="0"/>
    <x v="504"/>
    <x v="46"/>
    <x v="235"/>
    <s v="080814913-8011 "/>
    <n v="0"/>
    <n v="4.8099999999999996"/>
    <n v="200"/>
    <n v="961.99999999999989"/>
    <x v="119"/>
    <n v="40"/>
    <n v="2025"/>
    <n v="0"/>
    <x v="61"/>
    <n v="0"/>
    <m/>
    <s v="approved"/>
    <n v="4.166666666666667"/>
    <m/>
    <m/>
    <m/>
    <m/>
    <m/>
    <m/>
    <m/>
    <x v="0"/>
    <x v="110"/>
    <x v="1845"/>
    <n v="5410624"/>
    <s v="TK.KWVE30-B-A-S-0038-WW1"/>
    <n v="200"/>
    <n v="961.99999999999989"/>
    <m/>
    <m/>
    <s v="20251226-25.09.2025"/>
    <x v="0"/>
    <x v="10"/>
    <x v="0"/>
    <m/>
  </r>
  <r>
    <x v="0"/>
    <x v="0"/>
    <x v="504"/>
    <x v="46"/>
    <x v="235"/>
    <s v="080814913-8011 "/>
    <n v="0"/>
    <n v="4.8099999999999996"/>
    <n v="100"/>
    <n v="480.99999999999994"/>
    <x v="488"/>
    <n v="41"/>
    <n v="2025"/>
    <n v="0"/>
    <x v="61"/>
    <n v="0"/>
    <m/>
    <s v="approved"/>
    <n v="2.0833333333333335"/>
    <m/>
    <m/>
    <m/>
    <m/>
    <m/>
    <m/>
    <m/>
    <x v="0"/>
    <x v="132"/>
    <x v="1846"/>
    <n v="5410624"/>
    <s v="TK.KWVE30-B-A-S-0038-WW1"/>
    <n v="100"/>
    <n v="480.99999999999994"/>
    <m/>
    <m/>
    <s v="20251266-02.10.2025"/>
    <x v="0"/>
    <x v="11"/>
    <x v="0"/>
    <m/>
  </r>
  <r>
    <x v="0"/>
    <x v="0"/>
    <x v="504"/>
    <x v="46"/>
    <x v="235"/>
    <s v="080814913-8011 "/>
    <n v="0"/>
    <n v="4.8099999999999996"/>
    <n v="46"/>
    <n v="221.26"/>
    <x v="488"/>
    <n v="41"/>
    <n v="2025"/>
    <n v="0"/>
    <x v="61"/>
    <n v="0"/>
    <m/>
    <s v="approved"/>
    <n v="0.95833333333333337"/>
    <m/>
    <m/>
    <m/>
    <m/>
    <m/>
    <m/>
    <m/>
    <x v="0"/>
    <x v="132"/>
    <x v="1846"/>
    <n v="5410624"/>
    <s v="TK.KWVE30-B-A-S-0038-WW1"/>
    <n v="46"/>
    <n v="221.26"/>
    <m/>
    <m/>
    <s v="20251266-02.10.2025"/>
    <x v="0"/>
    <x v="11"/>
    <x v="0"/>
    <m/>
  </r>
  <r>
    <x v="0"/>
    <x v="0"/>
    <x v="504"/>
    <x v="46"/>
    <x v="235"/>
    <s v="080814913-8011 "/>
    <n v="0"/>
    <n v="4.8099999999999996"/>
    <n v="192"/>
    <n v="923.52"/>
    <x v="41"/>
    <n v="43"/>
    <n v="2025"/>
    <n v="0"/>
    <x v="61"/>
    <n v="0"/>
    <m/>
    <s v="approved"/>
    <n v="4"/>
    <m/>
    <m/>
    <m/>
    <m/>
    <m/>
    <m/>
    <m/>
    <x v="0"/>
    <x v="114"/>
    <x v="1847"/>
    <n v="5410624"/>
    <s v="TK.KWVE30-B-A-S-0038-WW1"/>
    <n v="192"/>
    <n v="923.52"/>
    <m/>
    <m/>
    <s v="20251295-09.10.2025"/>
    <x v="0"/>
    <x v="11"/>
    <x v="0"/>
    <m/>
  </r>
  <r>
    <x v="0"/>
    <x v="0"/>
    <x v="504"/>
    <x v="46"/>
    <x v="235"/>
    <s v="080814913-8011 "/>
    <n v="0"/>
    <n v="4.8099999999999996"/>
    <n v="160"/>
    <n v="769.59999999999991"/>
    <x v="437"/>
    <n v="44"/>
    <n v="2025"/>
    <n v="0"/>
    <x v="61"/>
    <n v="0"/>
    <m/>
    <s v="approved"/>
    <n v="3.3333333333333335"/>
    <m/>
    <m/>
    <m/>
    <m/>
    <m/>
    <m/>
    <m/>
    <x v="0"/>
    <x v="115"/>
    <x v="1848"/>
    <n v="5410624"/>
    <s v="TK.KWVE30-B-A-S-0038-WW1"/>
    <n v="160"/>
    <n v="769.59999999999991"/>
    <m/>
    <m/>
    <s v="20251305-14.10.2025"/>
    <x v="0"/>
    <x v="11"/>
    <x v="0"/>
    <m/>
  </r>
  <r>
    <x v="0"/>
    <x v="0"/>
    <x v="504"/>
    <x v="46"/>
    <x v="235"/>
    <s v="080814913-8011 "/>
    <n v="0"/>
    <n v="4.8099999999999996"/>
    <n v="202"/>
    <n v="971.61999999999989"/>
    <x v="437"/>
    <n v="44"/>
    <n v="2025"/>
    <n v="0"/>
    <x v="61"/>
    <n v="0"/>
    <m/>
    <s v="approved"/>
    <n v="4.208333333333333"/>
    <m/>
    <m/>
    <m/>
    <m/>
    <m/>
    <m/>
    <m/>
    <x v="0"/>
    <x v="31"/>
    <x v="1849"/>
    <n v="5410624"/>
    <s v="TK.KWVE30-B-A-S-0038-WW1"/>
    <n v="202"/>
    <n v="971.61999999999989"/>
    <m/>
    <m/>
    <s v="20251315-16.10.2025"/>
    <x v="0"/>
    <x v="11"/>
    <x v="0"/>
    <m/>
  </r>
  <r>
    <x v="0"/>
    <x v="0"/>
    <x v="504"/>
    <x v="46"/>
    <x v="235"/>
    <s v="080814913-8011 "/>
    <n v="0"/>
    <n v="4.8099999999999996"/>
    <n v="146"/>
    <n v="702.26"/>
    <x v="120"/>
    <n v="44"/>
    <n v="2025"/>
    <n v="0"/>
    <x v="61"/>
    <n v="0"/>
    <m/>
    <s v="approved"/>
    <n v="3.0416666666666665"/>
    <m/>
    <m/>
    <m/>
    <m/>
    <m/>
    <m/>
    <m/>
    <x v="0"/>
    <x v="31"/>
    <x v="1849"/>
    <n v="5410624"/>
    <s v="TK.KWVE30-B-A-S-0038-WW1"/>
    <n v="146"/>
    <n v="702.26"/>
    <m/>
    <m/>
    <s v="20251315-16.10.2025"/>
    <x v="0"/>
    <x v="11"/>
    <x v="0"/>
    <m/>
  </r>
  <r>
    <x v="0"/>
    <x v="0"/>
    <x v="504"/>
    <x v="46"/>
    <x v="235"/>
    <s v="080814913-8011 "/>
    <n v="0"/>
    <n v="4.8099999999999996"/>
    <n v="54"/>
    <n v="259.73999999999995"/>
    <x v="120"/>
    <n v="44"/>
    <n v="2025"/>
    <n v="0"/>
    <x v="61"/>
    <n v="0"/>
    <m/>
    <s v="approved"/>
    <n v="1.125"/>
    <m/>
    <m/>
    <m/>
    <m/>
    <m/>
    <m/>
    <m/>
    <x v="0"/>
    <x v="116"/>
    <x v="1850"/>
    <n v="5410624"/>
    <s v="TK.KWVE30-B-A-S-0038-WW1"/>
    <n v="54"/>
    <n v="259.73999999999995"/>
    <m/>
    <m/>
    <s v="20251322-17.10.2025"/>
    <x v="0"/>
    <x v="11"/>
    <x v="0"/>
    <m/>
  </r>
  <r>
    <x v="0"/>
    <x v="0"/>
    <x v="504"/>
    <x v="197"/>
    <x v="235"/>
    <s v="080814913-8011 "/>
    <n v="0"/>
    <n v="4.8099999999999996"/>
    <n v="300"/>
    <n v="1442.9999999999998"/>
    <x v="25"/>
    <n v="45"/>
    <n v="2025"/>
    <n v="0"/>
    <x v="61"/>
    <n v="0"/>
    <m/>
    <s v="approved"/>
    <n v="6.25"/>
    <m/>
    <m/>
    <m/>
    <m/>
    <m/>
    <m/>
    <m/>
    <x v="1"/>
    <x v="3"/>
    <x v="4"/>
    <s v=""/>
    <s v=""/>
    <m/>
    <n v="0"/>
    <m/>
    <m/>
    <m/>
    <x v="1"/>
    <x v="4"/>
    <x v="0"/>
    <m/>
  </r>
  <r>
    <x v="0"/>
    <x v="1"/>
    <x v="504"/>
    <x v="46"/>
    <x v="235"/>
    <s v="080814913-8011 "/>
    <n v="0"/>
    <n v="4.8099999999999996"/>
    <n v="900"/>
    <n v="4329"/>
    <x v="122"/>
    <n v="51"/>
    <n v="2025"/>
    <n v="0"/>
    <x v="61"/>
    <n v="0"/>
    <m/>
    <s v="approved"/>
    <n v="18.75"/>
    <m/>
    <m/>
    <m/>
    <m/>
    <m/>
    <m/>
    <m/>
    <x v="1"/>
    <x v="3"/>
    <x v="4"/>
    <s v=""/>
    <s v=""/>
    <m/>
    <n v="0"/>
    <m/>
    <m/>
    <m/>
    <x v="2"/>
    <x v="3"/>
    <x v="0"/>
    <m/>
  </r>
  <r>
    <x v="0"/>
    <x v="0"/>
    <x v="505"/>
    <x v="38"/>
    <x v="236"/>
    <s v="080817246-8011"/>
    <n v="0"/>
    <n v="6.08"/>
    <n v="50"/>
    <n v="304"/>
    <x v="96"/>
    <n v="19"/>
    <n v="2024"/>
    <n v="0"/>
    <x v="61"/>
    <n v="0"/>
    <m/>
    <s v="approved"/>
    <n v="42"/>
    <s v="no"/>
    <m/>
    <m/>
    <m/>
    <m/>
    <m/>
    <n v="241907"/>
    <x v="0"/>
    <x v="360"/>
    <x v="1851"/>
    <n v="36635985"/>
    <s v="TK.KWVE30-B-A-SL-0038-WW1"/>
    <n v="50"/>
    <n v="304"/>
    <m/>
    <m/>
    <s v="20240561-20.05.2024"/>
    <x v="1"/>
    <x v="2"/>
    <x v="1"/>
    <m/>
  </r>
  <r>
    <x v="0"/>
    <x v="0"/>
    <x v="506"/>
    <x v="38"/>
    <x v="236"/>
    <s v="080817246-8011"/>
    <n v="0"/>
    <n v="6.08"/>
    <n v="50"/>
    <n v="304"/>
    <x v="426"/>
    <n v="19"/>
    <n v="2024"/>
    <n v="0"/>
    <x v="61"/>
    <n v="0"/>
    <m/>
    <s v="approved"/>
    <n v="42"/>
    <s v="no"/>
    <m/>
    <m/>
    <m/>
    <m/>
    <m/>
    <n v="241907"/>
    <x v="0"/>
    <x v="360"/>
    <x v="1852"/>
    <n v="36635987"/>
    <s v="TK.KWVE30-B-A-SL-0038-WW1"/>
    <n v="50"/>
    <n v="304"/>
    <m/>
    <m/>
    <s v="20240562-20.05.2024"/>
    <x v="1"/>
    <x v="2"/>
    <x v="1"/>
    <m/>
  </r>
  <r>
    <x v="0"/>
    <x v="0"/>
    <x v="507"/>
    <x v="38"/>
    <x v="236"/>
    <s v="080817246-8011"/>
    <n v="0"/>
    <n v="6.08"/>
    <n v="50"/>
    <n v="304"/>
    <x v="452"/>
    <n v="20"/>
    <n v="2024"/>
    <n v="0"/>
    <x v="61"/>
    <n v="0"/>
    <m/>
    <s v="approved"/>
    <n v="42"/>
    <s v="no"/>
    <m/>
    <m/>
    <m/>
    <m/>
    <m/>
    <n v="242004"/>
    <x v="0"/>
    <x v="62"/>
    <x v="1853"/>
    <n v="36635994"/>
    <s v="TK.KWVE30-B-A-SL-0038-WW1"/>
    <n v="50"/>
    <n v="304"/>
    <m/>
    <m/>
    <s v="20240574-21.05.2024"/>
    <x v="1"/>
    <x v="2"/>
    <x v="1"/>
    <m/>
  </r>
  <r>
    <x v="0"/>
    <x v="0"/>
    <x v="508"/>
    <x v="38"/>
    <x v="236"/>
    <s v="080817246-8011"/>
    <n v="0"/>
    <n v="6.08"/>
    <n v="50"/>
    <n v="304"/>
    <x v="453"/>
    <n v="20"/>
    <n v="2024"/>
    <n v="0"/>
    <x v="61"/>
    <n v="0"/>
    <m/>
    <s v="approved"/>
    <n v="42"/>
    <s v="no"/>
    <m/>
    <m/>
    <m/>
    <m/>
    <m/>
    <n v="242004"/>
    <x v="0"/>
    <x v="213"/>
    <x v="1854"/>
    <n v="36636000"/>
    <s v="TK.KWVE30-B-A-SL-0038-WW1"/>
    <n v="50"/>
    <n v="304"/>
    <m/>
    <m/>
    <s v="20240575-21.05.2024"/>
    <x v="1"/>
    <x v="2"/>
    <x v="1"/>
    <m/>
  </r>
  <r>
    <x v="0"/>
    <x v="0"/>
    <x v="509"/>
    <x v="38"/>
    <x v="236"/>
    <s v="080817246-8011"/>
    <n v="0"/>
    <n v="6.08"/>
    <n v="50"/>
    <n v="304"/>
    <x v="97"/>
    <n v="21"/>
    <n v="2024"/>
    <n v="0"/>
    <x v="61"/>
    <n v="0"/>
    <m/>
    <s v="approved"/>
    <n v="42"/>
    <s v="no"/>
    <m/>
    <m/>
    <m/>
    <m/>
    <m/>
    <n v="242004"/>
    <x v="0"/>
    <x v="213"/>
    <x v="1855"/>
    <n v="36636009"/>
    <s v="TK.KWVE30-B-A-SL-0038-WW1"/>
    <n v="50"/>
    <n v="304"/>
    <m/>
    <m/>
    <s v="20240580-22.05.2024"/>
    <x v="0"/>
    <x v="2"/>
    <x v="1"/>
    <m/>
  </r>
  <r>
    <x v="0"/>
    <x v="0"/>
    <x v="510"/>
    <x v="38"/>
    <x v="236"/>
    <s v="080817246-8011"/>
    <n v="0"/>
    <n v="6.08"/>
    <n v="50"/>
    <n v="304"/>
    <x v="237"/>
    <n v="21"/>
    <n v="2024"/>
    <n v="0"/>
    <x v="61"/>
    <n v="0"/>
    <m/>
    <s v="approved"/>
    <n v="42"/>
    <s v="no"/>
    <m/>
    <m/>
    <m/>
    <m/>
    <m/>
    <s v="242004/242109"/>
    <x v="0"/>
    <x v="213"/>
    <x v="1856"/>
    <n v="36636013"/>
    <s v="TK.KWVE30-B-A-SL-0038-WW1"/>
    <n v="50"/>
    <n v="304"/>
    <m/>
    <m/>
    <s v="20240581-22.05.2024"/>
    <x v="0"/>
    <x v="2"/>
    <x v="1"/>
    <m/>
  </r>
  <r>
    <x v="0"/>
    <x v="0"/>
    <x v="511"/>
    <x v="38"/>
    <x v="236"/>
    <s v="080817246-8011"/>
    <n v="0"/>
    <n v="6.08"/>
    <n v="50"/>
    <n v="304"/>
    <x v="238"/>
    <n v="22"/>
    <n v="2024"/>
    <n v="0"/>
    <x v="61"/>
    <n v="0"/>
    <m/>
    <s v="approved"/>
    <n v="42"/>
    <s v="no"/>
    <m/>
    <m/>
    <m/>
    <m/>
    <m/>
    <n v="242110"/>
    <x v="0"/>
    <x v="213"/>
    <x v="1857"/>
    <n v="36636016"/>
    <s v="TK.KWVE30-B-A-SL-0038-WW1"/>
    <n v="10"/>
    <n v="60.8"/>
    <m/>
    <m/>
    <s v="20240582-22.05.2024"/>
    <x v="0"/>
    <x v="2"/>
    <x v="1"/>
    <m/>
  </r>
  <r>
    <x v="0"/>
    <x v="0"/>
    <x v="511"/>
    <x v="38"/>
    <x v="236"/>
    <s v="080817246-8011"/>
    <n v="0"/>
    <n v="6.08"/>
    <n v="0"/>
    <n v="0"/>
    <x v="238"/>
    <n v="22"/>
    <n v="2024"/>
    <n v="0"/>
    <x v="61"/>
    <n v="0"/>
    <m/>
    <s v="approved"/>
    <n v="42"/>
    <s v="no"/>
    <m/>
    <m/>
    <m/>
    <m/>
    <m/>
    <m/>
    <x v="0"/>
    <x v="257"/>
    <x v="1858"/>
    <n v="36636016"/>
    <s v="TK.KWVE30-B-A-SL-0038-WW1"/>
    <n v="40"/>
    <n v="243.2"/>
    <m/>
    <m/>
    <s v="20240589-23.05.2024"/>
    <x v="0"/>
    <x v="2"/>
    <x v="1"/>
    <m/>
  </r>
  <r>
    <x v="0"/>
    <x v="0"/>
    <x v="512"/>
    <x v="31"/>
    <x v="236"/>
    <s v="080817246-8011"/>
    <n v="0"/>
    <n v="6.08"/>
    <n v="100"/>
    <n v="608"/>
    <x v="98"/>
    <n v="23"/>
    <n v="2024"/>
    <n v="0"/>
    <x v="61"/>
    <n v="0"/>
    <m/>
    <s v="approved"/>
    <n v="42"/>
    <s v="no"/>
    <m/>
    <m/>
    <m/>
    <m/>
    <m/>
    <n v="242402"/>
    <x v="0"/>
    <x v="66"/>
    <x v="1859"/>
    <n v="36861707"/>
    <s v="TK.KWVE30-B-A-SL-0038-WW1"/>
    <n v="100"/>
    <n v="608"/>
    <m/>
    <m/>
    <s v="20240721-19.06.2024"/>
    <x v="1"/>
    <x v="0"/>
    <x v="1"/>
    <m/>
  </r>
  <r>
    <x v="0"/>
    <x v="0"/>
    <x v="512"/>
    <x v="31"/>
    <x v="236"/>
    <s v="080817246-8011"/>
    <n v="0"/>
    <n v="6.08"/>
    <n v="100"/>
    <n v="608"/>
    <x v="182"/>
    <n v="23"/>
    <n v="2024"/>
    <n v="0"/>
    <x v="61"/>
    <n v="0"/>
    <m/>
    <s v="approved"/>
    <n v="42"/>
    <s v="no"/>
    <m/>
    <m/>
    <m/>
    <m/>
    <m/>
    <n v="242402"/>
    <x v="0"/>
    <x v="66"/>
    <x v="1859"/>
    <n v="36861707"/>
    <s v="TK.KWVE30-B-A-SL-0038-WW1"/>
    <n v="21"/>
    <n v="127.68"/>
    <m/>
    <m/>
    <s v="20240721-19.06.2024"/>
    <x v="1"/>
    <x v="0"/>
    <x v="1"/>
    <m/>
  </r>
  <r>
    <x v="0"/>
    <x v="0"/>
    <x v="512"/>
    <x v="31"/>
    <x v="236"/>
    <s v="080817246-8011"/>
    <n v="0"/>
    <n v="6.08"/>
    <n v="0"/>
    <n v="0"/>
    <x v="182"/>
    <n v="23"/>
    <n v="2024"/>
    <n v="0"/>
    <x v="61"/>
    <n v="0"/>
    <m/>
    <s v="approved"/>
    <n v="0"/>
    <s v="no"/>
    <m/>
    <m/>
    <m/>
    <m/>
    <m/>
    <m/>
    <x v="0"/>
    <x v="66"/>
    <x v="1860"/>
    <n v="36861707"/>
    <s v="TK.KWVE30-B-A-SL-0038-WW1"/>
    <n v="67"/>
    <n v="407.36"/>
    <m/>
    <m/>
    <s v="20240727-20.06.2024"/>
    <x v="1"/>
    <x v="0"/>
    <x v="1"/>
    <m/>
  </r>
  <r>
    <x v="0"/>
    <x v="0"/>
    <x v="512"/>
    <x v="31"/>
    <x v="236"/>
    <s v="080817246-8011"/>
    <n v="0"/>
    <n v="6.08"/>
    <n v="0"/>
    <n v="0"/>
    <x v="182"/>
    <n v="23"/>
    <n v="2024"/>
    <n v="0"/>
    <x v="61"/>
    <n v="0"/>
    <m/>
    <s v="approved"/>
    <n v="0"/>
    <s v="no"/>
    <m/>
    <m/>
    <m/>
    <m/>
    <m/>
    <m/>
    <x v="0"/>
    <x v="67"/>
    <x v="1861"/>
    <n v="36861707"/>
    <s v="TK.KWVE30-B-A-SL-0038-WW1"/>
    <n v="12"/>
    <n v="72.960000000000008"/>
    <m/>
    <m/>
    <s v="20240737-21.06.2024"/>
    <x v="1"/>
    <x v="0"/>
    <x v="1"/>
    <m/>
  </r>
  <r>
    <x v="0"/>
    <x v="0"/>
    <x v="513"/>
    <x v="31"/>
    <x v="236"/>
    <s v="080817246-8011"/>
    <n v="0"/>
    <n v="6.08"/>
    <n v="50"/>
    <n v="304"/>
    <x v="99"/>
    <n v="24"/>
    <n v="2024"/>
    <n v="0"/>
    <x v="61"/>
    <n v="0"/>
    <m/>
    <s v="approved"/>
    <n v="42"/>
    <s v="no"/>
    <m/>
    <m/>
    <m/>
    <m/>
    <m/>
    <n v="242402"/>
    <x v="0"/>
    <x v="67"/>
    <x v="1862"/>
    <n v="36861715"/>
    <s v="TK.KWVE30-B-A-SL-0038-WW1"/>
    <n v="50"/>
    <n v="304"/>
    <m/>
    <m/>
    <s v="20240738-21.06.2024"/>
    <x v="1"/>
    <x v="0"/>
    <x v="1"/>
    <m/>
  </r>
  <r>
    <x v="0"/>
    <x v="0"/>
    <x v="513"/>
    <x v="31"/>
    <x v="236"/>
    <s v="080817246-8011"/>
    <n v="0"/>
    <n v="6.08"/>
    <n v="50"/>
    <n v="304"/>
    <x v="239"/>
    <n v="24"/>
    <n v="2024"/>
    <n v="0"/>
    <x v="61"/>
    <n v="0"/>
    <m/>
    <s v="approved"/>
    <n v="42"/>
    <s v="no"/>
    <m/>
    <m/>
    <m/>
    <m/>
    <m/>
    <n v="242402"/>
    <x v="0"/>
    <x v="67"/>
    <x v="1862"/>
    <n v="36861715"/>
    <s v="TK.KWVE30-B-A-SL-0038-WW1"/>
    <n v="41"/>
    <n v="249.28"/>
    <m/>
    <m/>
    <s v="20240738-21.06.2024"/>
    <x v="1"/>
    <x v="0"/>
    <x v="1"/>
    <m/>
  </r>
  <r>
    <x v="0"/>
    <x v="0"/>
    <x v="513"/>
    <x v="31"/>
    <x v="236"/>
    <s v="080817246-8011"/>
    <n v="0"/>
    <n v="6.08"/>
    <n v="0"/>
    <n v="0"/>
    <x v="239"/>
    <n v="24"/>
    <n v="2024"/>
    <n v="0"/>
    <x v="61"/>
    <n v="0"/>
    <m/>
    <s v="approved"/>
    <n v="0"/>
    <s v="no"/>
    <m/>
    <m/>
    <m/>
    <m/>
    <m/>
    <m/>
    <x v="0"/>
    <x v="68"/>
    <x v="1863"/>
    <n v="36861715"/>
    <s v="TK.KWVE30-B-A-SL-0038-WW1"/>
    <n v="9"/>
    <n v="54.72"/>
    <m/>
    <m/>
    <s v="20240751-25.06.2024"/>
    <x v="1"/>
    <x v="0"/>
    <x v="1"/>
    <m/>
  </r>
  <r>
    <x v="0"/>
    <x v="0"/>
    <x v="514"/>
    <x v="31"/>
    <x v="236"/>
    <s v="080817246-8011"/>
    <n v="0"/>
    <n v="6.08"/>
    <n v="75"/>
    <n v="456"/>
    <x v="100"/>
    <n v="25"/>
    <n v="2024"/>
    <n v="0"/>
    <x v="61"/>
    <n v="0"/>
    <m/>
    <s v="approved"/>
    <n v="42"/>
    <s v="no"/>
    <m/>
    <m/>
    <m/>
    <m/>
    <m/>
    <n v="242402"/>
    <x v="0"/>
    <x v="68"/>
    <x v="1864"/>
    <n v="36861729"/>
    <s v="TK.KWVE30-B-A-SL-0038-WW1"/>
    <n v="75"/>
    <n v="456"/>
    <m/>
    <m/>
    <m/>
    <x v="1"/>
    <x v="0"/>
    <x v="1"/>
    <m/>
  </r>
  <r>
    <x v="0"/>
    <x v="0"/>
    <x v="514"/>
    <x v="31"/>
    <x v="236"/>
    <s v="080817246-8011"/>
    <n v="0"/>
    <n v="6.08"/>
    <n v="75"/>
    <n v="456"/>
    <x v="226"/>
    <n v="25"/>
    <n v="2024"/>
    <n v="0"/>
    <x v="61"/>
    <n v="0"/>
    <m/>
    <s v="approved"/>
    <n v="42"/>
    <s v="no"/>
    <m/>
    <m/>
    <m/>
    <m/>
    <m/>
    <n v="242402"/>
    <x v="0"/>
    <x v="68"/>
    <x v="1864"/>
    <n v="36861729"/>
    <s v="TK.KWVE30-B-A-SL-0038-WW1"/>
    <n v="44"/>
    <n v="267.52"/>
    <m/>
    <m/>
    <s v="20240752-25.06.2024"/>
    <x v="1"/>
    <x v="0"/>
    <x v="1"/>
    <m/>
  </r>
  <r>
    <x v="0"/>
    <x v="0"/>
    <x v="514"/>
    <x v="31"/>
    <x v="236"/>
    <s v="080817246-8011"/>
    <n v="0"/>
    <n v="6.08"/>
    <n v="0"/>
    <n v="0"/>
    <x v="226"/>
    <n v="25"/>
    <n v="2024"/>
    <n v="0"/>
    <x v="61"/>
    <n v="0"/>
    <m/>
    <s v="approved"/>
    <n v="0"/>
    <s v="no"/>
    <m/>
    <m/>
    <m/>
    <m/>
    <m/>
    <m/>
    <x v="0"/>
    <x v="69"/>
    <x v="1865"/>
    <n v="36861729"/>
    <s v="TK.KWVE30-B-A-SL-0038-WW1"/>
    <n v="31"/>
    <n v="188.48"/>
    <m/>
    <m/>
    <s v="20240756-26.06.2024"/>
    <x v="1"/>
    <x v="0"/>
    <x v="1"/>
    <m/>
  </r>
  <r>
    <x v="0"/>
    <x v="0"/>
    <x v="515"/>
    <x v="31"/>
    <x v="236"/>
    <s v="080817246-8011"/>
    <n v="0"/>
    <n v="6.08"/>
    <n v="75"/>
    <n v="456"/>
    <x v="240"/>
    <n v="26"/>
    <n v="2024"/>
    <n v="0"/>
    <x v="61"/>
    <n v="0"/>
    <m/>
    <s v="approved"/>
    <n v="42"/>
    <s v="no"/>
    <m/>
    <m/>
    <m/>
    <m/>
    <m/>
    <n v="242402"/>
    <x v="0"/>
    <x v="69"/>
    <x v="1866"/>
    <n v="36861741"/>
    <s v="TK.KWVE30-B-A-SL-0038-WW1"/>
    <n v="65"/>
    <n v="395.2"/>
    <m/>
    <m/>
    <s v="20240757-26.06.2024"/>
    <x v="0"/>
    <x v="0"/>
    <x v="1"/>
    <m/>
  </r>
  <r>
    <x v="0"/>
    <x v="0"/>
    <x v="515"/>
    <x v="31"/>
    <x v="236"/>
    <s v="080817246-8011"/>
    <n v="0"/>
    <n v="6.08"/>
    <n v="0"/>
    <n v="0"/>
    <x v="240"/>
    <n v="26"/>
    <n v="2024"/>
    <n v="0"/>
    <x v="61"/>
    <n v="0"/>
    <m/>
    <s v="approved"/>
    <n v="0"/>
    <s v="no"/>
    <m/>
    <m/>
    <m/>
    <m/>
    <m/>
    <m/>
    <x v="0"/>
    <x v="69"/>
    <x v="1867"/>
    <n v="36861741"/>
    <s v="TK.KWVE30-B-A-SL-0038-WW1"/>
    <n v="10"/>
    <n v="60.8"/>
    <m/>
    <m/>
    <s v="20240758-26.06.2024"/>
    <x v="0"/>
    <x v="0"/>
    <x v="1"/>
    <m/>
  </r>
  <r>
    <x v="0"/>
    <x v="0"/>
    <x v="515"/>
    <x v="31"/>
    <x v="236"/>
    <s v="080817246-8011"/>
    <n v="0"/>
    <n v="6.08"/>
    <n v="52"/>
    <n v="316.16000000000003"/>
    <x v="180"/>
    <n v="26"/>
    <n v="2024"/>
    <n v="0"/>
    <x v="61"/>
    <n v="0"/>
    <m/>
    <s v="approved"/>
    <n v="42"/>
    <s v="no"/>
    <m/>
    <m/>
    <m/>
    <m/>
    <m/>
    <n v="242402"/>
    <x v="0"/>
    <x v="69"/>
    <x v="1867"/>
    <n v="36861741"/>
    <s v="TK.KWVE30-B-A-SL-0038-WW1"/>
    <n v="52"/>
    <n v="316.16000000000003"/>
    <m/>
    <m/>
    <s v="20240758-26.06.2024"/>
    <x v="0"/>
    <x v="0"/>
    <x v="1"/>
    <m/>
  </r>
  <r>
    <x v="0"/>
    <x v="0"/>
    <x v="515"/>
    <x v="31"/>
    <x v="236"/>
    <s v="080817246-8011"/>
    <n v="0"/>
    <n v="6.08"/>
    <n v="0"/>
    <n v="0"/>
    <x v="180"/>
    <n v="26"/>
    <n v="2024"/>
    <n v="0"/>
    <x v="61"/>
    <n v="0"/>
    <m/>
    <s v="approved"/>
    <n v="0"/>
    <s v="no"/>
    <m/>
    <m/>
    <m/>
    <m/>
    <m/>
    <m/>
    <x v="0"/>
    <x v="72"/>
    <x v="1868"/>
    <n v="36861741"/>
    <s v="TK.KWVE30-B-A-SL-0038-WW1"/>
    <n v="0"/>
    <n v="0"/>
    <n v="23"/>
    <m/>
    <m/>
    <x v="1"/>
    <x v="0"/>
    <x v="1"/>
    <m/>
  </r>
  <r>
    <x v="0"/>
    <x v="0"/>
    <x v="515"/>
    <x v="31"/>
    <x v="236"/>
    <s v="080817246-8011"/>
    <n v="0"/>
    <n v="6.08"/>
    <n v="23"/>
    <n v="139.84"/>
    <x v="180"/>
    <n v="26"/>
    <n v="2024"/>
    <n v="0"/>
    <x v="61"/>
    <n v="0"/>
    <m/>
    <s v="approved"/>
    <n v="0.47916666666666669"/>
    <s v="no"/>
    <m/>
    <m/>
    <m/>
    <m/>
    <m/>
    <m/>
    <x v="0"/>
    <x v="74"/>
    <x v="1869"/>
    <n v="36861741"/>
    <s v="TK.KWVE30-B-A-SL-0038-WW1"/>
    <n v="23"/>
    <n v="139.84"/>
    <m/>
    <m/>
    <s v="20240891-15.07.2024"/>
    <x v="1"/>
    <x v="0"/>
    <x v="1"/>
    <m/>
  </r>
  <r>
    <x v="0"/>
    <x v="0"/>
    <x v="516"/>
    <x v="133"/>
    <x v="236"/>
    <s v="080817246-8011"/>
    <n v="0"/>
    <n v="6.08"/>
    <n v="50"/>
    <n v="304"/>
    <x v="241"/>
    <n v="27"/>
    <n v="2024"/>
    <n v="0"/>
    <x v="61"/>
    <n v="0"/>
    <m/>
    <s v="approved"/>
    <n v="42"/>
    <s v="no"/>
    <m/>
    <m/>
    <m/>
    <m/>
    <m/>
    <n v="242810"/>
    <x v="0"/>
    <x v="74"/>
    <x v="1870"/>
    <n v="37069150"/>
    <s v="TK.KWVE30-B-A-SL-0038-WW1"/>
    <n v="50"/>
    <n v="304"/>
    <m/>
    <m/>
    <s v="20240889-15.07.2024"/>
    <x v="1"/>
    <x v="8"/>
    <x v="1"/>
    <m/>
  </r>
  <r>
    <x v="0"/>
    <x v="0"/>
    <x v="517"/>
    <x v="133"/>
    <x v="236"/>
    <s v="080817246-8011"/>
    <n v="0"/>
    <n v="6.08"/>
    <n v="50"/>
    <n v="304"/>
    <x v="125"/>
    <n v="28"/>
    <n v="2024"/>
    <n v="0"/>
    <x v="61"/>
    <n v="0"/>
    <m/>
    <s v="approved"/>
    <n v="42"/>
    <s v="no"/>
    <m/>
    <m/>
    <m/>
    <m/>
    <m/>
    <n v="242810"/>
    <x v="0"/>
    <x v="75"/>
    <x v="1871"/>
    <n v="37069154"/>
    <s v="TK.KWVE30-B-A-SL-0038-WW1"/>
    <n v="50"/>
    <n v="304"/>
    <m/>
    <m/>
    <s v="20240894-16.07.2024"/>
    <x v="1"/>
    <x v="8"/>
    <x v="1"/>
    <m/>
  </r>
  <r>
    <x v="0"/>
    <x v="0"/>
    <x v="518"/>
    <x v="133"/>
    <x v="236"/>
    <s v="080817246-8011"/>
    <n v="0"/>
    <n v="6.08"/>
    <n v="50"/>
    <n v="304"/>
    <x v="464"/>
    <n v="29"/>
    <n v="2024"/>
    <n v="0"/>
    <x v="61"/>
    <n v="0"/>
    <m/>
    <s v="approved"/>
    <n v="42"/>
    <s v="no"/>
    <m/>
    <m/>
    <m/>
    <m/>
    <m/>
    <n v="242810"/>
    <x v="0"/>
    <x v="75"/>
    <x v="1872"/>
    <n v="37069157"/>
    <s v="TK.KWVE30-B-A-SL-0038-WW1"/>
    <n v="50"/>
    <n v="304"/>
    <m/>
    <m/>
    <s v="20240895-16.07.2024"/>
    <x v="0"/>
    <x v="8"/>
    <x v="1"/>
    <m/>
  </r>
  <r>
    <x v="0"/>
    <x v="0"/>
    <x v="519"/>
    <x v="32"/>
    <x v="236"/>
    <s v="080817246-8011"/>
    <n v="0"/>
    <n v="6.08"/>
    <n v="100"/>
    <n v="608"/>
    <x v="107"/>
    <n v="40"/>
    <n v="2024"/>
    <n v="0"/>
    <x v="61"/>
    <n v="0"/>
    <m/>
    <s v="approved"/>
    <n v="42"/>
    <s v="no"/>
    <m/>
    <m/>
    <m/>
    <m/>
    <m/>
    <m/>
    <x v="0"/>
    <x v="88"/>
    <x v="1873"/>
    <n v="37521087"/>
    <s v="TK.KWVE30-B-A-SL-0038-WW1"/>
    <n v="100"/>
    <n v="608"/>
    <m/>
    <m/>
    <s v="20241242-30.09.2024"/>
    <x v="0"/>
    <x v="11"/>
    <x v="1"/>
    <m/>
  </r>
  <r>
    <x v="0"/>
    <x v="0"/>
    <x v="512"/>
    <x v="31"/>
    <x v="236"/>
    <s v="080817246-8011"/>
    <n v="0"/>
    <n v="6.08"/>
    <n v="8"/>
    <n v="48.64"/>
    <x v="107"/>
    <n v="40"/>
    <n v="2024"/>
    <n v="0"/>
    <x v="61"/>
    <n v="0"/>
    <m/>
    <s v="approved"/>
    <n v="42"/>
    <s v="no"/>
    <m/>
    <m/>
    <m/>
    <m/>
    <m/>
    <m/>
    <x v="0"/>
    <x v="362"/>
    <x v="1874"/>
    <n v="36861707"/>
    <s v="TK.KWVE30-B-A-SL-0038-WW1"/>
    <n v="8"/>
    <n v="48.64"/>
    <m/>
    <m/>
    <s v="20250042-17.01.2025"/>
    <x v="1"/>
    <x v="11"/>
    <x v="1"/>
    <m/>
  </r>
  <r>
    <x v="0"/>
    <x v="0"/>
    <x v="519"/>
    <x v="32"/>
    <x v="236"/>
    <s v="080817246-8011"/>
    <n v="0"/>
    <n v="6.08"/>
    <n v="100"/>
    <n v="608"/>
    <x v="108"/>
    <n v="41"/>
    <n v="2024"/>
    <n v="0"/>
    <x v="61"/>
    <n v="0"/>
    <m/>
    <s v="approved"/>
    <n v="42"/>
    <s v="no"/>
    <m/>
    <m/>
    <m/>
    <m/>
    <m/>
    <m/>
    <x v="0"/>
    <x v="88"/>
    <x v="1873"/>
    <n v="37521087"/>
    <s v="TK.KWVE30-B-A-SL-0038-WW1"/>
    <n v="19"/>
    <n v="115.52"/>
    <m/>
    <m/>
    <s v="20241242-30.09.2024"/>
    <x v="0"/>
    <x v="11"/>
    <x v="1"/>
    <m/>
  </r>
  <r>
    <x v="0"/>
    <x v="0"/>
    <x v="519"/>
    <x v="32"/>
    <x v="236"/>
    <s v="080817246-8011"/>
    <n v="0"/>
    <n v="6.08"/>
    <n v="0"/>
    <n v="0"/>
    <x v="108"/>
    <n v="41"/>
    <n v="2024"/>
    <n v="0"/>
    <x v="61"/>
    <n v="0"/>
    <m/>
    <s v="approved"/>
    <n v="42"/>
    <s v="no"/>
    <m/>
    <m/>
    <m/>
    <m/>
    <m/>
    <m/>
    <x v="0"/>
    <x v="354"/>
    <x v="1875"/>
    <n v="37521087"/>
    <s v="TK.KWVE30-B-A-SL-0038-WW1"/>
    <n v="81"/>
    <n v="492.48"/>
    <m/>
    <m/>
    <s v="20241282-08.10.2024"/>
    <x v="0"/>
    <x v="11"/>
    <x v="1"/>
    <m/>
  </r>
  <r>
    <x v="0"/>
    <x v="0"/>
    <x v="520"/>
    <x v="12"/>
    <x v="236"/>
    <s v="080817246-8011"/>
    <n v="0"/>
    <n v="6.08"/>
    <n v="100"/>
    <n v="608"/>
    <x v="245"/>
    <n v="42"/>
    <n v="2024"/>
    <n v="0"/>
    <x v="61"/>
    <n v="0"/>
    <m/>
    <s v="approved"/>
    <n v="42"/>
    <s v="no"/>
    <m/>
    <m/>
    <m/>
    <m/>
    <m/>
    <m/>
    <x v="0"/>
    <x v="354"/>
    <x v="1876"/>
    <n v="37672812"/>
    <s v="TK.KWVE30-B-A-SL-0038-WW1"/>
    <n v="100"/>
    <n v="608"/>
    <m/>
    <m/>
    <s v="20241283-08.10.2024"/>
    <x v="0"/>
    <x v="11"/>
    <x v="1"/>
    <m/>
  </r>
  <r>
    <x v="0"/>
    <x v="0"/>
    <x v="521"/>
    <x v="12"/>
    <x v="236"/>
    <s v="080817246-8011"/>
    <n v="0"/>
    <n v="6.08"/>
    <n v="50"/>
    <n v="304"/>
    <x v="246"/>
    <n v="43"/>
    <n v="2024"/>
    <n v="0"/>
    <x v="61"/>
    <n v="0"/>
    <m/>
    <s v="approved"/>
    <n v="42"/>
    <s v="no"/>
    <m/>
    <m/>
    <m/>
    <m/>
    <m/>
    <m/>
    <x v="0"/>
    <x v="354"/>
    <x v="1877"/>
    <n v="37672813"/>
    <s v="TK.KWVE30-B-A-SL-0038-WW1"/>
    <n v="50"/>
    <n v="304"/>
    <m/>
    <m/>
    <s v="20241285-08.10.2024"/>
    <x v="0"/>
    <x v="11"/>
    <x v="1"/>
    <m/>
  </r>
  <r>
    <x v="0"/>
    <x v="0"/>
    <x v="522"/>
    <x v="12"/>
    <x v="236"/>
    <s v="080817246-8011"/>
    <n v="0"/>
    <n v="6.08"/>
    <n v="54"/>
    <n v="328.32"/>
    <x v="23"/>
    <n v="44"/>
    <n v="2024"/>
    <n v="0"/>
    <x v="61"/>
    <n v="0"/>
    <m/>
    <s v="approved"/>
    <n v="42"/>
    <s v="no"/>
    <m/>
    <m/>
    <m/>
    <m/>
    <m/>
    <m/>
    <x v="0"/>
    <x v="354"/>
    <x v="1878"/>
    <n v="37672814"/>
    <s v="TK.KWVE30-B-A-SL-0038-WW1"/>
    <n v="54"/>
    <n v="328.32"/>
    <m/>
    <m/>
    <s v="20241284-08.10.2024"/>
    <x v="0"/>
    <x v="11"/>
    <x v="1"/>
    <m/>
  </r>
  <r>
    <x v="0"/>
    <x v="0"/>
    <x v="523"/>
    <x v="43"/>
    <x v="236"/>
    <s v="080817246-8011"/>
    <n v="0"/>
    <n v="6.08"/>
    <n v="200"/>
    <n v="1216"/>
    <x v="109"/>
    <n v="45"/>
    <n v="2024"/>
    <n v="0"/>
    <x v="61"/>
    <n v="0"/>
    <m/>
    <s v="approved"/>
    <n v="42"/>
    <s v="no"/>
    <m/>
    <m/>
    <m/>
    <s v="ETA 20oct"/>
    <m/>
    <m/>
    <x v="0"/>
    <x v="244"/>
    <x v="1879"/>
    <n v="37871646"/>
    <s v="TK.KWVE30-B-A-SL-0038-WW1"/>
    <n v="200"/>
    <n v="1216"/>
    <m/>
    <m/>
    <s v="20241447-18.11.2024"/>
    <x v="1"/>
    <x v="4"/>
    <x v="1"/>
    <m/>
  </r>
  <r>
    <x v="0"/>
    <x v="0"/>
    <x v="523"/>
    <x v="43"/>
    <x v="236"/>
    <s v="080817246-8011"/>
    <n v="0"/>
    <n v="6.08"/>
    <n v="56"/>
    <n v="340.48"/>
    <x v="247"/>
    <n v="46"/>
    <n v="2024"/>
    <n v="0"/>
    <x v="61"/>
    <n v="0"/>
    <m/>
    <s v="approved"/>
    <n v="42"/>
    <s v="no"/>
    <m/>
    <m/>
    <m/>
    <m/>
    <m/>
    <m/>
    <x v="0"/>
    <x v="244"/>
    <x v="1879"/>
    <n v="37871646"/>
    <s v="TK.KWVE30-B-A-SL-0038-WW1"/>
    <n v="56"/>
    <n v="340.48"/>
    <m/>
    <m/>
    <s v="20241447-18.11.2024"/>
    <x v="1"/>
    <x v="4"/>
    <x v="1"/>
    <m/>
  </r>
  <r>
    <x v="0"/>
    <x v="0"/>
    <x v="523"/>
    <x v="43"/>
    <x v="236"/>
    <s v="080817246-8011"/>
    <n v="0"/>
    <n v="6.08"/>
    <n v="144"/>
    <n v="875.52"/>
    <x v="247"/>
    <n v="46"/>
    <n v="2024"/>
    <n v="0"/>
    <x v="61"/>
    <n v="0"/>
    <m/>
    <s v="approved"/>
    <n v="42"/>
    <s v="no"/>
    <m/>
    <m/>
    <m/>
    <m/>
    <m/>
    <m/>
    <x v="0"/>
    <x v="270"/>
    <x v="1880"/>
    <n v="37871646"/>
    <s v="TK.KWVE30-B-A-SL-0038-WW1"/>
    <n v="144"/>
    <n v="875.52"/>
    <m/>
    <m/>
    <s v="20241455-21.11.2024"/>
    <x v="1"/>
    <x v="4"/>
    <x v="1"/>
    <m/>
  </r>
  <r>
    <x v="0"/>
    <x v="0"/>
    <x v="523"/>
    <x v="43"/>
    <x v="236"/>
    <s v="080817246-8011"/>
    <n v="0"/>
    <n v="6.08"/>
    <n v="42"/>
    <n v="255.36"/>
    <x v="248"/>
    <n v="47"/>
    <n v="2024"/>
    <n v="0"/>
    <x v="61"/>
    <n v="0"/>
    <m/>
    <s v="approved"/>
    <n v="42"/>
    <s v="no"/>
    <m/>
    <m/>
    <m/>
    <m/>
    <m/>
    <m/>
    <x v="0"/>
    <x v="270"/>
    <x v="1880"/>
    <n v="37871646"/>
    <s v="TK.KWVE30-B-A-SL-0038-WW1"/>
    <n v="42"/>
    <n v="255.36"/>
    <m/>
    <m/>
    <s v="20241455-21.11.2024"/>
    <x v="0"/>
    <x v="4"/>
    <x v="1"/>
    <m/>
  </r>
  <r>
    <x v="0"/>
    <x v="0"/>
    <x v="523"/>
    <x v="43"/>
    <x v="236"/>
    <s v="080817246-8011"/>
    <n v="0"/>
    <n v="6.08"/>
    <n v="31"/>
    <n v="188.48"/>
    <x v="248"/>
    <n v="47"/>
    <n v="2024"/>
    <n v="0"/>
    <x v="61"/>
    <n v="0"/>
    <m/>
    <s v="approved"/>
    <n v="42"/>
    <s v="no"/>
    <m/>
    <m/>
    <m/>
    <m/>
    <m/>
    <m/>
    <x v="0"/>
    <x v="270"/>
    <x v="1881"/>
    <n v="37871646"/>
    <s v="TK.KWVE30-B-A-SL-0038-WW1"/>
    <n v="31"/>
    <n v="188.48"/>
    <m/>
    <m/>
    <s v="20241456-21.11.2024"/>
    <x v="0"/>
    <x v="4"/>
    <x v="1"/>
    <m/>
  </r>
  <r>
    <x v="0"/>
    <x v="0"/>
    <x v="523"/>
    <x v="43"/>
    <x v="236"/>
    <s v="080817246-8011"/>
    <n v="0"/>
    <n v="6.08"/>
    <n v="127"/>
    <n v="772.16"/>
    <x v="248"/>
    <n v="47"/>
    <n v="2024"/>
    <n v="0"/>
    <x v="61"/>
    <n v="0"/>
    <m/>
    <s v="approved"/>
    <n v="42"/>
    <s v="no"/>
    <m/>
    <m/>
    <m/>
    <m/>
    <m/>
    <m/>
    <x v="0"/>
    <x v="333"/>
    <x v="1882"/>
    <n v="37871646"/>
    <s v="TK.KWVE30-B-A-SL-0038-WW1"/>
    <n v="127"/>
    <n v="772.16"/>
    <m/>
    <m/>
    <s v="20241484-28.11.2024"/>
    <x v="1"/>
    <x v="4"/>
    <x v="1"/>
    <m/>
  </r>
  <r>
    <x v="0"/>
    <x v="0"/>
    <x v="524"/>
    <x v="199"/>
    <x v="236"/>
    <s v="080817246-8011"/>
    <n v="0"/>
    <n v="6.08"/>
    <n v="150"/>
    <n v="912"/>
    <x v="468"/>
    <n v="49"/>
    <n v="2024"/>
    <n v="0"/>
    <x v="61"/>
    <n v="0"/>
    <m/>
    <s v="approved"/>
    <n v="42"/>
    <s v="no"/>
    <m/>
    <m/>
    <m/>
    <m/>
    <m/>
    <m/>
    <x v="0"/>
    <x v="90"/>
    <x v="1883"/>
    <n v="38036681"/>
    <s v="TK.KWVE30-B-A-SL-0038-WW1"/>
    <n v="150"/>
    <n v="912"/>
    <m/>
    <m/>
    <s v="20241500-03.12.2024"/>
    <x v="0"/>
    <x v="3"/>
    <x v="1"/>
    <m/>
  </r>
  <r>
    <x v="0"/>
    <x v="0"/>
    <x v="524"/>
    <x v="199"/>
    <x v="236"/>
    <s v="080817246-8011"/>
    <n v="0"/>
    <n v="6.08"/>
    <n v="150"/>
    <n v="912"/>
    <x v="250"/>
    <n v="50"/>
    <n v="2024"/>
    <n v="0"/>
    <x v="61"/>
    <n v="0"/>
    <m/>
    <s v="approved"/>
    <n v="42"/>
    <s v="no"/>
    <m/>
    <m/>
    <m/>
    <m/>
    <m/>
    <m/>
    <x v="0"/>
    <x v="90"/>
    <x v="1883"/>
    <n v="38036681"/>
    <s v="TK.KWVE30-B-A-SL-0038-WW1"/>
    <n v="150"/>
    <n v="912"/>
    <m/>
    <m/>
    <s v="20241500-03.12.2024"/>
    <x v="0"/>
    <x v="3"/>
    <x v="1"/>
    <m/>
  </r>
  <r>
    <x v="0"/>
    <x v="0"/>
    <x v="525"/>
    <x v="136"/>
    <x v="236"/>
    <s v="080817246-8011"/>
    <n v="0"/>
    <n v="6.08"/>
    <n v="150"/>
    <n v="912"/>
    <x v="251"/>
    <n v="2"/>
    <n v="2025"/>
    <n v="0"/>
    <x v="61"/>
    <n v="0"/>
    <m/>
    <s v="approved"/>
    <n v="42"/>
    <s v="no"/>
    <m/>
    <m/>
    <m/>
    <m/>
    <m/>
    <m/>
    <x v="0"/>
    <x v="245"/>
    <x v="1884"/>
    <n v="38215983"/>
    <s v="TK.KWVE30-B-A-SL-0038-WW1"/>
    <n v="150"/>
    <n v="912"/>
    <m/>
    <m/>
    <s v="20250010-10.01.2025"/>
    <x v="0"/>
    <x v="6"/>
    <x v="0"/>
    <m/>
  </r>
  <r>
    <x v="0"/>
    <x v="0"/>
    <x v="526"/>
    <x v="137"/>
    <x v="236"/>
    <s v="080817246-8011"/>
    <n v="0"/>
    <n v="6.08"/>
    <n v="6"/>
    <n v="36.480000000000004"/>
    <x v="253"/>
    <n v="4"/>
    <n v="2025"/>
    <n v="0"/>
    <x v="61"/>
    <n v="0"/>
    <m/>
    <s v="approved"/>
    <n v="42"/>
    <s v="no"/>
    <m/>
    <m/>
    <m/>
    <m/>
    <m/>
    <m/>
    <x v="0"/>
    <x v="272"/>
    <x v="1885"/>
    <n v="38397723"/>
    <s v="TK.KWVE30-B-A-SL-0038-WW1"/>
    <n v="6"/>
    <n v="36.480000000000004"/>
    <m/>
    <m/>
    <s v="20250032-14.01.2025"/>
    <x v="0"/>
    <x v="6"/>
    <x v="0"/>
    <m/>
  </r>
  <r>
    <x v="0"/>
    <x v="0"/>
    <x v="526"/>
    <x v="137"/>
    <x v="236"/>
    <s v="080817246-8011"/>
    <n v="0"/>
    <n v="6.08"/>
    <n v="121"/>
    <n v="735.68000000000006"/>
    <x v="253"/>
    <n v="4"/>
    <n v="2025"/>
    <n v="0"/>
    <x v="61"/>
    <n v="0"/>
    <m/>
    <s v="approved"/>
    <n v="42"/>
    <s v="no"/>
    <m/>
    <m/>
    <m/>
    <m/>
    <m/>
    <m/>
    <x v="0"/>
    <x v="272"/>
    <x v="1886"/>
    <n v="38397723"/>
    <s v="TK.KWVE30-B-A-SL-0038-WW1"/>
    <n v="121"/>
    <n v="735.68000000000006"/>
    <m/>
    <m/>
    <s v="20250030-14.01.2025"/>
    <x v="0"/>
    <x v="6"/>
    <x v="0"/>
    <m/>
  </r>
  <r>
    <x v="0"/>
    <x v="0"/>
    <x v="526"/>
    <x v="137"/>
    <x v="236"/>
    <s v="080817246-8011"/>
    <n v="0"/>
    <n v="6.08"/>
    <n v="16"/>
    <n v="97.28"/>
    <x v="253"/>
    <n v="4"/>
    <n v="2025"/>
    <n v="0"/>
    <x v="61"/>
    <n v="0"/>
    <m/>
    <s v="approved"/>
    <n v="42"/>
    <s v="no"/>
    <m/>
    <m/>
    <m/>
    <m/>
    <m/>
    <m/>
    <x v="0"/>
    <x v="362"/>
    <x v="1887"/>
    <n v="38397723"/>
    <s v="TK.KWVE30-B-A-SL-0038-WW1"/>
    <n v="16"/>
    <n v="97.28"/>
    <m/>
    <m/>
    <s v="20250043-17.01.2025"/>
    <x v="0"/>
    <x v="6"/>
    <x v="0"/>
    <m/>
  </r>
  <r>
    <x v="0"/>
    <x v="0"/>
    <x v="526"/>
    <x v="137"/>
    <x v="236"/>
    <s v="080817246-8011"/>
    <n v="0"/>
    <n v="6.08"/>
    <n v="90"/>
    <n v="547.20000000000005"/>
    <x v="253"/>
    <n v="4"/>
    <n v="2025"/>
    <n v="0"/>
    <x v="61"/>
    <n v="0"/>
    <m/>
    <s v="approved"/>
    <n v="42"/>
    <s v="no"/>
    <m/>
    <m/>
    <m/>
    <m/>
    <m/>
    <m/>
    <x v="0"/>
    <x v="246"/>
    <x v="1888"/>
    <n v="38397723"/>
    <s v="TK.KWVE30-B-A-SL-0038-WW1"/>
    <n v="90"/>
    <n v="547.20000000000005"/>
    <m/>
    <m/>
    <m/>
    <x v="1"/>
    <x v="6"/>
    <x v="0"/>
    <m/>
  </r>
  <r>
    <x v="0"/>
    <x v="0"/>
    <x v="526"/>
    <x v="137"/>
    <x v="236"/>
    <s v="080817246-8011"/>
    <n v="0"/>
    <n v="6.08"/>
    <n v="167"/>
    <n v="1015.36"/>
    <x v="253"/>
    <n v="4"/>
    <n v="2025"/>
    <n v="0"/>
    <x v="61"/>
    <n v="0"/>
    <m/>
    <s v="approved"/>
    <n v="42"/>
    <s v="no"/>
    <m/>
    <m/>
    <m/>
    <m/>
    <m/>
    <m/>
    <x v="0"/>
    <x v="225"/>
    <x v="1889"/>
    <n v="38397723"/>
    <s v="TK.KWVE30-B-A-SL-0038-WW1"/>
    <n v="167"/>
    <n v="1015.36"/>
    <m/>
    <m/>
    <s v="20250097-29.01.2025"/>
    <x v="1"/>
    <x v="6"/>
    <x v="0"/>
    <m/>
  </r>
  <r>
    <x v="0"/>
    <x v="0"/>
    <x v="527"/>
    <x v="195"/>
    <x v="236"/>
    <s v="080817246-8011"/>
    <n v="0"/>
    <n v="6.08"/>
    <n v="194"/>
    <n v="1179.52"/>
    <x v="457"/>
    <n v="6"/>
    <n v="2025"/>
    <n v="0"/>
    <x v="61"/>
    <n v="0"/>
    <m/>
    <s v="approved"/>
    <n v="42"/>
    <s v="no"/>
    <m/>
    <m/>
    <m/>
    <m/>
    <m/>
    <m/>
    <x v="0"/>
    <x v="242"/>
    <x v="1890"/>
    <n v="38474523"/>
    <s v="TK.KWVE30-B-A-SL-0038-WW1"/>
    <n v="194"/>
    <n v="1179.52"/>
    <m/>
    <m/>
    <s v="20250109-31.01.2025"/>
    <x v="0"/>
    <x v="7"/>
    <x v="0"/>
    <m/>
  </r>
  <r>
    <x v="0"/>
    <x v="0"/>
    <x v="527"/>
    <x v="195"/>
    <x v="236"/>
    <s v="080817246-8011"/>
    <n v="0"/>
    <n v="6.08"/>
    <n v="6"/>
    <n v="36.480000000000004"/>
    <x v="457"/>
    <n v="6"/>
    <n v="2025"/>
    <n v="0"/>
    <x v="61"/>
    <n v="0"/>
    <m/>
    <s v="approved"/>
    <n v="42"/>
    <s v="no"/>
    <m/>
    <m/>
    <m/>
    <m/>
    <m/>
    <m/>
    <x v="0"/>
    <x v="42"/>
    <x v="1891"/>
    <n v="38474523"/>
    <s v="TK.KWVE30-B-A-SL-0038-WW1"/>
    <n v="6"/>
    <n v="36.480000000000004"/>
    <m/>
    <m/>
    <s v="20250122-07.02.2025"/>
    <x v="0"/>
    <x v="7"/>
    <x v="0"/>
    <m/>
  </r>
  <r>
    <x v="0"/>
    <x v="0"/>
    <x v="527"/>
    <x v="195"/>
    <x v="236"/>
    <s v="080817246-8011"/>
    <n v="0"/>
    <n v="6.08"/>
    <n v="19"/>
    <n v="115.52"/>
    <x v="56"/>
    <n v="7"/>
    <n v="2025"/>
    <n v="0"/>
    <x v="61"/>
    <n v="0"/>
    <m/>
    <s v="approved"/>
    <n v="42"/>
    <s v="no"/>
    <m/>
    <m/>
    <m/>
    <m/>
    <m/>
    <m/>
    <x v="0"/>
    <x v="42"/>
    <x v="1891"/>
    <n v="38474523"/>
    <s v="TK.KWVE30-B-A-SL-0038-WW1"/>
    <n v="19"/>
    <n v="115.52"/>
    <m/>
    <m/>
    <s v="20250122-07.02.2025"/>
    <x v="0"/>
    <x v="7"/>
    <x v="0"/>
    <m/>
  </r>
  <r>
    <x v="0"/>
    <x v="0"/>
    <x v="527"/>
    <x v="195"/>
    <x v="236"/>
    <s v="080817246-8011"/>
    <n v="0"/>
    <n v="6.08"/>
    <n v="81"/>
    <n v="492.48"/>
    <x v="56"/>
    <n v="7"/>
    <n v="2025"/>
    <n v="0"/>
    <x v="61"/>
    <n v="0"/>
    <m/>
    <s v="approved"/>
    <n v="42"/>
    <s v="no"/>
    <m/>
    <m/>
    <m/>
    <m/>
    <m/>
    <m/>
    <x v="0"/>
    <x v="243"/>
    <x v="1892"/>
    <n v="38474523"/>
    <s v="TK.KWVE30-B-A-SL-0038-WW1"/>
    <n v="81"/>
    <n v="492.48"/>
    <m/>
    <m/>
    <s v="20250166-17.02.2025"/>
    <x v="1"/>
    <x v="7"/>
    <x v="0"/>
    <m/>
  </r>
  <r>
    <x v="0"/>
    <x v="0"/>
    <x v="527"/>
    <x v="195"/>
    <x v="236"/>
    <s v="080817246-8011"/>
    <n v="0"/>
    <n v="6.08"/>
    <n v="6"/>
    <n v="36.480000000000004"/>
    <x v="56"/>
    <n v="7"/>
    <n v="2025"/>
    <n v="0"/>
    <x v="61"/>
    <n v="0"/>
    <m/>
    <s v="approved"/>
    <n v="42"/>
    <s v="no"/>
    <m/>
    <m/>
    <m/>
    <m/>
    <s v="Yes"/>
    <m/>
    <x v="0"/>
    <x v="243"/>
    <x v="1892"/>
    <n v="38474523"/>
    <s v="TK.KWVE30-B-A-SL-0038-WW1"/>
    <n v="6"/>
    <n v="36.480000000000004"/>
    <m/>
    <m/>
    <s v="20250166-17.02.2025"/>
    <x v="1"/>
    <x v="7"/>
    <x v="0"/>
    <m/>
  </r>
  <r>
    <x v="0"/>
    <x v="0"/>
    <x v="527"/>
    <x v="195"/>
    <x v="236"/>
    <s v="080817246-8011"/>
    <n v="0"/>
    <n v="6.08"/>
    <n v="93"/>
    <n v="565.44000000000005"/>
    <x v="56"/>
    <n v="7"/>
    <n v="2025"/>
    <n v="0"/>
    <x v="61"/>
    <n v="0"/>
    <m/>
    <s v="approved"/>
    <n v="42"/>
    <s v="no"/>
    <m/>
    <m/>
    <m/>
    <m/>
    <s v="Yes"/>
    <m/>
    <x v="0"/>
    <x v="222"/>
    <x v="1893"/>
    <n v="38474523"/>
    <s v="TK.KWVE30-B-A-SL-0038-WW1"/>
    <n v="93"/>
    <n v="565.44000000000005"/>
    <m/>
    <m/>
    <s v="20250184-18.02.2025"/>
    <x v="1"/>
    <x v="7"/>
    <x v="0"/>
    <m/>
  </r>
  <r>
    <x v="0"/>
    <x v="0"/>
    <x v="527"/>
    <x v="195"/>
    <x v="236"/>
    <s v="080817246-8011"/>
    <n v="0"/>
    <n v="6.08"/>
    <n v="100"/>
    <n v="608"/>
    <x v="56"/>
    <n v="7"/>
    <n v="2025"/>
    <n v="0"/>
    <x v="61"/>
    <n v="0"/>
    <m/>
    <s v="approved"/>
    <n v="42"/>
    <s v="no"/>
    <m/>
    <m/>
    <m/>
    <m/>
    <s v="Yes"/>
    <m/>
    <x v="0"/>
    <x v="238"/>
    <x v="1894"/>
    <n v="38474523"/>
    <s v="TK.KWVE30-B-A-SL-0038-WW1"/>
    <n v="100"/>
    <n v="608"/>
    <m/>
    <m/>
    <s v="20250189-19.02.2025"/>
    <x v="1"/>
    <x v="7"/>
    <x v="0"/>
    <m/>
  </r>
  <r>
    <x v="0"/>
    <x v="0"/>
    <x v="527"/>
    <x v="195"/>
    <x v="236"/>
    <s v="080817246-8011"/>
    <n v="0"/>
    <n v="6.08"/>
    <n v="1"/>
    <n v="6.08"/>
    <x v="56"/>
    <n v="7"/>
    <n v="2025"/>
    <n v="0"/>
    <x v="61"/>
    <n v="0"/>
    <m/>
    <s v="approved"/>
    <n v="42"/>
    <s v="no"/>
    <m/>
    <m/>
    <m/>
    <m/>
    <s v="Yes"/>
    <m/>
    <x v="0"/>
    <x v="364"/>
    <x v="1895"/>
    <n v="38474523"/>
    <s v="TK.KWVE30-B-A-SL-0038-WW1"/>
    <n v="1"/>
    <n v="6.08"/>
    <m/>
    <m/>
    <s v="20250196-20.02.2025"/>
    <x v="1"/>
    <x v="7"/>
    <x v="0"/>
    <m/>
  </r>
  <r>
    <x v="0"/>
    <x v="0"/>
    <x v="527"/>
    <x v="195"/>
    <x v="236"/>
    <s v="080817246-8011"/>
    <n v="0"/>
    <n v="6.08"/>
    <n v="63"/>
    <n v="383.04"/>
    <x v="281"/>
    <n v="8"/>
    <n v="2025"/>
    <n v="0"/>
    <x v="61"/>
    <n v="0"/>
    <m/>
    <s v="approved"/>
    <n v="42"/>
    <s v="no"/>
    <m/>
    <m/>
    <m/>
    <m/>
    <m/>
    <m/>
    <x v="0"/>
    <x v="364"/>
    <x v="1895"/>
    <n v="38474523"/>
    <s v="TK.KWVE30-B-A-SL-0038-WW1"/>
    <n v="63"/>
    <n v="383.04"/>
    <m/>
    <m/>
    <s v="20250196-20.02.2025"/>
    <x v="0"/>
    <x v="7"/>
    <x v="0"/>
    <m/>
  </r>
  <r>
    <x v="0"/>
    <x v="0"/>
    <x v="527"/>
    <x v="195"/>
    <x v="236"/>
    <s v="080817246-8011"/>
    <n v="0"/>
    <n v="6.08"/>
    <n v="72"/>
    <n v="437.76"/>
    <x v="281"/>
    <n v="8"/>
    <n v="2025"/>
    <n v="0"/>
    <x v="61"/>
    <n v="0"/>
    <m/>
    <s v="approved"/>
    <n v="42"/>
    <s v="no"/>
    <m/>
    <m/>
    <m/>
    <m/>
    <m/>
    <m/>
    <x v="0"/>
    <x v="11"/>
    <x v="1896"/>
    <n v="38474523"/>
    <s v="TK.KWVE30-B-A-SL-0038-WW1"/>
    <n v="72"/>
    <n v="437.76"/>
    <m/>
    <m/>
    <s v="20250205-21.02.2025"/>
    <x v="1"/>
    <x v="7"/>
    <x v="0"/>
    <m/>
  </r>
  <r>
    <x v="0"/>
    <x v="0"/>
    <x v="527"/>
    <x v="195"/>
    <x v="236"/>
    <s v="080817246-8011"/>
    <n v="0"/>
    <n v="6.08"/>
    <n v="110"/>
    <n v="668.8"/>
    <x v="281"/>
    <n v="8"/>
    <n v="2025"/>
    <n v="0"/>
    <x v="61"/>
    <n v="0"/>
    <m/>
    <s v="approved"/>
    <n v="42"/>
    <s v="no"/>
    <m/>
    <m/>
    <m/>
    <m/>
    <m/>
    <m/>
    <x v="0"/>
    <x v="190"/>
    <x v="1897"/>
    <n v="38474523"/>
    <s v="TK.KWVE30-B-A-SL-0038-WW1"/>
    <n v="110"/>
    <n v="668.8"/>
    <m/>
    <m/>
    <s v="20250215-25.02.2025"/>
    <x v="1"/>
    <x v="7"/>
    <x v="0"/>
    <m/>
  </r>
  <r>
    <x v="0"/>
    <x v="0"/>
    <x v="527"/>
    <x v="195"/>
    <x v="236"/>
    <s v="080817246-8011"/>
    <n v="0"/>
    <n v="6.08"/>
    <n v="55"/>
    <n v="334.4"/>
    <x v="281"/>
    <n v="8"/>
    <n v="2025"/>
    <n v="0"/>
    <x v="61"/>
    <n v="0"/>
    <m/>
    <s v="approved"/>
    <n v="42"/>
    <s v="no"/>
    <m/>
    <m/>
    <m/>
    <m/>
    <m/>
    <m/>
    <x v="0"/>
    <x v="274"/>
    <x v="1898"/>
    <n v="38474523"/>
    <s v="TK.KWVE30-B-A-SL-0038-WW1"/>
    <n v="55"/>
    <n v="334.4"/>
    <m/>
    <m/>
    <s v="20250225-27.02.2025"/>
    <x v="1"/>
    <x v="7"/>
    <x v="0"/>
    <m/>
  </r>
  <r>
    <x v="0"/>
    <x v="0"/>
    <x v="528"/>
    <x v="139"/>
    <x v="236"/>
    <s v="080817246-8011"/>
    <n v="0"/>
    <n v="6.08"/>
    <n v="6"/>
    <n v="36.480000000000004"/>
    <x v="254"/>
    <n v="10"/>
    <n v="2025"/>
    <n v="0"/>
    <x v="61"/>
    <n v="0"/>
    <m/>
    <s v="approved"/>
    <n v="42"/>
    <s v="no"/>
    <m/>
    <m/>
    <m/>
    <m/>
    <m/>
    <m/>
    <x v="0"/>
    <x v="166"/>
    <x v="1899"/>
    <n v="38676803"/>
    <s v="TK.KWVE30-B-A-SL-0038-WW1"/>
    <n v="6"/>
    <n v="36.480000000000004"/>
    <m/>
    <m/>
    <s v="20250263-04.03.2025"/>
    <x v="0"/>
    <x v="5"/>
    <x v="0"/>
    <m/>
  </r>
  <r>
    <x v="0"/>
    <x v="0"/>
    <x v="528"/>
    <x v="139"/>
    <x v="236"/>
    <s v="080817246-8011"/>
    <n v="0"/>
    <n v="6.08"/>
    <n v="80"/>
    <n v="486.4"/>
    <x v="254"/>
    <n v="10"/>
    <n v="2025"/>
    <n v="0"/>
    <x v="61"/>
    <n v="0"/>
    <m/>
    <s v="approved"/>
    <n v="42"/>
    <s v="no"/>
    <m/>
    <m/>
    <m/>
    <m/>
    <m/>
    <m/>
    <x v="0"/>
    <x v="216"/>
    <x v="1900"/>
    <n v="38676803"/>
    <s v="TK.KWVE30-B-A-SL-0038-WW1"/>
    <n v="80"/>
    <n v="486.4"/>
    <m/>
    <m/>
    <s v="20250283-06.03.2025"/>
    <x v="0"/>
    <x v="5"/>
    <x v="0"/>
    <m/>
  </r>
  <r>
    <x v="0"/>
    <x v="0"/>
    <x v="528"/>
    <x v="139"/>
    <x v="236"/>
    <s v="080817246-8011"/>
    <n v="0"/>
    <n v="6.08"/>
    <n v="64"/>
    <n v="389.12"/>
    <x v="254"/>
    <n v="10"/>
    <n v="2025"/>
    <n v="0"/>
    <x v="61"/>
    <n v="0"/>
    <m/>
    <s v="approved"/>
    <n v="42"/>
    <s v="no"/>
    <m/>
    <m/>
    <m/>
    <m/>
    <m/>
    <m/>
    <x v="0"/>
    <x v="29"/>
    <x v="1901"/>
    <n v="38676803"/>
    <s v="TK.KWVE30-B-A-SL-0038-WW1"/>
    <n v="64"/>
    <n v="389.12"/>
    <m/>
    <m/>
    <s v="20250306-11.03.2025"/>
    <x v="1"/>
    <x v="5"/>
    <x v="0"/>
    <m/>
  </r>
  <r>
    <x v="0"/>
    <x v="0"/>
    <x v="528"/>
    <x v="139"/>
    <x v="236"/>
    <s v="080817246-8011"/>
    <n v="0"/>
    <n v="6.08"/>
    <n v="150"/>
    <n v="912"/>
    <x v="255"/>
    <n v="11"/>
    <n v="2025"/>
    <n v="0"/>
    <x v="61"/>
    <n v="0"/>
    <m/>
    <s v="approved"/>
    <n v="42"/>
    <s v="no"/>
    <m/>
    <m/>
    <m/>
    <m/>
    <m/>
    <m/>
    <x v="0"/>
    <x v="29"/>
    <x v="1901"/>
    <n v="38676803"/>
    <s v="TK.KWVE30-B-A-SL-0038-WW1"/>
    <n v="150"/>
    <n v="912"/>
    <m/>
    <m/>
    <s v="20250306-11.03.2025"/>
    <x v="0"/>
    <x v="5"/>
    <x v="0"/>
    <m/>
  </r>
  <r>
    <x v="0"/>
    <x v="0"/>
    <x v="528"/>
    <x v="139"/>
    <x v="236"/>
    <s v="080817246-8011"/>
    <n v="0"/>
    <n v="6.08"/>
    <n v="64"/>
    <n v="389.12"/>
    <x v="256"/>
    <n v="12"/>
    <n v="2025"/>
    <n v="0"/>
    <x v="61"/>
    <n v="0"/>
    <m/>
    <s v="approved"/>
    <n v="42"/>
    <s v="no"/>
    <m/>
    <m/>
    <m/>
    <m/>
    <m/>
    <m/>
    <x v="0"/>
    <x v="377"/>
    <x v="1902"/>
    <n v="38676803"/>
    <s v="TK.KWVE30-B-A-SL-0038-WW1"/>
    <n v="64"/>
    <n v="389.12"/>
    <m/>
    <m/>
    <s v="20250301-10.03.2025"/>
    <x v="0"/>
    <x v="5"/>
    <x v="0"/>
    <m/>
  </r>
  <r>
    <x v="0"/>
    <x v="0"/>
    <x v="528"/>
    <x v="139"/>
    <x v="236"/>
    <s v="080817246-8011"/>
    <n v="0"/>
    <n v="6.08"/>
    <n v="49"/>
    <n v="297.92"/>
    <x v="256"/>
    <n v="12"/>
    <n v="2025"/>
    <n v="0"/>
    <x v="61"/>
    <n v="0"/>
    <m/>
    <s v="approved"/>
    <n v="42"/>
    <s v="no"/>
    <m/>
    <m/>
    <m/>
    <m/>
    <m/>
    <m/>
    <x v="0"/>
    <x v="371"/>
    <x v="1903"/>
    <n v="38676803"/>
    <s v="TK.KWVE30-B-A-SL-0038-WW1"/>
    <n v="49"/>
    <n v="297.92"/>
    <m/>
    <m/>
    <s v="20250317-13.03.2025"/>
    <x v="0"/>
    <x v="5"/>
    <x v="0"/>
    <m/>
  </r>
  <r>
    <x v="0"/>
    <x v="0"/>
    <x v="528"/>
    <x v="139"/>
    <x v="236"/>
    <s v="080817246-8011"/>
    <n v="0"/>
    <n v="6.08"/>
    <n v="37"/>
    <n v="224.96"/>
    <x v="256"/>
    <n v="12"/>
    <n v="2025"/>
    <n v="0"/>
    <x v="61"/>
    <n v="0"/>
    <m/>
    <s v="approved"/>
    <n v="42"/>
    <s v="no"/>
    <m/>
    <m/>
    <m/>
    <m/>
    <m/>
    <m/>
    <x v="0"/>
    <x v="167"/>
    <x v="1904"/>
    <n v="38676803"/>
    <s v="TK.KWVE30-B-A-SL-0038-WW1"/>
    <n v="37"/>
    <n v="224.96"/>
    <m/>
    <m/>
    <s v="20250340-18.03.2025"/>
    <x v="0"/>
    <x v="5"/>
    <x v="0"/>
    <m/>
  </r>
  <r>
    <x v="0"/>
    <x v="0"/>
    <x v="529"/>
    <x v="18"/>
    <x v="236"/>
    <s v="080817246-8011"/>
    <n v="0"/>
    <n v="6.08"/>
    <n v="53"/>
    <n v="322.24"/>
    <x v="458"/>
    <n v="15"/>
    <n v="2025"/>
    <n v="0"/>
    <x v="61"/>
    <n v="0"/>
    <m/>
    <s v="approved"/>
    <n v="42"/>
    <s v="no"/>
    <m/>
    <m/>
    <m/>
    <m/>
    <m/>
    <m/>
    <x v="0"/>
    <x v="315"/>
    <x v="1905"/>
    <n v="5410625"/>
    <s v="TK.KWVE30-B-A-SL-0038-WW1"/>
    <n v="53"/>
    <n v="322.24"/>
    <m/>
    <m/>
    <s v="20250432-31.03.2025"/>
    <x v="0"/>
    <x v="1"/>
    <x v="0"/>
    <m/>
  </r>
  <r>
    <x v="0"/>
    <x v="0"/>
    <x v="529"/>
    <x v="18"/>
    <x v="236"/>
    <s v="080817246-8011"/>
    <n v="0"/>
    <n v="6.08"/>
    <n v="91"/>
    <n v="553.28"/>
    <x v="458"/>
    <n v="15"/>
    <n v="2025"/>
    <n v="0"/>
    <x v="61"/>
    <n v="0"/>
    <m/>
    <s v="approved"/>
    <n v="42"/>
    <s v="no"/>
    <m/>
    <m/>
    <m/>
    <m/>
    <m/>
    <m/>
    <x v="0"/>
    <x v="301"/>
    <x v="1906"/>
    <n v="5410625"/>
    <s v="TK.KWVE30-B-A-SL-0038-WW1"/>
    <n v="91"/>
    <n v="553.28"/>
    <m/>
    <m/>
    <s v="20250495-11.04.2025"/>
    <x v="1"/>
    <x v="1"/>
    <x v="0"/>
    <m/>
  </r>
  <r>
    <x v="0"/>
    <x v="0"/>
    <x v="529"/>
    <x v="18"/>
    <x v="236"/>
    <s v="080817246-8011"/>
    <n v="0"/>
    <n v="6.08"/>
    <n v="148"/>
    <n v="899.84"/>
    <x v="458"/>
    <n v="15"/>
    <n v="2025"/>
    <n v="0"/>
    <x v="61"/>
    <n v="0"/>
    <m/>
    <s v="approved"/>
    <n v="42"/>
    <s v="no"/>
    <m/>
    <m/>
    <m/>
    <m/>
    <m/>
    <m/>
    <x v="0"/>
    <x v="95"/>
    <x v="1907"/>
    <n v="5410625"/>
    <s v="TK.KWVE30-B-A-SL-0038-WW1"/>
    <n v="148"/>
    <n v="899.84"/>
    <m/>
    <m/>
    <s v="20250509-15.04.2025"/>
    <x v="1"/>
    <x v="1"/>
    <x v="0"/>
    <m/>
  </r>
  <r>
    <x v="0"/>
    <x v="0"/>
    <x v="529"/>
    <x v="18"/>
    <x v="236"/>
    <s v="080817246-8011"/>
    <n v="0"/>
    <n v="6.08"/>
    <n v="128"/>
    <n v="778.24"/>
    <x v="389"/>
    <n v="16"/>
    <n v="2025"/>
    <n v="0"/>
    <x v="61"/>
    <n v="0"/>
    <m/>
    <s v="approved"/>
    <n v="42"/>
    <s v="no"/>
    <m/>
    <m/>
    <m/>
    <m/>
    <m/>
    <m/>
    <x v="0"/>
    <x v="96"/>
    <x v="1908"/>
    <n v="5410625"/>
    <s v="TK.KWVE30-B-A-SL-0038-WW1"/>
    <n v="128"/>
    <n v="778.24"/>
    <m/>
    <m/>
    <s v="20250521-22.04.2025"/>
    <x v="0"/>
    <x v="1"/>
    <x v="0"/>
    <m/>
  </r>
  <r>
    <x v="0"/>
    <x v="0"/>
    <x v="529"/>
    <x v="18"/>
    <x v="236"/>
    <s v="080817246-8011"/>
    <n v="0"/>
    <n v="6.08"/>
    <n v="64"/>
    <n v="389.12"/>
    <x v="389"/>
    <n v="16"/>
    <n v="2025"/>
    <n v="0"/>
    <x v="61"/>
    <n v="0"/>
    <m/>
    <s v="approved"/>
    <n v="42"/>
    <s v="no"/>
    <m/>
    <m/>
    <m/>
    <m/>
    <m/>
    <m/>
    <x v="0"/>
    <x v="97"/>
    <x v="1909"/>
    <n v="5410625"/>
    <s v="TK.KWVE30-B-A-SL-0038-WW1"/>
    <n v="64"/>
    <n v="389.12"/>
    <m/>
    <m/>
    <s v="20250528-22.04.2025"/>
    <x v="1"/>
    <x v="1"/>
    <x v="0"/>
    <m/>
  </r>
  <r>
    <x v="0"/>
    <x v="0"/>
    <x v="529"/>
    <x v="18"/>
    <x v="236"/>
    <s v="080817246-8011"/>
    <n v="0"/>
    <n v="6.08"/>
    <n v="116"/>
    <n v="705.28"/>
    <x v="157"/>
    <n v="17"/>
    <n v="2025"/>
    <n v="0"/>
    <x v="61"/>
    <n v="0"/>
    <m/>
    <s v="approved"/>
    <n v="42"/>
    <s v="no"/>
    <m/>
    <m/>
    <m/>
    <m/>
    <m/>
    <m/>
    <x v="0"/>
    <x v="98"/>
    <x v="1910"/>
    <n v="5410625"/>
    <s v="TK.KWVE30-B-A-SL-0038-WW1"/>
    <n v="116"/>
    <n v="705.28"/>
    <m/>
    <m/>
    <s v="20250541-24.04.2025"/>
    <x v="0"/>
    <x v="1"/>
    <x v="0"/>
    <m/>
  </r>
  <r>
    <x v="0"/>
    <x v="0"/>
    <x v="529"/>
    <x v="46"/>
    <x v="236"/>
    <s v="080817246-8011"/>
    <n v="0"/>
    <n v="6.08"/>
    <n v="246"/>
    <n v="1495.68"/>
    <x v="129"/>
    <n v="19"/>
    <n v="2025"/>
    <n v="0"/>
    <x v="61"/>
    <n v="0"/>
    <m/>
    <s v="approved"/>
    <n v="42"/>
    <s v="no"/>
    <m/>
    <m/>
    <m/>
    <m/>
    <m/>
    <m/>
    <x v="0"/>
    <x v="99"/>
    <x v="1911"/>
    <n v="5410625"/>
    <s v="TK.KWVE30-B-A-SL-0038-WW1"/>
    <n v="246"/>
    <n v="1495.68"/>
    <m/>
    <m/>
    <s v="20250588-06.05.2025"/>
    <x v="0"/>
    <x v="2"/>
    <x v="0"/>
    <m/>
  </r>
  <r>
    <x v="0"/>
    <x v="0"/>
    <x v="529"/>
    <x v="46"/>
    <x v="236"/>
    <s v="080817246-8011"/>
    <n v="0"/>
    <n v="6.08"/>
    <n v="97"/>
    <n v="589.76"/>
    <x v="129"/>
    <n v="19"/>
    <n v="2025"/>
    <n v="0"/>
    <x v="61"/>
    <n v="0"/>
    <m/>
    <m/>
    <n v="2.0208333333333335"/>
    <m/>
    <m/>
    <m/>
    <m/>
    <m/>
    <m/>
    <m/>
    <x v="0"/>
    <x v="194"/>
    <x v="1912"/>
    <n v="5410625"/>
    <s v="TK.KWVE30-B-A-SL-0038-WW1"/>
    <n v="97"/>
    <n v="589.76"/>
    <m/>
    <m/>
    <s v="20250851-02.07.2025"/>
    <x v="1"/>
    <x v="2"/>
    <x v="0"/>
    <m/>
  </r>
  <r>
    <x v="0"/>
    <x v="0"/>
    <x v="529"/>
    <x v="46"/>
    <x v="236"/>
    <s v="080817246-8011"/>
    <n v="0"/>
    <n v="6.08"/>
    <n v="50"/>
    <n v="304"/>
    <x v="129"/>
    <n v="19"/>
    <n v="2025"/>
    <n v="0"/>
    <x v="61"/>
    <n v="0"/>
    <m/>
    <s v="approved"/>
    <n v="42"/>
    <s v="no"/>
    <m/>
    <m/>
    <m/>
    <m/>
    <m/>
    <m/>
    <x v="0"/>
    <x v="194"/>
    <x v="1913"/>
    <n v="5410625"/>
    <s v="TK.KWVE30-B-A-SL-0038-WW1"/>
    <n v="50"/>
    <n v="304"/>
    <m/>
    <m/>
    <s v="20250846-02.07.2025"/>
    <x v="1"/>
    <x v="2"/>
    <x v="0"/>
    <m/>
  </r>
  <r>
    <x v="0"/>
    <x v="0"/>
    <x v="529"/>
    <x v="46"/>
    <x v="236"/>
    <s v="080817246-8011"/>
    <n v="0"/>
    <n v="6.08"/>
    <n v="4"/>
    <n v="24.32"/>
    <x v="258"/>
    <n v="21"/>
    <n v="2025"/>
    <n v="0"/>
    <x v="61"/>
    <n v="0"/>
    <m/>
    <s v="approved"/>
    <n v="42"/>
    <s v="no"/>
    <m/>
    <m/>
    <m/>
    <m/>
    <m/>
    <m/>
    <x v="0"/>
    <x v="194"/>
    <x v="1912"/>
    <n v="5410625"/>
    <s v="TK.KWVE30-B-A-SL-0038-WW1"/>
    <n v="4"/>
    <n v="24.32"/>
    <m/>
    <m/>
    <s v="20250851-02.07.2025"/>
    <x v="1"/>
    <x v="2"/>
    <x v="0"/>
    <m/>
  </r>
  <r>
    <x v="0"/>
    <x v="0"/>
    <x v="529"/>
    <x v="46"/>
    <x v="236"/>
    <s v="080817246-8011"/>
    <n v="0"/>
    <n v="6.08"/>
    <n v="80"/>
    <n v="486.4"/>
    <x v="258"/>
    <n v="21"/>
    <n v="2025"/>
    <n v="0"/>
    <x v="61"/>
    <n v="0"/>
    <m/>
    <s v="approved"/>
    <n v="42"/>
    <m/>
    <m/>
    <m/>
    <m/>
    <m/>
    <m/>
    <m/>
    <x v="0"/>
    <x v="196"/>
    <x v="1914"/>
    <n v="5410625"/>
    <s v="TK.KWVE30-B-A-SL-0038-WW1"/>
    <n v="80"/>
    <n v="486.4"/>
    <m/>
    <m/>
    <s v="20250864-04.07.2025"/>
    <x v="1"/>
    <x v="2"/>
    <x v="0"/>
    <m/>
  </r>
  <r>
    <x v="0"/>
    <x v="0"/>
    <x v="529"/>
    <x v="205"/>
    <x v="236"/>
    <s v="080817246-8011"/>
    <n v="0"/>
    <n v="6.08"/>
    <n v="112"/>
    <n v="680.96"/>
    <x v="168"/>
    <n v="23"/>
    <n v="2025"/>
    <n v="0"/>
    <x v="61"/>
    <n v="0"/>
    <m/>
    <s v="approved"/>
    <n v="42"/>
    <s v="no"/>
    <m/>
    <m/>
    <m/>
    <m/>
    <m/>
    <m/>
    <x v="0"/>
    <x v="12"/>
    <x v="1915"/>
    <n v="5410625"/>
    <s v="TK.KWVE30-B-A-SL-0038-WW1"/>
    <n v="112"/>
    <n v="680.96"/>
    <m/>
    <m/>
    <s v="20250821-30.06.2025"/>
    <x v="1"/>
    <x v="0"/>
    <x v="0"/>
    <m/>
  </r>
  <r>
    <x v="0"/>
    <x v="0"/>
    <x v="529"/>
    <x v="205"/>
    <x v="236"/>
    <s v="080817246-8011"/>
    <n v="0"/>
    <n v="6.08"/>
    <n v="112"/>
    <n v="680.96"/>
    <x v="159"/>
    <n v="28"/>
    <n v="2025"/>
    <n v="0"/>
    <x v="61"/>
    <n v="0"/>
    <m/>
    <s v="approved"/>
    <n v="2.3333333333333335"/>
    <m/>
    <m/>
    <m/>
    <m/>
    <m/>
    <m/>
    <m/>
    <x v="0"/>
    <x v="195"/>
    <x v="1916"/>
    <n v="5410625"/>
    <s v="TK.KWVE30-B-A-SL-0038-WW1"/>
    <n v="112"/>
    <n v="680.96"/>
    <m/>
    <m/>
    <s v="20250853-02.07.2025"/>
    <x v="0"/>
    <x v="8"/>
    <x v="0"/>
    <m/>
  </r>
  <r>
    <x v="0"/>
    <x v="0"/>
    <x v="529"/>
    <x v="205"/>
    <x v="236"/>
    <s v="080817246-8011"/>
    <n v="0"/>
    <n v="6.08"/>
    <n v="104"/>
    <n v="632.32000000000005"/>
    <x v="202"/>
    <n v="29"/>
    <n v="2025"/>
    <n v="0"/>
    <x v="61"/>
    <n v="0"/>
    <m/>
    <s v="approved"/>
    <n v="2.1666666666666665"/>
    <m/>
    <m/>
    <m/>
    <m/>
    <m/>
    <m/>
    <m/>
    <x v="0"/>
    <x v="129"/>
    <x v="1917"/>
    <n v="5410625"/>
    <s v="TK.KWVE30-B-A-SL-0038-WW1"/>
    <n v="104"/>
    <n v="632.32000000000005"/>
    <m/>
    <m/>
    <s v="20250866-07.07.2025"/>
    <x v="0"/>
    <x v="8"/>
    <x v="0"/>
    <m/>
  </r>
  <r>
    <x v="0"/>
    <x v="0"/>
    <x v="529"/>
    <x v="205"/>
    <x v="236"/>
    <s v="080817246-8011"/>
    <n v="0"/>
    <n v="6.08"/>
    <n v="100"/>
    <n v="608"/>
    <x v="202"/>
    <n v="29"/>
    <n v="2025"/>
    <n v="0"/>
    <x v="61"/>
    <n v="0"/>
    <m/>
    <s v="approved"/>
    <n v="2.0833333333333335"/>
    <m/>
    <m/>
    <m/>
    <m/>
    <m/>
    <m/>
    <m/>
    <x v="0"/>
    <x v="250"/>
    <x v="1918"/>
    <n v="5410625"/>
    <s v="TK.KWVE30-B-A-SL-0038-WW1"/>
    <n v="100"/>
    <n v="608"/>
    <m/>
    <m/>
    <s v="20250885-08.07.2025"/>
    <x v="0"/>
    <x v="8"/>
    <x v="0"/>
    <m/>
  </r>
  <r>
    <x v="0"/>
    <x v="0"/>
    <x v="529"/>
    <x v="205"/>
    <x v="236"/>
    <s v="080817246-8011"/>
    <n v="0"/>
    <n v="6.08"/>
    <n v="84"/>
    <n v="510.72"/>
    <x v="491"/>
    <n v="30"/>
    <n v="2025"/>
    <n v="0"/>
    <x v="61"/>
    <n v="0"/>
    <m/>
    <s v="approved"/>
    <n v="1.75"/>
    <m/>
    <m/>
    <m/>
    <m/>
    <m/>
    <m/>
    <m/>
    <x v="0"/>
    <x v="251"/>
    <x v="1919"/>
    <n v="5410625"/>
    <s v="TK.KWVE30-B-A-SL-0038-WW1"/>
    <n v="84"/>
    <n v="510.72"/>
    <m/>
    <m/>
    <s v="20250889-09.07.2025"/>
    <x v="0"/>
    <x v="8"/>
    <x v="0"/>
    <m/>
  </r>
  <r>
    <x v="0"/>
    <x v="0"/>
    <x v="529"/>
    <x v="205"/>
    <x v="236"/>
    <s v="080817246-8011"/>
    <n v="0"/>
    <n v="6.08"/>
    <n v="80"/>
    <n v="486.4"/>
    <x v="491"/>
    <n v="30"/>
    <n v="2025"/>
    <n v="0"/>
    <x v="61"/>
    <n v="0"/>
    <m/>
    <s v="approved"/>
    <n v="1.6666666666666667"/>
    <m/>
    <m/>
    <m/>
    <m/>
    <m/>
    <m/>
    <m/>
    <x v="0"/>
    <x v="100"/>
    <x v="1920"/>
    <n v="5410625"/>
    <s v="TK.KWVE30-B-A-SL-0038-WW1"/>
    <n v="80"/>
    <n v="486.4"/>
    <m/>
    <m/>
    <s v="20250896-10.07.2025"/>
    <x v="0"/>
    <x v="8"/>
    <x v="0"/>
    <m/>
  </r>
  <r>
    <x v="0"/>
    <x v="0"/>
    <x v="529"/>
    <x v="205"/>
    <x v="236"/>
    <s v="080817246-8011"/>
    <n v="0"/>
    <n v="6.08"/>
    <n v="96"/>
    <n v="583.68000000000006"/>
    <x v="117"/>
    <n v="31"/>
    <n v="2025"/>
    <n v="0"/>
    <x v="61"/>
    <n v="0"/>
    <m/>
    <s v="approved"/>
    <n v="2"/>
    <m/>
    <m/>
    <m/>
    <m/>
    <m/>
    <m/>
    <m/>
    <x v="0"/>
    <x v="281"/>
    <x v="1921"/>
    <n v="5410625"/>
    <s v="TK.KWVE30-B-A-SL-0038-WW1"/>
    <n v="96"/>
    <n v="583.68000000000006"/>
    <m/>
    <m/>
    <s v="20250904-11.07.2025"/>
    <x v="0"/>
    <x v="8"/>
    <x v="0"/>
    <m/>
  </r>
  <r>
    <x v="0"/>
    <x v="0"/>
    <x v="529"/>
    <x v="205"/>
    <x v="236"/>
    <s v="080817246-8011"/>
    <n v="0"/>
    <n v="6.08"/>
    <n v="96"/>
    <n v="583.68000000000006"/>
    <x v="117"/>
    <n v="31"/>
    <n v="2025"/>
    <n v="0"/>
    <x v="61"/>
    <n v="0"/>
    <m/>
    <s v="approved"/>
    <n v="2"/>
    <m/>
    <m/>
    <m/>
    <m/>
    <m/>
    <m/>
    <m/>
    <x v="0"/>
    <x v="282"/>
    <x v="1922"/>
    <n v="5410625"/>
    <s v="TK.KWVE30-B-A-SL-0038-WW1"/>
    <n v="96"/>
    <n v="583.68000000000006"/>
    <m/>
    <m/>
    <s v="20250913-14.07.2025"/>
    <x v="0"/>
    <x v="8"/>
    <x v="0"/>
    <m/>
  </r>
  <r>
    <x v="0"/>
    <x v="0"/>
    <x v="529"/>
    <x v="205"/>
    <x v="236"/>
    <s v="080817246-8011"/>
    <n v="0"/>
    <n v="6.08"/>
    <n v="64"/>
    <n v="389.12"/>
    <x v="117"/>
    <n v="31"/>
    <n v="2025"/>
    <n v="0"/>
    <x v="61"/>
    <n v="0"/>
    <m/>
    <s v="approved"/>
    <n v="1.3333333333333333"/>
    <m/>
    <m/>
    <m/>
    <m/>
    <m/>
    <m/>
    <m/>
    <x v="0"/>
    <x v="181"/>
    <x v="1923"/>
    <n v="5410625"/>
    <s v="TK.KWVE30-B-A-SL-0038-WW1"/>
    <n v="64"/>
    <n v="389.12"/>
    <m/>
    <m/>
    <s v="20250916-15.07.2025"/>
    <x v="0"/>
    <x v="8"/>
    <x v="0"/>
    <m/>
  </r>
  <r>
    <x v="0"/>
    <x v="0"/>
    <x v="529"/>
    <x v="205"/>
    <x v="236"/>
    <s v="080817246-8011"/>
    <n v="0"/>
    <n v="6.08"/>
    <n v="96"/>
    <n v="583.68000000000006"/>
    <x v="117"/>
    <n v="31"/>
    <n v="2025"/>
    <n v="0"/>
    <x v="61"/>
    <n v="0"/>
    <m/>
    <s v="approved"/>
    <n v="2"/>
    <m/>
    <m/>
    <m/>
    <m/>
    <m/>
    <m/>
    <m/>
    <x v="0"/>
    <x v="366"/>
    <x v="1924"/>
    <n v="5410625"/>
    <s v="TK.KWVE30-B-A-SL-0038-WW1"/>
    <n v="96"/>
    <n v="583.68000000000006"/>
    <m/>
    <m/>
    <s v="20250929-16.07.2025"/>
    <x v="0"/>
    <x v="8"/>
    <x v="0"/>
    <m/>
  </r>
  <r>
    <x v="0"/>
    <x v="0"/>
    <x v="529"/>
    <x v="205"/>
    <x v="236"/>
    <s v="080817246-8011"/>
    <n v="0"/>
    <n v="6.08"/>
    <n v="96"/>
    <n v="583.68000000000006"/>
    <x v="117"/>
    <n v="31"/>
    <n v="2025"/>
    <n v="0"/>
    <x v="61"/>
    <n v="0"/>
    <m/>
    <s v="approved"/>
    <n v="2"/>
    <m/>
    <m/>
    <m/>
    <m/>
    <m/>
    <m/>
    <m/>
    <x v="0"/>
    <x v="130"/>
    <x v="1925"/>
    <n v="5410625"/>
    <s v="TK.KWVE30-B-A-SL-0038-WW1"/>
    <n v="96"/>
    <n v="583.68000000000006"/>
    <m/>
    <m/>
    <s v="20250935-17.07.2025"/>
    <x v="0"/>
    <x v="8"/>
    <x v="0"/>
    <m/>
  </r>
  <r>
    <x v="0"/>
    <x v="0"/>
    <x v="529"/>
    <x v="205"/>
    <x v="236"/>
    <s v="080817246-8011"/>
    <n v="0"/>
    <n v="6.08"/>
    <n v="79"/>
    <n v="480.32"/>
    <x v="117"/>
    <n v="31"/>
    <n v="2025"/>
    <n v="0"/>
    <x v="61"/>
    <n v="0"/>
    <m/>
    <s v="approved"/>
    <n v="1.6458333333333333"/>
    <m/>
    <m/>
    <m/>
    <m/>
    <m/>
    <m/>
    <m/>
    <x v="0"/>
    <x v="130"/>
    <x v="1926"/>
    <n v="5410625"/>
    <s v="TK.KWVE30-B-A-SL-0038-WW1"/>
    <n v="79"/>
    <n v="480.32"/>
    <m/>
    <m/>
    <s v="20250947-18.07.2025"/>
    <x v="0"/>
    <x v="8"/>
    <x v="0"/>
    <m/>
  </r>
  <r>
    <x v="0"/>
    <x v="0"/>
    <x v="529"/>
    <x v="205"/>
    <x v="236"/>
    <s v="080817246-8011"/>
    <n v="0"/>
    <n v="6.08"/>
    <n v="64"/>
    <n v="389.12"/>
    <x v="117"/>
    <n v="31"/>
    <n v="2025"/>
    <n v="0"/>
    <x v="61"/>
    <n v="0"/>
    <m/>
    <s v="approved"/>
    <n v="1.3333333333333333"/>
    <m/>
    <m/>
    <m/>
    <m/>
    <m/>
    <m/>
    <m/>
    <x v="0"/>
    <x v="7"/>
    <x v="1927"/>
    <n v="5410625"/>
    <s v="TK.KWVE30-B-A-SL-0038-WW1"/>
    <n v="64"/>
    <n v="389.12"/>
    <m/>
    <m/>
    <s v="20250948-21.07.2025"/>
    <x v="0"/>
    <x v="8"/>
    <x v="0"/>
    <m/>
  </r>
  <r>
    <x v="0"/>
    <x v="0"/>
    <x v="529"/>
    <x v="205"/>
    <x v="236"/>
    <s v="080817246-8011"/>
    <n v="0"/>
    <n v="6.08"/>
    <n v="52"/>
    <n v="316.16000000000003"/>
    <x v="117"/>
    <n v="31"/>
    <n v="2025"/>
    <n v="0"/>
    <x v="61"/>
    <n v="0"/>
    <m/>
    <s v="approved"/>
    <n v="1.0833333333333333"/>
    <m/>
    <m/>
    <m/>
    <m/>
    <m/>
    <m/>
    <m/>
    <x v="0"/>
    <x v="367"/>
    <x v="1928"/>
    <n v="5410625"/>
    <s v="TK.KWVE30-B-A-SL-0038-WW1"/>
    <n v="52"/>
    <n v="316.16000000000003"/>
    <m/>
    <m/>
    <s v="20250969-22.07.2025"/>
    <x v="0"/>
    <x v="8"/>
    <x v="0"/>
    <m/>
  </r>
  <r>
    <x v="0"/>
    <x v="0"/>
    <x v="529"/>
    <x v="205"/>
    <x v="236"/>
    <s v="080817246-8011"/>
    <n v="0"/>
    <n v="6.08"/>
    <n v="84"/>
    <n v="510.72"/>
    <x v="117"/>
    <n v="31"/>
    <n v="2025"/>
    <n v="0"/>
    <x v="61"/>
    <n v="0"/>
    <m/>
    <s v="approved"/>
    <n v="1.75"/>
    <m/>
    <m/>
    <m/>
    <m/>
    <m/>
    <m/>
    <m/>
    <x v="0"/>
    <x v="368"/>
    <x v="1929"/>
    <n v="5410625"/>
    <s v="TK.KWVE30-B-A-SL-0038-WW1"/>
    <n v="84"/>
    <n v="510.72"/>
    <m/>
    <m/>
    <s v="20250974-23.07.2025"/>
    <x v="0"/>
    <x v="8"/>
    <x v="0"/>
    <m/>
  </r>
  <r>
    <x v="0"/>
    <x v="0"/>
    <x v="529"/>
    <x v="205"/>
    <x v="236"/>
    <s v="080817246-8011"/>
    <n v="0"/>
    <n v="6.08"/>
    <n v="81"/>
    <n v="492.48"/>
    <x v="148"/>
    <n v="34"/>
    <n v="2025"/>
    <n v="0"/>
    <x v="61"/>
    <n v="0"/>
    <m/>
    <s v="approved"/>
    <n v="1.6875"/>
    <m/>
    <m/>
    <m/>
    <m/>
    <m/>
    <m/>
    <m/>
    <x v="0"/>
    <x v="197"/>
    <x v="1930"/>
    <n v="5410625"/>
    <s v="TK.KWVE30-B-A-SL-0038-WW1"/>
    <n v="81"/>
    <n v="492.48"/>
    <m/>
    <m/>
    <s v="20250980-25.07.2025"/>
    <x v="0"/>
    <x v="9"/>
    <x v="0"/>
    <m/>
  </r>
  <r>
    <x v="0"/>
    <x v="0"/>
    <x v="529"/>
    <x v="205"/>
    <x v="236"/>
    <s v="080817246-8011"/>
    <n v="0"/>
    <n v="6.08"/>
    <n v="47"/>
    <n v="285.76"/>
    <x v="148"/>
    <n v="34"/>
    <n v="2025"/>
    <n v="0"/>
    <x v="61"/>
    <n v="0"/>
    <m/>
    <s v="approved"/>
    <n v="0.97916666666666663"/>
    <m/>
    <m/>
    <m/>
    <m/>
    <m/>
    <m/>
    <m/>
    <x v="0"/>
    <x v="198"/>
    <x v="1931"/>
    <n v="5410625"/>
    <s v="TK.KWVE30-B-A-SL-0038-WW1"/>
    <n v="47"/>
    <n v="285.76"/>
    <m/>
    <m/>
    <s v="20250988-25.07.2025"/>
    <x v="0"/>
    <x v="9"/>
    <x v="0"/>
    <m/>
  </r>
  <r>
    <x v="0"/>
    <x v="0"/>
    <x v="529"/>
    <x v="205"/>
    <x v="236"/>
    <s v="080817246-8011"/>
    <n v="0"/>
    <n v="6.08"/>
    <n v="77"/>
    <n v="468.16"/>
    <x v="148"/>
    <n v="34"/>
    <n v="2025"/>
    <n v="0"/>
    <x v="61"/>
    <n v="0"/>
    <m/>
    <s v="approved"/>
    <n v="1.6041666666666667"/>
    <m/>
    <m/>
    <m/>
    <m/>
    <m/>
    <m/>
    <m/>
    <x v="0"/>
    <x v="199"/>
    <x v="1932"/>
    <n v="5410625"/>
    <s v="TK.KWVE30-B-A-SL-0038-WW1"/>
    <n v="77"/>
    <n v="468.16"/>
    <m/>
    <m/>
    <s v="20250999/29.07"/>
    <x v="0"/>
    <x v="9"/>
    <x v="0"/>
    <m/>
  </r>
  <r>
    <x v="0"/>
    <x v="0"/>
    <x v="529"/>
    <x v="205"/>
    <x v="236"/>
    <s v="080817246-8011"/>
    <n v="0"/>
    <n v="6.08"/>
    <n v="42"/>
    <n v="255.36"/>
    <x v="148"/>
    <n v="34"/>
    <n v="2025"/>
    <n v="0"/>
    <x v="61"/>
    <n v="0"/>
    <m/>
    <s v="approved"/>
    <n v="0.875"/>
    <m/>
    <m/>
    <m/>
    <m/>
    <m/>
    <m/>
    <m/>
    <x v="0"/>
    <x v="200"/>
    <x v="1933"/>
    <n v="5410625"/>
    <s v="TK.KWVE30-B-A-SL-0038-WW1"/>
    <n v="42"/>
    <n v="255.36"/>
    <m/>
    <m/>
    <s v="20251005/31.07.2025"/>
    <x v="0"/>
    <x v="9"/>
    <x v="0"/>
    <m/>
  </r>
  <r>
    <x v="0"/>
    <x v="0"/>
    <x v="529"/>
    <x v="205"/>
    <x v="236"/>
    <s v="080817246-8011"/>
    <n v="0"/>
    <n v="6.08"/>
    <n v="96"/>
    <n v="583.68000000000006"/>
    <x v="148"/>
    <n v="34"/>
    <n v="2025"/>
    <n v="0"/>
    <x v="61"/>
    <n v="0"/>
    <m/>
    <s v="approved"/>
    <n v="2"/>
    <m/>
    <m/>
    <m/>
    <m/>
    <m/>
    <m/>
    <m/>
    <x v="0"/>
    <x v="201"/>
    <x v="1934"/>
    <n v="5410625"/>
    <s v="TK.KWVE30-B-A-SL-0038-WW1"/>
    <n v="96"/>
    <n v="583.68000000000006"/>
    <m/>
    <m/>
    <s v="20251026-06.08.2025"/>
    <x v="0"/>
    <x v="9"/>
    <x v="0"/>
    <m/>
  </r>
  <r>
    <x v="0"/>
    <x v="0"/>
    <x v="529"/>
    <x v="205"/>
    <x v="236"/>
    <s v="080817246-8011"/>
    <n v="0"/>
    <n v="6.08"/>
    <n v="173"/>
    <n v="1051.8399999999999"/>
    <x v="148"/>
    <n v="34"/>
    <n v="2025"/>
    <n v="0"/>
    <x v="61"/>
    <n v="0"/>
    <m/>
    <s v="approved"/>
    <n v="3.6041666666666665"/>
    <m/>
    <m/>
    <m/>
    <m/>
    <m/>
    <m/>
    <m/>
    <x v="0"/>
    <x v="202"/>
    <x v="1935"/>
    <n v="5410625"/>
    <s v="TK.KWVE30-B-A-SL-0038-WW1"/>
    <n v="173"/>
    <n v="1051.8399999999999"/>
    <m/>
    <m/>
    <s v="20251027-06.08.2025"/>
    <x v="0"/>
    <x v="9"/>
    <x v="0"/>
    <m/>
  </r>
  <r>
    <x v="0"/>
    <x v="0"/>
    <x v="529"/>
    <x v="205"/>
    <x v="236"/>
    <s v="080817246-8011"/>
    <n v="0"/>
    <n v="6.08"/>
    <n v="88"/>
    <n v="535.04"/>
    <x v="148"/>
    <n v="34"/>
    <n v="2025"/>
    <n v="0"/>
    <x v="61"/>
    <n v="0"/>
    <m/>
    <s v="approved"/>
    <n v="1.8333333333333333"/>
    <m/>
    <m/>
    <m/>
    <m/>
    <m/>
    <m/>
    <m/>
    <x v="0"/>
    <x v="23"/>
    <x v="1936"/>
    <n v="5410625"/>
    <s v="TK.KWVE30-B-A-SL-0038-WW1"/>
    <n v="88"/>
    <n v="535.04"/>
    <m/>
    <m/>
    <s v="20251040-07.08.2025"/>
    <x v="0"/>
    <x v="9"/>
    <x v="0"/>
    <m/>
  </r>
  <r>
    <x v="0"/>
    <x v="0"/>
    <x v="529"/>
    <x v="205"/>
    <x v="236"/>
    <s v="080817246-8011"/>
    <n v="0"/>
    <n v="6.08"/>
    <n v="56"/>
    <n v="340.48"/>
    <x v="148"/>
    <n v="34"/>
    <n v="2025"/>
    <n v="0"/>
    <x v="61"/>
    <n v="0"/>
    <m/>
    <s v="approved"/>
    <n v="1.1666666666666667"/>
    <m/>
    <m/>
    <m/>
    <m/>
    <m/>
    <m/>
    <m/>
    <x v="0"/>
    <x v="23"/>
    <x v="1936"/>
    <n v="5410625"/>
    <s v="TK.KWVE30-B-A-SL-0038-WW1"/>
    <n v="56"/>
    <n v="340.48"/>
    <m/>
    <m/>
    <s v="20251040-07.08.2025"/>
    <x v="0"/>
    <x v="9"/>
    <x v="0"/>
    <m/>
  </r>
  <r>
    <x v="0"/>
    <x v="0"/>
    <x v="529"/>
    <x v="205"/>
    <x v="236"/>
    <s v="080817246-8011"/>
    <n v="0"/>
    <n v="6.08"/>
    <n v="56"/>
    <n v="340.48"/>
    <x v="443"/>
    <n v="37"/>
    <n v="2025"/>
    <n v="0"/>
    <x v="61"/>
    <n v="0"/>
    <m/>
    <s v="approved"/>
    <n v="1.1666666666666667"/>
    <m/>
    <m/>
    <m/>
    <m/>
    <m/>
    <m/>
    <m/>
    <x v="0"/>
    <x v="186"/>
    <x v="1937"/>
    <n v="5410625"/>
    <s v="TK.KWVE30-B-A-SL-0038-WW1"/>
    <n v="56"/>
    <n v="340.48"/>
    <m/>
    <m/>
    <s v="20251067-14.08.2025"/>
    <x v="0"/>
    <x v="10"/>
    <x v="0"/>
    <m/>
  </r>
  <r>
    <x v="0"/>
    <x v="0"/>
    <x v="529"/>
    <x v="205"/>
    <x v="236"/>
    <s v="080817246-8011"/>
    <n v="0"/>
    <n v="6.08"/>
    <n v="94"/>
    <n v="571.52"/>
    <x v="443"/>
    <n v="37"/>
    <n v="2025"/>
    <n v="0"/>
    <x v="61"/>
    <n v="0"/>
    <m/>
    <s v="approved"/>
    <n v="1.9583333333333333"/>
    <m/>
    <m/>
    <m/>
    <m/>
    <m/>
    <m/>
    <m/>
    <x v="0"/>
    <x v="162"/>
    <x v="1938"/>
    <n v="5410625"/>
    <s v="TK.KWVE30-B-A-SL-0038-WW1"/>
    <n v="94"/>
    <n v="571.52"/>
    <m/>
    <m/>
    <s v="20251137-01.09.2025"/>
    <x v="0"/>
    <x v="10"/>
    <x v="0"/>
    <m/>
  </r>
  <r>
    <x v="0"/>
    <x v="0"/>
    <x v="529"/>
    <x v="205"/>
    <x v="236"/>
    <s v="080817246-8011"/>
    <n v="0"/>
    <n v="6.08"/>
    <n v="78"/>
    <n v="474.24"/>
    <x v="86"/>
    <n v="38"/>
    <n v="2025"/>
    <n v="0"/>
    <x v="61"/>
    <n v="0"/>
    <m/>
    <s v="approved"/>
    <n v="1.625"/>
    <m/>
    <m/>
    <m/>
    <m/>
    <m/>
    <m/>
    <m/>
    <x v="0"/>
    <x v="162"/>
    <x v="1938"/>
    <n v="5410625"/>
    <s v="TK.KWVE30-B-A-SL-0038-WW1"/>
    <n v="78"/>
    <n v="474.24"/>
    <m/>
    <m/>
    <s v="20251137-01.09.2025"/>
    <x v="0"/>
    <x v="10"/>
    <x v="0"/>
    <m/>
  </r>
  <r>
    <x v="0"/>
    <x v="0"/>
    <x v="529"/>
    <x v="205"/>
    <x v="236"/>
    <s v="080817246-8011"/>
    <n v="0"/>
    <n v="6.08"/>
    <n v="28"/>
    <n v="170.24"/>
    <x v="86"/>
    <n v="38"/>
    <n v="2025"/>
    <n v="0"/>
    <x v="61"/>
    <n v="0"/>
    <m/>
    <s v="approved"/>
    <n v="0.58333333333333337"/>
    <m/>
    <m/>
    <m/>
    <m/>
    <m/>
    <m/>
    <m/>
    <x v="0"/>
    <x v="173"/>
    <x v="1939"/>
    <n v="5410625"/>
    <s v="TK.KWVE30-B-A-SL-0038-WW1"/>
    <n v="28"/>
    <n v="170.24"/>
    <m/>
    <m/>
    <s v="20251145-02.09.2025"/>
    <x v="0"/>
    <x v="10"/>
    <x v="0"/>
    <m/>
  </r>
  <r>
    <x v="0"/>
    <x v="0"/>
    <x v="529"/>
    <x v="205"/>
    <x v="236"/>
    <s v="080817246-8011"/>
    <n v="0"/>
    <n v="6.08"/>
    <n v="150"/>
    <n v="912"/>
    <x v="160"/>
    <n v="42"/>
    <n v="2025"/>
    <n v="0"/>
    <x v="61"/>
    <n v="0"/>
    <m/>
    <s v="approved"/>
    <n v="3.125"/>
    <m/>
    <m/>
    <m/>
    <m/>
    <m/>
    <m/>
    <m/>
    <x v="0"/>
    <x v="132"/>
    <x v="1940"/>
    <n v="5410625"/>
    <s v="TK.KWVE30-B-A-SL-0038-WW1"/>
    <n v="150"/>
    <n v="912"/>
    <m/>
    <m/>
    <s v="20251265-02.10.2025"/>
    <x v="0"/>
    <x v="11"/>
    <x v="0"/>
    <m/>
  </r>
  <r>
    <x v="0"/>
    <x v="0"/>
    <x v="529"/>
    <x v="205"/>
    <x v="236"/>
    <s v="080817246-8011"/>
    <n v="0"/>
    <n v="6.08"/>
    <n v="150"/>
    <n v="912"/>
    <x v="79"/>
    <n v="43"/>
    <n v="2025"/>
    <n v="0"/>
    <x v="61"/>
    <n v="0"/>
    <m/>
    <s v="approved"/>
    <n v="3.125"/>
    <m/>
    <m/>
    <m/>
    <m/>
    <m/>
    <m/>
    <m/>
    <x v="0"/>
    <x v="132"/>
    <x v="1940"/>
    <n v="5410625"/>
    <s v="TK.KWVE30-B-A-SL-0038-WW1"/>
    <n v="150"/>
    <n v="912"/>
    <m/>
    <m/>
    <s v="20251265-02.10.2025"/>
    <x v="0"/>
    <x v="11"/>
    <x v="0"/>
    <m/>
  </r>
  <r>
    <x v="0"/>
    <x v="0"/>
    <x v="529"/>
    <x v="197"/>
    <x v="236"/>
    <s v="080817246-8011"/>
    <n v="0"/>
    <n v="6.08"/>
    <n v="100"/>
    <n v="608"/>
    <x v="205"/>
    <n v="45"/>
    <n v="2025"/>
    <n v="0"/>
    <x v="61"/>
    <n v="0"/>
    <m/>
    <s v="approved"/>
    <n v="2.0833333333333335"/>
    <m/>
    <m/>
    <m/>
    <m/>
    <m/>
    <m/>
    <m/>
    <x v="1"/>
    <x v="3"/>
    <x v="4"/>
    <s v=""/>
    <s v=""/>
    <m/>
    <n v="0"/>
    <m/>
    <m/>
    <m/>
    <x v="1"/>
    <x v="4"/>
    <x v="0"/>
    <m/>
  </r>
  <r>
    <x v="0"/>
    <x v="1"/>
    <x v="529"/>
    <x v="205"/>
    <x v="236"/>
    <s v="080817246-8011"/>
    <n v="0"/>
    <n v="6.08"/>
    <n v="300"/>
    <n v="1824"/>
    <x v="122"/>
    <n v="51"/>
    <n v="2025"/>
    <n v="0"/>
    <x v="61"/>
    <n v="0"/>
    <m/>
    <s v="approved"/>
    <n v="6.25"/>
    <m/>
    <m/>
    <m/>
    <m/>
    <m/>
    <m/>
    <m/>
    <x v="1"/>
    <x v="3"/>
    <x v="4"/>
    <s v=""/>
    <s v=""/>
    <m/>
    <n v="0"/>
    <m/>
    <m/>
    <m/>
    <x v="2"/>
    <x v="3"/>
    <x v="0"/>
    <m/>
  </r>
  <r>
    <x v="0"/>
    <x v="0"/>
    <x v="530"/>
    <x v="159"/>
    <x v="237"/>
    <s v="074104748-8011 "/>
    <s v="00"/>
    <n v="8"/>
    <n v="5"/>
    <n v="40"/>
    <x v="353"/>
    <n v="49"/>
    <n v="2024"/>
    <n v="0"/>
    <x v="61"/>
    <n v="0"/>
    <m/>
    <s v="project"/>
    <n v="0.10416666666666667"/>
    <s v="no"/>
    <m/>
    <m/>
    <m/>
    <m/>
    <m/>
    <m/>
    <x v="0"/>
    <x v="157"/>
    <x v="1941"/>
    <n v="37673019"/>
    <s v="TK.KWVE35-B-A-L-0038-WW1"/>
    <n v="5"/>
    <n v="40"/>
    <m/>
    <s v="ppap"/>
    <s v="20250715-06.06.2025"/>
    <x v="1"/>
    <x v="3"/>
    <x v="1"/>
    <m/>
  </r>
  <r>
    <x v="0"/>
    <x v="0"/>
    <x v="530"/>
    <x v="206"/>
    <x v="237"/>
    <s v="074104748-8011 "/>
    <s v="00"/>
    <n v="8"/>
    <n v="5"/>
    <n v="40"/>
    <x v="120"/>
    <n v="44"/>
    <n v="2025"/>
    <n v="0"/>
    <x v="61"/>
    <n v="0"/>
    <m/>
    <s v="project"/>
    <n v="0.10416666666666667"/>
    <m/>
    <m/>
    <m/>
    <m/>
    <m/>
    <m/>
    <m/>
    <x v="0"/>
    <x v="49"/>
    <x v="4"/>
    <s v=""/>
    <s v=""/>
    <m/>
    <n v="0"/>
    <m/>
    <s v="cda ptr sistemul lor"/>
    <m/>
    <x v="0"/>
    <x v="11"/>
    <x v="0"/>
    <m/>
  </r>
  <r>
    <x v="0"/>
    <x v="0"/>
    <x v="530"/>
    <x v="159"/>
    <x v="237"/>
    <s v="074104748-8011 "/>
    <s v="00"/>
    <n v="8"/>
    <n v="1700"/>
    <n v="13600"/>
    <x v="312"/>
    <n v="47"/>
    <n v="2025"/>
    <n v="0"/>
    <x v="61"/>
    <n v="0"/>
    <m/>
    <s v="project"/>
    <s v="Yes"/>
    <n v="45933"/>
    <s v="2025221L"/>
    <n v="37673019"/>
    <s v="TK.KWVE35-B-A-L-0038-WW1"/>
    <n v="5"/>
    <n v="40"/>
    <m/>
    <x v="1"/>
    <x v="3"/>
    <x v="4"/>
    <s v=""/>
    <s v=""/>
    <m/>
    <n v="0"/>
    <m/>
    <m/>
    <m/>
    <x v="2"/>
    <x v="4"/>
    <x v="0"/>
    <m/>
  </r>
  <r>
    <x v="0"/>
    <x v="0"/>
    <x v="530"/>
    <x v="159"/>
    <x v="237"/>
    <s v="074104748-8011 "/>
    <s v="00"/>
    <n v="8"/>
    <n v="5"/>
    <n v="40"/>
    <x v="492"/>
    <n v="12"/>
    <n v="2025"/>
    <n v="0"/>
    <x v="61"/>
    <n v="0"/>
    <m/>
    <s v="project"/>
    <n v="0"/>
    <s v="no"/>
    <m/>
    <m/>
    <m/>
    <m/>
    <m/>
    <m/>
    <x v="0"/>
    <x v="133"/>
    <x v="1942"/>
    <n v="37673019"/>
    <s v="TK.KWVE35-B-A-L-0038-WW1"/>
    <n v="5"/>
    <n v="40"/>
    <m/>
    <s v="ppap revalidare"/>
    <s v="20251270-03.10.2025"/>
    <x v="1"/>
    <x v="5"/>
    <x v="0"/>
    <m/>
  </r>
  <r>
    <x v="13"/>
    <x v="0"/>
    <x v="531"/>
    <x v="207"/>
    <x v="238"/>
    <n v="0"/>
    <n v="0"/>
    <s v=""/>
    <n v="10"/>
    <s v=" "/>
    <x v="162"/>
    <n v="16"/>
    <n v="2024"/>
    <n v="0"/>
    <x v="1"/>
    <n v="0"/>
    <m/>
    <s v="approved"/>
    <n v="42"/>
    <s v="no"/>
    <m/>
    <m/>
    <m/>
    <m/>
    <m/>
    <n v="241408"/>
    <x v="0"/>
    <x v="119"/>
    <x v="1943"/>
    <s v="PASRO20240101"/>
    <s v="X-111127-01"/>
    <n v="10"/>
    <e v="#VALUE!"/>
    <m/>
    <m/>
    <s v="20240338-04.04.2024"/>
    <x v="0"/>
    <x v="1"/>
    <x v="1"/>
    <m/>
  </r>
  <r>
    <x v="13"/>
    <x v="0"/>
    <x v="532"/>
    <x v="208"/>
    <x v="239"/>
    <s v=" "/>
    <s v=""/>
    <n v="76.5"/>
    <n v="30"/>
    <n v="2295"/>
    <x v="253"/>
    <n v="4"/>
    <n v="2025"/>
    <s v=" "/>
    <x v="52"/>
    <s v="Not Found"/>
    <m/>
    <s v="approved"/>
    <n v="14"/>
    <m/>
    <m/>
    <m/>
    <m/>
    <m/>
    <m/>
    <m/>
    <x v="0"/>
    <x v="42"/>
    <x v="1944"/>
    <s v="PASRO20250003"/>
    <s v="X-111879-01 REV 02"/>
    <n v="29"/>
    <n v="2218.5"/>
    <n v="1"/>
    <m/>
    <s v="20250130-10.02.2025"/>
    <x v="1"/>
    <x v="6"/>
    <x v="0"/>
    <m/>
  </r>
  <r>
    <x v="13"/>
    <x v="0"/>
    <x v="533"/>
    <x v="68"/>
    <x v="240"/>
    <n v="0"/>
    <n v="0"/>
    <n v="142.5"/>
    <n v="2"/>
    <n v="285"/>
    <x v="162"/>
    <n v="16"/>
    <n v="2024"/>
    <n v="0"/>
    <x v="1"/>
    <n v="0"/>
    <m/>
    <s v="approved"/>
    <n v="42"/>
    <s v="no"/>
    <m/>
    <m/>
    <m/>
    <m/>
    <m/>
    <n v="241415"/>
    <x v="0"/>
    <x v="256"/>
    <x v="1945"/>
    <s v="PASRO20240104"/>
    <s v="X-275071-01"/>
    <n v="2"/>
    <n v="285"/>
    <m/>
    <m/>
    <s v="20240348-09.04.2024"/>
    <x v="0"/>
    <x v="1"/>
    <x v="1"/>
    <m/>
  </r>
  <r>
    <x v="4"/>
    <x v="0"/>
    <x v="534"/>
    <x v="183"/>
    <x v="241"/>
    <s v="Pinion conico (CAF) LEFT"/>
    <s v="C"/>
    <s v=""/>
    <n v="39"/>
    <s v=" "/>
    <x v="493"/>
    <n v="20"/>
    <n v="2024"/>
    <n v="0"/>
    <x v="80"/>
    <n v="0"/>
    <m/>
    <s v="approved"/>
    <n v="42"/>
    <s v="no"/>
    <m/>
    <m/>
    <m/>
    <m/>
    <m/>
    <n v="242011"/>
    <x v="0"/>
    <x v="257"/>
    <x v="1946"/>
    <s v="RA119068"/>
    <s v="XR100546"/>
    <n v="39"/>
    <e v="#VALUE!"/>
    <m/>
    <m/>
    <s v="20240592-23.05.2024"/>
    <x v="1"/>
    <x v="2"/>
    <x v="1"/>
    <m/>
  </r>
  <r>
    <x v="4"/>
    <x v="0"/>
    <x v="73"/>
    <x v="54"/>
    <x v="242"/>
    <s v="Pinion conico (CAF) LEFT"/>
    <s v="C"/>
    <s v=""/>
    <n v="40"/>
    <s v=" "/>
    <x v="2"/>
    <n v="17"/>
    <n v="2024"/>
    <n v="0"/>
    <x v="80"/>
    <n v="0"/>
    <m/>
    <s v="approved"/>
    <n v="42"/>
    <s v="no"/>
    <m/>
    <m/>
    <m/>
    <m/>
    <m/>
    <n v="241721"/>
    <x v="0"/>
    <x v="136"/>
    <x v="1947"/>
    <s v="RA118782"/>
    <s v="XR100548"/>
    <n v="40"/>
    <e v="#VALUE!"/>
    <m/>
    <m/>
    <s v="20240555-17.05.2024"/>
    <x v="1"/>
    <x v="1"/>
    <x v="1"/>
    <m/>
  </r>
  <r>
    <x v="0"/>
    <x v="0"/>
    <x v="535"/>
    <x v="87"/>
    <x v="243"/>
    <s v="302086803-0000 "/>
    <s v="AD"/>
    <n v="30.31"/>
    <n v="5"/>
    <n v="151.54999999999998"/>
    <x v="433"/>
    <n v="24"/>
    <n v="2024"/>
    <n v="0"/>
    <x v="0"/>
    <n v="50"/>
    <m/>
    <s v="project"/>
    <n v="42"/>
    <s v="no"/>
    <m/>
    <m/>
    <m/>
    <m/>
    <m/>
    <n v="242304"/>
    <x v="0"/>
    <x v="18"/>
    <x v="1948"/>
    <n v="36755266"/>
    <s v="XU080264-10/2-DRE"/>
    <n v="5"/>
    <n v="151.54999999999998"/>
    <m/>
    <m/>
    <s v="20240930-23.07.2024"/>
    <x v="1"/>
    <x v="0"/>
    <x v="1"/>
    <m/>
  </r>
  <r>
    <x v="0"/>
    <x v="0"/>
    <x v="535"/>
    <x v="87"/>
    <x v="243"/>
    <s v="302086803-0000 "/>
    <s v="AD"/>
    <n v="30.31"/>
    <n v="23"/>
    <n v="697.13"/>
    <x v="433"/>
    <n v="24"/>
    <n v="2024"/>
    <n v="0"/>
    <x v="0"/>
    <n v="50"/>
    <m/>
    <s v="project"/>
    <n v="42"/>
    <s v="no"/>
    <m/>
    <m/>
    <m/>
    <m/>
    <m/>
    <n v="242305"/>
    <x v="0"/>
    <x v="18"/>
    <x v="1948"/>
    <n v="36755266"/>
    <s v="XU080264-10/2-DRE"/>
    <n v="17"/>
    <n v="515.27"/>
    <n v="6"/>
    <s v="din 17 livrate 5 sunt cu derogare"/>
    <s v="20240930-23.07.2024"/>
    <x v="1"/>
    <x v="0"/>
    <x v="1"/>
    <m/>
  </r>
  <r>
    <x v="0"/>
    <x v="0"/>
    <x v="536"/>
    <x v="91"/>
    <x v="243"/>
    <s v="302086803-0000 "/>
    <s v="AD"/>
    <n v="30.31"/>
    <n v="28"/>
    <n v="848.68"/>
    <x v="219"/>
    <n v="34"/>
    <n v="2024"/>
    <n v="0"/>
    <x v="0"/>
    <n v="50"/>
    <m/>
    <s v="project"/>
    <n v="42"/>
    <s v="no"/>
    <m/>
    <m/>
    <m/>
    <m/>
    <m/>
    <m/>
    <x v="0"/>
    <x v="211"/>
    <x v="1949"/>
    <n v="37365158"/>
    <s v="XU080264-10/2-DRE"/>
    <n v="23"/>
    <n v="697.13"/>
    <n v="5"/>
    <s v="7 au fost cu derogare"/>
    <s v="20241087-21.08.2024"/>
    <x v="0"/>
    <x v="9"/>
    <x v="1"/>
    <m/>
  </r>
  <r>
    <x v="0"/>
    <x v="0"/>
    <x v="537"/>
    <x v="86"/>
    <x v="243"/>
    <s v="302086803-0000 "/>
    <s v="AD"/>
    <n v="30.31"/>
    <n v="94"/>
    <n v="2849.14"/>
    <x v="311"/>
    <n v="43"/>
    <n v="2024"/>
    <n v="0"/>
    <x v="0"/>
    <n v="50"/>
    <m/>
    <s v="approved"/>
    <n v="42"/>
    <s v="no"/>
    <m/>
    <m/>
    <m/>
    <m/>
    <m/>
    <m/>
    <x v="0"/>
    <x v="235"/>
    <x v="1950"/>
    <n v="37759578"/>
    <s v="XU080264-10/2-DRE"/>
    <n v="94"/>
    <n v="2849.14"/>
    <n v="5"/>
    <m/>
    <s v="20241321-17.10.2024"/>
    <x v="0"/>
    <x v="11"/>
    <x v="1"/>
    <m/>
  </r>
  <r>
    <x v="0"/>
    <x v="0"/>
    <x v="538"/>
    <x v="205"/>
    <x v="243"/>
    <s v="302086803-0000 "/>
    <s v="AD"/>
    <n v="30.31"/>
    <n v="42"/>
    <n v="1273.02"/>
    <x v="0"/>
    <n v="27"/>
    <n v="2025"/>
    <n v="0"/>
    <x v="0"/>
    <n v="50"/>
    <m/>
    <s v="approved"/>
    <n v="0.875"/>
    <m/>
    <m/>
    <m/>
    <m/>
    <m/>
    <m/>
    <m/>
    <x v="0"/>
    <x v="180"/>
    <x v="1951"/>
    <n v="38782051"/>
    <s v="XU080264-10/2-DRE"/>
    <n v="42"/>
    <n v="1273.02"/>
    <m/>
    <m/>
    <s v="20250797-27.06.2025"/>
    <x v="0"/>
    <x v="0"/>
    <x v="0"/>
    <m/>
  </r>
  <r>
    <x v="0"/>
    <x v="0"/>
    <x v="538"/>
    <x v="160"/>
    <x v="243"/>
    <s v="302086803-0000 "/>
    <s v="AD"/>
    <n v="30.31"/>
    <n v="42"/>
    <n v="1273.02"/>
    <x v="0"/>
    <n v="27"/>
    <n v="2025"/>
    <n v="0"/>
    <x v="0"/>
    <n v="50"/>
    <m/>
    <s v="approved"/>
    <n v="0.875"/>
    <m/>
    <m/>
    <m/>
    <m/>
    <m/>
    <m/>
    <m/>
    <x v="0"/>
    <x v="180"/>
    <x v="1951"/>
    <n v="38782051"/>
    <s v="XU080264-10/2-DRE"/>
    <n v="42"/>
    <n v="1273.02"/>
    <m/>
    <m/>
    <m/>
    <x v="0"/>
    <x v="0"/>
    <x v="0"/>
    <m/>
  </r>
  <r>
    <x v="0"/>
    <x v="0"/>
    <x v="536"/>
    <x v="205"/>
    <x v="243"/>
    <s v="302086803-0000 "/>
    <s v="AD"/>
    <n v="30.31"/>
    <n v="35"/>
    <n v="1060.8499999999999"/>
    <x v="0"/>
    <n v="27"/>
    <n v="2025"/>
    <n v="0"/>
    <x v="0"/>
    <n v="50"/>
    <m/>
    <s v="approved"/>
    <n v="0.72916666666666663"/>
    <m/>
    <m/>
    <m/>
    <m/>
    <m/>
    <m/>
    <m/>
    <x v="0"/>
    <x v="0"/>
    <x v="1952"/>
    <n v="37365158"/>
    <s v="XU080264-10/2-DRE"/>
    <n v="35"/>
    <n v="1060.8499999999999"/>
    <m/>
    <m/>
    <s v="20250804-27.06.2025"/>
    <x v="0"/>
    <x v="0"/>
    <x v="0"/>
    <m/>
  </r>
  <r>
    <x v="0"/>
    <x v="0"/>
    <x v="538"/>
    <x v="205"/>
    <x v="243"/>
    <s v="302086803-0000 "/>
    <s v="AD"/>
    <n v="30.31"/>
    <n v="23"/>
    <n v="697.13"/>
    <x v="0"/>
    <n v="27"/>
    <n v="2025"/>
    <n v="0"/>
    <x v="0"/>
    <n v="50"/>
    <m/>
    <s v="approved"/>
    <n v="0.47916666666666669"/>
    <s v="no"/>
    <m/>
    <m/>
    <m/>
    <m/>
    <m/>
    <m/>
    <x v="0"/>
    <x v="12"/>
    <x v="1953"/>
    <n v="38782051"/>
    <s v="XU080264-10/2-DRE"/>
    <n v="22"/>
    <n v="666.81999999999994"/>
    <n v="3"/>
    <m/>
    <s v="20250822-30.06.2025"/>
    <x v="0"/>
    <x v="0"/>
    <x v="0"/>
    <m/>
  </r>
  <r>
    <x v="0"/>
    <x v="0"/>
    <x v="539"/>
    <x v="87"/>
    <x v="244"/>
    <s v="302086811-0000"/>
    <s v="AC"/>
    <n v="16.63"/>
    <n v="5"/>
    <n v="83.149999999999991"/>
    <x v="433"/>
    <n v="24"/>
    <n v="2024"/>
    <n v="0"/>
    <x v="0"/>
    <n v="50"/>
    <m/>
    <s v="project"/>
    <n v="42"/>
    <s v="no"/>
    <m/>
    <m/>
    <m/>
    <m/>
    <m/>
    <n v="242303"/>
    <x v="0"/>
    <x v="32"/>
    <x v="1954"/>
    <n v="36754880"/>
    <s v="XU080264-43-DRE"/>
    <n v="5"/>
    <n v="83.149999999999991"/>
    <m/>
    <m/>
    <s v="20240849-05.07.2024"/>
    <x v="1"/>
    <x v="0"/>
    <x v="1"/>
    <m/>
  </r>
  <r>
    <x v="0"/>
    <x v="0"/>
    <x v="539"/>
    <x v="86"/>
    <x v="244"/>
    <s v="302086811-0000"/>
    <s v="AC"/>
    <n v="16.63"/>
    <n v="65"/>
    <n v="1080.95"/>
    <x v="433"/>
    <n v="24"/>
    <n v="2024"/>
    <n v="0"/>
    <x v="0"/>
    <n v="50"/>
    <m/>
    <s v="project"/>
    <n v="42"/>
    <s v="no"/>
    <m/>
    <m/>
    <m/>
    <m/>
    <m/>
    <n v="242302"/>
    <x v="0"/>
    <x v="32"/>
    <x v="1954"/>
    <n v="36754880"/>
    <s v="XU080264-43-DRE"/>
    <n v="65"/>
    <n v="1080.95"/>
    <n v="2"/>
    <m/>
    <s v="20240849-05.07.2024"/>
    <x v="1"/>
    <x v="0"/>
    <x v="1"/>
    <m/>
  </r>
  <r>
    <x v="0"/>
    <x v="0"/>
    <x v="540"/>
    <x v="86"/>
    <x v="244"/>
    <s v="302086811-0000"/>
    <s v="AC"/>
    <n v="16.63"/>
    <n v="70"/>
    <n v="1164.0999999999999"/>
    <x v="418"/>
    <n v="41"/>
    <n v="2024"/>
    <n v="0"/>
    <x v="0"/>
    <n v="50"/>
    <m/>
    <s v="project"/>
    <n v="42"/>
    <s v="no"/>
    <m/>
    <m/>
    <m/>
    <m/>
    <m/>
    <m/>
    <x v="0"/>
    <x v="224"/>
    <x v="1955"/>
    <n v="37677887"/>
    <s v="XU080264-43-DRE"/>
    <n v="70"/>
    <n v="1164.0999999999999"/>
    <m/>
    <m/>
    <s v="20241235-27.09.2024"/>
    <x v="0"/>
    <x v="11"/>
    <x v="1"/>
    <m/>
  </r>
  <r>
    <x v="0"/>
    <x v="1"/>
    <x v="540"/>
    <x v="209"/>
    <x v="244"/>
    <s v="302086811-0000"/>
    <s v="AC"/>
    <n v="16.63"/>
    <n v="60"/>
    <n v="997.8"/>
    <x v="418"/>
    <n v="41"/>
    <n v="2024"/>
    <n v="0"/>
    <x v="0"/>
    <n v="50"/>
    <m/>
    <s v="project"/>
    <n v="42"/>
    <s v="no"/>
    <m/>
    <m/>
    <m/>
    <m/>
    <m/>
    <m/>
    <x v="0"/>
    <x v="3"/>
    <x v="4"/>
    <s v=""/>
    <s v=""/>
    <n v="0"/>
    <n v="0"/>
    <m/>
    <m/>
    <m/>
    <x v="1"/>
    <x v="11"/>
    <x v="1"/>
    <m/>
  </r>
  <r>
    <x v="0"/>
    <x v="0"/>
    <x v="541"/>
    <x v="205"/>
    <x v="244"/>
    <s v="302086811-0000"/>
    <s v="AC"/>
    <n v="16.63"/>
    <n v="101"/>
    <n v="1679.6299999999999"/>
    <x v="0"/>
    <n v="27"/>
    <n v="2025"/>
    <n v="0"/>
    <x v="0"/>
    <n v="50"/>
    <m/>
    <s v="approved"/>
    <n v="2.1041666666666665"/>
    <s v="no"/>
    <m/>
    <m/>
    <m/>
    <m/>
    <m/>
    <m/>
    <x v="0"/>
    <x v="178"/>
    <x v="1956"/>
    <n v="38782047"/>
    <s v="XU080264-43-DRE"/>
    <n v="100"/>
    <n v="1663"/>
    <n v="1"/>
    <m/>
    <s v="20250781-24.06.2025"/>
    <x v="0"/>
    <x v="0"/>
    <x v="0"/>
    <m/>
  </r>
  <r>
    <x v="0"/>
    <x v="0"/>
    <x v="542"/>
    <x v="210"/>
    <x v="245"/>
    <s v="096213981-0000"/>
    <s v="AB"/>
    <n v="9.89"/>
    <n v="100"/>
    <n v="989"/>
    <x v="34"/>
    <n v="13"/>
    <n v="2024"/>
    <n v="0"/>
    <x v="0"/>
    <n v="100"/>
    <m/>
    <s v="approved"/>
    <n v="42"/>
    <s v="no"/>
    <m/>
    <m/>
    <m/>
    <m/>
    <m/>
    <s v="241206"/>
    <x v="0"/>
    <x v="322"/>
    <x v="1957"/>
    <n v="5364233"/>
    <s v="XU160260ZT-43-WW1"/>
    <n v="94"/>
    <n v="929.66000000000008"/>
    <n v="6"/>
    <m/>
    <s v="20240398-10.04.2024"/>
    <x v="1"/>
    <x v="5"/>
    <x v="1"/>
    <m/>
  </r>
  <r>
    <x v="0"/>
    <x v="0"/>
    <x v="542"/>
    <x v="29"/>
    <x v="245"/>
    <s v="096213981-0000"/>
    <s v="AB"/>
    <n v="9.89"/>
    <n v="110"/>
    <n v="1087.9000000000001"/>
    <x v="350"/>
    <n v="30"/>
    <n v="2024"/>
    <n v="0"/>
    <x v="0"/>
    <n v="100"/>
    <m/>
    <s v="approved"/>
    <n v="42"/>
    <s v="no"/>
    <m/>
    <m/>
    <m/>
    <m/>
    <m/>
    <s v="242902"/>
    <x v="0"/>
    <x v="80"/>
    <x v="1958"/>
    <n v="5364233"/>
    <s v="XU160260ZT-43-WW1"/>
    <n v="109"/>
    <n v="1078.01"/>
    <n v="1"/>
    <m/>
    <s v="20240948-25.07.2024"/>
    <x v="1"/>
    <x v="8"/>
    <x v="1"/>
    <m/>
  </r>
  <r>
    <x v="0"/>
    <x v="0"/>
    <x v="543"/>
    <x v="100"/>
    <x v="245"/>
    <s v="096213981-0000"/>
    <s v="AB"/>
    <n v="9.89"/>
    <n v="117"/>
    <n v="1157.1300000000001"/>
    <x v="141"/>
    <n v="16"/>
    <n v="2025"/>
    <n v="0"/>
    <x v="0"/>
    <n v="100"/>
    <m/>
    <s v="approved"/>
    <n v="42"/>
    <s v="no"/>
    <m/>
    <m/>
    <m/>
    <m/>
    <m/>
    <m/>
    <x v="0"/>
    <x v="128"/>
    <x v="1959"/>
    <n v="5409640"/>
    <s v="XU160260ZT-43-WW1"/>
    <n v="115"/>
    <n v="1137.3500000000001"/>
    <n v="2"/>
    <m/>
    <s v="20250666-27.05.2025"/>
    <x v="1"/>
    <x v="1"/>
    <x v="0"/>
    <m/>
  </r>
  <r>
    <x v="0"/>
    <x v="1"/>
    <x v="543"/>
    <x v="100"/>
    <x v="245"/>
    <s v="096213981-0000"/>
    <s v="AB"/>
    <n v="9.89"/>
    <n v="51"/>
    <n v="504.39000000000004"/>
    <x v="491"/>
    <n v="30"/>
    <n v="2025"/>
    <n v="0"/>
    <x v="0"/>
    <n v="100"/>
    <m/>
    <s v="approved"/>
    <n v="42"/>
    <s v="no"/>
    <m/>
    <m/>
    <m/>
    <m/>
    <m/>
    <m/>
    <x v="0"/>
    <x v="3"/>
    <x v="4"/>
    <s v=""/>
    <s v=""/>
    <n v="0"/>
    <n v="0"/>
    <m/>
    <s v="comenzi anulate"/>
    <m/>
    <x v="1"/>
    <x v="8"/>
    <x v="0"/>
    <m/>
  </r>
  <r>
    <x v="0"/>
    <x v="1"/>
    <x v="543"/>
    <x v="100"/>
    <x v="245"/>
    <s v="096213981-0000"/>
    <s v="AB"/>
    <n v="9.89"/>
    <n v="51"/>
    <n v="504.39000000000004"/>
    <x v="470"/>
    <n v="35"/>
    <n v="2025"/>
    <n v="0"/>
    <x v="0"/>
    <n v="100"/>
    <m/>
    <s v="approved"/>
    <n v="42"/>
    <s v="no"/>
    <m/>
    <m/>
    <m/>
    <m/>
    <m/>
    <m/>
    <x v="0"/>
    <x v="3"/>
    <x v="4"/>
    <s v=""/>
    <s v=""/>
    <n v="0"/>
    <n v="0"/>
    <m/>
    <s v="comenzi anulate"/>
    <m/>
    <x v="1"/>
    <x v="9"/>
    <x v="0"/>
    <m/>
  </r>
  <r>
    <x v="0"/>
    <x v="0"/>
    <x v="543"/>
    <x v="100"/>
    <x v="245"/>
    <s v="096213981-0000"/>
    <s v="AB"/>
    <n v="9.89"/>
    <n v="100"/>
    <n v="989"/>
    <x v="40"/>
    <n v="35"/>
    <n v="2025"/>
    <n v="0"/>
    <x v="0"/>
    <n v="100"/>
    <m/>
    <s v="approved"/>
    <n v="42"/>
    <s v="no"/>
    <m/>
    <m/>
    <m/>
    <m/>
    <m/>
    <m/>
    <x v="0"/>
    <x v="320"/>
    <x v="1960"/>
    <n v="5409640"/>
    <s v="XU160260ZT-43-WW1"/>
    <n v="96"/>
    <n v="949.44"/>
    <n v="4"/>
    <s v="comenzi anulate"/>
    <s v="20251153-05.09.2025"/>
    <x v="1"/>
    <x v="9"/>
    <x v="0"/>
    <m/>
  </r>
  <r>
    <x v="0"/>
    <x v="1"/>
    <x v="543"/>
    <x v="100"/>
    <x v="245"/>
    <s v="096213981-0000"/>
    <s v="AB"/>
    <n v="9.89"/>
    <n v="51"/>
    <n v="504.39000000000004"/>
    <x v="328"/>
    <n v="39"/>
    <n v="2025"/>
    <n v="0"/>
    <x v="0"/>
    <n v="100"/>
    <m/>
    <s v="approved"/>
    <n v="42"/>
    <s v="no"/>
    <m/>
    <m/>
    <m/>
    <m/>
    <m/>
    <m/>
    <x v="0"/>
    <x v="3"/>
    <x v="4"/>
    <s v=""/>
    <s v=""/>
    <n v="0"/>
    <n v="0"/>
    <m/>
    <s v="comenzi anulate"/>
    <m/>
    <x v="1"/>
    <x v="10"/>
    <x v="0"/>
    <m/>
  </r>
  <r>
    <x v="0"/>
    <x v="1"/>
    <x v="543"/>
    <x v="100"/>
    <x v="245"/>
    <s v="096213981-0000"/>
    <s v="AB"/>
    <n v="9.89"/>
    <n v="51"/>
    <n v="504.39000000000004"/>
    <x v="79"/>
    <n v="43"/>
    <n v="2025"/>
    <n v="0"/>
    <x v="0"/>
    <n v="100"/>
    <m/>
    <s v="approved"/>
    <n v="42"/>
    <s v="no"/>
    <m/>
    <m/>
    <m/>
    <m/>
    <m/>
    <m/>
    <x v="0"/>
    <x v="337"/>
    <x v="4"/>
    <s v=""/>
    <s v=""/>
    <n v="0"/>
    <n v="0"/>
    <m/>
    <s v="comenzi anulate"/>
    <m/>
    <x v="0"/>
    <x v="11"/>
    <x v="0"/>
    <m/>
  </r>
  <r>
    <x v="0"/>
    <x v="1"/>
    <x v="543"/>
    <x v="100"/>
    <x v="245"/>
    <s v="096213981-0000"/>
    <s v="AB"/>
    <n v="9.89"/>
    <n v="51"/>
    <n v="504.39000000000004"/>
    <x v="300"/>
    <n v="47"/>
    <n v="2025"/>
    <n v="0"/>
    <x v="0"/>
    <n v="100"/>
    <m/>
    <s v="approved"/>
    <n v="42"/>
    <s v="no"/>
    <m/>
    <m/>
    <m/>
    <m/>
    <m/>
    <m/>
    <x v="0"/>
    <x v="3"/>
    <x v="4"/>
    <s v=""/>
    <s v=""/>
    <n v="0"/>
    <n v="0"/>
    <m/>
    <s v="comenzi anulate"/>
    <m/>
    <x v="2"/>
    <x v="4"/>
    <x v="0"/>
    <m/>
  </r>
  <r>
    <x v="14"/>
    <x v="3"/>
    <x v="80"/>
    <x v="8"/>
    <x v="246"/>
    <m/>
    <m/>
    <m/>
    <m/>
    <n v="0"/>
    <x v="494"/>
    <m/>
    <m/>
    <m/>
    <x v="2"/>
    <m/>
    <m/>
    <m/>
    <m/>
    <m/>
    <m/>
    <m/>
    <m/>
    <m/>
    <m/>
    <m/>
    <x v="2"/>
    <x v="3"/>
    <x v="4"/>
    <m/>
    <m/>
    <m/>
    <m/>
    <m/>
    <m/>
    <m/>
    <x v="3"/>
    <x v="12"/>
    <x v="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B70E7C-8CE7-4C92-B66E-5DDDB54B7F79}" name="PivotTable4" cacheId="3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3:AV26" firstHeaderRow="1" firstDataRow="5" firstDataCol="3" rowPageCount="3" colPageCount="1"/>
  <pivotFields count="50">
    <pivotField axis="axisRow" compact="0" outline="0" showAll="0">
      <items count="18">
        <item sd="0" m="1" x="16"/>
        <item sd="0" x="11"/>
        <item sd="0" x="3"/>
        <item sd="0" x="12"/>
        <item sd="0" x="2"/>
        <item sd="0" x="8"/>
        <item sd="0" x="4"/>
        <item sd="0" x="7"/>
        <item sd="0" x="5"/>
        <item sd="0" x="13"/>
        <item sd="0" m="1" x="15"/>
        <item sd="0" x="9"/>
        <item sd="0" x="0"/>
        <item sd="0" x="1"/>
        <item sd="0" x="6"/>
        <item sd="0" x="14"/>
        <item sd="0" x="10"/>
        <item t="default" sd="0"/>
      </items>
    </pivotField>
    <pivotField axis="axisPage" compact="0" outline="0" showAll="0">
      <items count="6">
        <item x="2"/>
        <item x="0"/>
        <item x="1"/>
        <item x="3"/>
        <item m="1" x="4"/>
        <item t="default"/>
      </items>
    </pivotField>
    <pivotField compact="0" outline="0" showAll="0" defaultSubtotal="0"/>
    <pivotField compact="0" outline="0" showAll="0"/>
    <pivotField axis="axisRow" compact="0" outline="0" showAll="0">
      <items count="24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62"/>
        <item x="63"/>
        <item x="64"/>
        <item x="65"/>
        <item x="77"/>
        <item x="79"/>
        <item x="80"/>
        <item x="81"/>
        <item x="82"/>
        <item x="87"/>
        <item x="97"/>
        <item x="98"/>
        <item x="99"/>
        <item x="100"/>
        <item x="101"/>
        <item x="102"/>
        <item x="103"/>
        <item x="104"/>
        <item x="105"/>
        <item x="106"/>
        <item x="107"/>
        <item x="108"/>
        <item x="109"/>
        <item x="110"/>
        <item x="116"/>
        <item x="119"/>
        <item x="120"/>
        <item x="121"/>
        <item x="122"/>
        <item x="123"/>
        <item x="127"/>
        <item x="128"/>
        <item x="129"/>
        <item x="130"/>
        <item x="131"/>
        <item x="132"/>
        <item x="133"/>
        <item x="134"/>
        <item x="135"/>
        <item x="136"/>
        <item x="137"/>
        <item x="138"/>
        <item x="139"/>
        <item x="140"/>
        <item x="141"/>
        <item x="142"/>
        <item x="143"/>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5"/>
        <item x="226"/>
        <item x="227"/>
        <item x="228"/>
        <item x="229"/>
        <item x="230"/>
        <item x="231"/>
        <item x="232"/>
        <item x="233"/>
        <item x="234"/>
        <item x="235"/>
        <item x="236"/>
        <item x="237"/>
        <item x="238"/>
        <item x="239"/>
        <item x="240"/>
        <item x="241"/>
        <item x="242"/>
        <item x="243"/>
        <item x="244"/>
        <item x="245"/>
        <item x="246"/>
        <item x="111"/>
        <item x="224"/>
        <item x="148"/>
        <item x="59"/>
        <item x="0"/>
        <item x="144"/>
        <item x="78"/>
        <item x="83"/>
        <item x="84"/>
        <item x="85"/>
        <item x="86"/>
        <item x="88"/>
        <item x="90"/>
        <item x="91"/>
        <item x="89"/>
        <item x="66"/>
        <item x="67"/>
        <item x="68"/>
        <item x="69"/>
        <item x="70"/>
        <item x="71"/>
        <item x="72"/>
        <item x="118"/>
        <item x="115"/>
        <item x="112"/>
        <item x="117"/>
        <item x="73"/>
        <item x="76"/>
        <item x="93"/>
        <item x="94"/>
        <item x="96"/>
        <item x="95"/>
        <item x="92"/>
        <item x="113"/>
        <item x="114"/>
        <item x="126"/>
        <item x="124"/>
        <item x="125"/>
        <item x="174"/>
        <item x="60"/>
        <item x="61"/>
        <item x="74"/>
        <item x="75"/>
        <item t="default"/>
      </items>
    </pivotField>
    <pivotField compact="0" outline="0" showAll="0"/>
    <pivotField compact="0" outline="0" showAll="0"/>
    <pivotField compact="0" outline="0" showAll="0"/>
    <pivotField dataField="1" compact="0" outline="0" showAll="0"/>
    <pivotField dataField="1" compact="0" outline="0" showAll="0"/>
    <pivotField name="ETA" axis="axisCol" compact="0" outline="0" showAll="0">
      <items count="603">
        <item x="73"/>
        <item x="48"/>
        <item x="449"/>
        <item x="71"/>
        <item x="72"/>
        <item x="74"/>
        <item x="93"/>
        <item x="7"/>
        <item x="6"/>
        <item m="1" x="572"/>
        <item m="1" x="584"/>
        <item x="384"/>
        <item x="315"/>
        <item x="402"/>
        <item x="385"/>
        <item x="50"/>
        <item x="333"/>
        <item x="417"/>
        <item x="432"/>
        <item x="403"/>
        <item x="187"/>
        <item x="51"/>
        <item x="52"/>
        <item x="53"/>
        <item x="169"/>
        <item x="34"/>
        <item x="35"/>
        <item x="36"/>
        <item x="139"/>
        <item x="479"/>
        <item x="94"/>
        <item x="123"/>
        <item x="480"/>
        <item x="174"/>
        <item x="136"/>
        <item x="236"/>
        <item x="1"/>
        <item x="481"/>
        <item x="234"/>
        <item x="162"/>
        <item x="365"/>
        <item x="482"/>
        <item x="483"/>
        <item x="140"/>
        <item x="8"/>
        <item x="124"/>
        <item x="450"/>
        <item x="2"/>
        <item x="310"/>
        <item x="366"/>
        <item x="95"/>
        <item x="207"/>
        <item x="96"/>
        <item x="273"/>
        <item x="426"/>
        <item x="404"/>
        <item x="493"/>
        <item x="452"/>
        <item x="3"/>
        <item x="453"/>
        <item x="367"/>
        <item m="1" x="575"/>
        <item x="97"/>
        <item x="4"/>
        <item x="237"/>
        <item x="152"/>
        <item x="373"/>
        <item x="238"/>
        <item x="454"/>
        <item x="198"/>
        <item x="167"/>
        <item x="98"/>
        <item x="182"/>
        <item x="433"/>
        <item x="99"/>
        <item x="170"/>
        <item x="239"/>
        <item x="405"/>
        <item x="100"/>
        <item x="211"/>
        <item x="226"/>
        <item x="279"/>
        <item x="240"/>
        <item x="180"/>
        <item x="175"/>
        <item x="241"/>
        <item x="189"/>
        <item x="101"/>
        <item x="349"/>
        <item x="427"/>
        <item x="125"/>
        <item x="102"/>
        <item x="199"/>
        <item x="464"/>
        <item x="465"/>
        <item x="466"/>
        <item x="489"/>
        <item x="188"/>
        <item x="350"/>
        <item x="351"/>
        <item x="414"/>
        <item x="415"/>
        <item x="289"/>
        <item m="1" x="551"/>
        <item x="103"/>
        <item x="467"/>
        <item x="212"/>
        <item x="137"/>
        <item x="181"/>
        <item x="104"/>
        <item x="401"/>
        <item x="369"/>
        <item x="406"/>
        <item x="451"/>
        <item x="213"/>
        <item x="105"/>
        <item x="429"/>
        <item x="185"/>
        <item x="275"/>
        <item x="171"/>
        <item x="219"/>
        <item x="190"/>
        <item x="370"/>
        <item x="227"/>
        <item x="455"/>
        <item x="22"/>
        <item x="82"/>
        <item x="242"/>
        <item x="176"/>
        <item x="290"/>
        <item x="49"/>
        <item x="60"/>
        <item x="243"/>
        <item x="291"/>
        <item x="343"/>
        <item x="407"/>
        <item x="106"/>
        <item x="126"/>
        <item x="218"/>
        <item x="316"/>
        <item x="244"/>
        <item x="416"/>
        <item x="434"/>
        <item x="228"/>
        <item x="224"/>
        <item x="435"/>
        <item x="75"/>
        <item x="484"/>
        <item x="456"/>
        <item x="107"/>
        <item x="334"/>
        <item x="436"/>
        <item x="208"/>
        <item x="352"/>
        <item x="108"/>
        <item x="220"/>
        <item x="418"/>
        <item m="1" x="583"/>
        <item m="1" x="552"/>
        <item x="245"/>
        <item x="292"/>
        <item x="214"/>
        <item x="37"/>
        <item x="311"/>
        <item x="191"/>
        <item x="246"/>
        <item x="221"/>
        <item x="445"/>
        <item x="386"/>
        <item x="317"/>
        <item x="23"/>
        <item x="183"/>
        <item x="293"/>
        <item x="192"/>
        <item x="318"/>
        <item x="109"/>
        <item x="133"/>
        <item x="127"/>
        <item x="210"/>
        <item m="1" x="571"/>
        <item x="408"/>
        <item x="247"/>
        <item x="387"/>
        <item x="319"/>
        <item x="235"/>
        <item x="359"/>
        <item x="272"/>
        <item x="248"/>
        <item x="177"/>
        <item x="485"/>
        <item x="294"/>
        <item x="360"/>
        <item x="249"/>
        <item x="486"/>
        <item x="295"/>
        <item x="353"/>
        <item x="468"/>
        <item x="200"/>
        <item x="110"/>
        <item m="1" x="589"/>
        <item x="38"/>
        <item x="250"/>
        <item x="374"/>
        <item x="346"/>
        <item m="1" x="590"/>
        <item x="178"/>
        <item m="1" x="591"/>
        <item x="229"/>
        <item x="193"/>
        <item x="441"/>
        <item m="1" x="592"/>
        <item x="68"/>
        <item x="368"/>
        <item x="251"/>
        <item x="381"/>
        <item x="320"/>
        <item x="252"/>
        <item x="76"/>
        <item m="1" x="585"/>
        <item x="253"/>
        <item m="1" x="586"/>
        <item x="321"/>
        <item x="194"/>
        <item m="1" x="587"/>
        <item x="347"/>
        <item x="457"/>
        <item x="222"/>
        <item x="69"/>
        <item m="1" x="501"/>
        <item x="56"/>
        <item x="225"/>
        <item x="322"/>
        <item x="281"/>
        <item x="335"/>
        <item x="195"/>
        <item x="179"/>
        <item x="144"/>
        <item x="163"/>
        <item x="323"/>
        <item x="336"/>
        <item x="164"/>
        <item x="196"/>
        <item x="145"/>
        <item x="254"/>
        <item m="1" x="557"/>
        <item x="296"/>
        <item x="419"/>
        <item x="39"/>
        <item x="255"/>
        <item x="197"/>
        <item x="297"/>
        <item x="184"/>
        <item m="1" x="576"/>
        <item x="492"/>
        <item x="256"/>
        <item x="90"/>
        <item x="388"/>
        <item m="1" x="588"/>
        <item x="9"/>
        <item x="337"/>
        <item x="284"/>
        <item x="324"/>
        <item x="344"/>
        <item x="111"/>
        <item m="1" x="570"/>
        <item x="112"/>
        <item x="371"/>
        <item x="458"/>
        <item x="442"/>
        <item x="128"/>
        <item x="186"/>
        <item x="389"/>
        <item x="141"/>
        <item x="142"/>
        <item m="1" x="560"/>
        <item x="157"/>
        <item x="158"/>
        <item x="5"/>
        <item x="325"/>
        <item x="430"/>
        <item x="446"/>
        <item x="54"/>
        <item x="257"/>
        <item x="129"/>
        <item x="382"/>
        <item x="143"/>
        <item x="113"/>
        <item x="326"/>
        <item x="10"/>
        <item x="55"/>
        <item x="114"/>
        <item m="1" x="550"/>
        <item x="258"/>
        <item x="78"/>
        <item m="1" x="555"/>
        <item x="259"/>
        <item x="424"/>
        <item x="327"/>
        <item x="338"/>
        <item x="70"/>
        <item x="168"/>
        <item m="1" x="545"/>
        <item m="1" x="541"/>
        <item x="345"/>
        <item m="1" x="548"/>
        <item x="260"/>
        <item x="354"/>
        <item x="153"/>
        <item x="298"/>
        <item x="459"/>
        <item m="1" x="559"/>
        <item x="263"/>
        <item m="1" x="573"/>
        <item x="230"/>
        <item x="0"/>
        <item x="134"/>
        <item x="115"/>
        <item m="1" x="549"/>
        <item x="390"/>
        <item x="201"/>
        <item x="425"/>
        <item x="159"/>
        <item x="77"/>
        <item x="202"/>
        <item x="231"/>
        <item x="116"/>
        <item x="491"/>
        <item x="299"/>
        <item x="447"/>
        <item x="340"/>
        <item x="376"/>
        <item x="361"/>
        <item x="341"/>
        <item x="420"/>
        <item x="118"/>
        <item x="264"/>
        <item m="1" x="517"/>
        <item x="469"/>
        <item x="362"/>
        <item x="286"/>
        <item x="232"/>
        <item x="148"/>
        <item x="461"/>
        <item x="92"/>
        <item m="1" x="535"/>
        <item x="391"/>
        <item x="470"/>
        <item x="233"/>
        <item x="462"/>
        <item x="471"/>
        <item x="342"/>
        <item x="428"/>
        <item x="203"/>
        <item x="217"/>
        <item x="89"/>
        <item x="487"/>
        <item x="463"/>
        <item x="328"/>
        <item x="473"/>
        <item x="355"/>
        <item x="364"/>
        <item x="283"/>
        <item x="119"/>
        <item x="267"/>
        <item x="204"/>
        <item x="488"/>
        <item x="130"/>
        <item x="135"/>
        <item x="409"/>
        <item x="160"/>
        <item m="1" x="515"/>
        <item x="287"/>
        <item x="161"/>
        <item x="79"/>
        <item x="392"/>
        <item m="1" x="534"/>
        <item x="437"/>
        <item x="120"/>
        <item x="151"/>
        <item m="1" x="553"/>
        <item x="205"/>
        <item x="25"/>
        <item m="1" x="527"/>
        <item x="172"/>
        <item x="173"/>
        <item x="477"/>
        <item x="300"/>
        <item x="312"/>
        <item x="156"/>
        <item m="1" x="531"/>
        <item m="1" x="563"/>
        <item x="83"/>
        <item m="1" x="528"/>
        <item x="393"/>
        <item x="26"/>
        <item x="410"/>
        <item x="11"/>
        <item x="150"/>
        <item m="1" x="502"/>
        <item x="85"/>
        <item x="206"/>
        <item x="379"/>
        <item x="394"/>
        <item m="1" x="581"/>
        <item x="444"/>
        <item x="302"/>
        <item x="12"/>
        <item m="1" x="579"/>
        <item m="1" x="546"/>
        <item m="1" x="500"/>
        <item m="1" x="593"/>
        <item m="1" x="564"/>
        <item x="438"/>
        <item m="1" x="578"/>
        <item x="395"/>
        <item m="1" x="524"/>
        <item m="1" x="574"/>
        <item x="13"/>
        <item x="411"/>
        <item m="1" x="594"/>
        <item x="27"/>
        <item m="1" x="568"/>
        <item x="396"/>
        <item x="209"/>
        <item m="1" x="567"/>
        <item m="1" x="539"/>
        <item x="44"/>
        <item m="1" x="565"/>
        <item m="1" x="566"/>
        <item m="1" x="509"/>
        <item m="1" x="543"/>
        <item x="277"/>
        <item x="383"/>
        <item x="397"/>
        <item m="1" x="538"/>
        <item x="29"/>
        <item x="314"/>
        <item x="304"/>
        <item m="1" x="595"/>
        <item m="1" x="562"/>
        <item m="1" x="547"/>
        <item m="1" x="577"/>
        <item x="398"/>
        <item m="1" x="540"/>
        <item x="16"/>
        <item m="1" x="558"/>
        <item m="1" x="561"/>
        <item m="1" x="554"/>
        <item m="1" x="596"/>
        <item m="1" x="544"/>
        <item m="1" x="582"/>
        <item x="412"/>
        <item m="1" x="532"/>
        <item m="1" x="597"/>
        <item x="399"/>
        <item x="18"/>
        <item x="422"/>
        <item m="1" x="598"/>
        <item m="1" x="580"/>
        <item m="1" x="537"/>
        <item m="1" x="569"/>
        <item m="1" x="599"/>
        <item x="400"/>
        <item x="423"/>
        <item x="306"/>
        <item m="1" x="600"/>
        <item x="21"/>
        <item m="1" x="533"/>
        <item m="1" x="601"/>
        <item x="494"/>
        <item x="117"/>
        <item x="121"/>
        <item x="271"/>
        <item x="270"/>
        <item x="460"/>
        <item x="165"/>
        <item x="474"/>
        <item x="356"/>
        <item x="122"/>
        <item x="262"/>
        <item x="472"/>
        <item x="475"/>
        <item x="132"/>
        <item x="476"/>
        <item x="478"/>
        <item x="216"/>
        <item x="80"/>
        <item x="329"/>
        <item x="378"/>
        <item m="1" x="536"/>
        <item m="1" x="516"/>
        <item x="24"/>
        <item x="282"/>
        <item x="86"/>
        <item x="490"/>
        <item x="41"/>
        <item m="1" x="503"/>
        <item x="269"/>
        <item x="265"/>
        <item x="443"/>
        <item x="40"/>
        <item x="146"/>
        <item x="215"/>
        <item x="278"/>
        <item m="1" x="556"/>
        <item x="266"/>
        <item m="1" x="505"/>
        <item x="348"/>
        <item m="1" x="526"/>
        <item x="15"/>
        <item x="413"/>
        <item x="147"/>
        <item x="154"/>
        <item x="223"/>
        <item x="91"/>
        <item x="261"/>
        <item m="1" x="522"/>
        <item x="363"/>
        <item x="372"/>
        <item x="375"/>
        <item m="1" x="520"/>
        <item x="377"/>
        <item m="1" x="521"/>
        <item x="84"/>
        <item m="1" x="518"/>
        <item x="303"/>
        <item x="58"/>
        <item x="19"/>
        <item m="1" x="542"/>
        <item x="439"/>
        <item x="421"/>
        <item x="307"/>
        <item m="1" x="525"/>
        <item m="1" x="519"/>
        <item x="339"/>
        <item m="1" x="529"/>
        <item x="28"/>
        <item x="30"/>
        <item x="31"/>
        <item x="32"/>
        <item x="33"/>
        <item x="43"/>
        <item m="1" x="508"/>
        <item m="1" x="511"/>
        <item x="14"/>
        <item x="17"/>
        <item x="20"/>
        <item m="1" x="513"/>
        <item x="301"/>
        <item m="1" x="512"/>
        <item m="1" x="506"/>
        <item m="1" x="507"/>
        <item x="62"/>
        <item m="1" x="510"/>
        <item x="285"/>
        <item x="155"/>
        <item x="81"/>
        <item x="87"/>
        <item x="166"/>
        <item x="149"/>
        <item m="1" x="514"/>
        <item m="1" x="530"/>
        <item m="1" x="498"/>
        <item x="63"/>
        <item m="1" x="499"/>
        <item m="1" x="523"/>
        <item m="1" x="497"/>
        <item x="138"/>
        <item x="88"/>
        <item x="274"/>
        <item m="1" x="496"/>
        <item m="1" x="495"/>
        <item x="330"/>
        <item x="331"/>
        <item x="357"/>
        <item x="358"/>
        <item x="380"/>
        <item x="431"/>
        <item x="440"/>
        <item x="42"/>
        <item x="448"/>
        <item x="131"/>
        <item m="1" x="504"/>
        <item x="45"/>
        <item x="46"/>
        <item x="47"/>
        <item x="61"/>
        <item x="57"/>
        <item x="66"/>
        <item x="64"/>
        <item x="65"/>
        <item x="288"/>
        <item x="59"/>
        <item x="67"/>
        <item x="280"/>
        <item x="268"/>
        <item x="276"/>
        <item x="305"/>
        <item x="308"/>
        <item x="309"/>
        <item x="313"/>
        <item x="332"/>
        <item t="default"/>
      </items>
    </pivotField>
    <pivotField compact="0" outline="0" showAll="0"/>
    <pivotField compact="0" outline="0" showAll="0"/>
    <pivotField compact="0" outline="0" showAll="0"/>
    <pivotField axis="axisRow" compact="0" outline="0" showAll="0">
      <items count="84">
        <item x="1"/>
        <item m="1" x="81"/>
        <item x="40"/>
        <item x="30"/>
        <item x="53"/>
        <item x="51"/>
        <item x="58"/>
        <item x="60"/>
        <item x="41"/>
        <item x="63"/>
        <item x="75"/>
        <item x="21"/>
        <item x="46"/>
        <item x="78"/>
        <item x="55"/>
        <item x="62"/>
        <item x="70"/>
        <item x="71"/>
        <item x="72"/>
        <item x="73"/>
        <item x="74"/>
        <item x="69"/>
        <item x="76"/>
        <item x="54"/>
        <item x="65"/>
        <item x="50"/>
        <item x="61"/>
        <item x="64"/>
        <item x="59"/>
        <item x="23"/>
        <item x="48"/>
        <item x="47"/>
        <item x="80"/>
        <item x="68"/>
        <item x="57"/>
        <item x="24"/>
        <item x="26"/>
        <item x="25"/>
        <item x="79"/>
        <item x="3"/>
        <item x="56"/>
        <item x="6"/>
        <item x="49"/>
        <item x="43"/>
        <item x="45"/>
        <item x="0"/>
        <item x="44"/>
        <item x="42"/>
        <item x="5"/>
        <item x="4"/>
        <item x="66"/>
        <item x="67"/>
        <item x="77"/>
        <item x="9"/>
        <item x="52"/>
        <item x="2"/>
        <item m="1" x="82"/>
        <item x="22"/>
        <item x="27"/>
        <item x="28"/>
        <item x="29"/>
        <item x="31"/>
        <item x="33"/>
        <item x="34"/>
        <item x="32"/>
        <item x="7"/>
        <item x="8"/>
        <item x="10"/>
        <item x="11"/>
        <item x="13"/>
        <item x="14"/>
        <item x="15"/>
        <item x="16"/>
        <item x="12"/>
        <item x="17"/>
        <item x="18"/>
        <item x="19"/>
        <item x="20"/>
        <item x="36"/>
        <item x="37"/>
        <item x="39"/>
        <item x="38"/>
        <item x="3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5">
        <item x="1"/>
        <item x="0"/>
        <item x="2"/>
        <item m="1" x="3"/>
        <item t="default"/>
      </items>
    </pivotField>
    <pivotField compact="0" outline="0" showAll="0">
      <items count="380">
        <item x="349"/>
        <item x="350"/>
        <item x="207"/>
        <item x="137"/>
        <item x="217"/>
        <item x="57"/>
        <item x="119"/>
        <item x="256"/>
        <item x="322"/>
        <item x="4"/>
        <item x="5"/>
        <item x="206"/>
        <item x="58"/>
        <item x="223"/>
        <item x="208"/>
        <item x="15"/>
        <item x="1"/>
        <item x="359"/>
        <item x="174"/>
        <item x="175"/>
        <item x="14"/>
        <item x="189"/>
        <item x="16"/>
        <item x="340"/>
        <item x="59"/>
        <item x="312"/>
        <item x="60"/>
        <item x="120"/>
        <item x="357"/>
        <item x="22"/>
        <item x="313"/>
        <item x="209"/>
        <item x="136"/>
        <item x="360"/>
        <item x="62"/>
        <item x="213"/>
        <item x="257"/>
        <item x="164"/>
        <item x="165"/>
        <item x="17"/>
        <item x="176"/>
        <item x="34"/>
        <item x="341"/>
        <item x="258"/>
        <item x="63"/>
        <item x="259"/>
        <item x="218"/>
        <item x="260"/>
        <item x="352"/>
        <item x="342"/>
        <item x="261"/>
        <item x="121"/>
        <item x="122"/>
        <item x="64"/>
        <item x="65"/>
        <item x="66"/>
        <item x="25"/>
        <item x="67"/>
        <item x="68"/>
        <item x="69"/>
        <item x="70"/>
        <item x="27"/>
        <item x="71"/>
        <item x="72"/>
        <item x="73"/>
        <item x="9"/>
        <item x="32"/>
        <item x="262"/>
        <item x="247"/>
        <item x="263"/>
        <item x="264"/>
        <item x="231"/>
        <item x="74"/>
        <item x="75"/>
        <item x="76"/>
        <item x="61"/>
        <item x="77"/>
        <item x="78"/>
        <item x="18"/>
        <item x="79"/>
        <item x="80"/>
        <item x="81"/>
        <item x="82"/>
        <item x="83"/>
        <item x="10"/>
        <item x="123"/>
        <item x="124"/>
        <item x="125"/>
        <item x="84"/>
        <item x="126"/>
        <item x="85"/>
        <item x="86"/>
        <item x="219"/>
        <item x="331"/>
        <item x="303"/>
        <item x="87"/>
        <item x="127"/>
        <item x="211"/>
        <item x="19"/>
        <item x="304"/>
        <item x="323"/>
        <item x="332"/>
        <item x="358"/>
        <item x="305"/>
        <item x="351"/>
        <item x="39"/>
        <item x="40"/>
        <item x="21"/>
        <item x="265"/>
        <item x="205"/>
        <item x="285"/>
        <item x="214"/>
        <item x="306"/>
        <item x="343"/>
        <item x="266"/>
        <item x="210"/>
        <item x="41"/>
        <item x="286"/>
        <item x="24"/>
        <item x="224"/>
        <item x="307"/>
        <item x="232"/>
        <item x="88"/>
        <item x="344"/>
        <item x="233"/>
        <item x="324"/>
        <item x="287"/>
        <item x="234"/>
        <item x="354"/>
        <item x="43"/>
        <item x="321"/>
        <item x="228"/>
        <item x="361"/>
        <item x="8"/>
        <item x="235"/>
        <item x="13"/>
        <item x="288"/>
        <item x="220"/>
        <item x="267"/>
        <item x="229"/>
        <item x="268"/>
        <item x="325"/>
        <item x="221"/>
        <item x="308"/>
        <item x="35"/>
        <item x="89"/>
        <item x="345"/>
        <item x="283"/>
        <item x="212"/>
        <item x="269"/>
        <item x="346"/>
        <item x="52"/>
        <item x="244"/>
        <item x="270"/>
        <item x="326"/>
        <item x="226"/>
        <item x="289"/>
        <item x="333"/>
        <item x="215"/>
        <item x="90"/>
        <item x="51"/>
        <item x="236"/>
        <item x="290"/>
        <item x="253"/>
        <item x="254"/>
        <item x="338"/>
        <item x="291"/>
        <item x="56"/>
        <item x="309"/>
        <item x="375"/>
        <item x="53"/>
        <item x="292"/>
        <item x="310"/>
        <item x="271"/>
        <item x="245"/>
        <item x="55"/>
        <item x="272"/>
        <item x="237"/>
        <item x="362"/>
        <item x="293"/>
        <item x="363"/>
        <item x="248"/>
        <item x="255"/>
        <item x="327"/>
        <item x="294"/>
        <item x="246"/>
        <item x="225"/>
        <item x="347"/>
        <item x="295"/>
        <item x="242"/>
        <item x="42"/>
        <item x="249"/>
        <item x="334"/>
        <item x="355"/>
        <item x="273"/>
        <item x="328"/>
        <item x="373"/>
        <item x="353"/>
        <item x="36"/>
        <item x="243"/>
        <item x="222"/>
        <item x="238"/>
        <item x="364"/>
        <item x="11"/>
        <item x="329"/>
        <item x="318"/>
        <item x="190"/>
        <item x="274"/>
        <item x="191"/>
        <item x="296"/>
        <item x="339"/>
        <item x="166"/>
        <item x="230"/>
        <item x="216"/>
        <item x="28"/>
        <item x="297"/>
        <item x="377"/>
        <item x="29"/>
        <item x="192"/>
        <item x="371"/>
        <item x="348"/>
        <item x="298"/>
        <item x="167"/>
        <item x="168"/>
        <item x="37"/>
        <item x="169"/>
        <item x="311"/>
        <item x="170"/>
        <item x="171"/>
        <item x="299"/>
        <item x="275"/>
        <item x="172"/>
        <item x="314"/>
        <item x="315"/>
        <item x="300"/>
        <item x="276"/>
        <item x="277"/>
        <item x="92"/>
        <item x="30"/>
        <item x="93"/>
        <item x="94"/>
        <item x="301"/>
        <item x="316"/>
        <item x="95"/>
        <item x="177"/>
        <item x="96"/>
        <item x="97"/>
        <item x="33"/>
        <item x="98"/>
        <item x="138"/>
        <item x="356"/>
        <item x="2"/>
        <item x="278"/>
        <item x="302"/>
        <item x="365"/>
        <item x="99"/>
        <item x="91"/>
        <item x="139"/>
        <item x="140"/>
        <item x="141"/>
        <item x="142"/>
        <item x="279"/>
        <item x="143"/>
        <item x="144"/>
        <item x="145"/>
        <item x="280"/>
        <item x="330"/>
        <item x="146"/>
        <item x="128"/>
        <item x="284"/>
        <item x="147"/>
        <item x="319"/>
        <item x="148"/>
        <item x="6"/>
        <item x="149"/>
        <item x="150"/>
        <item x="157"/>
        <item x="158"/>
        <item x="159"/>
        <item x="151"/>
        <item x="48"/>
        <item x="152"/>
        <item x="46"/>
        <item x="153"/>
        <item x="154"/>
        <item x="155"/>
        <item x="156"/>
        <item x="178"/>
        <item x="179"/>
        <item x="180"/>
        <item x="0"/>
        <item x="12"/>
        <item x="193"/>
        <item x="194"/>
        <item x="195"/>
        <item x="196"/>
        <item x="129"/>
        <item x="250"/>
        <item x="251"/>
        <item x="100"/>
        <item x="281"/>
        <item x="26"/>
        <item x="3"/>
        <item x="282"/>
        <item x="181"/>
        <item x="366"/>
        <item x="239"/>
        <item x="7"/>
        <item x="130"/>
        <item x="367"/>
        <item x="368"/>
        <item x="197"/>
        <item x="198"/>
        <item x="182"/>
        <item x="199"/>
        <item x="200"/>
        <item x="201"/>
        <item m="1" x="378"/>
        <item x="202"/>
        <item x="101"/>
        <item x="23"/>
        <item x="203"/>
        <item x="183"/>
        <item x="184"/>
        <item x="186"/>
        <item x="185"/>
        <item x="187"/>
        <item x="188"/>
        <item x="204"/>
        <item x="160"/>
        <item x="252"/>
        <item x="44"/>
        <item x="102"/>
        <item x="103"/>
        <item x="104"/>
        <item x="161"/>
        <item x="162"/>
        <item x="45"/>
        <item x="173"/>
        <item x="376"/>
        <item x="105"/>
        <item x="320"/>
        <item x="369"/>
        <item x="370"/>
        <item x="240"/>
        <item x="374"/>
        <item x="54"/>
        <item x="241"/>
        <item x="50"/>
        <item x="106"/>
        <item x="107"/>
        <item x="108"/>
        <item x="317"/>
        <item x="110"/>
        <item x="20"/>
        <item x="372"/>
        <item x="109"/>
        <item x="111"/>
        <item x="112"/>
        <item x="131"/>
        <item x="132"/>
        <item x="133"/>
        <item x="335"/>
        <item x="113"/>
        <item x="114"/>
        <item x="115"/>
        <item x="336"/>
        <item x="31"/>
        <item x="116"/>
        <item x="117"/>
        <item x="38"/>
        <item x="337"/>
        <item x="134"/>
        <item x="47"/>
        <item x="163"/>
        <item x="49"/>
        <item x="135"/>
        <item x="227"/>
        <item x="1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29">
        <item m="1" x="15"/>
        <item m="1" x="13"/>
        <item m="1" x="14"/>
        <item x="6"/>
        <item x="7"/>
        <item x="5"/>
        <item x="1"/>
        <item x="2"/>
        <item x="0"/>
        <item x="8"/>
        <item x="9"/>
        <item x="10"/>
        <item x="11"/>
        <item x="4"/>
        <item x="3"/>
        <item m="1" x="16"/>
        <item m="1" x="26"/>
        <item m="1" x="22"/>
        <item m="1" x="17"/>
        <item m="1" x="21"/>
        <item m="1" x="23"/>
        <item m="1" x="18"/>
        <item m="1" x="19"/>
        <item m="1" x="20"/>
        <item m="1" x="24"/>
        <item m="1" x="25"/>
        <item m="1" x="27"/>
        <item x="12"/>
        <item t="default"/>
      </items>
    </pivotField>
    <pivotField compact="0" outline="0" showAll="0">
      <items count="9">
        <item h="1" m="1" x="7"/>
        <item h="1" x="4"/>
        <item h="1" x="2"/>
        <item x="1"/>
        <item x="0"/>
        <item x="3"/>
        <item h="1" x="5"/>
        <item h="1" x="6"/>
        <item t="default"/>
      </items>
    </pivotField>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name="Months " axis="axisCol" compact="0" outline="0" showAll="0" defaultSubtotal="0">
      <items count="14">
        <item sd="0" x="0"/>
        <item sd="0" x="1"/>
        <item sd="0" x="2"/>
        <item sd="0" x="3"/>
        <item sd="0" x="4"/>
        <item sd="0" x="5"/>
        <item sd="0" x="6"/>
        <item sd="0" x="7"/>
        <item sd="0" x="8"/>
        <item sd="0" x="9"/>
        <item sd="0" x="10"/>
        <item sd="0" x="11"/>
        <item sd="0" x="12"/>
        <item sd="0" x="13"/>
      </items>
    </pivotField>
    <pivotField axis="axisPage" compact="0" outline="0" showAll="0" defaultSubtotal="0">
      <items count="6">
        <item sd="0" x="0"/>
        <item sd="0" x="1"/>
        <item sd="0" x="2"/>
        <item sd="0" x="3"/>
        <item sd="0" x="4"/>
        <item x="5"/>
      </items>
    </pivotField>
    <pivotField name="Years" axis="axisCol" compact="0" outline="0" showAll="0">
      <items count="9">
        <item h="1" sd="0" x="0"/>
        <item h="1" sd="0" x="1"/>
        <item h="1" sd="0" x="2"/>
        <item sd="0" x="3"/>
        <item x="4"/>
        <item x="5"/>
        <item h="1" x="6"/>
        <item h="1" x="7"/>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5">
        <item x="0"/>
        <item x="1"/>
        <item x="2"/>
        <item x="3"/>
        <item t="default"/>
      </items>
    </pivotField>
  </pivotFields>
  <rowFields count="3">
    <field x="0"/>
    <field x="14"/>
    <field x="4"/>
  </rowFields>
  <rowItems count="9">
    <i>
      <x v="1"/>
    </i>
    <i>
      <x v="2"/>
    </i>
    <i>
      <x v="3"/>
    </i>
    <i>
      <x v="5"/>
    </i>
    <i>
      <x v="8"/>
    </i>
    <i>
      <x v="11"/>
    </i>
    <i>
      <x v="12"/>
    </i>
    <i>
      <x v="16"/>
    </i>
    <i t="grand">
      <x/>
    </i>
  </rowItems>
  <colFields count="4">
    <field x="46"/>
    <field x="44"/>
    <field x="10"/>
    <field x="-2"/>
  </colFields>
  <colItems count="44">
    <i>
      <x v="3"/>
      <x v="1048832"/>
      <x v="1048832"/>
      <x/>
    </i>
    <i r="3" i="1">
      <x v="1"/>
    </i>
    <i>
      <x v="4"/>
      <x v="3"/>
      <x v="1048832"/>
      <x/>
    </i>
    <i r="3" i="1">
      <x v="1"/>
    </i>
    <i r="1">
      <x v="7"/>
      <x v="1048832"/>
      <x/>
    </i>
    <i r="3" i="1">
      <x v="1"/>
    </i>
    <i r="1">
      <x v="9"/>
      <x v="1048832"/>
      <x/>
    </i>
    <i r="3" i="1">
      <x v="1"/>
    </i>
    <i r="1">
      <x v="10"/>
      <x v="1048832"/>
      <x/>
    </i>
    <i r="3" i="1">
      <x v="1"/>
    </i>
    <i r="1">
      <x v="11"/>
      <x v="1048832"/>
      <x/>
    </i>
    <i r="3" i="1">
      <x v="1"/>
    </i>
    <i r="1">
      <x v="12"/>
      <x v="1048832"/>
      <x/>
    </i>
    <i r="3" i="1">
      <x v="1"/>
    </i>
    <i t="default">
      <x v="4"/>
    </i>
    <i t="default" i="1">
      <x v="4"/>
    </i>
    <i>
      <x v="5"/>
      <x v="1"/>
      <x v="1048832"/>
      <x/>
    </i>
    <i r="3" i="1">
      <x v="1"/>
    </i>
    <i r="1">
      <x v="2"/>
      <x v="1048832"/>
      <x/>
    </i>
    <i r="3" i="1">
      <x v="1"/>
    </i>
    <i r="1">
      <x v="3"/>
      <x v="1048832"/>
      <x/>
    </i>
    <i r="3" i="1">
      <x v="1"/>
    </i>
    <i r="1">
      <x v="4"/>
      <x v="1048832"/>
      <x/>
    </i>
    <i r="3" i="1">
      <x v="1"/>
    </i>
    <i r="1">
      <x v="5"/>
      <x v="1048832"/>
      <x/>
    </i>
    <i r="3" i="1">
      <x v="1"/>
    </i>
    <i r="1">
      <x v="6"/>
      <x v="1048832"/>
      <x/>
    </i>
    <i r="3" i="1">
      <x v="1"/>
    </i>
    <i r="1">
      <x v="7"/>
      <x v="1048832"/>
      <x/>
    </i>
    <i r="3" i="1">
      <x v="1"/>
    </i>
    <i r="1">
      <x v="8"/>
      <x v="1048832"/>
      <x/>
    </i>
    <i r="3" i="1">
      <x v="1"/>
    </i>
    <i r="1">
      <x v="9"/>
      <x v="1048832"/>
      <x/>
    </i>
    <i r="3" i="1">
      <x v="1"/>
    </i>
    <i r="1">
      <x v="10"/>
      <x v="1048832"/>
      <x/>
    </i>
    <i r="3" i="1">
      <x v="1"/>
    </i>
    <i r="1">
      <x v="11"/>
      <x v="1048832"/>
      <x/>
    </i>
    <i r="3" i="1">
      <x v="1"/>
    </i>
    <i r="1">
      <x v="12"/>
      <x v="1048832"/>
      <x/>
    </i>
    <i r="3" i="1">
      <x v="1"/>
    </i>
    <i t="default">
      <x v="5"/>
    </i>
    <i t="default" i="1">
      <x v="5"/>
    </i>
    <i t="grand">
      <x/>
    </i>
    <i t="grand" i="1">
      <x/>
    </i>
  </colItems>
  <pageFields count="3">
    <pageField fld="1" hier="-1"/>
    <pageField fld="26" item="0" hier="-1"/>
    <pageField fld="45" hier="-1"/>
  </pageFields>
  <dataFields count="2">
    <dataField name="Quantity " fld="8" baseField="0" baseItem="0"/>
    <dataField name=" Price/Order " fld="9" baseField="4" baseItem="143" numFmtId="166"/>
  </dataFields>
  <formats count="19">
    <format dxfId="61">
      <pivotArea dataOnly="0" labelOnly="1" outline="0" fieldPosition="0">
        <references count="3">
          <reference field="0" count="0" selected="0"/>
          <reference field="4" count="1">
            <x v="219"/>
          </reference>
          <reference field="14" count="1" selected="0">
            <x v="67"/>
          </reference>
        </references>
      </pivotArea>
    </format>
    <format dxfId="60">
      <pivotArea dataOnly="0" labelOnly="1" outline="0" fieldPosition="0">
        <references count="3">
          <reference field="0" count="0" selected="0"/>
          <reference field="4" count="1">
            <x v="220"/>
          </reference>
          <reference field="14" count="1" selected="0">
            <x v="68"/>
          </reference>
        </references>
      </pivotArea>
    </format>
    <format dxfId="59">
      <pivotArea dataOnly="0" labelOnly="1" outline="0" fieldPosition="0">
        <references count="3">
          <reference field="0" count="0" selected="0"/>
          <reference field="4" count="1">
            <x v="231"/>
          </reference>
          <reference field="14" count="1" selected="0">
            <x v="77"/>
          </reference>
        </references>
      </pivotArea>
    </format>
    <format dxfId="58">
      <pivotArea dataOnly="0" labelOnly="1" outline="0" fieldPosition="0">
        <references count="3">
          <reference field="0" count="0" selected="0"/>
          <reference field="4" count="1">
            <x v="230"/>
          </reference>
          <reference field="14" count="1" selected="0">
            <x v="74"/>
          </reference>
        </references>
      </pivotArea>
    </format>
    <format dxfId="57">
      <pivotArea outline="0" fieldPosition="0">
        <references count="7">
          <reference field="4294967294" count="1" selected="0">
            <x v="1"/>
          </reference>
          <reference field="0" count="0" selected="0"/>
          <reference field="4" count="1" selected="0">
            <x v="216"/>
          </reference>
          <reference field="10" count="1" selected="0">
            <x v="1048832"/>
          </reference>
          <reference field="14" count="1" selected="0">
            <x v="62"/>
          </reference>
          <reference field="44" count="1" selected="0">
            <x v="9"/>
          </reference>
          <reference field="46" count="1" selected="0">
            <x v="4"/>
          </reference>
        </references>
      </pivotArea>
    </format>
    <format dxfId="56">
      <pivotArea outline="0" fieldPosition="0">
        <references count="7">
          <reference field="4294967294" count="1" selected="0">
            <x v="1"/>
          </reference>
          <reference field="0" count="0" selected="0"/>
          <reference field="4" count="1" selected="0">
            <x v="218"/>
          </reference>
          <reference field="10" count="1" selected="0">
            <x v="1048832"/>
          </reference>
          <reference field="14" count="1" selected="0">
            <x v="64"/>
          </reference>
          <reference field="44" count="1" selected="0">
            <x v="9"/>
          </reference>
          <reference field="46" count="1" selected="0">
            <x v="4"/>
          </reference>
        </references>
      </pivotArea>
    </format>
    <format dxfId="55">
      <pivotArea outline="0" fieldPosition="0">
        <references count="7">
          <reference field="4294967294" count="1" selected="0">
            <x v="1"/>
          </reference>
          <reference field="0" count="0" selected="0"/>
          <reference field="4" count="1" selected="0">
            <x v="217"/>
          </reference>
          <reference field="10" count="1" selected="0">
            <x v="1048832"/>
          </reference>
          <reference field="14" count="1" selected="0">
            <x v="63"/>
          </reference>
          <reference field="44" count="1" selected="0">
            <x v="9"/>
          </reference>
          <reference field="46" count="1" selected="0">
            <x v="4"/>
          </reference>
        </references>
      </pivotArea>
    </format>
    <format dxfId="54">
      <pivotArea outline="0" fieldPosition="0">
        <references count="7">
          <reference field="4294967294" count="1" selected="0">
            <x v="1"/>
          </reference>
          <reference field="0" count="0" selected="0"/>
          <reference field="4" count="1" selected="0">
            <x v="221"/>
          </reference>
          <reference field="10" count="1" selected="0">
            <x v="1048832"/>
          </reference>
          <reference field="14" count="1" selected="0">
            <x v="73"/>
          </reference>
          <reference field="44" count="1" selected="0">
            <x v="9"/>
          </reference>
          <reference field="46" count="1" selected="0">
            <x v="4"/>
          </reference>
        </references>
      </pivotArea>
    </format>
    <format dxfId="53">
      <pivotArea outline="0" fieldPosition="0">
        <references count="7">
          <reference field="4294967294" count="1" selected="0">
            <x v="1"/>
          </reference>
          <reference field="0" count="0" selected="0"/>
          <reference field="4" count="1" selected="0">
            <x v="221"/>
          </reference>
          <reference field="10" count="1" selected="0">
            <x v="1048832"/>
          </reference>
          <reference field="14" count="1" selected="0">
            <x v="73"/>
          </reference>
          <reference field="44" count="1" selected="0">
            <x v="1048832"/>
          </reference>
          <reference field="46" count="1" selected="0">
            <x v="5"/>
          </reference>
        </references>
      </pivotArea>
    </format>
    <format dxfId="52">
      <pivotArea outline="0" fieldPosition="0">
        <references count="7">
          <reference field="4294967294" count="1" selected="0">
            <x v="1"/>
          </reference>
          <reference field="0" count="0" selected="0"/>
          <reference field="4" count="1" selected="0">
            <x v="223"/>
          </reference>
          <reference field="10" count="1" selected="0">
            <x v="1048832"/>
          </reference>
          <reference field="14" count="1" selected="0">
            <x v="70"/>
          </reference>
          <reference field="44" count="1" selected="0">
            <x v="9"/>
          </reference>
          <reference field="46" count="1" selected="0">
            <x v="4"/>
          </reference>
        </references>
      </pivotArea>
    </format>
    <format dxfId="51">
      <pivotArea outline="0" fieldPosition="0">
        <references count="7">
          <reference field="4294967294" count="1" selected="0">
            <x v="1"/>
          </reference>
          <reference field="0" count="0" selected="0"/>
          <reference field="4" count="1" selected="0">
            <x v="223"/>
          </reference>
          <reference field="10" count="1" selected="0">
            <x v="1048832"/>
          </reference>
          <reference field="14" count="1" selected="0">
            <x v="70"/>
          </reference>
          <reference field="44" count="1" selected="0">
            <x v="12"/>
          </reference>
          <reference field="46" count="1" selected="0">
            <x v="4"/>
          </reference>
        </references>
      </pivotArea>
    </format>
    <format dxfId="50">
      <pivotArea outline="0" fieldPosition="0">
        <references count="7">
          <reference field="4294967294" count="1" selected="0">
            <x v="1"/>
          </reference>
          <reference field="0" count="0" selected="0"/>
          <reference field="4" count="1" selected="0">
            <x v="222"/>
          </reference>
          <reference field="10" count="1" selected="0">
            <x v="1048832"/>
          </reference>
          <reference field="14" count="1" selected="0">
            <x v="69"/>
          </reference>
          <reference field="44" count="1" selected="0">
            <x v="9"/>
          </reference>
          <reference field="46" count="1" selected="0">
            <x v="4"/>
          </reference>
        </references>
      </pivotArea>
    </format>
    <format dxfId="49">
      <pivotArea outline="0" fieldPosition="0">
        <references count="7">
          <reference field="4294967294" count="1" selected="0">
            <x v="1"/>
          </reference>
          <reference field="0" count="0" selected="0"/>
          <reference field="4" count="1" selected="0">
            <x v="222"/>
          </reference>
          <reference field="10" count="1" selected="0">
            <x v="1048832"/>
          </reference>
          <reference field="14" count="1" selected="0">
            <x v="69"/>
          </reference>
          <reference field="44" count="1" selected="0">
            <x v="12"/>
          </reference>
          <reference field="46" count="1" selected="0">
            <x v="4"/>
          </reference>
        </references>
      </pivotArea>
    </format>
    <format dxfId="48">
      <pivotArea outline="0" fieldPosition="0">
        <references count="7">
          <reference field="4294967294" count="1" selected="0">
            <x v="1"/>
          </reference>
          <reference field="0" count="0" selected="0"/>
          <reference field="4" count="1" selected="0">
            <x v="224"/>
          </reference>
          <reference field="10" count="1" selected="0">
            <x v="1048832"/>
          </reference>
          <reference field="14" count="1" selected="0">
            <x v="71"/>
          </reference>
          <reference field="44" count="1" selected="0">
            <x v="9"/>
          </reference>
          <reference field="46" count="1" selected="0">
            <x v="4"/>
          </reference>
        </references>
      </pivotArea>
    </format>
    <format dxfId="47">
      <pivotArea outline="0" fieldPosition="0">
        <references count="7">
          <reference field="4294967294" count="1" selected="0">
            <x v="1"/>
          </reference>
          <reference field="0" count="0" selected="0"/>
          <reference field="4" count="1" selected="0">
            <x v="224"/>
          </reference>
          <reference field="10" count="1" selected="0">
            <x v="1048832"/>
          </reference>
          <reference field="14" count="1" selected="0">
            <x v="71"/>
          </reference>
          <reference field="44" count="1" selected="0">
            <x v="12"/>
          </reference>
          <reference field="46" count="1" selected="0">
            <x v="4"/>
          </reference>
        </references>
      </pivotArea>
    </format>
    <format dxfId="46">
      <pivotArea outline="0" fieldPosition="0">
        <references count="7">
          <reference field="4294967294" count="1" selected="0">
            <x v="1"/>
          </reference>
          <reference field="0" count="0" selected="0"/>
          <reference field="4" count="1" selected="0">
            <x v="225"/>
          </reference>
          <reference field="10" count="1" selected="0">
            <x v="1048832"/>
          </reference>
          <reference field="14" count="1" selected="0">
            <x v="72"/>
          </reference>
          <reference field="44" count="1" selected="0">
            <x v="9"/>
          </reference>
          <reference field="46" count="1" selected="0">
            <x v="4"/>
          </reference>
        </references>
      </pivotArea>
    </format>
    <format dxfId="45">
      <pivotArea outline="0" fieldPosition="0">
        <references count="7">
          <reference field="4294967294" count="1" selected="0">
            <x v="1"/>
          </reference>
          <reference field="0" count="0" selected="0"/>
          <reference field="4" count="1" selected="0">
            <x v="225"/>
          </reference>
          <reference field="10" count="1" selected="0">
            <x v="1048832"/>
          </reference>
          <reference field="14" count="1" selected="0">
            <x v="72"/>
          </reference>
          <reference field="44" count="1" selected="0">
            <x v="12"/>
          </reference>
          <reference field="46" count="1" selected="0">
            <x v="4"/>
          </reference>
        </references>
      </pivotArea>
    </format>
    <format dxfId="44">
      <pivotArea outline="0" fieldPosition="0">
        <references count="7">
          <reference field="4294967294" count="1" selected="0">
            <x v="1"/>
          </reference>
          <reference field="0" count="0" selected="0"/>
          <reference field="4" count="1" selected="0">
            <x v="217"/>
          </reference>
          <reference field="10" count="1" selected="0">
            <x v="1048832"/>
          </reference>
          <reference field="14" count="1" selected="0">
            <x v="63"/>
          </reference>
          <reference field="44" count="1" selected="0">
            <x v="9"/>
          </reference>
          <reference field="46" count="1" selected="0">
            <x v="4"/>
          </reference>
        </references>
      </pivotArea>
    </format>
    <format dxfId="43">
      <pivotArea outline="0" fieldPosition="0">
        <references count="7">
          <reference field="4294967294" count="1" selected="0">
            <x v="1"/>
          </reference>
          <reference field="0" count="0" selected="0"/>
          <reference field="4" count="1" selected="0">
            <x v="234"/>
          </reference>
          <reference field="10" count="1" selected="0">
            <x v="1048832"/>
          </reference>
          <reference field="14" count="1" selected="0">
            <x v="80"/>
          </reference>
          <reference field="44" count="1" selected="0">
            <x v="9"/>
          </reference>
          <reference field="46"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E38BDC-14EE-4484-9485-E9CD168ADACF}" name="PivotTable3" cacheId="3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B13:H26" firstHeaderRow="1" firstDataRow="5" firstDataCol="3" rowPageCount="3" colPageCount="1"/>
  <pivotFields count="50">
    <pivotField axis="axisCol" compact="0" outline="0" showAll="0">
      <items count="18">
        <item h="1" sd="0" m="1" x="16"/>
        <item h="1" sd="0" x="11"/>
        <item h="1" sd="0" x="3"/>
        <item h="1" sd="0" x="12"/>
        <item h="1" sd="0" x="2"/>
        <item h="1" sd="0" x="8"/>
        <item h="1" sd="0" x="4"/>
        <item h="1" sd="0" x="7"/>
        <item h="1" sd="0" x="5"/>
        <item h="1" sd="0" x="13"/>
        <item h="1" sd="0" m="1" x="15"/>
        <item sd="0" x="9"/>
        <item h="1" sd="0" x="0"/>
        <item h="1" sd="0" x="1"/>
        <item h="1" sd="0" x="6"/>
        <item h="1" sd="0" x="14"/>
        <item h="1" x="10"/>
        <item t="default" sd="0"/>
      </items>
    </pivotField>
    <pivotField axis="axisPage" compact="0" outline="0" showAll="0">
      <items count="6">
        <item x="2"/>
        <item x="0"/>
        <item x="1"/>
        <item x="3"/>
        <item m="1" x="4"/>
        <item t="default"/>
      </items>
    </pivotField>
    <pivotField axis="axisCol" compact="0" outline="0" showAll="0" defaultSubtotal="0">
      <items count="547">
        <item x="30"/>
        <item x="32"/>
        <item x="37"/>
        <item x="139"/>
        <item x="542"/>
        <item x="543"/>
        <item x="161"/>
        <item x="406"/>
        <item x="442"/>
        <item x="470"/>
        <item x="504"/>
        <item x="529"/>
        <item x="375"/>
        <item x="154"/>
        <item x="151"/>
        <item x="142"/>
        <item x="148"/>
        <item x="145"/>
        <item x="237"/>
        <item x="236"/>
        <item x="131"/>
        <item x="407"/>
        <item x="175"/>
        <item x="108"/>
        <item x="176"/>
        <item x="164"/>
        <item x="186"/>
        <item x="126"/>
        <item x="113"/>
        <item x="234"/>
        <item x="233"/>
        <item x="152"/>
        <item x="146"/>
        <item x="140"/>
        <item x="149"/>
        <item x="41"/>
        <item x="443"/>
        <item x="444"/>
        <item x="471"/>
        <item x="472"/>
        <item x="473"/>
        <item x="474"/>
        <item x="475"/>
        <item x="476"/>
        <item x="477"/>
        <item x="478"/>
        <item x="204"/>
        <item x="408"/>
        <item x="409"/>
        <item x="410"/>
        <item x="411"/>
        <item x="413"/>
        <item x="412"/>
        <item x="414"/>
        <item x="351"/>
        <item x="352"/>
        <item x="354"/>
        <item x="353"/>
        <item x="344"/>
        <item x="200"/>
        <item x="346"/>
        <item x="87"/>
        <item x="95"/>
        <item x="96"/>
        <item x="157"/>
        <item x="42"/>
        <item x="143"/>
        <item x="104"/>
        <item x="114"/>
        <item x="445"/>
        <item x="446"/>
        <item x="447"/>
        <item x="448"/>
        <item x="450"/>
        <item x="451"/>
        <item x="452"/>
        <item x="479"/>
        <item x="480"/>
        <item x="481"/>
        <item x="482"/>
        <item x="483"/>
        <item x="484"/>
        <item x="485"/>
        <item x="486"/>
        <item x="377"/>
        <item x="378"/>
        <item x="379"/>
        <item x="380"/>
        <item x="381"/>
        <item x="382"/>
        <item x="383"/>
        <item x="384"/>
        <item x="415"/>
        <item x="416"/>
        <item x="417"/>
        <item x="418"/>
        <item x="419"/>
        <item x="420"/>
        <item x="421"/>
        <item x="422"/>
        <item x="355"/>
        <item x="356"/>
        <item x="357"/>
        <item x="358"/>
        <item x="359"/>
        <item x="505"/>
        <item x="506"/>
        <item x="507"/>
        <item x="508"/>
        <item x="509"/>
        <item x="510"/>
        <item x="511"/>
        <item x="43"/>
        <item x="44"/>
        <item x="449"/>
        <item x="106"/>
        <item x="239"/>
        <item x="249"/>
        <item x="118"/>
        <item x="539"/>
        <item x="132"/>
        <item x="122"/>
        <item x="535"/>
        <item x="82"/>
        <item x="250"/>
        <item x="349"/>
        <item x="205"/>
        <item x="206"/>
        <item x="487"/>
        <item x="488"/>
        <item x="489"/>
        <item x="490"/>
        <item x="385"/>
        <item x="386"/>
        <item x="387"/>
        <item x="388"/>
        <item x="423"/>
        <item x="424"/>
        <item x="512"/>
        <item x="513"/>
        <item x="514"/>
        <item x="515"/>
        <item x="207"/>
        <item x="208"/>
        <item x="209"/>
        <item x="210"/>
        <item x="425"/>
        <item x="426"/>
        <item x="45"/>
        <item x="46"/>
        <item x="109"/>
        <item x="347"/>
        <item x="158"/>
        <item x="134"/>
        <item x="115"/>
        <item x="252"/>
        <item x="251"/>
        <item x="119"/>
        <item x="177"/>
        <item x="165"/>
        <item x="187"/>
        <item x="453"/>
        <item x="454"/>
        <item x="455"/>
        <item x="491"/>
        <item x="492"/>
        <item x="493"/>
        <item x="516"/>
        <item x="517"/>
        <item x="518"/>
        <item x="389"/>
        <item x="390"/>
        <item x="391"/>
        <item x="392"/>
        <item x="393"/>
        <item x="211"/>
        <item x="212"/>
        <item x="427"/>
        <item x="428"/>
        <item x="429"/>
        <item x="430"/>
        <item x="431"/>
        <item x="47"/>
        <item x="48"/>
        <item x="49"/>
        <item x="133"/>
        <item x="153"/>
        <item x="159"/>
        <item x="350"/>
        <item x="188"/>
        <item x="166"/>
        <item x="178"/>
        <item x="120"/>
        <item x="144"/>
        <item x="147"/>
        <item x="141"/>
        <item x="150"/>
        <item x="394"/>
        <item x="395"/>
        <item x="456"/>
        <item x="457"/>
        <item x="458"/>
        <item x="459"/>
        <item x="494"/>
        <item x="495"/>
        <item x="50"/>
        <item x="51"/>
        <item x="160"/>
        <item x="240"/>
        <item x="243"/>
        <item x="241"/>
        <item x="242"/>
        <item x="536"/>
        <item x="238"/>
        <item x="127"/>
        <item x="360"/>
        <item x="361"/>
        <item x="362"/>
        <item x="363"/>
        <item x="110"/>
        <item x="189"/>
        <item x="167"/>
        <item x="179"/>
        <item x="348"/>
        <item x="135"/>
        <item x="163"/>
        <item x="185"/>
        <item x="116"/>
        <item x="121"/>
        <item x="345"/>
        <item x="52"/>
        <item m="1" x="544"/>
        <item x="365"/>
        <item x="220"/>
        <item x="396"/>
        <item x="432"/>
        <item x="519"/>
        <item x="364"/>
        <item x="213"/>
        <item x="190"/>
        <item x="180"/>
        <item x="366"/>
        <item x="367"/>
        <item x="368"/>
        <item x="369"/>
        <item x="370"/>
        <item x="397"/>
        <item x="398"/>
        <item x="399"/>
        <item x="400"/>
        <item x="433"/>
        <item x="434"/>
        <item x="435"/>
        <item x="436"/>
        <item x="460"/>
        <item x="461"/>
        <item x="462"/>
        <item x="463"/>
        <item x="464"/>
        <item x="496"/>
        <item x="497"/>
        <item x="498"/>
        <item x="520"/>
        <item x="521"/>
        <item x="522"/>
        <item x="214"/>
        <item x="215"/>
        <item x="216"/>
        <item x="217"/>
        <item x="218"/>
        <item x="530"/>
        <item x="540"/>
        <item x="168"/>
        <item x="537"/>
        <item x="136"/>
        <item x="169"/>
        <item x="191"/>
        <item x="181"/>
        <item x="123"/>
        <item x="371"/>
        <item x="401"/>
        <item x="437"/>
        <item x="465"/>
        <item x="499"/>
        <item x="523"/>
        <item x="53"/>
        <item x="128"/>
        <item x="155"/>
        <item x="156"/>
        <item x="201"/>
        <item x="63"/>
        <item x="67"/>
        <item x="219"/>
        <item x="170"/>
        <item x="235"/>
        <item x="402"/>
        <item x="438"/>
        <item x="466"/>
        <item x="500"/>
        <item x="524"/>
        <item x="221"/>
        <item x="202"/>
        <item x="171"/>
        <item x="182"/>
        <item x="192"/>
        <item x="372"/>
        <item x="403"/>
        <item x="439"/>
        <item x="467"/>
        <item x="501"/>
        <item x="525"/>
        <item x="222"/>
        <item x="468"/>
        <item x="526"/>
        <item x="223"/>
        <item x="183"/>
        <item x="172"/>
        <item x="193"/>
        <item x="373"/>
        <item x="404"/>
        <item x="440"/>
        <item x="469"/>
        <item x="502"/>
        <item x="527"/>
        <item x="129"/>
        <item x="224"/>
        <item x="137"/>
        <item x="173"/>
        <item x="117"/>
        <item x="257"/>
        <item x="253"/>
        <item x="97"/>
        <item x="258"/>
        <item x="254"/>
        <item x="76"/>
        <item x="83"/>
        <item x="38"/>
        <item x="374"/>
        <item x="405"/>
        <item x="441"/>
        <item x="503"/>
        <item x="528"/>
        <item x="225"/>
        <item x="98"/>
        <item x="203"/>
        <item x="138"/>
        <item x="124"/>
        <item x="260"/>
        <item x="541"/>
        <item x="538"/>
        <item x="259"/>
        <item x="261"/>
        <item x="54"/>
        <item x="105"/>
        <item x="107"/>
        <item x="55"/>
        <item x="88"/>
        <item x="74"/>
        <item x="184"/>
        <item x="226"/>
        <item x="56"/>
        <item x="57"/>
        <item x="75"/>
        <item x="227"/>
        <item x="84"/>
        <item x="125"/>
        <item x="78"/>
        <item x="162"/>
        <item x="194"/>
        <item x="77"/>
        <item x="89"/>
        <item x="262"/>
        <item x="195"/>
        <item x="228"/>
        <item x="99"/>
        <item x="39"/>
        <item x="64"/>
        <item x="196"/>
        <item x="58"/>
        <item x="197"/>
        <item x="90"/>
        <item x="263"/>
        <item x="40"/>
        <item x="59"/>
        <item x="229"/>
        <item x="100"/>
        <item x="101"/>
        <item x="265"/>
        <item x="198"/>
        <item x="92"/>
        <item x="102"/>
        <item x="79"/>
        <item x="91"/>
        <item x="199"/>
        <item x="85"/>
        <item x="266"/>
        <item x="86"/>
        <item x="130"/>
        <item x="376"/>
        <item x="230"/>
        <item x="255"/>
        <item x="267"/>
        <item x="256"/>
        <item x="25"/>
        <item x="27"/>
        <item x="26"/>
        <item x="12"/>
        <item x="7"/>
        <item x="11"/>
        <item x="10"/>
        <item x="14"/>
        <item x="331"/>
        <item x="13"/>
        <item x="20"/>
        <item x="21"/>
        <item x="22"/>
        <item x="3"/>
        <item x="269"/>
        <item x="297"/>
        <item x="293"/>
        <item x="8"/>
        <item x="298"/>
        <item x="294"/>
        <item x="308"/>
        <item x="302"/>
        <item x="303"/>
        <item x="309"/>
        <item x="304"/>
        <item x="337"/>
        <item x="338"/>
        <item x="310"/>
        <item x="268"/>
        <item x="306"/>
        <item x="307"/>
        <item x="316"/>
        <item m="1" x="546"/>
        <item x="311"/>
        <item x="305"/>
        <item x="313"/>
        <item x="312"/>
        <item x="314"/>
        <item x="295"/>
        <item x="324"/>
        <item x="296"/>
        <item x="315"/>
        <item x="340"/>
        <item x="339"/>
        <item x="341"/>
        <item x="291"/>
        <item x="342"/>
        <item x="317"/>
        <item x="318"/>
        <item x="1"/>
        <item x="290"/>
        <item x="289"/>
        <item x="272"/>
        <item x="19"/>
        <item x="16"/>
        <item x="6"/>
        <item x="5"/>
        <item x="4"/>
        <item x="9"/>
        <item x="336"/>
        <item x="320"/>
        <item x="288"/>
        <item x="292"/>
        <item x="328"/>
        <item x="271"/>
        <item x="273"/>
        <item x="274"/>
        <item x="275"/>
        <item x="276"/>
        <item x="277"/>
        <item x="278"/>
        <item x="279"/>
        <item x="280"/>
        <item x="281"/>
        <item x="282"/>
        <item x="283"/>
        <item x="284"/>
        <item x="285"/>
        <item x="286"/>
        <item x="287"/>
        <item x="321"/>
        <item x="322"/>
        <item x="323"/>
        <item x="325"/>
        <item x="326"/>
        <item x="327"/>
        <item x="332"/>
        <item x="333"/>
        <item x="335"/>
        <item x="301"/>
        <item x="330"/>
        <item x="329"/>
        <item x="300"/>
        <item x="270"/>
        <item x="299"/>
        <item x="18"/>
        <item x="17"/>
        <item x="15"/>
        <item x="29"/>
        <item m="1" x="545"/>
        <item x="0"/>
        <item x="36"/>
        <item x="70"/>
        <item x="2"/>
        <item x="71"/>
        <item x="68"/>
        <item x="69"/>
        <item x="264"/>
        <item x="31"/>
        <item x="35"/>
        <item x="34"/>
        <item x="174"/>
        <item x="531"/>
        <item x="533"/>
        <item x="532"/>
        <item x="72"/>
        <item x="73"/>
        <item x="534"/>
        <item x="23"/>
        <item x="24"/>
        <item x="33"/>
        <item x="80"/>
        <item x="319"/>
        <item x="65"/>
        <item x="60"/>
        <item x="61"/>
        <item x="62"/>
        <item x="93"/>
        <item x="94"/>
        <item x="28"/>
        <item x="66"/>
        <item x="103"/>
        <item x="112"/>
        <item x="111"/>
        <item x="231"/>
        <item x="232"/>
        <item x="244"/>
        <item x="245"/>
        <item x="246"/>
        <item x="247"/>
        <item x="81"/>
        <item x="343"/>
        <item x="334"/>
        <item x="248"/>
      </items>
    </pivotField>
    <pivotField compact="0" outline="0" showAll="0"/>
    <pivotField axis="axisCol" compact="0" outline="0" showAll="0">
      <items count="24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62"/>
        <item x="63"/>
        <item x="64"/>
        <item x="65"/>
        <item x="77"/>
        <item x="79"/>
        <item x="80"/>
        <item x="81"/>
        <item x="82"/>
        <item x="87"/>
        <item x="97"/>
        <item x="98"/>
        <item x="99"/>
        <item x="100"/>
        <item x="101"/>
        <item x="102"/>
        <item x="103"/>
        <item x="104"/>
        <item x="105"/>
        <item x="106"/>
        <item x="107"/>
        <item x="108"/>
        <item x="109"/>
        <item x="110"/>
        <item x="116"/>
        <item x="119"/>
        <item x="120"/>
        <item x="121"/>
        <item x="122"/>
        <item x="123"/>
        <item x="127"/>
        <item x="128"/>
        <item x="129"/>
        <item x="130"/>
        <item x="131"/>
        <item x="132"/>
        <item x="133"/>
        <item x="134"/>
        <item x="135"/>
        <item x="136"/>
        <item x="137"/>
        <item x="138"/>
        <item x="139"/>
        <item x="140"/>
        <item x="141"/>
        <item x="142"/>
        <item x="143"/>
        <item x="145"/>
        <item x="146"/>
        <item x="147"/>
        <item x="149"/>
        <item x="150"/>
        <item x="151"/>
        <item x="152"/>
        <item x="153"/>
        <item x="154"/>
        <item x="155"/>
        <item x="156"/>
        <item x="157"/>
        <item x="158"/>
        <item x="159"/>
        <item x="160"/>
        <item x="161"/>
        <item x="162"/>
        <item x="163"/>
        <item x="164"/>
        <item x="165"/>
        <item x="166"/>
        <item x="167"/>
        <item x="168"/>
        <item x="169"/>
        <item x="170"/>
        <item x="171"/>
        <item x="172"/>
        <item x="173"/>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5"/>
        <item x="226"/>
        <item x="227"/>
        <item x="228"/>
        <item x="229"/>
        <item x="230"/>
        <item x="231"/>
        <item x="232"/>
        <item x="233"/>
        <item x="234"/>
        <item x="235"/>
        <item x="236"/>
        <item x="237"/>
        <item x="238"/>
        <item x="239"/>
        <item x="240"/>
        <item x="241"/>
        <item x="242"/>
        <item x="243"/>
        <item x="244"/>
        <item x="245"/>
        <item x="246"/>
        <item x="111"/>
        <item x="224"/>
        <item x="148"/>
        <item x="59"/>
        <item x="0"/>
        <item x="144"/>
        <item x="78"/>
        <item x="83"/>
        <item x="84"/>
        <item x="85"/>
        <item x="86"/>
        <item x="88"/>
        <item x="90"/>
        <item x="91"/>
        <item x="89"/>
        <item x="66"/>
        <item x="67"/>
        <item x="68"/>
        <item x="69"/>
        <item x="70"/>
        <item x="71"/>
        <item x="72"/>
        <item x="118"/>
        <item x="115"/>
        <item x="112"/>
        <item x="117"/>
        <item x="73"/>
        <item x="76"/>
        <item x="93"/>
        <item x="94"/>
        <item x="96"/>
        <item x="95"/>
        <item x="92"/>
        <item x="113"/>
        <item x="114"/>
        <item x="126"/>
        <item x="124"/>
        <item x="125"/>
        <item x="174"/>
        <item x="60"/>
        <item x="61"/>
        <item x="74"/>
        <item x="75"/>
        <item t="default"/>
      </items>
    </pivotField>
    <pivotField compact="0" outline="0" showAll="0"/>
    <pivotField compact="0" outline="0" showAll="0"/>
    <pivotField compact="0" outline="0" showAll="0"/>
    <pivotField dataField="1" compact="0" outline="0" showAll="0"/>
    <pivotField compact="0" outline="0" showAll="0"/>
    <pivotField name="ETA " axis="axisRow" compact="0" outline="0" showAll="0">
      <items count="603">
        <item x="73"/>
        <item x="48"/>
        <item x="449"/>
        <item x="71"/>
        <item x="72"/>
        <item x="74"/>
        <item x="93"/>
        <item x="7"/>
        <item x="6"/>
        <item m="1" x="572"/>
        <item m="1" x="584"/>
        <item x="384"/>
        <item x="315"/>
        <item x="402"/>
        <item x="385"/>
        <item x="50"/>
        <item x="333"/>
        <item x="417"/>
        <item x="432"/>
        <item x="403"/>
        <item x="187"/>
        <item x="51"/>
        <item x="52"/>
        <item x="53"/>
        <item x="169"/>
        <item x="34"/>
        <item x="35"/>
        <item x="36"/>
        <item x="139"/>
        <item x="479"/>
        <item x="94"/>
        <item x="123"/>
        <item x="480"/>
        <item x="174"/>
        <item x="136"/>
        <item x="236"/>
        <item x="1"/>
        <item x="481"/>
        <item x="234"/>
        <item x="162"/>
        <item x="365"/>
        <item x="482"/>
        <item x="483"/>
        <item x="140"/>
        <item x="8"/>
        <item x="124"/>
        <item x="450"/>
        <item x="2"/>
        <item x="310"/>
        <item x="366"/>
        <item x="95"/>
        <item x="207"/>
        <item x="96"/>
        <item x="273"/>
        <item x="426"/>
        <item x="404"/>
        <item x="493"/>
        <item x="452"/>
        <item x="3"/>
        <item x="453"/>
        <item x="367"/>
        <item m="1" x="575"/>
        <item x="97"/>
        <item x="4"/>
        <item x="237"/>
        <item x="152"/>
        <item x="373"/>
        <item x="238"/>
        <item x="454"/>
        <item x="198"/>
        <item x="167"/>
        <item x="98"/>
        <item x="182"/>
        <item x="433"/>
        <item x="99"/>
        <item x="170"/>
        <item x="239"/>
        <item x="405"/>
        <item x="100"/>
        <item x="211"/>
        <item x="226"/>
        <item x="279"/>
        <item x="240"/>
        <item x="180"/>
        <item x="175"/>
        <item x="241"/>
        <item x="189"/>
        <item x="101"/>
        <item x="349"/>
        <item x="427"/>
        <item x="125"/>
        <item x="102"/>
        <item x="199"/>
        <item x="464"/>
        <item x="465"/>
        <item x="466"/>
        <item x="489"/>
        <item x="188"/>
        <item x="350"/>
        <item x="351"/>
        <item x="414"/>
        <item x="415"/>
        <item x="289"/>
        <item m="1" x="551"/>
        <item x="103"/>
        <item x="467"/>
        <item x="212"/>
        <item x="137"/>
        <item x="181"/>
        <item x="104"/>
        <item x="401"/>
        <item x="369"/>
        <item x="406"/>
        <item x="451"/>
        <item x="213"/>
        <item x="105"/>
        <item x="429"/>
        <item x="185"/>
        <item x="275"/>
        <item x="171"/>
        <item x="219"/>
        <item x="190"/>
        <item x="370"/>
        <item x="227"/>
        <item x="455"/>
        <item x="22"/>
        <item x="82"/>
        <item x="242"/>
        <item x="176"/>
        <item x="290"/>
        <item x="49"/>
        <item x="60"/>
        <item x="243"/>
        <item x="291"/>
        <item x="343"/>
        <item x="407"/>
        <item x="106"/>
        <item x="126"/>
        <item x="218"/>
        <item x="316"/>
        <item x="244"/>
        <item x="416"/>
        <item x="434"/>
        <item x="228"/>
        <item x="224"/>
        <item x="435"/>
        <item x="75"/>
        <item x="484"/>
        <item x="456"/>
        <item x="107"/>
        <item x="334"/>
        <item x="436"/>
        <item x="208"/>
        <item x="352"/>
        <item x="108"/>
        <item x="220"/>
        <item x="418"/>
        <item m="1" x="583"/>
        <item m="1" x="552"/>
        <item x="245"/>
        <item x="292"/>
        <item x="214"/>
        <item x="37"/>
        <item x="311"/>
        <item x="191"/>
        <item x="246"/>
        <item x="221"/>
        <item x="445"/>
        <item x="386"/>
        <item x="317"/>
        <item x="23"/>
        <item x="183"/>
        <item x="293"/>
        <item x="192"/>
        <item x="318"/>
        <item x="109"/>
        <item x="133"/>
        <item x="127"/>
        <item x="210"/>
        <item m="1" x="571"/>
        <item x="408"/>
        <item x="247"/>
        <item x="387"/>
        <item x="319"/>
        <item x="235"/>
        <item x="359"/>
        <item x="272"/>
        <item x="248"/>
        <item x="177"/>
        <item x="485"/>
        <item x="294"/>
        <item x="360"/>
        <item x="249"/>
        <item x="486"/>
        <item x="295"/>
        <item x="353"/>
        <item x="468"/>
        <item x="200"/>
        <item x="110"/>
        <item m="1" x="589"/>
        <item x="38"/>
        <item x="250"/>
        <item x="374"/>
        <item x="346"/>
        <item m="1" x="590"/>
        <item x="178"/>
        <item m="1" x="591"/>
        <item x="229"/>
        <item x="193"/>
        <item x="441"/>
        <item m="1" x="592"/>
        <item x="68"/>
        <item x="368"/>
        <item x="251"/>
        <item x="381"/>
        <item x="320"/>
        <item x="252"/>
        <item x="76"/>
        <item m="1" x="585"/>
        <item x="253"/>
        <item m="1" x="586"/>
        <item x="321"/>
        <item x="194"/>
        <item m="1" x="587"/>
        <item x="347"/>
        <item x="457"/>
        <item x="222"/>
        <item x="69"/>
        <item m="1" x="501"/>
        <item x="56"/>
        <item x="225"/>
        <item x="322"/>
        <item x="281"/>
        <item x="335"/>
        <item x="195"/>
        <item x="179"/>
        <item x="144"/>
        <item x="163"/>
        <item x="323"/>
        <item x="336"/>
        <item x="164"/>
        <item x="196"/>
        <item x="145"/>
        <item x="254"/>
        <item m="1" x="557"/>
        <item x="296"/>
        <item x="419"/>
        <item x="39"/>
        <item x="255"/>
        <item x="197"/>
        <item x="297"/>
        <item x="184"/>
        <item m="1" x="576"/>
        <item x="492"/>
        <item x="256"/>
        <item x="90"/>
        <item x="388"/>
        <item m="1" x="588"/>
        <item x="9"/>
        <item x="337"/>
        <item x="284"/>
        <item x="324"/>
        <item x="344"/>
        <item x="111"/>
        <item m="1" x="570"/>
        <item x="112"/>
        <item x="371"/>
        <item x="458"/>
        <item x="442"/>
        <item x="128"/>
        <item x="186"/>
        <item x="389"/>
        <item x="141"/>
        <item x="142"/>
        <item m="1" x="560"/>
        <item x="157"/>
        <item x="158"/>
        <item x="5"/>
        <item x="325"/>
        <item x="430"/>
        <item x="446"/>
        <item x="54"/>
        <item x="257"/>
        <item x="129"/>
        <item x="382"/>
        <item x="143"/>
        <item x="113"/>
        <item x="326"/>
        <item x="10"/>
        <item x="55"/>
        <item x="114"/>
        <item m="1" x="550"/>
        <item x="258"/>
        <item x="78"/>
        <item m="1" x="555"/>
        <item x="259"/>
        <item x="424"/>
        <item x="327"/>
        <item x="338"/>
        <item x="70"/>
        <item x="168"/>
        <item m="1" x="545"/>
        <item m="1" x="541"/>
        <item x="345"/>
        <item m="1" x="548"/>
        <item x="260"/>
        <item x="354"/>
        <item x="153"/>
        <item x="298"/>
        <item x="459"/>
        <item m="1" x="559"/>
        <item x="263"/>
        <item m="1" x="573"/>
        <item x="230"/>
        <item x="0"/>
        <item x="134"/>
        <item x="115"/>
        <item m="1" x="549"/>
        <item x="390"/>
        <item x="201"/>
        <item x="425"/>
        <item x="159"/>
        <item x="77"/>
        <item x="202"/>
        <item x="231"/>
        <item x="116"/>
        <item x="491"/>
        <item x="299"/>
        <item x="447"/>
        <item x="340"/>
        <item x="376"/>
        <item x="361"/>
        <item x="341"/>
        <item x="420"/>
        <item x="118"/>
        <item x="264"/>
        <item m="1" x="517"/>
        <item x="469"/>
        <item x="362"/>
        <item x="286"/>
        <item x="232"/>
        <item x="148"/>
        <item x="461"/>
        <item x="92"/>
        <item m="1" x="535"/>
        <item x="391"/>
        <item x="470"/>
        <item x="233"/>
        <item x="462"/>
        <item x="471"/>
        <item x="342"/>
        <item x="428"/>
        <item x="203"/>
        <item x="217"/>
        <item x="89"/>
        <item x="487"/>
        <item x="463"/>
        <item x="328"/>
        <item x="473"/>
        <item x="355"/>
        <item x="364"/>
        <item x="283"/>
        <item x="119"/>
        <item x="267"/>
        <item x="204"/>
        <item x="488"/>
        <item x="130"/>
        <item x="135"/>
        <item x="409"/>
        <item x="160"/>
        <item m="1" x="515"/>
        <item x="287"/>
        <item x="161"/>
        <item x="79"/>
        <item x="392"/>
        <item m="1" x="534"/>
        <item x="437"/>
        <item x="120"/>
        <item x="151"/>
        <item m="1" x="553"/>
        <item x="205"/>
        <item x="25"/>
        <item m="1" x="527"/>
        <item x="172"/>
        <item x="173"/>
        <item x="477"/>
        <item x="300"/>
        <item x="312"/>
        <item x="156"/>
        <item m="1" x="531"/>
        <item m="1" x="563"/>
        <item x="83"/>
        <item m="1" x="528"/>
        <item x="393"/>
        <item x="26"/>
        <item x="410"/>
        <item x="11"/>
        <item x="150"/>
        <item m="1" x="502"/>
        <item x="85"/>
        <item x="206"/>
        <item x="379"/>
        <item x="394"/>
        <item m="1" x="581"/>
        <item x="444"/>
        <item x="302"/>
        <item x="12"/>
        <item m="1" x="579"/>
        <item m="1" x="546"/>
        <item m="1" x="500"/>
        <item m="1" x="593"/>
        <item m="1" x="564"/>
        <item x="438"/>
        <item m="1" x="578"/>
        <item x="395"/>
        <item m="1" x="524"/>
        <item m="1" x="574"/>
        <item x="13"/>
        <item x="411"/>
        <item m="1" x="594"/>
        <item x="27"/>
        <item m="1" x="568"/>
        <item x="396"/>
        <item x="209"/>
        <item m="1" x="567"/>
        <item m="1" x="539"/>
        <item x="44"/>
        <item m="1" x="565"/>
        <item m="1" x="566"/>
        <item m="1" x="509"/>
        <item m="1" x="543"/>
        <item x="277"/>
        <item x="383"/>
        <item x="397"/>
        <item m="1" x="538"/>
        <item x="29"/>
        <item x="314"/>
        <item x="304"/>
        <item m="1" x="595"/>
        <item m="1" x="562"/>
        <item m="1" x="547"/>
        <item m="1" x="577"/>
        <item x="398"/>
        <item m="1" x="540"/>
        <item x="16"/>
        <item m="1" x="558"/>
        <item m="1" x="561"/>
        <item m="1" x="554"/>
        <item m="1" x="596"/>
        <item m="1" x="544"/>
        <item m="1" x="582"/>
        <item x="412"/>
        <item m="1" x="532"/>
        <item m="1" x="597"/>
        <item x="399"/>
        <item x="18"/>
        <item x="422"/>
        <item m="1" x="598"/>
        <item m="1" x="580"/>
        <item m="1" x="537"/>
        <item m="1" x="569"/>
        <item m="1" x="599"/>
        <item x="400"/>
        <item x="423"/>
        <item x="306"/>
        <item m="1" x="600"/>
        <item x="21"/>
        <item m="1" x="533"/>
        <item m="1" x="601"/>
        <item x="494"/>
        <item x="117"/>
        <item x="121"/>
        <item x="271"/>
        <item x="270"/>
        <item x="460"/>
        <item x="165"/>
        <item x="474"/>
        <item x="356"/>
        <item x="122"/>
        <item x="262"/>
        <item x="472"/>
        <item x="475"/>
        <item x="132"/>
        <item x="476"/>
        <item x="478"/>
        <item x="216"/>
        <item x="80"/>
        <item x="329"/>
        <item x="378"/>
        <item m="1" x="536"/>
        <item m="1" x="516"/>
        <item x="24"/>
        <item x="282"/>
        <item x="86"/>
        <item x="490"/>
        <item x="41"/>
        <item m="1" x="503"/>
        <item x="269"/>
        <item x="265"/>
        <item x="443"/>
        <item x="40"/>
        <item x="146"/>
        <item x="215"/>
        <item x="278"/>
        <item m="1" x="556"/>
        <item x="266"/>
        <item m="1" x="505"/>
        <item x="348"/>
        <item m="1" x="526"/>
        <item x="15"/>
        <item x="413"/>
        <item x="147"/>
        <item x="154"/>
        <item x="223"/>
        <item x="91"/>
        <item x="261"/>
        <item m="1" x="522"/>
        <item x="363"/>
        <item x="372"/>
        <item x="375"/>
        <item m="1" x="520"/>
        <item x="377"/>
        <item m="1" x="521"/>
        <item x="84"/>
        <item m="1" x="518"/>
        <item x="303"/>
        <item x="58"/>
        <item x="19"/>
        <item m="1" x="542"/>
        <item x="439"/>
        <item x="421"/>
        <item x="307"/>
        <item m="1" x="525"/>
        <item m="1" x="519"/>
        <item x="339"/>
        <item m="1" x="529"/>
        <item x="28"/>
        <item x="30"/>
        <item x="31"/>
        <item x="32"/>
        <item x="33"/>
        <item x="43"/>
        <item m="1" x="508"/>
        <item m="1" x="511"/>
        <item x="14"/>
        <item x="17"/>
        <item x="20"/>
        <item m="1" x="513"/>
        <item x="301"/>
        <item m="1" x="512"/>
        <item m="1" x="506"/>
        <item m="1" x="507"/>
        <item x="62"/>
        <item m="1" x="510"/>
        <item x="285"/>
        <item x="155"/>
        <item x="81"/>
        <item x="87"/>
        <item x="166"/>
        <item x="149"/>
        <item m="1" x="514"/>
        <item m="1" x="530"/>
        <item m="1" x="498"/>
        <item x="63"/>
        <item m="1" x="499"/>
        <item m="1" x="523"/>
        <item m="1" x="497"/>
        <item x="138"/>
        <item x="88"/>
        <item x="274"/>
        <item m="1" x="496"/>
        <item m="1" x="495"/>
        <item x="330"/>
        <item x="331"/>
        <item x="357"/>
        <item x="358"/>
        <item x="380"/>
        <item x="431"/>
        <item x="440"/>
        <item x="42"/>
        <item x="448"/>
        <item x="131"/>
        <item m="1" x="504"/>
        <item x="45"/>
        <item x="46"/>
        <item x="47"/>
        <item x="61"/>
        <item x="57"/>
        <item x="66"/>
        <item x="64"/>
        <item x="65"/>
        <item x="288"/>
        <item x="59"/>
        <item x="67"/>
        <item x="280"/>
        <item x="268"/>
        <item x="276"/>
        <item x="305"/>
        <item x="308"/>
        <item x="309"/>
        <item x="313"/>
        <item x="332"/>
        <item t="default"/>
      </items>
    </pivotField>
    <pivotField compact="0" outline="0" showAll="0"/>
    <pivotField compact="0" outline="0" showAll="0"/>
    <pivotField compact="0" outline="0" showAll="0"/>
    <pivotField axis="axisCol" compact="0" outline="0" showAll="0">
      <items count="84">
        <item x="1"/>
        <item m="1" x="81"/>
        <item x="40"/>
        <item x="30"/>
        <item x="53"/>
        <item sd="0" x="51"/>
        <item sd="0" x="58"/>
        <item sd="0" x="60"/>
        <item x="41"/>
        <item sd="0" x="63"/>
        <item x="75"/>
        <item x="21"/>
        <item x="46"/>
        <item x="78"/>
        <item x="55"/>
        <item sd="0" x="62"/>
        <item x="70"/>
        <item x="71"/>
        <item x="72"/>
        <item x="73"/>
        <item x="74"/>
        <item x="69"/>
        <item x="76"/>
        <item x="54"/>
        <item sd="0" x="65"/>
        <item x="50"/>
        <item sd="0" x="61"/>
        <item sd="0" x="64"/>
        <item sd="0" x="59"/>
        <item x="23"/>
        <item x="48"/>
        <item x="47"/>
        <item x="80"/>
        <item x="68"/>
        <item sd="0" x="57"/>
        <item x="24"/>
        <item x="26"/>
        <item x="25"/>
        <item x="79"/>
        <item x="3"/>
        <item x="56"/>
        <item x="6"/>
        <item x="49"/>
        <item x="43"/>
        <item x="45"/>
        <item sd="0" x="0"/>
        <item sd="0" x="44"/>
        <item x="42"/>
        <item x="5"/>
        <item x="4"/>
        <item x="66"/>
        <item x="67"/>
        <item x="77"/>
        <item x="9"/>
        <item x="52"/>
        <item x="2"/>
        <item m="1" x="82"/>
        <item x="22"/>
        <item x="27"/>
        <item x="28"/>
        <item x="29"/>
        <item x="31"/>
        <item x="33"/>
        <item x="34"/>
        <item x="32"/>
        <item x="7"/>
        <item x="8"/>
        <item x="10"/>
        <item x="11"/>
        <item x="13"/>
        <item x="14"/>
        <item x="15"/>
        <item x="16"/>
        <item x="12"/>
        <item x="17"/>
        <item x="18"/>
        <item x="19"/>
        <item x="20"/>
        <item x="36"/>
        <item x="37"/>
        <item x="39"/>
        <item x="38"/>
        <item x="3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5">
        <item x="1"/>
        <item x="0"/>
        <item x="2"/>
        <item m="1" x="3"/>
        <item t="default"/>
      </items>
    </pivotField>
    <pivotField compact="0" outline="0" showAll="0">
      <items count="380">
        <item x="349"/>
        <item x="350"/>
        <item x="207"/>
        <item x="137"/>
        <item x="217"/>
        <item x="57"/>
        <item x="119"/>
        <item x="256"/>
        <item x="322"/>
        <item x="4"/>
        <item x="5"/>
        <item x="206"/>
        <item x="58"/>
        <item x="223"/>
        <item x="208"/>
        <item x="15"/>
        <item x="1"/>
        <item x="359"/>
        <item x="174"/>
        <item x="175"/>
        <item x="14"/>
        <item x="189"/>
        <item x="16"/>
        <item x="340"/>
        <item x="59"/>
        <item x="312"/>
        <item x="60"/>
        <item x="120"/>
        <item x="357"/>
        <item x="22"/>
        <item x="313"/>
        <item x="209"/>
        <item x="136"/>
        <item x="360"/>
        <item x="62"/>
        <item x="213"/>
        <item x="257"/>
        <item x="164"/>
        <item x="165"/>
        <item x="17"/>
        <item x="176"/>
        <item x="34"/>
        <item x="341"/>
        <item x="258"/>
        <item x="63"/>
        <item x="259"/>
        <item x="218"/>
        <item x="260"/>
        <item x="352"/>
        <item x="342"/>
        <item x="261"/>
        <item x="121"/>
        <item x="122"/>
        <item x="64"/>
        <item x="65"/>
        <item x="66"/>
        <item x="25"/>
        <item x="67"/>
        <item x="68"/>
        <item x="69"/>
        <item x="70"/>
        <item x="27"/>
        <item x="71"/>
        <item x="72"/>
        <item x="73"/>
        <item x="9"/>
        <item x="32"/>
        <item x="262"/>
        <item x="247"/>
        <item x="263"/>
        <item x="264"/>
        <item x="231"/>
        <item x="74"/>
        <item x="75"/>
        <item x="76"/>
        <item x="61"/>
        <item x="77"/>
        <item x="78"/>
        <item x="18"/>
        <item x="79"/>
        <item x="80"/>
        <item x="81"/>
        <item x="82"/>
        <item x="83"/>
        <item x="10"/>
        <item x="123"/>
        <item x="124"/>
        <item x="125"/>
        <item x="84"/>
        <item x="126"/>
        <item x="85"/>
        <item x="86"/>
        <item x="219"/>
        <item x="331"/>
        <item x="303"/>
        <item x="87"/>
        <item x="127"/>
        <item x="211"/>
        <item x="19"/>
        <item x="304"/>
        <item x="323"/>
        <item x="332"/>
        <item x="358"/>
        <item x="305"/>
        <item x="351"/>
        <item x="39"/>
        <item x="40"/>
        <item x="21"/>
        <item x="265"/>
        <item x="205"/>
        <item x="285"/>
        <item x="214"/>
        <item x="306"/>
        <item x="343"/>
        <item x="266"/>
        <item x="210"/>
        <item x="41"/>
        <item x="286"/>
        <item x="24"/>
        <item x="224"/>
        <item x="307"/>
        <item x="232"/>
        <item x="88"/>
        <item x="344"/>
        <item x="233"/>
        <item x="324"/>
        <item x="287"/>
        <item x="234"/>
        <item x="354"/>
        <item x="43"/>
        <item x="321"/>
        <item x="228"/>
        <item x="361"/>
        <item x="8"/>
        <item x="235"/>
        <item x="13"/>
        <item x="288"/>
        <item x="220"/>
        <item x="267"/>
        <item x="229"/>
        <item x="268"/>
        <item x="325"/>
        <item x="221"/>
        <item x="308"/>
        <item x="35"/>
        <item x="89"/>
        <item x="345"/>
        <item x="283"/>
        <item x="212"/>
        <item x="269"/>
        <item x="346"/>
        <item x="52"/>
        <item x="244"/>
        <item x="270"/>
        <item x="326"/>
        <item x="226"/>
        <item x="289"/>
        <item x="333"/>
        <item x="215"/>
        <item x="90"/>
        <item x="51"/>
        <item x="236"/>
        <item x="290"/>
        <item x="253"/>
        <item x="254"/>
        <item x="338"/>
        <item x="291"/>
        <item x="56"/>
        <item x="309"/>
        <item x="375"/>
        <item x="53"/>
        <item x="292"/>
        <item x="310"/>
        <item x="271"/>
        <item x="245"/>
        <item x="55"/>
        <item x="272"/>
        <item x="237"/>
        <item x="362"/>
        <item x="293"/>
        <item x="363"/>
        <item x="248"/>
        <item x="255"/>
        <item x="327"/>
        <item x="294"/>
        <item x="246"/>
        <item x="225"/>
        <item x="347"/>
        <item x="295"/>
        <item x="242"/>
        <item x="42"/>
        <item x="249"/>
        <item x="334"/>
        <item x="355"/>
        <item x="273"/>
        <item x="328"/>
        <item x="373"/>
        <item x="353"/>
        <item x="36"/>
        <item x="243"/>
        <item x="222"/>
        <item x="238"/>
        <item x="364"/>
        <item x="11"/>
        <item x="329"/>
        <item x="318"/>
        <item x="190"/>
        <item x="274"/>
        <item x="191"/>
        <item x="296"/>
        <item x="339"/>
        <item x="166"/>
        <item x="230"/>
        <item x="216"/>
        <item x="28"/>
        <item x="297"/>
        <item x="377"/>
        <item x="29"/>
        <item x="192"/>
        <item x="371"/>
        <item x="348"/>
        <item x="298"/>
        <item x="167"/>
        <item x="168"/>
        <item x="37"/>
        <item x="169"/>
        <item x="311"/>
        <item x="170"/>
        <item x="171"/>
        <item x="299"/>
        <item x="275"/>
        <item x="172"/>
        <item x="314"/>
        <item x="315"/>
        <item x="300"/>
        <item x="276"/>
        <item x="277"/>
        <item x="92"/>
        <item x="30"/>
        <item x="93"/>
        <item x="94"/>
        <item x="301"/>
        <item x="316"/>
        <item x="95"/>
        <item x="177"/>
        <item x="96"/>
        <item x="97"/>
        <item x="33"/>
        <item x="98"/>
        <item x="138"/>
        <item x="356"/>
        <item x="2"/>
        <item x="278"/>
        <item x="302"/>
        <item x="365"/>
        <item x="99"/>
        <item x="91"/>
        <item x="139"/>
        <item x="140"/>
        <item x="141"/>
        <item x="142"/>
        <item x="279"/>
        <item x="143"/>
        <item x="144"/>
        <item x="145"/>
        <item x="280"/>
        <item x="330"/>
        <item x="146"/>
        <item x="128"/>
        <item x="284"/>
        <item x="147"/>
        <item x="319"/>
        <item x="148"/>
        <item x="6"/>
        <item x="149"/>
        <item x="150"/>
        <item x="157"/>
        <item x="158"/>
        <item x="159"/>
        <item x="151"/>
        <item x="48"/>
        <item x="152"/>
        <item x="46"/>
        <item x="153"/>
        <item x="154"/>
        <item x="155"/>
        <item x="156"/>
        <item x="178"/>
        <item x="179"/>
        <item x="180"/>
        <item x="0"/>
        <item x="12"/>
        <item x="193"/>
        <item x="194"/>
        <item x="195"/>
        <item x="196"/>
        <item x="129"/>
        <item x="250"/>
        <item x="251"/>
        <item x="100"/>
        <item x="281"/>
        <item x="26"/>
        <item x="3"/>
        <item x="282"/>
        <item x="181"/>
        <item x="366"/>
        <item x="239"/>
        <item x="7"/>
        <item x="130"/>
        <item x="367"/>
        <item x="368"/>
        <item x="197"/>
        <item x="198"/>
        <item x="182"/>
        <item x="199"/>
        <item x="200"/>
        <item x="201"/>
        <item m="1" x="378"/>
        <item x="202"/>
        <item x="101"/>
        <item x="23"/>
        <item x="203"/>
        <item x="183"/>
        <item x="184"/>
        <item x="186"/>
        <item x="185"/>
        <item x="187"/>
        <item x="188"/>
        <item x="204"/>
        <item x="160"/>
        <item x="252"/>
        <item x="44"/>
        <item x="102"/>
        <item x="103"/>
        <item x="104"/>
        <item x="161"/>
        <item x="162"/>
        <item x="45"/>
        <item x="173"/>
        <item x="376"/>
        <item x="105"/>
        <item x="320"/>
        <item x="369"/>
        <item x="370"/>
        <item x="240"/>
        <item x="374"/>
        <item x="54"/>
        <item x="241"/>
        <item x="50"/>
        <item x="106"/>
        <item x="107"/>
        <item x="108"/>
        <item x="317"/>
        <item x="110"/>
        <item x="20"/>
        <item x="372"/>
        <item x="109"/>
        <item x="111"/>
        <item x="112"/>
        <item x="131"/>
        <item x="132"/>
        <item x="133"/>
        <item x="335"/>
        <item x="113"/>
        <item x="114"/>
        <item x="115"/>
        <item x="336"/>
        <item x="31"/>
        <item x="116"/>
        <item x="117"/>
        <item x="38"/>
        <item x="337"/>
        <item x="134"/>
        <item x="47"/>
        <item x="163"/>
        <item x="49"/>
        <item x="135"/>
        <item x="227"/>
        <item x="1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name="Months " axis="axisRow" compact="0" outline="0" showAll="0" defaultSubtotal="0">
      <items count="14">
        <item sd="0" x="0"/>
        <item sd="0" x="1"/>
        <item sd="0" x="2"/>
        <item sd="0" x="3"/>
        <item sd="0" x="4"/>
        <item sd="0" x="5"/>
        <item sd="0" x="6"/>
        <item sd="0" x="7"/>
        <item sd="0" x="8"/>
        <item sd="0" x="9"/>
        <item sd="0" x="10"/>
        <item sd="0" x="11"/>
        <item sd="0" x="12"/>
        <item sd="0" x="13"/>
      </items>
    </pivotField>
    <pivotField axis="axisPage" compact="0" outline="0" showAll="0" defaultSubtotal="0">
      <items count="6">
        <item sd="0" x="0"/>
        <item sd="0" x="1"/>
        <item sd="0" x="2"/>
        <item sd="0" x="3"/>
        <item sd="0" x="4"/>
        <item x="5"/>
      </items>
    </pivotField>
    <pivotField name="Years )" axis="axisRow" compact="0" outline="0" showAll="0">
      <items count="9">
        <item h="1" sd="0" x="0"/>
        <item h="1" sd="0" x="1"/>
        <item h="1" sd="0" x="2"/>
        <item x="3"/>
        <item x="4"/>
        <item h="1" sd="0" x="5"/>
        <item h="1" x="6"/>
        <item h="1" x="7"/>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5">
        <item x="0"/>
        <item x="1"/>
        <item x="2"/>
        <item x="3"/>
        <item t="default"/>
      </items>
    </pivotField>
  </pivotFields>
  <rowFields count="3">
    <field x="46"/>
    <field x="44"/>
    <field x="10"/>
  </rowFields>
  <rowItems count="9">
    <i>
      <x v="3"/>
      <x v="5"/>
    </i>
    <i r="1">
      <x v="6"/>
    </i>
    <i r="1">
      <x v="8"/>
    </i>
    <i r="1">
      <x v="10"/>
    </i>
    <i t="default">
      <x v="3"/>
    </i>
    <i>
      <x v="4"/>
      <x v="6"/>
    </i>
    <i r="1">
      <x v="12"/>
    </i>
    <i t="default">
      <x v="4"/>
    </i>
    <i t="grand">
      <x/>
    </i>
  </rowItems>
  <colFields count="4">
    <field x="0"/>
    <field x="2"/>
    <field x="14"/>
    <field x="4"/>
  </colFields>
  <colItems count="2">
    <i>
      <x v="11"/>
    </i>
    <i t="grand">
      <x/>
    </i>
  </colItems>
  <pageFields count="3">
    <pageField fld="1" hier="-1"/>
    <pageField fld="26" hier="-1"/>
    <pageField fld="45" hier="-1"/>
  </pageFields>
  <dataFields count="1">
    <dataField name="Sum of Quantity" fld="8" baseField="0" baseItem="0"/>
  </dataFields>
  <chartFormats count="71">
    <chartFormat chart="0" format="0" series="1">
      <pivotArea type="data" outline="0" fieldPosition="0">
        <references count="3">
          <reference field="4294967294" count="1" selected="0">
            <x v="0"/>
          </reference>
          <reference field="44" count="1" selected="0">
            <x v="1"/>
          </reference>
          <reference field="46" count="1" selected="0">
            <x v="4"/>
          </reference>
        </references>
      </pivotArea>
    </chartFormat>
    <chartFormat chart="0" format="1" series="1">
      <pivotArea type="data" outline="0" fieldPosition="0">
        <references count="3">
          <reference field="4294967294" count="1" selected="0">
            <x v="0"/>
          </reference>
          <reference field="44" count="1" selected="0">
            <x v="2"/>
          </reference>
          <reference field="46" count="1" selected="0">
            <x v="4"/>
          </reference>
        </references>
      </pivotArea>
    </chartFormat>
    <chartFormat chart="0" format="2" series="1">
      <pivotArea type="data" outline="0" fieldPosition="0">
        <references count="3">
          <reference field="4294967294" count="1" selected="0">
            <x v="0"/>
          </reference>
          <reference field="44" count="1" selected="0">
            <x v="3"/>
          </reference>
          <reference field="46" count="1" selected="0">
            <x v="4"/>
          </reference>
        </references>
      </pivotArea>
    </chartFormat>
    <chartFormat chart="0" format="3" series="1">
      <pivotArea type="data" outline="0" fieldPosition="0">
        <references count="3">
          <reference field="4294967294" count="1" selected="0">
            <x v="0"/>
          </reference>
          <reference field="44" count="1" selected="0">
            <x v="4"/>
          </reference>
          <reference field="46" count="1" selected="0">
            <x v="4"/>
          </reference>
        </references>
      </pivotArea>
    </chartFormat>
    <chartFormat chart="0" format="4" series="1">
      <pivotArea type="data" outline="0" fieldPosition="0">
        <references count="3">
          <reference field="4294967294" count="1" selected="0">
            <x v="0"/>
          </reference>
          <reference field="44" count="1" selected="0">
            <x v="5"/>
          </reference>
          <reference field="46" count="1" selected="0">
            <x v="4"/>
          </reference>
        </references>
      </pivotArea>
    </chartFormat>
    <chartFormat chart="0" format="5" series="1">
      <pivotArea type="data" outline="0" fieldPosition="0">
        <references count="3">
          <reference field="4294967294" count="1" selected="0">
            <x v="0"/>
          </reference>
          <reference field="44" count="1" selected="0">
            <x v="6"/>
          </reference>
          <reference field="46" count="1" selected="0">
            <x v="4"/>
          </reference>
        </references>
      </pivotArea>
    </chartFormat>
    <chartFormat chart="0" format="6" series="1">
      <pivotArea type="data" outline="0" fieldPosition="0">
        <references count="3">
          <reference field="4294967294" count="1" selected="0">
            <x v="0"/>
          </reference>
          <reference field="44" count="1" selected="0">
            <x v="7"/>
          </reference>
          <reference field="46" count="1" selected="0">
            <x v="4"/>
          </reference>
        </references>
      </pivotArea>
    </chartFormat>
    <chartFormat chart="0" format="7" series="1">
      <pivotArea type="data" outline="0" fieldPosition="0">
        <references count="3">
          <reference field="4294967294" count="1" selected="0">
            <x v="0"/>
          </reference>
          <reference field="44" count="1" selected="0">
            <x v="8"/>
          </reference>
          <reference field="46" count="1" selected="0">
            <x v="4"/>
          </reference>
        </references>
      </pivotArea>
    </chartFormat>
    <chartFormat chart="0" format="8" series="1">
      <pivotArea type="data" outline="0" fieldPosition="0">
        <references count="3">
          <reference field="4294967294" count="1" selected="0">
            <x v="0"/>
          </reference>
          <reference field="44" count="1" selected="0">
            <x v="9"/>
          </reference>
          <reference field="46" count="1" selected="0">
            <x v="4"/>
          </reference>
        </references>
      </pivotArea>
    </chartFormat>
    <chartFormat chart="0" format="9" series="1">
      <pivotArea type="data" outline="0" fieldPosition="0">
        <references count="3">
          <reference field="4294967294" count="1" selected="0">
            <x v="0"/>
          </reference>
          <reference field="44" count="1" selected="0">
            <x v="10"/>
          </reference>
          <reference field="46" count="1" selected="0">
            <x v="4"/>
          </reference>
        </references>
      </pivotArea>
    </chartFormat>
    <chartFormat chart="0" format="10" series="1">
      <pivotArea type="data" outline="0" fieldPosition="0">
        <references count="3">
          <reference field="4294967294" count="1" selected="0">
            <x v="0"/>
          </reference>
          <reference field="44" count="1" selected="0">
            <x v="11"/>
          </reference>
          <reference field="46" count="1" selected="0">
            <x v="4"/>
          </reference>
        </references>
      </pivotArea>
    </chartFormat>
    <chartFormat chart="0" format="11" series="1">
      <pivotArea type="data" outline="0" fieldPosition="0">
        <references count="3">
          <reference field="4294967294" count="1" selected="0">
            <x v="0"/>
          </reference>
          <reference field="44" count="1" selected="0">
            <x v="12"/>
          </reference>
          <reference field="46" count="1" selected="0">
            <x v="4"/>
          </reference>
        </references>
      </pivotArea>
    </chartFormat>
    <chartFormat chart="0" format="12" series="1">
      <pivotArea type="data" outline="0" fieldPosition="0">
        <references count="2">
          <reference field="4294967294" count="1" selected="0">
            <x v="0"/>
          </reference>
          <reference field="0" count="1" selected="0">
            <x v="1"/>
          </reference>
        </references>
      </pivotArea>
    </chartFormat>
    <chartFormat chart="0" format="13" series="1">
      <pivotArea type="data" outline="0" fieldPosition="0">
        <references count="2">
          <reference field="4294967294" count="1" selected="0">
            <x v="0"/>
          </reference>
          <reference field="0" count="1" selected="0">
            <x v="2"/>
          </reference>
        </references>
      </pivotArea>
    </chartFormat>
    <chartFormat chart="0" format="14" series="1">
      <pivotArea type="data" outline="0" fieldPosition="0">
        <references count="2">
          <reference field="4294967294" count="1" selected="0">
            <x v="0"/>
          </reference>
          <reference field="0" count="1" selected="0">
            <x v="3"/>
          </reference>
        </references>
      </pivotArea>
    </chartFormat>
    <chartFormat chart="0" format="15" series="1">
      <pivotArea type="data" outline="0" fieldPosition="0">
        <references count="2">
          <reference field="4294967294" count="1" selected="0">
            <x v="0"/>
          </reference>
          <reference field="0" count="1" selected="0">
            <x v="5"/>
          </reference>
        </references>
      </pivotArea>
    </chartFormat>
    <chartFormat chart="0" format="16" series="1">
      <pivotArea type="data" outline="0" fieldPosition="0">
        <references count="2">
          <reference field="4294967294" count="1" selected="0">
            <x v="0"/>
          </reference>
          <reference field="0" count="1" selected="0">
            <x v="6"/>
          </reference>
        </references>
      </pivotArea>
    </chartFormat>
    <chartFormat chart="0" format="17" series="1">
      <pivotArea type="data" outline="0" fieldPosition="0">
        <references count="2">
          <reference field="4294967294" count="1" selected="0">
            <x v="0"/>
          </reference>
          <reference field="0" count="1" selected="0">
            <x v="8"/>
          </reference>
        </references>
      </pivotArea>
    </chartFormat>
    <chartFormat chart="0" format="18" series="1">
      <pivotArea type="data" outline="0" fieldPosition="0">
        <references count="2">
          <reference field="4294967294" count="1" selected="0">
            <x v="0"/>
          </reference>
          <reference field="0" count="1" selected="0">
            <x v="9"/>
          </reference>
        </references>
      </pivotArea>
    </chartFormat>
    <chartFormat chart="0" format="19" series="1">
      <pivotArea type="data" outline="0" fieldPosition="0">
        <references count="2">
          <reference field="4294967294" count="1" selected="0">
            <x v="0"/>
          </reference>
          <reference field="0" count="1" selected="0">
            <x v="11"/>
          </reference>
        </references>
      </pivotArea>
    </chartFormat>
    <chartFormat chart="0" format="20" series="1">
      <pivotArea type="data" outline="0" fieldPosition="0">
        <references count="2">
          <reference field="4294967294" count="1" selected="0">
            <x v="0"/>
          </reference>
          <reference field="0" count="1" selected="0">
            <x v="12"/>
          </reference>
        </references>
      </pivotArea>
    </chartFormat>
    <chartFormat chart="0" format="21" series="1">
      <pivotArea type="data" outline="0" fieldPosition="0">
        <references count="2">
          <reference field="4294967294" count="1" selected="0">
            <x v="0"/>
          </reference>
          <reference field="0" count="1" selected="0">
            <x v="13"/>
          </reference>
        </references>
      </pivotArea>
    </chartFormat>
    <chartFormat chart="0" format="22" series="1">
      <pivotArea type="data" outline="0" fieldPosition="0">
        <references count="4">
          <reference field="4294967294" count="1" selected="0">
            <x v="0"/>
          </reference>
          <reference field="0" count="1" selected="0">
            <x v="12"/>
          </reference>
          <reference field="4" count="1" selected="0">
            <x v="90"/>
          </reference>
          <reference field="14" count="1" selected="0">
            <x v="45"/>
          </reference>
        </references>
      </pivotArea>
    </chartFormat>
    <chartFormat chart="0" format="23" series="1">
      <pivotArea type="data" outline="0" fieldPosition="0">
        <references count="4">
          <reference field="4294967294" count="1" selected="0">
            <x v="0"/>
          </reference>
          <reference field="0" count="1" selected="0">
            <x v="12"/>
          </reference>
          <reference field="4" count="1" selected="0">
            <x v="91"/>
          </reference>
          <reference field="14" count="1" selected="0">
            <x v="45"/>
          </reference>
        </references>
      </pivotArea>
    </chartFormat>
    <chartFormat chart="0" format="24" series="1">
      <pivotArea type="data" outline="0" fieldPosition="0">
        <references count="4">
          <reference field="4294967294" count="1" selected="0">
            <x v="0"/>
          </reference>
          <reference field="0" count="1" selected="0">
            <x v="12"/>
          </reference>
          <reference field="4" count="1" selected="0">
            <x v="93"/>
          </reference>
          <reference field="14" count="1" selected="0">
            <x v="45"/>
          </reference>
        </references>
      </pivotArea>
    </chartFormat>
    <chartFormat chart="0" format="25" series="1">
      <pivotArea type="data" outline="0" fieldPosition="0">
        <references count="4">
          <reference field="4294967294" count="1" selected="0">
            <x v="0"/>
          </reference>
          <reference field="0" count="1" selected="0">
            <x v="12"/>
          </reference>
          <reference field="4" count="1" selected="0">
            <x v="94"/>
          </reference>
          <reference field="14" count="1" selected="0">
            <x v="45"/>
          </reference>
        </references>
      </pivotArea>
    </chartFormat>
    <chartFormat chart="0" format="26" series="1">
      <pivotArea type="data" outline="0" fieldPosition="0">
        <references count="4">
          <reference field="4294967294" count="1" selected="0">
            <x v="0"/>
          </reference>
          <reference field="0" count="1" selected="0">
            <x v="12"/>
          </reference>
          <reference field="4" count="1" selected="0">
            <x v="108"/>
          </reference>
          <reference field="14" count="1" selected="0">
            <x v="45"/>
          </reference>
        </references>
      </pivotArea>
    </chartFormat>
    <chartFormat chart="0" format="27" series="1">
      <pivotArea type="data" outline="0" fieldPosition="0">
        <references count="4">
          <reference field="4294967294" count="1" selected="0">
            <x v="0"/>
          </reference>
          <reference field="0" count="1" selected="0">
            <x v="12"/>
          </reference>
          <reference field="4" count="1" selected="0">
            <x v="200"/>
          </reference>
          <reference field="14" count="1" selected="0">
            <x v="45"/>
          </reference>
        </references>
      </pivotArea>
    </chartFormat>
    <chartFormat chart="0" format="28" series="1">
      <pivotArea type="data" outline="0" fieldPosition="0">
        <references count="4">
          <reference field="4294967294" count="1" selected="0">
            <x v="0"/>
          </reference>
          <reference field="0" count="1" selected="0">
            <x v="12"/>
          </reference>
          <reference field="4" count="1" selected="0">
            <x v="201"/>
          </reference>
          <reference field="14" count="1" selected="0">
            <x v="45"/>
          </reference>
        </references>
      </pivotArea>
    </chartFormat>
    <chartFormat chart="0" format="29" series="1">
      <pivotArea type="data" outline="0" fieldPosition="0">
        <references count="4">
          <reference field="4294967294" count="1" selected="0">
            <x v="0"/>
          </reference>
          <reference field="0" count="1" selected="0">
            <x v="12"/>
          </reference>
          <reference field="4" count="1" selected="0">
            <x v="202"/>
          </reference>
          <reference field="14" count="1" selected="0">
            <x v="45"/>
          </reference>
        </references>
      </pivotArea>
    </chartFormat>
    <chartFormat chart="0" format="30" series="1">
      <pivotArea type="data" outline="0" fieldPosition="0">
        <references count="4">
          <reference field="4294967294" count="1" selected="0">
            <x v="0"/>
          </reference>
          <reference field="0" count="1" selected="0">
            <x v="12"/>
          </reference>
          <reference field="4" count="1" selected="0">
            <x v="207"/>
          </reference>
          <reference field="14" count="1" selected="0">
            <x v="45"/>
          </reference>
        </references>
      </pivotArea>
    </chartFormat>
    <chartFormat chart="0" format="31" series="1">
      <pivotArea type="data" outline="0" fieldPosition="0">
        <references count="4">
          <reference field="4294967294" count="1" selected="0">
            <x v="0"/>
          </reference>
          <reference field="0" count="1" selected="0">
            <x v="12"/>
          </reference>
          <reference field="4" count="1" selected="0">
            <x v="208"/>
          </reference>
          <reference field="14" count="1" selected="0">
            <x v="45"/>
          </reference>
        </references>
      </pivotArea>
    </chartFormat>
    <chartFormat chart="0" format="32" series="1">
      <pivotArea type="data" outline="0" fieldPosition="0">
        <references count="4">
          <reference field="4294967294" count="1" selected="0">
            <x v="0"/>
          </reference>
          <reference field="0" count="1" selected="0">
            <x v="12"/>
          </reference>
          <reference field="4" count="1" selected="0">
            <x v="73"/>
          </reference>
          <reference field="14" count="1" selected="0">
            <x v="46"/>
          </reference>
        </references>
      </pivotArea>
    </chartFormat>
    <chartFormat chart="0" format="33" series="1">
      <pivotArea type="data" outline="0" fieldPosition="0">
        <references count="4">
          <reference field="4294967294" count="1" selected="0">
            <x v="0"/>
          </reference>
          <reference field="0" count="1" selected="0">
            <x v="12"/>
          </reference>
          <reference field="4" count="1" selected="0">
            <x v="74"/>
          </reference>
          <reference field="14" count="1" selected="0">
            <x v="46"/>
          </reference>
        </references>
      </pivotArea>
    </chartFormat>
    <chartFormat chart="0" format="34" series="1">
      <pivotArea type="data" outline="0" fieldPosition="0">
        <references count="3">
          <reference field="4294967294" count="1" selected="0">
            <x v="0"/>
          </reference>
          <reference field="0" count="1" selected="0">
            <x v="12"/>
          </reference>
          <reference field="14" count="1" selected="0">
            <x v="24"/>
          </reference>
        </references>
      </pivotArea>
    </chartFormat>
    <chartFormat chart="0" format="35" series="1">
      <pivotArea type="data" outline="0" fieldPosition="0">
        <references count="3">
          <reference field="4294967294" count="1" selected="0">
            <x v="0"/>
          </reference>
          <reference field="0" count="1" selected="0">
            <x v="12"/>
          </reference>
          <reference field="14" count="1" selected="0">
            <x v="26"/>
          </reference>
        </references>
      </pivotArea>
    </chartFormat>
    <chartFormat chart="0" format="36" series="1">
      <pivotArea type="data" outline="0" fieldPosition="0">
        <references count="3">
          <reference field="4294967294" count="1" selected="0">
            <x v="0"/>
          </reference>
          <reference field="0" count="1" selected="0">
            <x v="12"/>
          </reference>
          <reference field="14" count="1" selected="0">
            <x v="45"/>
          </reference>
        </references>
      </pivotArea>
    </chartFormat>
    <chartFormat chart="0" format="37" series="1">
      <pivotArea type="data" outline="0" fieldPosition="0">
        <references count="4">
          <reference field="4294967294" count="1" selected="0">
            <x v="0"/>
          </reference>
          <reference field="0" count="1" selected="0">
            <x v="12"/>
          </reference>
          <reference field="4" count="1" selected="0">
            <x v="72"/>
          </reference>
          <reference field="14" count="1" selected="0">
            <x v="46"/>
          </reference>
        </references>
      </pivotArea>
    </chartFormat>
    <chartFormat chart="0" format="38" series="1">
      <pivotArea type="data" outline="0" fieldPosition="0">
        <references count="3">
          <reference field="4294967294" count="1" selected="0">
            <x v="0"/>
          </reference>
          <reference field="0" count="1" selected="0">
            <x v="12"/>
          </reference>
          <reference field="14" count="1" selected="0">
            <x v="46"/>
          </reference>
        </references>
      </pivotArea>
    </chartFormat>
    <chartFormat chart="0" format="39" series="1">
      <pivotArea type="data" outline="0" fieldPosition="0">
        <references count="3">
          <reference field="4294967294" count="1" selected="0">
            <x v="0"/>
          </reference>
          <reference field="0" count="1" selected="0">
            <x v="12"/>
          </reference>
          <reference field="14" count="1" selected="0">
            <x v="5"/>
          </reference>
        </references>
      </pivotArea>
    </chartFormat>
    <chartFormat chart="0" format="40" series="1">
      <pivotArea type="data" outline="0" fieldPosition="0">
        <references count="3">
          <reference field="4294967294" count="1" selected="0">
            <x v="0"/>
          </reference>
          <reference field="0" count="1" selected="0">
            <x v="12"/>
          </reference>
          <reference field="14" count="1" selected="0">
            <x v="6"/>
          </reference>
        </references>
      </pivotArea>
    </chartFormat>
    <chartFormat chart="0" format="41" series="1">
      <pivotArea type="data" outline="0" fieldPosition="0">
        <references count="3">
          <reference field="4294967294" count="1" selected="0">
            <x v="0"/>
          </reference>
          <reference field="0" count="1" selected="0">
            <x v="12"/>
          </reference>
          <reference field="14" count="1" selected="0">
            <x v="7"/>
          </reference>
        </references>
      </pivotArea>
    </chartFormat>
    <chartFormat chart="0" format="42" series="1">
      <pivotArea type="data" outline="0" fieldPosition="0">
        <references count="5">
          <reference field="4294967294" count="1" selected="0">
            <x v="0"/>
          </reference>
          <reference field="0" count="1" selected="0">
            <x v="1"/>
          </reference>
          <reference field="2" count="1" selected="0">
            <x v="419"/>
          </reference>
          <reference field="4" count="1" selected="0">
            <x v="160"/>
          </reference>
          <reference field="14" count="1" selected="0">
            <x v="50"/>
          </reference>
        </references>
      </pivotArea>
    </chartFormat>
    <chartFormat chart="0" format="43" series="1">
      <pivotArea type="data" outline="0" fieldPosition="0">
        <references count="5">
          <reference field="4294967294" count="1" selected="0">
            <x v="0"/>
          </reference>
          <reference field="0" count="1" selected="0">
            <x v="1"/>
          </reference>
          <reference field="2" count="1" selected="0">
            <x v="422"/>
          </reference>
          <reference field="4" count="1" selected="0">
            <x v="160"/>
          </reference>
          <reference field="14" count="1" selected="0">
            <x v="50"/>
          </reference>
        </references>
      </pivotArea>
    </chartFormat>
    <chartFormat chart="0" format="44" series="1">
      <pivotArea type="data" outline="0" fieldPosition="0">
        <references count="5">
          <reference field="4294967294" count="1" selected="0">
            <x v="0"/>
          </reference>
          <reference field="0" count="1" selected="0">
            <x v="1"/>
          </reference>
          <reference field="2" count="1" selected="0">
            <x v="423"/>
          </reference>
          <reference field="4" count="1" selected="0">
            <x v="166"/>
          </reference>
          <reference field="14" count="1" selected="0">
            <x v="50"/>
          </reference>
        </references>
      </pivotArea>
    </chartFormat>
    <chartFormat chart="0" format="45" series="1">
      <pivotArea type="data" outline="0" fieldPosition="0">
        <references count="5">
          <reference field="4294967294" count="1" selected="0">
            <x v="0"/>
          </reference>
          <reference field="0" count="1" selected="0">
            <x v="1"/>
          </reference>
          <reference field="2" count="1" selected="0">
            <x v="426"/>
          </reference>
          <reference field="4" count="1" selected="0">
            <x v="166"/>
          </reference>
          <reference field="14" count="1" selected="0">
            <x v="50"/>
          </reference>
        </references>
      </pivotArea>
    </chartFormat>
    <chartFormat chart="0" format="46" series="1">
      <pivotArea type="data" outline="0" fieldPosition="0">
        <references count="5">
          <reference field="4294967294" count="1" selected="0">
            <x v="0"/>
          </reference>
          <reference field="0" count="1" selected="0">
            <x v="1"/>
          </reference>
          <reference field="2" count="1" selected="0">
            <x v="430"/>
          </reference>
          <reference field="4" count="1" selected="0">
            <x v="166"/>
          </reference>
          <reference field="14" count="1" selected="0">
            <x v="50"/>
          </reference>
        </references>
      </pivotArea>
    </chartFormat>
    <chartFormat chart="0" format="47" series="1">
      <pivotArea type="data" outline="0" fieldPosition="0">
        <references count="5">
          <reference field="4294967294" count="1" selected="0">
            <x v="0"/>
          </reference>
          <reference field="0" count="1" selected="0">
            <x v="1"/>
          </reference>
          <reference field="2" count="1" selected="0">
            <x v="431"/>
          </reference>
          <reference field="4" count="1" selected="0">
            <x v="137"/>
          </reference>
          <reference field="14" count="1" selected="0">
            <x v="50"/>
          </reference>
        </references>
      </pivotArea>
    </chartFormat>
    <chartFormat chart="0" format="48" series="1">
      <pivotArea type="data" outline="0" fieldPosition="0">
        <references count="5">
          <reference field="4294967294" count="1" selected="0">
            <x v="0"/>
          </reference>
          <reference field="0" count="1" selected="0">
            <x v="1"/>
          </reference>
          <reference field="2" count="1" selected="0">
            <x v="434"/>
          </reference>
          <reference field="4" count="1" selected="0">
            <x v="166"/>
          </reference>
          <reference field="14" count="1" selected="0">
            <x v="50"/>
          </reference>
        </references>
      </pivotArea>
    </chartFormat>
    <chartFormat chart="0" format="49" series="1">
      <pivotArea type="data" outline="0" fieldPosition="0">
        <references count="5">
          <reference field="4294967294" count="1" selected="0">
            <x v="0"/>
          </reference>
          <reference field="0" count="1" selected="0">
            <x v="1"/>
          </reference>
          <reference field="2" count="1" selected="0">
            <x v="436"/>
          </reference>
          <reference field="4" count="1" selected="0">
            <x v="166"/>
          </reference>
          <reference field="14" count="1" selected="0">
            <x v="50"/>
          </reference>
        </references>
      </pivotArea>
    </chartFormat>
    <chartFormat chart="0" format="50" series="1">
      <pivotArea type="data" outline="0" fieldPosition="0">
        <references count="5">
          <reference field="4294967294" count="1" selected="0">
            <x v="0"/>
          </reference>
          <reference field="0" count="1" selected="0">
            <x v="1"/>
          </reference>
          <reference field="2" count="1" selected="0">
            <x v="438"/>
          </reference>
          <reference field="4" count="1" selected="0">
            <x v="166"/>
          </reference>
          <reference field="14" count="1" selected="0">
            <x v="50"/>
          </reference>
        </references>
      </pivotArea>
    </chartFormat>
    <chartFormat chart="0" format="51" series="1">
      <pivotArea type="data" outline="0" fieldPosition="0">
        <references count="5">
          <reference field="4294967294" count="1" selected="0">
            <x v="0"/>
          </reference>
          <reference field="0" count="1" selected="0">
            <x v="1"/>
          </reference>
          <reference field="2" count="1" selected="0">
            <x v="439"/>
          </reference>
          <reference field="4" count="1" selected="0">
            <x v="166"/>
          </reference>
          <reference field="14" count="1" selected="0">
            <x v="50"/>
          </reference>
        </references>
      </pivotArea>
    </chartFormat>
    <chartFormat chart="0" format="52" series="1">
      <pivotArea type="data" outline="0" fieldPosition="0">
        <references count="5">
          <reference field="4294967294" count="1" selected="0">
            <x v="0"/>
          </reference>
          <reference field="0" count="1" selected="0">
            <x v="1"/>
          </reference>
          <reference field="2" count="1" selected="0">
            <x v="440"/>
          </reference>
          <reference field="4" count="1" selected="0">
            <x v="166"/>
          </reference>
          <reference field="14" count="1" selected="0">
            <x v="50"/>
          </reference>
        </references>
      </pivotArea>
    </chartFormat>
    <chartFormat chart="0" format="53" series="1">
      <pivotArea type="data" outline="0" fieldPosition="0">
        <references count="5">
          <reference field="4294967294" count="1" selected="0">
            <x v="0"/>
          </reference>
          <reference field="0" count="1" selected="0">
            <x v="1"/>
          </reference>
          <reference field="2" count="1" selected="0">
            <x v="441"/>
          </reference>
          <reference field="4" count="1" selected="0">
            <x v="160"/>
          </reference>
          <reference field="14" count="1" selected="0">
            <x v="50"/>
          </reference>
        </references>
      </pivotArea>
    </chartFormat>
    <chartFormat chart="0" format="54" series="1">
      <pivotArea type="data" outline="0" fieldPosition="0">
        <references count="5">
          <reference field="4294967294" count="1" selected="0">
            <x v="0"/>
          </reference>
          <reference field="0" count="1" selected="0">
            <x v="1"/>
          </reference>
          <reference field="2" count="1" selected="0">
            <x v="443"/>
          </reference>
          <reference field="4" count="1" selected="0">
            <x v="160"/>
          </reference>
          <reference field="14" count="1" selected="0">
            <x v="50"/>
          </reference>
        </references>
      </pivotArea>
    </chartFormat>
    <chartFormat chart="0" format="55" series="1">
      <pivotArea type="data" outline="0" fieldPosition="0">
        <references count="5">
          <reference field="4294967294" count="1" selected="0">
            <x v="0"/>
          </reference>
          <reference field="0" count="1" selected="0">
            <x v="1"/>
          </reference>
          <reference field="2" count="1" selected="0">
            <x v="444"/>
          </reference>
          <reference field="4" count="1" selected="0">
            <x v="166"/>
          </reference>
          <reference field="14" count="1" selected="0">
            <x v="50"/>
          </reference>
        </references>
      </pivotArea>
    </chartFormat>
    <chartFormat chart="0" format="56" series="1">
      <pivotArea type="data" outline="0" fieldPosition="0">
        <references count="5">
          <reference field="4294967294" count="1" selected="0">
            <x v="0"/>
          </reference>
          <reference field="0" count="1" selected="0">
            <x v="1"/>
          </reference>
          <reference field="2" count="1" selected="0">
            <x v="424"/>
          </reference>
          <reference field="4" count="1" selected="0">
            <x v="165"/>
          </reference>
          <reference field="14" count="1" selected="0">
            <x v="51"/>
          </reference>
        </references>
      </pivotArea>
    </chartFormat>
    <chartFormat chart="0" format="57" series="1">
      <pivotArea type="data" outline="0" fieldPosition="0">
        <references count="5">
          <reference field="4294967294" count="1" selected="0">
            <x v="0"/>
          </reference>
          <reference field="0" count="1" selected="0">
            <x v="1"/>
          </reference>
          <reference field="2" count="1" selected="0">
            <x v="425"/>
          </reference>
          <reference field="4" count="1" selected="0">
            <x v="165"/>
          </reference>
          <reference field="14" count="1" selected="0">
            <x v="51"/>
          </reference>
        </references>
      </pivotArea>
    </chartFormat>
    <chartFormat chart="0" format="58" series="1">
      <pivotArea type="data" outline="0" fieldPosition="0">
        <references count="5">
          <reference field="4294967294" count="1" selected="0">
            <x v="0"/>
          </reference>
          <reference field="0" count="1" selected="0">
            <x v="1"/>
          </reference>
          <reference field="2" count="1" selected="0">
            <x v="427"/>
          </reference>
          <reference field="4" count="1" selected="0">
            <x v="165"/>
          </reference>
          <reference field="14" count="1" selected="0">
            <x v="51"/>
          </reference>
        </references>
      </pivotArea>
    </chartFormat>
    <chartFormat chart="0" format="59" series="1">
      <pivotArea type="data" outline="0" fieldPosition="0">
        <references count="5">
          <reference field="4294967294" count="1" selected="0">
            <x v="0"/>
          </reference>
          <reference field="0" count="1" selected="0">
            <x v="1"/>
          </reference>
          <reference field="2" count="1" selected="0">
            <x v="431"/>
          </reference>
          <reference field="4" count="1" selected="0">
            <x v="138"/>
          </reference>
          <reference field="14" count="1" selected="0">
            <x v="51"/>
          </reference>
        </references>
      </pivotArea>
    </chartFormat>
    <chartFormat chart="0" format="60" series="1">
      <pivotArea type="data" outline="0" fieldPosition="0">
        <references count="5">
          <reference field="4294967294" count="1" selected="0">
            <x v="0"/>
          </reference>
          <reference field="0" count="1" selected="0">
            <x v="1"/>
          </reference>
          <reference field="2" count="1" selected="0">
            <x v="432"/>
          </reference>
          <reference field="4" count="1" selected="0">
            <x v="165"/>
          </reference>
          <reference field="14" count="1" selected="0">
            <x v="51"/>
          </reference>
        </references>
      </pivotArea>
    </chartFormat>
    <chartFormat chart="0" format="61" series="1">
      <pivotArea type="data" outline="0" fieldPosition="0">
        <references count="5">
          <reference field="4294967294" count="1" selected="0">
            <x v="0"/>
          </reference>
          <reference field="0" count="1" selected="0">
            <x v="1"/>
          </reference>
          <reference field="2" count="1" selected="0">
            <x v="433"/>
          </reference>
          <reference field="4" count="1" selected="0">
            <x v="165"/>
          </reference>
          <reference field="14" count="1" selected="0">
            <x v="51"/>
          </reference>
        </references>
      </pivotArea>
    </chartFormat>
    <chartFormat chart="0" format="62" series="1">
      <pivotArea type="data" outline="0" fieldPosition="0">
        <references count="5">
          <reference field="4294967294" count="1" selected="0">
            <x v="0"/>
          </reference>
          <reference field="0" count="1" selected="0">
            <x v="1"/>
          </reference>
          <reference field="2" count="1" selected="0">
            <x v="437"/>
          </reference>
          <reference field="4" count="1" selected="0">
            <x v="165"/>
          </reference>
          <reference field="14" count="1" selected="0">
            <x v="51"/>
          </reference>
        </references>
      </pivotArea>
    </chartFormat>
    <chartFormat chart="0" format="63" series="1">
      <pivotArea type="data" outline="0" fieldPosition="0">
        <references count="1">
          <reference field="4294967294" count="1" selected="0">
            <x v="0"/>
          </reference>
        </references>
      </pivotArea>
    </chartFormat>
    <chartFormat chart="0" format="64" series="1">
      <pivotArea type="data" outline="0" fieldPosition="0">
        <references count="5">
          <reference field="4294967294" count="1" selected="0">
            <x v="0"/>
          </reference>
          <reference field="0" count="1" selected="0">
            <x v="2"/>
          </reference>
          <reference field="2" count="1" selected="0">
            <x v="457"/>
          </reference>
          <reference field="4" count="1" selected="0">
            <x v="19"/>
          </reference>
          <reference field="14" count="1" selected="0">
            <x v="49"/>
          </reference>
        </references>
      </pivotArea>
    </chartFormat>
    <chartFormat chart="0" format="65" series="1">
      <pivotArea type="data" outline="0" fieldPosition="0">
        <references count="5">
          <reference field="4294967294" count="1" selected="0">
            <x v="0"/>
          </reference>
          <reference field="0" count="1" selected="0">
            <x v="2"/>
          </reference>
          <reference field="2" count="1" selected="0">
            <x v="458"/>
          </reference>
          <reference field="4" count="1" selected="0">
            <x v="5"/>
          </reference>
          <reference field="14" count="1" selected="0">
            <x v="49"/>
          </reference>
        </references>
      </pivotArea>
    </chartFormat>
    <chartFormat chart="0" format="66" series="1">
      <pivotArea type="data" outline="0" fieldPosition="0">
        <references count="5">
          <reference field="4294967294" count="1" selected="0">
            <x v="0"/>
          </reference>
          <reference field="0" count="1" selected="0">
            <x v="2"/>
          </reference>
          <reference field="2" count="1" selected="0">
            <x v="459"/>
          </reference>
          <reference field="4" count="1" selected="0">
            <x v="4"/>
          </reference>
          <reference field="14" count="1" selected="0">
            <x v="49"/>
          </reference>
        </references>
      </pivotArea>
    </chartFormat>
    <chartFormat chart="0" format="67" series="1">
      <pivotArea type="data" outline="0" fieldPosition="0">
        <references count="5">
          <reference field="4294967294" count="1" selected="0">
            <x v="0"/>
          </reference>
          <reference field="0" count="1" selected="0">
            <x v="2"/>
          </reference>
          <reference field="2" count="1" selected="0">
            <x v="460"/>
          </reference>
          <reference field="4" count="1" selected="0">
            <x v="3"/>
          </reference>
          <reference field="14" count="1" selected="0">
            <x v="49"/>
          </reference>
        </references>
      </pivotArea>
    </chartFormat>
    <chartFormat chart="0" format="68" series="1">
      <pivotArea type="data" outline="0" fieldPosition="0">
        <references count="5">
          <reference field="4294967294" count="1" selected="0">
            <x v="0"/>
          </reference>
          <reference field="0" count="1" selected="0">
            <x v="2"/>
          </reference>
          <reference field="2" count="1" selected="0">
            <x v="498"/>
          </reference>
          <reference field="4" count="1" selected="0">
            <x v="28"/>
          </reference>
          <reference field="14" count="1" selected="0">
            <x v="49"/>
          </reference>
        </references>
      </pivotArea>
    </chartFormat>
    <chartFormat chart="0" format="69" series="1">
      <pivotArea type="data" outline="0" fieldPosition="0">
        <references count="5">
          <reference field="4294967294" count="1" selected="0">
            <x v="0"/>
          </reference>
          <reference field="0" count="1" selected="0">
            <x v="2"/>
          </reference>
          <reference field="2" count="1" selected="0">
            <x v="499"/>
          </reference>
          <reference field="4" count="1" selected="0">
            <x v="22"/>
          </reference>
          <reference field="14" count="1" selected="0">
            <x v="49"/>
          </reference>
        </references>
      </pivotArea>
    </chartFormat>
    <chartFormat chart="0" format="70" series="1">
      <pivotArea type="data" outline="0" fieldPosition="0">
        <references count="5">
          <reference field="4294967294" count="1" selected="0">
            <x v="0"/>
          </reference>
          <reference field="0" count="1" selected="0">
            <x v="2"/>
          </reference>
          <reference field="2" count="1" selected="0">
            <x v="500"/>
          </reference>
          <reference field="4" count="1" selected="0">
            <x v="17"/>
          </reference>
          <reference field="14" count="1" selected="0">
            <x v="4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2B3FF9-08FE-4D52-B8C1-E7CA5CFDA412}" name="PivotTable2" cacheId="3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3:J33" firstHeaderRow="1" firstDataRow="5" firstDataCol="3" rowPageCount="6" colPageCount="1"/>
  <pivotFields count="50">
    <pivotField axis="axisRow" compact="0" outline="0" showAll="0">
      <items count="18">
        <item sd="0" m="1" x="16"/>
        <item x="11"/>
        <item sd="0" x="3"/>
        <item sd="0" x="12"/>
        <item sd="0" x="2"/>
        <item x="8"/>
        <item sd="0" x="4"/>
        <item sd="0" x="7"/>
        <item x="5"/>
        <item sd="0" x="13"/>
        <item sd="0" m="1" x="15"/>
        <item sd="0" x="9"/>
        <item sd="0" x="0"/>
        <item sd="0" x="1"/>
        <item sd="0" x="6"/>
        <item sd="0" x="14"/>
        <item x="10"/>
        <item t="default" sd="0"/>
      </items>
    </pivotField>
    <pivotField axis="axisPage" compact="0" outline="0" showAll="0">
      <items count="6">
        <item x="2"/>
        <item x="0"/>
        <item x="1"/>
        <item x="3"/>
        <item m="1" x="4"/>
        <item t="default"/>
      </items>
    </pivotField>
    <pivotField compact="0" outline="0" showAll="0" defaultSubtotal="0"/>
    <pivotField axis="axisPage" compact="0" outline="0" showAll="0">
      <items count="215">
        <item x="27"/>
        <item x="28"/>
        <item x="210"/>
        <item x="52"/>
        <item x="2"/>
        <item x="176"/>
        <item x="168"/>
        <item x="1"/>
        <item x="9"/>
        <item x="177"/>
        <item x="94"/>
        <item x="51"/>
        <item x="74"/>
        <item x="115"/>
        <item x="207"/>
        <item x="3"/>
        <item x="98"/>
        <item x="80"/>
        <item x="53"/>
        <item x="144"/>
        <item x="103"/>
        <item x="36"/>
        <item x="130"/>
        <item x="63"/>
        <item x="68"/>
        <item x="105"/>
        <item x="181"/>
        <item x="102"/>
        <item x="37"/>
        <item x="54"/>
        <item x="38"/>
        <item x="202"/>
        <item x="73"/>
        <item x="61"/>
        <item x="146"/>
        <item x="23"/>
        <item x="188"/>
        <item x="191"/>
        <item x="132"/>
        <item x="87"/>
        <item x="183"/>
        <item x="14"/>
        <item x="29"/>
        <item x="30"/>
        <item x="6"/>
        <item x="173"/>
        <item x="174"/>
        <item x="75"/>
        <item x="31"/>
        <item x="200"/>
        <item x="39"/>
        <item x="106"/>
        <item x="86"/>
        <item m="1" x="211"/>
        <item x="81"/>
        <item x="82"/>
        <item x="109"/>
        <item x="83"/>
        <item x="84"/>
        <item x="116"/>
        <item x="167"/>
        <item x="203"/>
        <item x="133"/>
        <item x="26"/>
        <item x="150"/>
        <item x="153"/>
        <item x="40"/>
        <item x="41"/>
        <item x="15"/>
        <item x="107"/>
        <item x="194"/>
        <item x="4"/>
        <item x="101"/>
        <item x="182"/>
        <item x="198"/>
        <item x="42"/>
        <item x="108"/>
        <item x="152"/>
        <item x="156"/>
        <item x="151"/>
        <item x="91"/>
        <item x="90"/>
        <item x="145"/>
        <item x="76"/>
        <item x="77"/>
        <item x="117"/>
        <item x="95"/>
        <item x="114"/>
        <item x="184"/>
        <item x="185"/>
        <item x="147"/>
        <item x="148"/>
        <item x="149"/>
        <item x="32"/>
        <item x="175"/>
        <item x="178"/>
        <item x="187"/>
        <item x="119"/>
        <item x="100"/>
        <item x="12"/>
        <item x="209"/>
        <item x="99"/>
        <item x="171"/>
        <item x="96"/>
        <item m="1" x="212"/>
        <item x="169"/>
        <item x="124"/>
        <item x="120"/>
        <item x="88"/>
        <item x="43"/>
        <item x="11"/>
        <item x="104"/>
        <item x="13"/>
        <item x="204"/>
        <item x="48"/>
        <item x="134"/>
        <item x="172"/>
        <item x="190"/>
        <item x="16"/>
        <item x="199"/>
        <item x="135"/>
        <item x="131"/>
        <item x="121"/>
        <item x="136"/>
        <item x="137"/>
        <item x="201"/>
        <item x="122"/>
        <item x="118"/>
        <item x="195"/>
        <item x="92"/>
        <item x="138"/>
        <item x="49"/>
        <item x="85"/>
        <item x="159"/>
        <item x="69"/>
        <item x="56"/>
        <item x="33"/>
        <item x="139"/>
        <item x="70"/>
        <item x="97"/>
        <item x="89"/>
        <item x="161"/>
        <item x="160"/>
        <item x="10"/>
        <item x="162"/>
        <item x="18"/>
        <item x="19"/>
        <item x="44"/>
        <item x="72"/>
        <item x="45"/>
        <item x="5"/>
        <item x="192"/>
        <item x="55"/>
        <item x="193"/>
        <item x="17"/>
        <item x="46"/>
        <item x="180"/>
        <item x="179"/>
        <item x="205"/>
        <item x="57"/>
        <item x="58"/>
        <item x="123"/>
        <item x="140"/>
        <item x="34"/>
        <item x="0"/>
        <item x="21"/>
        <item x="125"/>
        <item x="126"/>
        <item x="65"/>
        <item x="129"/>
        <item x="8"/>
        <item x="110"/>
        <item x="163"/>
        <item x="64"/>
        <item m="1" x="213"/>
        <item x="22"/>
        <item x="111"/>
        <item x="35"/>
        <item x="60"/>
        <item x="24"/>
        <item x="71"/>
        <item x="164"/>
        <item x="25"/>
        <item x="186"/>
        <item x="59"/>
        <item x="127"/>
        <item x="128"/>
        <item x="93"/>
        <item x="165"/>
        <item x="62"/>
        <item x="196"/>
        <item x="141"/>
        <item x="113"/>
        <item x="112"/>
        <item x="166"/>
        <item x="157"/>
        <item x="158"/>
        <item x="170"/>
        <item x="189"/>
        <item x="47"/>
        <item x="66"/>
        <item x="67"/>
        <item x="20"/>
        <item x="50"/>
        <item x="206"/>
        <item x="7"/>
        <item x="79"/>
        <item x="197"/>
        <item x="78"/>
        <item x="142"/>
        <item x="143"/>
        <item x="154"/>
        <item x="155"/>
        <item x="208"/>
        <item t="default"/>
      </items>
    </pivotField>
    <pivotField axis="axisRow" compact="0" outline="0" showAll="0" defaultSubtotal="0">
      <items count="2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2"/>
        <item x="63"/>
        <item x="64"/>
        <item x="65"/>
        <item x="77"/>
        <item x="79"/>
        <item x="80"/>
        <item x="81"/>
        <item x="82"/>
        <item x="87"/>
        <item x="97"/>
        <item x="98"/>
        <item x="99"/>
        <item x="100"/>
        <item x="101"/>
        <item x="102"/>
        <item x="103"/>
        <item x="104"/>
        <item x="105"/>
        <item x="106"/>
        <item x="107"/>
        <item x="108"/>
        <item x="109"/>
        <item x="110"/>
        <item x="111"/>
        <item x="116"/>
        <item x="119"/>
        <item x="120"/>
        <item x="121"/>
        <item x="122"/>
        <item x="123"/>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78"/>
        <item x="83"/>
        <item x="84"/>
        <item x="85"/>
        <item x="86"/>
        <item x="88"/>
        <item x="90"/>
        <item x="91"/>
        <item x="89"/>
        <item x="66"/>
        <item x="67"/>
        <item x="68"/>
        <item x="69"/>
        <item x="70"/>
        <item x="71"/>
        <item x="72"/>
        <item x="118"/>
        <item x="115"/>
        <item x="112"/>
        <item x="117"/>
        <item x="73"/>
        <item x="76"/>
        <item x="93"/>
        <item x="94"/>
        <item x="96"/>
        <item x="95"/>
        <item x="92"/>
        <item x="113"/>
        <item x="114"/>
        <item x="126"/>
        <item x="124"/>
        <item x="125"/>
        <item x="174"/>
        <item x="60"/>
        <item x="61"/>
        <item x="74"/>
        <item x="75"/>
      </items>
    </pivotField>
    <pivotField compact="0" outline="0" showAll="0"/>
    <pivotField compact="0" outline="0" showAll="0"/>
    <pivotField compact="0" outline="0" showAll="0"/>
    <pivotField compact="0" outline="0" showAll="0"/>
    <pivotField compact="0" outline="0" showAll="0"/>
    <pivotField compact="0" outline="0" showAll="0">
      <items count="603">
        <item x="73"/>
        <item x="48"/>
        <item x="449"/>
        <item x="71"/>
        <item x="72"/>
        <item x="74"/>
        <item x="93"/>
        <item x="7"/>
        <item x="6"/>
        <item m="1" x="572"/>
        <item m="1" x="584"/>
        <item x="384"/>
        <item x="315"/>
        <item x="402"/>
        <item x="385"/>
        <item x="50"/>
        <item x="333"/>
        <item x="417"/>
        <item x="432"/>
        <item x="403"/>
        <item x="187"/>
        <item x="51"/>
        <item x="52"/>
        <item x="53"/>
        <item x="169"/>
        <item x="34"/>
        <item x="35"/>
        <item x="36"/>
        <item x="139"/>
        <item x="479"/>
        <item x="94"/>
        <item x="123"/>
        <item x="480"/>
        <item x="174"/>
        <item x="136"/>
        <item x="236"/>
        <item x="1"/>
        <item x="481"/>
        <item x="234"/>
        <item x="162"/>
        <item x="365"/>
        <item x="482"/>
        <item x="483"/>
        <item x="140"/>
        <item x="8"/>
        <item x="124"/>
        <item x="450"/>
        <item x="2"/>
        <item x="310"/>
        <item x="366"/>
        <item x="95"/>
        <item x="207"/>
        <item x="96"/>
        <item x="273"/>
        <item x="426"/>
        <item x="404"/>
        <item x="493"/>
        <item x="452"/>
        <item x="3"/>
        <item x="453"/>
        <item x="367"/>
        <item m="1" x="575"/>
        <item x="97"/>
        <item x="4"/>
        <item x="237"/>
        <item x="152"/>
        <item x="278"/>
        <item x="373"/>
        <item x="238"/>
        <item x="454"/>
        <item x="198"/>
        <item x="167"/>
        <item x="98"/>
        <item x="182"/>
        <item x="433"/>
        <item x="99"/>
        <item x="170"/>
        <item x="239"/>
        <item x="405"/>
        <item x="100"/>
        <item x="211"/>
        <item x="226"/>
        <item x="279"/>
        <item x="240"/>
        <item x="180"/>
        <item x="175"/>
        <item x="241"/>
        <item x="189"/>
        <item x="101"/>
        <item x="349"/>
        <item x="427"/>
        <item x="125"/>
        <item x="102"/>
        <item x="199"/>
        <item x="464"/>
        <item x="465"/>
        <item x="466"/>
        <item x="489"/>
        <item x="188"/>
        <item x="350"/>
        <item x="351"/>
        <item x="414"/>
        <item x="415"/>
        <item x="289"/>
        <item m="1" x="551"/>
        <item x="103"/>
        <item x="467"/>
        <item x="212"/>
        <item x="137"/>
        <item x="181"/>
        <item x="104"/>
        <item x="401"/>
        <item x="369"/>
        <item x="406"/>
        <item x="451"/>
        <item x="213"/>
        <item x="105"/>
        <item x="429"/>
        <item x="185"/>
        <item x="275"/>
        <item x="171"/>
        <item x="219"/>
        <item x="190"/>
        <item x="370"/>
        <item x="227"/>
        <item x="455"/>
        <item x="22"/>
        <item x="82"/>
        <item x="242"/>
        <item x="176"/>
        <item x="290"/>
        <item x="49"/>
        <item x="60"/>
        <item x="243"/>
        <item x="291"/>
        <item x="343"/>
        <item x="407"/>
        <item x="106"/>
        <item x="126"/>
        <item x="218"/>
        <item x="316"/>
        <item x="244"/>
        <item x="416"/>
        <item x="434"/>
        <item x="228"/>
        <item x="224"/>
        <item x="435"/>
        <item x="75"/>
        <item x="484"/>
        <item x="456"/>
        <item x="107"/>
        <item x="334"/>
        <item x="436"/>
        <item x="208"/>
        <item x="352"/>
        <item x="108"/>
        <item x="220"/>
        <item x="418"/>
        <item m="1" x="583"/>
        <item m="1" x="552"/>
        <item x="245"/>
        <item x="292"/>
        <item x="214"/>
        <item x="37"/>
        <item x="311"/>
        <item x="191"/>
        <item x="246"/>
        <item x="221"/>
        <item x="445"/>
        <item x="386"/>
        <item x="317"/>
        <item x="23"/>
        <item x="183"/>
        <item x="293"/>
        <item x="192"/>
        <item x="318"/>
        <item x="109"/>
        <item x="133"/>
        <item x="127"/>
        <item x="210"/>
        <item m="1" x="571"/>
        <item x="408"/>
        <item x="247"/>
        <item x="387"/>
        <item x="319"/>
        <item x="235"/>
        <item x="359"/>
        <item x="272"/>
        <item x="248"/>
        <item x="177"/>
        <item x="485"/>
        <item x="294"/>
        <item x="360"/>
        <item x="249"/>
        <item x="486"/>
        <item x="295"/>
        <item x="353"/>
        <item x="468"/>
        <item x="200"/>
        <item x="110"/>
        <item m="1" x="589"/>
        <item x="38"/>
        <item x="250"/>
        <item x="374"/>
        <item x="346"/>
        <item m="1" x="590"/>
        <item x="178"/>
        <item m="1" x="591"/>
        <item x="229"/>
        <item x="193"/>
        <item x="441"/>
        <item m="1" x="592"/>
        <item x="68"/>
        <item x="368"/>
        <item x="251"/>
        <item x="381"/>
        <item x="320"/>
        <item x="252"/>
        <item x="76"/>
        <item m="1" x="585"/>
        <item x="253"/>
        <item m="1" x="586"/>
        <item x="321"/>
        <item x="194"/>
        <item m="1" x="587"/>
        <item x="347"/>
        <item x="457"/>
        <item x="222"/>
        <item x="69"/>
        <item m="1" x="501"/>
        <item x="56"/>
        <item x="225"/>
        <item x="322"/>
        <item x="281"/>
        <item x="335"/>
        <item x="195"/>
        <item x="179"/>
        <item x="144"/>
        <item x="163"/>
        <item x="323"/>
        <item x="336"/>
        <item x="164"/>
        <item x="196"/>
        <item x="145"/>
        <item x="254"/>
        <item m="1" x="557"/>
        <item x="296"/>
        <item x="419"/>
        <item x="39"/>
        <item x="255"/>
        <item x="197"/>
        <item x="297"/>
        <item x="184"/>
        <item m="1" x="576"/>
        <item x="492"/>
        <item x="256"/>
        <item x="90"/>
        <item x="388"/>
        <item m="1" x="588"/>
        <item x="9"/>
        <item x="337"/>
        <item x="284"/>
        <item x="324"/>
        <item x="344"/>
        <item x="111"/>
        <item m="1" x="570"/>
        <item x="112"/>
        <item x="371"/>
        <item x="458"/>
        <item x="442"/>
        <item x="128"/>
        <item x="186"/>
        <item x="389"/>
        <item x="141"/>
        <item x="142"/>
        <item m="1" x="560"/>
        <item x="157"/>
        <item x="158"/>
        <item x="5"/>
        <item x="325"/>
        <item x="430"/>
        <item x="446"/>
        <item x="54"/>
        <item x="257"/>
        <item x="129"/>
        <item x="382"/>
        <item x="143"/>
        <item x="113"/>
        <item x="326"/>
        <item x="10"/>
        <item x="55"/>
        <item x="114"/>
        <item m="1" x="550"/>
        <item x="258"/>
        <item x="78"/>
        <item m="1" x="555"/>
        <item x="259"/>
        <item x="424"/>
        <item x="327"/>
        <item x="338"/>
        <item x="70"/>
        <item x="168"/>
        <item m="1" x="545"/>
        <item m="1" x="541"/>
        <item x="345"/>
        <item m="1" x="548"/>
        <item x="260"/>
        <item x="354"/>
        <item x="215"/>
        <item x="153"/>
        <item x="154"/>
        <item x="298"/>
        <item x="262"/>
        <item x="146"/>
        <item x="147"/>
        <item x="459"/>
        <item m="1" x="559"/>
        <item x="263"/>
        <item m="1" x="573"/>
        <item x="216"/>
        <item x="230"/>
        <item x="0"/>
        <item x="134"/>
        <item x="115"/>
        <item m="1" x="549"/>
        <item x="390"/>
        <item x="201"/>
        <item x="425"/>
        <item x="159"/>
        <item x="77"/>
        <item m="1" x="556"/>
        <item x="202"/>
        <item x="460"/>
        <item x="231"/>
        <item x="116"/>
        <item x="491"/>
        <item x="299"/>
        <item x="447"/>
        <item m="1" x="536"/>
        <item x="340"/>
        <item x="376"/>
        <item x="361"/>
        <item x="117"/>
        <item x="165"/>
        <item x="341"/>
        <item x="420"/>
        <item x="118"/>
        <item x="264"/>
        <item m="1" x="517"/>
        <item x="469"/>
        <item x="362"/>
        <item x="286"/>
        <item x="265"/>
        <item x="232"/>
        <item x="148"/>
        <item x="461"/>
        <item x="92"/>
        <item m="1" x="535"/>
        <item x="391"/>
        <item x="470"/>
        <item x="233"/>
        <item x="266"/>
        <item m="1" x="516"/>
        <item x="462"/>
        <item x="40"/>
        <item x="471"/>
        <item x="80"/>
        <item x="342"/>
        <item x="24"/>
        <item x="428"/>
        <item x="203"/>
        <item x="443"/>
        <item x="282"/>
        <item x="217"/>
        <item x="89"/>
        <item x="487"/>
        <item x="472"/>
        <item x="86"/>
        <item x="463"/>
        <item x="328"/>
        <item x="473"/>
        <item x="355"/>
        <item x="490"/>
        <item x="364"/>
        <item x="283"/>
        <item x="119"/>
        <item x="329"/>
        <item x="267"/>
        <item x="474"/>
        <item x="204"/>
        <item x="488"/>
        <item x="130"/>
        <item x="135"/>
        <item x="409"/>
        <item x="160"/>
        <item m="1" x="515"/>
        <item x="287"/>
        <item x="161"/>
        <item x="79"/>
        <item x="356"/>
        <item x="475"/>
        <item x="41"/>
        <item x="392"/>
        <item m="1" x="526"/>
        <item m="1" x="534"/>
        <item x="437"/>
        <item x="132"/>
        <item x="120"/>
        <item x="151"/>
        <item m="1" x="553"/>
        <item x="205"/>
        <item x="25"/>
        <item x="476"/>
        <item m="1" x="527"/>
        <item x="348"/>
        <item x="172"/>
        <item x="173"/>
        <item x="378"/>
        <item x="477"/>
        <item x="300"/>
        <item m="1" x="503"/>
        <item x="312"/>
        <item x="156"/>
        <item m="1" x="531"/>
        <item x="269"/>
        <item m="1" x="563"/>
        <item x="121"/>
        <item x="83"/>
        <item m="1" x="528"/>
        <item x="393"/>
        <item x="26"/>
        <item m="1" x="505"/>
        <item x="410"/>
        <item x="478"/>
        <item x="11"/>
        <item x="150"/>
        <item m="1" x="502"/>
        <item x="122"/>
        <item x="270"/>
        <item x="271"/>
        <item x="85"/>
        <item x="206"/>
        <item x="379"/>
        <item x="394"/>
        <item m="1" x="581"/>
        <item x="444"/>
        <item x="302"/>
        <item x="12"/>
        <item m="1" x="579"/>
        <item m="1" x="546"/>
        <item m="1" x="500"/>
        <item m="1" x="593"/>
        <item m="1" x="564"/>
        <item x="438"/>
        <item m="1" x="578"/>
        <item x="395"/>
        <item m="1" x="524"/>
        <item m="1" x="574"/>
        <item x="13"/>
        <item x="411"/>
        <item m="1" x="594"/>
        <item x="27"/>
        <item m="1" x="568"/>
        <item x="396"/>
        <item x="209"/>
        <item m="1" x="567"/>
        <item m="1" x="539"/>
        <item x="44"/>
        <item m="1" x="565"/>
        <item m="1" x="566"/>
        <item m="1" x="509"/>
        <item m="1" x="543"/>
        <item x="277"/>
        <item x="383"/>
        <item x="397"/>
        <item m="1" x="538"/>
        <item x="29"/>
        <item x="15"/>
        <item x="314"/>
        <item x="304"/>
        <item m="1" x="595"/>
        <item m="1" x="562"/>
        <item m="1" x="547"/>
        <item m="1" x="577"/>
        <item x="398"/>
        <item m="1" x="540"/>
        <item x="16"/>
        <item m="1" x="558"/>
        <item m="1" x="561"/>
        <item m="1" x="554"/>
        <item m="1" x="596"/>
        <item m="1" x="544"/>
        <item m="1" x="582"/>
        <item x="412"/>
        <item m="1" x="532"/>
        <item m="1" x="597"/>
        <item x="399"/>
        <item x="18"/>
        <item x="422"/>
        <item m="1" x="598"/>
        <item m="1" x="580"/>
        <item x="413"/>
        <item m="1" x="537"/>
        <item m="1" x="569"/>
        <item m="1" x="599"/>
        <item x="400"/>
        <item x="423"/>
        <item x="306"/>
        <item m="1" x="600"/>
        <item x="21"/>
        <item m="1" x="533"/>
        <item m="1" x="601"/>
        <item x="494"/>
        <item x="223"/>
        <item x="91"/>
        <item x="261"/>
        <item m="1" x="522"/>
        <item x="363"/>
        <item x="372"/>
        <item x="375"/>
        <item m="1" x="520"/>
        <item x="377"/>
        <item m="1" x="521"/>
        <item x="84"/>
        <item m="1" x="518"/>
        <item x="303"/>
        <item x="58"/>
        <item x="19"/>
        <item m="1" x="542"/>
        <item x="439"/>
        <item x="421"/>
        <item x="307"/>
        <item m="1" x="525"/>
        <item m="1" x="519"/>
        <item x="339"/>
        <item m="1" x="529"/>
        <item x="28"/>
        <item x="30"/>
        <item x="31"/>
        <item x="32"/>
        <item x="33"/>
        <item x="43"/>
        <item m="1" x="508"/>
        <item m="1" x="511"/>
        <item x="14"/>
        <item x="17"/>
        <item x="20"/>
        <item m="1" x="513"/>
        <item x="301"/>
        <item m="1" x="512"/>
        <item m="1" x="506"/>
        <item m="1" x="507"/>
        <item x="62"/>
        <item m="1" x="510"/>
        <item x="285"/>
        <item x="155"/>
        <item x="81"/>
        <item x="87"/>
        <item x="166"/>
        <item x="149"/>
        <item m="1" x="514"/>
        <item m="1" x="530"/>
        <item m="1" x="498"/>
        <item x="63"/>
        <item m="1" x="499"/>
        <item m="1" x="523"/>
        <item m="1" x="497"/>
        <item x="138"/>
        <item x="88"/>
        <item x="274"/>
        <item m="1" x="496"/>
        <item m="1" x="495"/>
        <item x="330"/>
        <item x="331"/>
        <item x="357"/>
        <item x="358"/>
        <item x="380"/>
        <item x="431"/>
        <item x="440"/>
        <item x="42"/>
        <item x="448"/>
        <item x="131"/>
        <item m="1" x="504"/>
        <item x="45"/>
        <item x="46"/>
        <item x="47"/>
        <item x="61"/>
        <item x="57"/>
        <item x="66"/>
        <item x="64"/>
        <item x="65"/>
        <item x="288"/>
        <item x="59"/>
        <item x="67"/>
        <item x="280"/>
        <item x="268"/>
        <item x="276"/>
        <item x="305"/>
        <item x="308"/>
        <item x="309"/>
        <item x="313"/>
        <item x="332"/>
        <item t="default"/>
      </items>
    </pivotField>
    <pivotField compact="0" outline="0" showAll="0"/>
    <pivotField compact="0" outline="0" showAll="0"/>
    <pivotField compact="0" outline="0" showAll="0"/>
    <pivotField axis="axisRow" compact="0" outline="0" showAll="0">
      <items count="84">
        <item sd="0" x="1"/>
        <item sd="0" m="1" x="81"/>
        <item sd="0" x="40"/>
        <item sd="0" x="30"/>
        <item sd="0" x="53"/>
        <item sd="0" x="51"/>
        <item sd="0" x="58"/>
        <item sd="0" x="60"/>
        <item sd="0" x="41"/>
        <item sd="0" x="63"/>
        <item sd="0" x="75"/>
        <item sd="0" x="21"/>
        <item sd="0" x="46"/>
        <item sd="0" x="78"/>
        <item x="55"/>
        <item sd="0" x="62"/>
        <item sd="0" x="70"/>
        <item sd="0" x="71"/>
        <item sd="0" x="72"/>
        <item sd="0" x="73"/>
        <item sd="0" x="74"/>
        <item sd="0" x="69"/>
        <item sd="0" x="76"/>
        <item sd="0" x="54"/>
        <item sd="0" x="65"/>
        <item sd="0" x="50"/>
        <item sd="0" x="61"/>
        <item sd="0" x="64"/>
        <item sd="0" x="59"/>
        <item sd="0" x="23"/>
        <item sd="0" x="48"/>
        <item sd="0" x="47"/>
        <item sd="0" x="80"/>
        <item sd="0" x="68"/>
        <item sd="0" x="57"/>
        <item sd="0" x="24"/>
        <item sd="0" x="26"/>
        <item sd="0" x="25"/>
        <item sd="0" x="79"/>
        <item sd="0" x="3"/>
        <item sd="0" x="56"/>
        <item sd="0" x="6"/>
        <item sd="0" x="49"/>
        <item sd="0" x="43"/>
        <item sd="0" x="45"/>
        <item sd="0" x="0"/>
        <item sd="0" x="44"/>
        <item sd="0" x="42"/>
        <item sd="0" x="5"/>
        <item x="4"/>
        <item sd="0" x="66"/>
        <item sd="0" x="67"/>
        <item sd="0" x="77"/>
        <item sd="0" x="9"/>
        <item sd="0" x="52"/>
        <item sd="0" x="2"/>
        <item sd="0" m="1" x="82"/>
        <item sd="0" x="22"/>
        <item sd="0" x="27"/>
        <item sd="0" x="28"/>
        <item sd="0" x="29"/>
        <item sd="0" x="31"/>
        <item sd="0" x="33"/>
        <item sd="0" x="34"/>
        <item sd="0" x="32"/>
        <item sd="0" x="7"/>
        <item sd="0" x="8"/>
        <item sd="0" x="10"/>
        <item sd="0" x="11"/>
        <item sd="0" x="13"/>
        <item sd="0" x="14"/>
        <item sd="0" x="15"/>
        <item sd="0" x="16"/>
        <item sd="0" x="12"/>
        <item sd="0" x="17"/>
        <item sd="0" x="18"/>
        <item sd="0" x="19"/>
        <item sd="0" x="20"/>
        <item sd="0" x="36"/>
        <item sd="0" x="37"/>
        <item sd="0" x="39"/>
        <item sd="0" x="38"/>
        <item sd="0" x="35"/>
        <item t="default" sd="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5">
        <item x="1"/>
        <item x="0"/>
        <item x="2"/>
        <item m="1" x="3"/>
        <item t="default"/>
      </items>
    </pivotField>
    <pivotField compact="0" outline="0" showAll="0">
      <items count="380">
        <item x="349"/>
        <item x="350"/>
        <item x="207"/>
        <item x="137"/>
        <item x="217"/>
        <item x="57"/>
        <item x="119"/>
        <item x="256"/>
        <item x="322"/>
        <item x="4"/>
        <item x="5"/>
        <item x="206"/>
        <item x="58"/>
        <item x="223"/>
        <item x="208"/>
        <item x="15"/>
        <item x="1"/>
        <item x="359"/>
        <item x="174"/>
        <item x="175"/>
        <item x="14"/>
        <item x="189"/>
        <item x="16"/>
        <item x="340"/>
        <item x="59"/>
        <item x="312"/>
        <item x="60"/>
        <item x="120"/>
        <item x="357"/>
        <item x="22"/>
        <item x="313"/>
        <item x="209"/>
        <item x="136"/>
        <item x="360"/>
        <item x="62"/>
        <item x="213"/>
        <item x="257"/>
        <item x="164"/>
        <item x="165"/>
        <item x="17"/>
        <item x="176"/>
        <item x="34"/>
        <item x="341"/>
        <item x="258"/>
        <item x="63"/>
        <item x="259"/>
        <item x="218"/>
        <item x="260"/>
        <item x="352"/>
        <item x="342"/>
        <item x="261"/>
        <item x="121"/>
        <item x="122"/>
        <item x="64"/>
        <item x="65"/>
        <item x="66"/>
        <item x="25"/>
        <item x="67"/>
        <item x="68"/>
        <item x="69"/>
        <item x="70"/>
        <item x="27"/>
        <item x="71"/>
        <item x="72"/>
        <item x="73"/>
        <item x="9"/>
        <item x="32"/>
        <item x="262"/>
        <item x="247"/>
        <item x="263"/>
        <item x="264"/>
        <item x="231"/>
        <item x="74"/>
        <item x="75"/>
        <item x="76"/>
        <item x="61"/>
        <item x="77"/>
        <item x="78"/>
        <item x="18"/>
        <item x="79"/>
        <item x="80"/>
        <item x="81"/>
        <item x="82"/>
        <item x="83"/>
        <item x="10"/>
        <item x="123"/>
        <item x="124"/>
        <item x="125"/>
        <item x="84"/>
        <item x="126"/>
        <item x="85"/>
        <item x="86"/>
        <item x="219"/>
        <item x="331"/>
        <item x="303"/>
        <item x="87"/>
        <item x="127"/>
        <item x="211"/>
        <item x="19"/>
        <item x="304"/>
        <item x="323"/>
        <item x="332"/>
        <item x="358"/>
        <item x="305"/>
        <item x="351"/>
        <item x="39"/>
        <item x="40"/>
        <item x="21"/>
        <item x="265"/>
        <item x="205"/>
        <item x="285"/>
        <item x="214"/>
        <item x="306"/>
        <item x="343"/>
        <item x="266"/>
        <item x="210"/>
        <item x="41"/>
        <item x="286"/>
        <item x="24"/>
        <item x="224"/>
        <item x="307"/>
        <item x="232"/>
        <item x="88"/>
        <item x="344"/>
        <item x="233"/>
        <item x="324"/>
        <item x="287"/>
        <item x="234"/>
        <item x="354"/>
        <item x="43"/>
        <item x="321"/>
        <item x="228"/>
        <item x="361"/>
        <item x="8"/>
        <item x="235"/>
        <item x="13"/>
        <item x="288"/>
        <item x="220"/>
        <item x="267"/>
        <item x="229"/>
        <item x="268"/>
        <item x="325"/>
        <item x="221"/>
        <item x="308"/>
        <item x="35"/>
        <item x="89"/>
        <item x="345"/>
        <item x="283"/>
        <item x="212"/>
        <item x="269"/>
        <item x="346"/>
        <item x="52"/>
        <item x="244"/>
        <item x="270"/>
        <item x="326"/>
        <item x="226"/>
        <item x="289"/>
        <item x="333"/>
        <item x="215"/>
        <item x="90"/>
        <item x="51"/>
        <item x="236"/>
        <item x="290"/>
        <item x="253"/>
        <item x="254"/>
        <item x="338"/>
        <item x="291"/>
        <item x="56"/>
        <item x="309"/>
        <item x="375"/>
        <item x="53"/>
        <item x="292"/>
        <item x="310"/>
        <item x="271"/>
        <item x="245"/>
        <item x="55"/>
        <item x="272"/>
        <item x="237"/>
        <item x="362"/>
        <item x="293"/>
        <item x="363"/>
        <item x="248"/>
        <item x="255"/>
        <item x="327"/>
        <item x="294"/>
        <item x="246"/>
        <item x="225"/>
        <item x="347"/>
        <item x="295"/>
        <item x="242"/>
        <item x="42"/>
        <item x="249"/>
        <item x="334"/>
        <item x="355"/>
        <item x="273"/>
        <item x="328"/>
        <item x="373"/>
        <item x="353"/>
        <item x="36"/>
        <item x="243"/>
        <item x="222"/>
        <item x="238"/>
        <item x="364"/>
        <item x="11"/>
        <item x="329"/>
        <item x="318"/>
        <item x="190"/>
        <item x="274"/>
        <item x="191"/>
        <item x="296"/>
        <item x="339"/>
        <item x="166"/>
        <item x="230"/>
        <item x="216"/>
        <item x="28"/>
        <item x="297"/>
        <item x="377"/>
        <item x="29"/>
        <item x="192"/>
        <item x="371"/>
        <item x="348"/>
        <item x="298"/>
        <item x="167"/>
        <item x="168"/>
        <item x="37"/>
        <item x="169"/>
        <item x="311"/>
        <item x="170"/>
        <item x="171"/>
        <item x="299"/>
        <item x="275"/>
        <item x="172"/>
        <item x="314"/>
        <item x="315"/>
        <item x="300"/>
        <item x="276"/>
        <item x="277"/>
        <item x="92"/>
        <item x="30"/>
        <item x="93"/>
        <item x="94"/>
        <item x="301"/>
        <item x="316"/>
        <item x="95"/>
        <item x="177"/>
        <item x="96"/>
        <item x="97"/>
        <item x="33"/>
        <item x="98"/>
        <item x="138"/>
        <item x="356"/>
        <item x="2"/>
        <item x="278"/>
        <item x="302"/>
        <item x="365"/>
        <item x="99"/>
        <item x="91"/>
        <item x="139"/>
        <item x="140"/>
        <item x="141"/>
        <item x="142"/>
        <item x="279"/>
        <item x="143"/>
        <item x="144"/>
        <item x="145"/>
        <item x="280"/>
        <item x="330"/>
        <item x="146"/>
        <item x="128"/>
        <item x="284"/>
        <item x="147"/>
        <item x="319"/>
        <item x="148"/>
        <item x="6"/>
        <item x="149"/>
        <item x="150"/>
        <item x="157"/>
        <item x="158"/>
        <item x="159"/>
        <item x="151"/>
        <item x="48"/>
        <item x="152"/>
        <item x="46"/>
        <item x="153"/>
        <item x="154"/>
        <item x="155"/>
        <item x="156"/>
        <item x="178"/>
        <item x="179"/>
        <item x="180"/>
        <item x="0"/>
        <item x="12"/>
        <item x="193"/>
        <item x="194"/>
        <item x="195"/>
        <item x="196"/>
        <item x="129"/>
        <item x="250"/>
        <item x="251"/>
        <item x="100"/>
        <item x="281"/>
        <item x="26"/>
        <item x="3"/>
        <item x="282"/>
        <item x="181"/>
        <item x="366"/>
        <item x="239"/>
        <item x="7"/>
        <item x="130"/>
        <item x="367"/>
        <item x="368"/>
        <item x="197"/>
        <item x="198"/>
        <item x="182"/>
        <item x="199"/>
        <item x="200"/>
        <item x="201"/>
        <item m="1" x="378"/>
        <item x="202"/>
        <item x="101"/>
        <item x="23"/>
        <item x="203"/>
        <item x="183"/>
        <item x="184"/>
        <item x="186"/>
        <item x="185"/>
        <item x="187"/>
        <item x="188"/>
        <item x="204"/>
        <item x="160"/>
        <item x="252"/>
        <item x="44"/>
        <item x="102"/>
        <item x="103"/>
        <item x="104"/>
        <item x="161"/>
        <item x="162"/>
        <item x="45"/>
        <item x="173"/>
        <item x="376"/>
        <item x="105"/>
        <item x="320"/>
        <item x="369"/>
        <item x="370"/>
        <item x="240"/>
        <item x="374"/>
        <item x="54"/>
        <item x="241"/>
        <item x="50"/>
        <item x="106"/>
        <item x="107"/>
        <item x="108"/>
        <item x="317"/>
        <item x="110"/>
        <item x="20"/>
        <item x="372"/>
        <item x="109"/>
        <item x="111"/>
        <item x="112"/>
        <item x="131"/>
        <item x="132"/>
        <item x="133"/>
        <item x="335"/>
        <item x="113"/>
        <item x="114"/>
        <item x="115"/>
        <item x="336"/>
        <item x="31"/>
        <item x="116"/>
        <item x="117"/>
        <item x="38"/>
        <item x="337"/>
        <item x="134"/>
        <item x="47"/>
        <item x="163"/>
        <item x="49"/>
        <item x="135"/>
        <item x="227"/>
        <item x="118"/>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axis="axisPage" compact="0" outline="0" showAll="0" defaultSubtotal="0">
      <items count="14">
        <item x="0"/>
        <item sd="0" x="1"/>
        <item sd="0" x="2"/>
        <item sd="0" x="3"/>
        <item sd="0" x="4"/>
        <item sd="0" x="5"/>
        <item sd="0" x="6"/>
        <item sd="0" x="7"/>
        <item sd="0" x="8"/>
        <item sd="0" x="9"/>
        <item sd="0" x="10"/>
        <item sd="0" x="11"/>
        <item x="12"/>
        <item x="13"/>
      </items>
    </pivotField>
    <pivotField axis="axisPage" compact="0" outline="0" showAll="0" defaultSubtotal="0">
      <items count="6">
        <item x="0"/>
        <item x="1"/>
        <item x="2"/>
        <item x="3"/>
        <item x="4"/>
        <item x="5"/>
      </items>
    </pivotField>
    <pivotField axis="axisPage" compact="0" outline="0" showAll="0" defaultSubtotal="0">
      <items count="8">
        <item sd="0" x="0"/>
        <item x="1"/>
        <item x="2"/>
        <item sd="0" x="3"/>
        <item x="4"/>
        <item x="5"/>
        <item x="6"/>
        <item x="7"/>
      </items>
    </pivotField>
    <pivotField name="Days" axis="axisCol"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ame="Months" axis="axisCol" compact="0" outline="0" showAll="0">
      <items count="15">
        <item h="1" sd="0" x="0"/>
        <item h="1" sd="0" x="1"/>
        <item h="1" sd="0" x="2"/>
        <item h="1" sd="0" x="3"/>
        <item h="1" sd="0" x="4"/>
        <item h="1" sd="0" x="5"/>
        <item h="1" sd="0" x="6"/>
        <item h="1" sd="0" x="7"/>
        <item h="1" sd="0" x="8"/>
        <item h="1" sd="0" x="9"/>
        <item sd="0" x="10"/>
        <item h="1" sd="0" x="11"/>
        <item h="1" sd="0" x="12"/>
        <item h="1" sd="0" x="13"/>
        <item t="default" sd="0"/>
      </items>
    </pivotField>
    <pivotField name="Years" axis="axisCol" compact="0" outline="0" showAll="0">
      <items count="5">
        <item h="1" sd="0" x="0"/>
        <item h="1" sd="0" x="1"/>
        <item x="2"/>
        <item h="1" x="3"/>
        <item t="default"/>
      </items>
    </pivotField>
  </pivotFields>
  <rowFields count="3">
    <field x="0"/>
    <field x="14"/>
    <field x="4"/>
  </rowFields>
  <rowItems count="16">
    <i>
      <x v="1"/>
      <x v="22"/>
    </i>
    <i r="1">
      <x v="51"/>
    </i>
    <i t="default">
      <x v="1"/>
    </i>
    <i>
      <x v="2"/>
    </i>
    <i>
      <x v="3"/>
    </i>
    <i>
      <x v="5"/>
      <x v="62"/>
    </i>
    <i r="1">
      <x v="64"/>
    </i>
    <i r="1">
      <x v="80"/>
    </i>
    <i t="default">
      <x v="5"/>
    </i>
    <i>
      <x v="6"/>
    </i>
    <i>
      <x v="8"/>
      <x v="70"/>
    </i>
    <i r="1">
      <x v="71"/>
    </i>
    <i r="1">
      <x v="73"/>
    </i>
    <i t="default">
      <x v="8"/>
    </i>
    <i>
      <x v="12"/>
    </i>
    <i t="grand">
      <x/>
    </i>
  </rowItems>
  <colFields count="4">
    <field x="49"/>
    <field x="48"/>
    <field x="47"/>
    <field x="-2"/>
  </colFields>
  <colItems count="6">
    <i>
      <x v="2"/>
      <x v="10"/>
      <x v="1048832"/>
      <x/>
    </i>
    <i r="3" i="1">
      <x v="1"/>
    </i>
    <i t="default">
      <x v="2"/>
    </i>
    <i t="default" i="1">
      <x v="2"/>
    </i>
    <i t="grand">
      <x/>
    </i>
    <i t="grand" i="1">
      <x/>
    </i>
  </colItems>
  <pageFields count="6">
    <pageField fld="26" hier="-1"/>
    <pageField fld="1" hier="-1"/>
    <pageField fld="44" hier="-1"/>
    <pageField fld="46" hier="-1"/>
    <pageField fld="45" hier="-1"/>
    <pageField fld="3" hier="-1"/>
  </pageFields>
  <dataFields count="2">
    <dataField name="Sum of OK" fld="31" baseField="0" baseItem="0"/>
    <dataField name="Sum of Sales" fld="32" baseField="5" baseItem="131" numFmtId="169"/>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68A552-31DB-4533-BDAE-F7B61C72DE66}" name="PivotTable2" cacheId="3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B13:H18" firstHeaderRow="1" firstDataRow="2" firstDataCol="5" rowPageCount="8" colPageCount="1"/>
  <pivotFields count="50">
    <pivotField axis="axisCol" compact="0" outline="0" showAll="0">
      <items count="18">
        <item h="1" sd="0" m="1" x="16"/>
        <item h="1" sd="0" x="11"/>
        <item h="1" sd="0" x="3"/>
        <item h="1" sd="0" x="12"/>
        <item h="1" sd="0" x="2"/>
        <item h="1" sd="0" x="8"/>
        <item h="1" sd="0" x="4"/>
        <item h="1" sd="0" x="7"/>
        <item h="1" sd="0" x="5"/>
        <item h="1" sd="0" x="13"/>
        <item h="1" sd="0" m="1" x="15"/>
        <item h="1" sd="0" x="9"/>
        <item x="0"/>
        <item h="1" sd="0" x="1"/>
        <item h="1" sd="0" x="6"/>
        <item h="1" sd="0" x="14"/>
        <item h="1" x="10"/>
        <item t="default" sd="0"/>
      </items>
    </pivotField>
    <pivotField axis="axisPage" compact="0" outline="0" showAll="0">
      <items count="6">
        <item x="2"/>
        <item x="0"/>
        <item x="1"/>
        <item x="3"/>
        <item m="1" x="4"/>
        <item t="default"/>
      </items>
    </pivotField>
    <pivotField axis="axisRow" compact="0" outline="0" showAll="0" defaultSubtotal="0">
      <items count="547">
        <item x="37"/>
        <item x="139"/>
        <item x="542"/>
        <item x="543"/>
        <item x="161"/>
        <item x="406"/>
        <item x="442"/>
        <item x="470"/>
        <item x="504"/>
        <item x="529"/>
        <item x="375"/>
        <item x="154"/>
        <item x="151"/>
        <item x="142"/>
        <item x="148"/>
        <item x="145"/>
        <item x="237"/>
        <item x="236"/>
        <item x="131"/>
        <item x="407"/>
        <item x="175"/>
        <item x="108"/>
        <item x="176"/>
        <item x="164"/>
        <item x="186"/>
        <item x="126"/>
        <item x="113"/>
        <item x="234"/>
        <item x="233"/>
        <item x="152"/>
        <item x="146"/>
        <item x="140"/>
        <item x="149"/>
        <item x="41"/>
        <item x="443"/>
        <item x="444"/>
        <item x="471"/>
        <item x="472"/>
        <item x="473"/>
        <item x="474"/>
        <item x="475"/>
        <item x="476"/>
        <item x="477"/>
        <item x="478"/>
        <item x="204"/>
        <item x="408"/>
        <item x="409"/>
        <item x="410"/>
        <item x="411"/>
        <item x="413"/>
        <item x="412"/>
        <item x="414"/>
        <item x="351"/>
        <item x="352"/>
        <item x="354"/>
        <item x="353"/>
        <item x="344"/>
        <item x="200"/>
        <item x="346"/>
        <item x="87"/>
        <item x="95"/>
        <item x="96"/>
        <item x="157"/>
        <item x="42"/>
        <item x="143"/>
        <item x="104"/>
        <item x="114"/>
        <item x="445"/>
        <item x="446"/>
        <item x="447"/>
        <item x="448"/>
        <item x="450"/>
        <item x="451"/>
        <item x="452"/>
        <item x="479"/>
        <item x="480"/>
        <item x="481"/>
        <item x="482"/>
        <item x="483"/>
        <item x="484"/>
        <item x="485"/>
        <item x="486"/>
        <item x="377"/>
        <item x="378"/>
        <item x="379"/>
        <item x="380"/>
        <item x="381"/>
        <item x="382"/>
        <item x="383"/>
        <item x="384"/>
        <item x="415"/>
        <item x="416"/>
        <item x="417"/>
        <item x="418"/>
        <item x="419"/>
        <item x="420"/>
        <item x="421"/>
        <item x="422"/>
        <item x="355"/>
        <item x="356"/>
        <item x="357"/>
        <item x="358"/>
        <item x="359"/>
        <item x="505"/>
        <item x="506"/>
        <item x="507"/>
        <item x="508"/>
        <item x="509"/>
        <item x="510"/>
        <item x="511"/>
        <item x="43"/>
        <item x="44"/>
        <item x="449"/>
        <item x="106"/>
        <item x="239"/>
        <item x="249"/>
        <item x="118"/>
        <item x="539"/>
        <item x="132"/>
        <item x="122"/>
        <item x="535"/>
        <item x="82"/>
        <item x="250"/>
        <item x="349"/>
        <item x="205"/>
        <item x="206"/>
        <item x="487"/>
        <item x="488"/>
        <item x="489"/>
        <item x="490"/>
        <item x="385"/>
        <item x="386"/>
        <item x="387"/>
        <item x="388"/>
        <item x="423"/>
        <item x="424"/>
        <item x="512"/>
        <item x="513"/>
        <item x="514"/>
        <item x="515"/>
        <item x="207"/>
        <item x="208"/>
        <item x="209"/>
        <item x="210"/>
        <item x="425"/>
        <item x="426"/>
        <item x="45"/>
        <item x="46"/>
        <item x="109"/>
        <item x="347"/>
        <item x="158"/>
        <item x="134"/>
        <item x="115"/>
        <item x="252"/>
        <item x="251"/>
        <item x="119"/>
        <item x="177"/>
        <item x="165"/>
        <item x="187"/>
        <item x="453"/>
        <item x="454"/>
        <item x="455"/>
        <item x="491"/>
        <item x="492"/>
        <item x="493"/>
        <item x="516"/>
        <item x="517"/>
        <item x="518"/>
        <item x="389"/>
        <item x="390"/>
        <item x="391"/>
        <item x="392"/>
        <item x="393"/>
        <item x="211"/>
        <item x="212"/>
        <item x="427"/>
        <item x="428"/>
        <item x="429"/>
        <item x="430"/>
        <item x="431"/>
        <item x="47"/>
        <item x="48"/>
        <item x="49"/>
        <item x="133"/>
        <item x="153"/>
        <item x="159"/>
        <item x="350"/>
        <item x="188"/>
        <item x="166"/>
        <item x="178"/>
        <item x="120"/>
        <item x="144"/>
        <item x="147"/>
        <item x="141"/>
        <item x="150"/>
        <item x="394"/>
        <item x="395"/>
        <item x="456"/>
        <item x="457"/>
        <item x="458"/>
        <item x="459"/>
        <item x="494"/>
        <item x="495"/>
        <item x="50"/>
        <item x="51"/>
        <item x="160"/>
        <item x="240"/>
        <item x="243"/>
        <item x="241"/>
        <item x="242"/>
        <item x="536"/>
        <item x="238"/>
        <item x="127"/>
        <item x="360"/>
        <item x="361"/>
        <item x="362"/>
        <item x="363"/>
        <item x="110"/>
        <item x="189"/>
        <item x="167"/>
        <item x="179"/>
        <item x="348"/>
        <item x="135"/>
        <item x="163"/>
        <item x="185"/>
        <item x="116"/>
        <item x="121"/>
        <item x="345"/>
        <item x="52"/>
        <item m="1" x="544"/>
        <item x="365"/>
        <item x="220"/>
        <item x="396"/>
        <item x="432"/>
        <item x="519"/>
        <item x="364"/>
        <item x="213"/>
        <item x="190"/>
        <item x="180"/>
        <item x="366"/>
        <item x="367"/>
        <item x="368"/>
        <item x="369"/>
        <item x="370"/>
        <item x="397"/>
        <item x="398"/>
        <item x="399"/>
        <item x="400"/>
        <item x="433"/>
        <item x="434"/>
        <item x="435"/>
        <item x="436"/>
        <item x="460"/>
        <item x="461"/>
        <item x="462"/>
        <item x="463"/>
        <item x="464"/>
        <item x="496"/>
        <item x="497"/>
        <item x="498"/>
        <item x="520"/>
        <item x="521"/>
        <item x="522"/>
        <item x="214"/>
        <item x="215"/>
        <item x="216"/>
        <item x="217"/>
        <item x="218"/>
        <item x="530"/>
        <item x="540"/>
        <item x="168"/>
        <item x="537"/>
        <item x="136"/>
        <item x="169"/>
        <item x="191"/>
        <item x="181"/>
        <item x="123"/>
        <item x="371"/>
        <item x="401"/>
        <item x="437"/>
        <item x="465"/>
        <item x="499"/>
        <item x="523"/>
        <item x="53"/>
        <item x="128"/>
        <item x="155"/>
        <item x="156"/>
        <item x="201"/>
        <item x="63"/>
        <item x="67"/>
        <item x="219"/>
        <item x="170"/>
        <item x="235"/>
        <item x="402"/>
        <item x="438"/>
        <item x="466"/>
        <item x="500"/>
        <item x="524"/>
        <item x="221"/>
        <item x="202"/>
        <item x="171"/>
        <item x="182"/>
        <item x="192"/>
        <item x="372"/>
        <item x="403"/>
        <item x="439"/>
        <item x="467"/>
        <item x="501"/>
        <item x="525"/>
        <item x="222"/>
        <item x="468"/>
        <item x="526"/>
        <item x="223"/>
        <item x="183"/>
        <item x="172"/>
        <item x="193"/>
        <item x="373"/>
        <item x="404"/>
        <item x="440"/>
        <item x="469"/>
        <item x="502"/>
        <item x="527"/>
        <item x="129"/>
        <item x="224"/>
        <item x="137"/>
        <item x="173"/>
        <item x="117"/>
        <item x="257"/>
        <item x="253"/>
        <item x="97"/>
        <item x="258"/>
        <item x="254"/>
        <item x="76"/>
        <item x="83"/>
        <item x="38"/>
        <item x="374"/>
        <item x="405"/>
        <item x="441"/>
        <item x="503"/>
        <item x="528"/>
        <item x="225"/>
        <item x="98"/>
        <item x="203"/>
        <item x="138"/>
        <item x="124"/>
        <item x="260"/>
        <item x="538"/>
        <item x="259"/>
        <item x="261"/>
        <item x="54"/>
        <item x="105"/>
        <item x="107"/>
        <item x="55"/>
        <item x="88"/>
        <item x="74"/>
        <item x="184"/>
        <item x="226"/>
        <item x="56"/>
        <item x="57"/>
        <item x="75"/>
        <item x="227"/>
        <item x="84"/>
        <item x="125"/>
        <item x="78"/>
        <item x="77"/>
        <item x="262"/>
        <item x="195"/>
        <item x="196"/>
        <item x="25"/>
        <item x="27"/>
        <item x="26"/>
        <item x="12"/>
        <item x="7"/>
        <item x="11"/>
        <item x="10"/>
        <item x="14"/>
        <item x="331"/>
        <item x="13"/>
        <item x="20"/>
        <item x="21"/>
        <item x="22"/>
        <item x="3"/>
        <item x="269"/>
        <item x="297"/>
        <item x="293"/>
        <item x="8"/>
        <item x="298"/>
        <item x="294"/>
        <item x="308"/>
        <item x="302"/>
        <item x="303"/>
        <item x="309"/>
        <item x="304"/>
        <item x="337"/>
        <item x="338"/>
        <item x="310"/>
        <item x="268"/>
        <item x="306"/>
        <item x="307"/>
        <item x="316"/>
        <item m="1" x="546"/>
        <item x="311"/>
        <item x="305"/>
        <item x="313"/>
        <item x="312"/>
        <item x="314"/>
        <item x="295"/>
        <item x="324"/>
        <item x="296"/>
        <item x="315"/>
        <item x="340"/>
        <item x="339"/>
        <item x="341"/>
        <item x="291"/>
        <item x="342"/>
        <item x="1"/>
        <item x="290"/>
        <item x="289"/>
        <item x="272"/>
        <item x="19"/>
        <item x="16"/>
        <item x="6"/>
        <item x="5"/>
        <item x="4"/>
        <item x="9"/>
        <item x="336"/>
        <item x="320"/>
        <item x="288"/>
        <item x="292"/>
        <item x="328"/>
        <item x="271"/>
        <item x="273"/>
        <item x="274"/>
        <item x="275"/>
        <item x="276"/>
        <item x="277"/>
        <item x="278"/>
        <item x="279"/>
        <item x="280"/>
        <item x="281"/>
        <item x="282"/>
        <item x="283"/>
        <item x="284"/>
        <item x="285"/>
        <item x="286"/>
        <item x="287"/>
        <item x="321"/>
        <item x="322"/>
        <item x="323"/>
        <item x="325"/>
        <item x="326"/>
        <item x="327"/>
        <item x="332"/>
        <item x="333"/>
        <item x="335"/>
        <item x="301"/>
        <item x="330"/>
        <item x="329"/>
        <item x="300"/>
        <item x="270"/>
        <item x="299"/>
        <item x="18"/>
        <item x="17"/>
        <item x="15"/>
        <item x="36"/>
        <item x="70"/>
        <item x="2"/>
        <item x="71"/>
        <item x="68"/>
        <item x="69"/>
        <item x="31"/>
        <item x="35"/>
        <item x="531"/>
        <item x="533"/>
        <item x="532"/>
        <item x="72"/>
        <item x="73"/>
        <item x="534"/>
        <item x="23"/>
        <item x="24"/>
        <item x="33"/>
        <item x="80"/>
        <item x="58"/>
        <item x="541"/>
        <item x="162"/>
        <item x="29"/>
        <item m="1" x="545"/>
        <item x="64"/>
        <item x="174"/>
        <item x="228"/>
        <item x="197"/>
        <item x="39"/>
        <item x="90"/>
        <item x="263"/>
        <item x="89"/>
        <item x="34"/>
        <item x="30"/>
        <item x="99"/>
        <item x="40"/>
        <item x="59"/>
        <item x="229"/>
        <item x="194"/>
        <item x="101"/>
        <item x="32"/>
        <item x="100"/>
        <item x="265"/>
        <item x="317"/>
        <item x="102"/>
        <item x="79"/>
        <item x="92"/>
        <item x="91"/>
        <item x="198"/>
        <item x="199"/>
        <item x="85"/>
        <item x="264"/>
        <item x="130"/>
        <item x="266"/>
        <item x="86"/>
        <item x="376"/>
        <item x="230"/>
        <item x="0"/>
        <item x="267"/>
        <item x="255"/>
        <item x="318"/>
        <item x="256"/>
        <item x="319"/>
        <item x="65"/>
        <item x="60"/>
        <item x="61"/>
        <item x="62"/>
        <item x="93"/>
        <item x="94"/>
        <item x="28"/>
        <item x="66"/>
        <item x="103"/>
        <item x="112"/>
        <item x="111"/>
        <item x="231"/>
        <item x="232"/>
        <item x="244"/>
        <item x="245"/>
        <item x="246"/>
        <item x="247"/>
        <item x="81"/>
        <item x="343"/>
        <item x="334"/>
        <item x="248"/>
      </items>
    </pivotField>
    <pivotField axis="axisPage" compact="0" outline="0" showAll="0">
      <items count="215">
        <item x="27"/>
        <item x="28"/>
        <item x="210"/>
        <item x="52"/>
        <item x="2"/>
        <item x="176"/>
        <item x="168"/>
        <item x="1"/>
        <item x="9"/>
        <item x="177"/>
        <item x="94"/>
        <item x="51"/>
        <item x="74"/>
        <item x="115"/>
        <item x="207"/>
        <item x="3"/>
        <item x="98"/>
        <item x="80"/>
        <item x="53"/>
        <item x="144"/>
        <item x="103"/>
        <item x="36"/>
        <item x="130"/>
        <item x="63"/>
        <item x="68"/>
        <item x="105"/>
        <item x="181"/>
        <item x="102"/>
        <item x="37"/>
        <item x="54"/>
        <item x="38"/>
        <item x="202"/>
        <item x="73"/>
        <item x="61"/>
        <item x="146"/>
        <item x="23"/>
        <item x="188"/>
        <item x="191"/>
        <item x="132"/>
        <item x="87"/>
        <item x="183"/>
        <item x="14"/>
        <item x="29"/>
        <item x="30"/>
        <item x="6"/>
        <item x="173"/>
        <item x="174"/>
        <item x="75"/>
        <item x="31"/>
        <item x="200"/>
        <item x="39"/>
        <item x="106"/>
        <item x="86"/>
        <item m="1" x="211"/>
        <item x="81"/>
        <item x="82"/>
        <item x="109"/>
        <item x="83"/>
        <item x="84"/>
        <item x="116"/>
        <item x="167"/>
        <item x="203"/>
        <item x="133"/>
        <item x="26"/>
        <item x="150"/>
        <item x="153"/>
        <item x="40"/>
        <item x="41"/>
        <item x="15"/>
        <item x="107"/>
        <item x="194"/>
        <item x="4"/>
        <item x="101"/>
        <item x="182"/>
        <item x="198"/>
        <item x="42"/>
        <item x="108"/>
        <item x="152"/>
        <item x="156"/>
        <item x="151"/>
        <item x="91"/>
        <item x="90"/>
        <item x="145"/>
        <item x="76"/>
        <item x="77"/>
        <item x="117"/>
        <item x="95"/>
        <item x="114"/>
        <item x="184"/>
        <item x="185"/>
        <item x="147"/>
        <item x="148"/>
        <item x="149"/>
        <item x="32"/>
        <item x="175"/>
        <item x="178"/>
        <item x="187"/>
        <item x="119"/>
        <item x="100"/>
        <item x="12"/>
        <item x="209"/>
        <item x="99"/>
        <item x="171"/>
        <item x="96"/>
        <item m="1" x="212"/>
        <item x="169"/>
        <item x="124"/>
        <item x="120"/>
        <item x="88"/>
        <item x="43"/>
        <item x="11"/>
        <item x="104"/>
        <item x="13"/>
        <item x="204"/>
        <item x="48"/>
        <item x="134"/>
        <item x="172"/>
        <item x="190"/>
        <item x="16"/>
        <item x="199"/>
        <item x="135"/>
        <item x="131"/>
        <item x="121"/>
        <item x="136"/>
        <item x="137"/>
        <item x="201"/>
        <item x="122"/>
        <item x="118"/>
        <item x="195"/>
        <item x="92"/>
        <item x="138"/>
        <item x="49"/>
        <item x="85"/>
        <item x="159"/>
        <item x="69"/>
        <item x="56"/>
        <item x="33"/>
        <item x="139"/>
        <item x="70"/>
        <item x="97"/>
        <item x="89"/>
        <item x="161"/>
        <item x="160"/>
        <item x="10"/>
        <item x="162"/>
        <item x="18"/>
        <item x="19"/>
        <item x="44"/>
        <item x="72"/>
        <item x="45"/>
        <item x="5"/>
        <item x="192"/>
        <item x="55"/>
        <item x="193"/>
        <item x="17"/>
        <item x="46"/>
        <item x="180"/>
        <item x="179"/>
        <item x="205"/>
        <item x="57"/>
        <item x="58"/>
        <item x="123"/>
        <item x="140"/>
        <item x="34"/>
        <item x="0"/>
        <item x="21"/>
        <item x="125"/>
        <item x="126"/>
        <item x="65"/>
        <item x="129"/>
        <item x="8"/>
        <item x="110"/>
        <item x="163"/>
        <item x="64"/>
        <item m="1" x="213"/>
        <item x="22"/>
        <item x="111"/>
        <item x="35"/>
        <item x="60"/>
        <item x="24"/>
        <item x="71"/>
        <item x="164"/>
        <item x="25"/>
        <item x="186"/>
        <item x="59"/>
        <item x="127"/>
        <item x="128"/>
        <item x="93"/>
        <item x="165"/>
        <item x="62"/>
        <item x="196"/>
        <item x="141"/>
        <item x="113"/>
        <item x="112"/>
        <item x="166"/>
        <item x="157"/>
        <item x="158"/>
        <item x="170"/>
        <item x="189"/>
        <item x="47"/>
        <item x="66"/>
        <item x="67"/>
        <item x="20"/>
        <item x="50"/>
        <item x="206"/>
        <item x="7"/>
        <item x="79"/>
        <item x="197"/>
        <item x="78"/>
        <item x="142"/>
        <item x="143"/>
        <item x="154"/>
        <item x="155"/>
        <item x="208"/>
        <item t="default"/>
      </items>
    </pivotField>
    <pivotField axis="axisRow" compact="0" outline="0" showAll="0" defaultSubtotal="0">
      <items count="247">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2"/>
        <item h="1" x="63"/>
        <item h="1" x="64"/>
        <item h="1" x="65"/>
        <item h="1" x="77"/>
        <item h="1" x="79"/>
        <item h="1" x="80"/>
        <item h="1" x="81"/>
        <item h="1" x="82"/>
        <item h="1" x="87"/>
        <item h="1" x="97"/>
        <item h="1" x="98"/>
        <item h="1" x="99"/>
        <item h="1" x="100"/>
        <item x="101"/>
        <item h="1" x="102"/>
        <item h="1" x="103"/>
        <item h="1" x="104"/>
        <item h="1" x="105"/>
        <item h="1" x="106"/>
        <item h="1" x="107"/>
        <item h="1" x="108"/>
        <item h="1" x="109"/>
        <item h="1" x="110"/>
        <item h="1" x="111"/>
        <item h="1" x="116"/>
        <item h="1" x="119"/>
        <item h="1" x="120"/>
        <item h="1" x="121"/>
        <item h="1" x="122"/>
        <item h="1" x="123"/>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78"/>
        <item h="1" x="83"/>
        <item h="1" x="84"/>
        <item h="1" x="85"/>
        <item h="1" x="86"/>
        <item h="1" x="88"/>
        <item h="1" x="90"/>
        <item h="1" x="91"/>
        <item h="1" x="89"/>
        <item h="1" x="66"/>
        <item h="1" x="67"/>
        <item h="1" x="68"/>
        <item h="1" x="69"/>
        <item h="1" x="70"/>
        <item h="1" x="71"/>
        <item h="1" x="72"/>
        <item h="1" x="118"/>
        <item h="1" x="115"/>
        <item h="1" x="112"/>
        <item h="1" x="117"/>
        <item h="1" x="73"/>
        <item h="1" x="76"/>
        <item h="1" x="93"/>
        <item h="1" x="94"/>
        <item h="1" x="96"/>
        <item h="1" x="95"/>
        <item h="1" x="92"/>
        <item h="1" x="113"/>
        <item h="1" x="114"/>
        <item h="1" x="126"/>
        <item h="1" x="124"/>
        <item h="1" x="125"/>
        <item h="1" x="174"/>
        <item h="1" x="60"/>
        <item h="1" x="61"/>
        <item h="1" x="74"/>
        <item h="1" x="75"/>
      </items>
    </pivotField>
    <pivotField compact="0" outline="0" showAll="0"/>
    <pivotField compact="0" outline="0" showAll="0"/>
    <pivotField compact="0" outline="0" showAll="0"/>
    <pivotField compact="0" outline="0" showAll="0"/>
    <pivotField compact="0" outline="0" showAll="0"/>
    <pivotField compact="0" outline="0" showAll="0">
      <items count="603">
        <item x="73"/>
        <item x="48"/>
        <item x="449"/>
        <item x="71"/>
        <item x="72"/>
        <item x="74"/>
        <item x="93"/>
        <item x="7"/>
        <item x="6"/>
        <item m="1" x="572"/>
        <item m="1" x="584"/>
        <item x="384"/>
        <item x="315"/>
        <item x="402"/>
        <item x="385"/>
        <item x="50"/>
        <item x="333"/>
        <item x="417"/>
        <item x="432"/>
        <item x="403"/>
        <item x="187"/>
        <item x="51"/>
        <item x="52"/>
        <item x="53"/>
        <item x="169"/>
        <item x="34"/>
        <item x="35"/>
        <item x="36"/>
        <item x="139"/>
        <item x="479"/>
        <item x="94"/>
        <item x="123"/>
        <item x="480"/>
        <item x="174"/>
        <item x="136"/>
        <item x="236"/>
        <item x="1"/>
        <item x="481"/>
        <item x="234"/>
        <item x="162"/>
        <item x="365"/>
        <item x="482"/>
        <item x="483"/>
        <item x="140"/>
        <item x="8"/>
        <item x="124"/>
        <item x="450"/>
        <item x="2"/>
        <item x="310"/>
        <item x="366"/>
        <item x="95"/>
        <item x="207"/>
        <item x="96"/>
        <item x="273"/>
        <item x="426"/>
        <item x="404"/>
        <item x="493"/>
        <item x="452"/>
        <item x="3"/>
        <item x="453"/>
        <item x="367"/>
        <item m="1" x="575"/>
        <item x="97"/>
        <item x="4"/>
        <item x="237"/>
        <item x="152"/>
        <item x="278"/>
        <item x="373"/>
        <item x="238"/>
        <item x="454"/>
        <item x="198"/>
        <item x="167"/>
        <item x="98"/>
        <item x="182"/>
        <item x="433"/>
        <item x="99"/>
        <item x="170"/>
        <item x="239"/>
        <item x="405"/>
        <item x="100"/>
        <item x="211"/>
        <item x="226"/>
        <item x="279"/>
        <item x="240"/>
        <item x="180"/>
        <item x="175"/>
        <item x="241"/>
        <item x="189"/>
        <item x="101"/>
        <item x="349"/>
        <item x="427"/>
        <item x="125"/>
        <item x="102"/>
        <item x="199"/>
        <item x="464"/>
        <item x="465"/>
        <item x="466"/>
        <item x="489"/>
        <item x="188"/>
        <item x="350"/>
        <item x="351"/>
        <item x="414"/>
        <item x="415"/>
        <item x="289"/>
        <item m="1" x="551"/>
        <item x="103"/>
        <item x="467"/>
        <item x="212"/>
        <item x="137"/>
        <item x="181"/>
        <item x="104"/>
        <item x="401"/>
        <item x="369"/>
        <item x="406"/>
        <item x="451"/>
        <item x="213"/>
        <item x="105"/>
        <item x="429"/>
        <item x="185"/>
        <item x="275"/>
        <item x="171"/>
        <item x="219"/>
        <item x="190"/>
        <item x="370"/>
        <item x="227"/>
        <item x="455"/>
        <item x="22"/>
        <item x="82"/>
        <item x="242"/>
        <item x="176"/>
        <item x="290"/>
        <item x="49"/>
        <item x="60"/>
        <item x="243"/>
        <item x="291"/>
        <item x="343"/>
        <item x="407"/>
        <item x="106"/>
        <item x="126"/>
        <item x="218"/>
        <item x="316"/>
        <item x="244"/>
        <item x="416"/>
        <item x="434"/>
        <item x="228"/>
        <item x="224"/>
        <item x="435"/>
        <item x="75"/>
        <item x="484"/>
        <item x="456"/>
        <item x="107"/>
        <item x="334"/>
        <item x="436"/>
        <item x="208"/>
        <item x="352"/>
        <item x="108"/>
        <item x="220"/>
        <item x="418"/>
        <item m="1" x="583"/>
        <item m="1" x="552"/>
        <item x="245"/>
        <item x="292"/>
        <item x="214"/>
        <item x="37"/>
        <item x="311"/>
        <item x="191"/>
        <item x="246"/>
        <item x="221"/>
        <item x="445"/>
        <item x="386"/>
        <item x="317"/>
        <item x="23"/>
        <item x="183"/>
        <item x="293"/>
        <item x="192"/>
        <item x="318"/>
        <item x="109"/>
        <item x="133"/>
        <item x="127"/>
        <item x="210"/>
        <item m="1" x="571"/>
        <item x="408"/>
        <item x="247"/>
        <item x="387"/>
        <item x="319"/>
        <item x="235"/>
        <item x="359"/>
        <item x="272"/>
        <item x="248"/>
        <item x="177"/>
        <item x="485"/>
        <item x="294"/>
        <item x="360"/>
        <item x="249"/>
        <item x="486"/>
        <item x="295"/>
        <item x="353"/>
        <item x="468"/>
        <item x="200"/>
        <item x="110"/>
        <item m="1" x="589"/>
        <item x="38"/>
        <item x="250"/>
        <item x="374"/>
        <item x="346"/>
        <item m="1" x="590"/>
        <item x="178"/>
        <item m="1" x="591"/>
        <item x="229"/>
        <item x="193"/>
        <item x="441"/>
        <item m="1" x="592"/>
        <item x="68"/>
        <item x="368"/>
        <item x="251"/>
        <item x="381"/>
        <item x="320"/>
        <item x="252"/>
        <item x="76"/>
        <item m="1" x="585"/>
        <item x="253"/>
        <item m="1" x="586"/>
        <item x="321"/>
        <item x="194"/>
        <item m="1" x="587"/>
        <item x="347"/>
        <item x="457"/>
        <item x="222"/>
        <item x="69"/>
        <item m="1" x="501"/>
        <item x="56"/>
        <item x="225"/>
        <item x="322"/>
        <item x="281"/>
        <item x="335"/>
        <item x="195"/>
        <item x="179"/>
        <item x="144"/>
        <item x="163"/>
        <item x="323"/>
        <item x="336"/>
        <item x="164"/>
        <item x="196"/>
        <item x="145"/>
        <item x="254"/>
        <item m="1" x="557"/>
        <item x="296"/>
        <item x="419"/>
        <item x="39"/>
        <item x="255"/>
        <item x="197"/>
        <item x="297"/>
        <item x="184"/>
        <item m="1" x="576"/>
        <item x="492"/>
        <item x="256"/>
        <item x="90"/>
        <item x="388"/>
        <item m="1" x="588"/>
        <item x="9"/>
        <item x="337"/>
        <item x="284"/>
        <item x="324"/>
        <item x="344"/>
        <item x="111"/>
        <item m="1" x="570"/>
        <item x="112"/>
        <item x="371"/>
        <item x="458"/>
        <item x="442"/>
        <item x="128"/>
        <item x="186"/>
        <item x="389"/>
        <item x="141"/>
        <item x="142"/>
        <item m="1" x="560"/>
        <item x="157"/>
        <item x="158"/>
        <item x="5"/>
        <item x="325"/>
        <item x="430"/>
        <item x="446"/>
        <item x="54"/>
        <item x="257"/>
        <item x="129"/>
        <item x="382"/>
        <item x="143"/>
        <item x="113"/>
        <item x="326"/>
        <item x="10"/>
        <item x="55"/>
        <item x="114"/>
        <item m="1" x="550"/>
        <item x="258"/>
        <item x="78"/>
        <item m="1" x="555"/>
        <item x="259"/>
        <item x="424"/>
        <item x="327"/>
        <item x="338"/>
        <item x="70"/>
        <item x="168"/>
        <item m="1" x="545"/>
        <item m="1" x="541"/>
        <item x="345"/>
        <item m="1" x="548"/>
        <item x="260"/>
        <item x="354"/>
        <item x="215"/>
        <item x="153"/>
        <item x="154"/>
        <item x="298"/>
        <item x="262"/>
        <item x="146"/>
        <item x="147"/>
        <item x="459"/>
        <item m="1" x="559"/>
        <item x="263"/>
        <item m="1" x="573"/>
        <item x="216"/>
        <item x="230"/>
        <item x="0"/>
        <item x="134"/>
        <item x="115"/>
        <item m="1" x="549"/>
        <item x="390"/>
        <item x="201"/>
        <item x="425"/>
        <item x="159"/>
        <item x="77"/>
        <item m="1" x="556"/>
        <item x="202"/>
        <item x="460"/>
        <item x="231"/>
        <item x="116"/>
        <item x="491"/>
        <item x="299"/>
        <item x="447"/>
        <item m="1" x="536"/>
        <item x="340"/>
        <item x="376"/>
        <item x="361"/>
        <item x="117"/>
        <item x="165"/>
        <item x="341"/>
        <item x="420"/>
        <item x="118"/>
        <item x="264"/>
        <item m="1" x="517"/>
        <item x="469"/>
        <item x="362"/>
        <item x="286"/>
        <item x="265"/>
        <item x="232"/>
        <item x="148"/>
        <item x="461"/>
        <item x="92"/>
        <item m="1" x="535"/>
        <item x="391"/>
        <item x="470"/>
        <item x="233"/>
        <item x="266"/>
        <item m="1" x="516"/>
        <item x="462"/>
        <item x="40"/>
        <item x="471"/>
        <item x="80"/>
        <item x="342"/>
        <item x="24"/>
        <item x="428"/>
        <item x="203"/>
        <item x="443"/>
        <item x="282"/>
        <item x="217"/>
        <item x="89"/>
        <item x="487"/>
        <item x="472"/>
        <item x="86"/>
        <item x="463"/>
        <item x="328"/>
        <item x="473"/>
        <item x="355"/>
        <item x="490"/>
        <item x="364"/>
        <item x="283"/>
        <item x="119"/>
        <item x="329"/>
        <item x="267"/>
        <item x="474"/>
        <item x="204"/>
        <item x="488"/>
        <item x="130"/>
        <item x="135"/>
        <item x="409"/>
        <item x="160"/>
        <item m="1" x="515"/>
        <item x="287"/>
        <item x="161"/>
        <item x="79"/>
        <item x="356"/>
        <item x="475"/>
        <item x="41"/>
        <item x="392"/>
        <item m="1" x="526"/>
        <item m="1" x="534"/>
        <item x="437"/>
        <item x="132"/>
        <item x="120"/>
        <item x="151"/>
        <item m="1" x="553"/>
        <item x="205"/>
        <item x="25"/>
        <item x="476"/>
        <item m="1" x="527"/>
        <item x="348"/>
        <item x="172"/>
        <item x="173"/>
        <item x="378"/>
        <item x="477"/>
        <item x="300"/>
        <item m="1" x="503"/>
        <item x="312"/>
        <item x="156"/>
        <item m="1" x="531"/>
        <item x="269"/>
        <item m="1" x="563"/>
        <item x="121"/>
        <item x="83"/>
        <item m="1" x="528"/>
        <item x="393"/>
        <item x="26"/>
        <item m="1" x="505"/>
        <item x="410"/>
        <item x="478"/>
        <item x="11"/>
        <item x="150"/>
        <item m="1" x="502"/>
        <item x="122"/>
        <item x="270"/>
        <item x="271"/>
        <item x="85"/>
        <item x="206"/>
        <item x="379"/>
        <item x="394"/>
        <item m="1" x="581"/>
        <item x="444"/>
        <item x="302"/>
        <item x="12"/>
        <item m="1" x="579"/>
        <item m="1" x="546"/>
        <item m="1" x="500"/>
        <item m="1" x="593"/>
        <item m="1" x="564"/>
        <item x="438"/>
        <item m="1" x="578"/>
        <item x="395"/>
        <item m="1" x="524"/>
        <item m="1" x="574"/>
        <item x="13"/>
        <item x="411"/>
        <item m="1" x="594"/>
        <item x="27"/>
        <item m="1" x="568"/>
        <item x="396"/>
        <item x="209"/>
        <item m="1" x="567"/>
        <item m="1" x="539"/>
        <item x="44"/>
        <item m="1" x="565"/>
        <item m="1" x="566"/>
        <item m="1" x="509"/>
        <item m="1" x="543"/>
        <item x="277"/>
        <item x="383"/>
        <item x="397"/>
        <item m="1" x="538"/>
        <item x="29"/>
        <item x="15"/>
        <item x="314"/>
        <item x="304"/>
        <item m="1" x="595"/>
        <item m="1" x="562"/>
        <item m="1" x="547"/>
        <item m="1" x="577"/>
        <item x="398"/>
        <item m="1" x="540"/>
        <item x="16"/>
        <item m="1" x="558"/>
        <item m="1" x="561"/>
        <item m="1" x="554"/>
        <item m="1" x="596"/>
        <item m="1" x="544"/>
        <item m="1" x="582"/>
        <item x="412"/>
        <item m="1" x="532"/>
        <item m="1" x="597"/>
        <item x="399"/>
        <item x="18"/>
        <item x="422"/>
        <item m="1" x="598"/>
        <item m="1" x="580"/>
        <item x="413"/>
        <item m="1" x="537"/>
        <item m="1" x="569"/>
        <item m="1" x="599"/>
        <item x="400"/>
        <item x="423"/>
        <item x="306"/>
        <item m="1" x="600"/>
        <item x="21"/>
        <item m="1" x="533"/>
        <item m="1" x="601"/>
        <item x="494"/>
        <item x="223"/>
        <item x="91"/>
        <item x="261"/>
        <item m="1" x="522"/>
        <item x="363"/>
        <item x="372"/>
        <item x="375"/>
        <item m="1" x="520"/>
        <item x="377"/>
        <item m="1" x="521"/>
        <item x="84"/>
        <item m="1" x="518"/>
        <item x="303"/>
        <item x="58"/>
        <item x="19"/>
        <item m="1" x="542"/>
        <item x="439"/>
        <item x="421"/>
        <item x="307"/>
        <item m="1" x="525"/>
        <item m="1" x="519"/>
        <item x="339"/>
        <item m="1" x="529"/>
        <item x="28"/>
        <item x="30"/>
        <item x="31"/>
        <item x="32"/>
        <item x="33"/>
        <item x="43"/>
        <item m="1" x="508"/>
        <item m="1" x="511"/>
        <item x="14"/>
        <item x="17"/>
        <item x="20"/>
        <item m="1" x="513"/>
        <item x="301"/>
        <item m="1" x="512"/>
        <item m="1" x="506"/>
        <item m="1" x="507"/>
        <item x="62"/>
        <item m="1" x="510"/>
        <item x="285"/>
        <item x="155"/>
        <item x="81"/>
        <item x="87"/>
        <item x="166"/>
        <item x="149"/>
        <item m="1" x="514"/>
        <item m="1" x="530"/>
        <item m="1" x="498"/>
        <item x="63"/>
        <item m="1" x="499"/>
        <item m="1" x="523"/>
        <item m="1" x="497"/>
        <item x="138"/>
        <item x="88"/>
        <item x="274"/>
        <item m="1" x="496"/>
        <item m="1" x="495"/>
        <item x="330"/>
        <item x="331"/>
        <item x="357"/>
        <item x="358"/>
        <item x="380"/>
        <item x="431"/>
        <item x="440"/>
        <item x="42"/>
        <item x="448"/>
        <item x="131"/>
        <item m="1" x="504"/>
        <item x="45"/>
        <item x="46"/>
        <item x="47"/>
        <item x="61"/>
        <item x="57"/>
        <item x="66"/>
        <item x="64"/>
        <item x="65"/>
        <item x="288"/>
        <item x="59"/>
        <item x="67"/>
        <item x="280"/>
        <item x="268"/>
        <item x="276"/>
        <item x="305"/>
        <item x="308"/>
        <item x="309"/>
        <item x="313"/>
        <item x="332"/>
        <item t="default"/>
      </items>
    </pivotField>
    <pivotField compact="0" outline="0" showAll="0"/>
    <pivotField compact="0" outline="0" showAll="0"/>
    <pivotField compact="0" outline="0" showAll="0"/>
    <pivotField axis="axisPage" compact="0" outline="0" showAll="0">
      <items count="84">
        <item x="1"/>
        <item m="1" x="81"/>
        <item x="40"/>
        <item x="30"/>
        <item x="53"/>
        <item sd="0" x="51"/>
        <item sd="0" x="58"/>
        <item sd="0" x="60"/>
        <item x="41"/>
        <item x="63"/>
        <item x="75"/>
        <item x="21"/>
        <item x="46"/>
        <item sd="0" x="78"/>
        <item x="55"/>
        <item sd="0" x="62"/>
        <item x="70"/>
        <item x="71"/>
        <item x="72"/>
        <item x="73"/>
        <item x="74"/>
        <item x="69"/>
        <item x="76"/>
        <item x="54"/>
        <item sd="0" x="65"/>
        <item x="50"/>
        <item sd="0" x="61"/>
        <item x="64"/>
        <item sd="0" x="59"/>
        <item x="23"/>
        <item x="48"/>
        <item x="47"/>
        <item x="80"/>
        <item x="68"/>
        <item sd="0" x="57"/>
        <item x="24"/>
        <item x="26"/>
        <item x="25"/>
        <item x="79"/>
        <item x="3"/>
        <item x="56"/>
        <item x="6"/>
        <item x="49"/>
        <item x="43"/>
        <item x="45"/>
        <item sd="0" x="0"/>
        <item sd="0" x="44"/>
        <item x="42"/>
        <item x="5"/>
        <item x="4"/>
        <item x="66"/>
        <item x="67"/>
        <item x="77"/>
        <item x="9"/>
        <item x="52"/>
        <item x="2"/>
        <item m="1" x="82"/>
        <item x="22"/>
        <item x="27"/>
        <item x="28"/>
        <item x="29"/>
        <item x="31"/>
        <item x="33"/>
        <item x="34"/>
        <item x="32"/>
        <item x="7"/>
        <item x="8"/>
        <item x="10"/>
        <item x="11"/>
        <item x="13"/>
        <item x="14"/>
        <item x="15"/>
        <item x="16"/>
        <item x="12"/>
        <item x="17"/>
        <item x="18"/>
        <item x="19"/>
        <item x="20"/>
        <item x="36"/>
        <item x="37"/>
        <item x="39"/>
        <item x="38"/>
        <item x="3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5">
        <item x="1"/>
        <item x="0"/>
        <item x="2"/>
        <item m="1" x="3"/>
        <item t="default"/>
      </items>
    </pivotField>
    <pivotField compact="0" outline="0" showAll="0">
      <items count="380">
        <item x="349"/>
        <item x="350"/>
        <item x="207"/>
        <item x="137"/>
        <item x="217"/>
        <item x="57"/>
        <item x="119"/>
        <item x="256"/>
        <item x="322"/>
        <item x="4"/>
        <item x="5"/>
        <item x="206"/>
        <item x="58"/>
        <item x="223"/>
        <item x="208"/>
        <item x="15"/>
        <item x="1"/>
        <item x="359"/>
        <item x="174"/>
        <item x="175"/>
        <item x="14"/>
        <item x="189"/>
        <item x="16"/>
        <item x="340"/>
        <item x="59"/>
        <item x="312"/>
        <item x="60"/>
        <item x="120"/>
        <item x="357"/>
        <item x="22"/>
        <item x="313"/>
        <item x="209"/>
        <item x="136"/>
        <item x="360"/>
        <item x="62"/>
        <item x="213"/>
        <item x="257"/>
        <item x="164"/>
        <item x="165"/>
        <item x="17"/>
        <item x="176"/>
        <item x="34"/>
        <item x="341"/>
        <item x="258"/>
        <item x="63"/>
        <item x="259"/>
        <item x="218"/>
        <item x="260"/>
        <item x="352"/>
        <item x="342"/>
        <item x="261"/>
        <item x="121"/>
        <item x="122"/>
        <item x="64"/>
        <item x="65"/>
        <item x="66"/>
        <item x="25"/>
        <item x="67"/>
        <item x="68"/>
        <item x="69"/>
        <item x="70"/>
        <item x="27"/>
        <item x="71"/>
        <item x="72"/>
        <item x="73"/>
        <item x="9"/>
        <item x="32"/>
        <item x="262"/>
        <item x="247"/>
        <item x="263"/>
        <item x="264"/>
        <item x="231"/>
        <item x="74"/>
        <item x="75"/>
        <item x="76"/>
        <item x="61"/>
        <item x="77"/>
        <item x="78"/>
        <item x="18"/>
        <item x="79"/>
        <item x="80"/>
        <item x="81"/>
        <item x="82"/>
        <item x="83"/>
        <item x="10"/>
        <item x="123"/>
        <item x="124"/>
        <item x="125"/>
        <item x="84"/>
        <item x="126"/>
        <item x="85"/>
        <item x="86"/>
        <item x="219"/>
        <item x="331"/>
        <item x="303"/>
        <item x="87"/>
        <item x="127"/>
        <item x="211"/>
        <item x="19"/>
        <item x="304"/>
        <item x="323"/>
        <item x="332"/>
        <item x="358"/>
        <item x="305"/>
        <item x="351"/>
        <item x="39"/>
        <item x="40"/>
        <item x="21"/>
        <item x="265"/>
        <item x="205"/>
        <item x="285"/>
        <item x="214"/>
        <item x="306"/>
        <item x="343"/>
        <item x="266"/>
        <item x="210"/>
        <item x="41"/>
        <item x="286"/>
        <item x="24"/>
        <item x="224"/>
        <item x="307"/>
        <item x="232"/>
        <item x="88"/>
        <item x="344"/>
        <item x="233"/>
        <item x="324"/>
        <item x="287"/>
        <item x="234"/>
        <item x="354"/>
        <item x="43"/>
        <item x="321"/>
        <item x="228"/>
        <item x="361"/>
        <item x="8"/>
        <item x="235"/>
        <item x="13"/>
        <item x="288"/>
        <item x="220"/>
        <item x="267"/>
        <item x="229"/>
        <item x="268"/>
        <item x="325"/>
        <item x="221"/>
        <item x="308"/>
        <item x="35"/>
        <item x="89"/>
        <item x="345"/>
        <item x="283"/>
        <item x="212"/>
        <item x="269"/>
        <item x="346"/>
        <item x="52"/>
        <item x="244"/>
        <item x="270"/>
        <item x="326"/>
        <item x="226"/>
        <item x="289"/>
        <item x="333"/>
        <item x="215"/>
        <item x="90"/>
        <item x="51"/>
        <item x="236"/>
        <item x="290"/>
        <item x="253"/>
        <item x="254"/>
        <item x="338"/>
        <item x="291"/>
        <item x="56"/>
        <item x="309"/>
        <item x="375"/>
        <item x="53"/>
        <item x="292"/>
        <item x="310"/>
        <item x="271"/>
        <item x="245"/>
        <item x="55"/>
        <item x="272"/>
        <item x="237"/>
        <item x="362"/>
        <item x="293"/>
        <item x="363"/>
        <item x="248"/>
        <item x="255"/>
        <item x="327"/>
        <item x="294"/>
        <item x="246"/>
        <item x="225"/>
        <item x="347"/>
        <item x="295"/>
        <item x="242"/>
        <item x="42"/>
        <item x="249"/>
        <item x="334"/>
        <item x="355"/>
        <item x="273"/>
        <item x="328"/>
        <item x="373"/>
        <item x="353"/>
        <item x="36"/>
        <item x="243"/>
        <item x="222"/>
        <item x="238"/>
        <item x="364"/>
        <item x="11"/>
        <item x="329"/>
        <item x="318"/>
        <item x="190"/>
        <item x="274"/>
        <item x="191"/>
        <item x="296"/>
        <item x="339"/>
        <item x="166"/>
        <item x="230"/>
        <item x="216"/>
        <item x="28"/>
        <item x="297"/>
        <item x="377"/>
        <item x="29"/>
        <item x="192"/>
        <item x="371"/>
        <item x="348"/>
        <item x="298"/>
        <item x="167"/>
        <item x="168"/>
        <item x="37"/>
        <item x="169"/>
        <item x="311"/>
        <item x="170"/>
        <item x="171"/>
        <item x="299"/>
        <item x="275"/>
        <item x="172"/>
        <item x="314"/>
        <item x="315"/>
        <item x="300"/>
        <item x="276"/>
        <item x="277"/>
        <item x="92"/>
        <item x="30"/>
        <item x="93"/>
        <item x="94"/>
        <item x="301"/>
        <item x="316"/>
        <item x="95"/>
        <item x="177"/>
        <item x="96"/>
        <item x="97"/>
        <item x="33"/>
        <item x="98"/>
        <item x="138"/>
        <item x="356"/>
        <item x="2"/>
        <item x="278"/>
        <item x="302"/>
        <item x="365"/>
        <item x="99"/>
        <item x="91"/>
        <item x="139"/>
        <item x="140"/>
        <item x="141"/>
        <item x="142"/>
        <item x="279"/>
        <item x="143"/>
        <item x="144"/>
        <item x="145"/>
        <item x="280"/>
        <item x="330"/>
        <item x="146"/>
        <item x="128"/>
        <item x="284"/>
        <item x="147"/>
        <item x="319"/>
        <item x="148"/>
        <item x="6"/>
        <item x="149"/>
        <item x="150"/>
        <item x="157"/>
        <item x="158"/>
        <item x="159"/>
        <item x="151"/>
        <item x="48"/>
        <item x="152"/>
        <item x="46"/>
        <item x="153"/>
        <item x="154"/>
        <item x="155"/>
        <item x="156"/>
        <item x="178"/>
        <item x="179"/>
        <item x="180"/>
        <item x="0"/>
        <item x="12"/>
        <item x="193"/>
        <item x="194"/>
        <item x="195"/>
        <item x="196"/>
        <item x="129"/>
        <item x="250"/>
        <item x="251"/>
        <item x="100"/>
        <item x="281"/>
        <item x="26"/>
        <item x="3"/>
        <item x="282"/>
        <item x="181"/>
        <item x="366"/>
        <item x="239"/>
        <item x="7"/>
        <item x="130"/>
        <item x="367"/>
        <item x="368"/>
        <item x="197"/>
        <item x="198"/>
        <item x="182"/>
        <item x="199"/>
        <item x="200"/>
        <item x="201"/>
        <item m="1" x="378"/>
        <item x="202"/>
        <item x="101"/>
        <item x="23"/>
        <item x="203"/>
        <item x="183"/>
        <item x="184"/>
        <item x="186"/>
        <item x="185"/>
        <item x="187"/>
        <item x="188"/>
        <item x="204"/>
        <item x="160"/>
        <item x="252"/>
        <item x="44"/>
        <item x="102"/>
        <item x="103"/>
        <item x="104"/>
        <item x="161"/>
        <item x="162"/>
        <item x="45"/>
        <item x="173"/>
        <item x="376"/>
        <item x="105"/>
        <item x="320"/>
        <item x="369"/>
        <item x="370"/>
        <item x="240"/>
        <item x="374"/>
        <item x="54"/>
        <item x="241"/>
        <item x="50"/>
        <item x="106"/>
        <item x="107"/>
        <item x="108"/>
        <item x="317"/>
        <item x="110"/>
        <item x="20"/>
        <item x="372"/>
        <item x="109"/>
        <item x="111"/>
        <item x="112"/>
        <item x="131"/>
        <item x="132"/>
        <item x="133"/>
        <item x="335"/>
        <item x="113"/>
        <item x="114"/>
        <item x="115"/>
        <item x="336"/>
        <item x="31"/>
        <item x="116"/>
        <item x="117"/>
        <item x="38"/>
        <item x="337"/>
        <item x="134"/>
        <item x="47"/>
        <item x="163"/>
        <item x="49"/>
        <item x="135"/>
        <item x="227"/>
        <item x="118"/>
        <item t="default"/>
      </items>
    </pivotField>
    <pivotField axis="axisPage" compact="0" outline="0" showAll="0">
      <items count="1962">
        <item x="1160"/>
        <item x="70"/>
        <item x="657"/>
        <item x="738"/>
        <item x="807"/>
        <item x="709"/>
        <item x="823"/>
        <item x="783"/>
        <item x="441"/>
        <item x="498"/>
        <item x="1889"/>
        <item x="1062"/>
        <item x="1276"/>
        <item x="962"/>
        <item x="989"/>
        <item x="1527"/>
        <item x="1528"/>
        <item x="590"/>
        <item x="591"/>
        <item x="1890"/>
        <item x="1172"/>
        <item x="1944"/>
        <item x="592"/>
        <item x="1405"/>
        <item x="1811"/>
        <item x="1891"/>
        <item x="1728"/>
        <item x="1729"/>
        <item x="53"/>
        <item x="753"/>
        <item x="524"/>
        <item x="1342"/>
        <item x="1243"/>
        <item x="1730"/>
        <item x="593"/>
        <item x="1635"/>
        <item x="1086"/>
        <item x="963"/>
        <item x="990"/>
        <item x="1046"/>
        <item x="1095"/>
        <item x="1257"/>
        <item x="594"/>
        <item x="595"/>
        <item x="1636"/>
        <item x="1731"/>
        <item x="1812"/>
        <item x="920"/>
        <item x="1637"/>
        <item x="1813"/>
        <item x="1638"/>
        <item x="1814"/>
        <item x="1343"/>
        <item x="1258"/>
        <item x="1244"/>
        <item x="1245"/>
        <item x="1274"/>
        <item x="434"/>
        <item x="1732"/>
        <item x="1529"/>
        <item x="1892"/>
        <item x="1639"/>
        <item x="500"/>
        <item x="501"/>
        <item x="964"/>
        <item x="435"/>
        <item x="1530"/>
        <item x="1893"/>
        <item x="1330"/>
        <item x="871"/>
        <item x="477"/>
        <item x="1895"/>
        <item x="1407"/>
        <item x="1734"/>
        <item x="1138"/>
        <item x="14"/>
        <item x="1735"/>
        <item x="1896"/>
        <item x="1409"/>
        <item x="1408"/>
        <item x="1139"/>
        <item x="872"/>
        <item x="873"/>
        <item x="1140"/>
        <item x="359"/>
        <item x="874"/>
        <item x="1897"/>
        <item x="1737"/>
        <item x="1021"/>
        <item x="965"/>
        <item x="991"/>
        <item x="1299"/>
        <item x="1531"/>
        <item x="1640"/>
        <item x="1898"/>
        <item x="596"/>
        <item x="360"/>
        <item x="839"/>
        <item x="408"/>
        <item x="1344"/>
        <item x="1259"/>
        <item x="1141"/>
        <item x="1173"/>
        <item x="1107"/>
        <item x="1345"/>
        <item x="1899"/>
        <item x="1815"/>
        <item x="1641"/>
        <item x="1532"/>
        <item x="1410"/>
        <item x="597"/>
        <item x="1642"/>
        <item x="1533"/>
        <item x="598"/>
        <item x="287"/>
        <item x="795"/>
        <item x="660"/>
        <item x="810"/>
        <item x="453"/>
        <item x="723"/>
        <item x="1411"/>
        <item x="1900"/>
        <item x="423"/>
        <item x="258"/>
        <item x="1285"/>
        <item x="1346"/>
        <item x="1174"/>
        <item x="33"/>
        <item x="1347"/>
        <item x="34"/>
        <item x="259"/>
        <item x="1412"/>
        <item x="1643"/>
        <item x="1901"/>
        <item x="1817"/>
        <item x="1902"/>
        <item x="361"/>
        <item x="436"/>
        <item x="662"/>
        <item x="698"/>
        <item x="733"/>
        <item x="767"/>
        <item x="1534"/>
        <item x="1644"/>
        <item x="1819"/>
        <item x="1903"/>
        <item x="1142"/>
        <item x="1175"/>
        <item x="1535"/>
        <item x="288"/>
        <item x="1536"/>
        <item x="1904"/>
        <item x="1645"/>
        <item x="1413"/>
        <item x="664"/>
        <item x="684"/>
        <item x="798"/>
        <item x="812"/>
        <item x="1011"/>
        <item x="992"/>
        <item x="966"/>
        <item x="1218"/>
        <item x="799"/>
        <item x="780"/>
        <item x="289"/>
        <item x="48"/>
        <item x="1143"/>
        <item x="1414"/>
        <item x="291"/>
        <item x="599"/>
        <item x="665"/>
        <item x="813"/>
        <item x="800"/>
        <item x="781"/>
        <item x="782"/>
        <item x="924"/>
        <item x="967"/>
        <item x="292"/>
        <item x="968"/>
        <item x="993"/>
        <item x="1260"/>
        <item x="293"/>
        <item x="1415"/>
        <item x="1820"/>
        <item x="584"/>
        <item x="600"/>
        <item x="666"/>
        <item x="801"/>
        <item x="724"/>
        <item x="768"/>
        <item x="769"/>
        <item x="840"/>
        <item x="875"/>
        <item x="881"/>
        <item x="882"/>
        <item x="876"/>
        <item x="877"/>
        <item x="883"/>
        <item x="841"/>
        <item x="1821"/>
        <item x="601"/>
        <item x="1012"/>
        <item x="1044"/>
        <item x="994"/>
        <item x="969"/>
        <item x="1261"/>
        <item x="884"/>
        <item x="885"/>
        <item x="878"/>
        <item x="843"/>
        <item x="842"/>
        <item x="294"/>
        <item x="879"/>
        <item x="844"/>
        <item x="886"/>
        <item x="887"/>
        <item x="845"/>
        <item x="846"/>
        <item x="1045"/>
        <item x="1099"/>
        <item x="1648"/>
        <item x="602"/>
        <item x="847"/>
        <item x="889"/>
        <item x="890"/>
        <item x="848"/>
        <item x="603"/>
        <item x="849"/>
        <item x="850"/>
        <item x="891"/>
        <item x="118"/>
        <item x="894"/>
        <item x="925"/>
        <item x="1206"/>
        <item x="757"/>
        <item x="725"/>
        <item x="803"/>
        <item x="668"/>
        <item x="880"/>
        <item x="804"/>
        <item x="669"/>
        <item x="35"/>
        <item x="851"/>
        <item x="892"/>
        <item x="1649"/>
        <item x="116"/>
        <item x="119"/>
        <item x="120"/>
        <item x="852"/>
        <item x="853"/>
        <item x="121"/>
        <item x="1906"/>
        <item x="854"/>
        <item x="670"/>
        <item x="726"/>
        <item x="735"/>
        <item x="770"/>
        <item x="714"/>
        <item x="1300"/>
        <item x="736"/>
        <item x="805"/>
        <item x="1650"/>
        <item x="1907"/>
        <item x="122"/>
        <item x="203"/>
        <item x="322"/>
        <item x="207"/>
        <item x="321"/>
        <item x="323"/>
        <item x="737"/>
        <item x="806"/>
        <item x="1908"/>
        <item x="123"/>
        <item x="324"/>
        <item x="541"/>
        <item x="204"/>
        <item x="1262"/>
        <item x="995"/>
        <item x="1013"/>
        <item x="1301"/>
        <item x="926"/>
        <item x="970"/>
        <item x="1047"/>
        <item x="671"/>
        <item x="715"/>
        <item x="450"/>
        <item x="124"/>
        <item x="205"/>
        <item x="1909"/>
        <item x="330"/>
        <item x="40"/>
        <item x="331"/>
        <item x="1290"/>
        <item x="1910"/>
        <item x="125"/>
        <item x="206"/>
        <item x="208"/>
        <item x="332"/>
        <item x="237"/>
        <item x="238"/>
        <item x="333"/>
        <item x="248"/>
        <item x="1271"/>
        <item x="727"/>
        <item x="3"/>
        <item x="1306"/>
        <item x="927"/>
        <item x="209"/>
        <item x="604"/>
        <item x="1349"/>
        <item x="605"/>
        <item x="1538"/>
        <item x="1048"/>
        <item x="971"/>
        <item x="1263"/>
        <item x="672"/>
        <item x="716"/>
        <item x="1539"/>
        <item x="606"/>
        <item x="607"/>
        <item x="126"/>
        <item x="1305"/>
        <item x="1651"/>
        <item x="1823"/>
        <item x="1738"/>
        <item x="1418"/>
        <item x="1911"/>
        <item x="210"/>
        <item x="928"/>
        <item x="127"/>
        <item x="117"/>
        <item x="608"/>
        <item x="1540"/>
        <item x="325"/>
        <item x="717"/>
        <item x="673"/>
        <item x="728"/>
        <item x="239"/>
        <item x="326"/>
        <item x="327"/>
        <item x="328"/>
        <item x="240"/>
        <item x="249"/>
        <item x="929"/>
        <item x="1207"/>
        <item x="930"/>
        <item x="1302"/>
        <item x="416"/>
        <item x="241"/>
        <item x="609"/>
        <item x="1541"/>
        <item x="610"/>
        <item x="329"/>
        <item x="242"/>
        <item x="675"/>
        <item x="819"/>
        <item x="1150"/>
        <item x="1144"/>
        <item x="611"/>
        <item x="674"/>
        <item x="243"/>
        <item x="1049"/>
        <item x="1303"/>
        <item x="1264"/>
        <item x="1331"/>
        <item x="612"/>
        <item x="244"/>
        <item x="820"/>
        <item x="245"/>
        <item x="821"/>
        <item x="613"/>
        <item x="1739"/>
        <item x="1824"/>
        <item x="1226"/>
        <item x="1208"/>
        <item x="931"/>
        <item x="1265"/>
        <item x="1304"/>
        <item x="1054"/>
        <item x="972"/>
        <item x="996"/>
        <item x="1014"/>
        <item x="246"/>
        <item x="1219"/>
        <item x="260"/>
        <item x="247"/>
        <item x="250"/>
        <item x="443"/>
        <item x="1959"/>
        <item x="1825"/>
        <item x="1740"/>
        <item x="1176"/>
        <item x="251"/>
        <item x="1542"/>
        <item x="895"/>
        <item x="1055"/>
        <item x="997"/>
        <item x="1015"/>
        <item x="1266"/>
        <item x="1307"/>
        <item x="1220"/>
        <item x="973"/>
        <item x="1022"/>
        <item x="1105"/>
        <item x="252"/>
        <item x="7"/>
        <item x="1543"/>
        <item x="896"/>
        <item x="253"/>
        <item x="296"/>
        <item x="254"/>
        <item x="897"/>
        <item x="334"/>
        <item x="1419"/>
        <item x="1544"/>
        <item x="297"/>
        <item x="298"/>
        <item x="1308"/>
        <item x="1941"/>
        <item x="269"/>
        <item x="299"/>
        <item x="1420"/>
        <item x="300"/>
        <item x="270"/>
        <item x="301"/>
        <item x="271"/>
        <item x="1741"/>
        <item x="514"/>
        <item x="478"/>
        <item x="302"/>
        <item x="261"/>
        <item x="417"/>
        <item x="62"/>
        <item x="1742"/>
        <item x="303"/>
        <item x="272"/>
        <item x="262"/>
        <item x="256"/>
        <item x="974"/>
        <item x="1322"/>
        <item x="1335"/>
        <item x="304"/>
        <item x="263"/>
        <item x="57"/>
        <item x="418"/>
        <item x="257"/>
        <item x="264"/>
        <item x="305"/>
        <item x="1652"/>
        <item x="1830"/>
        <item x="1421"/>
        <item x="265"/>
        <item x="306"/>
        <item x="1545"/>
        <item x="1653"/>
        <item x="1831"/>
        <item x="1422"/>
        <item x="307"/>
        <item x="266"/>
        <item x="1654"/>
        <item x="308"/>
        <item x="267"/>
        <item x="1063"/>
        <item x="1280"/>
        <item x="1291"/>
        <item x="932"/>
        <item x="268"/>
        <item x="1743"/>
        <item x="1826"/>
        <item x="1655"/>
        <item x="1956"/>
        <item x="527"/>
        <item x="335"/>
        <item x="503"/>
        <item x="1656"/>
        <item x="614"/>
        <item x="1827"/>
        <item x="528"/>
        <item x="1828"/>
        <item x="1657"/>
        <item x="60"/>
        <item x="0"/>
        <item x="61"/>
        <item x="1268"/>
        <item x="526"/>
        <item x="1951"/>
        <item x="1818"/>
        <item x="1930"/>
        <item x="625"/>
        <item x="1439"/>
        <item x="1549"/>
        <item x="367"/>
        <item x="482"/>
        <item x="483"/>
        <item x="1440"/>
        <item x="1931"/>
        <item x="368"/>
        <item x="628"/>
        <item x="1666"/>
        <item x="363"/>
        <item x="1913"/>
        <item x="1423"/>
        <item x="975"/>
        <item x="998"/>
        <item x="1916"/>
        <item x="504"/>
        <item x="1424"/>
        <item x="999"/>
        <item x="933"/>
        <item x="1336"/>
        <item x="1267"/>
        <item x="1104"/>
        <item x="1017"/>
        <item x="1051"/>
        <item x="1024"/>
        <item x="977"/>
        <item x="366"/>
        <item x="529"/>
        <item x="616"/>
        <item x="1425"/>
        <item x="1914"/>
        <item x="1658"/>
        <item x="1917"/>
        <item x="617"/>
        <item x="898"/>
        <item x="213"/>
        <item x="525"/>
        <item x="1918"/>
        <item x="618"/>
        <item x="1426"/>
        <item x="1281"/>
        <item x="978"/>
        <item x="1064"/>
        <item x="1096"/>
        <item x="934"/>
        <item x="365"/>
        <item x="1332"/>
        <item x="1247"/>
        <item x="1147"/>
        <item x="1065"/>
        <item x="1215"/>
        <item x="979"/>
        <item x="1097"/>
        <item x="1282"/>
        <item x="8"/>
        <item x="10"/>
        <item x="16"/>
        <item x="391"/>
        <item x="388"/>
        <item x="1209"/>
        <item x="935"/>
        <item x="1000"/>
        <item x="1210"/>
        <item x="1292"/>
        <item x="1309"/>
        <item x="936"/>
        <item x="31"/>
        <item x="1310"/>
        <item x="1248"/>
        <item x="1148"/>
        <item x="1178"/>
        <item x="1052"/>
        <item x="1284"/>
        <item x="1283"/>
        <item x="937"/>
        <item x="1066"/>
        <item x="1001"/>
        <item x="938"/>
        <item x="1211"/>
        <item x="1311"/>
        <item x="1216"/>
        <item x="1080"/>
        <item x="980"/>
        <item x="1002"/>
        <item x="1100"/>
        <item x="55"/>
        <item x="939"/>
        <item x="56"/>
        <item x="58"/>
        <item x="1249"/>
        <item x="1077"/>
        <item x="1067"/>
        <item x="1018"/>
        <item x="1004"/>
        <item x="981"/>
        <item x="940"/>
        <item x="1312"/>
        <item x="1212"/>
        <item x="64"/>
        <item x="1003"/>
        <item x="1087"/>
        <item x="941"/>
        <item x="1213"/>
        <item x="1313"/>
        <item x="1088"/>
        <item x="1005"/>
        <item x="1078"/>
        <item x="1250"/>
        <item x="1227"/>
        <item x="39"/>
        <item x="25"/>
        <item x="24"/>
        <item x="982"/>
        <item x="1314"/>
        <item x="983"/>
        <item x="1070"/>
        <item x="1315"/>
        <item x="1228"/>
        <item x="36"/>
        <item x="49"/>
        <item x="984"/>
        <item x="1006"/>
        <item x="1"/>
        <item x="1952"/>
        <item x="502"/>
        <item x="1953"/>
        <item x="1915"/>
        <item x="615"/>
        <item x="1829"/>
        <item x="479"/>
        <item x="362"/>
        <item x="1146"/>
        <item x="1177"/>
        <item x="1246"/>
        <item x="15"/>
        <item x="390"/>
        <item x="1016"/>
        <item x="976"/>
        <item x="1050"/>
        <item x="1023"/>
        <item x="1106"/>
        <item x="1103"/>
        <item x="699"/>
        <item x="128"/>
        <item x="212"/>
        <item x="1912"/>
        <item x="364"/>
        <item x="103"/>
        <item x="1181"/>
        <item x="1182"/>
        <item x="400"/>
        <item x="235"/>
        <item x="1194"/>
        <item x="1221"/>
        <item x="1233"/>
        <item x="1562"/>
        <item x="426"/>
        <item x="1563"/>
        <item x="155"/>
        <item x="72"/>
        <item x="1745"/>
        <item x="1195"/>
        <item x="1272"/>
        <item x="156"/>
        <item x="1746"/>
        <item x="1564"/>
        <item x="1151"/>
        <item x="1565"/>
        <item x="1747"/>
        <item x="1943"/>
        <item x="1945"/>
        <item x="1748"/>
        <item x="1367"/>
        <item x="1368"/>
        <item x="1566"/>
        <item x="542"/>
        <item x="906"/>
        <item x="1957"/>
        <item x="1071"/>
        <item x="1325"/>
        <item x="5"/>
        <item x="1749"/>
        <item x="1567"/>
        <item x="1568"/>
        <item x="461"/>
        <item x="6"/>
        <item x="1685"/>
        <item x="1686"/>
        <item x="1569"/>
        <item x="1571"/>
        <item x="462"/>
        <item x="1357"/>
        <item x="1350"/>
        <item x="1358"/>
        <item x="392"/>
        <item x="534"/>
        <item x="1108"/>
        <item x="1152"/>
        <item x="1687"/>
        <item x="543"/>
        <item x="1572"/>
        <item x="1573"/>
        <item x="1750"/>
        <item x="73"/>
        <item x="157"/>
        <item x="1351"/>
        <item x="1369"/>
        <item x="437"/>
        <item x="1317"/>
        <item x="1574"/>
        <item x="1751"/>
        <item x="1575"/>
        <item x="1352"/>
        <item x="402"/>
        <item x="1183"/>
        <item x="19"/>
        <item x="1576"/>
        <item x="1577"/>
        <item x="1109"/>
        <item x="2"/>
        <item x="1353"/>
        <item x="1752"/>
        <item x="1370"/>
        <item x="1578"/>
        <item x="1072"/>
        <item x="1073"/>
        <item x="316"/>
        <item x="1355"/>
        <item x="317"/>
        <item x="1074"/>
        <item x="1110"/>
        <item x="1753"/>
        <item x="1371"/>
        <item x="1570"/>
        <item x="318"/>
        <item x="353"/>
        <item x="354"/>
        <item x="943"/>
        <item x="985"/>
        <item x="18"/>
        <item x="319"/>
        <item x="355"/>
        <item x="352"/>
        <item x="358"/>
        <item x="1111"/>
        <item x="1223"/>
        <item x="20"/>
        <item x="1337"/>
        <item x="1235"/>
        <item x="824"/>
        <item x="1754"/>
        <item x="1372"/>
        <item x="1688"/>
        <item x="1579"/>
        <item x="158"/>
        <item x="74"/>
        <item x="535"/>
        <item x="403"/>
        <item x="825"/>
        <item x="160"/>
        <item x="1755"/>
        <item x="826"/>
        <item x="75"/>
        <item x="159"/>
        <item x="1580"/>
        <item x="1756"/>
        <item x="1757"/>
        <item x="1689"/>
        <item x="1690"/>
        <item x="1691"/>
        <item x="1373"/>
        <item x="161"/>
        <item x="827"/>
        <item x="1196"/>
        <item x="1153"/>
        <item x="44"/>
        <item x="43"/>
        <item x="27"/>
        <item x="236"/>
        <item x="1155"/>
        <item x="162"/>
        <item x="76"/>
        <item x="1692"/>
        <item x="1693"/>
        <item x="1694"/>
        <item x="1581"/>
        <item x="1582"/>
        <item x="1758"/>
        <item x="1759"/>
        <item x="1318"/>
        <item x="828"/>
        <item x="1452"/>
        <item x="1583"/>
        <item x="1760"/>
        <item x="1374"/>
        <item x="1375"/>
        <item x="1453"/>
        <item x="829"/>
        <item x="404"/>
        <item x="1454"/>
        <item x="515"/>
        <item x="232"/>
        <item x="1947"/>
        <item x="1026"/>
        <item x="1089"/>
        <item x="405"/>
        <item x="1851"/>
        <item x="1852"/>
        <item x="1455"/>
        <item x="1376"/>
        <item x="1377"/>
        <item x="1456"/>
        <item x="1457"/>
        <item x="1853"/>
        <item x="1854"/>
        <item x="78"/>
        <item x="419"/>
        <item x="1157"/>
        <item x="1378"/>
        <item x="1458"/>
        <item x="1855"/>
        <item x="1856"/>
        <item x="1857"/>
        <item x="1946"/>
        <item x="1459"/>
        <item x="1858"/>
        <item x="544"/>
        <item x="545"/>
        <item x="420"/>
        <item x="1326"/>
        <item x="1363"/>
        <item x="546"/>
        <item x="1761"/>
        <item x="1460"/>
        <item x="284"/>
        <item x="1364"/>
        <item x="285"/>
        <item x="1461"/>
        <item x="21"/>
        <item x="286"/>
        <item x="1584"/>
        <item x="1585"/>
        <item x="1462"/>
        <item x="1463"/>
        <item x="1762"/>
        <item x="320"/>
        <item x="1224"/>
        <item x="1222"/>
        <item x="1158"/>
        <item x="1586"/>
        <item x="1464"/>
        <item x="1763"/>
        <item x="1764"/>
        <item x="1765"/>
        <item x="1766"/>
        <item x="506"/>
        <item x="1184"/>
        <item x="41"/>
        <item x="1767"/>
        <item x="1587"/>
        <item x="1588"/>
        <item x="1465"/>
        <item x="1768"/>
        <item x="1112"/>
        <item x="1589"/>
        <item x="1466"/>
        <item x="1470"/>
        <item x="1090"/>
        <item x="1590"/>
        <item x="1467"/>
        <item x="547"/>
        <item x="1591"/>
        <item x="438"/>
        <item x="1113"/>
        <item x="79"/>
        <item x="163"/>
        <item x="1592"/>
        <item x="1468"/>
        <item x="1471"/>
        <item x="548"/>
        <item x="549"/>
        <item x="550"/>
        <item x="551"/>
        <item x="427"/>
        <item x="489"/>
        <item x="1593"/>
        <item x="1114"/>
        <item x="1695"/>
        <item x="1594"/>
        <item x="552"/>
        <item x="1197"/>
        <item x="1473"/>
        <item x="1595"/>
        <item x="1770"/>
        <item x="233"/>
        <item x="1469"/>
        <item x="1769"/>
        <item x="1115"/>
        <item x="1771"/>
        <item x="1472"/>
        <item x="553"/>
        <item x="1474"/>
        <item x="1028"/>
        <item x="1772"/>
        <item x="1773"/>
        <item x="1774"/>
        <item x="554"/>
        <item x="164"/>
        <item x="1475"/>
        <item x="1029"/>
        <item x="1116"/>
        <item x="833"/>
        <item x="393"/>
        <item x="409"/>
        <item x="1775"/>
        <item x="1476"/>
        <item x="165"/>
        <item x="463"/>
        <item x="1030"/>
        <item x="166"/>
        <item x="80"/>
        <item x="1477"/>
        <item x="1478"/>
        <item x="394"/>
        <item x="1185"/>
        <item x="1117"/>
        <item x="395"/>
        <item x="1359"/>
        <item x="1777"/>
        <item x="555"/>
        <item x="1479"/>
        <item x="81"/>
        <item x="556"/>
        <item x="1859"/>
        <item x="1480"/>
        <item x="82"/>
        <item x="1360"/>
        <item x="396"/>
        <item x="83"/>
        <item x="30"/>
        <item x="557"/>
        <item x="558"/>
        <item x="1860"/>
        <item x="1778"/>
        <item x="1481"/>
        <item x="1118"/>
        <item x="84"/>
        <item x="1278"/>
        <item x="397"/>
        <item x="1361"/>
        <item x="1861"/>
        <item x="1862"/>
        <item x="85"/>
        <item x="1482"/>
        <item x="1483"/>
        <item x="86"/>
        <item x="1863"/>
        <item x="1864"/>
        <item x="167"/>
        <item x="464"/>
        <item x="87"/>
        <item x="168"/>
        <item x="1068"/>
        <item x="1007"/>
        <item x="1865"/>
        <item x="1866"/>
        <item x="1119"/>
        <item x="642"/>
        <item x="413"/>
        <item x="169"/>
        <item x="88"/>
        <item x="830"/>
        <item x="1273"/>
        <item x="1031"/>
        <item x="1008"/>
        <item x="32"/>
        <item x="831"/>
        <item x="90"/>
        <item x="171"/>
        <item x="172"/>
        <item x="1599"/>
        <item x="1600"/>
        <item x="1781"/>
        <item x="91"/>
        <item x="173"/>
        <item x="1776"/>
        <item x="1782"/>
        <item x="832"/>
        <item x="834"/>
        <item x="92"/>
        <item x="1186"/>
        <item x="1868"/>
        <item x="1783"/>
        <item x="1601"/>
        <item x="1484"/>
        <item x="1485"/>
        <item x="93"/>
        <item x="174"/>
        <item x="444"/>
        <item x="451"/>
        <item x="457"/>
        <item x="11"/>
        <item x="447"/>
        <item x="835"/>
        <item x="175"/>
        <item x="94"/>
        <item x="1487"/>
        <item x="1602"/>
        <item x="1603"/>
        <item x="1784"/>
        <item x="1486"/>
        <item x="836"/>
        <item x="95"/>
        <item x="1785"/>
        <item x="559"/>
        <item x="1604"/>
        <item x="429"/>
        <item x="1786"/>
        <item x="176"/>
        <item x="177"/>
        <item x="1489"/>
        <item x="1236"/>
        <item x="1187"/>
        <item x="1188"/>
        <item x="1154"/>
        <item x="1954"/>
        <item x="389"/>
        <item x="37"/>
        <item x="1327"/>
        <item x="1319"/>
        <item x="837"/>
        <item x="1490"/>
        <item x="1491"/>
        <item x="1605"/>
        <item x="1606"/>
        <item x="1787"/>
        <item x="838"/>
        <item x="1492"/>
        <item x="1788"/>
        <item x="1789"/>
        <item x="560"/>
        <item x="516"/>
        <item x="945"/>
        <item x="1091"/>
        <item x="1493"/>
        <item x="1494"/>
        <item x="561"/>
        <item x="1032"/>
        <item x="1275"/>
        <item x="562"/>
        <item x="563"/>
        <item x="1495"/>
        <item x="638"/>
        <item x="564"/>
        <item x="1696"/>
        <item x="1120"/>
        <item x="465"/>
        <item x="1790"/>
        <item x="1791"/>
        <item x="1033"/>
        <item x="946"/>
        <item x="565"/>
        <item x="96"/>
        <item x="1697"/>
        <item x="566"/>
        <item x="1870"/>
        <item x="639"/>
        <item x="1869"/>
        <item x="490"/>
        <item x="410"/>
        <item x="1871"/>
        <item x="1872"/>
        <item x="97"/>
        <item x="1121"/>
        <item x="98"/>
        <item x="567"/>
        <item x="178"/>
        <item x="1792"/>
        <item x="406"/>
        <item x="77"/>
        <item x="466"/>
        <item x="99"/>
        <item x="179"/>
        <item x="1698"/>
        <item x="1607"/>
        <item x="1608"/>
        <item x="691"/>
        <item x="1122"/>
        <item x="100"/>
        <item x="180"/>
        <item x="1609"/>
        <item x="1699"/>
        <item x="22"/>
        <item x="28"/>
        <item x="42"/>
        <item x="38"/>
        <item x="1700"/>
        <item x="1610"/>
        <item x="101"/>
        <item x="181"/>
        <item x="439"/>
        <item x="1948"/>
        <item x="454"/>
        <item x="102"/>
        <item x="182"/>
        <item x="1611"/>
        <item x="1701"/>
        <item x="1365"/>
        <item x="1958"/>
        <item x="505"/>
        <item x="1702"/>
        <item x="1612"/>
        <item x="183"/>
        <item x="184"/>
        <item x="692"/>
        <item x="1034"/>
        <item x="1328"/>
        <item x="1279"/>
        <item x="467"/>
        <item x="185"/>
        <item x="1613"/>
        <item x="1704"/>
        <item x="104"/>
        <item x="1366"/>
        <item x="1123"/>
        <item x="1614"/>
        <item x="105"/>
        <item x="186"/>
        <item x="1705"/>
        <item x="1706"/>
        <item x="1707"/>
        <item x="106"/>
        <item x="187"/>
        <item x="12"/>
        <item x="13"/>
        <item x="947"/>
        <item x="1035"/>
        <item x="1708"/>
        <item x="107"/>
        <item x="188"/>
        <item x="507"/>
        <item x="508"/>
        <item x="411"/>
        <item x="428"/>
        <item x="1496"/>
        <item x="189"/>
        <item x="1189"/>
        <item x="234"/>
        <item x="190"/>
        <item x="191"/>
        <item x="1497"/>
        <item x="1498"/>
        <item x="1225"/>
        <item x="1102"/>
        <item x="1338"/>
        <item x="192"/>
        <item x="1499"/>
        <item x="1500"/>
        <item x="1036"/>
        <item x="1081"/>
        <item x="1793"/>
        <item x="1379"/>
        <item x="193"/>
        <item x="1501"/>
        <item x="108"/>
        <item x="948"/>
        <item x="954"/>
        <item x="1502"/>
        <item x="1488"/>
        <item x="1503"/>
        <item x="194"/>
        <item x="468"/>
        <item x="195"/>
        <item x="1839"/>
        <item x="1842"/>
        <item x="1445"/>
        <item x="1558"/>
        <item x="1744"/>
        <item x="1679"/>
        <item x="1559"/>
        <item x="487"/>
        <item x="140"/>
        <item x="863"/>
        <item x="141"/>
        <item x="1845"/>
        <item x="864"/>
        <item x="424"/>
        <item x="348"/>
        <item x="1682"/>
        <item x="349"/>
        <item x="1848"/>
        <item x="401"/>
        <item x="1596"/>
        <item x="1597"/>
        <item x="1867"/>
        <item x="89"/>
        <item x="170"/>
        <item x="1779"/>
        <item x="1780"/>
        <item x="1598"/>
        <item x="1159"/>
        <item x="1354"/>
        <item x="351"/>
        <item x="356"/>
        <item x="357"/>
        <item x="677"/>
        <item x="678"/>
        <item x="679"/>
        <item x="641"/>
        <item x="680"/>
        <item x="643"/>
        <item x="784"/>
        <item x="681"/>
        <item x="772"/>
        <item x="644"/>
        <item x="761"/>
        <item x="455"/>
        <item x="456"/>
        <item x="458"/>
        <item x="448"/>
        <item x="452"/>
        <item x="445"/>
        <item x="645"/>
        <item x="685"/>
        <item x="762"/>
        <item x="763"/>
        <item x="646"/>
        <item x="686"/>
        <item x="196"/>
        <item x="109"/>
        <item x="1703"/>
        <item x="1709"/>
        <item x="1504"/>
        <item x="1625"/>
        <item x="583"/>
        <item x="1880"/>
        <item x="1881"/>
        <item x="1624"/>
        <item x="582"/>
        <item x="764"/>
        <item x="1723"/>
        <item x="921"/>
        <item x="1156"/>
        <item x="1027"/>
        <item x="1161"/>
        <item x="1794"/>
        <item x="1505"/>
        <item x="1506"/>
        <item x="197"/>
        <item x="110"/>
        <item x="1710"/>
        <item x="949"/>
        <item x="491"/>
        <item x="1237"/>
        <item x="430"/>
        <item x="1162"/>
        <item x="950"/>
        <item x="1238"/>
        <item x="1239"/>
        <item x="1163"/>
        <item x="676"/>
        <item x="718"/>
        <item x="1507"/>
        <item x="1711"/>
        <item x="1712"/>
        <item x="1713"/>
        <item x="1240"/>
        <item x="398"/>
        <item x="1714"/>
        <item x="469"/>
        <item x="517"/>
        <item x="518"/>
        <item x="198"/>
        <item x="199"/>
        <item x="111"/>
        <item x="399"/>
        <item x="200"/>
        <item x="519"/>
        <item x="412"/>
        <item x="1949"/>
        <item x="23"/>
        <item x="1082"/>
        <item x="907"/>
        <item x="1190"/>
        <item x="1198"/>
        <item x="1199"/>
        <item x="951"/>
        <item x="1339"/>
        <item x="1340"/>
        <item x="1362"/>
        <item x="1356"/>
        <item x="1380"/>
        <item x="1381"/>
        <item x="1382"/>
        <item x="1383"/>
        <item x="1191"/>
        <item x="1192"/>
        <item x="50"/>
        <item x="112"/>
        <item x="201"/>
        <item x="1384"/>
        <item x="1508"/>
        <item x="1615"/>
        <item x="568"/>
        <item x="509"/>
        <item x="492"/>
        <item x="51"/>
        <item x="569"/>
        <item x="1269"/>
        <item x="952"/>
        <item x="944"/>
        <item x="1009"/>
        <item x="1037"/>
        <item x="26"/>
        <item x="1038"/>
        <item x="1509"/>
        <item x="570"/>
        <item x="1386"/>
        <item x="387"/>
        <item x="908"/>
        <item x="1201"/>
        <item x="1200"/>
        <item x="953"/>
        <item x="956"/>
        <item x="1039"/>
        <item x="1270"/>
        <item x="421"/>
        <item x="1241"/>
        <item x="1164"/>
        <item x="1165"/>
        <item x="1124"/>
        <item x="1387"/>
        <item x="571"/>
        <item x="1510"/>
        <item x="1193"/>
        <item x="1251"/>
        <item x="1125"/>
        <item x="407"/>
        <item x="1126"/>
        <item x="52"/>
        <item x="520"/>
        <item x="785"/>
        <item x="29"/>
        <item x="45"/>
        <item x="1277"/>
        <item x="1075"/>
        <item x="1069"/>
        <item x="986"/>
        <item x="1040"/>
        <item x="1320"/>
        <item x="909"/>
        <item x="1955"/>
        <item x="440"/>
        <item x="1127"/>
        <item x="470"/>
        <item x="113"/>
        <item x="1873"/>
        <item x="572"/>
        <item x="573"/>
        <item x="1795"/>
        <item x="1511"/>
        <item x="1512"/>
        <item x="1616"/>
        <item x="1617"/>
        <item x="1715"/>
        <item x="1716"/>
        <item x="1388"/>
        <item x="1389"/>
        <item x="493"/>
        <item x="1128"/>
        <item x="1385"/>
        <item x="510"/>
        <item x="471"/>
        <item x="910"/>
        <item x="1202"/>
        <item x="1166"/>
        <item x="472"/>
        <item x="1252"/>
        <item x="1513"/>
        <item x="1390"/>
        <item x="1391"/>
        <item x="1717"/>
        <item x="1718"/>
        <item x="1719"/>
        <item x="1720"/>
        <item x="1618"/>
        <item x="1619"/>
        <item x="1620"/>
        <item x="1796"/>
        <item x="1797"/>
        <item x="1875"/>
        <item x="1876"/>
        <item x="1877"/>
        <item x="1878"/>
        <item x="1286"/>
        <item x="54"/>
        <item x="905"/>
        <item x="1950"/>
        <item x="1392"/>
        <item x="1393"/>
        <item x="9"/>
        <item x="1394"/>
        <item x="574"/>
        <item x="575"/>
        <item x="1798"/>
        <item x="1799"/>
        <item x="1514"/>
        <item x="1515"/>
        <item x="1516"/>
        <item x="1517"/>
        <item x="473"/>
        <item x="1057"/>
        <item x="911"/>
        <item x="1203"/>
        <item x="17"/>
        <item x="576"/>
        <item x="577"/>
        <item x="1800"/>
        <item x="1801"/>
        <item x="494"/>
        <item x="431"/>
        <item x="578"/>
        <item x="579"/>
        <item x="1396"/>
        <item x="1395"/>
        <item x="1518"/>
        <item x="1721"/>
        <item x="1058"/>
        <item x="1076"/>
        <item x="1253"/>
        <item x="739"/>
        <item x="719"/>
        <item x="687"/>
        <item x="773"/>
        <item x="647"/>
        <item x="449"/>
        <item x="693"/>
        <item x="580"/>
        <item x="1621"/>
        <item x="1287"/>
        <item x="1293"/>
        <item x="912"/>
        <item x="432"/>
        <item x="1802"/>
        <item x="1622"/>
        <item x="1519"/>
        <item x="1294"/>
        <item x="46"/>
        <item x="955"/>
        <item x="1083"/>
        <item x="202"/>
        <item x="114"/>
        <item x="682"/>
        <item x="688"/>
        <item x="740"/>
        <item x="648"/>
        <item x="694"/>
        <item x="1254"/>
        <item x="1129"/>
        <item x="1288"/>
        <item x="1295"/>
        <item x="913"/>
        <item x="1204"/>
        <item x="957"/>
        <item x="1130"/>
        <item x="1149"/>
        <item x="1041"/>
        <item x="1059"/>
        <item x="1255"/>
        <item x="640"/>
        <item x="1397"/>
        <item x="1623"/>
        <item x="1520"/>
        <item x="460"/>
        <item x="495"/>
        <item x="414"/>
        <item x="1722"/>
        <item x="1398"/>
        <item x="1803"/>
        <item x="581"/>
        <item x="741"/>
        <item x="695"/>
        <item x="649"/>
        <item x="1131"/>
        <item x="1399"/>
        <item x="66"/>
        <item x="1167"/>
        <item x="915"/>
        <item x="1289"/>
        <item x="521"/>
        <item x="1133"/>
        <item x="1169"/>
        <item x="511"/>
        <item x="1804"/>
        <item x="1879"/>
        <item x="650"/>
        <item x="696"/>
        <item x="744"/>
        <item x="1170"/>
        <item x="1134"/>
        <item x="916"/>
        <item x="1205"/>
        <item x="442"/>
        <item x="496"/>
        <item x="1626"/>
        <item x="1882"/>
        <item x="1805"/>
        <item x="958"/>
        <item x="786"/>
        <item x="651"/>
        <item x="729"/>
        <item x="422"/>
        <item x="433"/>
        <item x="759"/>
        <item x="1627"/>
        <item x="1628"/>
        <item x="1806"/>
        <item x="1883"/>
        <item x="115"/>
        <item x="652"/>
        <item x="760"/>
        <item x="787"/>
        <item x="69"/>
        <item x="474"/>
        <item x="65"/>
        <item x="475"/>
        <item x="1296"/>
        <item x="961"/>
        <item x="1084"/>
        <item x="745"/>
        <item x="788"/>
        <item x="700"/>
        <item x="701"/>
        <item x="702"/>
        <item x="703"/>
        <item x="774"/>
        <item x="775"/>
        <item x="704"/>
        <item x="705"/>
        <item x="747"/>
        <item x="653"/>
        <item x="1629"/>
        <item x="585"/>
        <item x="1521"/>
        <item x="1522"/>
        <item x="748"/>
        <item x="536"/>
        <item x="1256"/>
        <item x="537"/>
        <item x="1329"/>
        <item x="1321"/>
        <item x="1061"/>
        <item x="1019"/>
        <item x="1092"/>
        <item x="1297"/>
        <item x="1523"/>
        <item x="1093"/>
        <item x="1042"/>
        <item x="914"/>
        <item x="959"/>
        <item x="749"/>
        <item x="706"/>
        <item x="814"/>
        <item x="815"/>
        <item x="654"/>
        <item x="689"/>
        <item x="720"/>
        <item x="746"/>
        <item x="765"/>
        <item x="789"/>
        <item x="808"/>
        <item x="1020"/>
        <item x="1094"/>
        <item x="71"/>
        <item x="1630"/>
        <item x="586"/>
        <item x="497"/>
        <item x="790"/>
        <item x="707"/>
        <item x="816"/>
        <item x="776"/>
        <item x="750"/>
        <item x="1724"/>
        <item x="67"/>
        <item x="68"/>
        <item x="917"/>
        <item x="1298"/>
        <item x="987"/>
        <item x="960"/>
        <item x="655"/>
        <item x="721"/>
        <item x="791"/>
        <item x="730"/>
        <item x="766"/>
        <item x="690"/>
        <item x="587"/>
        <item x="1807"/>
        <item x="1631"/>
        <item x="1400"/>
        <item x="697"/>
        <item x="923"/>
        <item x="1234"/>
        <item x="1428"/>
        <item x="1919"/>
        <item x="619"/>
        <item x="530"/>
        <item x="1427"/>
        <item x="531"/>
        <item x="1920"/>
        <item x="1429"/>
        <item x="622"/>
        <item x="341"/>
        <item x="629"/>
        <item x="342"/>
        <item x="1835"/>
        <item x="380"/>
        <item x="344"/>
        <item x="343"/>
        <item x="1667"/>
        <item x="630"/>
        <item x="1922"/>
        <item x="381"/>
        <item x="1937"/>
        <item x="345"/>
        <item x="382"/>
        <item x="631"/>
        <item x="1836"/>
        <item x="346"/>
        <item x="901"/>
        <item x="347"/>
        <item x="129"/>
        <item x="383"/>
        <item x="902"/>
        <item x="900"/>
        <item x="384"/>
        <item x="1668"/>
        <item x="1837"/>
        <item x="273"/>
        <item x="533"/>
        <item x="1669"/>
        <item x="1670"/>
        <item x="340"/>
        <item x="132"/>
        <item x="274"/>
        <item x="1671"/>
        <item x="309"/>
        <item x="275"/>
        <item x="310"/>
        <item x="133"/>
        <item x="134"/>
        <item x="276"/>
        <item x="1672"/>
        <item x="1921"/>
        <item x="1441"/>
        <item x="311"/>
        <item x="312"/>
        <item x="1442"/>
        <item x="277"/>
        <item x="278"/>
        <item x="313"/>
        <item x="314"/>
        <item x="1556"/>
        <item x="1838"/>
        <item x="1430"/>
        <item x="1673"/>
        <item x="1938"/>
        <item x="632"/>
        <item x="1443"/>
        <item x="1939"/>
        <item x="315"/>
        <item x="135"/>
        <item x="903"/>
        <item x="623"/>
        <item x="1840"/>
        <item x="1674"/>
        <item x="1960"/>
        <item x="484"/>
        <item x="1444"/>
        <item x="1841"/>
        <item x="1843"/>
        <item x="1675"/>
        <item x="1431"/>
        <item x="485"/>
        <item x="1676"/>
        <item x="1844"/>
        <item x="856"/>
        <item x="136"/>
        <item x="137"/>
        <item x="1677"/>
        <item x="1557"/>
        <item x="624"/>
        <item x="138"/>
        <item x="858"/>
        <item x="139"/>
        <item x="1678"/>
        <item x="859"/>
        <item x="860"/>
        <item x="861"/>
        <item x="862"/>
        <item x="857"/>
        <item x="865"/>
        <item x="1923"/>
        <item x="142"/>
        <item x="143"/>
        <item x="866"/>
        <item x="867"/>
        <item x="144"/>
        <item x="231"/>
        <item x="868"/>
        <item x="145"/>
        <item x="488"/>
        <item x="215"/>
        <item x="1432"/>
        <item x="1680"/>
        <item x="216"/>
        <item x="1940"/>
        <item x="1846"/>
        <item x="146"/>
        <item x="1560"/>
        <item x="869"/>
        <item x="870"/>
        <item x="620"/>
        <item x="147"/>
        <item x="1942"/>
        <item x="1681"/>
        <item x="217"/>
        <item x="148"/>
        <item x="218"/>
        <item x="425"/>
        <item x="219"/>
        <item x="899"/>
        <item x="1683"/>
        <item x="1847"/>
        <item x="149"/>
        <item x="904"/>
        <item x="150"/>
        <item x="220"/>
        <item x="221"/>
        <item x="350"/>
        <item x="480"/>
        <item x="385"/>
        <item x="222"/>
        <item x="1849"/>
        <item x="151"/>
        <item x="1446"/>
        <item x="152"/>
        <item x="223"/>
        <item x="386"/>
        <item x="1850"/>
        <item x="338"/>
        <item x="1447"/>
        <item x="633"/>
        <item x="153"/>
        <item x="224"/>
        <item x="1448"/>
        <item x="634"/>
        <item x="1924"/>
        <item x="1433"/>
        <item x="481"/>
        <item x="1434"/>
        <item x="1925"/>
        <item x="621"/>
        <item x="214"/>
        <item x="1435"/>
        <item x="1926"/>
        <item x="1927"/>
        <item x="1546"/>
        <item x="1436"/>
        <item x="130"/>
        <item x="1928"/>
        <item x="1437"/>
        <item x="1547"/>
        <item x="1438"/>
        <item x="1929"/>
        <item x="1548"/>
        <item x="1550"/>
        <item x="369"/>
        <item x="1659"/>
        <item x="1551"/>
        <item x="339"/>
        <item x="370"/>
        <item x="1660"/>
        <item x="1932"/>
        <item x="1552"/>
        <item x="371"/>
        <item x="1553"/>
        <item x="1933"/>
        <item x="1832"/>
        <item x="1661"/>
        <item x="1662"/>
        <item x="1554"/>
        <item x="372"/>
        <item x="373"/>
        <item x="1934"/>
        <item x="1935"/>
        <item x="1833"/>
        <item x="1663"/>
        <item x="374"/>
        <item x="375"/>
        <item x="1555"/>
        <item x="131"/>
        <item x="1936"/>
        <item x="626"/>
        <item x="1664"/>
        <item x="532"/>
        <item x="376"/>
        <item x="377"/>
        <item x="378"/>
        <item x="1665"/>
        <item x="627"/>
        <item x="1834"/>
        <item x="379"/>
        <item x="486"/>
        <item x="1816"/>
        <item x="1098"/>
        <item x="893"/>
        <item x="255"/>
        <item x="336"/>
        <item x="337"/>
        <item x="1132"/>
        <item x="818"/>
        <item x="778"/>
        <item x="658"/>
        <item x="793"/>
        <item x="732"/>
        <item x="754"/>
        <item x="710"/>
        <item x="459"/>
        <item x="446"/>
        <item x="722"/>
        <item x="47"/>
        <item x="1406"/>
        <item x="1733"/>
        <item x="1894"/>
        <item x="1736"/>
        <item x="922"/>
        <item x="1217"/>
        <item x="755"/>
        <item x="711"/>
        <item x="794"/>
        <item x="771"/>
        <item x="683"/>
        <item x="659"/>
        <item x="661"/>
        <item x="743"/>
        <item x="796"/>
        <item x="712"/>
        <item x="756"/>
        <item x="797"/>
        <item x="811"/>
        <item x="663"/>
        <item x="734"/>
        <item x="713"/>
        <item x="290"/>
        <item x="1043"/>
        <item x="1416"/>
        <item x="1417"/>
        <item x="1537"/>
        <item x="1822"/>
        <item x="1905"/>
        <item x="1647"/>
        <item x="802"/>
        <item x="667"/>
        <item x="758"/>
        <item x="888"/>
        <item x="1348"/>
        <item x="1145"/>
        <item x="855"/>
        <item x="540"/>
        <item x="415"/>
        <item x="1646"/>
        <item x="752"/>
        <item x="751"/>
        <item x="512"/>
        <item x="1884"/>
        <item x="1137"/>
        <item x="1242"/>
        <item x="1168"/>
        <item x="1171"/>
        <item x="1526"/>
        <item x="588"/>
        <item x="499"/>
        <item x="1632"/>
        <item x="1808"/>
        <item x="1633"/>
        <item x="779"/>
        <item x="1634"/>
        <item x="1725"/>
        <item x="1726"/>
        <item x="1809"/>
        <item x="1810"/>
        <item x="1886"/>
        <item x="589"/>
        <item x="1885"/>
        <item x="476"/>
        <item x="1401"/>
        <item x="1525"/>
        <item x="1524"/>
        <item x="1874"/>
        <item x="1887"/>
        <item x="988"/>
        <item x="1060"/>
        <item x="1085"/>
        <item x="1010"/>
        <item x="1402"/>
        <item x="777"/>
        <item x="817"/>
        <item x="708"/>
        <item x="731"/>
        <item x="742"/>
        <item x="792"/>
        <item x="809"/>
        <item x="656"/>
        <item x="1403"/>
        <item x="1727"/>
        <item x="522"/>
        <item x="523"/>
        <item x="1341"/>
        <item x="538"/>
        <item x="1404"/>
        <item x="918"/>
        <item x="1079"/>
        <item x="919"/>
        <item x="539"/>
        <item x="513"/>
        <item x="1888"/>
        <item x="1135"/>
        <item x="1136"/>
        <item x="211"/>
        <item x="295"/>
        <item x="4"/>
        <item x="225"/>
        <item x="635"/>
        <item x="1230"/>
        <item x="1449"/>
        <item x="59"/>
        <item x="1229"/>
        <item x="1231"/>
        <item x="226"/>
        <item x="227"/>
        <item x="279"/>
        <item x="280"/>
        <item x="636"/>
        <item x="1053"/>
        <item x="1179"/>
        <item x="1323"/>
        <item x="1333"/>
        <item x="1334"/>
        <item x="1450"/>
        <item x="228"/>
        <item x="281"/>
        <item x="229"/>
        <item x="282"/>
        <item x="63"/>
        <item x="1232"/>
        <item x="1180"/>
        <item x="154"/>
        <item x="230"/>
        <item x="637"/>
        <item x="1451"/>
        <item x="1561"/>
        <item x="1684"/>
        <item x="283"/>
        <item x="822"/>
        <item x="1025"/>
        <item x="1056"/>
        <item x="1101"/>
        <item x="1324"/>
        <item x="942"/>
        <item x="1214"/>
        <item x="1316"/>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axis="axisPage" compact="0" outline="0" showAll="0" defaultSubtotal="0">
      <items count="14">
        <item x="0"/>
        <item sd="0" x="1"/>
        <item sd="0" x="2"/>
        <item sd="0" x="3"/>
        <item sd="0" x="4"/>
        <item sd="0" x="5"/>
        <item sd="0" x="6"/>
        <item sd="0" x="7"/>
        <item sd="0" x="8"/>
        <item sd="0" x="9"/>
        <item sd="0" x="10"/>
        <item sd="0" x="11"/>
        <item x="12"/>
        <item x="13"/>
      </items>
    </pivotField>
    <pivotField axis="axisPage" compact="0" outline="0" showAll="0" defaultSubtotal="0">
      <items count="6">
        <item x="0"/>
        <item x="1"/>
        <item x="2"/>
        <item x="3"/>
        <item x="4"/>
        <item x="5"/>
      </items>
    </pivotField>
    <pivotField axis="axisPage" compact="0" outline="0" showAll="0" defaultSubtotal="0">
      <items count="8">
        <item sd="0" x="0"/>
        <item x="1"/>
        <item x="2"/>
        <item sd="0" x="3"/>
        <item x="4"/>
        <item x="5"/>
        <item x="6"/>
        <item x="7"/>
      </items>
    </pivotField>
    <pivotField name="Days" axis="axisRow"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ame="Months" axis="axisRow" compact="0" outline="0" showAll="0" defaultSubtotal="0">
      <items count="14">
        <item h="1" sd="0" x="0"/>
        <item h="1" sd="0" x="1"/>
        <item h="1" sd="0" x="2"/>
        <item h="1" sd="0" x="3"/>
        <item h="1" sd="0" x="4"/>
        <item h="1" sd="0" x="5"/>
        <item h="1" sd="0" x="6"/>
        <item h="1" sd="0" x="7"/>
        <item h="1" sd="0" x="8"/>
        <item sd="0" x="9"/>
        <item sd="0" x="10"/>
        <item h="1" x="11"/>
        <item h="1" sd="0" x="12"/>
        <item h="1" sd="0" x="13"/>
      </items>
    </pivotField>
    <pivotField name="Years" axis="axisRow" compact="0" outline="0" showAll="0">
      <items count="5">
        <item h="1" sd="0" x="0"/>
        <item h="1" x="1"/>
        <item x="2"/>
        <item h="1" x="3"/>
        <item t="default"/>
      </items>
    </pivotField>
  </pivotFields>
  <rowFields count="5">
    <field x="49"/>
    <field x="48"/>
    <field x="47"/>
    <field x="2"/>
    <field x="4"/>
  </rowFields>
  <rowItems count="4">
    <i>
      <x v="2"/>
      <x v="9"/>
    </i>
    <i r="1">
      <x v="10"/>
    </i>
    <i t="default">
      <x v="2"/>
    </i>
    <i t="grand">
      <x/>
    </i>
  </rowItems>
  <colFields count="1">
    <field x="0"/>
  </colFields>
  <colItems count="2">
    <i>
      <x v="12"/>
    </i>
    <i t="grand">
      <x/>
    </i>
  </colItems>
  <pageFields count="8">
    <pageField fld="26" item="1" hier="-1"/>
    <pageField fld="1" hier="-1"/>
    <pageField fld="44" hier="-1"/>
    <pageField fld="46" hier="-1"/>
    <pageField fld="45" hier="-1"/>
    <pageField fld="3" hier="-1"/>
    <pageField fld="14" hier="-1"/>
    <pageField fld="28" hier="-1"/>
  </pageFields>
  <dataFields count="1">
    <dataField name="Sum of OK" fld="31" baseField="0" baseItem="0"/>
  </dataFields>
  <chartFormats count="89">
    <chartFormat chart="0" format="0" series="1">
      <pivotArea type="data" outline="0" fieldPosition="0">
        <references count="2">
          <reference field="4294967294" count="1" selected="0">
            <x v="0"/>
          </reference>
          <reference field="49" count="1" selected="0">
            <x v="1"/>
          </reference>
        </references>
      </pivotArea>
    </chartFormat>
    <chartFormat chart="0" format="1" series="1">
      <pivotArea type="data" outline="0" fieldPosition="0">
        <references count="3">
          <reference field="4294967294" count="1" selected="0">
            <x v="0"/>
          </reference>
          <reference field="48" count="1" selected="0">
            <x v="4"/>
          </reference>
          <reference field="49" count="1" selected="0">
            <x v="2"/>
          </reference>
        </references>
      </pivotArea>
    </chartFormat>
    <chartFormat chart="0" format="2" series="1">
      <pivotArea type="data" outline="0" fieldPosition="0">
        <references count="3">
          <reference field="4294967294" count="1" selected="0">
            <x v="0"/>
          </reference>
          <reference field="48" count="1" selected="0">
            <x v="5"/>
          </reference>
          <reference field="49" count="1" selected="0">
            <x v="2"/>
          </reference>
        </references>
      </pivotArea>
    </chartFormat>
    <chartFormat chart="0" format="3" series="1">
      <pivotArea type="data" outline="0" fieldPosition="0">
        <references count="3">
          <reference field="4294967294" count="1" selected="0">
            <x v="0"/>
          </reference>
          <reference field="48" count="1" selected="0">
            <x v="6"/>
          </reference>
          <reference field="49" count="1" selected="0">
            <x v="2"/>
          </reference>
        </references>
      </pivotArea>
    </chartFormat>
    <chartFormat chart="0" format="4" series="1">
      <pivotArea type="data" outline="0" fieldPosition="0">
        <references count="3">
          <reference field="4294967294" count="1" selected="0">
            <x v="0"/>
          </reference>
          <reference field="48" count="1" selected="0">
            <x v="7"/>
          </reference>
          <reference field="49" count="1" selected="0">
            <x v="2"/>
          </reference>
        </references>
      </pivotArea>
    </chartFormat>
    <chartFormat chart="0" format="5" series="1">
      <pivotArea type="data" outline="0" fieldPosition="0">
        <references count="3">
          <reference field="4294967294" count="1" selected="0">
            <x v="0"/>
          </reference>
          <reference field="48" count="1" selected="0">
            <x v="8"/>
          </reference>
          <reference field="49" count="1" selected="0">
            <x v="2"/>
          </reference>
        </references>
      </pivotArea>
    </chartFormat>
    <chartFormat chart="0" format="6" series="1">
      <pivotArea type="data" outline="0" fieldPosition="0">
        <references count="4">
          <reference field="4294967294" count="1" selected="0">
            <x v="0"/>
          </reference>
          <reference field="47" count="1" selected="0">
            <x v="249"/>
          </reference>
          <reference field="48" count="1" selected="0">
            <x v="9"/>
          </reference>
          <reference field="49" count="1" selected="0">
            <x v="2"/>
          </reference>
        </references>
      </pivotArea>
    </chartFormat>
    <chartFormat chart="0" format="7" series="1">
      <pivotArea type="data" outline="0" fieldPosition="0">
        <references count="4">
          <reference field="4294967294" count="1" selected="0">
            <x v="0"/>
          </reference>
          <reference field="47" count="1" selected="0">
            <x v="260"/>
          </reference>
          <reference field="48" count="1" selected="0">
            <x v="9"/>
          </reference>
          <reference field="49" count="1" selected="0">
            <x v="2"/>
          </reference>
        </references>
      </pivotArea>
    </chartFormat>
    <chartFormat chart="0" format="8" series="1">
      <pivotArea type="data" outline="0" fieldPosition="0">
        <references count="4">
          <reference field="4294967294" count="1" selected="0">
            <x v="0"/>
          </reference>
          <reference field="47" count="1" selected="0">
            <x v="261"/>
          </reference>
          <reference field="48" count="1" selected="0">
            <x v="9"/>
          </reference>
          <reference field="49" count="1" selected="0">
            <x v="2"/>
          </reference>
        </references>
      </pivotArea>
    </chartFormat>
    <chartFormat chart="0" format="9" series="1">
      <pivotArea type="data" outline="0" fieldPosition="0">
        <references count="4">
          <reference field="4294967294" count="1" selected="0">
            <x v="0"/>
          </reference>
          <reference field="47" count="1" selected="0">
            <x v="262"/>
          </reference>
          <reference field="48" count="1" selected="0">
            <x v="9"/>
          </reference>
          <reference field="49" count="1" selected="0">
            <x v="2"/>
          </reference>
        </references>
      </pivotArea>
    </chartFormat>
    <chartFormat chart="0" format="10" series="1">
      <pivotArea type="data" outline="0" fieldPosition="0">
        <references count="4">
          <reference field="4294967294" count="1" selected="0">
            <x v="0"/>
          </reference>
          <reference field="47" count="1" selected="0">
            <x v="263"/>
          </reference>
          <reference field="48" count="1" selected="0">
            <x v="9"/>
          </reference>
          <reference field="49" count="1" selected="0">
            <x v="2"/>
          </reference>
        </references>
      </pivotArea>
    </chartFormat>
    <chartFormat chart="0" format="11" series="1">
      <pivotArea type="data" outline="0" fieldPosition="0">
        <references count="4">
          <reference field="4294967294" count="1" selected="0">
            <x v="0"/>
          </reference>
          <reference field="47" count="1" selected="0">
            <x v="268"/>
          </reference>
          <reference field="48" count="1" selected="0">
            <x v="9"/>
          </reference>
          <reference field="49" count="1" selected="0">
            <x v="2"/>
          </reference>
        </references>
      </pivotArea>
    </chartFormat>
    <chartFormat chart="0" format="53" series="1">
      <pivotArea type="data" outline="0" fieldPosition="0">
        <references count="3">
          <reference field="4294967294" count="1" selected="0">
            <x v="0"/>
          </reference>
          <reference field="0" count="1" selected="0">
            <x v="12"/>
          </reference>
          <reference field="14" count="1" selected="0">
            <x v="45"/>
          </reference>
        </references>
      </pivotArea>
    </chartFormat>
    <chartFormat chart="0" format="54" series="1">
      <pivotArea type="data" outline="0" fieldPosition="0">
        <references count="2">
          <reference field="4294967294" count="1" selected="0">
            <x v="0"/>
          </reference>
          <reference field="0" count="1" selected="0">
            <x v="6"/>
          </reference>
        </references>
      </pivotArea>
    </chartFormat>
    <chartFormat chart="0" format="55" series="1">
      <pivotArea type="data" outline="0" fieldPosition="0">
        <references count="2">
          <reference field="4294967294" count="1" selected="0">
            <x v="0"/>
          </reference>
          <reference field="0" count="1" selected="0">
            <x v="9"/>
          </reference>
        </references>
      </pivotArea>
    </chartFormat>
    <chartFormat chart="0" format="56" series="1">
      <pivotArea type="data" outline="0" fieldPosition="0">
        <references count="2">
          <reference field="4294967294" count="1" selected="0">
            <x v="0"/>
          </reference>
          <reference field="0" count="1" selected="0">
            <x v="11"/>
          </reference>
        </references>
      </pivotArea>
    </chartFormat>
    <chartFormat chart="0" format="67" series="1">
      <pivotArea type="data" outline="0" fieldPosition="0">
        <references count="3">
          <reference field="4294967294" count="1" selected="0">
            <x v="0"/>
          </reference>
          <reference field="0" count="1" selected="0">
            <x v="12"/>
          </reference>
          <reference field="14" count="1" selected="0">
            <x v="6"/>
          </reference>
        </references>
      </pivotArea>
    </chartFormat>
    <chartFormat chart="0" format="68" series="1">
      <pivotArea type="data" outline="0" fieldPosition="0">
        <references count="3">
          <reference field="4294967294" count="1" selected="0">
            <x v="0"/>
          </reference>
          <reference field="0" count="1" selected="0">
            <x v="12"/>
          </reference>
          <reference field="14" count="1" selected="0">
            <x v="7"/>
          </reference>
        </references>
      </pivotArea>
    </chartFormat>
    <chartFormat chart="0" format="69" series="1">
      <pivotArea type="data" outline="0" fieldPosition="0">
        <references count="3">
          <reference field="4294967294" count="1" selected="0">
            <x v="0"/>
          </reference>
          <reference field="0" count="1" selected="0">
            <x v="12"/>
          </reference>
          <reference field="14" count="1" selected="0">
            <x v="15"/>
          </reference>
        </references>
      </pivotArea>
    </chartFormat>
    <chartFormat chart="0" format="70" series="1">
      <pivotArea type="data" outline="0" fieldPosition="0">
        <references count="3">
          <reference field="4294967294" count="1" selected="0">
            <x v="0"/>
          </reference>
          <reference field="0" count="1" selected="0">
            <x v="12"/>
          </reference>
          <reference field="14" count="1" selected="0">
            <x v="24"/>
          </reference>
        </references>
      </pivotArea>
    </chartFormat>
    <chartFormat chart="0" format="83" series="1">
      <pivotArea type="data" outline="0" fieldPosition="0">
        <references count="3">
          <reference field="4294967294" count="1" selected="0">
            <x v="0"/>
          </reference>
          <reference field="0" count="1" selected="0">
            <x v="12"/>
          </reference>
          <reference field="14" count="1" selected="0">
            <x v="28"/>
          </reference>
        </references>
      </pivotArea>
    </chartFormat>
    <chartFormat chart="0" format="86" series="1">
      <pivotArea type="data" outline="0" fieldPosition="0">
        <references count="2">
          <reference field="4294967294" count="1" selected="0">
            <x v="0"/>
          </reference>
          <reference field="0" count="1" selected="0">
            <x v="13"/>
          </reference>
        </references>
      </pivotArea>
    </chartFormat>
    <chartFormat chart="0" format="87" series="1">
      <pivotArea type="data" outline="0" fieldPosition="0">
        <references count="2">
          <reference field="4294967294" count="1" selected="0">
            <x v="0"/>
          </reference>
          <reference field="0" count="1" selected="0">
            <x v="14"/>
          </reference>
        </references>
      </pivotArea>
    </chartFormat>
    <chartFormat chart="0" format="88" series="1">
      <pivotArea type="data" outline="0" fieldPosition="0">
        <references count="2">
          <reference field="4294967294" count="1" selected="0">
            <x v="0"/>
          </reference>
          <reference field="0" count="1" selected="0">
            <x v="1"/>
          </reference>
        </references>
      </pivotArea>
    </chartFormat>
    <chartFormat chart="0" format="89" series="1">
      <pivotArea type="data" outline="0" fieldPosition="0">
        <references count="2">
          <reference field="4294967294" count="1" selected="0">
            <x v="0"/>
          </reference>
          <reference field="0" count="1" selected="0">
            <x v="2"/>
          </reference>
        </references>
      </pivotArea>
    </chartFormat>
    <chartFormat chart="0" format="90" series="1">
      <pivotArea type="data" outline="0" fieldPosition="0">
        <references count="2">
          <reference field="4294967294" count="1" selected="0">
            <x v="0"/>
          </reference>
          <reference field="0" count="1" selected="0">
            <x v="3"/>
          </reference>
        </references>
      </pivotArea>
    </chartFormat>
    <chartFormat chart="0" format="91" series="1">
      <pivotArea type="data" outline="0" fieldPosition="0">
        <references count="2">
          <reference field="4294967294" count="1" selected="0">
            <x v="0"/>
          </reference>
          <reference field="0" count="1" selected="0">
            <x v="5"/>
          </reference>
        </references>
      </pivotArea>
    </chartFormat>
    <chartFormat chart="0" format="92" series="1">
      <pivotArea type="data" outline="0" fieldPosition="0">
        <references count="2">
          <reference field="4294967294" count="1" selected="0">
            <x v="0"/>
          </reference>
          <reference field="0" count="1" selected="0">
            <x v="12"/>
          </reference>
        </references>
      </pivotArea>
    </chartFormat>
    <chartFormat chart="0" format="117" series="1">
      <pivotArea type="data" outline="0" fieldPosition="0">
        <references count="5">
          <reference field="4294967294" count="1" selected="0">
            <x v="0"/>
          </reference>
          <reference field="0" count="1" selected="0">
            <x v="12"/>
          </reference>
          <reference field="2" count="1" selected="0">
            <x v="293"/>
          </reference>
          <reference field="4" count="1" selected="0">
            <x v="195"/>
          </reference>
          <reference field="14" count="1" selected="0">
            <x v="26"/>
          </reference>
        </references>
      </pivotArea>
    </chartFormat>
    <chartFormat chart="0" format="118" series="1">
      <pivotArea type="data" outline="0" fieldPosition="0">
        <references count="5">
          <reference field="4294967294" count="1" selected="0">
            <x v="0"/>
          </reference>
          <reference field="0" count="1" selected="0">
            <x v="12"/>
          </reference>
          <reference field="2" count="1" selected="0">
            <x v="304"/>
          </reference>
          <reference field="4" count="1" selected="0">
            <x v="195"/>
          </reference>
          <reference field="14" count="1" selected="0">
            <x v="26"/>
          </reference>
        </references>
      </pivotArea>
    </chartFormat>
    <chartFormat chart="0" format="119" series="1">
      <pivotArea type="data" outline="0" fieldPosition="0">
        <references count="5">
          <reference field="4294967294" count="1" selected="0">
            <x v="0"/>
          </reference>
          <reference field="0" count="1" selected="0">
            <x v="12"/>
          </reference>
          <reference field="2" count="1" selected="0">
            <x v="317"/>
          </reference>
          <reference field="4" count="1" selected="0">
            <x v="195"/>
          </reference>
          <reference field="14" count="1" selected="0">
            <x v="26"/>
          </reference>
        </references>
      </pivotArea>
    </chartFormat>
    <chartFormat chart="0" format="120" series="1">
      <pivotArea type="data" outline="0" fieldPosition="0">
        <references count="5">
          <reference field="4294967294" count="1" selected="0">
            <x v="0"/>
          </reference>
          <reference field="0" count="1" selected="0">
            <x v="12"/>
          </reference>
          <reference field="2" count="1" selected="0">
            <x v="336"/>
          </reference>
          <reference field="4" count="1" selected="0">
            <x v="195"/>
          </reference>
          <reference field="14" count="1" selected="0">
            <x v="26"/>
          </reference>
        </references>
      </pivotArea>
    </chartFormat>
    <chartFormat chart="0" format="121" series="1">
      <pivotArea type="data" outline="0" fieldPosition="0">
        <references count="4">
          <reference field="4294967294" count="1" selected="0">
            <x v="0"/>
          </reference>
          <reference field="0" count="1" selected="0">
            <x v="12"/>
          </reference>
          <reference field="4" count="1" selected="0">
            <x v="84"/>
          </reference>
          <reference field="14" count="1" selected="0">
            <x v="5"/>
          </reference>
        </references>
      </pivotArea>
    </chartFormat>
    <chartFormat chart="0" format="122" series="1">
      <pivotArea type="data" outline="0" fieldPosition="0">
        <references count="4">
          <reference field="4294967294" count="1" selected="0">
            <x v="0"/>
          </reference>
          <reference field="0" count="1" selected="0">
            <x v="12"/>
          </reference>
          <reference field="4" count="1" selected="0">
            <x v="138"/>
          </reference>
          <reference field="14" count="1" selected="0">
            <x v="5"/>
          </reference>
        </references>
      </pivotArea>
    </chartFormat>
    <chartFormat chart="0" format="123" series="1">
      <pivotArea type="data" outline="0" fieldPosition="0">
        <references count="4">
          <reference field="4294967294" count="1" selected="0">
            <x v="0"/>
          </reference>
          <reference field="0" count="1" selected="0">
            <x v="12"/>
          </reference>
          <reference field="4" count="1" selected="0">
            <x v="139"/>
          </reference>
          <reference field="14" count="1" selected="0">
            <x v="5"/>
          </reference>
        </references>
      </pivotArea>
    </chartFormat>
    <chartFormat chart="0" format="124" series="1">
      <pivotArea type="data" outline="0" fieldPosition="0">
        <references count="4">
          <reference field="4294967294" count="1" selected="0">
            <x v="0"/>
          </reference>
          <reference field="0" count="1" selected="0">
            <x v="12"/>
          </reference>
          <reference field="4" count="1" selected="0">
            <x v="140"/>
          </reference>
          <reference field="14" count="1" selected="0">
            <x v="5"/>
          </reference>
        </references>
      </pivotArea>
    </chartFormat>
    <chartFormat chart="0" format="125" series="1">
      <pivotArea type="data" outline="0" fieldPosition="0">
        <references count="4">
          <reference field="4294967294" count="1" selected="0">
            <x v="0"/>
          </reference>
          <reference field="0" count="1" selected="0">
            <x v="12"/>
          </reference>
          <reference field="4" count="1" selected="0">
            <x v="226"/>
          </reference>
          <reference field="14" count="1" selected="0">
            <x v="5"/>
          </reference>
        </references>
      </pivotArea>
    </chartFormat>
    <chartFormat chart="0" format="126" series="1">
      <pivotArea type="data" outline="0" fieldPosition="0">
        <references count="4">
          <reference field="4294967294" count="1" selected="0">
            <x v="0"/>
          </reference>
          <reference field="0" count="1" selected="0">
            <x v="12"/>
          </reference>
          <reference field="4" count="1" selected="0">
            <x v="227"/>
          </reference>
          <reference field="14" count="1" selected="0">
            <x v="5"/>
          </reference>
        </references>
      </pivotArea>
    </chartFormat>
    <chartFormat chart="0" format="127" series="1">
      <pivotArea type="data" outline="0" fieldPosition="0">
        <references count="4">
          <reference field="4294967294" count="1" selected="0">
            <x v="0"/>
          </reference>
          <reference field="0" count="1" selected="0">
            <x v="12"/>
          </reference>
          <reference field="4" count="1" selected="0">
            <x v="228"/>
          </reference>
          <reference field="14" count="1" selected="0">
            <x v="5"/>
          </reference>
        </references>
      </pivotArea>
    </chartFormat>
    <chartFormat chart="0" format="128" series="1">
      <pivotArea type="data" outline="0" fieldPosition="0">
        <references count="4">
          <reference field="4294967294" count="1" selected="0">
            <x v="0"/>
          </reference>
          <reference field="0" count="1" selected="0">
            <x v="12"/>
          </reference>
          <reference field="4" count="1" selected="0">
            <x v="229"/>
          </reference>
          <reference field="14" count="1" selected="0">
            <x v="5"/>
          </reference>
        </references>
      </pivotArea>
    </chartFormat>
    <chartFormat chart="0" format="129" series="1">
      <pivotArea type="data" outline="0" fieldPosition="0">
        <references count="4">
          <reference field="4294967294" count="1" selected="0">
            <x v="0"/>
          </reference>
          <reference field="0" count="1" selected="0">
            <x v="12"/>
          </reference>
          <reference field="4" count="1" selected="0">
            <x v="114"/>
          </reference>
          <reference field="14" count="1" selected="0">
            <x v="26"/>
          </reference>
        </references>
      </pivotArea>
    </chartFormat>
    <chartFormat chart="0" format="130" series="1">
      <pivotArea type="data" outline="0" fieldPosition="0">
        <references count="4">
          <reference field="4294967294" count="1" selected="0">
            <x v="0"/>
          </reference>
          <reference field="0" count="1" selected="0">
            <x v="12"/>
          </reference>
          <reference field="4" count="1" selected="0">
            <x v="194"/>
          </reference>
          <reference field="14" count="1" selected="0">
            <x v="26"/>
          </reference>
        </references>
      </pivotArea>
    </chartFormat>
    <chartFormat chart="0" format="131" series="1">
      <pivotArea type="data" outline="0" fieldPosition="0">
        <references count="4">
          <reference field="4294967294" count="1" selected="0">
            <x v="0"/>
          </reference>
          <reference field="0" count="1" selected="0">
            <x v="12"/>
          </reference>
          <reference field="4" count="1" selected="0">
            <x v="195"/>
          </reference>
          <reference field="14" count="1" selected="0">
            <x v="26"/>
          </reference>
        </references>
      </pivotArea>
    </chartFormat>
    <chartFormat chart="0" format="132" series="1">
      <pivotArea type="data" outline="0" fieldPosition="0">
        <references count="4">
          <reference field="4294967294" count="1" selected="0">
            <x v="0"/>
          </reference>
          <reference field="0" count="1" selected="0">
            <x v="12"/>
          </reference>
          <reference field="4" count="1" selected="0">
            <x v="196"/>
          </reference>
          <reference field="14" count="1" selected="0">
            <x v="26"/>
          </reference>
        </references>
      </pivotArea>
    </chartFormat>
    <chartFormat chart="0" format="133" series="1">
      <pivotArea type="data" outline="0" fieldPosition="0">
        <references count="4">
          <reference field="4294967294" count="1" selected="0">
            <x v="0"/>
          </reference>
          <reference field="0" count="1" selected="0">
            <x v="12"/>
          </reference>
          <reference field="4" count="1" selected="0">
            <x v="197"/>
          </reference>
          <reference field="14" count="1" selected="0">
            <x v="26"/>
          </reference>
        </references>
      </pivotArea>
    </chartFormat>
    <chartFormat chart="0" format="134" series="1">
      <pivotArea type="data" outline="0" fieldPosition="0">
        <references count="4">
          <reference field="4294967294" count="1" selected="0">
            <x v="0"/>
          </reference>
          <reference field="0" count="1" selected="0">
            <x v="12"/>
          </reference>
          <reference field="4" count="1" selected="0">
            <x v="198"/>
          </reference>
          <reference field="14" count="1" selected="0">
            <x v="26"/>
          </reference>
        </references>
      </pivotArea>
    </chartFormat>
    <chartFormat chart="0" format="135" series="1">
      <pivotArea type="data" outline="0" fieldPosition="0">
        <references count="4">
          <reference field="4294967294" count="1" selected="0">
            <x v="0"/>
          </reference>
          <reference field="0" count="1" selected="0">
            <x v="12"/>
          </reference>
          <reference field="4" count="1" selected="0">
            <x v="199"/>
          </reference>
          <reference field="14" count="1" selected="0">
            <x v="26"/>
          </reference>
        </references>
      </pivotArea>
    </chartFormat>
    <chartFormat chart="0" format="136" series="1">
      <pivotArea type="data" outline="0" fieldPosition="0">
        <references count="4">
          <reference field="4294967294" count="1" selected="0">
            <x v="0"/>
          </reference>
          <reference field="0" count="1" selected="0">
            <x v="12"/>
          </reference>
          <reference field="4" count="1" selected="0">
            <x v="200"/>
          </reference>
          <reference field="14" count="1" selected="0">
            <x v="26"/>
          </reference>
        </references>
      </pivotArea>
    </chartFormat>
    <chartFormat chart="0" format="137" series="1">
      <pivotArea type="data" outline="0" fieldPosition="0">
        <references count="4">
          <reference field="4294967294" count="1" selected="0">
            <x v="0"/>
          </reference>
          <reference field="0" count="1" selected="0">
            <x v="12"/>
          </reference>
          <reference field="4" count="1" selected="0">
            <x v="103"/>
          </reference>
          <reference field="14" count="1" selected="0">
            <x v="34"/>
          </reference>
        </references>
      </pivotArea>
    </chartFormat>
    <chartFormat chart="0" format="138" series="1">
      <pivotArea type="data" outline="0" fieldPosition="0">
        <references count="4">
          <reference field="4294967294" count="1" selected="0">
            <x v="0"/>
          </reference>
          <reference field="0" count="1" selected="0">
            <x v="12"/>
          </reference>
          <reference field="4" count="1" selected="0">
            <x v="104"/>
          </reference>
          <reference field="14" count="1" selected="0">
            <x v="34"/>
          </reference>
        </references>
      </pivotArea>
    </chartFormat>
    <chartFormat chart="0" format="139" series="1">
      <pivotArea type="data" outline="0" fieldPosition="0">
        <references count="4">
          <reference field="4294967294" count="1" selected="0">
            <x v="0"/>
          </reference>
          <reference field="0" count="1" selected="0">
            <x v="12"/>
          </reference>
          <reference field="4" count="1" selected="0">
            <x v="74"/>
          </reference>
          <reference field="14" count="1" selected="0">
            <x v="46"/>
          </reference>
        </references>
      </pivotArea>
    </chartFormat>
    <chartFormat chart="0" format="140" series="1">
      <pivotArea type="data" outline="0" fieldPosition="0">
        <references count="4">
          <reference field="4294967294" count="1" selected="0">
            <x v="0"/>
          </reference>
          <reference field="0" count="1" selected="0">
            <x v="12"/>
          </reference>
          <reference field="4" count="1" selected="0">
            <x v="75"/>
          </reference>
          <reference field="14" count="1" selected="0">
            <x v="46"/>
          </reference>
        </references>
      </pivotArea>
    </chartFormat>
    <chartFormat chart="0" format="141" series="1">
      <pivotArea type="data" outline="0" fieldPosition="0">
        <references count="4">
          <reference field="4294967294" count="1" selected="0">
            <x v="0"/>
          </reference>
          <reference field="0" count="1" selected="0">
            <x v="12"/>
          </reference>
          <reference field="4" count="1" selected="0">
            <x v="76"/>
          </reference>
          <reference field="14" count="1" selected="0">
            <x v="46"/>
          </reference>
        </references>
      </pivotArea>
    </chartFormat>
    <chartFormat chart="0" format="142" series="1">
      <pivotArea type="data" outline="0" fieldPosition="0">
        <references count="4">
          <reference field="4294967294" count="1" selected="0">
            <x v="0"/>
          </reference>
          <reference field="0" count="1" selected="0">
            <x v="12"/>
          </reference>
          <reference field="4" count="1" selected="0">
            <x v="77"/>
          </reference>
          <reference field="14" count="1" selected="0">
            <x v="46"/>
          </reference>
        </references>
      </pivotArea>
    </chartFormat>
    <chartFormat chart="0" format="143" series="1">
      <pivotArea type="data" outline="0" fieldPosition="0">
        <references count="3">
          <reference field="4294967294" count="1" selected="0">
            <x v="0"/>
          </reference>
          <reference field="0" count="1" selected="0">
            <x v="12"/>
          </reference>
          <reference field="14" count="1" selected="0">
            <x v="26"/>
          </reference>
        </references>
      </pivotArea>
    </chartFormat>
    <chartFormat chart="0" format="144" series="1">
      <pivotArea type="data" outline="0" fieldPosition="0">
        <references count="3">
          <reference field="4294967294" count="1" selected="0">
            <x v="0"/>
          </reference>
          <reference field="0" count="1" selected="0">
            <x v="12"/>
          </reference>
          <reference field="14" count="1" selected="0">
            <x v="34"/>
          </reference>
        </references>
      </pivotArea>
    </chartFormat>
    <chartFormat chart="0" format="145" series="1">
      <pivotArea type="data" outline="0" fieldPosition="0">
        <references count="3">
          <reference field="4294967294" count="1" selected="0">
            <x v="0"/>
          </reference>
          <reference field="0" count="1" selected="0">
            <x v="12"/>
          </reference>
          <reference field="14" count="1" selected="0">
            <x v="46"/>
          </reference>
        </references>
      </pivotArea>
    </chartFormat>
    <chartFormat chart="0" format="146" series="1">
      <pivotArea type="data" outline="0" fieldPosition="0">
        <references count="3">
          <reference field="4294967294" count="1" selected="0">
            <x v="0"/>
          </reference>
          <reference field="0" count="1" selected="0">
            <x v="12"/>
          </reference>
          <reference field="14" count="1" selected="0">
            <x v="5"/>
          </reference>
        </references>
      </pivotArea>
    </chartFormat>
    <chartFormat chart="0" format="147" series="1">
      <pivotArea type="data" outline="0" fieldPosition="0">
        <references count="2">
          <reference field="4294967294" count="1" selected="0">
            <x v="0"/>
          </reference>
          <reference field="0" count="1" selected="0">
            <x v="8"/>
          </reference>
        </references>
      </pivotArea>
    </chartFormat>
    <chartFormat chart="10" format="0" series="1">
      <pivotArea type="data" outline="0" fieldPosition="0">
        <references count="2">
          <reference field="4294967294" count="1" selected="0">
            <x v="0"/>
          </reference>
          <reference field="0" count="1" selected="0">
            <x v="3"/>
          </reference>
        </references>
      </pivotArea>
    </chartFormat>
    <chartFormat chart="10" format="1" series="1">
      <pivotArea type="data" outline="0" fieldPosition="0">
        <references count="2">
          <reference field="4294967294" count="1" selected="0">
            <x v="0"/>
          </reference>
          <reference field="0" count="1" selected="0">
            <x v="1"/>
          </reference>
        </references>
      </pivotArea>
    </chartFormat>
    <chartFormat chart="10" format="2" series="1">
      <pivotArea type="data" outline="0" fieldPosition="0">
        <references count="2">
          <reference field="4294967294" count="1" selected="0">
            <x v="0"/>
          </reference>
          <reference field="0" count="1" selected="0">
            <x v="2"/>
          </reference>
        </references>
      </pivotArea>
    </chartFormat>
    <chartFormat chart="10" format="3" series="1">
      <pivotArea type="data" outline="0" fieldPosition="0">
        <references count="2">
          <reference field="4294967294" count="1" selected="0">
            <x v="0"/>
          </reference>
          <reference field="0" count="1" selected="0">
            <x v="5"/>
          </reference>
        </references>
      </pivotArea>
    </chartFormat>
    <chartFormat chart="10" format="4" series="1">
      <pivotArea type="data" outline="0" fieldPosition="0">
        <references count="2">
          <reference field="4294967294" count="1" selected="0">
            <x v="0"/>
          </reference>
          <reference field="0" count="1" selected="0">
            <x v="8"/>
          </reference>
        </references>
      </pivotArea>
    </chartFormat>
    <chartFormat chart="10" format="5" series="1">
      <pivotArea type="data" outline="0" fieldPosition="0">
        <references count="2">
          <reference field="4294967294" count="1" selected="0">
            <x v="0"/>
          </reference>
          <reference field="0" count="1" selected="0">
            <x v="11"/>
          </reference>
        </references>
      </pivotArea>
    </chartFormat>
    <chartFormat chart="10" format="6" series="1">
      <pivotArea type="data" outline="0" fieldPosition="0">
        <references count="2">
          <reference field="4294967294" count="1" selected="0">
            <x v="0"/>
          </reference>
          <reference field="0" count="1" selected="0">
            <x v="6"/>
          </reference>
        </references>
      </pivotArea>
    </chartFormat>
    <chartFormat chart="10" format="7" series="1">
      <pivotArea type="data" outline="0" fieldPosition="0">
        <references count="2">
          <reference field="4294967294" count="1" selected="0">
            <x v="0"/>
          </reference>
          <reference field="0" count="1" selected="0">
            <x v="4"/>
          </reference>
        </references>
      </pivotArea>
    </chartFormat>
    <chartFormat chart="10" format="8" series="1">
      <pivotArea type="data" outline="0" fieldPosition="0">
        <references count="2">
          <reference field="4294967294" count="1" selected="0">
            <x v="0"/>
          </reference>
          <reference field="0" count="1" selected="0">
            <x v="9"/>
          </reference>
        </references>
      </pivotArea>
    </chartFormat>
    <chartFormat chart="10" format="9" series="1">
      <pivotArea type="data" outline="0" fieldPosition="0">
        <references count="2">
          <reference field="4294967294" count="1" selected="0">
            <x v="0"/>
          </reference>
          <reference field="0" count="1" selected="0">
            <x v="12"/>
          </reference>
        </references>
      </pivotArea>
    </chartFormat>
    <chartFormat chart="10" format="10" series="1">
      <pivotArea type="data" outline="0" fieldPosition="0">
        <references count="2">
          <reference field="4294967294" count="1" selected="0">
            <x v="0"/>
          </reference>
          <reference field="0" count="1" selected="0">
            <x v="13"/>
          </reference>
        </references>
      </pivotArea>
    </chartFormat>
    <chartFormat chart="10" format="11" series="1">
      <pivotArea type="data" outline="0" fieldPosition="0">
        <references count="2">
          <reference field="4294967294" count="1" selected="0">
            <x v="0"/>
          </reference>
          <reference field="0" count="1" selected="0">
            <x v="14"/>
          </reference>
        </references>
      </pivotArea>
    </chartFormat>
    <chartFormat chart="0" format="148" series="1">
      <pivotArea type="data" outline="0" fieldPosition="0">
        <references count="2">
          <reference field="4294967294" count="1" selected="0">
            <x v="0"/>
          </reference>
          <reference field="0" count="1" selected="0">
            <x v="4"/>
          </reference>
        </references>
      </pivotArea>
    </chartFormat>
    <chartFormat chart="10" format="12" series="1">
      <pivotArea type="data" outline="0" fieldPosition="0">
        <references count="3">
          <reference field="4294967294" count="1" selected="0">
            <x v="0"/>
          </reference>
          <reference field="48" count="1" selected="0">
            <x v="1"/>
          </reference>
          <reference field="49" count="1" selected="0">
            <x v="2"/>
          </reference>
        </references>
      </pivotArea>
    </chartFormat>
    <chartFormat chart="10" format="13" series="1">
      <pivotArea type="data" outline="0" fieldPosition="0">
        <references count="3">
          <reference field="4294967294" count="1" selected="0">
            <x v="0"/>
          </reference>
          <reference field="48" count="1" selected="0">
            <x v="2"/>
          </reference>
          <reference field="49" count="1" selected="0">
            <x v="2"/>
          </reference>
        </references>
      </pivotArea>
    </chartFormat>
    <chartFormat chart="10" format="14" series="1">
      <pivotArea type="data" outline="0" fieldPosition="0">
        <references count="3">
          <reference field="4294967294" count="1" selected="0">
            <x v="0"/>
          </reference>
          <reference field="48" count="1" selected="0">
            <x v="3"/>
          </reference>
          <reference field="49" count="1" selected="0">
            <x v="2"/>
          </reference>
        </references>
      </pivotArea>
    </chartFormat>
    <chartFormat chart="10" format="15" series="1">
      <pivotArea type="data" outline="0" fieldPosition="0">
        <references count="3">
          <reference field="4294967294" count="1" selected="0">
            <x v="0"/>
          </reference>
          <reference field="48" count="1" selected="0">
            <x v="4"/>
          </reference>
          <reference field="49" count="1" selected="0">
            <x v="2"/>
          </reference>
        </references>
      </pivotArea>
    </chartFormat>
    <chartFormat chart="10" format="16" series="1">
      <pivotArea type="data" outline="0" fieldPosition="0">
        <references count="3">
          <reference field="4294967294" count="1" selected="0">
            <x v="0"/>
          </reference>
          <reference field="48" count="1" selected="0">
            <x v="5"/>
          </reference>
          <reference field="49" count="1" selected="0">
            <x v="2"/>
          </reference>
        </references>
      </pivotArea>
    </chartFormat>
    <chartFormat chart="10" format="17" series="1">
      <pivotArea type="data" outline="0" fieldPosition="0">
        <references count="3">
          <reference field="4294967294" count="1" selected="0">
            <x v="0"/>
          </reference>
          <reference field="48" count="1" selected="0">
            <x v="6"/>
          </reference>
          <reference field="49" count="1" selected="0">
            <x v="2"/>
          </reference>
        </references>
      </pivotArea>
    </chartFormat>
    <chartFormat chart="10" format="18" series="1">
      <pivotArea type="data" outline="0" fieldPosition="0">
        <references count="3">
          <reference field="4294967294" count="1" selected="0">
            <x v="0"/>
          </reference>
          <reference field="48" count="1" selected="0">
            <x v="7"/>
          </reference>
          <reference field="49" count="1" selected="0">
            <x v="2"/>
          </reference>
        </references>
      </pivotArea>
    </chartFormat>
    <chartFormat chart="10" format="19" series="1">
      <pivotArea type="data" outline="0" fieldPosition="0">
        <references count="3">
          <reference field="4294967294" count="1" selected="0">
            <x v="0"/>
          </reference>
          <reference field="48" count="1" selected="0">
            <x v="8"/>
          </reference>
          <reference field="49" count="1" selected="0">
            <x v="2"/>
          </reference>
        </references>
      </pivotArea>
    </chartFormat>
    <chartFormat chart="10" format="20" series="1">
      <pivotArea type="data" outline="0" fieldPosition="0">
        <references count="3">
          <reference field="4294967294" count="1" selected="0">
            <x v="0"/>
          </reference>
          <reference field="48" count="1" selected="0">
            <x v="9"/>
          </reference>
          <reference field="49" count="1" selected="0">
            <x v="2"/>
          </reference>
        </references>
      </pivotArea>
    </chartFormat>
    <chartFormat chart="10" format="21" series="1">
      <pivotArea type="data" outline="0" fieldPosition="0">
        <references count="3">
          <reference field="4294967294" count="1" selected="0">
            <x v="0"/>
          </reference>
          <reference field="48" count="1" selected="0">
            <x v="10"/>
          </reference>
          <reference field="49" count="1" selected="0">
            <x v="2"/>
          </reference>
        </references>
      </pivotArea>
    </chartFormat>
    <chartFormat chart="0" format="149" series="1">
      <pivotArea type="data" outline="0" fieldPosition="0">
        <references count="3">
          <reference field="4294967294" count="1" selected="0">
            <x v="0"/>
          </reference>
          <reference field="48" count="1" selected="0">
            <x v="1"/>
          </reference>
          <reference field="49" count="1" selected="0">
            <x v="2"/>
          </reference>
        </references>
      </pivotArea>
    </chartFormat>
    <chartFormat chart="0" format="150" series="1">
      <pivotArea type="data" outline="0" fieldPosition="0">
        <references count="3">
          <reference field="4294967294" count="1" selected="0">
            <x v="0"/>
          </reference>
          <reference field="48" count="1" selected="0">
            <x v="2"/>
          </reference>
          <reference field="49" count="1" selected="0">
            <x v="2"/>
          </reference>
        </references>
      </pivotArea>
    </chartFormat>
    <chartFormat chart="0" format="151" series="1">
      <pivotArea type="data" outline="0" fieldPosition="0">
        <references count="3">
          <reference field="4294967294" count="1" selected="0">
            <x v="0"/>
          </reference>
          <reference field="48" count="1" selected="0">
            <x v="3"/>
          </reference>
          <reference field="49" count="1" selected="0">
            <x v="2"/>
          </reference>
        </references>
      </pivotArea>
    </chartFormat>
    <chartFormat chart="0" format="152" series="1">
      <pivotArea type="data" outline="0" fieldPosition="0">
        <references count="3">
          <reference field="4294967294" count="1" selected="0">
            <x v="0"/>
          </reference>
          <reference field="48" count="1" selected="0">
            <x v="9"/>
          </reference>
          <reference field="49" count="1" selected="0">
            <x v="2"/>
          </reference>
        </references>
      </pivotArea>
    </chartFormat>
    <chartFormat chart="0" format="153" series="1">
      <pivotArea type="data" outline="0" fieldPosition="0">
        <references count="3">
          <reference field="4294967294" count="1" selected="0">
            <x v="0"/>
          </reference>
          <reference field="48" count="1" selected="0">
            <x v="10"/>
          </reference>
          <reference field="49" count="1" selected="0">
            <x v="2"/>
          </reference>
        </references>
      </pivotArea>
    </chartFormat>
    <chartFormat chart="10" format="22" series="1">
      <pivotArea type="data" outline="0" fieldPosition="0">
        <references count="2">
          <reference field="4294967294" count="1" selected="0">
            <x v="0"/>
          </reference>
          <reference field="49" count="1" selected="0">
            <x v="2"/>
          </reference>
        </references>
      </pivotArea>
    </chartFormat>
    <chartFormat chart="0" format="154" series="1">
      <pivotArea type="data" outline="0" fieldPosition="0">
        <references count="2">
          <reference field="4294967294" count="1" selected="0">
            <x v="0"/>
          </reference>
          <reference field="49" count="1" selected="0">
            <x v="2"/>
          </reference>
        </references>
      </pivotArea>
    </chartFormat>
  </chartFormats>
  <pivotTableStyleInfo name="PivotStyleMedium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B73A58-6078-40AB-984A-AC21CC2CE611}" name="PivotTable4" cacheId="3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B13:L34" firstHeaderRow="1" firstDataRow="4" firstDataCol="4" rowPageCount="3" colPageCount="1"/>
  <pivotFields count="50">
    <pivotField axis="axisRow" compact="0" outline="0" showAll="0">
      <items count="18">
        <item h="1" sd="0" m="1" x="16"/>
        <item h="1" x="11"/>
        <item h="1" x="3"/>
        <item h="1" x="12"/>
        <item h="1" sd="0" x="2"/>
        <item h="1" x="8"/>
        <item h="1" x="4"/>
        <item h="1" sd="0" x="7"/>
        <item h="1" x="5"/>
        <item h="1" sd="0" x="13"/>
        <item h="1" sd="0" m="1" x="15"/>
        <item x="9"/>
        <item h="1" x="0"/>
        <item h="1" sd="0" x="1"/>
        <item h="1" sd="0" x="6"/>
        <item h="1" sd="0" x="14"/>
        <item h="1" x="10"/>
        <item t="default" sd="0"/>
      </items>
    </pivotField>
    <pivotField axis="axisPage" compact="0" outline="0" showAll="0">
      <items count="6">
        <item x="2"/>
        <item x="0"/>
        <item x="1"/>
        <item x="3"/>
        <item m="1" x="4"/>
        <item t="default"/>
      </items>
    </pivotField>
    <pivotField axis="axisRow" compact="0" outline="0" showAll="0" defaultSubtotal="0">
      <items count="547">
        <item x="37"/>
        <item x="139"/>
        <item x="542"/>
        <item x="161"/>
        <item x="406"/>
        <item x="442"/>
        <item x="470"/>
        <item x="504"/>
        <item x="529"/>
        <item x="375"/>
        <item x="154"/>
        <item x="151"/>
        <item x="142"/>
        <item x="148"/>
        <item x="145"/>
        <item x="237"/>
        <item x="236"/>
        <item x="131"/>
        <item x="407"/>
        <item x="175"/>
        <item x="108"/>
        <item x="176"/>
        <item x="164"/>
        <item x="186"/>
        <item x="126"/>
        <item x="113"/>
        <item x="234"/>
        <item x="233"/>
        <item x="152"/>
        <item x="146"/>
        <item x="140"/>
        <item x="149"/>
        <item x="41"/>
        <item x="443"/>
        <item x="444"/>
        <item x="471"/>
        <item x="472"/>
        <item x="473"/>
        <item x="474"/>
        <item x="475"/>
        <item x="476"/>
        <item x="477"/>
        <item x="478"/>
        <item x="204"/>
        <item x="408"/>
        <item x="409"/>
        <item x="410"/>
        <item x="411"/>
        <item x="413"/>
        <item x="412"/>
        <item x="414"/>
        <item x="351"/>
        <item x="352"/>
        <item x="354"/>
        <item x="353"/>
        <item x="344"/>
        <item x="200"/>
        <item x="346"/>
        <item x="87"/>
        <item x="95"/>
        <item x="96"/>
        <item x="157"/>
        <item x="42"/>
        <item x="143"/>
        <item x="104"/>
        <item x="114"/>
        <item x="445"/>
        <item x="446"/>
        <item x="447"/>
        <item x="448"/>
        <item x="450"/>
        <item x="451"/>
        <item x="452"/>
        <item x="479"/>
        <item x="480"/>
        <item x="481"/>
        <item x="482"/>
        <item x="483"/>
        <item x="484"/>
        <item x="485"/>
        <item x="486"/>
        <item x="377"/>
        <item x="378"/>
        <item x="379"/>
        <item x="380"/>
        <item x="381"/>
        <item x="382"/>
        <item x="383"/>
        <item x="384"/>
        <item x="415"/>
        <item x="416"/>
        <item x="417"/>
        <item x="418"/>
        <item x="419"/>
        <item x="420"/>
        <item x="421"/>
        <item x="422"/>
        <item x="355"/>
        <item x="356"/>
        <item x="357"/>
        <item x="358"/>
        <item x="359"/>
        <item x="505"/>
        <item x="506"/>
        <item x="507"/>
        <item x="508"/>
        <item x="509"/>
        <item x="510"/>
        <item x="511"/>
        <item x="43"/>
        <item x="44"/>
        <item x="449"/>
        <item x="106"/>
        <item x="239"/>
        <item x="249"/>
        <item x="118"/>
        <item x="539"/>
        <item x="132"/>
        <item x="122"/>
        <item x="535"/>
        <item x="82"/>
        <item x="250"/>
        <item x="349"/>
        <item x="205"/>
        <item x="206"/>
        <item x="487"/>
        <item x="488"/>
        <item x="489"/>
        <item x="490"/>
        <item x="385"/>
        <item x="386"/>
        <item x="387"/>
        <item x="388"/>
        <item x="423"/>
        <item x="424"/>
        <item x="512"/>
        <item x="513"/>
        <item x="514"/>
        <item x="515"/>
        <item x="207"/>
        <item x="208"/>
        <item x="209"/>
        <item x="210"/>
        <item x="425"/>
        <item x="426"/>
        <item x="45"/>
        <item x="46"/>
        <item x="109"/>
        <item x="347"/>
        <item x="158"/>
        <item x="134"/>
        <item x="115"/>
        <item x="252"/>
        <item x="251"/>
        <item x="119"/>
        <item x="177"/>
        <item x="165"/>
        <item x="187"/>
        <item x="453"/>
        <item x="454"/>
        <item x="455"/>
        <item x="491"/>
        <item x="492"/>
        <item x="493"/>
        <item x="516"/>
        <item x="517"/>
        <item x="518"/>
        <item x="389"/>
        <item x="390"/>
        <item x="391"/>
        <item x="392"/>
        <item x="393"/>
        <item x="211"/>
        <item x="212"/>
        <item x="427"/>
        <item x="428"/>
        <item x="429"/>
        <item x="430"/>
        <item x="431"/>
        <item x="47"/>
        <item x="48"/>
        <item x="49"/>
        <item x="133"/>
        <item x="153"/>
        <item x="159"/>
        <item x="350"/>
        <item x="188"/>
        <item x="166"/>
        <item x="178"/>
        <item x="120"/>
        <item x="144"/>
        <item x="147"/>
        <item x="141"/>
        <item x="150"/>
        <item x="394"/>
        <item x="395"/>
        <item x="456"/>
        <item x="457"/>
        <item x="458"/>
        <item x="459"/>
        <item x="494"/>
        <item x="495"/>
        <item x="50"/>
        <item x="51"/>
        <item x="160"/>
        <item x="240"/>
        <item x="243"/>
        <item x="241"/>
        <item x="242"/>
        <item x="536"/>
        <item x="238"/>
        <item x="127"/>
        <item x="360"/>
        <item x="361"/>
        <item x="362"/>
        <item x="363"/>
        <item x="110"/>
        <item x="189"/>
        <item x="167"/>
        <item x="179"/>
        <item x="348"/>
        <item x="135"/>
        <item x="163"/>
        <item x="185"/>
        <item x="116"/>
        <item x="121"/>
        <item x="345"/>
        <item x="52"/>
        <item m="1" x="544"/>
        <item x="365"/>
        <item x="220"/>
        <item x="396"/>
        <item x="432"/>
        <item x="519"/>
        <item x="364"/>
        <item x="213"/>
        <item x="190"/>
        <item x="180"/>
        <item x="366"/>
        <item x="367"/>
        <item x="368"/>
        <item x="369"/>
        <item x="370"/>
        <item x="397"/>
        <item x="398"/>
        <item x="399"/>
        <item x="400"/>
        <item x="433"/>
        <item x="434"/>
        <item x="435"/>
        <item x="436"/>
        <item x="460"/>
        <item x="461"/>
        <item x="462"/>
        <item x="463"/>
        <item x="464"/>
        <item x="496"/>
        <item x="497"/>
        <item x="498"/>
        <item x="520"/>
        <item x="521"/>
        <item x="522"/>
        <item x="214"/>
        <item x="215"/>
        <item x="216"/>
        <item x="217"/>
        <item x="218"/>
        <item x="530"/>
        <item x="540"/>
        <item x="168"/>
        <item x="537"/>
        <item x="136"/>
        <item x="169"/>
        <item x="191"/>
        <item x="181"/>
        <item x="123"/>
        <item x="371"/>
        <item x="401"/>
        <item x="437"/>
        <item x="465"/>
        <item x="499"/>
        <item x="523"/>
        <item x="53"/>
        <item x="128"/>
        <item x="155"/>
        <item x="156"/>
        <item x="201"/>
        <item x="63"/>
        <item x="67"/>
        <item x="219"/>
        <item x="170"/>
        <item x="235"/>
        <item x="402"/>
        <item x="438"/>
        <item x="466"/>
        <item x="500"/>
        <item x="524"/>
        <item x="221"/>
        <item x="202"/>
        <item x="171"/>
        <item x="182"/>
        <item x="192"/>
        <item x="372"/>
        <item x="403"/>
        <item x="439"/>
        <item x="467"/>
        <item x="501"/>
        <item x="525"/>
        <item x="222"/>
        <item x="468"/>
        <item x="526"/>
        <item x="223"/>
        <item x="183"/>
        <item x="172"/>
        <item x="193"/>
        <item x="373"/>
        <item x="404"/>
        <item x="440"/>
        <item x="469"/>
        <item x="502"/>
        <item x="527"/>
        <item x="129"/>
        <item x="224"/>
        <item x="137"/>
        <item x="173"/>
        <item x="117"/>
        <item x="257"/>
        <item x="253"/>
        <item x="97"/>
        <item x="258"/>
        <item x="254"/>
        <item x="76"/>
        <item x="83"/>
        <item x="38"/>
        <item x="374"/>
        <item x="405"/>
        <item x="441"/>
        <item x="503"/>
        <item x="528"/>
        <item x="225"/>
        <item x="98"/>
        <item x="203"/>
        <item x="138"/>
        <item x="124"/>
        <item x="260"/>
        <item x="259"/>
        <item x="261"/>
        <item x="54"/>
        <item x="105"/>
        <item x="107"/>
        <item x="55"/>
        <item x="88"/>
        <item x="74"/>
        <item x="184"/>
        <item x="226"/>
        <item x="56"/>
        <item x="57"/>
        <item x="75"/>
        <item x="25"/>
        <item x="27"/>
        <item x="26"/>
        <item x="12"/>
        <item x="7"/>
        <item x="11"/>
        <item x="10"/>
        <item x="14"/>
        <item x="331"/>
        <item x="13"/>
        <item x="20"/>
        <item x="21"/>
        <item x="22"/>
        <item x="3"/>
        <item x="269"/>
        <item x="297"/>
        <item x="293"/>
        <item x="8"/>
        <item x="298"/>
        <item x="294"/>
        <item x="308"/>
        <item x="302"/>
        <item x="303"/>
        <item x="309"/>
        <item x="304"/>
        <item x="337"/>
        <item x="338"/>
        <item x="310"/>
        <item x="268"/>
        <item x="306"/>
        <item x="307"/>
        <item x="316"/>
        <item m="1" x="546"/>
        <item x="311"/>
        <item x="305"/>
        <item x="313"/>
        <item x="312"/>
        <item x="314"/>
        <item x="295"/>
        <item x="324"/>
        <item x="296"/>
        <item x="315"/>
        <item x="340"/>
        <item x="339"/>
        <item x="341"/>
        <item x="291"/>
        <item x="342"/>
        <item x="1"/>
        <item x="290"/>
        <item x="289"/>
        <item x="272"/>
        <item x="19"/>
        <item x="16"/>
        <item x="6"/>
        <item x="5"/>
        <item x="4"/>
        <item x="9"/>
        <item x="336"/>
        <item x="320"/>
        <item x="288"/>
        <item x="292"/>
        <item x="328"/>
        <item x="271"/>
        <item x="273"/>
        <item x="274"/>
        <item x="275"/>
        <item x="276"/>
        <item x="277"/>
        <item x="278"/>
        <item x="279"/>
        <item x="280"/>
        <item x="281"/>
        <item x="282"/>
        <item x="283"/>
        <item x="284"/>
        <item x="285"/>
        <item x="286"/>
        <item x="287"/>
        <item x="321"/>
        <item x="322"/>
        <item x="323"/>
        <item x="325"/>
        <item x="326"/>
        <item x="327"/>
        <item x="332"/>
        <item x="333"/>
        <item x="335"/>
        <item x="301"/>
        <item x="330"/>
        <item x="329"/>
        <item x="300"/>
        <item x="270"/>
        <item x="299"/>
        <item x="18"/>
        <item x="17"/>
        <item x="15"/>
        <item x="36"/>
        <item x="70"/>
        <item x="2"/>
        <item x="71"/>
        <item x="68"/>
        <item x="69"/>
        <item x="31"/>
        <item x="35"/>
        <item x="531"/>
        <item x="533"/>
        <item x="532"/>
        <item x="72"/>
        <item x="73"/>
        <item x="534"/>
        <item x="23"/>
        <item x="24"/>
        <item x="33"/>
        <item x="80"/>
        <item x="543"/>
        <item x="227"/>
        <item x="78"/>
        <item x="84"/>
        <item x="125"/>
        <item x="77"/>
        <item x="262"/>
        <item x="195"/>
        <item x="196"/>
        <item x="538"/>
        <item x="58"/>
        <item x="541"/>
        <item x="162"/>
        <item x="29"/>
        <item m="1" x="545"/>
        <item x="64"/>
        <item x="174"/>
        <item x="228"/>
        <item x="197"/>
        <item x="39"/>
        <item x="90"/>
        <item x="263"/>
        <item x="89"/>
        <item x="34"/>
        <item x="30"/>
        <item x="99"/>
        <item x="40"/>
        <item x="59"/>
        <item x="229"/>
        <item x="194"/>
        <item x="101"/>
        <item x="32"/>
        <item x="100"/>
        <item x="265"/>
        <item x="317"/>
        <item x="102"/>
        <item x="79"/>
        <item x="92"/>
        <item x="91"/>
        <item x="198"/>
        <item x="199"/>
        <item x="85"/>
        <item x="264"/>
        <item x="130"/>
        <item x="266"/>
        <item x="86"/>
        <item x="376"/>
        <item x="230"/>
        <item x="0"/>
        <item x="267"/>
        <item x="255"/>
        <item x="318"/>
        <item x="256"/>
        <item x="319"/>
        <item x="65"/>
        <item x="60"/>
        <item x="61"/>
        <item x="62"/>
        <item x="93"/>
        <item x="94"/>
        <item x="28"/>
        <item x="66"/>
        <item sd="0" x="103"/>
        <item x="112"/>
        <item x="111"/>
        <item x="231"/>
        <item x="232"/>
        <item x="244"/>
        <item x="245"/>
        <item x="246"/>
        <item x="247"/>
        <item x="81"/>
        <item x="343"/>
        <item x="334"/>
        <item x="248"/>
      </items>
    </pivotField>
    <pivotField compact="0" outline="0" showAll="0"/>
    <pivotField axis="axisRow" compact="0" outline="0" showAll="0" sortType="ascending">
      <items count="2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t="default"/>
      </items>
    </pivotField>
    <pivotField compact="0" outline="0" showAll="0"/>
    <pivotField compact="0" outline="0" showAll="0"/>
    <pivotField compact="0" outline="0" showAll="0"/>
    <pivotField dataField="1" compact="0" outline="0" showAll="0"/>
    <pivotField compact="0" outline="0" showAll="0"/>
    <pivotField name="ETA" axis="axisCol" compact="0" outline="0" showAll="0">
      <items count="603">
        <item x="73"/>
        <item x="48"/>
        <item x="449"/>
        <item x="71"/>
        <item x="72"/>
        <item x="74"/>
        <item x="93"/>
        <item x="7"/>
        <item x="6"/>
        <item m="1" x="572"/>
        <item m="1" x="584"/>
        <item x="384"/>
        <item x="315"/>
        <item x="402"/>
        <item x="385"/>
        <item x="50"/>
        <item x="333"/>
        <item x="417"/>
        <item x="432"/>
        <item x="403"/>
        <item x="187"/>
        <item x="51"/>
        <item x="52"/>
        <item x="53"/>
        <item x="169"/>
        <item x="34"/>
        <item x="35"/>
        <item x="36"/>
        <item x="139"/>
        <item x="479"/>
        <item x="94"/>
        <item x="123"/>
        <item x="480"/>
        <item x="174"/>
        <item x="136"/>
        <item x="236"/>
        <item x="1"/>
        <item x="481"/>
        <item x="234"/>
        <item x="162"/>
        <item x="365"/>
        <item x="482"/>
        <item x="483"/>
        <item x="140"/>
        <item x="8"/>
        <item x="124"/>
        <item x="450"/>
        <item x="2"/>
        <item x="310"/>
        <item x="366"/>
        <item x="95"/>
        <item x="207"/>
        <item x="96"/>
        <item x="273"/>
        <item x="426"/>
        <item x="404"/>
        <item x="493"/>
        <item x="452"/>
        <item x="3"/>
        <item x="453"/>
        <item x="367"/>
        <item m="1" x="575"/>
        <item x="97"/>
        <item x="4"/>
        <item x="237"/>
        <item x="152"/>
        <item x="373"/>
        <item x="238"/>
        <item x="454"/>
        <item x="198"/>
        <item x="167"/>
        <item x="98"/>
        <item x="182"/>
        <item x="433"/>
        <item x="99"/>
        <item x="170"/>
        <item x="239"/>
        <item x="405"/>
        <item x="100"/>
        <item x="211"/>
        <item x="226"/>
        <item x="279"/>
        <item x="240"/>
        <item x="180"/>
        <item x="175"/>
        <item x="241"/>
        <item x="189"/>
        <item x="101"/>
        <item x="349"/>
        <item x="427"/>
        <item x="125"/>
        <item x="102"/>
        <item x="199"/>
        <item x="464"/>
        <item x="465"/>
        <item x="466"/>
        <item x="489"/>
        <item x="188"/>
        <item x="350"/>
        <item x="351"/>
        <item x="414"/>
        <item x="415"/>
        <item x="289"/>
        <item m="1" x="551"/>
        <item x="103"/>
        <item x="467"/>
        <item x="212"/>
        <item x="137"/>
        <item x="181"/>
        <item x="104"/>
        <item x="401"/>
        <item x="369"/>
        <item x="406"/>
        <item x="451"/>
        <item x="213"/>
        <item x="105"/>
        <item x="429"/>
        <item x="185"/>
        <item x="275"/>
        <item x="171"/>
        <item x="219"/>
        <item x="190"/>
        <item x="370"/>
        <item x="227"/>
        <item x="455"/>
        <item x="22"/>
        <item x="82"/>
        <item x="242"/>
        <item x="176"/>
        <item x="290"/>
        <item x="49"/>
        <item x="60"/>
        <item x="243"/>
        <item x="291"/>
        <item x="343"/>
        <item x="407"/>
        <item x="106"/>
        <item x="126"/>
        <item x="218"/>
        <item x="316"/>
        <item x="244"/>
        <item x="416"/>
        <item x="434"/>
        <item x="228"/>
        <item x="224"/>
        <item x="435"/>
        <item x="75"/>
        <item x="484"/>
        <item x="456"/>
        <item x="107"/>
        <item x="334"/>
        <item x="436"/>
        <item x="208"/>
        <item x="352"/>
        <item x="108"/>
        <item x="220"/>
        <item x="418"/>
        <item m="1" x="583"/>
        <item m="1" x="552"/>
        <item x="245"/>
        <item x="292"/>
        <item x="214"/>
        <item x="37"/>
        <item x="311"/>
        <item x="191"/>
        <item x="246"/>
        <item x="221"/>
        <item x="445"/>
        <item x="386"/>
        <item x="317"/>
        <item x="23"/>
        <item x="183"/>
        <item x="293"/>
        <item x="192"/>
        <item x="318"/>
        <item x="109"/>
        <item x="133"/>
        <item x="127"/>
        <item x="210"/>
        <item m="1" x="571"/>
        <item x="408"/>
        <item x="247"/>
        <item x="387"/>
        <item x="319"/>
        <item x="235"/>
        <item x="359"/>
        <item x="272"/>
        <item x="248"/>
        <item x="177"/>
        <item x="485"/>
        <item x="294"/>
        <item x="360"/>
        <item x="249"/>
        <item x="486"/>
        <item x="295"/>
        <item x="353"/>
        <item x="468"/>
        <item x="200"/>
        <item x="110"/>
        <item m="1" x="589"/>
        <item x="38"/>
        <item x="250"/>
        <item x="374"/>
        <item x="346"/>
        <item m="1" x="590"/>
        <item x="178"/>
        <item m="1" x="591"/>
        <item x="229"/>
        <item x="193"/>
        <item x="441"/>
        <item m="1" x="592"/>
        <item x="68"/>
        <item x="368"/>
        <item x="251"/>
        <item x="381"/>
        <item x="320"/>
        <item x="252"/>
        <item x="76"/>
        <item m="1" x="585"/>
        <item x="253"/>
        <item m="1" x="586"/>
        <item x="321"/>
        <item x="194"/>
        <item m="1" x="587"/>
        <item x="347"/>
        <item x="457"/>
        <item x="222"/>
        <item x="69"/>
        <item m="1" x="501"/>
        <item x="56"/>
        <item x="225"/>
        <item x="322"/>
        <item x="281"/>
        <item x="335"/>
        <item x="195"/>
        <item x="179"/>
        <item x="144"/>
        <item x="163"/>
        <item x="323"/>
        <item x="336"/>
        <item x="164"/>
        <item x="196"/>
        <item x="145"/>
        <item x="254"/>
        <item m="1" x="557"/>
        <item x="296"/>
        <item x="419"/>
        <item x="39"/>
        <item x="255"/>
        <item x="197"/>
        <item x="297"/>
        <item x="184"/>
        <item m="1" x="576"/>
        <item x="492"/>
        <item x="256"/>
        <item x="90"/>
        <item x="388"/>
        <item m="1" x="588"/>
        <item x="9"/>
        <item x="337"/>
        <item x="284"/>
        <item x="324"/>
        <item x="344"/>
        <item x="111"/>
        <item m="1" x="570"/>
        <item x="112"/>
        <item x="371"/>
        <item x="458"/>
        <item x="442"/>
        <item x="128"/>
        <item x="186"/>
        <item x="389"/>
        <item x="141"/>
        <item x="142"/>
        <item m="1" x="560"/>
        <item x="157"/>
        <item x="158"/>
        <item x="5"/>
        <item x="325"/>
        <item x="430"/>
        <item x="446"/>
        <item x="54"/>
        <item x="257"/>
        <item x="129"/>
        <item x="382"/>
        <item x="143"/>
        <item x="113"/>
        <item x="326"/>
        <item x="10"/>
        <item x="55"/>
        <item x="114"/>
        <item m="1" x="550"/>
        <item x="258"/>
        <item x="78"/>
        <item m="1" x="555"/>
        <item x="259"/>
        <item x="424"/>
        <item x="327"/>
        <item x="338"/>
        <item x="70"/>
        <item x="168"/>
        <item m="1" x="545"/>
        <item m="1" x="541"/>
        <item x="345"/>
        <item m="1" x="548"/>
        <item x="260"/>
        <item x="354"/>
        <item x="153"/>
        <item x="298"/>
        <item x="459"/>
        <item m="1" x="559"/>
        <item x="263"/>
        <item m="1" x="573"/>
        <item x="230"/>
        <item x="0"/>
        <item x="134"/>
        <item x="115"/>
        <item m="1" x="549"/>
        <item x="390"/>
        <item x="201"/>
        <item x="425"/>
        <item x="159"/>
        <item x="77"/>
        <item x="202"/>
        <item x="231"/>
        <item x="116"/>
        <item x="491"/>
        <item x="299"/>
        <item x="447"/>
        <item x="340"/>
        <item x="376"/>
        <item x="361"/>
        <item x="341"/>
        <item x="420"/>
        <item x="118"/>
        <item x="264"/>
        <item m="1" x="517"/>
        <item x="469"/>
        <item x="362"/>
        <item x="286"/>
        <item x="232"/>
        <item x="148"/>
        <item x="461"/>
        <item x="92"/>
        <item m="1" x="535"/>
        <item x="391"/>
        <item x="470"/>
        <item x="233"/>
        <item x="462"/>
        <item x="471"/>
        <item x="342"/>
        <item x="428"/>
        <item x="203"/>
        <item x="217"/>
        <item x="89"/>
        <item x="487"/>
        <item x="463"/>
        <item x="328"/>
        <item x="473"/>
        <item x="355"/>
        <item x="364"/>
        <item x="283"/>
        <item x="119"/>
        <item x="267"/>
        <item x="204"/>
        <item x="488"/>
        <item x="130"/>
        <item x="135"/>
        <item x="409"/>
        <item x="160"/>
        <item m="1" x="515"/>
        <item x="287"/>
        <item x="161"/>
        <item x="79"/>
        <item x="392"/>
        <item m="1" x="534"/>
        <item x="437"/>
        <item x="120"/>
        <item x="151"/>
        <item m="1" x="553"/>
        <item x="205"/>
        <item x="25"/>
        <item m="1" x="527"/>
        <item x="172"/>
        <item x="173"/>
        <item x="477"/>
        <item x="300"/>
        <item x="312"/>
        <item x="156"/>
        <item m="1" x="531"/>
        <item m="1" x="563"/>
        <item x="83"/>
        <item m="1" x="528"/>
        <item x="393"/>
        <item x="26"/>
        <item x="410"/>
        <item x="11"/>
        <item x="150"/>
        <item m="1" x="502"/>
        <item x="85"/>
        <item x="206"/>
        <item x="379"/>
        <item x="394"/>
        <item m="1" x="581"/>
        <item x="444"/>
        <item x="302"/>
        <item x="12"/>
        <item m="1" x="579"/>
        <item m="1" x="546"/>
        <item m="1" x="500"/>
        <item m="1" x="593"/>
        <item m="1" x="564"/>
        <item x="438"/>
        <item m="1" x="578"/>
        <item x="395"/>
        <item m="1" x="524"/>
        <item m="1" x="574"/>
        <item x="13"/>
        <item x="411"/>
        <item m="1" x="594"/>
        <item x="27"/>
        <item m="1" x="568"/>
        <item x="396"/>
        <item x="209"/>
        <item m="1" x="567"/>
        <item m="1" x="539"/>
        <item x="44"/>
        <item m="1" x="565"/>
        <item m="1" x="566"/>
        <item m="1" x="509"/>
        <item m="1" x="543"/>
        <item x="277"/>
        <item x="383"/>
        <item x="397"/>
        <item m="1" x="538"/>
        <item x="29"/>
        <item x="314"/>
        <item x="304"/>
        <item m="1" x="595"/>
        <item m="1" x="562"/>
        <item m="1" x="547"/>
        <item m="1" x="577"/>
        <item x="398"/>
        <item m="1" x="540"/>
        <item x="16"/>
        <item m="1" x="558"/>
        <item m="1" x="561"/>
        <item m="1" x="554"/>
        <item m="1" x="596"/>
        <item m="1" x="544"/>
        <item m="1" x="582"/>
        <item x="412"/>
        <item m="1" x="532"/>
        <item m="1" x="597"/>
        <item x="399"/>
        <item x="18"/>
        <item x="422"/>
        <item m="1" x="598"/>
        <item m="1" x="580"/>
        <item m="1" x="537"/>
        <item m="1" x="569"/>
        <item m="1" x="599"/>
        <item x="400"/>
        <item x="423"/>
        <item x="306"/>
        <item m="1" x="600"/>
        <item x="21"/>
        <item m="1" x="533"/>
        <item m="1" x="601"/>
        <item x="494"/>
        <item x="117"/>
        <item x="121"/>
        <item x="271"/>
        <item x="270"/>
        <item x="460"/>
        <item x="165"/>
        <item x="474"/>
        <item x="356"/>
        <item x="122"/>
        <item x="262"/>
        <item x="472"/>
        <item x="475"/>
        <item x="132"/>
        <item x="476"/>
        <item x="478"/>
        <item x="216"/>
        <item x="80"/>
        <item x="329"/>
        <item x="378"/>
        <item m="1" x="536"/>
        <item m="1" x="516"/>
        <item x="24"/>
        <item x="282"/>
        <item x="86"/>
        <item x="490"/>
        <item x="41"/>
        <item m="1" x="503"/>
        <item x="269"/>
        <item x="265"/>
        <item x="443"/>
        <item x="40"/>
        <item x="146"/>
        <item x="215"/>
        <item x="278"/>
        <item m="1" x="556"/>
        <item x="266"/>
        <item m="1" x="505"/>
        <item x="348"/>
        <item m="1" x="526"/>
        <item x="15"/>
        <item x="413"/>
        <item x="147"/>
        <item x="154"/>
        <item x="223"/>
        <item x="91"/>
        <item x="261"/>
        <item m="1" x="522"/>
        <item x="363"/>
        <item x="372"/>
        <item x="375"/>
        <item m="1" x="520"/>
        <item x="377"/>
        <item m="1" x="521"/>
        <item x="84"/>
        <item m="1" x="518"/>
        <item x="303"/>
        <item x="58"/>
        <item x="19"/>
        <item m="1" x="542"/>
        <item x="439"/>
        <item x="421"/>
        <item x="307"/>
        <item m="1" x="525"/>
        <item m="1" x="519"/>
        <item x="339"/>
        <item m="1" x="529"/>
        <item x="28"/>
        <item x="30"/>
        <item x="31"/>
        <item x="32"/>
        <item x="33"/>
        <item x="43"/>
        <item m="1" x="508"/>
        <item m="1" x="511"/>
        <item x="14"/>
        <item x="17"/>
        <item x="20"/>
        <item m="1" x="513"/>
        <item x="301"/>
        <item m="1" x="512"/>
        <item m="1" x="506"/>
        <item m="1" x="507"/>
        <item x="62"/>
        <item m="1" x="510"/>
        <item x="285"/>
        <item x="155"/>
        <item x="81"/>
        <item x="87"/>
        <item x="166"/>
        <item x="149"/>
        <item m="1" x="514"/>
        <item m="1" x="530"/>
        <item m="1" x="498"/>
        <item x="63"/>
        <item m="1" x="499"/>
        <item m="1" x="523"/>
        <item m="1" x="497"/>
        <item x="138"/>
        <item x="88"/>
        <item x="274"/>
        <item m="1" x="496"/>
        <item m="1" x="495"/>
        <item x="330"/>
        <item x="331"/>
        <item x="357"/>
        <item x="358"/>
        <item x="380"/>
        <item x="431"/>
        <item x="440"/>
        <item x="42"/>
        <item x="448"/>
        <item x="131"/>
        <item m="1" x="504"/>
        <item x="45"/>
        <item x="46"/>
        <item x="47"/>
        <item x="61"/>
        <item x="57"/>
        <item x="66"/>
        <item x="64"/>
        <item x="65"/>
        <item x="288"/>
        <item x="59"/>
        <item x="67"/>
        <item x="280"/>
        <item x="268"/>
        <item x="276"/>
        <item x="305"/>
        <item x="308"/>
        <item x="309"/>
        <item x="313"/>
        <item x="332"/>
        <item t="default"/>
      </items>
    </pivotField>
    <pivotField compact="0" outline="0" showAll="0"/>
    <pivotField compact="0" outline="0" showAll="0"/>
    <pivotField compact="0" outline="0" showAll="0"/>
    <pivotField axis="axisRow" compact="0" outline="0" subtotalTop="0" showAll="0">
      <items count="84">
        <item x="1"/>
        <item m="1" x="81"/>
        <item x="40"/>
        <item x="30"/>
        <item x="53"/>
        <item x="51"/>
        <item x="58"/>
        <item x="60"/>
        <item x="41"/>
        <item x="63"/>
        <item x="75"/>
        <item x="21"/>
        <item x="46"/>
        <item x="78"/>
        <item x="55"/>
        <item x="62"/>
        <item x="70"/>
        <item x="71"/>
        <item x="72"/>
        <item x="73"/>
        <item x="74"/>
        <item x="69"/>
        <item x="76"/>
        <item x="54"/>
        <item x="65"/>
        <item x="50"/>
        <item x="61"/>
        <item x="64"/>
        <item x="59"/>
        <item x="23"/>
        <item x="48"/>
        <item x="47"/>
        <item x="80"/>
        <item x="68"/>
        <item x="57"/>
        <item x="24"/>
        <item x="26"/>
        <item x="25"/>
        <item x="79"/>
        <item x="3"/>
        <item x="56"/>
        <item x="6"/>
        <item x="49"/>
        <item x="43"/>
        <item x="45"/>
        <item x="0"/>
        <item x="44"/>
        <item x="42"/>
        <item x="5"/>
        <item x="4"/>
        <item x="66"/>
        <item x="67"/>
        <item x="77"/>
        <item x="9"/>
        <item x="52"/>
        <item x="2"/>
        <item m="1" x="82"/>
        <item x="22"/>
        <item x="27"/>
        <item x="28"/>
        <item x="29"/>
        <item x="31"/>
        <item x="33"/>
        <item x="34"/>
        <item x="32"/>
        <item x="7"/>
        <item x="8"/>
        <item x="10"/>
        <item x="11"/>
        <item x="13"/>
        <item x="14"/>
        <item x="15"/>
        <item x="16"/>
        <item x="12"/>
        <item x="17"/>
        <item x="18"/>
        <item x="19"/>
        <item x="20"/>
        <item x="36"/>
        <item x="37"/>
        <item x="39"/>
        <item x="38"/>
        <item x="3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5">
        <item x="1"/>
        <item x="0"/>
        <item x="2"/>
        <item m="1" x="3"/>
        <item t="default"/>
      </items>
    </pivotField>
    <pivotField compact="0" outline="0" showAll="0">
      <items count="380">
        <item x="349"/>
        <item x="350"/>
        <item x="207"/>
        <item x="137"/>
        <item x="217"/>
        <item x="57"/>
        <item x="119"/>
        <item x="256"/>
        <item x="322"/>
        <item x="4"/>
        <item x="5"/>
        <item x="206"/>
        <item x="58"/>
        <item x="223"/>
        <item x="208"/>
        <item x="15"/>
        <item x="1"/>
        <item x="359"/>
        <item x="174"/>
        <item x="175"/>
        <item x="14"/>
        <item x="189"/>
        <item x="16"/>
        <item x="340"/>
        <item x="59"/>
        <item x="312"/>
        <item x="60"/>
        <item x="120"/>
        <item x="357"/>
        <item x="22"/>
        <item x="313"/>
        <item x="209"/>
        <item x="136"/>
        <item x="360"/>
        <item x="62"/>
        <item x="213"/>
        <item x="257"/>
        <item x="164"/>
        <item x="165"/>
        <item x="17"/>
        <item x="176"/>
        <item x="34"/>
        <item x="341"/>
        <item x="258"/>
        <item x="63"/>
        <item x="259"/>
        <item x="218"/>
        <item x="260"/>
        <item x="352"/>
        <item x="342"/>
        <item x="261"/>
        <item x="121"/>
        <item x="122"/>
        <item x="64"/>
        <item x="65"/>
        <item x="66"/>
        <item x="25"/>
        <item x="67"/>
        <item x="68"/>
        <item x="69"/>
        <item x="70"/>
        <item x="27"/>
        <item x="71"/>
        <item x="72"/>
        <item x="73"/>
        <item x="9"/>
        <item x="32"/>
        <item x="262"/>
        <item x="247"/>
        <item x="263"/>
        <item x="264"/>
        <item x="231"/>
        <item x="74"/>
        <item x="75"/>
        <item x="76"/>
        <item x="61"/>
        <item x="77"/>
        <item x="78"/>
        <item x="18"/>
        <item x="79"/>
        <item x="80"/>
        <item x="81"/>
        <item x="82"/>
        <item x="83"/>
        <item x="10"/>
        <item x="123"/>
        <item x="124"/>
        <item x="125"/>
        <item x="84"/>
        <item x="126"/>
        <item x="85"/>
        <item x="86"/>
        <item x="219"/>
        <item x="331"/>
        <item x="303"/>
        <item x="87"/>
        <item x="127"/>
        <item x="211"/>
        <item x="19"/>
        <item x="304"/>
        <item x="323"/>
        <item x="332"/>
        <item x="358"/>
        <item x="305"/>
        <item x="351"/>
        <item x="39"/>
        <item x="40"/>
        <item x="21"/>
        <item x="265"/>
        <item x="205"/>
        <item x="285"/>
        <item x="214"/>
        <item x="306"/>
        <item x="343"/>
        <item x="266"/>
        <item x="210"/>
        <item x="41"/>
        <item x="286"/>
        <item x="24"/>
        <item x="224"/>
        <item x="307"/>
        <item x="232"/>
        <item x="88"/>
        <item x="344"/>
        <item x="233"/>
        <item x="324"/>
        <item x="287"/>
        <item x="234"/>
        <item x="354"/>
        <item x="43"/>
        <item x="321"/>
        <item x="228"/>
        <item x="361"/>
        <item x="8"/>
        <item x="235"/>
        <item x="13"/>
        <item x="288"/>
        <item x="220"/>
        <item x="267"/>
        <item x="229"/>
        <item x="268"/>
        <item x="325"/>
        <item x="221"/>
        <item x="308"/>
        <item x="35"/>
        <item x="89"/>
        <item x="345"/>
        <item x="283"/>
        <item x="212"/>
        <item x="269"/>
        <item x="346"/>
        <item x="52"/>
        <item x="244"/>
        <item x="270"/>
        <item x="326"/>
        <item x="226"/>
        <item x="289"/>
        <item x="333"/>
        <item x="215"/>
        <item x="90"/>
        <item x="51"/>
        <item x="236"/>
        <item x="290"/>
        <item x="253"/>
        <item x="254"/>
        <item x="338"/>
        <item x="291"/>
        <item x="56"/>
        <item x="309"/>
        <item x="375"/>
        <item x="53"/>
        <item x="292"/>
        <item x="310"/>
        <item x="271"/>
        <item x="245"/>
        <item x="55"/>
        <item x="272"/>
        <item x="237"/>
        <item x="362"/>
        <item x="293"/>
        <item x="363"/>
        <item x="248"/>
        <item x="255"/>
        <item x="327"/>
        <item x="294"/>
        <item x="246"/>
        <item x="225"/>
        <item x="347"/>
        <item x="295"/>
        <item x="242"/>
        <item x="42"/>
        <item x="249"/>
        <item x="334"/>
        <item x="355"/>
        <item x="273"/>
        <item x="328"/>
        <item x="373"/>
        <item x="353"/>
        <item x="36"/>
        <item x="243"/>
        <item x="222"/>
        <item x="238"/>
        <item x="364"/>
        <item x="11"/>
        <item x="329"/>
        <item x="318"/>
        <item x="190"/>
        <item x="274"/>
        <item x="191"/>
        <item x="296"/>
        <item x="339"/>
        <item x="166"/>
        <item x="230"/>
        <item x="216"/>
        <item x="28"/>
        <item x="297"/>
        <item x="377"/>
        <item x="29"/>
        <item x="192"/>
        <item x="371"/>
        <item x="348"/>
        <item x="298"/>
        <item x="167"/>
        <item x="168"/>
        <item x="37"/>
        <item x="169"/>
        <item x="311"/>
        <item x="170"/>
        <item x="171"/>
        <item x="299"/>
        <item x="275"/>
        <item x="172"/>
        <item x="314"/>
        <item x="315"/>
        <item x="300"/>
        <item x="276"/>
        <item x="277"/>
        <item x="92"/>
        <item x="30"/>
        <item x="93"/>
        <item x="94"/>
        <item x="301"/>
        <item x="316"/>
        <item x="95"/>
        <item x="177"/>
        <item x="96"/>
        <item x="97"/>
        <item x="33"/>
        <item x="98"/>
        <item x="138"/>
        <item x="356"/>
        <item x="2"/>
        <item x="278"/>
        <item x="302"/>
        <item x="365"/>
        <item x="99"/>
        <item x="91"/>
        <item x="139"/>
        <item x="140"/>
        <item x="141"/>
        <item x="142"/>
        <item x="279"/>
        <item x="143"/>
        <item x="144"/>
        <item x="145"/>
        <item x="280"/>
        <item x="330"/>
        <item x="146"/>
        <item x="128"/>
        <item x="284"/>
        <item x="147"/>
        <item x="319"/>
        <item x="148"/>
        <item x="6"/>
        <item x="149"/>
        <item x="150"/>
        <item x="157"/>
        <item x="158"/>
        <item x="159"/>
        <item x="151"/>
        <item x="48"/>
        <item x="152"/>
        <item x="46"/>
        <item x="153"/>
        <item x="154"/>
        <item x="155"/>
        <item x="156"/>
        <item x="178"/>
        <item x="179"/>
        <item x="180"/>
        <item x="0"/>
        <item x="12"/>
        <item x="193"/>
        <item x="194"/>
        <item x="195"/>
        <item x="196"/>
        <item x="129"/>
        <item x="250"/>
        <item x="251"/>
        <item x="100"/>
        <item x="281"/>
        <item x="26"/>
        <item x="3"/>
        <item x="282"/>
        <item x="181"/>
        <item x="366"/>
        <item x="239"/>
        <item x="7"/>
        <item x="130"/>
        <item x="367"/>
        <item x="368"/>
        <item x="197"/>
        <item x="198"/>
        <item x="182"/>
        <item x="199"/>
        <item x="200"/>
        <item x="201"/>
        <item m="1" x="378"/>
        <item x="202"/>
        <item x="101"/>
        <item x="23"/>
        <item x="203"/>
        <item x="183"/>
        <item x="184"/>
        <item x="186"/>
        <item x="185"/>
        <item x="187"/>
        <item x="188"/>
        <item x="204"/>
        <item x="160"/>
        <item x="252"/>
        <item x="44"/>
        <item x="102"/>
        <item x="103"/>
        <item x="104"/>
        <item x="161"/>
        <item x="162"/>
        <item x="45"/>
        <item x="173"/>
        <item x="376"/>
        <item x="105"/>
        <item x="320"/>
        <item x="369"/>
        <item x="370"/>
        <item x="240"/>
        <item x="374"/>
        <item x="54"/>
        <item x="241"/>
        <item x="50"/>
        <item x="106"/>
        <item x="107"/>
        <item x="108"/>
        <item x="317"/>
        <item x="110"/>
        <item x="20"/>
        <item x="372"/>
        <item x="109"/>
        <item x="111"/>
        <item x="112"/>
        <item x="131"/>
        <item x="132"/>
        <item x="133"/>
        <item x="335"/>
        <item x="113"/>
        <item x="114"/>
        <item x="115"/>
        <item x="336"/>
        <item x="31"/>
        <item x="116"/>
        <item x="117"/>
        <item x="38"/>
        <item x="337"/>
        <item x="134"/>
        <item x="47"/>
        <item x="163"/>
        <item x="49"/>
        <item x="135"/>
        <item x="227"/>
        <item x="1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name="Months " axis="axisCol" compact="0" outline="0" showAll="0" defaultSubtotal="0">
      <items count="14">
        <item sd="0" x="0"/>
        <item sd="0" x="1"/>
        <item sd="0" x="2"/>
        <item n="Mar" sd="0" x="3"/>
        <item sd="0" x="4"/>
        <item sd="0" x="5"/>
        <item sd="0" x="6"/>
        <item sd="0" x="7"/>
        <item sd="0" x="8"/>
        <item sd="0" x="9"/>
        <item sd="0" x="10"/>
        <item sd="0" x="11"/>
        <item sd="0" x="12"/>
        <item sd="0" x="13"/>
      </items>
    </pivotField>
    <pivotField axis="axisPage" compact="0" outline="0" showAll="0" defaultSubtotal="0">
      <items count="6">
        <item sd="0" x="0"/>
        <item sd="0" x="1"/>
        <item sd="0" x="2"/>
        <item sd="0" x="3"/>
        <item sd="0" x="4"/>
        <item x="5"/>
      </items>
    </pivotField>
    <pivotField name="Years" axis="axisCol" compact="0" outline="0" showAll="0">
      <items count="9">
        <item h="1" sd="0" x="0"/>
        <item h="1" sd="0" x="1"/>
        <item h="1" sd="0" x="2"/>
        <item h="1" x="3"/>
        <item x="4"/>
        <item x="5"/>
        <item h="1" x="6"/>
        <item h="1" x="7"/>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5">
        <item x="0"/>
        <item x="1"/>
        <item x="2"/>
        <item x="3"/>
        <item t="default"/>
      </items>
    </pivotField>
  </pivotFields>
  <rowFields count="4">
    <field x="0"/>
    <field x="14"/>
    <field x="2"/>
    <field x="4"/>
  </rowFields>
  <rowItems count="18">
    <i>
      <x v="11"/>
      <x/>
      <x v="546"/>
      <x v="119"/>
    </i>
    <i t="default" r="1">
      <x/>
    </i>
    <i r="1">
      <x v="4"/>
      <x v="12"/>
      <x v="134"/>
    </i>
    <i r="2">
      <x v="540"/>
      <x v="134"/>
    </i>
    <i t="default" r="1">
      <x v="4"/>
    </i>
    <i r="1">
      <x v="14"/>
      <x v="11"/>
      <x v="137"/>
    </i>
    <i r="2">
      <x v="541"/>
      <x v="137"/>
    </i>
    <i t="default" r="1">
      <x v="14"/>
    </i>
    <i r="1">
      <x v="23"/>
      <x v="14"/>
      <x v="135"/>
    </i>
    <i r="2">
      <x v="539"/>
      <x v="135"/>
    </i>
    <i t="default" r="1">
      <x v="23"/>
    </i>
    <i r="1">
      <x v="40"/>
      <x v="10"/>
      <x v="138"/>
    </i>
    <i t="default" r="1">
      <x v="40"/>
    </i>
    <i r="1">
      <x v="43"/>
      <x v="13"/>
      <x v="136"/>
    </i>
    <i r="2">
      <x v="542"/>
      <x v="136"/>
    </i>
    <i t="default" r="1">
      <x v="43"/>
    </i>
    <i t="default">
      <x v="11"/>
    </i>
    <i t="grand">
      <x/>
    </i>
  </rowItems>
  <colFields count="3">
    <field x="46"/>
    <field x="44"/>
    <field x="10"/>
  </colFields>
  <colItems count="7">
    <i>
      <x v="4"/>
      <x v="12"/>
    </i>
    <i t="default">
      <x v="4"/>
    </i>
    <i>
      <x v="5"/>
      <x v="1"/>
    </i>
    <i r="1">
      <x v="3"/>
    </i>
    <i r="1">
      <x v="4"/>
    </i>
    <i t="default">
      <x v="5"/>
    </i>
    <i t="grand">
      <x/>
    </i>
  </colItems>
  <pageFields count="3">
    <pageField fld="1" hier="-1"/>
    <pageField fld="26" item="0" hier="-1"/>
    <pageField fld="45" hier="-1"/>
  </pageFields>
  <dataFields count="1">
    <dataField name="Sum of Quantity" fld="8" baseField="0" baseItem="0"/>
  </dataFields>
  <formats count="9">
    <format dxfId="42">
      <pivotArea outline="0" fieldPosition="0">
        <references count="6">
          <reference field="0" count="0" selected="0"/>
          <reference field="2" count="1" selected="0">
            <x v="518"/>
          </reference>
          <reference field="4" count="1" selected="0">
            <x v="231"/>
          </reference>
          <reference field="14" count="0" selected="0"/>
          <reference field="44" count="1" selected="0">
            <x v="9"/>
          </reference>
          <reference field="46" count="1" selected="0">
            <x v="4"/>
          </reference>
        </references>
      </pivotArea>
    </format>
    <format dxfId="41">
      <pivotArea outline="0" fieldPosition="0">
        <references count="6">
          <reference field="0" count="0" selected="0"/>
          <reference field="2" count="1" selected="0">
            <x v="9"/>
          </reference>
          <reference field="4" count="1" selected="0">
            <x v="231"/>
          </reference>
          <reference field="14" count="0" selected="0"/>
          <reference field="44" count="1" selected="0">
            <x v="9"/>
          </reference>
          <reference field="46" count="1" selected="0">
            <x v="4"/>
          </reference>
        </references>
      </pivotArea>
    </format>
    <format dxfId="40">
      <pivotArea outline="0" fieldPosition="0">
        <references count="6">
          <reference field="0" count="0" selected="0"/>
          <reference field="2" count="4" selected="0">
            <x v="8"/>
            <x v="9"/>
            <x v="500"/>
            <x v="518"/>
          </reference>
          <reference field="4" count="3" selected="0">
            <x v="150"/>
            <x v="231"/>
            <x v="236"/>
          </reference>
          <reference field="14" count="1" selected="0">
            <x v="26"/>
          </reference>
          <reference field="44" count="1" selected="0">
            <x v="9"/>
          </reference>
          <reference field="46" count="1" selected="0">
            <x v="4"/>
          </reference>
        </references>
      </pivotArea>
    </format>
    <format dxfId="39">
      <pivotArea outline="0" fieldPosition="0">
        <references count="4">
          <reference field="0" count="0" selected="0"/>
          <reference field="14" count="3" selected="0" defaultSubtotal="1">
            <x v="6"/>
            <x v="26"/>
            <x v="45"/>
          </reference>
          <reference field="44" count="1" selected="0">
            <x v="10"/>
          </reference>
          <reference field="46" count="1" selected="0">
            <x v="4"/>
          </reference>
        </references>
      </pivotArea>
    </format>
    <format dxfId="38">
      <pivotArea outline="0" fieldPosition="0">
        <references count="6">
          <reference field="0" count="0" selected="0"/>
          <reference field="2" count="1" selected="0">
            <x v="420"/>
          </reference>
          <reference field="4" count="1" selected="0">
            <x v="182"/>
          </reference>
          <reference field="14" count="1" selected="0">
            <x v="21"/>
          </reference>
          <reference field="44" count="1" selected="0">
            <x v="11"/>
          </reference>
          <reference field="46" count="1" selected="0">
            <x v="4"/>
          </reference>
        </references>
      </pivotArea>
    </format>
    <format dxfId="37">
      <pivotArea outline="0" fieldPosition="0">
        <references count="6">
          <reference field="0" count="0" selected="0"/>
          <reference field="2" count="1" selected="0">
            <x v="540"/>
          </reference>
          <reference field="4" count="1" selected="0">
            <x v="134"/>
          </reference>
          <reference field="14" count="1" selected="0">
            <x v="4"/>
          </reference>
          <reference field="44" count="1" selected="0">
            <x v="1"/>
          </reference>
          <reference field="46" count="1" selected="0">
            <x v="5"/>
          </reference>
        </references>
      </pivotArea>
    </format>
    <format dxfId="36">
      <pivotArea outline="0" fieldPosition="0">
        <references count="6">
          <reference field="0" count="0" selected="0"/>
          <reference field="2" count="1" selected="0">
            <x v="541"/>
          </reference>
          <reference field="4" count="1" selected="0">
            <x v="137"/>
          </reference>
          <reference field="14" count="1" selected="0">
            <x v="14"/>
          </reference>
          <reference field="44" count="1" selected="0">
            <x v="1"/>
          </reference>
          <reference field="46" count="1" selected="0">
            <x v="5"/>
          </reference>
        </references>
      </pivotArea>
    </format>
    <format dxfId="35">
      <pivotArea outline="0" fieldPosition="0">
        <references count="6">
          <reference field="0" count="0" selected="0"/>
          <reference field="2" count="1" selected="0">
            <x v="539"/>
          </reference>
          <reference field="4" count="1" selected="0">
            <x v="135"/>
          </reference>
          <reference field="14" count="1" selected="0">
            <x v="23"/>
          </reference>
          <reference field="44" count="1" selected="0">
            <x v="12"/>
          </reference>
          <reference field="46" count="1" selected="0">
            <x v="4"/>
          </reference>
        </references>
      </pivotArea>
    </format>
    <format dxfId="34">
      <pivotArea outline="0" fieldPosition="0">
        <references count="6">
          <reference field="0" count="0" selected="0"/>
          <reference field="2" count="1" selected="0">
            <x v="539"/>
          </reference>
          <reference field="4" count="1" selected="0">
            <x v="135"/>
          </reference>
          <reference field="14" count="1" selected="0">
            <x v="23"/>
          </reference>
          <reference field="44" count="1" selected="0">
            <x v="12"/>
          </reference>
          <reference field="46"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5F6C09-8875-47F5-8425-0D31210D3E34}" name="PivotTable1" cacheId="3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6:E17" firstHeaderRow="1" firstDataRow="2" firstDataCol="1"/>
  <pivotFields count="50">
    <pivotField axis="axisRow" subtotalTop="0" showAll="0">
      <items count="18">
        <item m="1" x="16"/>
        <item x="11"/>
        <item x="3"/>
        <item x="12"/>
        <item x="2"/>
        <item x="8"/>
        <item x="4"/>
        <item x="7"/>
        <item x="5"/>
        <item x="13"/>
        <item m="1" x="15"/>
        <item x="9"/>
        <item x="0"/>
        <item x="1"/>
        <item x="6"/>
        <item x="14"/>
        <item x="10"/>
        <item t="default"/>
      </items>
    </pivotField>
    <pivotField subtotalTop="0" showAll="0"/>
    <pivotField subtotalTop="0" showAll="0"/>
    <pivotField subtotalTop="0" showAll="0"/>
    <pivotField subtotalTop="0" showAll="0"/>
    <pivotField subtotalTop="0" showAll="0"/>
    <pivotField subtotalTop="0" showAll="0"/>
    <pivotField subtotalTop="0" showAll="0"/>
    <pivotField dataField="1" subtotalTop="0" showAll="0"/>
    <pivotField subtotalTop="0" showAll="0"/>
    <pivotField subtotalTop="0" showAll="0">
      <items count="603">
        <item x="73"/>
        <item x="48"/>
        <item x="449"/>
        <item x="71"/>
        <item x="72"/>
        <item x="74"/>
        <item x="93"/>
        <item x="7"/>
        <item x="6"/>
        <item m="1" x="572"/>
        <item m="1" x="584"/>
        <item x="384"/>
        <item x="315"/>
        <item x="402"/>
        <item x="385"/>
        <item x="50"/>
        <item x="333"/>
        <item x="417"/>
        <item x="432"/>
        <item x="403"/>
        <item x="187"/>
        <item x="51"/>
        <item x="52"/>
        <item x="53"/>
        <item x="169"/>
        <item x="34"/>
        <item x="35"/>
        <item x="36"/>
        <item x="139"/>
        <item x="479"/>
        <item x="94"/>
        <item x="123"/>
        <item x="480"/>
        <item x="174"/>
        <item x="136"/>
        <item x="236"/>
        <item x="1"/>
        <item x="481"/>
        <item x="234"/>
        <item x="162"/>
        <item x="365"/>
        <item x="482"/>
        <item x="483"/>
        <item x="140"/>
        <item x="8"/>
        <item x="124"/>
        <item x="450"/>
        <item x="2"/>
        <item x="310"/>
        <item x="366"/>
        <item x="95"/>
        <item x="207"/>
        <item x="96"/>
        <item x="273"/>
        <item x="426"/>
        <item x="404"/>
        <item x="493"/>
        <item x="452"/>
        <item x="3"/>
        <item x="453"/>
        <item x="367"/>
        <item m="1" x="575"/>
        <item x="97"/>
        <item x="4"/>
        <item x="237"/>
        <item x="152"/>
        <item x="278"/>
        <item x="373"/>
        <item x="238"/>
        <item x="454"/>
        <item x="198"/>
        <item x="167"/>
        <item x="98"/>
        <item x="182"/>
        <item x="433"/>
        <item x="99"/>
        <item x="170"/>
        <item x="239"/>
        <item x="405"/>
        <item x="100"/>
        <item x="211"/>
        <item x="226"/>
        <item x="279"/>
        <item x="240"/>
        <item x="180"/>
        <item x="175"/>
        <item x="241"/>
        <item x="189"/>
        <item x="101"/>
        <item x="349"/>
        <item x="427"/>
        <item x="125"/>
        <item x="102"/>
        <item x="199"/>
        <item x="464"/>
        <item x="465"/>
        <item x="466"/>
        <item x="489"/>
        <item x="188"/>
        <item x="350"/>
        <item x="351"/>
        <item x="414"/>
        <item x="415"/>
        <item x="289"/>
        <item m="1" x="551"/>
        <item x="103"/>
        <item x="467"/>
        <item x="212"/>
        <item x="137"/>
        <item x="181"/>
        <item x="104"/>
        <item x="401"/>
        <item x="369"/>
        <item x="406"/>
        <item x="451"/>
        <item x="213"/>
        <item x="105"/>
        <item x="429"/>
        <item x="185"/>
        <item x="275"/>
        <item x="171"/>
        <item x="219"/>
        <item x="190"/>
        <item x="370"/>
        <item x="227"/>
        <item x="455"/>
        <item x="22"/>
        <item x="82"/>
        <item x="242"/>
        <item x="176"/>
        <item x="290"/>
        <item x="49"/>
        <item x="60"/>
        <item x="243"/>
        <item x="291"/>
        <item x="343"/>
        <item x="407"/>
        <item x="106"/>
        <item x="126"/>
        <item x="218"/>
        <item x="316"/>
        <item x="244"/>
        <item x="416"/>
        <item x="434"/>
        <item x="228"/>
        <item x="224"/>
        <item x="435"/>
        <item x="75"/>
        <item x="484"/>
        <item x="456"/>
        <item x="107"/>
        <item x="334"/>
        <item x="436"/>
        <item x="208"/>
        <item x="352"/>
        <item x="108"/>
        <item x="220"/>
        <item x="418"/>
        <item m="1" x="583"/>
        <item m="1" x="552"/>
        <item x="245"/>
        <item x="292"/>
        <item x="214"/>
        <item x="37"/>
        <item x="311"/>
        <item x="191"/>
        <item x="246"/>
        <item x="221"/>
        <item x="445"/>
        <item x="386"/>
        <item x="317"/>
        <item x="23"/>
        <item x="183"/>
        <item x="293"/>
        <item x="192"/>
        <item x="318"/>
        <item x="109"/>
        <item x="133"/>
        <item x="127"/>
        <item x="210"/>
        <item m="1" x="571"/>
        <item x="408"/>
        <item x="247"/>
        <item x="387"/>
        <item x="319"/>
        <item x="235"/>
        <item x="359"/>
        <item x="272"/>
        <item x="248"/>
        <item x="177"/>
        <item x="485"/>
        <item x="294"/>
        <item x="360"/>
        <item x="249"/>
        <item x="486"/>
        <item x="295"/>
        <item x="353"/>
        <item x="468"/>
        <item x="200"/>
        <item x="110"/>
        <item m="1" x="589"/>
        <item x="38"/>
        <item x="250"/>
        <item x="374"/>
        <item x="346"/>
        <item m="1" x="590"/>
        <item x="178"/>
        <item m="1" x="591"/>
        <item x="229"/>
        <item x="193"/>
        <item x="441"/>
        <item m="1" x="592"/>
        <item x="68"/>
        <item x="368"/>
        <item x="251"/>
        <item x="381"/>
        <item x="320"/>
        <item x="252"/>
        <item x="76"/>
        <item m="1" x="585"/>
        <item x="253"/>
        <item m="1" x="586"/>
        <item x="321"/>
        <item x="194"/>
        <item m="1" x="587"/>
        <item x="347"/>
        <item x="457"/>
        <item x="222"/>
        <item x="69"/>
        <item m="1" x="501"/>
        <item x="56"/>
        <item x="225"/>
        <item x="322"/>
        <item x="281"/>
        <item x="335"/>
        <item x="195"/>
        <item x="179"/>
        <item x="144"/>
        <item x="163"/>
        <item x="323"/>
        <item x="336"/>
        <item x="164"/>
        <item x="196"/>
        <item x="145"/>
        <item x="254"/>
        <item m="1" x="557"/>
        <item x="296"/>
        <item x="419"/>
        <item x="39"/>
        <item x="255"/>
        <item x="197"/>
        <item x="297"/>
        <item x="184"/>
        <item m="1" x="576"/>
        <item x="492"/>
        <item x="256"/>
        <item x="90"/>
        <item x="388"/>
        <item m="1" x="588"/>
        <item x="9"/>
        <item x="337"/>
        <item x="284"/>
        <item x="324"/>
        <item x="91"/>
        <item x="344"/>
        <item x="111"/>
        <item m="1" x="570"/>
        <item x="112"/>
        <item x="371"/>
        <item x="458"/>
        <item x="442"/>
        <item x="128"/>
        <item x="186"/>
        <item x="389"/>
        <item x="141"/>
        <item x="142"/>
        <item m="1" x="560"/>
        <item x="157"/>
        <item x="158"/>
        <item x="5"/>
        <item x="325"/>
        <item x="430"/>
        <item x="446"/>
        <item x="54"/>
        <item x="257"/>
        <item x="129"/>
        <item x="382"/>
        <item x="143"/>
        <item x="113"/>
        <item x="326"/>
        <item x="10"/>
        <item x="55"/>
        <item x="114"/>
        <item m="1" x="550"/>
        <item x="258"/>
        <item x="78"/>
        <item m="1" x="555"/>
        <item x="259"/>
        <item x="424"/>
        <item x="327"/>
        <item x="338"/>
        <item x="70"/>
        <item x="168"/>
        <item m="1" x="545"/>
        <item m="1" x="541"/>
        <item x="345"/>
        <item m="1" x="548"/>
        <item x="260"/>
        <item x="354"/>
        <item x="215"/>
        <item x="153"/>
        <item x="154"/>
        <item x="298"/>
        <item x="262"/>
        <item x="146"/>
        <item x="147"/>
        <item x="459"/>
        <item m="1" x="559"/>
        <item x="263"/>
        <item m="1" x="573"/>
        <item x="216"/>
        <item x="230"/>
        <item x="0"/>
        <item x="134"/>
        <item x="115"/>
        <item m="1" x="549"/>
        <item x="390"/>
        <item x="201"/>
        <item x="425"/>
        <item x="159"/>
        <item x="77"/>
        <item x="223"/>
        <item m="1" x="556"/>
        <item x="202"/>
        <item x="460"/>
        <item x="231"/>
        <item x="116"/>
        <item x="491"/>
        <item x="299"/>
        <item x="447"/>
        <item m="1" x="536"/>
        <item x="340"/>
        <item x="376"/>
        <item x="361"/>
        <item x="117"/>
        <item x="165"/>
        <item x="341"/>
        <item x="420"/>
        <item x="118"/>
        <item x="264"/>
        <item m="1" x="517"/>
        <item x="469"/>
        <item x="362"/>
        <item x="286"/>
        <item x="265"/>
        <item x="232"/>
        <item x="148"/>
        <item x="461"/>
        <item x="92"/>
        <item m="1" x="535"/>
        <item x="391"/>
        <item x="470"/>
        <item x="233"/>
        <item x="266"/>
        <item m="1" x="516"/>
        <item x="462"/>
        <item x="40"/>
        <item x="471"/>
        <item x="80"/>
        <item x="342"/>
        <item x="24"/>
        <item x="428"/>
        <item x="203"/>
        <item x="443"/>
        <item x="282"/>
        <item x="217"/>
        <item x="89"/>
        <item x="487"/>
        <item x="472"/>
        <item x="86"/>
        <item x="463"/>
        <item x="328"/>
        <item x="473"/>
        <item x="355"/>
        <item x="490"/>
        <item x="364"/>
        <item x="283"/>
        <item x="119"/>
        <item x="329"/>
        <item x="267"/>
        <item x="474"/>
        <item x="204"/>
        <item x="488"/>
        <item x="130"/>
        <item x="135"/>
        <item x="409"/>
        <item x="160"/>
        <item m="1" x="515"/>
        <item x="287"/>
        <item x="161"/>
        <item x="79"/>
        <item x="356"/>
        <item x="475"/>
        <item x="41"/>
        <item x="392"/>
        <item m="1" x="526"/>
        <item m="1" x="534"/>
        <item x="437"/>
        <item x="132"/>
        <item x="120"/>
        <item x="151"/>
        <item m="1" x="553"/>
        <item x="205"/>
        <item x="25"/>
        <item x="476"/>
        <item m="1" x="527"/>
        <item x="348"/>
        <item x="172"/>
        <item x="173"/>
        <item x="378"/>
        <item x="477"/>
        <item x="300"/>
        <item m="1" x="503"/>
        <item x="312"/>
        <item x="156"/>
        <item m="1" x="531"/>
        <item x="269"/>
        <item m="1" x="563"/>
        <item x="121"/>
        <item x="83"/>
        <item m="1" x="528"/>
        <item x="393"/>
        <item x="26"/>
        <item m="1" x="505"/>
        <item x="410"/>
        <item x="478"/>
        <item x="11"/>
        <item x="150"/>
        <item m="1" x="502"/>
        <item x="122"/>
        <item x="270"/>
        <item x="271"/>
        <item x="85"/>
        <item x="206"/>
        <item x="379"/>
        <item x="394"/>
        <item m="1" x="581"/>
        <item x="444"/>
        <item x="302"/>
        <item x="12"/>
        <item m="1" x="579"/>
        <item m="1" x="546"/>
        <item m="1" x="500"/>
        <item m="1" x="593"/>
        <item m="1" x="564"/>
        <item x="438"/>
        <item m="1" x="578"/>
        <item x="395"/>
        <item m="1" x="524"/>
        <item m="1" x="574"/>
        <item x="13"/>
        <item x="411"/>
        <item m="1" x="594"/>
        <item x="27"/>
        <item m="1" x="568"/>
        <item x="396"/>
        <item x="209"/>
        <item m="1" x="567"/>
        <item m="1" x="539"/>
        <item x="44"/>
        <item m="1" x="565"/>
        <item m="1" x="566"/>
        <item m="1" x="509"/>
        <item m="1" x="543"/>
        <item x="277"/>
        <item x="383"/>
        <item x="397"/>
        <item m="1" x="538"/>
        <item x="29"/>
        <item x="15"/>
        <item x="314"/>
        <item x="304"/>
        <item m="1" x="595"/>
        <item m="1" x="562"/>
        <item m="1" x="547"/>
        <item m="1" x="577"/>
        <item x="398"/>
        <item m="1" x="540"/>
        <item x="16"/>
        <item m="1" x="558"/>
        <item m="1" x="561"/>
        <item m="1" x="554"/>
        <item m="1" x="596"/>
        <item m="1" x="544"/>
        <item m="1" x="582"/>
        <item x="412"/>
        <item m="1" x="532"/>
        <item m="1" x="597"/>
        <item x="399"/>
        <item x="18"/>
        <item x="422"/>
        <item m="1" x="598"/>
        <item m="1" x="580"/>
        <item x="413"/>
        <item m="1" x="537"/>
        <item m="1" x="569"/>
        <item m="1" x="599"/>
        <item x="400"/>
        <item x="423"/>
        <item x="306"/>
        <item m="1" x="600"/>
        <item x="21"/>
        <item m="1" x="533"/>
        <item m="1" x="601"/>
        <item x="494"/>
        <item x="261"/>
        <item m="1" x="522"/>
        <item x="363"/>
        <item x="372"/>
        <item x="375"/>
        <item m="1" x="520"/>
        <item x="377"/>
        <item m="1" x="521"/>
        <item x="84"/>
        <item m="1" x="518"/>
        <item x="303"/>
        <item x="58"/>
        <item x="19"/>
        <item m="1" x="542"/>
        <item x="439"/>
        <item x="421"/>
        <item x="307"/>
        <item m="1" x="525"/>
        <item m="1" x="519"/>
        <item x="339"/>
        <item m="1" x="529"/>
        <item x="28"/>
        <item x="30"/>
        <item x="31"/>
        <item x="32"/>
        <item x="33"/>
        <item x="43"/>
        <item m="1" x="508"/>
        <item m="1" x="511"/>
        <item x="14"/>
        <item x="17"/>
        <item x="20"/>
        <item m="1" x="513"/>
        <item x="301"/>
        <item m="1" x="512"/>
        <item m="1" x="506"/>
        <item m="1" x="507"/>
        <item x="62"/>
        <item m="1" x="510"/>
        <item x="285"/>
        <item x="155"/>
        <item x="81"/>
        <item x="87"/>
        <item x="166"/>
        <item x="149"/>
        <item m="1" x="514"/>
        <item m="1" x="530"/>
        <item m="1" x="498"/>
        <item x="63"/>
        <item m="1" x="499"/>
        <item m="1" x="523"/>
        <item m="1" x="497"/>
        <item x="138"/>
        <item x="88"/>
        <item x="274"/>
        <item m="1" x="496"/>
        <item m="1" x="495"/>
        <item x="330"/>
        <item x="331"/>
        <item x="357"/>
        <item x="358"/>
        <item x="380"/>
        <item x="431"/>
        <item x="440"/>
        <item x="42"/>
        <item x="448"/>
        <item x="131"/>
        <item m="1" x="504"/>
        <item x="45"/>
        <item x="46"/>
        <item x="47"/>
        <item x="61"/>
        <item x="57"/>
        <item x="66"/>
        <item x="64"/>
        <item x="65"/>
        <item x="288"/>
        <item x="59"/>
        <item x="67"/>
        <item x="280"/>
        <item x="268"/>
        <item x="276"/>
        <item x="305"/>
        <item x="308"/>
        <item x="309"/>
        <item x="313"/>
        <item x="332"/>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80">
        <item x="349"/>
        <item x="350"/>
        <item x="207"/>
        <item x="137"/>
        <item x="217"/>
        <item x="57"/>
        <item x="119"/>
        <item x="256"/>
        <item x="322"/>
        <item x="4"/>
        <item x="5"/>
        <item x="206"/>
        <item x="58"/>
        <item x="223"/>
        <item x="208"/>
        <item x="15"/>
        <item x="1"/>
        <item x="359"/>
        <item x="174"/>
        <item x="175"/>
        <item x="14"/>
        <item x="189"/>
        <item x="16"/>
        <item x="340"/>
        <item x="59"/>
        <item x="312"/>
        <item x="60"/>
        <item x="120"/>
        <item x="357"/>
        <item x="22"/>
        <item x="313"/>
        <item x="209"/>
        <item x="136"/>
        <item x="360"/>
        <item x="62"/>
        <item x="213"/>
        <item x="257"/>
        <item x="164"/>
        <item x="165"/>
        <item x="17"/>
        <item x="176"/>
        <item x="34"/>
        <item x="341"/>
        <item x="258"/>
        <item x="63"/>
        <item x="259"/>
        <item x="218"/>
        <item x="260"/>
        <item x="352"/>
        <item x="342"/>
        <item x="261"/>
        <item x="121"/>
        <item x="122"/>
        <item x="64"/>
        <item x="65"/>
        <item x="66"/>
        <item x="25"/>
        <item x="67"/>
        <item x="68"/>
        <item x="69"/>
        <item x="70"/>
        <item x="27"/>
        <item x="71"/>
        <item x="72"/>
        <item x="73"/>
        <item x="9"/>
        <item x="32"/>
        <item x="262"/>
        <item x="247"/>
        <item x="263"/>
        <item x="264"/>
        <item x="231"/>
        <item x="74"/>
        <item x="75"/>
        <item x="76"/>
        <item x="61"/>
        <item x="77"/>
        <item x="78"/>
        <item x="18"/>
        <item x="79"/>
        <item x="80"/>
        <item x="81"/>
        <item x="82"/>
        <item x="83"/>
        <item x="10"/>
        <item x="123"/>
        <item x="124"/>
        <item x="125"/>
        <item x="84"/>
        <item x="126"/>
        <item x="85"/>
        <item x="86"/>
        <item x="219"/>
        <item x="331"/>
        <item x="303"/>
        <item x="87"/>
        <item x="127"/>
        <item x="211"/>
        <item x="19"/>
        <item x="304"/>
        <item x="323"/>
        <item x="332"/>
        <item x="358"/>
        <item x="305"/>
        <item x="351"/>
        <item x="39"/>
        <item x="40"/>
        <item x="21"/>
        <item x="265"/>
        <item x="205"/>
        <item x="285"/>
        <item x="214"/>
        <item x="306"/>
        <item x="343"/>
        <item x="266"/>
        <item x="210"/>
        <item x="41"/>
        <item x="286"/>
        <item x="24"/>
        <item x="224"/>
        <item x="307"/>
        <item x="232"/>
        <item x="88"/>
        <item x="344"/>
        <item x="233"/>
        <item x="324"/>
        <item x="287"/>
        <item x="234"/>
        <item x="354"/>
        <item x="43"/>
        <item x="321"/>
        <item x="228"/>
        <item x="361"/>
        <item x="8"/>
        <item x="235"/>
        <item x="13"/>
        <item x="288"/>
        <item x="220"/>
        <item x="267"/>
        <item x="229"/>
        <item x="268"/>
        <item x="325"/>
        <item x="221"/>
        <item x="308"/>
        <item x="35"/>
        <item x="89"/>
        <item x="345"/>
        <item x="283"/>
        <item x="212"/>
        <item x="269"/>
        <item x="346"/>
        <item x="52"/>
        <item x="244"/>
        <item x="270"/>
        <item x="326"/>
        <item x="226"/>
        <item x="289"/>
        <item x="333"/>
        <item x="215"/>
        <item x="90"/>
        <item x="51"/>
        <item x="236"/>
        <item x="290"/>
        <item x="253"/>
        <item x="254"/>
        <item x="338"/>
        <item x="291"/>
        <item x="56"/>
        <item x="309"/>
        <item x="375"/>
        <item x="53"/>
        <item x="292"/>
        <item x="310"/>
        <item x="271"/>
        <item x="245"/>
        <item x="55"/>
        <item x="272"/>
        <item x="237"/>
        <item x="362"/>
        <item x="293"/>
        <item x="363"/>
        <item x="248"/>
        <item x="255"/>
        <item x="327"/>
        <item x="294"/>
        <item x="246"/>
        <item x="225"/>
        <item x="347"/>
        <item x="295"/>
        <item x="242"/>
        <item x="42"/>
        <item x="249"/>
        <item x="334"/>
        <item x="355"/>
        <item x="273"/>
        <item x="328"/>
        <item x="373"/>
        <item x="353"/>
        <item x="36"/>
        <item x="243"/>
        <item x="222"/>
        <item x="238"/>
        <item x="364"/>
        <item x="11"/>
        <item x="329"/>
        <item x="318"/>
        <item x="190"/>
        <item x="274"/>
        <item x="191"/>
        <item x="296"/>
        <item x="339"/>
        <item x="166"/>
        <item x="230"/>
        <item x="216"/>
        <item x="28"/>
        <item x="297"/>
        <item x="377"/>
        <item x="29"/>
        <item x="192"/>
        <item x="371"/>
        <item x="348"/>
        <item x="298"/>
        <item x="167"/>
        <item x="168"/>
        <item x="37"/>
        <item x="169"/>
        <item x="311"/>
        <item x="170"/>
        <item x="171"/>
        <item x="299"/>
        <item x="275"/>
        <item x="172"/>
        <item x="314"/>
        <item x="315"/>
        <item x="300"/>
        <item x="276"/>
        <item x="277"/>
        <item x="92"/>
        <item x="30"/>
        <item x="93"/>
        <item x="94"/>
        <item x="301"/>
        <item x="316"/>
        <item x="95"/>
        <item x="177"/>
        <item x="96"/>
        <item x="97"/>
        <item x="33"/>
        <item x="98"/>
        <item x="138"/>
        <item x="356"/>
        <item x="2"/>
        <item x="278"/>
        <item x="302"/>
        <item x="365"/>
        <item x="99"/>
        <item x="91"/>
        <item x="139"/>
        <item x="140"/>
        <item x="141"/>
        <item x="142"/>
        <item x="279"/>
        <item x="143"/>
        <item x="144"/>
        <item x="145"/>
        <item x="280"/>
        <item x="330"/>
        <item x="146"/>
        <item x="128"/>
        <item x="284"/>
        <item x="147"/>
        <item x="319"/>
        <item x="148"/>
        <item x="6"/>
        <item x="149"/>
        <item x="150"/>
        <item x="157"/>
        <item x="158"/>
        <item x="159"/>
        <item x="151"/>
        <item x="48"/>
        <item x="152"/>
        <item x="46"/>
        <item x="153"/>
        <item x="154"/>
        <item x="155"/>
        <item x="156"/>
        <item x="178"/>
        <item x="179"/>
        <item x="180"/>
        <item x="0"/>
        <item x="12"/>
        <item x="193"/>
        <item x="194"/>
        <item x="195"/>
        <item x="196"/>
        <item x="129"/>
        <item x="250"/>
        <item x="251"/>
        <item x="100"/>
        <item x="281"/>
        <item x="26"/>
        <item x="3"/>
        <item x="282"/>
        <item x="181"/>
        <item x="366"/>
        <item x="239"/>
        <item x="7"/>
        <item x="130"/>
        <item x="367"/>
        <item x="368"/>
        <item x="197"/>
        <item x="198"/>
        <item x="182"/>
        <item x="199"/>
        <item x="200"/>
        <item x="201"/>
        <item m="1" x="378"/>
        <item x="202"/>
        <item x="101"/>
        <item x="23"/>
        <item x="203"/>
        <item x="183"/>
        <item x="184"/>
        <item x="186"/>
        <item x="185"/>
        <item x="187"/>
        <item x="188"/>
        <item x="204"/>
        <item x="160"/>
        <item x="252"/>
        <item x="44"/>
        <item x="102"/>
        <item x="103"/>
        <item x="104"/>
        <item x="161"/>
        <item x="162"/>
        <item x="45"/>
        <item x="173"/>
        <item x="376"/>
        <item x="105"/>
        <item x="320"/>
        <item x="369"/>
        <item x="370"/>
        <item x="240"/>
        <item x="374"/>
        <item x="54"/>
        <item x="241"/>
        <item x="50"/>
        <item x="106"/>
        <item x="107"/>
        <item x="108"/>
        <item x="317"/>
        <item x="110"/>
        <item x="20"/>
        <item x="372"/>
        <item x="109"/>
        <item x="111"/>
        <item x="112"/>
        <item x="131"/>
        <item x="132"/>
        <item x="133"/>
        <item x="335"/>
        <item x="113"/>
        <item x="114"/>
        <item x="115"/>
        <item x="336"/>
        <item x="31"/>
        <item x="116"/>
        <item x="117"/>
        <item x="38"/>
        <item x="337"/>
        <item x="134"/>
        <item x="47"/>
        <item x="163"/>
        <item x="49"/>
        <item x="135"/>
        <item x="227"/>
        <item x="118"/>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axis="axisCol" subtotalTop="0" showAll="0">
      <items count="6">
        <item h="1" x="2"/>
        <item x="1"/>
        <item x="0"/>
        <item h="1" x="3"/>
        <item h="1" x="4"/>
        <item t="default"/>
      </items>
    </pivotField>
    <pivotField axis="axisRow" subtotalTop="0" showAll="0" sortType="ascending">
      <items count="29">
        <item h="1" m="1" x="15"/>
        <item h="1" m="1" x="13"/>
        <item h="1" m="1" x="14"/>
        <item h="1" x="6"/>
        <item h="1" x="7"/>
        <item h="1" x="5"/>
        <item h="1" x="1"/>
        <item h="1" x="2"/>
        <item h="1" x="0"/>
        <item h="1" x="8"/>
        <item h="1" x="9"/>
        <item h="1" x="10"/>
        <item x="11"/>
        <item h="1" x="4"/>
        <item h="1" x="3"/>
        <item h="1" m="1" x="16"/>
        <item h="1" m="1" x="26"/>
        <item h="1" m="1" x="22"/>
        <item h="1" m="1" x="17"/>
        <item h="1" m="1" x="21"/>
        <item h="1" m="1" x="23"/>
        <item h="1" m="1" x="18"/>
        <item h="1" m="1" x="19"/>
        <item h="1" m="1" x="20"/>
        <item h="1" m="1" x="24"/>
        <item h="1" m="1" x="25"/>
        <item h="1" m="1" x="27"/>
        <item h="1" x="12"/>
        <item t="default"/>
      </items>
    </pivotField>
    <pivotField axis="axisRow" subtotalTop="0" showAll="0">
      <items count="9">
        <item h="1" sd="0" m="1" x="7"/>
        <item h="1" sd="0" x="4"/>
        <item h="1" sd="0" x="2"/>
        <item h="1" sd="0" x="1"/>
        <item x="0"/>
        <item h="1" sd="0" x="3"/>
        <item h="1" sd="0" x="6"/>
        <item h="1" x="5"/>
        <item t="default" sd="0"/>
      </items>
    </pivotField>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 subtotalTop="0" showAll="0">
      <items count="15">
        <item sd="0" x="0"/>
        <item sd="0" x="1"/>
        <item sd="0" x="2"/>
        <item sd="0" x="3"/>
        <item sd="0" x="4"/>
        <item sd="0" x="5"/>
        <item sd="0" x="6"/>
        <item sd="0" x="7"/>
        <item h="1" sd="0" x="8"/>
        <item sd="0" x="9"/>
        <item sd="0" x="10"/>
        <item sd="0" x="11"/>
        <item sd="0" x="12"/>
        <item sd="0" x="13"/>
        <item t="default"/>
      </items>
    </pivotField>
    <pivotField subtotalTop="0" showAll="0">
      <items count="7">
        <item sd="0" x="0"/>
        <item sd="0" x="1"/>
        <item sd="0" x="2"/>
        <item x="3"/>
        <item sd="0" x="4"/>
        <item x="5"/>
        <item t="default"/>
      </items>
    </pivotField>
    <pivotField subtotalTop="0" showAll="0">
      <items count="9">
        <item h="1" x="0"/>
        <item h="1" x="1"/>
        <item h="1" x="2"/>
        <item h="1" x="3"/>
        <item x="4"/>
        <item h="1" x="5"/>
        <item h="1" x="6"/>
        <item h="1" x="7"/>
        <item t="default"/>
      </items>
    </pivotField>
    <pivotField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ubtotalTop="0" showAll="0">
      <items count="15">
        <item x="0"/>
        <item x="1"/>
        <item x="2"/>
        <item x="3"/>
        <item x="4"/>
        <item x="5"/>
        <item x="6"/>
        <item x="7"/>
        <item x="8"/>
        <item x="9"/>
        <item x="10"/>
        <item x="11"/>
        <item x="12"/>
        <item x="13"/>
        <item t="default"/>
      </items>
    </pivotField>
    <pivotField subtotalTop="0" showAll="0">
      <items count="5">
        <item x="0"/>
        <item x="1"/>
        <item x="2"/>
        <item x="3"/>
        <item t="default"/>
      </items>
    </pivotField>
  </pivotFields>
  <rowFields count="3">
    <field x="38"/>
    <field x="37"/>
    <field x="0"/>
  </rowFields>
  <rowItems count="10">
    <i>
      <x v="4"/>
    </i>
    <i r="1">
      <x v="12"/>
    </i>
    <i r="2">
      <x v="1"/>
    </i>
    <i r="2">
      <x v="2"/>
    </i>
    <i r="2">
      <x v="3"/>
    </i>
    <i r="2">
      <x v="6"/>
    </i>
    <i r="2">
      <x v="12"/>
    </i>
    <i t="default" r="1">
      <x v="12"/>
    </i>
    <i t="default">
      <x v="4"/>
    </i>
    <i t="grand">
      <x/>
    </i>
  </rowItems>
  <colFields count="1">
    <field x="36"/>
  </colFields>
  <colItems count="3">
    <i>
      <x v="1"/>
    </i>
    <i>
      <x v="2"/>
    </i>
    <i t="grand">
      <x/>
    </i>
  </colItems>
  <dataFields count="1">
    <dataField name="Count of Quantity" fld="8" subtotal="count" showDataAs="percentOfRow" baseField="0" baseItem="1" numFmtId="10"/>
  </dataFields>
  <chartFormats count="5">
    <chartFormat chart="1" format="0" series="1">
      <pivotArea type="data" outline="0" fieldPosition="0">
        <references count="2">
          <reference field="4294967294" count="1" selected="0">
            <x v="0"/>
          </reference>
          <reference field="36" count="1" selected="0">
            <x v="1"/>
          </reference>
        </references>
      </pivotArea>
    </chartFormat>
    <chartFormat chart="1" format="1" series="1">
      <pivotArea type="data" outline="0" fieldPosition="0">
        <references count="2">
          <reference field="4294967294" count="1" selected="0">
            <x v="0"/>
          </reference>
          <reference field="36" count="1" selected="0">
            <x v="2"/>
          </reference>
        </references>
      </pivotArea>
    </chartFormat>
    <chartFormat chart="1" format="2" series="1">
      <pivotArea type="data" outline="0" fieldPosition="0">
        <references count="2">
          <reference field="4294967294" count="1" selected="0">
            <x v="0"/>
          </reference>
          <reference field="36"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2">
          <reference field="4294967294" count="1" selected="0">
            <x v="0"/>
          </reference>
          <reference field="3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1DD4AA-1F99-4448-8FE6-41B5080C7F75}" name="PivotTable3" cacheId="3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6:L17" firstHeaderRow="1" firstDataRow="2" firstDataCol="1"/>
  <pivotFields count="50">
    <pivotField axis="axisRow" subtotalTop="0" showAll="0">
      <items count="18">
        <item m="1" x="16"/>
        <item x="11"/>
        <item x="3"/>
        <item x="12"/>
        <item x="2"/>
        <item x="8"/>
        <item x="4"/>
        <item x="7"/>
        <item x="5"/>
        <item x="13"/>
        <item m="1" x="15"/>
        <item x="9"/>
        <item x="0"/>
        <item x="1"/>
        <item x="6"/>
        <item x="14"/>
        <item x="10"/>
        <item t="default"/>
      </items>
    </pivotField>
    <pivotField subtotalTop="0" showAll="0"/>
    <pivotField subtotalTop="0" showAll="0"/>
    <pivotField subtotalTop="0" showAll="0"/>
    <pivotField subtotalTop="0" showAll="0"/>
    <pivotField subtotalTop="0" showAll="0"/>
    <pivotField subtotalTop="0" showAll="0"/>
    <pivotField subtotalTop="0" showAll="0"/>
    <pivotField dataField="1" subtotalTop="0" showAll="0"/>
    <pivotField subtotalTop="0" showAll="0"/>
    <pivotField subtotalTop="0" showAll="0">
      <items count="603">
        <item x="73"/>
        <item x="48"/>
        <item x="449"/>
        <item x="71"/>
        <item x="72"/>
        <item x="74"/>
        <item x="93"/>
        <item x="7"/>
        <item x="6"/>
        <item m="1" x="572"/>
        <item m="1" x="584"/>
        <item x="384"/>
        <item x="315"/>
        <item x="402"/>
        <item x="385"/>
        <item x="50"/>
        <item x="333"/>
        <item x="417"/>
        <item x="432"/>
        <item x="403"/>
        <item x="187"/>
        <item x="51"/>
        <item x="52"/>
        <item x="53"/>
        <item x="169"/>
        <item x="34"/>
        <item x="35"/>
        <item x="36"/>
        <item x="139"/>
        <item x="479"/>
        <item x="94"/>
        <item x="123"/>
        <item x="480"/>
        <item x="174"/>
        <item x="136"/>
        <item x="236"/>
        <item x="1"/>
        <item x="481"/>
        <item x="234"/>
        <item x="162"/>
        <item x="365"/>
        <item x="482"/>
        <item x="483"/>
        <item x="140"/>
        <item x="8"/>
        <item x="124"/>
        <item x="450"/>
        <item x="2"/>
        <item x="310"/>
        <item x="366"/>
        <item x="95"/>
        <item x="207"/>
        <item x="96"/>
        <item x="273"/>
        <item x="426"/>
        <item x="404"/>
        <item x="493"/>
        <item x="452"/>
        <item x="3"/>
        <item x="453"/>
        <item x="367"/>
        <item m="1" x="575"/>
        <item x="97"/>
        <item x="4"/>
        <item x="237"/>
        <item x="152"/>
        <item x="278"/>
        <item x="373"/>
        <item x="238"/>
        <item x="454"/>
        <item x="198"/>
        <item x="167"/>
        <item x="98"/>
        <item x="182"/>
        <item x="433"/>
        <item x="99"/>
        <item x="170"/>
        <item x="239"/>
        <item x="405"/>
        <item x="100"/>
        <item x="211"/>
        <item x="226"/>
        <item x="279"/>
        <item x="240"/>
        <item x="180"/>
        <item x="175"/>
        <item x="241"/>
        <item x="189"/>
        <item x="101"/>
        <item x="349"/>
        <item x="427"/>
        <item x="125"/>
        <item x="102"/>
        <item x="199"/>
        <item x="464"/>
        <item x="465"/>
        <item x="466"/>
        <item x="489"/>
        <item x="188"/>
        <item x="350"/>
        <item x="351"/>
        <item x="414"/>
        <item x="415"/>
        <item x="289"/>
        <item m="1" x="551"/>
        <item x="103"/>
        <item x="467"/>
        <item x="212"/>
        <item x="137"/>
        <item x="181"/>
        <item x="104"/>
        <item x="401"/>
        <item x="369"/>
        <item x="406"/>
        <item x="451"/>
        <item x="213"/>
        <item x="105"/>
        <item x="429"/>
        <item x="185"/>
        <item x="275"/>
        <item x="171"/>
        <item x="219"/>
        <item x="190"/>
        <item x="370"/>
        <item x="227"/>
        <item x="455"/>
        <item x="22"/>
        <item x="82"/>
        <item x="242"/>
        <item x="176"/>
        <item x="290"/>
        <item x="49"/>
        <item x="60"/>
        <item x="243"/>
        <item x="291"/>
        <item x="343"/>
        <item x="407"/>
        <item x="106"/>
        <item x="126"/>
        <item x="218"/>
        <item x="316"/>
        <item x="244"/>
        <item x="416"/>
        <item x="434"/>
        <item x="228"/>
        <item x="224"/>
        <item x="435"/>
        <item x="75"/>
        <item x="484"/>
        <item x="456"/>
        <item x="107"/>
        <item x="334"/>
        <item x="436"/>
        <item x="208"/>
        <item x="352"/>
        <item x="108"/>
        <item x="220"/>
        <item x="418"/>
        <item m="1" x="583"/>
        <item m="1" x="552"/>
        <item x="245"/>
        <item x="292"/>
        <item x="214"/>
        <item x="37"/>
        <item x="311"/>
        <item x="191"/>
        <item x="246"/>
        <item x="221"/>
        <item x="445"/>
        <item x="386"/>
        <item x="317"/>
        <item x="23"/>
        <item x="183"/>
        <item x="293"/>
        <item x="192"/>
        <item x="318"/>
        <item x="109"/>
        <item x="133"/>
        <item x="127"/>
        <item x="210"/>
        <item m="1" x="571"/>
        <item x="408"/>
        <item x="247"/>
        <item x="387"/>
        <item x="319"/>
        <item x="235"/>
        <item x="359"/>
        <item x="272"/>
        <item x="248"/>
        <item x="177"/>
        <item x="485"/>
        <item x="294"/>
        <item x="360"/>
        <item x="249"/>
        <item x="486"/>
        <item x="295"/>
        <item x="353"/>
        <item x="468"/>
        <item x="200"/>
        <item x="110"/>
        <item m="1" x="589"/>
        <item x="38"/>
        <item x="250"/>
        <item x="374"/>
        <item x="346"/>
        <item m="1" x="590"/>
        <item x="178"/>
        <item m="1" x="591"/>
        <item x="229"/>
        <item x="193"/>
        <item x="441"/>
        <item m="1" x="592"/>
        <item x="68"/>
        <item x="368"/>
        <item x="251"/>
        <item x="381"/>
        <item x="320"/>
        <item x="252"/>
        <item x="76"/>
        <item m="1" x="585"/>
        <item x="253"/>
        <item m="1" x="586"/>
        <item x="321"/>
        <item x="194"/>
        <item m="1" x="587"/>
        <item x="347"/>
        <item x="457"/>
        <item x="222"/>
        <item x="69"/>
        <item m="1" x="501"/>
        <item x="56"/>
        <item x="225"/>
        <item x="322"/>
        <item x="281"/>
        <item x="335"/>
        <item x="195"/>
        <item x="179"/>
        <item x="144"/>
        <item x="163"/>
        <item x="323"/>
        <item x="336"/>
        <item x="164"/>
        <item x="196"/>
        <item x="145"/>
        <item x="254"/>
        <item m="1" x="557"/>
        <item x="296"/>
        <item x="419"/>
        <item x="39"/>
        <item x="255"/>
        <item x="197"/>
        <item x="297"/>
        <item x="184"/>
        <item m="1" x="576"/>
        <item x="492"/>
        <item x="256"/>
        <item x="90"/>
        <item x="388"/>
        <item m="1" x="588"/>
        <item x="9"/>
        <item x="337"/>
        <item x="284"/>
        <item x="324"/>
        <item x="91"/>
        <item x="344"/>
        <item x="111"/>
        <item m="1" x="570"/>
        <item x="112"/>
        <item x="371"/>
        <item x="458"/>
        <item x="442"/>
        <item x="128"/>
        <item x="186"/>
        <item x="389"/>
        <item x="141"/>
        <item x="142"/>
        <item m="1" x="560"/>
        <item x="157"/>
        <item x="158"/>
        <item x="5"/>
        <item x="325"/>
        <item x="430"/>
        <item x="446"/>
        <item x="54"/>
        <item x="257"/>
        <item x="129"/>
        <item x="382"/>
        <item x="143"/>
        <item x="113"/>
        <item x="326"/>
        <item x="10"/>
        <item x="55"/>
        <item x="114"/>
        <item m="1" x="550"/>
        <item x="258"/>
        <item x="78"/>
        <item m="1" x="555"/>
        <item x="259"/>
        <item x="424"/>
        <item x="327"/>
        <item x="338"/>
        <item x="70"/>
        <item x="168"/>
        <item m="1" x="545"/>
        <item m="1" x="541"/>
        <item x="345"/>
        <item m="1" x="548"/>
        <item x="260"/>
        <item x="354"/>
        <item x="215"/>
        <item x="153"/>
        <item x="154"/>
        <item x="298"/>
        <item x="262"/>
        <item x="146"/>
        <item x="147"/>
        <item x="459"/>
        <item m="1" x="559"/>
        <item x="263"/>
        <item m="1" x="573"/>
        <item x="216"/>
        <item x="230"/>
        <item x="0"/>
        <item x="134"/>
        <item x="115"/>
        <item m="1" x="549"/>
        <item x="390"/>
        <item x="201"/>
        <item x="425"/>
        <item x="159"/>
        <item x="77"/>
        <item x="223"/>
        <item m="1" x="556"/>
        <item x="202"/>
        <item x="460"/>
        <item x="231"/>
        <item x="116"/>
        <item x="491"/>
        <item x="299"/>
        <item x="447"/>
        <item m="1" x="536"/>
        <item x="340"/>
        <item x="376"/>
        <item x="361"/>
        <item x="117"/>
        <item x="165"/>
        <item x="341"/>
        <item x="420"/>
        <item x="118"/>
        <item x="264"/>
        <item m="1" x="517"/>
        <item x="469"/>
        <item x="362"/>
        <item x="286"/>
        <item x="265"/>
        <item x="232"/>
        <item x="148"/>
        <item x="461"/>
        <item x="92"/>
        <item m="1" x="535"/>
        <item x="391"/>
        <item x="470"/>
        <item x="233"/>
        <item x="266"/>
        <item m="1" x="516"/>
        <item x="462"/>
        <item x="40"/>
        <item x="471"/>
        <item x="80"/>
        <item x="342"/>
        <item x="24"/>
        <item x="428"/>
        <item x="203"/>
        <item x="443"/>
        <item x="282"/>
        <item x="217"/>
        <item x="89"/>
        <item x="487"/>
        <item x="472"/>
        <item x="86"/>
        <item x="463"/>
        <item x="328"/>
        <item x="473"/>
        <item x="355"/>
        <item x="490"/>
        <item x="364"/>
        <item x="283"/>
        <item x="119"/>
        <item x="329"/>
        <item x="267"/>
        <item x="474"/>
        <item x="204"/>
        <item x="488"/>
        <item x="130"/>
        <item x="135"/>
        <item x="409"/>
        <item x="160"/>
        <item m="1" x="515"/>
        <item x="287"/>
        <item x="161"/>
        <item x="79"/>
        <item x="356"/>
        <item x="475"/>
        <item x="41"/>
        <item x="392"/>
        <item m="1" x="526"/>
        <item m="1" x="534"/>
        <item x="437"/>
        <item x="132"/>
        <item x="120"/>
        <item x="151"/>
        <item m="1" x="553"/>
        <item x="205"/>
        <item x="25"/>
        <item x="476"/>
        <item m="1" x="527"/>
        <item x="348"/>
        <item x="172"/>
        <item x="173"/>
        <item x="378"/>
        <item x="477"/>
        <item x="300"/>
        <item m="1" x="503"/>
        <item x="312"/>
        <item x="156"/>
        <item m="1" x="531"/>
        <item x="269"/>
        <item m="1" x="563"/>
        <item x="121"/>
        <item x="83"/>
        <item m="1" x="528"/>
        <item x="393"/>
        <item x="26"/>
        <item m="1" x="505"/>
        <item x="410"/>
        <item x="478"/>
        <item x="11"/>
        <item x="150"/>
        <item m="1" x="502"/>
        <item x="122"/>
        <item x="270"/>
        <item x="271"/>
        <item x="85"/>
        <item x="206"/>
        <item x="379"/>
        <item x="394"/>
        <item m="1" x="581"/>
        <item x="444"/>
        <item x="302"/>
        <item x="12"/>
        <item m="1" x="579"/>
        <item m="1" x="546"/>
        <item m="1" x="500"/>
        <item m="1" x="593"/>
        <item m="1" x="564"/>
        <item x="438"/>
        <item m="1" x="578"/>
        <item x="395"/>
        <item m="1" x="524"/>
        <item m="1" x="574"/>
        <item x="13"/>
        <item x="411"/>
        <item m="1" x="594"/>
        <item x="27"/>
        <item m="1" x="568"/>
        <item x="396"/>
        <item x="209"/>
        <item m="1" x="567"/>
        <item m="1" x="539"/>
        <item x="44"/>
        <item m="1" x="565"/>
        <item m="1" x="566"/>
        <item m="1" x="509"/>
        <item m="1" x="543"/>
        <item x="277"/>
        <item x="383"/>
        <item x="397"/>
        <item m="1" x="538"/>
        <item x="29"/>
        <item x="15"/>
        <item x="314"/>
        <item x="304"/>
        <item m="1" x="595"/>
        <item m="1" x="562"/>
        <item m="1" x="547"/>
        <item m="1" x="577"/>
        <item x="398"/>
        <item m="1" x="540"/>
        <item x="16"/>
        <item m="1" x="558"/>
        <item m="1" x="561"/>
        <item m="1" x="554"/>
        <item m="1" x="596"/>
        <item m="1" x="544"/>
        <item m="1" x="582"/>
        <item x="412"/>
        <item m="1" x="532"/>
        <item m="1" x="597"/>
        <item x="399"/>
        <item x="18"/>
        <item x="422"/>
        <item m="1" x="598"/>
        <item m="1" x="580"/>
        <item x="413"/>
        <item m="1" x="537"/>
        <item m="1" x="569"/>
        <item m="1" x="599"/>
        <item x="400"/>
        <item x="423"/>
        <item x="306"/>
        <item m="1" x="600"/>
        <item x="21"/>
        <item m="1" x="533"/>
        <item m="1" x="601"/>
        <item x="494"/>
        <item x="261"/>
        <item m="1" x="522"/>
        <item x="363"/>
        <item x="372"/>
        <item x="375"/>
        <item m="1" x="520"/>
        <item x="377"/>
        <item m="1" x="521"/>
        <item x="84"/>
        <item m="1" x="518"/>
        <item x="303"/>
        <item x="58"/>
        <item x="19"/>
        <item m="1" x="542"/>
        <item x="439"/>
        <item x="421"/>
        <item x="307"/>
        <item m="1" x="525"/>
        <item m="1" x="519"/>
        <item x="339"/>
        <item m="1" x="529"/>
        <item x="28"/>
        <item x="30"/>
        <item x="31"/>
        <item x="32"/>
        <item x="33"/>
        <item x="43"/>
        <item m="1" x="508"/>
        <item m="1" x="511"/>
        <item x="14"/>
        <item x="17"/>
        <item x="20"/>
        <item m="1" x="513"/>
        <item x="301"/>
        <item m="1" x="512"/>
        <item m="1" x="506"/>
        <item m="1" x="507"/>
        <item x="62"/>
        <item m="1" x="510"/>
        <item x="285"/>
        <item x="155"/>
        <item x="81"/>
        <item x="87"/>
        <item x="166"/>
        <item x="149"/>
        <item m="1" x="514"/>
        <item m="1" x="530"/>
        <item m="1" x="498"/>
        <item x="63"/>
        <item m="1" x="499"/>
        <item m="1" x="523"/>
        <item m="1" x="497"/>
        <item x="138"/>
        <item x="88"/>
        <item x="274"/>
        <item m="1" x="496"/>
        <item m="1" x="495"/>
        <item x="330"/>
        <item x="331"/>
        <item x="357"/>
        <item x="358"/>
        <item x="380"/>
        <item x="431"/>
        <item x="440"/>
        <item x="42"/>
        <item x="448"/>
        <item x="131"/>
        <item m="1" x="504"/>
        <item x="45"/>
        <item x="46"/>
        <item x="47"/>
        <item x="61"/>
        <item x="57"/>
        <item x="66"/>
        <item x="64"/>
        <item x="65"/>
        <item x="288"/>
        <item x="59"/>
        <item x="67"/>
        <item x="280"/>
        <item x="268"/>
        <item x="276"/>
        <item x="305"/>
        <item x="308"/>
        <item x="309"/>
        <item x="313"/>
        <item x="332"/>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80">
        <item x="349"/>
        <item x="350"/>
        <item x="207"/>
        <item x="137"/>
        <item x="217"/>
        <item x="57"/>
        <item x="119"/>
        <item x="256"/>
        <item x="322"/>
        <item x="4"/>
        <item x="5"/>
        <item x="206"/>
        <item x="58"/>
        <item x="223"/>
        <item x="208"/>
        <item x="15"/>
        <item x="1"/>
        <item x="359"/>
        <item x="174"/>
        <item x="175"/>
        <item x="14"/>
        <item x="189"/>
        <item x="16"/>
        <item x="340"/>
        <item x="59"/>
        <item x="312"/>
        <item x="60"/>
        <item x="120"/>
        <item x="357"/>
        <item x="22"/>
        <item x="313"/>
        <item x="209"/>
        <item x="136"/>
        <item x="360"/>
        <item x="62"/>
        <item x="213"/>
        <item x="257"/>
        <item x="164"/>
        <item x="165"/>
        <item x="17"/>
        <item x="176"/>
        <item x="34"/>
        <item x="341"/>
        <item x="258"/>
        <item x="63"/>
        <item x="259"/>
        <item x="218"/>
        <item x="260"/>
        <item x="352"/>
        <item x="342"/>
        <item x="261"/>
        <item x="121"/>
        <item x="122"/>
        <item x="64"/>
        <item x="65"/>
        <item x="66"/>
        <item x="25"/>
        <item x="67"/>
        <item x="68"/>
        <item x="69"/>
        <item x="70"/>
        <item x="27"/>
        <item x="71"/>
        <item x="72"/>
        <item x="73"/>
        <item x="9"/>
        <item x="32"/>
        <item x="262"/>
        <item x="247"/>
        <item x="263"/>
        <item x="264"/>
        <item x="231"/>
        <item x="74"/>
        <item x="75"/>
        <item x="76"/>
        <item x="61"/>
        <item x="77"/>
        <item x="78"/>
        <item x="18"/>
        <item x="79"/>
        <item x="80"/>
        <item x="81"/>
        <item x="82"/>
        <item x="83"/>
        <item x="10"/>
        <item x="123"/>
        <item x="124"/>
        <item x="125"/>
        <item x="84"/>
        <item x="126"/>
        <item x="85"/>
        <item x="86"/>
        <item x="219"/>
        <item x="331"/>
        <item x="303"/>
        <item x="87"/>
        <item x="127"/>
        <item x="211"/>
        <item x="19"/>
        <item x="304"/>
        <item x="323"/>
        <item x="332"/>
        <item x="358"/>
        <item x="305"/>
        <item x="351"/>
        <item x="39"/>
        <item x="40"/>
        <item x="21"/>
        <item x="265"/>
        <item x="205"/>
        <item x="285"/>
        <item x="214"/>
        <item x="306"/>
        <item x="343"/>
        <item x="266"/>
        <item x="210"/>
        <item x="41"/>
        <item x="286"/>
        <item x="24"/>
        <item x="224"/>
        <item x="307"/>
        <item x="232"/>
        <item x="88"/>
        <item x="344"/>
        <item x="233"/>
        <item x="324"/>
        <item x="287"/>
        <item x="234"/>
        <item x="354"/>
        <item x="43"/>
        <item x="321"/>
        <item x="228"/>
        <item x="361"/>
        <item x="8"/>
        <item x="235"/>
        <item x="13"/>
        <item x="288"/>
        <item x="220"/>
        <item x="267"/>
        <item x="229"/>
        <item x="268"/>
        <item x="325"/>
        <item x="221"/>
        <item x="308"/>
        <item x="35"/>
        <item x="89"/>
        <item x="345"/>
        <item x="283"/>
        <item x="212"/>
        <item x="269"/>
        <item x="346"/>
        <item x="52"/>
        <item x="244"/>
        <item x="270"/>
        <item x="326"/>
        <item x="226"/>
        <item x="289"/>
        <item x="333"/>
        <item x="215"/>
        <item x="90"/>
        <item x="51"/>
        <item x="236"/>
        <item x="290"/>
        <item x="253"/>
        <item x="254"/>
        <item x="338"/>
        <item x="291"/>
        <item x="56"/>
        <item x="309"/>
        <item x="375"/>
        <item x="53"/>
        <item x="292"/>
        <item x="310"/>
        <item x="271"/>
        <item x="245"/>
        <item x="55"/>
        <item x="272"/>
        <item x="237"/>
        <item x="362"/>
        <item x="293"/>
        <item x="363"/>
        <item x="248"/>
        <item x="255"/>
        <item x="327"/>
        <item x="294"/>
        <item x="246"/>
        <item x="225"/>
        <item x="347"/>
        <item x="295"/>
        <item x="242"/>
        <item x="42"/>
        <item x="249"/>
        <item x="334"/>
        <item x="355"/>
        <item x="273"/>
        <item x="328"/>
        <item x="373"/>
        <item x="353"/>
        <item x="36"/>
        <item x="243"/>
        <item x="222"/>
        <item x="238"/>
        <item x="364"/>
        <item x="11"/>
        <item x="329"/>
        <item x="318"/>
        <item x="190"/>
        <item x="274"/>
        <item x="191"/>
        <item x="296"/>
        <item x="339"/>
        <item x="166"/>
        <item x="230"/>
        <item x="216"/>
        <item x="28"/>
        <item x="297"/>
        <item x="377"/>
        <item x="29"/>
        <item x="192"/>
        <item x="371"/>
        <item x="348"/>
        <item x="298"/>
        <item x="167"/>
        <item x="168"/>
        <item x="37"/>
        <item x="169"/>
        <item x="311"/>
        <item x="170"/>
        <item x="171"/>
        <item x="299"/>
        <item x="275"/>
        <item x="172"/>
        <item x="314"/>
        <item x="315"/>
        <item x="300"/>
        <item x="276"/>
        <item x="277"/>
        <item x="92"/>
        <item x="30"/>
        <item x="93"/>
        <item x="94"/>
        <item x="301"/>
        <item x="316"/>
        <item x="95"/>
        <item x="177"/>
        <item x="96"/>
        <item x="97"/>
        <item x="33"/>
        <item x="98"/>
        <item x="138"/>
        <item x="356"/>
        <item x="2"/>
        <item x="278"/>
        <item x="302"/>
        <item x="365"/>
        <item x="99"/>
        <item x="91"/>
        <item x="139"/>
        <item x="140"/>
        <item x="141"/>
        <item x="142"/>
        <item x="279"/>
        <item x="143"/>
        <item x="144"/>
        <item x="145"/>
        <item x="280"/>
        <item x="330"/>
        <item x="146"/>
        <item x="128"/>
        <item x="284"/>
        <item x="147"/>
        <item x="319"/>
        <item x="148"/>
        <item x="6"/>
        <item x="149"/>
        <item x="150"/>
        <item x="157"/>
        <item x="158"/>
        <item x="159"/>
        <item x="151"/>
        <item x="48"/>
        <item x="152"/>
        <item x="46"/>
        <item x="153"/>
        <item x="154"/>
        <item x="155"/>
        <item x="156"/>
        <item x="178"/>
        <item x="179"/>
        <item x="180"/>
        <item x="0"/>
        <item x="12"/>
        <item x="193"/>
        <item x="194"/>
        <item x="195"/>
        <item x="196"/>
        <item x="129"/>
        <item x="250"/>
        <item x="251"/>
        <item x="100"/>
        <item x="281"/>
        <item x="26"/>
        <item x="3"/>
        <item x="282"/>
        <item x="181"/>
        <item x="366"/>
        <item x="239"/>
        <item x="7"/>
        <item x="130"/>
        <item x="367"/>
        <item x="368"/>
        <item x="197"/>
        <item x="198"/>
        <item x="182"/>
        <item x="199"/>
        <item x="200"/>
        <item x="201"/>
        <item m="1" x="378"/>
        <item x="202"/>
        <item x="101"/>
        <item x="23"/>
        <item x="203"/>
        <item x="183"/>
        <item x="184"/>
        <item x="186"/>
        <item x="185"/>
        <item x="187"/>
        <item x="188"/>
        <item x="204"/>
        <item x="160"/>
        <item x="252"/>
        <item x="44"/>
        <item x="102"/>
        <item x="103"/>
        <item x="104"/>
        <item x="161"/>
        <item x="162"/>
        <item x="45"/>
        <item x="173"/>
        <item x="376"/>
        <item x="105"/>
        <item x="320"/>
        <item x="369"/>
        <item x="370"/>
        <item x="240"/>
        <item x="374"/>
        <item x="54"/>
        <item x="241"/>
        <item x="50"/>
        <item x="106"/>
        <item x="107"/>
        <item x="108"/>
        <item x="317"/>
        <item x="110"/>
        <item x="20"/>
        <item x="372"/>
        <item x="109"/>
        <item x="111"/>
        <item x="112"/>
        <item x="131"/>
        <item x="132"/>
        <item x="133"/>
        <item x="335"/>
        <item x="113"/>
        <item x="114"/>
        <item x="115"/>
        <item x="336"/>
        <item x="31"/>
        <item x="116"/>
        <item x="117"/>
        <item x="38"/>
        <item x="337"/>
        <item x="134"/>
        <item x="47"/>
        <item x="163"/>
        <item x="49"/>
        <item x="135"/>
        <item x="227"/>
        <item x="118"/>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axis="axisCol" subtotalTop="0" showAll="0">
      <items count="6">
        <item h="1" x="2"/>
        <item x="1"/>
        <item x="0"/>
        <item h="1" x="3"/>
        <item x="4"/>
        <item t="default"/>
      </items>
    </pivotField>
    <pivotField axis="axisRow" subtotalTop="0" showAll="0" sortType="ascending">
      <items count="29">
        <item h="1" m="1" x="15"/>
        <item h="1" m="1" x="13"/>
        <item h="1" m="1" x="14"/>
        <item h="1" x="6"/>
        <item h="1" x="7"/>
        <item h="1" x="5"/>
        <item h="1" x="1"/>
        <item h="1" x="2"/>
        <item h="1" x="0"/>
        <item h="1" x="8"/>
        <item h="1" x="9"/>
        <item h="1" x="10"/>
        <item x="11"/>
        <item h="1" x="4"/>
        <item h="1" x="3"/>
        <item h="1" m="1" x="16"/>
        <item h="1" m="1" x="26"/>
        <item h="1" m="1" x="22"/>
        <item h="1" m="1" x="17"/>
        <item h="1" m="1" x="21"/>
        <item h="1" m="1" x="23"/>
        <item h="1" m="1" x="18"/>
        <item h="1" m="1" x="19"/>
        <item h="1" m="1" x="20"/>
        <item h="1" m="1" x="24"/>
        <item h="1" m="1" x="25"/>
        <item h="1" m="1" x="27"/>
        <item h="1" x="12"/>
        <item t="default"/>
      </items>
    </pivotField>
    <pivotField axis="axisRow" subtotalTop="0" showAll="0">
      <items count="9">
        <item h="1" sd="0" m="1" x="7"/>
        <item h="1" sd="0" x="4"/>
        <item h="1" sd="0" x="2"/>
        <item h="1" sd="0" x="1"/>
        <item x="0"/>
        <item h="1" sd="0" x="3"/>
        <item h="1" sd="0" x="6"/>
        <item h="1" x="5"/>
        <item t="default" sd="0"/>
      </items>
    </pivotField>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 subtotalTop="0" showAll="0">
      <items count="15">
        <item sd="0" x="0"/>
        <item sd="0" x="1"/>
        <item sd="0" x="2"/>
        <item sd="0" x="3"/>
        <item sd="0" x="4"/>
        <item sd="0" x="5"/>
        <item sd="0" x="6"/>
        <item sd="0" x="7"/>
        <item h="1" sd="0" x="8"/>
        <item sd="0" x="9"/>
        <item sd="0" x="10"/>
        <item sd="0" x="11"/>
        <item sd="0" x="12"/>
        <item sd="0" x="13"/>
        <item t="default"/>
      </items>
    </pivotField>
    <pivotField subtotalTop="0" showAll="0">
      <items count="7">
        <item sd="0" x="0"/>
        <item sd="0" x="1"/>
        <item sd="0" x="2"/>
        <item x="3"/>
        <item sd="0" x="4"/>
        <item x="5"/>
        <item t="default"/>
      </items>
    </pivotField>
    <pivotField subtotalTop="0" showAll="0">
      <items count="9">
        <item h="1" x="0"/>
        <item h="1" x="1"/>
        <item h="1" x="2"/>
        <item h="1" x="3"/>
        <item x="4"/>
        <item h="1" x="5"/>
        <item h="1" x="6"/>
        <item h="1" x="7"/>
        <item t="default"/>
      </items>
    </pivotField>
    <pivotField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ubtotalTop="0" showAll="0">
      <items count="15">
        <item x="0"/>
        <item x="1"/>
        <item x="2"/>
        <item x="3"/>
        <item x="4"/>
        <item x="5"/>
        <item x="6"/>
        <item x="7"/>
        <item x="8"/>
        <item x="9"/>
        <item x="10"/>
        <item x="11"/>
        <item x="12"/>
        <item x="13"/>
        <item t="default"/>
      </items>
    </pivotField>
    <pivotField subtotalTop="0" showAll="0">
      <items count="5">
        <item x="0"/>
        <item x="1"/>
        <item x="2"/>
        <item x="3"/>
        <item t="default"/>
      </items>
    </pivotField>
  </pivotFields>
  <rowFields count="3">
    <field x="38"/>
    <field x="37"/>
    <field x="0"/>
  </rowFields>
  <rowItems count="10">
    <i>
      <x v="4"/>
    </i>
    <i r="1">
      <x v="12"/>
    </i>
    <i r="2">
      <x v="1"/>
    </i>
    <i r="2">
      <x v="2"/>
    </i>
    <i r="2">
      <x v="3"/>
    </i>
    <i r="2">
      <x v="6"/>
    </i>
    <i r="2">
      <x v="12"/>
    </i>
    <i t="default" r="1">
      <x v="12"/>
    </i>
    <i t="default">
      <x v="4"/>
    </i>
    <i t="grand">
      <x/>
    </i>
  </rowItems>
  <colFields count="1">
    <field x="36"/>
  </colFields>
  <colItems count="3">
    <i>
      <x v="1"/>
    </i>
    <i>
      <x v="2"/>
    </i>
    <i t="grand">
      <x/>
    </i>
  </colItems>
  <dataFields count="1">
    <dataField name="Count of Quantity" fld="8" subtotal="count" baseField="0" baseItem="1"/>
  </dataFields>
  <chartFormats count="7">
    <chartFormat chart="1" format="0" series="1">
      <pivotArea type="data" outline="0" fieldPosition="0">
        <references count="2">
          <reference field="4294967294" count="1" selected="0">
            <x v="0"/>
          </reference>
          <reference field="36" count="1" selected="0">
            <x v="1"/>
          </reference>
        </references>
      </pivotArea>
    </chartFormat>
    <chartFormat chart="1" format="1" series="1">
      <pivotArea type="data" outline="0" fieldPosition="0">
        <references count="2">
          <reference field="4294967294" count="1" selected="0">
            <x v="0"/>
          </reference>
          <reference field="36" count="1" selected="0">
            <x v="2"/>
          </reference>
        </references>
      </pivotArea>
    </chartFormat>
    <chartFormat chart="1" format="2" series="1">
      <pivotArea type="data" outline="0" fieldPosition="0">
        <references count="2">
          <reference field="4294967294" count="1" selected="0">
            <x v="0"/>
          </reference>
          <reference field="36" count="1" selected="0">
            <x v="0"/>
          </reference>
        </references>
      </pivotArea>
    </chartFormat>
    <chartFormat chart="7" format="8" series="1">
      <pivotArea type="data" outline="0" fieldPosition="0">
        <references count="2">
          <reference field="4294967294" count="1" selected="0">
            <x v="0"/>
          </reference>
          <reference field="36" count="1" selected="0">
            <x v="1"/>
          </reference>
        </references>
      </pivotArea>
    </chartFormat>
    <chartFormat chart="7" format="9" series="1">
      <pivotArea type="data" outline="0" fieldPosition="0">
        <references count="2">
          <reference field="4294967294" count="1" selected="0">
            <x v="0"/>
          </reference>
          <reference field="36" count="1" selected="0">
            <x v="2"/>
          </reference>
        </references>
      </pivotArea>
    </chartFormat>
    <chartFormat chart="7" format="10" series="1">
      <pivotArea type="data" outline="0" fieldPosition="0">
        <references count="2">
          <reference field="4294967294" count="1" selected="0">
            <x v="0"/>
          </reference>
          <reference field="36" count="1" selected="0">
            <x v="3"/>
          </reference>
        </references>
      </pivotArea>
    </chartFormat>
    <chartFormat chart="7" format="11" series="1">
      <pivotArea type="data" outline="0" fieldPosition="0">
        <references count="2">
          <reference field="4294967294" count="1" selected="0">
            <x v="0"/>
          </reference>
          <reference field="3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11" xr10:uid="{5CD96CF5-887E-45ED-8176-91F93CABACB2}" sourceName="CUSTOMER">
  <pivotTables>
    <pivotTable tabId="47" name="PivotTable3"/>
  </pivotTables>
  <data>
    <tabular pivotCacheId="744225279">
      <items count="17">
        <i x="11"/>
        <i x="3"/>
        <i x="12"/>
        <i x="2"/>
        <i x="8"/>
        <i x="4"/>
        <i x="7"/>
        <i x="5"/>
        <i x="13"/>
        <i x="10"/>
        <i x="9" s="1"/>
        <i x="0"/>
        <i x="1"/>
        <i x="6"/>
        <i x="16" nd="1"/>
        <i x="15" nd="1"/>
        <i x="1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1" xr10:uid="{FB331B39-A599-48D2-92EA-8042BE8620B5}" sourceName="CUSTOMER">
  <pivotTables>
    <pivotTable tabId="45" name="PivotTable2"/>
  </pivotTables>
  <data>
    <tabular pivotCacheId="744225279">
      <items count="17">
        <i x="0" s="1"/>
        <i x="16" nd="1"/>
        <i x="11" nd="1"/>
        <i x="3" nd="1"/>
        <i x="12" nd="1"/>
        <i x="2" nd="1"/>
        <i x="8" nd="1"/>
        <i x="4" nd="1"/>
        <i x="7" nd="1"/>
        <i x="5" nd="1"/>
        <i x="13" nd="1"/>
        <i x="15" nd="1"/>
        <i x="10" nd="1"/>
        <i x="9" nd="1"/>
        <i x="1" nd="1"/>
        <i x="6" nd="1"/>
        <i x="1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21" xr10:uid="{29C0F332-FDEA-4235-B45D-43CBBBF78E2F}" sourceName="CUSTOMER">
  <pivotTables>
    <pivotTable tabId="48" name="PivotTable4"/>
  </pivotTables>
  <data>
    <tabular pivotCacheId="744225279">
      <items count="17">
        <i x="11" s="1"/>
        <i x="3" s="1"/>
        <i x="12" s="1"/>
        <i x="8" s="1"/>
        <i x="5" s="1"/>
        <i x="10" s="1"/>
        <i x="9" s="1"/>
        <i x="0" s="1"/>
        <i x="16" s="1" nd="1"/>
        <i x="2" s="1" nd="1"/>
        <i x="4" s="1" nd="1"/>
        <i x="7" s="1" nd="1"/>
        <i x="13" s="1" nd="1"/>
        <i x="15" s="1" nd="1"/>
        <i x="1" s="1" nd="1"/>
        <i x="6" s="1" nd="1"/>
        <i x="1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1" xr10:uid="{9F11DA55-8015-466F-9E39-53B4ECF8D94A}" sourceName="Month">
  <pivotTables>
    <pivotTable tabId="48" name="PivotTable4"/>
  </pivotTables>
  <data>
    <tabular pivotCacheId="744225279">
      <items count="28">
        <i x="6" s="1"/>
        <i x="7" s="1"/>
        <i x="5" s="1"/>
        <i x="1" s="1"/>
        <i x="2" s="1"/>
        <i x="0" s="1"/>
        <i x="8" s="1"/>
        <i x="9" s="1"/>
        <i x="10" s="1"/>
        <i x="11" s="1"/>
        <i x="4" s="1"/>
        <i x="3" s="1"/>
        <i x="15" s="1" nd="1"/>
        <i x="13" s="1" nd="1"/>
        <i x="14" s="1" nd="1"/>
        <i x="16" s="1" nd="1"/>
        <i x="26" s="1" nd="1"/>
        <i x="22" s="1" nd="1"/>
        <i x="17" s="1" nd="1"/>
        <i x="21" s="1" nd="1"/>
        <i x="23" s="1" nd="1"/>
        <i x="18" s="1" nd="1"/>
        <i x="19" s="1" nd="1"/>
        <i x="20" s="1" nd="1"/>
        <i x="24" s="1" nd="1"/>
        <i x="25" s="1" nd="1"/>
        <i x="27" s="1" nd="1"/>
        <i x="12"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1" xr10:uid="{56687531-A136-45C2-BC02-421A91B384B9}" sourceName="YEAR">
  <pivotTables>
    <pivotTable tabId="48" name="PivotTable4"/>
  </pivotTables>
  <data>
    <tabular pivotCacheId="744225279">
      <items count="8">
        <i x="1" s="1"/>
        <i x="0" s="1"/>
        <i x="3" s="1"/>
        <i x="7" nd="1"/>
        <i x="4" nd="1"/>
        <i x="2" nd="1"/>
        <i x="5" nd="1"/>
        <i x="6"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12" xr10:uid="{BB650AA7-185C-495D-8796-062AB1D3F37B}" sourceName="CUSTOMER">
  <pivotTables>
    <pivotTable tabId="49" name="PivotTable2"/>
  </pivotTables>
  <data>
    <tabular pivotCacheId="744225279">
      <items count="17">
        <i x="11" s="1"/>
        <i x="3" s="1"/>
        <i x="12" s="1"/>
        <i x="8" s="1"/>
        <i x="4" s="1"/>
        <i x="5" s="1"/>
        <i x="0" s="1"/>
        <i x="16" s="1" nd="1"/>
        <i x="2" s="1" nd="1"/>
        <i x="7" s="1" nd="1"/>
        <i x="13" s="1" nd="1"/>
        <i x="15" s="1" nd="1"/>
        <i x="10" s="1" nd="1"/>
        <i x="9" s="1" nd="1"/>
        <i x="1" s="1" nd="1"/>
        <i x="6" s="1" nd="1"/>
        <i x="14"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Family1" xr10:uid="{B8A16FC7-ECC3-422B-9DF3-94DEECE8105B}" sourceName="Product Family">
  <pivotTables>
    <pivotTable tabId="45" name="PivotTable2"/>
  </pivotTables>
  <data>
    <tabular pivotCacheId="744225279">
      <items count="83">
        <i x="44" s="1"/>
        <i x="1" s="1" nd="1"/>
        <i x="81" s="1" nd="1"/>
        <i x="40" s="1" nd="1"/>
        <i x="16" s="1" nd="1"/>
        <i x="30" s="1" nd="1"/>
        <i x="7" s="1" nd="1"/>
        <i x="53" s="1" nd="1"/>
        <i x="51" s="1" nd="1"/>
        <i x="8" s="1" nd="1"/>
        <i x="58" s="1" nd="1"/>
        <i x="60" s="1" nd="1"/>
        <i x="17" s="1" nd="1"/>
        <i x="41" s="1" nd="1"/>
        <i x="13" s="1" nd="1"/>
        <i x="14" s="1" nd="1"/>
        <i x="22" s="1" nd="1"/>
        <i x="39" s="1" nd="1"/>
        <i x="63" s="1" nd="1"/>
        <i x="20" s="1" nd="1"/>
        <i x="75" s="1" nd="1"/>
        <i x="21" s="1" nd="1"/>
        <i x="32" s="1" nd="1"/>
        <i x="46" s="1" nd="1"/>
        <i x="78" s="1" nd="1"/>
        <i x="55" s="1" nd="1"/>
        <i x="62" s="1" nd="1"/>
        <i x="70" s="1" nd="1"/>
        <i x="71" s="1" nd="1"/>
        <i x="72" s="1" nd="1"/>
        <i x="73" s="1" nd="1"/>
        <i x="74" s="1" nd="1"/>
        <i x="69" s="1" nd="1"/>
        <i x="76" s="1" nd="1"/>
        <i x="54" s="1" nd="1"/>
        <i x="65" s="1" nd="1"/>
        <i x="15" s="1" nd="1"/>
        <i x="50" s="1" nd="1"/>
        <i x="61" s="1" nd="1"/>
        <i x="64" s="1" nd="1"/>
        <i x="59" s="1" nd="1"/>
        <i x="11" s="1" nd="1"/>
        <i x="23" s="1" nd="1"/>
        <i x="34" s="1" nd="1"/>
        <i x="48" s="1" nd="1"/>
        <i x="27" s="1" nd="1"/>
        <i x="28" s="1" nd="1"/>
        <i x="29" s="1" nd="1"/>
        <i x="19" s="1" nd="1"/>
        <i x="18" s="1" nd="1"/>
        <i x="47" s="1" nd="1"/>
        <i x="31" s="1" nd="1"/>
        <i x="12" s="1" nd="1"/>
        <i x="80" s="1" nd="1"/>
        <i x="37" s="1" nd="1"/>
        <i x="35" s="1" nd="1"/>
        <i x="68" s="1" nd="1"/>
        <i x="57" s="1" nd="1"/>
        <i x="10" s="1" nd="1"/>
        <i x="24" s="1" nd="1"/>
        <i x="26" s="1" nd="1"/>
        <i x="25" s="1" nd="1"/>
        <i x="79" s="1" nd="1"/>
        <i x="3" s="1" nd="1"/>
        <i x="56" s="1" nd="1"/>
        <i x="6" s="1" nd="1"/>
        <i x="49" s="1" nd="1"/>
        <i x="43" s="1" nd="1"/>
        <i x="45" s="1" nd="1"/>
        <i x="0" s="1" nd="1"/>
        <i x="42" s="1" nd="1"/>
        <i x="5" s="1" nd="1"/>
        <i x="4" s="1" nd="1"/>
        <i x="36" s="1" nd="1"/>
        <i x="38" s="1" nd="1"/>
        <i x="33" s="1" nd="1"/>
        <i x="66" s="1" nd="1"/>
        <i x="67" s="1" nd="1"/>
        <i x="77" s="1" nd="1"/>
        <i x="9" s="1" nd="1"/>
        <i x="52" s="1" nd="1"/>
        <i x="82" s="1" nd="1"/>
        <i x="2"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Family2" xr10:uid="{6376092F-EAB4-4104-9E66-0E8630604613}" sourceName="Product Family">
  <pivotTables>
    <pivotTable tabId="46" name="PivotTable4"/>
  </pivotTables>
  <data>
    <tabular pivotCacheId="744225279">
      <items count="83">
        <i x="1" s="1"/>
        <i x="53" s="1"/>
        <i x="55" s="1"/>
        <i x="54" s="1"/>
        <i x="56" s="1"/>
        <i x="43" s="1"/>
        <i x="81" s="1" nd="1"/>
        <i x="40" s="1" nd="1"/>
        <i x="16" s="1" nd="1"/>
        <i x="30" s="1" nd="1"/>
        <i x="7" s="1" nd="1"/>
        <i x="51" s="1" nd="1"/>
        <i x="8" s="1" nd="1"/>
        <i x="58" s="1" nd="1"/>
        <i x="60" s="1" nd="1"/>
        <i x="17" s="1" nd="1"/>
        <i x="41" s="1" nd="1"/>
        <i x="13" s="1" nd="1"/>
        <i x="14" s="1" nd="1"/>
        <i x="22" s="1" nd="1"/>
        <i x="39" s="1" nd="1"/>
        <i x="63" s="1" nd="1"/>
        <i x="20" s="1" nd="1"/>
        <i x="75" s="1" nd="1"/>
        <i x="21" s="1" nd="1"/>
        <i x="32" s="1" nd="1"/>
        <i x="46" s="1" nd="1"/>
        <i x="78" s="1" nd="1"/>
        <i x="62" s="1" nd="1"/>
        <i x="70" s="1" nd="1"/>
        <i x="71" s="1" nd="1"/>
        <i x="72" s="1" nd="1"/>
        <i x="73" s="1" nd="1"/>
        <i x="74" s="1" nd="1"/>
        <i x="69" s="1" nd="1"/>
        <i x="76" s="1" nd="1"/>
        <i x="65" s="1" nd="1"/>
        <i x="15" s="1" nd="1"/>
        <i x="50" s="1" nd="1"/>
        <i x="61" s="1" nd="1"/>
        <i x="64" s="1" nd="1"/>
        <i x="59" s="1" nd="1"/>
        <i x="11" s="1" nd="1"/>
        <i x="23" s="1" nd="1"/>
        <i x="34" s="1" nd="1"/>
        <i x="48" s="1" nd="1"/>
        <i x="27" s="1" nd="1"/>
        <i x="28" s="1" nd="1"/>
        <i x="29" s="1" nd="1"/>
        <i x="19" s="1" nd="1"/>
        <i x="18" s="1" nd="1"/>
        <i x="47" s="1" nd="1"/>
        <i x="31" s="1" nd="1"/>
        <i x="12" s="1" nd="1"/>
        <i x="80" s="1" nd="1"/>
        <i x="37" s="1" nd="1"/>
        <i x="35" s="1" nd="1"/>
        <i x="68" s="1" nd="1"/>
        <i x="57" s="1" nd="1"/>
        <i x="10" s="1" nd="1"/>
        <i x="24" s="1" nd="1"/>
        <i x="26" s="1" nd="1"/>
        <i x="25" s="1" nd="1"/>
        <i x="79" s="1" nd="1"/>
        <i x="3" s="1" nd="1"/>
        <i x="6" s="1" nd="1"/>
        <i x="49" s="1" nd="1"/>
        <i x="45" s="1" nd="1"/>
        <i x="0" s="1" nd="1"/>
        <i x="44" s="1" nd="1"/>
        <i x="42" s="1" nd="1"/>
        <i x="5" s="1" nd="1"/>
        <i x="4" s="1" nd="1"/>
        <i x="36" s="1" nd="1"/>
        <i x="38" s="1" nd="1"/>
        <i x="33" s="1" nd="1"/>
        <i x="66" s="1" nd="1"/>
        <i x="67" s="1" nd="1"/>
        <i x="77" s="1" nd="1"/>
        <i x="9" s="1" nd="1"/>
        <i x="52" s="1" nd="1"/>
        <i x="82" s="1" nd="1"/>
        <i x="2"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_Number" xr10:uid="{A1148AC9-1A55-4344-883F-4452DD699101}" sourceName="Part Number">
  <pivotTables>
    <pivotTable tabId="45" name="PivotTable2"/>
  </pivotTables>
  <data>
    <tabular pivotCacheId="744225279">
      <items count="247">
        <i x="101" s="1"/>
        <i x="102"/>
        <i x="104"/>
        <i x="114"/>
        <i x="115"/>
        <i x="117"/>
        <i x="118"/>
        <i x="126"/>
        <i x="130"/>
        <i x="133"/>
        <i x="141"/>
        <i x="150"/>
        <i x="175"/>
        <i x="178"/>
        <i x="231"/>
        <i x="232"/>
        <i x="233"/>
        <i x="234"/>
        <i x="235"/>
        <i x="236"/>
        <i x="237"/>
        <i x="245"/>
        <i x="0" nd="1"/>
        <i x="1" nd="1"/>
        <i x="2" nd="1"/>
        <i x="3" nd="1"/>
        <i x="4" nd="1"/>
        <i x="5" nd="1"/>
        <i x="6" nd="1"/>
        <i x="7" nd="1"/>
        <i x="8" nd="1"/>
        <i x="9" nd="1"/>
        <i x="10" nd="1"/>
        <i x="11" nd="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41" nd="1"/>
        <i x="42" nd="1"/>
        <i x="43" nd="1"/>
        <i x="44" nd="1"/>
        <i x="45" nd="1"/>
        <i x="46" nd="1"/>
        <i x="47" nd="1"/>
        <i x="48" nd="1"/>
        <i x="49" nd="1"/>
        <i x="50" nd="1"/>
        <i x="51" nd="1"/>
        <i x="52" nd="1"/>
        <i x="53" nd="1"/>
        <i x="54" nd="1"/>
        <i x="55" nd="1"/>
        <i x="56" nd="1"/>
        <i x="57" nd="1"/>
        <i x="58" nd="1"/>
        <i x="59" nd="1"/>
        <i x="60" nd="1"/>
        <i x="61" nd="1"/>
        <i x="62" nd="1"/>
        <i x="63" nd="1"/>
        <i x="64" nd="1"/>
        <i x="65" nd="1"/>
        <i x="66" nd="1"/>
        <i x="67" nd="1"/>
        <i x="68" nd="1"/>
        <i x="69" nd="1"/>
        <i x="70" nd="1"/>
        <i x="71" nd="1"/>
        <i x="72" nd="1"/>
        <i x="73" nd="1"/>
        <i x="74" nd="1"/>
        <i x="75" nd="1"/>
        <i x="76" nd="1"/>
        <i x="77" nd="1"/>
        <i x="78" nd="1"/>
        <i x="79" nd="1"/>
        <i x="80" nd="1"/>
        <i x="81" nd="1"/>
        <i x="82" nd="1"/>
        <i x="83" nd="1"/>
        <i x="84" nd="1"/>
        <i x="85" nd="1"/>
        <i x="86" nd="1"/>
        <i x="87" nd="1"/>
        <i x="88" nd="1"/>
        <i x="89" nd="1"/>
        <i x="90" nd="1"/>
        <i x="91" nd="1"/>
        <i x="92" nd="1"/>
        <i x="93" nd="1"/>
        <i x="94" nd="1"/>
        <i x="95" nd="1"/>
        <i x="96" nd="1"/>
        <i x="97" nd="1"/>
        <i x="98" nd="1"/>
        <i x="99" nd="1"/>
        <i x="100" nd="1"/>
        <i x="103" nd="1"/>
        <i x="105" nd="1"/>
        <i x="106" nd="1"/>
        <i x="107" nd="1"/>
        <i x="108" nd="1"/>
        <i x="109" nd="1"/>
        <i x="110" nd="1"/>
        <i x="111" nd="1"/>
        <i x="112" nd="1"/>
        <i x="113" nd="1"/>
        <i x="116" nd="1"/>
        <i x="119" nd="1"/>
        <i x="120" nd="1"/>
        <i x="121" nd="1"/>
        <i x="122" nd="1"/>
        <i x="123" nd="1"/>
        <i x="124" nd="1"/>
        <i x="125" nd="1"/>
        <i x="127" nd="1"/>
        <i x="128" nd="1"/>
        <i x="129" nd="1"/>
        <i x="131" nd="1"/>
        <i x="132" nd="1"/>
        <i x="134" nd="1"/>
        <i x="135" nd="1"/>
        <i x="136" nd="1"/>
        <i x="137" nd="1"/>
        <i x="138" nd="1"/>
        <i x="139" nd="1"/>
        <i x="140" nd="1"/>
        <i x="142" nd="1"/>
        <i x="143" nd="1"/>
        <i x="144" nd="1"/>
        <i x="145" nd="1"/>
        <i x="146" nd="1"/>
        <i x="147" nd="1"/>
        <i x="148" nd="1"/>
        <i x="149" nd="1"/>
        <i x="151" nd="1"/>
        <i x="152" nd="1"/>
        <i x="153" nd="1"/>
        <i x="154" nd="1"/>
        <i x="155" nd="1"/>
        <i x="156" nd="1"/>
        <i x="157" nd="1"/>
        <i x="158" nd="1"/>
        <i x="159" nd="1"/>
        <i x="160" nd="1"/>
        <i x="161" nd="1"/>
        <i x="162" nd="1"/>
        <i x="163" nd="1"/>
        <i x="164" nd="1"/>
        <i x="165" nd="1"/>
        <i x="166" nd="1"/>
        <i x="167" nd="1"/>
        <i x="168" nd="1"/>
        <i x="169" nd="1"/>
        <i x="170" nd="1"/>
        <i x="171" nd="1"/>
        <i x="172" nd="1"/>
        <i x="173" nd="1"/>
        <i x="174" nd="1"/>
        <i x="176" nd="1"/>
        <i x="177" nd="1"/>
        <i x="179" nd="1"/>
        <i x="180" nd="1"/>
        <i x="181" nd="1"/>
        <i x="182" nd="1"/>
        <i x="183" nd="1"/>
        <i x="184" nd="1"/>
        <i x="185" nd="1"/>
        <i x="186" nd="1"/>
        <i x="187" nd="1"/>
        <i x="188" nd="1"/>
        <i x="189" nd="1"/>
        <i x="190" nd="1"/>
        <i x="191" nd="1"/>
        <i x="192" nd="1"/>
        <i x="193" nd="1"/>
        <i x="194" nd="1"/>
        <i x="195" nd="1"/>
        <i x="196" nd="1"/>
        <i x="197" nd="1"/>
        <i x="198" nd="1"/>
        <i x="199" nd="1"/>
        <i x="200" nd="1"/>
        <i x="201" nd="1"/>
        <i x="202" nd="1"/>
        <i x="203" nd="1"/>
        <i x="204" nd="1"/>
        <i x="205" nd="1"/>
        <i x="206" nd="1"/>
        <i x="207" nd="1"/>
        <i x="208" nd="1"/>
        <i x="209" nd="1"/>
        <i x="210" nd="1"/>
        <i x="211" nd="1"/>
        <i x="212" nd="1"/>
        <i x="213" nd="1"/>
        <i x="214" nd="1"/>
        <i x="215" nd="1"/>
        <i x="216" nd="1"/>
        <i x="217" nd="1"/>
        <i x="218" nd="1"/>
        <i x="219" nd="1"/>
        <i x="220" nd="1"/>
        <i x="221" nd="1"/>
        <i x="222" nd="1"/>
        <i x="223" nd="1"/>
        <i x="224" nd="1"/>
        <i x="225" nd="1"/>
        <i x="226" nd="1"/>
        <i x="227" nd="1"/>
        <i x="228" nd="1"/>
        <i x="229" nd="1"/>
        <i x="230" nd="1"/>
        <i x="238" nd="1"/>
        <i x="239" nd="1"/>
        <i x="240" nd="1"/>
        <i x="241" nd="1"/>
        <i x="242" nd="1"/>
        <i x="243" nd="1"/>
        <i x="244" nd="1"/>
        <i x="246"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Family3" xr10:uid="{41035239-D9BE-4E26-AF16-3CE5952FBB77}" sourceName="Product Family">
  <pivotTables>
    <pivotTable tabId="49" name="PivotTable2"/>
  </pivotTables>
  <data>
    <tabular pivotCacheId="744225279">
      <items count="83">
        <i x="1" s="1"/>
        <i x="51" s="1"/>
        <i x="14" s="1"/>
        <i x="39" s="1"/>
        <i x="32" s="1"/>
        <i x="70" s="1"/>
        <i x="71" s="1"/>
        <i x="72" s="1"/>
        <i x="76" s="1"/>
        <i x="65" s="1"/>
        <i x="15" s="1"/>
        <i x="61" s="1"/>
        <i x="12" s="1"/>
        <i x="68" s="1"/>
        <i x="0" s="1"/>
        <i x="44" s="1"/>
        <i x="4" s="1"/>
        <i x="33" s="1"/>
        <i x="67" s="1"/>
        <i x="81" s="1" nd="1"/>
        <i x="40" s="1" nd="1"/>
        <i x="16" s="1" nd="1"/>
        <i x="30" s="1" nd="1"/>
        <i x="7" s="1" nd="1"/>
        <i x="53" s="1" nd="1"/>
        <i x="8" s="1" nd="1"/>
        <i x="58" s="1" nd="1"/>
        <i x="60" s="1" nd="1"/>
        <i x="17" s="1" nd="1"/>
        <i x="41" s="1" nd="1"/>
        <i x="13" s="1" nd="1"/>
        <i x="22" s="1" nd="1"/>
        <i x="63" s="1" nd="1"/>
        <i x="20" s="1" nd="1"/>
        <i x="75" s="1" nd="1"/>
        <i x="21" s="1" nd="1"/>
        <i x="46" s="1" nd="1"/>
        <i x="78" s="1" nd="1"/>
        <i x="55" s="1" nd="1"/>
        <i x="62" s="1" nd="1"/>
        <i x="73" s="1" nd="1"/>
        <i x="74" s="1" nd="1"/>
        <i x="69" s="1" nd="1"/>
        <i x="54" s="1" nd="1"/>
        <i x="50" s="1" nd="1"/>
        <i x="64" s="1" nd="1"/>
        <i x="59" s="1" nd="1"/>
        <i x="11" s="1" nd="1"/>
        <i x="23" s="1" nd="1"/>
        <i x="34" s="1" nd="1"/>
        <i x="48" s="1" nd="1"/>
        <i x="27" s="1" nd="1"/>
        <i x="28" s="1" nd="1"/>
        <i x="29" s="1" nd="1"/>
        <i x="19" s="1" nd="1"/>
        <i x="18" s="1" nd="1"/>
        <i x="47" s="1" nd="1"/>
        <i x="31" s="1" nd="1"/>
        <i x="80" s="1" nd="1"/>
        <i x="37" s="1" nd="1"/>
        <i x="35" s="1" nd="1"/>
        <i x="57" s="1" nd="1"/>
        <i x="10" s="1" nd="1"/>
        <i x="24" s="1" nd="1"/>
        <i x="26" s="1" nd="1"/>
        <i x="25" s="1" nd="1"/>
        <i x="79" s="1" nd="1"/>
        <i x="3" s="1" nd="1"/>
        <i x="56" s="1" nd="1"/>
        <i x="6" s="1" nd="1"/>
        <i x="49" s="1" nd="1"/>
        <i x="43" s="1" nd="1"/>
        <i x="45" s="1" nd="1"/>
        <i x="42" s="1" nd="1"/>
        <i x="5" s="1" nd="1"/>
        <i x="36" s="1" nd="1"/>
        <i x="38" s="1" nd="1"/>
        <i x="66" s="1" nd="1"/>
        <i x="77" s="1" nd="1"/>
        <i x="9" s="1" nd="1"/>
        <i x="52" s="1" nd="1"/>
        <i x="82" s="1" nd="1"/>
        <i x="2" s="1" nd="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A728ABAE-8700-4A8C-9E93-8FA21C0C617E}" sourceName="CUSTOMER">
  <pivotTables>
    <pivotTable tabId="41" name="PivotTable1"/>
    <pivotTable tabId="41" name="PivotTable3"/>
  </pivotTables>
  <data>
    <tabular pivotCacheId="744225279">
      <items count="17">
        <i x="11" s="1"/>
        <i x="3" s="1"/>
        <i x="12" s="1"/>
        <i x="4" s="1"/>
        <i x="0" s="1"/>
        <i x="16" s="1" nd="1"/>
        <i x="2" s="1" nd="1"/>
        <i x="8" s="1" nd="1"/>
        <i x="7" s="1" nd="1"/>
        <i x="5" s="1" nd="1"/>
        <i x="13" s="1" nd="1"/>
        <i x="15" s="1" nd="1"/>
        <i x="10" s="1" nd="1"/>
        <i x="9" s="1" nd="1"/>
        <i x="1" s="1" nd="1"/>
        <i x="6" s="1" nd="1"/>
        <i x="14" s="1" nd="1"/>
      </items>
    </tabular>
  </data>
  <extLs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2" xr10:uid="{EEDF6316-8D68-4D38-A8DC-40BA6B529677}" sourceName="CUSTOMER">
  <pivotTables>
    <pivotTable tabId="46" name="PivotTable4"/>
  </pivotTables>
  <data>
    <tabular pivotCacheId="744225279">
      <items count="17">
        <i x="11"/>
        <i x="3"/>
        <i x="12"/>
        <i x="8"/>
        <i x="5"/>
        <i x="10"/>
        <i x="9" s="1"/>
        <i x="0"/>
        <i x="16" nd="1"/>
        <i x="2" nd="1"/>
        <i x="4" nd="1"/>
        <i x="7" nd="1"/>
        <i x="13" nd="1"/>
        <i x="15" nd="1"/>
        <i x="1" nd="1"/>
        <i x="6" nd="1"/>
        <i x="14" nd="1"/>
      </items>
    </tabular>
  </data>
  <extLst>
    <x:ext xmlns:x15="http://schemas.microsoft.com/office/spreadsheetml/2010/11/main" uri="{470722E0-AACD-4C17-9CDC-17EF765DBC7E}">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_Number1" xr10:uid="{A75AE96C-BCF9-408F-B896-0B8C4F50C503}" sourceName="Part Number">
  <pivotTables>
    <pivotTable tabId="46" name="PivotTable4"/>
  </pivotTables>
  <data>
    <tabular pivotCacheId="744225279">
      <items count="247">
        <i x="119" s="1"/>
        <i x="134" s="1"/>
        <i x="135" s="1"/>
        <i x="136" s="1"/>
        <i x="137" s="1"/>
        <i x="138" s="1"/>
        <i x="0" s="1" nd="1"/>
        <i x="1" s="1" nd="1"/>
        <i x="2" s="1" nd="1"/>
        <i x="3" s="1" nd="1"/>
        <i x="4" s="1" nd="1"/>
        <i x="5" s="1" nd="1"/>
        <i x="6" s="1" nd="1"/>
        <i x="7" s="1" nd="1"/>
        <i x="8" s="1" nd="1"/>
        <i x="9" s="1" nd="1"/>
        <i x="10" s="1" nd="1"/>
        <i x="1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 x="50" s="1" nd="1"/>
        <i x="51" s="1" nd="1"/>
        <i x="52" s="1" nd="1"/>
        <i x="53" s="1" nd="1"/>
        <i x="54" s="1" nd="1"/>
        <i x="55" s="1" nd="1"/>
        <i x="56" s="1" nd="1"/>
        <i x="57" s="1" nd="1"/>
        <i x="58" s="1" nd="1"/>
        <i x="59" s="1" nd="1"/>
        <i x="60" s="1" nd="1"/>
        <i x="61" s="1" nd="1"/>
        <i x="62" s="1" nd="1"/>
        <i x="63" s="1" nd="1"/>
        <i x="64" s="1" nd="1"/>
        <i x="65" s="1" nd="1"/>
        <i x="66" s="1" nd="1"/>
        <i x="67" s="1" nd="1"/>
        <i x="68" s="1" nd="1"/>
        <i x="69" s="1" nd="1"/>
        <i x="70" s="1" nd="1"/>
        <i x="71" s="1" nd="1"/>
        <i x="72" s="1" nd="1"/>
        <i x="73" s="1" nd="1"/>
        <i x="74"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08" s="1" nd="1"/>
        <i x="109" s="1" nd="1"/>
        <i x="110" s="1" nd="1"/>
        <i x="111" s="1" nd="1"/>
        <i x="112" s="1" nd="1"/>
        <i x="113" s="1" nd="1"/>
        <i x="114" s="1" nd="1"/>
        <i x="115" s="1" nd="1"/>
        <i x="116" s="1" nd="1"/>
        <i x="117" s="1" nd="1"/>
        <i x="118" s="1" nd="1"/>
        <i x="120" s="1" nd="1"/>
        <i x="121" s="1" nd="1"/>
        <i x="122" s="1" nd="1"/>
        <i x="123" s="1" nd="1"/>
        <i x="124" s="1" nd="1"/>
        <i x="125" s="1" nd="1"/>
        <i x="126" s="1" nd="1"/>
        <i x="127" s="1" nd="1"/>
        <i x="128" s="1" nd="1"/>
        <i x="129" s="1" nd="1"/>
        <i x="130" s="1" nd="1"/>
        <i x="131" s="1" nd="1"/>
        <i x="132" s="1" nd="1"/>
        <i x="133" s="1" nd="1"/>
        <i x="139" s="1" nd="1"/>
        <i x="140" s="1" nd="1"/>
        <i x="141" s="1" nd="1"/>
        <i x="142" s="1" nd="1"/>
        <i x="143" s="1" nd="1"/>
        <i x="144" s="1" nd="1"/>
        <i x="145" s="1" nd="1"/>
        <i x="146" s="1" nd="1"/>
        <i x="147" s="1" nd="1"/>
        <i x="148" s="1" nd="1"/>
        <i x="149" s="1" nd="1"/>
        <i x="150" s="1" nd="1"/>
        <i x="151" s="1" nd="1"/>
        <i x="152" s="1" nd="1"/>
        <i x="153" s="1" nd="1"/>
        <i x="154" s="1" nd="1"/>
        <i x="155" s="1" nd="1"/>
        <i x="156" s="1" nd="1"/>
        <i x="157" s="1" nd="1"/>
        <i x="158" s="1" nd="1"/>
        <i x="159" s="1" nd="1"/>
        <i x="160" s="1" nd="1"/>
        <i x="161" s="1" nd="1"/>
        <i x="162" s="1" nd="1"/>
        <i x="163" s="1" nd="1"/>
        <i x="164" s="1" nd="1"/>
        <i x="165" s="1" nd="1"/>
        <i x="166" s="1" nd="1"/>
        <i x="167" s="1" nd="1"/>
        <i x="168" s="1" nd="1"/>
        <i x="169" s="1" nd="1"/>
        <i x="170" s="1" nd="1"/>
        <i x="171" s="1" nd="1"/>
        <i x="172" s="1" nd="1"/>
        <i x="173" s="1" nd="1"/>
        <i x="174" s="1" nd="1"/>
        <i x="175" s="1" nd="1"/>
        <i x="176" s="1" nd="1"/>
        <i x="177" s="1" nd="1"/>
        <i x="178" s="1" nd="1"/>
        <i x="179" s="1" nd="1"/>
        <i x="180" s="1" nd="1"/>
        <i x="181" s="1" nd="1"/>
        <i x="182" s="1" nd="1"/>
        <i x="183" s="1" nd="1"/>
        <i x="184" s="1" nd="1"/>
        <i x="185" s="1" nd="1"/>
        <i x="186" s="1" nd="1"/>
        <i x="187" s="1" nd="1"/>
        <i x="188" s="1" nd="1"/>
        <i x="189" s="1" nd="1"/>
        <i x="190" s="1" nd="1"/>
        <i x="191" s="1" nd="1"/>
        <i x="192" s="1" nd="1"/>
        <i x="193" s="1" nd="1"/>
        <i x="194" s="1" nd="1"/>
        <i x="195" s="1" nd="1"/>
        <i x="196" s="1" nd="1"/>
        <i x="197" s="1" nd="1"/>
        <i x="198" s="1" nd="1"/>
        <i x="199" s="1" nd="1"/>
        <i x="200" s="1" nd="1"/>
        <i x="201" s="1" nd="1"/>
        <i x="202" s="1" nd="1"/>
        <i x="203" s="1" nd="1"/>
        <i x="204" s="1" nd="1"/>
        <i x="205" s="1" nd="1"/>
        <i x="206" s="1" nd="1"/>
        <i x="207" s="1" nd="1"/>
        <i x="208" s="1" nd="1"/>
        <i x="209" s="1" nd="1"/>
        <i x="210" s="1" nd="1"/>
        <i x="211" s="1" nd="1"/>
        <i x="212" s="1" nd="1"/>
        <i x="213" s="1" nd="1"/>
        <i x="214" s="1" nd="1"/>
        <i x="215" s="1" nd="1"/>
        <i x="216" s="1" nd="1"/>
        <i x="217" s="1" nd="1"/>
        <i x="218" s="1" nd="1"/>
        <i x="219" s="1" nd="1"/>
        <i x="220" s="1" nd="1"/>
        <i x="221" s="1" nd="1"/>
        <i x="222" s="1" nd="1"/>
        <i x="223" s="1" nd="1"/>
        <i x="224" s="1" nd="1"/>
        <i x="225" s="1" nd="1"/>
        <i x="226" s="1" nd="1"/>
        <i x="227" s="1" nd="1"/>
        <i x="228" s="1" nd="1"/>
        <i x="229" s="1" nd="1"/>
        <i x="230" s="1" nd="1"/>
        <i x="231" s="1" nd="1"/>
        <i x="232" s="1" nd="1"/>
        <i x="233" s="1" nd="1"/>
        <i x="234" s="1" nd="1"/>
        <i x="235" s="1" nd="1"/>
        <i x="236" s="1" nd="1"/>
        <i x="237" s="1" nd="1"/>
        <i x="238" s="1" nd="1"/>
        <i x="239" s="1" nd="1"/>
        <i x="240" s="1" nd="1"/>
        <i x="241" s="1" nd="1"/>
        <i x="242" s="1" nd="1"/>
        <i x="243" s="1" nd="1"/>
        <i x="244" s="1" nd="1"/>
        <i x="245" s="1" nd="1"/>
        <i x="246" s="1" nd="1"/>
      </items>
    </tabular>
  </data>
  <extLs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ETA_As_requested_dd.mm.yyyy1" xr10:uid="{32532EF1-CEDB-468B-86D7-76C629638C9B}" sourceName="Years (ETA_x000a_As requested_x000a_dd.mm.yyyy)">
  <pivotTables>
    <pivotTable tabId="46" name="PivotTable4"/>
  </pivotTables>
  <data>
    <tabular pivotCacheId="744225279">
      <items count="8">
        <i x="3"/>
        <i x="4" s="1"/>
        <i x="5" s="1"/>
        <i x="0" nd="1"/>
        <i x="7" nd="1"/>
        <i x="1" nd="1"/>
        <i x="2" nd="1"/>
        <i x="6" nd="1"/>
      </items>
    </tabular>
  </data>
  <extLst>
    <x:ext xmlns:x15="http://schemas.microsoft.com/office/spreadsheetml/2010/11/main" uri="{470722E0-AACD-4C17-9CDC-17EF765DBC7E}">
      <x15:slicerCacheHideItemsWithNoData/>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0F3CCE4-CB6E-4FD9-997F-BB2924EAB75A}" sourceName="Month">
  <pivotTables>
    <pivotTable tabId="41" name="PivotTable1"/>
    <pivotTable tabId="41" name="PivotTable3"/>
  </pivotTables>
  <data>
    <tabular pivotCacheId="744225279">
      <items count="28">
        <i x="6"/>
        <i x="7"/>
        <i x="5"/>
        <i x="1"/>
        <i x="2"/>
        <i x="0"/>
        <i x="8"/>
        <i x="9"/>
        <i x="10"/>
        <i x="11" s="1"/>
        <i x="4"/>
        <i x="3"/>
        <i x="15" nd="1"/>
        <i x="13" nd="1"/>
        <i x="14" nd="1"/>
        <i x="16" nd="1"/>
        <i x="26" nd="1"/>
        <i x="22" nd="1"/>
        <i x="17" nd="1"/>
        <i x="21" nd="1"/>
        <i x="23" nd="1"/>
        <i x="18" nd="1"/>
        <i x="19" nd="1"/>
        <i x="20" nd="1"/>
        <i x="24" nd="1"/>
        <i x="25" nd="1"/>
        <i x="27" nd="1"/>
        <i x="12" nd="1"/>
      </items>
    </tabular>
  </data>
  <extLst>
    <x:ext xmlns:x15="http://schemas.microsoft.com/office/spreadsheetml/2010/11/main" uri="{470722E0-AACD-4C17-9CDC-17EF765DBC7E}">
      <x15:slicerCacheHideItemsWithNoData/>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00132DC-CB62-4B95-9E13-5DB773120F27}" sourceName="YEAR">
  <pivotTables>
    <pivotTable tabId="41" name="PivotTable1"/>
    <pivotTable tabId="41" name="PivotTable3"/>
  </pivotTables>
  <data>
    <tabular pivotCacheId="744225279">
      <items count="8">
        <i x="4"/>
        <i x="1"/>
        <i x="0" s="1"/>
        <i x="7" nd="1"/>
        <i x="2" nd="1"/>
        <i x="3" nd="1"/>
        <i x="5" nd="1"/>
        <i x="6" nd="1"/>
      </items>
    </tabular>
  </data>
  <extLst>
    <x:ext xmlns:x15="http://schemas.microsoft.com/office/spreadsheetml/2010/11/main" uri="{470722E0-AACD-4C17-9CDC-17EF765DBC7E}">
      <x15:slicerCacheHideItemsWithNoData/>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Family" xr10:uid="{80C6C4AA-7217-47CA-9877-C2B948A03709}" sourceName="Product Family">
  <pivotTables>
    <pivotTable tabId="48" name="PivotTable4"/>
  </pivotTables>
  <data>
    <tabular pivotCacheId="744225279">
      <items count="83">
        <i x="1" s="1"/>
        <i x="40" s="1"/>
        <i x="16" s="1"/>
        <i x="30" s="1"/>
        <i x="7" s="1"/>
        <i x="53" s="1"/>
        <i x="51" s="1"/>
        <i x="8" s="1"/>
        <i x="58" s="1"/>
        <i x="41" s="1"/>
        <i x="13" s="1"/>
        <i x="63" s="1"/>
        <i x="75" s="1"/>
        <i x="78" s="1"/>
        <i x="55" s="1"/>
        <i x="70" s="1"/>
        <i x="71" s="1"/>
        <i x="72" s="1"/>
        <i x="73" s="1"/>
        <i x="74" s="1"/>
        <i x="69" s="1"/>
        <i x="76" s="1"/>
        <i x="54" s="1"/>
        <i x="61" s="1"/>
        <i x="23" s="1"/>
        <i x="34" s="1"/>
        <i x="27" s="1"/>
        <i x="29" s="1"/>
        <i x="68" s="1"/>
        <i x="24" s="1"/>
        <i x="26" s="1"/>
        <i x="25" s="1"/>
        <i x="56" s="1"/>
        <i x="49" s="1"/>
        <i x="43" s="1"/>
        <i x="0" s="1"/>
        <i x="44" s="1"/>
        <i x="42" s="1"/>
        <i x="4" s="1"/>
        <i x="66" s="1"/>
        <i x="67" s="1"/>
        <i x="81" s="1" nd="1"/>
        <i x="60" s="1" nd="1"/>
        <i x="17" s="1" nd="1"/>
        <i x="14" s="1" nd="1"/>
        <i x="22" s="1" nd="1"/>
        <i x="39" s="1" nd="1"/>
        <i x="20" s="1" nd="1"/>
        <i x="21" s="1" nd="1"/>
        <i x="32" s="1" nd="1"/>
        <i x="46" s="1" nd="1"/>
        <i x="62" s="1" nd="1"/>
        <i x="65" s="1" nd="1"/>
        <i x="15" s="1" nd="1"/>
        <i x="50" s="1" nd="1"/>
        <i x="64" s="1" nd="1"/>
        <i x="59" s="1" nd="1"/>
        <i x="11" s="1" nd="1"/>
        <i x="48" s="1" nd="1"/>
        <i x="28" s="1" nd="1"/>
        <i x="19" s="1" nd="1"/>
        <i x="18" s="1" nd="1"/>
        <i x="47" s="1" nd="1"/>
        <i x="31" s="1" nd="1"/>
        <i x="12" s="1" nd="1"/>
        <i x="80" s="1" nd="1"/>
        <i x="37" s="1" nd="1"/>
        <i x="35" s="1" nd="1"/>
        <i x="57" s="1" nd="1"/>
        <i x="10" s="1" nd="1"/>
        <i x="79" s="1" nd="1"/>
        <i x="3" s="1" nd="1"/>
        <i x="6" s="1" nd="1"/>
        <i x="45" s="1" nd="1"/>
        <i x="5" s="1" nd="1"/>
        <i x="36" s="1" nd="1"/>
        <i x="38" s="1" nd="1"/>
        <i x="33" s="1" nd="1"/>
        <i x="77" s="1" nd="1"/>
        <i x="9" s="1" nd="1"/>
        <i x="52" s="1" nd="1"/>
        <i x="82" s="1" nd="1"/>
        <i x="2" s="1" nd="1"/>
      </items>
    </tabular>
  </data>
  <extLst>
    <x:ext xmlns:x15="http://schemas.microsoft.com/office/spreadsheetml/2010/11/main" uri="{470722E0-AACD-4C17-9CDC-17EF765DBC7E}">
      <x15:slicerCacheHideItemsWithNoData/>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Family4" xr10:uid="{CBA12190-B775-4659-8E21-AF43995BA759}" sourceName="Product Family">
  <pivotTables>
    <pivotTable tabId="47" name="PivotTable3"/>
  </pivotTables>
  <data>
    <tabular pivotCacheId="744225279">
      <items count="83">
        <i x="1" s="1"/>
        <i x="53" s="1"/>
        <i x="63" s="1"/>
        <i x="55" s="1"/>
        <i x="54" s="1"/>
        <i x="64" s="1"/>
        <i x="56" s="1"/>
        <i x="49" s="1"/>
        <i x="43" s="1"/>
        <i x="2" s="1"/>
        <i x="81" s="1" nd="1"/>
        <i x="40" s="1" nd="1"/>
        <i x="16" s="1" nd="1"/>
        <i x="30" s="1" nd="1"/>
        <i x="7" s="1" nd="1"/>
        <i x="51" s="1" nd="1"/>
        <i x="8" s="1" nd="1"/>
        <i x="58" s="1" nd="1"/>
        <i x="60" s="1" nd="1"/>
        <i x="17" s="1" nd="1"/>
        <i x="41" s="1" nd="1"/>
        <i x="13" s="1" nd="1"/>
        <i x="14" s="1" nd="1"/>
        <i x="22" s="1" nd="1"/>
        <i x="39" s="1" nd="1"/>
        <i x="20" s="1" nd="1"/>
        <i x="75" s="1" nd="1"/>
        <i x="21" s="1" nd="1"/>
        <i x="32" s="1" nd="1"/>
        <i x="46" s="1" nd="1"/>
        <i x="78" s="1" nd="1"/>
        <i x="62" s="1" nd="1"/>
        <i x="70" s="1" nd="1"/>
        <i x="71" s="1" nd="1"/>
        <i x="72" s="1" nd="1"/>
        <i x="73" s="1" nd="1"/>
        <i x="74" s="1" nd="1"/>
        <i x="69" s="1" nd="1"/>
        <i x="76" s="1" nd="1"/>
        <i x="65" s="1" nd="1"/>
        <i x="15" s="1" nd="1"/>
        <i x="50" s="1" nd="1"/>
        <i x="61" s="1" nd="1"/>
        <i x="59" s="1" nd="1"/>
        <i x="11" s="1" nd="1"/>
        <i x="23" s="1" nd="1"/>
        <i x="34" s="1" nd="1"/>
        <i x="48" s="1" nd="1"/>
        <i x="27" s="1" nd="1"/>
        <i x="28" s="1" nd="1"/>
        <i x="29" s="1" nd="1"/>
        <i x="19" s="1" nd="1"/>
        <i x="18" s="1" nd="1"/>
        <i x="47" s="1" nd="1"/>
        <i x="31" s="1" nd="1"/>
        <i x="12" s="1" nd="1"/>
        <i x="80" s="1" nd="1"/>
        <i x="37" s="1" nd="1"/>
        <i x="35" s="1" nd="1"/>
        <i x="68" s="1" nd="1"/>
        <i x="57" s="1" nd="1"/>
        <i x="10" s="1" nd="1"/>
        <i x="24" s="1" nd="1"/>
        <i x="26" s="1" nd="1"/>
        <i x="25" s="1" nd="1"/>
        <i x="79" s="1" nd="1"/>
        <i x="3" s="1" nd="1"/>
        <i x="6" s="1" nd="1"/>
        <i x="45" s="1" nd="1"/>
        <i x="0" s="1" nd="1"/>
        <i x="44" s="1" nd="1"/>
        <i x="42" s="1" nd="1"/>
        <i x="5" s="1" nd="1"/>
        <i x="4" s="1" nd="1"/>
        <i x="36" s="1" nd="1"/>
        <i x="38" s="1" nd="1"/>
        <i x="33" s="1" nd="1"/>
        <i x="66" s="1" nd="1"/>
        <i x="67" s="1" nd="1"/>
        <i x="77" s="1" nd="1"/>
        <i x="9" s="1" nd="1"/>
        <i x="52" s="1" nd="1"/>
        <i x="82" s="1" nd="1"/>
      </items>
    </tabular>
  </data>
  <extLst>
    <x:ext xmlns:x15="http://schemas.microsoft.com/office/spreadsheetml/2010/11/main" uri="{470722E0-AACD-4C17-9CDC-17EF765DBC7E}">
      <x15:slicerCacheHideItemsWithNoData/>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Finished_YES_NO" xr10:uid="{F0581189-95DD-404C-AAC6-3FC0B9E5BCA7}" sourceName="Order Finished_x000a_YES/NO">
  <pivotTables>
    <pivotTable tabId="47" name="PivotTable3"/>
  </pivotTables>
  <data>
    <tabular pivotCacheId="744225279">
      <items count="4">
        <i x="1" s="1"/>
        <i x="0" s="1"/>
        <i x="3" s="1" nd="1"/>
        <i x="2" s="1" nd="1"/>
      </items>
    </tabular>
  </data>
  <extLst>
    <x:ext xmlns:x15="http://schemas.microsoft.com/office/spreadsheetml/2010/11/main" uri="{470722E0-AACD-4C17-9CDC-17EF765DBC7E}">
      <x15:slicerCacheHideItemsWithNoData/>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ă_de_livrare" xr10:uid="{C4C0F6B2-0B32-4640-A284-A75A915FB8BE}" sourceName="Months (Dată de livrare)">
  <pivotTables>
    <pivotTable tabId="49" name="PivotTable2"/>
  </pivotTables>
  <data>
    <tabular pivotCacheId="744225279">
      <items count="14">
        <i x="1"/>
        <i x="2"/>
        <i x="3"/>
        <i x="4"/>
        <i x="5"/>
        <i x="6"/>
        <i x="7"/>
        <i x="8"/>
        <i x="9"/>
        <i x="10" s="1"/>
        <i x="11"/>
        <i x="12" nd="1"/>
        <i x="0" nd="1"/>
        <i x="13" nd="1"/>
      </items>
    </tabular>
  </data>
  <extLst>
    <x:ext xmlns:x15="http://schemas.microsoft.com/office/spreadsheetml/2010/11/main" uri="{470722E0-AACD-4C17-9CDC-17EF765DBC7E}">
      <x15:slicerCacheHideItemsWithNoData/>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_Number2" xr10:uid="{C1C7396D-683B-4D58-803C-2FC9F8C5C6D8}" sourceName="Part Number">
  <pivotTables>
    <pivotTable tabId="47" name="PivotTable3"/>
  </pivotTables>
  <data>
    <tabular pivotCacheId="744225279">
      <items count="247">
        <i x="119" s="1"/>
        <i x="120" s="1"/>
        <i x="134" s="1"/>
        <i x="135" s="1"/>
        <i x="136" s="1"/>
        <i x="137" s="1"/>
        <i x="138" s="1"/>
        <i x="153" s="1"/>
        <i x="154" s="1"/>
        <i x="155" s="1"/>
        <i x="156" s="1"/>
        <i x="157" s="1"/>
        <i x="158" s="1"/>
        <i x="159" s="1"/>
        <i x="160" s="1"/>
        <i x="161" s="1"/>
        <i x="162" s="1"/>
        <i x="163" s="1"/>
        <i x="164" s="1"/>
        <i x="165" s="1"/>
        <i x="166" s="1"/>
        <i x="167" s="1"/>
        <i x="168" s="1"/>
        <i x="169" s="1"/>
        <i x="170" s="1"/>
        <i x="171" s="1"/>
        <i x="172" s="1"/>
        <i x="0" s="1" nd="1"/>
        <i x="1" s="1" nd="1"/>
        <i x="2" s="1" nd="1"/>
        <i x="3" s="1" nd="1"/>
        <i x="4" s="1" nd="1"/>
        <i x="5" s="1" nd="1"/>
        <i x="6" s="1" nd="1"/>
        <i x="7" s="1" nd="1"/>
        <i x="8" s="1" nd="1"/>
        <i x="9" s="1" nd="1"/>
        <i x="10" s="1" nd="1"/>
        <i x="1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 x="50" s="1" nd="1"/>
        <i x="51" s="1" nd="1"/>
        <i x="52" s="1" nd="1"/>
        <i x="53" s="1" nd="1"/>
        <i x="54" s="1" nd="1"/>
        <i x="55" s="1" nd="1"/>
        <i x="56" s="1" nd="1"/>
        <i x="57" s="1" nd="1"/>
        <i x="58" s="1" nd="1"/>
        <i x="59" s="1" nd="1"/>
        <i x="60" s="1" nd="1"/>
        <i x="61" s="1" nd="1"/>
        <i x="62" s="1" nd="1"/>
        <i x="63" s="1" nd="1"/>
        <i x="64" s="1" nd="1"/>
        <i x="65" s="1" nd="1"/>
        <i x="66" s="1" nd="1"/>
        <i x="67" s="1" nd="1"/>
        <i x="68" s="1" nd="1"/>
        <i x="69" s="1" nd="1"/>
        <i x="70" s="1" nd="1"/>
        <i x="71" s="1" nd="1"/>
        <i x="72" s="1" nd="1"/>
        <i x="73" s="1" nd="1"/>
        <i x="74"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08" s="1" nd="1"/>
        <i x="109" s="1" nd="1"/>
        <i x="110" s="1" nd="1"/>
        <i x="111" s="1" nd="1"/>
        <i x="112" s="1" nd="1"/>
        <i x="113" s="1" nd="1"/>
        <i x="114" s="1" nd="1"/>
        <i x="115" s="1" nd="1"/>
        <i x="116" s="1" nd="1"/>
        <i x="117" s="1" nd="1"/>
        <i x="118" s="1" nd="1"/>
        <i x="121" s="1" nd="1"/>
        <i x="122" s="1" nd="1"/>
        <i x="123" s="1" nd="1"/>
        <i x="124" s="1" nd="1"/>
        <i x="125" s="1" nd="1"/>
        <i x="126" s="1" nd="1"/>
        <i x="127" s="1" nd="1"/>
        <i x="128" s="1" nd="1"/>
        <i x="129" s="1" nd="1"/>
        <i x="130" s="1" nd="1"/>
        <i x="131" s="1" nd="1"/>
        <i x="132" s="1" nd="1"/>
        <i x="133" s="1" nd="1"/>
        <i x="139" s="1" nd="1"/>
        <i x="140" s="1" nd="1"/>
        <i x="141" s="1" nd="1"/>
        <i x="142" s="1" nd="1"/>
        <i x="143" s="1" nd="1"/>
        <i x="144" s="1" nd="1"/>
        <i x="145" s="1" nd="1"/>
        <i x="146" s="1" nd="1"/>
        <i x="147" s="1" nd="1"/>
        <i x="148" s="1" nd="1"/>
        <i x="149" s="1" nd="1"/>
        <i x="150" s="1" nd="1"/>
        <i x="151" s="1" nd="1"/>
        <i x="152" s="1" nd="1"/>
        <i x="173" s="1" nd="1"/>
        <i x="174" s="1" nd="1"/>
        <i x="175" s="1" nd="1"/>
        <i x="176" s="1" nd="1"/>
        <i x="177" s="1" nd="1"/>
        <i x="178" s="1" nd="1"/>
        <i x="179" s="1" nd="1"/>
        <i x="180" s="1" nd="1"/>
        <i x="181" s="1" nd="1"/>
        <i x="182" s="1" nd="1"/>
        <i x="183" s="1" nd="1"/>
        <i x="184" s="1" nd="1"/>
        <i x="185" s="1" nd="1"/>
        <i x="186" s="1" nd="1"/>
        <i x="187" s="1" nd="1"/>
        <i x="188" s="1" nd="1"/>
        <i x="189" s="1" nd="1"/>
        <i x="190" s="1" nd="1"/>
        <i x="191" s="1" nd="1"/>
        <i x="192" s="1" nd="1"/>
        <i x="193" s="1" nd="1"/>
        <i x="194" s="1" nd="1"/>
        <i x="195" s="1" nd="1"/>
        <i x="196" s="1" nd="1"/>
        <i x="197" s="1" nd="1"/>
        <i x="198" s="1" nd="1"/>
        <i x="199" s="1" nd="1"/>
        <i x="200" s="1" nd="1"/>
        <i x="201" s="1" nd="1"/>
        <i x="202" s="1" nd="1"/>
        <i x="203" s="1" nd="1"/>
        <i x="204" s="1" nd="1"/>
        <i x="205" s="1" nd="1"/>
        <i x="206" s="1" nd="1"/>
        <i x="207" s="1" nd="1"/>
        <i x="208" s="1" nd="1"/>
        <i x="209" s="1" nd="1"/>
        <i x="210" s="1" nd="1"/>
        <i x="211" s="1" nd="1"/>
        <i x="212" s="1" nd="1"/>
        <i x="213" s="1" nd="1"/>
        <i x="214" s="1" nd="1"/>
        <i x="215" s="1" nd="1"/>
        <i x="216" s="1" nd="1"/>
        <i x="217" s="1" nd="1"/>
        <i x="218" s="1" nd="1"/>
        <i x="219" s="1" nd="1"/>
        <i x="220" s="1" nd="1"/>
        <i x="221" s="1" nd="1"/>
        <i x="222" s="1" nd="1"/>
        <i x="223" s="1" nd="1"/>
        <i x="224" s="1" nd="1"/>
        <i x="225" s="1" nd="1"/>
        <i x="226" s="1" nd="1"/>
        <i x="227" s="1" nd="1"/>
        <i x="228" s="1" nd="1"/>
        <i x="229" s="1" nd="1"/>
        <i x="230" s="1" nd="1"/>
        <i x="231" s="1" nd="1"/>
        <i x="232" s="1" nd="1"/>
        <i x="233" s="1" nd="1"/>
        <i x="234" s="1" nd="1"/>
        <i x="235" s="1" nd="1"/>
        <i x="236" s="1" nd="1"/>
        <i x="237" s="1" nd="1"/>
        <i x="238" s="1" nd="1"/>
        <i x="239" s="1" nd="1"/>
        <i x="240" s="1" nd="1"/>
        <i x="241" s="1" nd="1"/>
        <i x="242" s="1" nd="1"/>
        <i x="243" s="1" nd="1"/>
        <i x="244" s="1" nd="1"/>
        <i x="245" s="1" nd="1"/>
        <i x="246" s="1" nd="1"/>
      </items>
    </tabular>
  </data>
  <extLst>
    <x:ext xmlns:x15="http://schemas.microsoft.com/office/spreadsheetml/2010/11/main" uri="{470722E0-AACD-4C17-9CDC-17EF765DBC7E}">
      <x15:slicerCacheHideItemsWithNoData/>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ă_de_livrare1" xr10:uid="{4092B669-D10D-43B8-9C5D-534B1DC6BFEB}" sourceName="Months (Dată de livrare)">
  <pivotTables>
    <pivotTable tabId="45" name="PivotTable2"/>
  </pivotTables>
  <data>
    <tabular pivotCacheId="744225279">
      <items count="14">
        <i x="4"/>
        <i x="5"/>
        <i x="6"/>
        <i x="7"/>
        <i x="8"/>
        <i x="9" s="1"/>
        <i x="10" s="1"/>
        <i x="11"/>
        <i x="1" nd="1"/>
        <i x="2" nd="1"/>
        <i x="3" nd="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4" xr10:uid="{4B65883F-4288-4882-B90B-165894CB2796}" cache="Slicer_CUSTOMER21" caption="CUSTOMER" columnCount="2" rowHeight="241300"/>
  <slicer name="Month 2" xr10:uid="{7E8A90E5-0E5D-45FC-8A44-92672F968A6F}" cache="Slicer_Month11" caption="Month" columnCount="3" rowHeight="241300"/>
  <slicer name="YEAR 2" xr10:uid="{686F87F2-AC2C-4DE4-B478-42DACA4FD194}" cache="Slicer_YEAR11" caption="YEAR" columnCount="2" rowHeight="241300"/>
  <slicer name="Product Family 7" xr10:uid="{F4C9FD86-F888-4A0C-BE8E-295A5441164A}" cache="Slicer_Product_Family" caption="Product Family"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3" xr10:uid="{2E7121DB-3FDA-4D30-B7C8-5E64C6EB4A00}" cache="Slicer_CUSTOMER11" caption="CUSTOMER" columnCount="2" rowHeight="241300"/>
  <slicer name="Product Family 2" xr10:uid="{527F54D1-1930-4AEB-B6AD-FB6008182141}" cache="Slicer_Product_Family4" caption="Product Family" columnCount="3" rowHeight="241300"/>
  <slicer name="Order Finished_x000a_YES/NO" xr10:uid="{0CE77696-4CF4-41F4-A279-1F86EC3CDF60}" cache="Slicer_Order_Finished_YES_NO" caption="Order Finished_x000a_YES/NO" columnCount="2" rowHeight="241300"/>
  <slicer name="Part Number 2" xr10:uid="{84EDC24A-61E7-4EF1-8096-50A5B147F3C0}" cache="Slicer_Part_Number2" caption="Part Number" columnCount="2" style="SlicerStyleOther1" rowHeight="2286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5" xr10:uid="{0C864C48-B905-47FF-96A2-C5A76C1A5972}" cache="Slicer_CUSTOMER12" caption="CUSTOMER" columnCount="2" rowHeight="241300"/>
  <slicer name="Product Family 3" xr10:uid="{A48C8CDD-EAAF-4C2C-B82D-C90E6FE20104}" cache="Slicer_Product_Family3" caption="Product Family" columnCount="2" rowHeight="228600"/>
  <slicer name="Months" xr10:uid="{38AB6545-BD1D-4313-AEA6-4AB3C96135EC}" cache="Slicer_Months__Dată_de_livrare" caption="Months" startItem="2" columnCoun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1" xr10:uid="{175B7C8F-1255-47E2-BF68-E50A152F3A33}" cache="Slicer_CUSTOMER1" caption="CUSTOMER" columnCount="2" rowHeight="241300"/>
  <slicer name="Product Family 1" xr10:uid="{88BD35D3-F242-4085-AA88-C92D49DB86B8}" cache="Slicer_Product_Family1" caption="Product Family" columnCount="2" rowHeight="241300"/>
  <slicer name="Part Number" xr10:uid="{394BA776-3EFE-4DF6-B9A1-FC65C51D95D6}" cache="Slicer_Part_Number" caption="Part Number" columnCount="2" rowHeight="228600"/>
  <slicer name="Months 1" xr10:uid="{59E70B1C-040A-4308-A16B-A71E6B949CC9}" cache="Slicer_Months__Dată_de_livrare1" caption="Months" columnCount="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Family" xr10:uid="{BCF660FA-18DB-4A2B-96DD-3D6FD3261FB0}" cache="Slicer_Product_Family2" caption="Product Family" columnCount="2" rowHeight="241300"/>
  <slicer name="CUSTOMER 2" xr10:uid="{36121F7E-48A4-43C3-B4A1-9ECBE8AFEA22}" cache="Slicer_CUSTOMER2" caption="CUSTOMER" columnCount="2" rowHeight="241300"/>
  <slicer name="Part Number 1" xr10:uid="{DF411C73-1ADB-4474-A6E2-AE76F7394C98}" cache="Slicer_Part_Number1" caption="Part Number" columnCount="2" rowHeight="241300"/>
  <slicer name="Years" xr10:uid="{2A88F83B-0093-4CC6-947C-16D799654B87}" cache="Slicer_Years__ETA_As_requested_dd.mm.yyyy1" caption="Years" columnCount="2"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9" xr10:uid="{04751FBE-AC12-4B62-AFFA-776294F90F1D}" cache="Slicer_CUSTOMER" caption="CUSTOMER" columnCount="2" rowHeight="241300"/>
  <slicer name="Month" xr10:uid="{BE5D43C8-0C02-4CFC-96E4-C57589547BC7}" cache="Slicer_Month" caption="Month" columnCount="2" rowHeight="241300"/>
  <slicer name="YEAR" xr10:uid="{B335DD73-318E-4FDD-9663-54B8E0A0506F}" cache="Slicer_YEAR" caption="YEAR"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6FB59E-A599-4B11-B3B7-104B7A84C10C}" name="Table13" displayName="Table13" ref="A2:E276" totalsRowShown="0">
  <autoFilter ref="A2:E276" xr:uid="{3E8DD2AA-82BE-40F5-9A8F-20B0DB00F22D}"/>
  <tableColumns count="5">
    <tableColumn id="1" xr3:uid="{8AEC8884-611E-4AFA-BB45-6185E474228A}" name="Item Name" dataDxfId="110"/>
    <tableColumn id="2" xr3:uid="{46EF640F-5B31-41EC-95D0-06F92FF365D0}" name="Links" dataDxfId="109"/>
    <tableColumn id="3" xr3:uid="{5918FA92-B92C-4D95-986C-DA3999236035}" name="Client"/>
    <tableColumn id="9" xr3:uid="{46A1BD81-B4B5-4FFF-8B48-D8DAE93EEB6D}" name="OK/NOK"/>
    <tableColumn id="4" xr3:uid="{EF842D38-E119-425E-AC5F-14900A5A38D6}" name="Spalte1" dataCellStyle="Normal 7"/>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93FFF4-F07E-43FF-A708-E933B7E130BC}" name="Table1" displayName="Table1" ref="A9:AN2636" totalsRowShown="0" headerRowDxfId="108" headerRowBorderDxfId="107">
  <autoFilter ref="A9:AN2636" xr:uid="{6193FFF4-F07E-43FF-A708-E933B7E130BC}">
    <filterColumn colId="4">
      <filters>
        <filter val="AU.KB2045-B-0208-DRE"/>
      </filters>
    </filterColumn>
  </autoFilter>
  <sortState xmlns:xlrd2="http://schemas.microsoft.com/office/spreadsheetml/2017/richdata2" ref="A452:AN456">
    <sortCondition ref="E9:E2636"/>
  </sortState>
  <tableColumns count="40">
    <tableColumn id="1" xr3:uid="{76EE33A3-711D-4AF6-BB9E-E9C8E2370CA0}" name="CUSTOMER"/>
    <tableColumn id="2" xr3:uid="{792CA969-BB17-47F8-862B-46AC1B5EAA10}" name="Order Type"/>
    <tableColumn id="3" xr3:uid="{85CD68C0-43C4-45A2-9A70-0DF74A8E06F9}" name="CUSTOMER PO#" dataDxfId="106" totalsRowDxfId="105"/>
    <tableColumn id="4" xr3:uid="{2B335D99-C540-4967-8576-B9F5BAB0E08C}" name="Date PO_x000a_ dd.mm.yyyy" dataDxfId="104" totalsRowDxfId="103"/>
    <tableColumn id="5" xr3:uid="{84224D24-8179-48B4-AAEB-D33FA314A0AB}" name="Part Number" dataDxfId="102" totalsRowDxfId="101"/>
    <tableColumn id="6" xr3:uid="{4B4B68B8-232F-429E-9606-C72ECD8B92A9}" name="Part Description"/>
    <tableColumn id="7" xr3:uid="{40CDA910-E456-4AC1-8EBB-76D315132497}" name="Drawing _x000a_Revision"/>
    <tableColumn id="29" xr3:uid="{594424DA-C132-4763-B8A3-8364692E842E}" name="Price/Unit_x000a_EUR" dataDxfId="100" totalsRowDxfId="99">
      <calculatedColumnFormula array="1">IFERROR(INDEX(PDB!$C:$AT,MATCH(E10,PDB!$B:$B,0),MATCH(YEAR(K10),0+PDB!$C$1:$AT$1,0)),"")</calculatedColumnFormula>
    </tableColumn>
    <tableColumn id="8" xr3:uid="{13526CC8-7762-49D2-A1FE-CFEBBFE4269C}" name="Quantity"/>
    <tableColumn id="30" xr3:uid="{73D72A50-4E99-4B25-B5F0-344E1B92A571}" name="Price/Order">
      <calculatedColumnFormula>IFERROR(Table1[[#This Row],[Quantity]]*Table1[[#This Row],[Price/Unit
EUR]]," ")</calculatedColumnFormula>
    </tableColumn>
    <tableColumn id="9" xr3:uid="{361972CE-7A1C-4149-8BB1-97E83AFBDFC0}" name="ETA_x000a_As requested_x000a_dd.mm.yyyy"/>
    <tableColumn id="36" xr3:uid="{B5AE65F7-46A2-422B-A018-E1331B33C92D}" name="ETA_x000a_Confirmed_x000a_dd.mm.yyyy">
      <calculatedColumnFormula>WEEKNUM(Table1[[#This Row],[ETA
As requested
dd.mm.yyyy]])</calculatedColumnFormula>
    </tableColumn>
    <tableColumn id="10" xr3:uid="{5D8F600B-B378-4AB8-B630-5ACD806771DD}" name="ETA_x000a_Planned_x000a_dd.mm.yyyy">
      <calculatedColumnFormula>YEAR(Table1[[#This Row],[ETA
As requested
dd.mm.yyyy]])</calculatedColumnFormula>
    </tableColumn>
    <tableColumn id="31" xr3:uid="{AE4498CC-33DE-4213-85A1-246218B863BF}" name="Leadtime Contract_x000a_days">
      <calculatedColumnFormula>IFERROR(INDEX(DATABASE_FG!$H$5:$H$367, MATCH(E10, DATABASE_FG!$C$5:$C$367, 0)), " ")</calculatedColumnFormula>
    </tableColumn>
    <tableColumn id="11" xr3:uid="{99075097-CC1E-427E-A9AA-C23BB1D2BD5C}" name="Product Family"/>
    <tableColumn id="12" xr3:uid="{5B9816CA-5F2B-4125-96AB-9770BC44C21B}" name="MOQ_x000a_pcs">
      <calculatedColumnFormula>IFERROR(INDEX(DATABASE_FG!$G$5:$G$367, MATCH(E10, DATABASE_FG!$C$5:$C$367, 0)), "Not Found")</calculatedColumnFormula>
    </tableColumn>
    <tableColumn id="13" xr3:uid="{73B37075-3313-4952-893D-22874B30775C}" name="Frozen Zone_x000a_days"/>
    <tableColumn id="14" xr3:uid="{D4D2A9A1-06B0-451C-BA90-7F4512CF899D}" name="Status PPAP_x000a_(approved/project)"/>
    <tableColumn id="15" xr3:uid="{52AC5D10-0D87-433D-A6F8-CF34B798E970}" name="Mfg Lead Time_x000a_days">
      <calculatedColumnFormula>Table1[[#This Row],[Quantity]]/48</calculatedColumnFormula>
    </tableColumn>
    <tableColumn id="16" xr3:uid="{4DBC427A-6DEC-425B-92F4-CA31E91DFDB7}" name="Subcontract"/>
    <tableColumn id="17" xr3:uid="{FAA182CD-1F4A-4C38-AAAE-40C6507F097B}" name="Stock Warehouse_x000a_pcs"/>
    <tableColumn id="18" xr3:uid="{74C740F7-3D20-48A1-A64E-595BDE679224}" name="Scrap Rate"/>
    <tableColumn id="33" xr3:uid="{2D33147E-097B-4930-8313-9BBB13C3BBB1}" name="Raw Material Status"/>
    <tableColumn id="32" xr3:uid="{336E32E2-8D88-466F-A89C-B4637CB867E6}" name="Incomming Date"/>
    <tableColumn id="34" xr3:uid="{E507066A-DCCB-4169-ACD9-005DF37219C3}" name="Planned_x000a_YES/NO"/>
    <tableColumn id="19" xr3:uid="{5F14907F-D308-4A3E-9B5B-E1CE98C4E5F1}" name="Work Order"/>
    <tableColumn id="20" xr3:uid="{B4547443-8B88-4E7F-A96B-CF1C76C6EF95}" name="Order Finished_x000a_YES/NO"/>
    <tableColumn id="21" xr3:uid="{1C6DEC92-2B20-4A3A-A884-6BC8BDE11D66}" name="Dată de livrare" dataDxfId="98" totalsRowDxfId="97"/>
    <tableColumn id="22" xr3:uid="{0D1B2A30-5781-4FF9-B9E1-31F774E09D81}" name="AVIZ OLSTRAL" dataDxfId="96" totalsRowDxfId="95"/>
    <tableColumn id="23" xr3:uid="{861B977F-E4F8-4894-9EDE-5243F02BDC6F}" name="COMANDĂ">
      <calculatedColumnFormula>IF(NOT(ISBLANK(AC10)), C10, "")</calculatedColumnFormula>
    </tableColumn>
    <tableColumn id="24" xr3:uid="{D84E182A-0F73-49E9-9065-B3267CED3A96}" name="REPER">
      <calculatedColumnFormula>IF(NOT(ISBLANK(AC10)), E10, "")</calculatedColumnFormula>
    </tableColumn>
    <tableColumn id="25" xr3:uid="{79F307A5-F84F-4FA6-974D-0380787C0364}" name="OK" totalsRowDxfId="94"/>
    <tableColumn id="35" xr3:uid="{C034AAA4-5482-4D2E-B99D-8AF333D937A1}" name="Sales" dataDxfId="93" totalsRowDxfId="92">
      <calculatedColumnFormula>AF10*H10</calculatedColumnFormula>
    </tableColumn>
    <tableColumn id="26" xr3:uid="{68961079-5E46-45E7-96B7-6DFAD78FB327}" name="NOK"/>
    <tableColumn id="27" xr3:uid="{B355F86C-C0F4-44BD-92F7-0C7723F69845}" name="Observații"/>
    <tableColumn id="28" xr3:uid="{49A8FDA1-48EC-4688-833A-88B82BD70512}" name="Factură/Serie"/>
    <tableColumn id="39" xr3:uid="{CB97DB72-37ED-4186-94BA-A0FA216356C0}" name="OTD">
      <calculatedColumnFormula>IF(AB10="", IF(K10 &lt; TODAY(), "Late", ""), IF(AB10 &lt;= K10 + 2, "On Time", "Late"))</calculatedColumnFormula>
    </tableColumn>
    <tableColumn id="41" xr3:uid="{75185950-7499-4070-9ACA-5880DA7CD929}" name="Month" dataDxfId="91">
      <calculatedColumnFormula>MONTH(Table1[[#This Row],[Dată de livrare]])</calculatedColumnFormula>
    </tableColumn>
    <tableColumn id="40" xr3:uid="{0D86F3B2-0C3A-48B6-8D7D-B6FBEACA0055}" name="YEAR">
      <calculatedColumnFormula>YEAR(Table1[[#This Row],[Dată de livrare]])</calculatedColumnFormula>
    </tableColumn>
    <tableColumn id="37" xr3:uid="{3F31FDFF-0E16-47D6-944E-7B7E5E65FCE3}" name="Column1" dataDxfId="90"/>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1350CD4-D898-4C1A-9027-EBFC306083E3}" name="Table7" displayName="Table7" ref="A1:I447" totalsRowShown="0" headerRowDxfId="89" tableBorderDxfId="88">
  <autoFilter ref="A1:I447" xr:uid="{31350CD4-D898-4C1A-9027-EBFC306083E3}"/>
  <sortState xmlns:xlrd2="http://schemas.microsoft.com/office/spreadsheetml/2017/richdata2" ref="A24:I66">
    <sortCondition descending="1" ref="F1:F442"/>
  </sortState>
  <tableColumns count="9">
    <tableColumn id="1" xr3:uid="{743A230C-B195-4B91-ACF3-1254982F437A}" name="Client" dataDxfId="87"/>
    <tableColumn id="2" xr3:uid="{C2D478E1-8A5C-4F4F-B1B2-19F78F418797}" name="Reper" dataDxfId="86"/>
    <tableColumn id="3" xr3:uid="{A9B31B29-CF2C-4292-9781-3D8AD8D1C849}" name="2022" dataDxfId="85"/>
    <tableColumn id="4" xr3:uid="{6457650F-DD37-4BC6-B1B8-3CA2EFD674BA}" name="2023" dataDxfId="84"/>
    <tableColumn id="5" xr3:uid="{34F61D6A-96DB-4A88-BE26-07A38823061A}" name="2024" dataDxfId="83"/>
    <tableColumn id="6" xr3:uid="{C48A56D8-2EF7-4B54-B3E6-311BF04DF8F0}" name="2025" dataDxfId="82"/>
    <tableColumn id="7" xr3:uid="{6C2A4ADB-26BC-4245-B940-D441119D73D9}" name="2026" dataDxfId="81"/>
    <tableColumn id="8" xr3:uid="{AA2AF241-2F86-4771-AA98-569FE56A0601}" name="2027" dataDxfId="80"/>
    <tableColumn id="9" xr3:uid="{42A8DDB0-D75D-4950-9FBE-FF2D8E0D5D82}" name="2028" dataDxfId="7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671A174-92DA-4425-9CDB-23E7BC1929BC}" name="Table8" displayName="Table8" ref="L1:L447" totalsRowShown="0" headerRowDxfId="78" dataDxfId="77">
  <autoFilter ref="L1:L447" xr:uid="{842200DE-817B-4CB0-9BC6-7ABBAB70F529}"/>
  <tableColumns count="1">
    <tableColumn id="1" xr3:uid="{2AF99AE8-9266-4A81-A091-BA335A61718A}" name="2025 Pret Alex Itu" dataDxfId="7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F6CA03-FDAD-4FC1-949B-3455CFE87CFD}" name="Table5" displayName="Table5" ref="F1:H46" totalsRowShown="0" headerRowBorderDxfId="75" tableBorderDxfId="74" totalsRowBorderDxfId="73">
  <autoFilter ref="F1:H46" xr:uid="{2CF6CA03-FDAD-4FC1-949B-3455CFE87CFD}"/>
  <tableColumns count="3">
    <tableColumn id="1" xr3:uid="{99BBDE9B-9C5D-4B52-BB43-4A16F748C6C5}" name="Reper" dataDxfId="72"/>
    <tableColumn id="2" xr3:uid="{017B70A4-4F9D-4F7D-9FD6-D81DBA1F8BC3}" name="Descriere reper" dataDxfId="71"/>
    <tableColumn id="3" xr3:uid="{7E5E0FD8-7026-4793-B166-6C5E83B5F704}" name="Prices 2025 EUR / pcs" dataDxfId="7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F3257A6-FE82-4B90-BE8A-089C7E9DC1B9}" name="Table6" displayName="Table6" ref="A1:C128" totalsRowShown="0" headerRowBorderDxfId="69" tableBorderDxfId="68">
  <autoFilter ref="A1:C128" xr:uid="{4F3257A6-FE82-4B90-BE8A-089C7E9DC1B9}"/>
  <tableColumns count="3">
    <tableColumn id="1" xr3:uid="{380BAFD0-FB4F-447D-A12F-A8C3C78975E5}" name="Item" dataDxfId="67" dataCellStyle="Normal 8"/>
    <tableColumn id="2" xr3:uid="{2CAE6AFB-8DDC-4569-8884-8F6D991FFED8}" name="Price / EUR [2025]" dataDxfId="66" dataCellStyle="Normal 8"/>
    <tableColumn id="3" xr3:uid="{30D50CA2-8532-4409-9BEF-CB03D418CBCC}" name="Column1">
      <calculatedColumnFormula>_xlfn.XLOOKUP(Table6[[#This Row],[Item]],PDB!B:B,PDB!F:F)</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BE9F46-5DAA-4DC1-912C-4C97FD930A8C}" name="Table3" displayName="Table3" ref="B4:O367" totalsRowShown="0" headerRowDxfId="65">
  <autoFilter ref="B4:O367" xr:uid="{6ABE9F46-5DAA-4DC1-912C-4C97FD930A8C}">
    <filterColumn colId="1">
      <filters>
        <filter val="EDP PL.LFDL52-B-0021 000"/>
      </filters>
    </filterColumn>
  </autoFilter>
  <sortState xmlns:xlrd2="http://schemas.microsoft.com/office/spreadsheetml/2017/richdata2" ref="B5:O363">
    <sortCondition ref="B4:B363"/>
  </sortState>
  <tableColumns count="14">
    <tableColumn id="1" xr3:uid="{F543D922-4E71-4284-B4AD-82B3AE9F93C4}" name="CUSTOMER"/>
    <tableColumn id="2" xr3:uid="{30E88980-D36D-4C1F-8214-DA91650FFC7B}" name="Part number" dataDxfId="64"/>
    <tableColumn id="3" xr3:uid="{666024A1-1590-4A10-BAC5-130078727972}" name="Part Description"/>
    <tableColumn id="4" xr3:uid="{E6E3D239-1EDF-4C68-ADD2-738C028CD88B}" name="Drawing_x000a_ Revision"/>
    <tableColumn id="5" xr3:uid="{27EE63D3-5DBD-4847-AEB6-2065386C60EC}" name="Product Family" dataDxfId="63"/>
    <tableColumn id="6" xr3:uid="{263FDB9D-3E27-411C-99D5-468E2DA4E0EC}" name="MOQ furnizor"/>
    <tableColumn id="7" xr3:uid="{5C070D65-C990-4307-8E68-6FC1034478C9}" name="LeadTime"/>
    <tableColumn id="8" xr3:uid="{3D69D6D2-2AED-419D-8F7E-96318C797014}" name="Frozen zone"/>
    <tableColumn id="9" xr3:uid="{1C428219-F192-4B0C-9645-3322BC20AA51}" name="Status PPAP_x000a_(approved/project)"/>
    <tableColumn id="10" xr3:uid="{D0DA21F0-CA48-4A81-98C7-11446C96E6D1}" name="Unitate de ambalare client"/>
    <tableColumn id="11" xr3:uid="{EB639E9D-E56B-4299-9AC2-7DCC8E31E274}" name="Manufacturing lead time"/>
    <tableColumn id="12" xr3:uid="{86D4C4A4-C535-4870-9914-9D9A41CFF793}" name="Subcontract" dataDxfId="62"/>
    <tableColumn id="14" xr3:uid="{C246453C-EBA2-4379-A594-E49AB28AE7CD}" name="Subcontracting Leadtime2"/>
    <tableColumn id="15" xr3:uid="{53238290-B8B3-47B8-A91D-3DB8E1A12DAA}" name="SC Total Leadtime"/>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C11" dT="2025-09-15T06:16:27.60" personId="{BD43945B-C779-4E3E-8C58-43F4C780CBFF}" id="{540067DC-56DA-4B80-AD02-9A1B7C4140E0}">
    <text>cda 7000968979 s-a transf *923 cf mail Kaitar</text>
  </threadedComment>
  <threadedComment ref="C395" dT="2025-07-07T14:06:03.77" personId="{BD43945B-C779-4E3E-8C58-43F4C780CBFF}" id="{094CD207-FEB7-4AD0-BF44-A23040AFBA07}">
    <text>nu cred ca este buna</text>
  </threadedComment>
  <threadedComment ref="AB401" dT="2024-06-25T14:44:23.04" personId="{EED243DF-74AF-4AE8-91E0-21101324CA34}" id="{B050F460-A172-4EF2-AB23-469CCFE5DA0F}">
    <text>Avizul este facut in data de 11.06.2024</text>
  </threadedComment>
  <threadedComment ref="I439" dT="2025-07-08T06:55:00.92" personId="{BD43945B-C779-4E3E-8C58-43F4C780CBFF}" id="{A6421FD5-8581-46C4-87A7-0E32ED724680}">
    <text xml:space="preserve">de suplimentat cda cu 20 buc
</text>
  </threadedComment>
  <threadedComment ref="I514" dT="2025-07-29T06:08:55.49" personId="{BD43945B-C779-4E3E-8C58-43F4C780CBFF}" id="{A72E0ED8-9004-48BB-87C0-324C07AEA7B6}">
    <text>34 NOK,inchidem asa</text>
  </threadedComment>
  <threadedComment ref="W539" dT="2025-02-13T11:24:01.08" personId="{A9148AE5-F811-4AA9-8687-B56C4ACB3A0D}" id="{459EA671-B699-4457-8450-3BD1B74A92F2}">
    <text>Received 12.02.2025, 455pcs</text>
  </threadedComment>
  <threadedComment ref="W540" dT="2025-02-13T11:24:01.08" personId="{A9148AE5-F811-4AA9-8687-B56C4ACB3A0D}" id="{C4C78147-7E1C-4993-ACC1-0625A9B79653}">
    <text>Received 12.02.2025, 455pcs</text>
  </threadedComment>
  <threadedComment ref="W541" dT="2025-03-03T13:49:04.23" personId="{A9148AE5-F811-4AA9-8687-B56C4ACB3A0D}" id="{8CFD3DE7-4F99-46B6-8725-A143E56011AF}">
    <text>Received 26.02, 30pcs</text>
  </threadedComment>
  <threadedComment ref="I569" dT="2025-07-23T06:35:16.23" personId="{BD43945B-C779-4E3E-8C58-43F4C780CBFF}" id="{816C1245-D96B-4E30-A0F6-76ED81EE8A19}">
    <text>astept cda modificata</text>
  </threadedComment>
  <threadedComment ref="I572" dT="2025-07-23T07:16:24.65" personId="{BD43945B-C779-4E3E-8C58-43F4C780CBFF}" id="{F13B1092-BF61-4206-B8D7-F7D378FB7E74}">
    <text>de refacut comanda doar 29 buc</text>
  </threadedComment>
  <threadedComment ref="C694" dT="2025-07-04T06:40:35.40" personId="{BD43945B-C779-4E3E-8C58-43F4C780CBFF}" id="{7E8C66A0-E646-48DF-B6C7-5F1642DE6DEE}">
    <text>cda</text>
  </threadedComment>
  <threadedComment ref="C697" dT="2025-07-18T09:57:26.17" personId="{BD43945B-C779-4E3E-8C58-43F4C780CBFF}" id="{EDCB1CB2-10DE-4035-BFE6-BE3F12013BE7}">
    <text>pe cda aceasta vom livra</text>
  </threadedComment>
  <threadedComment ref="C698" dT="2025-07-18T09:57:26.17" personId="{BD43945B-C779-4E3E-8C58-43F4C780CBFF}" id="{DD75415C-4AA7-4D85-A3D5-A2E3A1DFB1DC}">
    <text>pe cda aceasta vom livra</text>
  </threadedComment>
  <threadedComment ref="C701" dT="2025-07-18T09:57:26.17" personId="{BD43945B-C779-4E3E-8C58-43F4C780CBFF}" id="{F05AD53D-E84A-42C2-BFF2-9C5A0107E205}">
    <text>pe cda aceasta vom livra</text>
  </threadedComment>
  <threadedComment ref="C702" dT="2025-07-18T09:57:26.17" personId="{BD43945B-C779-4E3E-8C58-43F4C780CBFF}" id="{10FF74E7-ECD4-487A-8476-03CEBB4D6ADE}">
    <text>pe cda aceasta vom livra</text>
  </threadedComment>
  <threadedComment ref="C703" dT="2025-07-18T09:57:26.17" personId="{BD43945B-C779-4E3E-8C58-43F4C780CBFF}" id="{E199439B-E5AF-48B5-9ED3-2F350A3756EB}">
    <text>pe cda aceasta vom livra</text>
  </threadedComment>
  <threadedComment ref="C704" dT="2025-07-18T09:57:26.17" personId="{BD43945B-C779-4E3E-8C58-43F4C780CBFF}" id="{B1635F02-B495-4A49-A7AA-66C9E6E51182}">
    <text>pe cda aceasta vom livra</text>
  </threadedComment>
  <threadedComment ref="C705" dT="2025-07-18T09:57:26.17" personId="{BD43945B-C779-4E3E-8C58-43F4C780CBFF}" id="{30B0D5ED-7AD7-4C68-BFFF-2726E8688F09}">
    <text>pe cda aceasta vom livra</text>
  </threadedComment>
  <threadedComment ref="C723" dT="2025-07-04T07:37:01.03" personId="{BD43945B-C779-4E3E-8C58-43F4C780CBFF}" id="{F6C936C7-373B-4DCF-A0BA-E5CCB6CB31E8}">
    <text>cda de adaugat</text>
  </threadedComment>
  <threadedComment ref="K766" dT="2025-01-14T09:43:06.93" personId="{A9148AE5-F811-4AA9-8687-B56C4ACB3A0D}" id="{0FEA590D-DDD3-4097-A83F-07724DD5B118}">
    <text>Update ETA wk 02/2025</text>
  </threadedComment>
  <threadedComment ref="K767" dT="2025-01-14T09:43:06.93" personId="{A9148AE5-F811-4AA9-8687-B56C4ACB3A0D}" id="{3C3EE42B-ABFD-4591-A91B-2594EC9E9126}">
    <text>Update ETA wk 02/2025</text>
  </threadedComment>
  <threadedComment ref="C876" dT="2025-10-22T11:40:05.92" personId="{BD43945B-C779-4E3E-8C58-43F4C780CBFF}" id="{D04333F4-8B67-47CA-A7A1-6B0A3338F9AB}">
    <text>Cred ca e gresita</text>
  </threadedComment>
  <threadedComment ref="I1030" dT="2025-03-10T14:38:10.87" personId="{7ADAC236-E9C7-4D3E-A629-C4DA09846E2E}" id="{6EC70D2C-13EC-4188-AB51-6D42B3261445}">
    <text>suplimentar</text>
  </threadedComment>
  <threadedComment ref="W1158" dT="2025-02-13T11:24:36.16" personId="{A9148AE5-F811-4AA9-8687-B56C4ACB3A0D}" id="{6D111395-3670-419D-827C-970D2521ED5E}">
    <text>Received  5buc 13.02.2025</text>
  </threadedComment>
  <threadedComment ref="W1159" dT="2025-02-13T11:24:57.18" personId="{A9148AE5-F811-4AA9-8687-B56C4ACB3A0D}" id="{48A697C3-180F-494D-A206-C22798D1BD2B}">
    <text>Received  1515buc 13.02.2025</text>
  </threadedComment>
  <threadedComment ref="W1160" dT="2025-02-13T11:24:57.18" personId="{A9148AE5-F811-4AA9-8687-B56C4ACB3A0D}" id="{3DB58560-389E-4BBA-95E2-2C6A135394A5}">
    <text>Received  1515buc 13.02.2025</text>
  </threadedComment>
  <threadedComment ref="W1161" dT="2025-02-13T11:24:57.18" personId="{A9148AE5-F811-4AA9-8687-B56C4ACB3A0D}" id="{F2CD92C9-7646-4CF2-9417-B7986C78551F}">
    <text>Received  1515buc 13.02.2025</text>
  </threadedComment>
  <threadedComment ref="W1162" dT="2025-02-13T11:24:57.18" personId="{A9148AE5-F811-4AA9-8687-B56C4ACB3A0D}" id="{19D86B1D-BCD7-4802-A3A1-D473B0C8982C}">
    <text>Received  1515buc 13.02.2025</text>
  </threadedComment>
  <threadedComment ref="W1166" dT="2025-02-13T11:24:57.18" personId="{A9148AE5-F811-4AA9-8687-B56C4ACB3A0D}" id="{A2AC4837-40B9-422B-8205-50C719FA2D1A}">
    <text>Received  1515buc 13.02.2025</text>
  </threadedComment>
  <threadedComment ref="W1167" dT="2025-02-13T11:24:57.18" personId="{A9148AE5-F811-4AA9-8687-B56C4ACB3A0D}" id="{15C9C78F-D6CE-43FD-87A3-1E35D3E34D3B}">
    <text>Received  1515buc 13.02.2025</text>
  </threadedComment>
  <threadedComment ref="W1168" dT="2025-02-13T11:24:57.18" personId="{A9148AE5-F811-4AA9-8687-B56C4ACB3A0D}" id="{51EF6C05-4B42-4A81-8918-DD559731014B}">
    <text>Received  1515buc 13.02.2025</text>
  </threadedComment>
  <threadedComment ref="AB1188" dT="2025-10-02T13:54:25.80" personId="{BD43945B-C779-4E3E-8C58-43F4C780CBFF}" id="{BA238130-FB13-44AB-9646-D09F37BD160B}">
    <text>02.10</text>
  </threadedComment>
  <threadedComment ref="W1190" dT="2025-02-13T11:48:02.65" personId="{A9148AE5-F811-4AA9-8687-B56C4ACB3A0D}" id="{EC0B3B1F-1960-42E0-BF46-883285B69545}">
    <text>Rec 10.02</text>
  </threadedComment>
  <threadedComment ref="W1191" dT="2025-02-13T11:48:11.72" personId="{A9148AE5-F811-4AA9-8687-B56C4ACB3A0D}" id="{8B325CA6-BF42-4E61-BA8F-0FBF34376A20}">
    <text>Rec 10.02</text>
  </threadedComment>
  <threadedComment ref="K1230" dT="2024-07-08T08:31:06.70" personId="{7ADAC236-E9C7-4D3E-A629-C4DA09846E2E}" id="{9D406243-1103-402E-A138-B1DD66457956}">
    <text>21.06 vechi</text>
  </threadedComment>
  <threadedComment ref="AC1269" dT="2025-08-05T08:01:41.71" personId="{BD43945B-C779-4E3E-8C58-43F4C780CBFF}" id="{654E4DC2-F8F9-400D-9B24-89F15E1F49B7}">
    <text>livrare 04.08.2025</text>
  </threadedComment>
  <threadedComment ref="AC1270" dT="2025-08-05T08:01:48.02" personId="{BD43945B-C779-4E3E-8C58-43F4C780CBFF}" id="{49D9E2BE-B1E5-40D8-93BC-4E0F4EE875E0}">
    <text>livrare 04.08.2025</text>
  </threadedComment>
  <threadedComment ref="AC1370" dT="2025-08-05T08:00:55.27" personId="{BD43945B-C779-4E3E-8C58-43F4C780CBFF}" id="{46D570B3-BBE3-4364-AA36-F4B34070E29A}">
    <text>livrare 04.08.2025</text>
  </threadedComment>
  <threadedComment ref="AC1371" dT="2025-08-05T08:01:03.16" personId="{BD43945B-C779-4E3E-8C58-43F4C780CBFF}" id="{E57B9BA8-EE8B-41FF-B370-F452E261DA8C}">
    <text>livrare 04.08.2025</text>
  </threadedComment>
  <threadedComment ref="AC1443" dT="2025-08-05T08:01:16.07" personId="{BD43945B-C779-4E3E-8C58-43F4C780CBFF}" id="{FF14C6B7-A31D-48A9-9617-C4A8732943FC}">
    <text>livrare 04.08.2025</text>
  </threadedComment>
  <threadedComment ref="AC1466" dT="2025-08-05T08:01:08.96" personId="{BD43945B-C779-4E3E-8C58-43F4C780CBFF}" id="{F5FDF4D8-47F6-4222-80AC-2E09E14016E5}">
    <text>livrare 04.08.2025</text>
  </threadedComment>
  <threadedComment ref="I1486" dT="2025-09-30T11:39:39.67" personId="{BD43945B-C779-4E3E-8C58-43F4C780CBFF}" id="{978FFC18-A6C3-4E9C-A22C-A0D91CC510A9}">
    <text>Mai suplimentam cda cu 1 buc?</text>
  </threadedComment>
  <threadedComment ref="I1502" dT="2025-09-30T11:58:31.20" personId="{BD43945B-C779-4E3E-8C58-43F4C780CBFF}" id="{BEA10C06-CFB5-4652-BCA0-F1A669EE177E}">
    <text>De adaugat in cda 4 buc</text>
  </threadedComment>
  <threadedComment ref="C1520" dT="2025-07-04T06:50:21.17" personId="{BD43945B-C779-4E3E-8C58-43F4C780CBFF}" id="{0147938B-C6F1-448E-8213-7C2565673A22}">
    <text>cda</text>
  </threadedComment>
  <threadedComment ref="C1521" dT="2025-07-07T06:25:08.06" personId="{BD43945B-C779-4E3E-8C58-43F4C780CBFF}" id="{BB06DB24-49D3-4D13-802D-7D7E17583E2A}">
    <text xml:space="preserve">de adaugat cda
</text>
  </threadedComment>
  <threadedComment ref="C1522" dT="2025-07-04T06:50:21.17" personId="{BD43945B-C779-4E3E-8C58-43F4C780CBFF}" id="{81A7C896-BF74-4D7F-B9A1-0494566A834C}">
    <text>cda</text>
  </threadedComment>
  <threadedComment ref="E1524" dT="2025-07-04T07:09:12.69" personId="{BD43945B-C779-4E3E-8C58-43F4C780CBFF}" id="{B8526B71-9802-4015-AC3D-14E527277443}">
    <text xml:space="preserve">suplimentare cda
</text>
  </threadedComment>
  <threadedComment ref="AB1584" dT="2025-08-05T07:55:56.37" personId="{BD43945B-C779-4E3E-8C58-43F4C780CBFF}" id="{146BBC1B-0FC6-4DBC-A086-CC762F96612F}">
    <text>04.08.2025 s-a livrat</text>
  </threadedComment>
  <threadedComment ref="I1613" dT="2024-08-13T13:10:08.31" personId="{7ADAC236-E9C7-4D3E-A629-C4DA09846E2E}" id="{026F0007-F3C8-4C6D-8375-48B8641786C7}">
    <text xml:space="preserve">rand livrare noua
</text>
  </threadedComment>
  <threadedComment ref="AB1642" dT="2025-08-05T07:53:17.55" personId="{BD43945B-C779-4E3E-8C58-43F4C780CBFF}" id="{37B29DBF-FB34-4BB3-9A08-2B96D5D605EE}">
    <text>04.08.2025</text>
  </threadedComment>
  <threadedComment ref="A1644" dT="2025-08-18T08:12:41.16" personId="{BD43945B-C779-4E3E-8C58-43F4C780CBFF}" id="{49C8C875-4267-4FB0-B027-6E78C6699262}">
    <text>Anulate de Antonia</text>
  </threadedComment>
  <threadedComment ref="AC1656" dT="2024-04-18T14:09:23.61" personId="{EED243DF-74AF-4AE8-91E0-21101324CA34}" id="{B0987B7F-B93B-4084-A3CE-BC9F567146AA}">
    <text>Aviz pt ASN</text>
  </threadedComment>
  <threadedComment ref="AI1714" dT="2024-10-24T13:53:26.96" personId="{A9148AE5-F811-4AA9-8687-B56C4ACB3A0D}" id="{5FD3B38A-268F-4AE3-8E6F-813B546B738F}">
    <text xml:space="preserve">Trebuie sa setam maximul de scrap, si ulterior dupa prelcurare sa solicitam catre BOSCH sa modifice Comanda
</text>
  </threadedComment>
  <threadedComment ref="AI1725" dT="2024-10-24T13:53:26.96" personId="{A9148AE5-F811-4AA9-8687-B56C4ACB3A0D}" id="{703A5FA2-9E15-47F0-8DD7-B17FAA07BFA8}">
    <text xml:space="preserve">Trebuie sa setam maximul de scrap, si ulterior dupa prelcurare sa solicitam catre BOSCH sa modifice Comanda
</text>
  </threadedComment>
  <threadedComment ref="AC1741" dT="2025-08-05T07:37:39.56" personId="{BD43945B-C779-4E3E-8C58-43F4C780CBFF}" id="{2D062182-DB69-445D-85B7-E8BAB56FF3C2}">
    <text>livrata 04.08</text>
  </threadedComment>
  <threadedComment ref="C1742" dT="2025-09-03T14:01:24.44" personId="{BD43945B-C779-4E3E-8C58-43F4C780CBFF}" id="{40529A04-D642-48C5-A5FC-87E1BD44719C}">
    <text>asn?</text>
  </threadedComment>
  <threadedComment ref="C1761" dT="2025-07-07T06:26:40.63" personId="{BD43945B-C779-4E3E-8C58-43F4C780CBFF}" id="{8F94911C-1017-4CA4-8F13-C04044843034}">
    <text>de adaugat cda</text>
  </threadedComment>
  <threadedComment ref="AC1785" dT="2025-08-05T08:01:22.35" personId="{BD43945B-C779-4E3E-8C58-43F4C780CBFF}" id="{B47B2924-9649-45FA-BEC1-A6AE4EF71740}">
    <text>livrare 04.08.2025</text>
  </threadedComment>
  <threadedComment ref="AC1786" dT="2025-08-05T08:01:27.72" personId="{BD43945B-C779-4E3E-8C58-43F4C780CBFF}" id="{4EDA10EC-A549-4B01-922D-8D4ED2A449AF}">
    <text>livrare 04.08.2025</text>
  </threadedComment>
  <threadedComment ref="AC1831" dT="2025-08-05T08:01:34.63" personId="{BD43945B-C779-4E3E-8C58-43F4C780CBFF}" id="{037CF85D-544A-47E9-8DAC-D262271A9E03}">
    <text>livrare 04.08.2025</text>
  </threadedComment>
  <threadedComment ref="I1866" dT="2025-10-29T15:45:15.36" personId="{BD43945B-C779-4E3E-8C58-43F4C780CBFF}" id="{91232D8A-2360-4D45-ADC4-6238FF117523}">
    <text>De suplimentat cda cu 4 buc</text>
  </threadedComment>
  <threadedComment ref="C1869" dT="2025-07-07T06:29:25.07" personId="{BD43945B-C779-4E3E-8C58-43F4C780CBFF}" id="{0766E946-D92A-40FF-8B52-9D2719253ADF}">
    <text>de adaugat cda</text>
  </threadedComment>
  <threadedComment ref="C1869" dT="2025-07-07T06:29:57.44" personId="{BD43945B-C779-4E3E-8C58-43F4C780CBFF}" id="{BED9F775-EF83-4FE0-A46C-0A931307D56D}" parentId="{0766E946-D92A-40FF-8B52-9D2719253ADF}">
    <text>si scazut cele livrate</text>
  </threadedComment>
  <threadedComment ref="I1992" dT="2025-08-29T14:14:28.98" personId="{BD43945B-C779-4E3E-8C58-43F4C780CBFF}" id="{BAFEBDDF-BC06-4E5B-9203-10E962C18B9A}">
    <text>Ne-am aliniat cu Simona</text>
  </threadedComment>
  <threadedComment ref="C2621" dT="2025-07-04T06:37:31.76" personId="{BD43945B-C779-4E3E-8C58-43F4C780CBFF}" id="{F3E8444C-4D93-499D-8A09-9226FE910032}">
    <text>de adaugat cda</text>
  </threadedComment>
  <threadedComment ref="C2626" dT="2025-07-04T06:24:05.91" personId="{BD43945B-C779-4E3E-8C58-43F4C780CBFF}" id="{A2CB9687-C5BB-4DD3-BF91-6AE916ED23C8}">
    <text xml:space="preserve">de adaugat comanda </text>
  </threadedComment>
</ThreadedComments>
</file>

<file path=xl/threadedComments/threadedComment2.xml><?xml version="1.0" encoding="utf-8"?>
<ThreadedComments xmlns="http://schemas.microsoft.com/office/spreadsheetml/2018/threadedcomments" xmlns:x="http://schemas.openxmlformats.org/spreadsheetml/2006/main">
  <threadedComment ref="J279" dT="2024-06-26T13:03:54.71" personId="{7ADAC236-E9C7-4D3E-A629-C4DA09846E2E}" id="{7558C82C-4B24-470D-B2C6-4052C417BC86}">
    <text xml:space="preserve">aprobat conditionat </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4" Type="http://schemas.microsoft.com/office/2007/relationships/slicer" Target="../slicers/slicer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hyperlink" Target="file:///\\192.168.0.252\4.productie\CLIENTI\BOSCH%20GERMANIA\1818509193" TargetMode="External"/><Relationship Id="rId13" Type="http://schemas.openxmlformats.org/officeDocument/2006/relationships/table" Target="../tables/table1.xml"/><Relationship Id="rId3" Type="http://schemas.openxmlformats.org/officeDocument/2006/relationships/hyperlink" Target="file:///\\192.168.0.252\4.productie\CLIENTI\SCHAEFFLER\04_Inele\F-235905-0042-WW1" TargetMode="External"/><Relationship Id="rId7" Type="http://schemas.openxmlformats.org/officeDocument/2006/relationships/hyperlink" Target="file:///\\192.168.0.252\4.productie\CLIENTI\BOSCH\R900865757%20-%20R900147181%20V" TargetMode="External"/><Relationship Id="rId12" Type="http://schemas.openxmlformats.org/officeDocument/2006/relationships/hyperlink" Target="file:///\\192.168.0.252\4.productie\CLIENTI\SCHAEFFLER\01_Alama\EDP%20KUK.QJ218-C-MPA-3001" TargetMode="External"/><Relationship Id="rId2" Type="http://schemas.openxmlformats.org/officeDocument/2006/relationships/hyperlink" Target="file:///\\192.168.0.252\4.productie\CLIENTI\SCHAEFFLER\02_Ghidaje_Liniare\EDS_KWVE15B-A-ESC-0038-ISB_000_00" TargetMode="External"/><Relationship Id="rId1" Type="http://schemas.openxmlformats.org/officeDocument/2006/relationships/hyperlink" Target="file:///\\192.168.0.252\4.productie\CLIENTI\SCHAEFFLER\01_Alama\EDP%20KU7208-B-MP-0031%20000" TargetMode="External"/><Relationship Id="rId6" Type="http://schemas.openxmlformats.org/officeDocument/2006/relationships/hyperlink" Target="file:///\\192.168.0.252\4.productie\CLIENTI\BOSCH\R9000323180" TargetMode="External"/><Relationship Id="rId11" Type="http://schemas.openxmlformats.org/officeDocument/2006/relationships/hyperlink" Target="file:///\\192.168.0.252\4.productie\CLIENTI\SCHAEFFLER\01_Alama\EDP%20KUH.6036-A-M-3001B" TargetMode="External"/><Relationship Id="rId5" Type="http://schemas.openxmlformats.org/officeDocument/2006/relationships/hyperlink" Target="file:///\\192.168.0.252\4.productie\CLIENTI\SCHAEFFLER\05_Strunjire%20_Dura\19.F-556440-0010.AU.XU-%20strunjire%20dura" TargetMode="External"/><Relationship Id="rId10" Type="http://schemas.openxmlformats.org/officeDocument/2006/relationships/hyperlink" Target="file:///\\192.168.0.252\4.productie\CLIENTI\SCHAEFFLER\01_Alama\EDP%20KUH.6217-B-M-3001%20004" TargetMode="External"/><Relationship Id="rId4" Type="http://schemas.openxmlformats.org/officeDocument/2006/relationships/hyperlink" Target="file:///\\192.168.0.252\4.productie\CLIENTI\SCHAEFFLER\04_Inele\F-552669-0023-ISB-HEAT" TargetMode="External"/><Relationship Id="rId9" Type="http://schemas.openxmlformats.org/officeDocument/2006/relationships/hyperlink" Target="file:///\\192.168.0.252\4.productie\CLIENTI\BOSCH%20GERMANIA\1818509259"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pivotTable" Target="../pivotTables/pivotTable5.xml"/><Relationship Id="rId4" Type="http://schemas.microsoft.com/office/2007/relationships/slicer" Target="../slicers/slicer5.xml"/></Relationships>
</file>

<file path=xl/worksheets/_rels/sheet12.xml.rels><?xml version="1.0" encoding="UTF-8" standalone="yes"?>
<Relationships xmlns="http://schemas.openxmlformats.org/package/2006/relationships"><Relationship Id="rId8" Type="http://schemas.openxmlformats.org/officeDocument/2006/relationships/hyperlink" Target="file:///\\192.168.0.252\2.Departament%20LOGISTICA\LOGISTICA\AVIZE%20SI%20POZE\MARTIE%202024\29.03.2024\AIM%202024289-29.03.2024%20PO%2036340001%20SCHAEFFLER.pdf" TargetMode="External"/><Relationship Id="rId13" Type="http://schemas.openxmlformats.org/officeDocument/2006/relationships/hyperlink" Target="file:///\\192.168.0.252\2.Departament%20LOGISTICA\LOGISTICA\AVIZE%20SI%20POZE\APRILIE%202024\02.04.2024\AIM%202024298%20-%2002.04.2024%20cda%2036508920.pdf" TargetMode="External"/><Relationship Id="rId18" Type="http://schemas.openxmlformats.org/officeDocument/2006/relationships/printerSettings" Target="../printerSettings/printerSettings7.bin"/><Relationship Id="rId3" Type="http://schemas.openxmlformats.org/officeDocument/2006/relationships/hyperlink" Target="file:///\\192.168.0.252\2.Departament%20LOGISTICA\LOGISTICA\AVIZE%20SI%20POZE\MARTIE%202024\27.03.2024\AIM%202024279%20-%2027.03.2024%20cda%20RA118470%20-%20IGW.pdf" TargetMode="External"/><Relationship Id="rId21" Type="http://schemas.openxmlformats.org/officeDocument/2006/relationships/table" Target="../tables/table2.xml"/><Relationship Id="rId7" Type="http://schemas.openxmlformats.org/officeDocument/2006/relationships/hyperlink" Target="file:///\\192.168.0.252\2.Departament%20LOGISTICA\LOGISTICA\AVIZE%20SI%20POZE\APRILIE%202024\02.04.2024\AIM%202024301%20-%2002.04.2024%20cda%2036508701.pdf" TargetMode="External"/><Relationship Id="rId12" Type="http://schemas.openxmlformats.org/officeDocument/2006/relationships/hyperlink" Target="file:///\\192.168.0.252\2.Departament%20LOGISTICA\LOGISTICA\AVIZE%20SI%20POZE\APRILIE%202024\4.04.2024\AIM%202024306%20-%2004.04.2024%20cda%2036508924.pdf" TargetMode="External"/><Relationship Id="rId17" Type="http://schemas.openxmlformats.org/officeDocument/2006/relationships/hyperlink" Target="file:///\\192.168.0.252\2.Departament%20LOGISTICA\LOGISTICA\AVIZE%20SI%20POZE\APRILIE%202024\4.04.2024\AIM%202024307%20-%2004.04.2024%20cda%205500502907.pdf" TargetMode="External"/><Relationship Id="rId2" Type="http://schemas.openxmlformats.org/officeDocument/2006/relationships/hyperlink" Target="file:///\\192.168.0.252\2.Departament%20LOGISTICA\LOGISTICA\AVIZE%20SI%20POZE\MARTIE%202024\29.03.2024\AIM%202024285-IGW.pdf" TargetMode="External"/><Relationship Id="rId16" Type="http://schemas.openxmlformats.org/officeDocument/2006/relationships/hyperlink" Target="file:///\\192.168.0.252\2.Departament%20LOGISTICA\LOGISTICA\AVIZE%20SI%20POZE\APRILIE%202024\4.04.2024\AIM%202024303%20-%2004.04.2024%20cda%205500511034.pdf" TargetMode="External"/><Relationship Id="rId20" Type="http://schemas.openxmlformats.org/officeDocument/2006/relationships/vmlDrawing" Target="../drawings/vmlDrawing1.vml"/><Relationship Id="rId1" Type="http://schemas.openxmlformats.org/officeDocument/2006/relationships/hyperlink" Target="file:///C:\Users\Vladimir\AppData\Local\Microsoft\Windows\INetCache\Content.Outlook\JSKMXROO\AVIZE%20SI%20POZE\MARTIE%202024\08.03.2024\AVIZ%20Bosch%20RO%20CDA%204509909328%20-%2008.03.2024.pdf" TargetMode="External"/><Relationship Id="rId6" Type="http://schemas.openxmlformats.org/officeDocument/2006/relationships/hyperlink" Target="file:///\\192.168.0.252\2.Departament%20LOGISTICA\LOGISTICA\AVIZE%20SI%20POZE\APRILIE%202024\02.04.2024\AIM%202024299%20-%2002.04.2024%20cda%2036508670.pdf" TargetMode="External"/><Relationship Id="rId11" Type="http://schemas.openxmlformats.org/officeDocument/2006/relationships/hyperlink" Target="file:///\\192.168.0.252\2.Departament%20LOGISTICA\LOGISTICA\AVIZE%20SI%20POZE\APRILIE%202024\4.04.2024\AIM%202024308%20-%2004.04.2024%20cda%2036508929.pdf" TargetMode="External"/><Relationship Id="rId24" Type="http://schemas.microsoft.com/office/2019/04/relationships/namedSheetView" Target="../namedSheetViews/namedSheetView1.xml"/><Relationship Id="rId5" Type="http://schemas.openxmlformats.org/officeDocument/2006/relationships/hyperlink" Target="file:///\\192.168.0.252\2.Departament%20LOGISTICA\LOGISTICA\AVIZE%20SI%20POZE\APRILIE%202024\02.04.2024\AIM%202024300%20-%2002.04.2024%20cda%205325142.pdf" TargetMode="External"/><Relationship Id="rId15" Type="http://schemas.openxmlformats.org/officeDocument/2006/relationships/hyperlink" Target="file:///\\192.168.0.252\2.Departament%20LOGISTICA\LOGISTICA\AVIZE%20SI%20POZE\APRILIE%202024\4.04.2024\AIM%202024305%20-%2004.04.2024%20cda%2036508702.pdf" TargetMode="External"/><Relationship Id="rId23" Type="http://schemas.microsoft.com/office/2017/10/relationships/threadedComment" Target="../threadedComments/threadedComment1.xml"/><Relationship Id="rId10" Type="http://schemas.openxmlformats.org/officeDocument/2006/relationships/hyperlink" Target="file:///\\192.168.0.252\2.Departament%20LOGISTICA\LOGISTICA\AVIZE%20SI%20POZE\APRILIE%202024\4.04.2024\AIM2024302%20-%2004.04.2024%20cda%204509909318.pdf" TargetMode="External"/><Relationship Id="rId19" Type="http://schemas.openxmlformats.org/officeDocument/2006/relationships/drawing" Target="../drawings/drawing8.xml"/><Relationship Id="rId4" Type="http://schemas.openxmlformats.org/officeDocument/2006/relationships/hyperlink" Target="file:///\\192.168.0.252\2.Departament%20LOGISTICA\LOGISTICA\AVIZE%20SI%20POZE\APRILIE%202024\01.04.2024\AIM%202024294%20-%2001.04.2024%20cda%2036313644.pdf" TargetMode="External"/><Relationship Id="rId9" Type="http://schemas.openxmlformats.org/officeDocument/2006/relationships/hyperlink" Target="file:///\\192.168.0.252\2.Departament%20LOGISTICA\LOGISTICA\AVIZE%20SI%20POZE\APRILIE%202024\4.04.2024\AIM%202024307%20-%2004.04.2024%20cda%205500502907.pdf" TargetMode="External"/><Relationship Id="rId14" Type="http://schemas.openxmlformats.org/officeDocument/2006/relationships/hyperlink" Target="file:///\\192.168.0.252\2.Departament%20LOGISTICA\LOGISTICA\AVIZE%20SI%20POZE\APRILIE%202024\4.04.2024\AIM%202024309%20-%2004.04.2024%20cda%2036508720.pdf" TargetMode="External"/><Relationship Id="rId22"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6.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vmlDrawing" Target="../drawings/vmlDrawing2.vml"/><Relationship Id="rId5" Type="http://schemas.microsoft.com/office/2019/04/relationships/namedSheetView" Target="../namedSheetViews/namedSheetView2.xml"/><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7.xml"/><Relationship Id="rId1" Type="http://schemas.openxmlformats.org/officeDocument/2006/relationships/vmlDrawing" Target="../drawings/vmlDrawing3.vml"/><Relationship Id="rId5" Type="http://schemas.microsoft.com/office/2019/04/relationships/namedSheetView" Target="../namedSheetViews/namedSheetView3.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4A716-EC10-4F19-B29D-279151E88194}">
  <sheetPr>
    <pageSetUpPr fitToPage="1"/>
  </sheetPr>
  <dimension ref="B9:AV149"/>
  <sheetViews>
    <sheetView topLeftCell="C4" zoomScale="85" zoomScaleNormal="85" workbookViewId="0">
      <selection activeCell="B22" sqref="B22"/>
    </sheetView>
  </sheetViews>
  <sheetFormatPr defaultRowHeight="15"/>
  <cols>
    <col min="2" max="2" width="39.7109375" bestFit="1" customWidth="1"/>
    <col min="3" max="3" width="45.28515625" bestFit="1" customWidth="1"/>
    <col min="4" max="4" width="14.5703125" bestFit="1" customWidth="1"/>
    <col min="5" max="5" width="12.28515625" style="70" bestFit="1" customWidth="1"/>
    <col min="6" max="18" width="12.28515625" bestFit="1" customWidth="1"/>
    <col min="19" max="19" width="13.7109375" bestFit="1" customWidth="1"/>
    <col min="20" max="20" width="16.85546875" bestFit="1" customWidth="1"/>
    <col min="21" max="44" width="12.28515625" bestFit="1" customWidth="1"/>
    <col min="45" max="45" width="13.7109375" bestFit="1" customWidth="1"/>
    <col min="46" max="46" width="16.85546875" bestFit="1" customWidth="1"/>
    <col min="47" max="47" width="14.140625" bestFit="1" customWidth="1"/>
    <col min="48" max="48" width="17.42578125" bestFit="1" customWidth="1"/>
    <col min="49" max="49" width="14.140625" bestFit="1" customWidth="1"/>
    <col min="50" max="50" width="17.42578125" bestFit="1" customWidth="1"/>
    <col min="51" max="56" width="13" bestFit="1" customWidth="1"/>
    <col min="57" max="57" width="14.5703125" bestFit="1" customWidth="1"/>
    <col min="58" max="58" width="18.140625" bestFit="1" customWidth="1"/>
    <col min="59" max="59" width="14.28515625" bestFit="1" customWidth="1"/>
    <col min="60" max="60" width="18" bestFit="1" customWidth="1"/>
    <col min="61" max="68" width="9.7109375" bestFit="1" customWidth="1"/>
    <col min="69" max="74" width="8.7109375" bestFit="1" customWidth="1"/>
    <col min="75" max="79" width="9.7109375" bestFit="1" customWidth="1"/>
    <col min="80" max="85" width="8.7109375" bestFit="1" customWidth="1"/>
    <col min="86" max="94" width="9.7109375" bestFit="1" customWidth="1"/>
    <col min="95" max="97" width="8.7109375" bestFit="1" customWidth="1"/>
    <col min="98" max="103" width="9.7109375" bestFit="1" customWidth="1"/>
    <col min="104" max="106" width="8.7109375" bestFit="1" customWidth="1"/>
    <col min="107" max="116" width="9.7109375" bestFit="1" customWidth="1"/>
    <col min="117" max="125" width="10.7109375" bestFit="1" customWidth="1"/>
    <col min="126" max="129" width="9.7109375" bestFit="1" customWidth="1"/>
    <col min="130" max="134" width="10.7109375" bestFit="1" customWidth="1"/>
    <col min="135" max="138" width="9.7109375" bestFit="1" customWidth="1"/>
    <col min="139" max="140" width="10.7109375" bestFit="1" customWidth="1"/>
    <col min="141" max="142" width="8.7109375" bestFit="1" customWidth="1"/>
    <col min="143" max="145" width="9.7109375" bestFit="1" customWidth="1"/>
    <col min="146" max="146" width="8.7109375" bestFit="1" customWidth="1"/>
    <col min="147" max="149" width="9.7109375" bestFit="1" customWidth="1"/>
    <col min="150" max="150" width="8.7109375" bestFit="1" customWidth="1"/>
    <col min="151" max="158" width="9.7109375" bestFit="1" customWidth="1"/>
    <col min="159" max="160" width="8.7109375" bestFit="1" customWidth="1"/>
    <col min="161" max="163" width="9.7109375" bestFit="1" customWidth="1"/>
    <col min="164" max="164" width="8.7109375" bestFit="1" customWidth="1"/>
    <col min="165" max="169" width="9.7109375" bestFit="1" customWidth="1"/>
    <col min="170" max="170" width="8.7109375" bestFit="1" customWidth="1"/>
    <col min="171" max="171" width="9.7109375" bestFit="1" customWidth="1"/>
    <col min="172" max="172" width="10.7109375" bestFit="1" customWidth="1"/>
    <col min="173" max="173" width="7.28515625" bestFit="1" customWidth="1"/>
    <col min="174" max="174" width="12.140625" bestFit="1" customWidth="1"/>
    <col min="175" max="175" width="11.28515625" bestFit="1" customWidth="1"/>
  </cols>
  <sheetData>
    <row r="9" spans="2:48">
      <c r="B9" s="48" t="s">
        <v>0</v>
      </c>
      <c r="C9" t="s">
        <v>1</v>
      </c>
    </row>
    <row r="10" spans="2:48">
      <c r="B10" s="48" t="s">
        <v>2</v>
      </c>
      <c r="C10" t="s">
        <v>3</v>
      </c>
    </row>
    <row r="11" spans="2:48">
      <c r="B11" s="48" t="s">
        <v>4</v>
      </c>
      <c r="C11" t="s">
        <v>1</v>
      </c>
    </row>
    <row r="13" spans="2:48">
      <c r="E13" s="48" t="s">
        <v>5</v>
      </c>
      <c r="F13" s="48" t="s">
        <v>6</v>
      </c>
      <c r="G13" s="48" t="s">
        <v>7</v>
      </c>
      <c r="H13" s="48" t="s">
        <v>8</v>
      </c>
    </row>
    <row r="14" spans="2:48">
      <c r="E14" t="s">
        <v>9</v>
      </c>
      <c r="G14" t="s">
        <v>10</v>
      </c>
      <c r="S14" t="s">
        <v>4332</v>
      </c>
      <c r="T14" t="s">
        <v>4333</v>
      </c>
      <c r="U14" t="s">
        <v>3842</v>
      </c>
      <c r="AS14" t="s">
        <v>4401</v>
      </c>
      <c r="AT14" t="s">
        <v>4402</v>
      </c>
      <c r="AU14" t="s">
        <v>11</v>
      </c>
      <c r="AV14" t="s">
        <v>12</v>
      </c>
    </row>
    <row r="15" spans="2:48">
      <c r="E15"/>
      <c r="G15" t="s">
        <v>13</v>
      </c>
      <c r="I15" t="s">
        <v>14</v>
      </c>
      <c r="K15" t="s">
        <v>16</v>
      </c>
      <c r="M15" t="s">
        <v>17</v>
      </c>
      <c r="O15" t="s">
        <v>18</v>
      </c>
      <c r="Q15" t="s">
        <v>19</v>
      </c>
      <c r="U15" t="s">
        <v>4397</v>
      </c>
      <c r="W15" t="s">
        <v>116</v>
      </c>
      <c r="Y15" t="s">
        <v>13</v>
      </c>
      <c r="AA15" t="s">
        <v>117</v>
      </c>
      <c r="AC15" t="s">
        <v>118</v>
      </c>
      <c r="AE15" t="s">
        <v>119</v>
      </c>
      <c r="AG15" t="s">
        <v>14</v>
      </c>
      <c r="AI15" t="s">
        <v>15</v>
      </c>
      <c r="AK15" t="s">
        <v>16</v>
      </c>
      <c r="AM15" t="s">
        <v>17</v>
      </c>
      <c r="AO15" t="s">
        <v>18</v>
      </c>
      <c r="AQ15" t="s">
        <v>19</v>
      </c>
    </row>
    <row r="16" spans="2:48">
      <c r="E16"/>
    </row>
    <row r="17" spans="2:48">
      <c r="B17" s="48" t="s">
        <v>20</v>
      </c>
      <c r="C17" s="48" t="s">
        <v>21</v>
      </c>
      <c r="D17" s="48" t="s">
        <v>22</v>
      </c>
      <c r="E17" t="s">
        <v>23</v>
      </c>
      <c r="F17" t="s">
        <v>24</v>
      </c>
      <c r="G17" t="s">
        <v>23</v>
      </c>
      <c r="H17" t="s">
        <v>24</v>
      </c>
      <c r="I17" t="s">
        <v>23</v>
      </c>
      <c r="J17" t="s">
        <v>24</v>
      </c>
      <c r="K17" t="s">
        <v>23</v>
      </c>
      <c r="L17" t="s">
        <v>24</v>
      </c>
      <c r="M17" t="s">
        <v>23</v>
      </c>
      <c r="N17" t="s">
        <v>24</v>
      </c>
      <c r="O17" t="s">
        <v>23</v>
      </c>
      <c r="P17" t="s">
        <v>24</v>
      </c>
      <c r="Q17" t="s">
        <v>23</v>
      </c>
      <c r="R17" t="s">
        <v>24</v>
      </c>
      <c r="U17" t="s">
        <v>23</v>
      </c>
      <c r="V17" t="s">
        <v>24</v>
      </c>
      <c r="W17" t="s">
        <v>23</v>
      </c>
      <c r="X17" t="s">
        <v>24</v>
      </c>
      <c r="Y17" t="s">
        <v>23</v>
      </c>
      <c r="Z17" t="s">
        <v>24</v>
      </c>
      <c r="AA17" t="s">
        <v>23</v>
      </c>
      <c r="AB17" t="s">
        <v>24</v>
      </c>
      <c r="AC17" t="s">
        <v>23</v>
      </c>
      <c r="AD17" t="s">
        <v>24</v>
      </c>
      <c r="AE17" t="s">
        <v>23</v>
      </c>
      <c r="AF17" t="s">
        <v>24</v>
      </c>
      <c r="AG17" t="s">
        <v>23</v>
      </c>
      <c r="AH17" t="s">
        <v>24</v>
      </c>
      <c r="AI17" t="s">
        <v>23</v>
      </c>
      <c r="AJ17" t="s">
        <v>24</v>
      </c>
      <c r="AK17" t="s">
        <v>23</v>
      </c>
      <c r="AL17" t="s">
        <v>24</v>
      </c>
      <c r="AM17" t="s">
        <v>23</v>
      </c>
      <c r="AN17" t="s">
        <v>24</v>
      </c>
      <c r="AO17" t="s">
        <v>23</v>
      </c>
      <c r="AP17" t="s">
        <v>24</v>
      </c>
      <c r="AQ17" t="s">
        <v>23</v>
      </c>
      <c r="AR17" t="s">
        <v>24</v>
      </c>
    </row>
    <row r="18" spans="2:48">
      <c r="B18" t="s">
        <v>25</v>
      </c>
      <c r="E18">
        <v>2</v>
      </c>
      <c r="F18" s="116">
        <v>176.06</v>
      </c>
      <c r="H18" s="116"/>
      <c r="J18" s="116"/>
      <c r="L18" s="116"/>
      <c r="M18">
        <v>683</v>
      </c>
      <c r="N18" s="116">
        <v>4180.54</v>
      </c>
      <c r="O18">
        <v>240</v>
      </c>
      <c r="P18" s="116">
        <v>4171.2</v>
      </c>
      <c r="Q18">
        <v>500</v>
      </c>
      <c r="R18" s="116">
        <v>7395.2</v>
      </c>
      <c r="S18">
        <v>1423</v>
      </c>
      <c r="T18" s="116">
        <v>15746.939999999999</v>
      </c>
      <c r="U18">
        <v>340</v>
      </c>
      <c r="V18" s="116">
        <v>0</v>
      </c>
      <c r="W18">
        <v>580</v>
      </c>
      <c r="X18" s="116">
        <v>0</v>
      </c>
      <c r="Y18">
        <v>340</v>
      </c>
      <c r="Z18" s="116">
        <v>0</v>
      </c>
      <c r="AA18">
        <v>1080</v>
      </c>
      <c r="AB18" s="116">
        <v>0</v>
      </c>
      <c r="AC18">
        <v>340</v>
      </c>
      <c r="AD18" s="116">
        <v>0</v>
      </c>
      <c r="AE18">
        <v>240</v>
      </c>
      <c r="AF18" s="116">
        <v>0</v>
      </c>
      <c r="AG18">
        <v>340</v>
      </c>
      <c r="AH18" s="116">
        <v>0</v>
      </c>
      <c r="AI18">
        <v>240</v>
      </c>
      <c r="AJ18" s="116">
        <v>0</v>
      </c>
      <c r="AK18">
        <v>340</v>
      </c>
      <c r="AL18" s="116">
        <v>0</v>
      </c>
      <c r="AN18" s="116"/>
      <c r="AP18" s="116"/>
      <c r="AR18" s="116"/>
      <c r="AS18">
        <v>3840</v>
      </c>
      <c r="AT18" s="116">
        <v>0</v>
      </c>
      <c r="AU18">
        <v>5265</v>
      </c>
      <c r="AV18" s="116">
        <v>15923</v>
      </c>
    </row>
    <row r="19" spans="2:48">
      <c r="B19" t="s">
        <v>26</v>
      </c>
      <c r="E19"/>
      <c r="F19" s="116"/>
      <c r="H19" s="116"/>
      <c r="J19" s="116"/>
      <c r="L19" s="116"/>
      <c r="M19">
        <v>23</v>
      </c>
      <c r="N19" s="116">
        <v>122.13</v>
      </c>
      <c r="O19">
        <v>195</v>
      </c>
      <c r="P19" s="116">
        <v>2039.15</v>
      </c>
      <c r="Q19">
        <v>100</v>
      </c>
      <c r="R19" s="116">
        <v>97</v>
      </c>
      <c r="S19">
        <v>318</v>
      </c>
      <c r="T19" s="116">
        <v>2258.2800000000002</v>
      </c>
      <c r="U19">
        <v>396</v>
      </c>
      <c r="V19" s="116">
        <v>0</v>
      </c>
      <c r="W19">
        <v>120</v>
      </c>
      <c r="X19" s="116">
        <v>0</v>
      </c>
      <c r="Y19">
        <v>345</v>
      </c>
      <c r="Z19" s="116">
        <v>0</v>
      </c>
      <c r="AA19">
        <v>430</v>
      </c>
      <c r="AB19" s="116">
        <v>0</v>
      </c>
      <c r="AC19">
        <v>340</v>
      </c>
      <c r="AD19" s="116">
        <v>0</v>
      </c>
      <c r="AE19">
        <v>415</v>
      </c>
      <c r="AF19" s="116">
        <v>0</v>
      </c>
      <c r="AG19">
        <v>135</v>
      </c>
      <c r="AH19" s="116">
        <v>0</v>
      </c>
      <c r="AI19">
        <v>230</v>
      </c>
      <c r="AJ19" s="116">
        <v>0</v>
      </c>
      <c r="AK19">
        <v>630</v>
      </c>
      <c r="AL19" s="116">
        <v>0</v>
      </c>
      <c r="AM19">
        <v>130</v>
      </c>
      <c r="AN19" s="116">
        <v>0</v>
      </c>
      <c r="AO19">
        <v>69</v>
      </c>
      <c r="AP19" s="116">
        <v>0</v>
      </c>
      <c r="AQ19">
        <v>496</v>
      </c>
      <c r="AR19" s="116">
        <v>0</v>
      </c>
      <c r="AS19">
        <v>3736</v>
      </c>
      <c r="AT19" s="116">
        <v>0</v>
      </c>
      <c r="AU19">
        <v>4054</v>
      </c>
      <c r="AV19" s="116">
        <v>2258.2800000000002</v>
      </c>
    </row>
    <row r="20" spans="2:48">
      <c r="B20" t="s">
        <v>27</v>
      </c>
      <c r="E20"/>
      <c r="F20" s="116"/>
      <c r="H20" s="116"/>
      <c r="J20" s="116"/>
      <c r="K20">
        <v>86</v>
      </c>
      <c r="L20" s="116">
        <v>499.65999999999997</v>
      </c>
      <c r="M20">
        <v>159</v>
      </c>
      <c r="N20" s="116">
        <v>9780.11</v>
      </c>
      <c r="O20">
        <v>1581</v>
      </c>
      <c r="P20" s="116">
        <v>16557.34</v>
      </c>
      <c r="Q20">
        <v>742</v>
      </c>
      <c r="R20" s="116">
        <v>13342.66</v>
      </c>
      <c r="S20">
        <v>2568</v>
      </c>
      <c r="T20" s="116">
        <v>40179.770000000004</v>
      </c>
      <c r="U20">
        <v>2221</v>
      </c>
      <c r="V20" s="116">
        <v>2311.3200000000002</v>
      </c>
      <c r="W20">
        <v>872</v>
      </c>
      <c r="X20" s="116">
        <v>0</v>
      </c>
      <c r="Y20">
        <v>2209</v>
      </c>
      <c r="Z20" s="116">
        <v>0</v>
      </c>
      <c r="AA20">
        <v>1198</v>
      </c>
      <c r="AB20" s="116">
        <v>0</v>
      </c>
      <c r="AD20" s="116"/>
      <c r="AE20">
        <v>632</v>
      </c>
      <c r="AF20" s="116">
        <v>0</v>
      </c>
      <c r="AG20">
        <v>660</v>
      </c>
      <c r="AH20" s="116">
        <v>0</v>
      </c>
      <c r="AJ20" s="116"/>
      <c r="AK20">
        <v>660</v>
      </c>
      <c r="AL20" s="116">
        <v>0</v>
      </c>
      <c r="AN20" s="116"/>
      <c r="AO20">
        <v>660</v>
      </c>
      <c r="AP20" s="116">
        <v>0</v>
      </c>
      <c r="AR20" s="116"/>
      <c r="AS20">
        <v>9112</v>
      </c>
      <c r="AT20" s="116">
        <v>2311.3200000000002</v>
      </c>
      <c r="AU20">
        <v>11680</v>
      </c>
      <c r="AV20" s="116">
        <v>42491.090000000004</v>
      </c>
    </row>
    <row r="21" spans="2:48">
      <c r="B21" t="s">
        <v>57</v>
      </c>
      <c r="E21"/>
      <c r="F21" s="116"/>
      <c r="G21">
        <v>752</v>
      </c>
      <c r="H21" s="116">
        <v>79332.239999999991</v>
      </c>
      <c r="J21" s="116"/>
      <c r="K21">
        <v>15</v>
      </c>
      <c r="L21" s="116">
        <v>16506.150000000001</v>
      </c>
      <c r="N21" s="116"/>
      <c r="P21" s="116"/>
      <c r="R21" s="116"/>
      <c r="S21">
        <v>767</v>
      </c>
      <c r="T21" s="116">
        <v>95838.389999999985</v>
      </c>
      <c r="V21" s="116"/>
      <c r="X21" s="116"/>
      <c r="Z21" s="116"/>
      <c r="AB21" s="116"/>
      <c r="AD21" s="116"/>
      <c r="AF21" s="116"/>
      <c r="AH21" s="116"/>
      <c r="AJ21" s="116"/>
      <c r="AL21" s="116"/>
      <c r="AN21" s="116"/>
      <c r="AP21" s="116"/>
      <c r="AR21" s="116"/>
      <c r="AT21" s="116"/>
      <c r="AU21">
        <v>767</v>
      </c>
      <c r="AV21" s="116">
        <v>95838.389999999985</v>
      </c>
    </row>
    <row r="22" spans="2:48">
      <c r="B22" t="s">
        <v>59</v>
      </c>
      <c r="E22"/>
      <c r="F22" s="116"/>
      <c r="H22" s="116"/>
      <c r="J22" s="116"/>
      <c r="K22">
        <v>14</v>
      </c>
      <c r="L22" s="116">
        <v>7696.65</v>
      </c>
      <c r="N22" s="116"/>
      <c r="P22" s="116"/>
      <c r="Q22">
        <v>9</v>
      </c>
      <c r="R22" s="116">
        <v>6465.6</v>
      </c>
      <c r="S22">
        <v>23</v>
      </c>
      <c r="T22" s="116">
        <v>14162.25</v>
      </c>
      <c r="V22" s="116"/>
      <c r="X22" s="116"/>
      <c r="Z22" s="116"/>
      <c r="AB22" s="116"/>
      <c r="AD22" s="116"/>
      <c r="AF22" s="116"/>
      <c r="AH22" s="116"/>
      <c r="AJ22" s="116"/>
      <c r="AL22" s="116"/>
      <c r="AN22" s="116"/>
      <c r="AP22" s="116"/>
      <c r="AR22" s="116"/>
      <c r="AT22" s="116"/>
      <c r="AU22">
        <v>23</v>
      </c>
      <c r="AV22" s="116">
        <v>14162.25</v>
      </c>
    </row>
    <row r="23" spans="2:48">
      <c r="B23" t="s">
        <v>82</v>
      </c>
      <c r="E23">
        <v>102</v>
      </c>
      <c r="F23" s="116">
        <v>856.90000000000009</v>
      </c>
      <c r="H23" s="116"/>
      <c r="J23" s="116"/>
      <c r="L23" s="116"/>
      <c r="N23" s="116"/>
      <c r="P23" s="116"/>
      <c r="Q23">
        <v>143</v>
      </c>
      <c r="R23" s="116">
        <v>2199.34</v>
      </c>
      <c r="S23">
        <v>143</v>
      </c>
      <c r="T23" s="116">
        <v>2199.34</v>
      </c>
      <c r="U23">
        <v>437</v>
      </c>
      <c r="V23" s="116">
        <v>8297.61</v>
      </c>
      <c r="X23" s="116"/>
      <c r="Y23">
        <v>956</v>
      </c>
      <c r="Z23" s="116">
        <v>14360.98</v>
      </c>
      <c r="AA23">
        <v>30</v>
      </c>
      <c r="AB23" s="116">
        <v>0</v>
      </c>
      <c r="AD23" s="116"/>
      <c r="AF23" s="116"/>
      <c r="AH23" s="116"/>
      <c r="AJ23" s="116"/>
      <c r="AL23" s="116"/>
      <c r="AN23" s="116"/>
      <c r="AP23" s="116"/>
      <c r="AR23" s="116"/>
      <c r="AS23">
        <v>1423</v>
      </c>
      <c r="AT23" s="116">
        <v>22658.59</v>
      </c>
      <c r="AU23">
        <v>1668</v>
      </c>
      <c r="AV23" s="116">
        <v>25714.83</v>
      </c>
    </row>
    <row r="24" spans="2:48">
      <c r="B24" t="s">
        <v>83</v>
      </c>
      <c r="E24"/>
      <c r="F24" s="116"/>
      <c r="H24" s="116"/>
      <c r="I24">
        <v>5</v>
      </c>
      <c r="J24" s="116">
        <v>6.8000000000000007</v>
      </c>
      <c r="L24" s="116"/>
      <c r="M24">
        <v>794</v>
      </c>
      <c r="N24" s="116">
        <v>4384.76</v>
      </c>
      <c r="O24">
        <v>13372</v>
      </c>
      <c r="P24" s="116">
        <v>60319.76999999999</v>
      </c>
      <c r="Q24">
        <v>14644</v>
      </c>
      <c r="R24" s="116">
        <v>47248.45</v>
      </c>
      <c r="S24">
        <v>28815</v>
      </c>
      <c r="T24" s="116">
        <v>111959.77999999998</v>
      </c>
      <c r="V24" s="116"/>
      <c r="X24" s="116"/>
      <c r="Z24" s="116"/>
      <c r="AB24" s="116"/>
      <c r="AD24" s="116"/>
      <c r="AF24" s="116"/>
      <c r="AH24" s="116"/>
      <c r="AJ24" s="116"/>
      <c r="AL24" s="116"/>
      <c r="AN24" s="116"/>
      <c r="AP24" s="116"/>
      <c r="AR24" s="116"/>
      <c r="AT24" s="116"/>
      <c r="AU24">
        <v>28815</v>
      </c>
      <c r="AV24" s="116">
        <v>111959.77999999998</v>
      </c>
    </row>
    <row r="25" spans="2:48" ht="18" customHeight="1">
      <c r="B25" t="s">
        <v>4382</v>
      </c>
      <c r="E25"/>
      <c r="F25" s="116"/>
      <c r="H25" s="116"/>
      <c r="J25" s="116"/>
      <c r="L25" s="116"/>
      <c r="N25" s="116"/>
      <c r="O25">
        <v>97</v>
      </c>
      <c r="P25" s="116">
        <v>97</v>
      </c>
      <c r="R25" s="116"/>
      <c r="S25">
        <v>97</v>
      </c>
      <c r="T25" s="116">
        <v>97</v>
      </c>
      <c r="V25" s="116"/>
      <c r="X25" s="116"/>
      <c r="Z25" s="116"/>
      <c r="AB25" s="116"/>
      <c r="AD25" s="116"/>
      <c r="AF25" s="116"/>
      <c r="AH25" s="116"/>
      <c r="AJ25" s="116"/>
      <c r="AL25" s="116"/>
      <c r="AN25" s="116"/>
      <c r="AP25" s="116"/>
      <c r="AR25" s="116"/>
      <c r="AT25" s="116"/>
      <c r="AU25">
        <v>97</v>
      </c>
      <c r="AV25" s="116">
        <v>97</v>
      </c>
    </row>
    <row r="26" spans="2:48">
      <c r="B26" t="s">
        <v>111</v>
      </c>
      <c r="E26">
        <v>104</v>
      </c>
      <c r="F26" s="116">
        <v>1032.96</v>
      </c>
      <c r="G26">
        <v>752</v>
      </c>
      <c r="H26" s="116">
        <v>79332.239999999991</v>
      </c>
      <c r="I26">
        <v>5</v>
      </c>
      <c r="J26" s="116">
        <v>6.8000000000000007</v>
      </c>
      <c r="K26">
        <v>115</v>
      </c>
      <c r="L26" s="116">
        <v>24702.46</v>
      </c>
      <c r="M26">
        <v>1659</v>
      </c>
      <c r="N26" s="116">
        <v>18467.54</v>
      </c>
      <c r="O26">
        <v>15485</v>
      </c>
      <c r="P26" s="116">
        <v>83184.459999999992</v>
      </c>
      <c r="Q26">
        <v>16138</v>
      </c>
      <c r="R26" s="116">
        <v>76748.25</v>
      </c>
      <c r="S26">
        <v>34154</v>
      </c>
      <c r="T26" s="116">
        <v>282441.75</v>
      </c>
      <c r="U26">
        <v>3394</v>
      </c>
      <c r="V26" s="116">
        <v>10608.93</v>
      </c>
      <c r="W26">
        <v>1572</v>
      </c>
      <c r="X26" s="116">
        <v>0</v>
      </c>
      <c r="Y26">
        <v>3850</v>
      </c>
      <c r="Z26" s="116">
        <v>14360.98</v>
      </c>
      <c r="AA26">
        <v>2738</v>
      </c>
      <c r="AB26" s="116">
        <v>0</v>
      </c>
      <c r="AC26">
        <v>680</v>
      </c>
      <c r="AD26" s="116">
        <v>0</v>
      </c>
      <c r="AE26">
        <v>1287</v>
      </c>
      <c r="AF26" s="116">
        <v>0</v>
      </c>
      <c r="AG26">
        <v>1135</v>
      </c>
      <c r="AH26" s="116">
        <v>0</v>
      </c>
      <c r="AI26">
        <v>470</v>
      </c>
      <c r="AJ26" s="116">
        <v>0</v>
      </c>
      <c r="AK26">
        <v>1630</v>
      </c>
      <c r="AL26" s="116">
        <v>0</v>
      </c>
      <c r="AM26">
        <v>130</v>
      </c>
      <c r="AN26" s="116">
        <v>0</v>
      </c>
      <c r="AO26">
        <v>729</v>
      </c>
      <c r="AP26" s="116">
        <v>0</v>
      </c>
      <c r="AQ26">
        <v>496</v>
      </c>
      <c r="AR26" s="116">
        <v>0</v>
      </c>
      <c r="AS26">
        <v>18111</v>
      </c>
      <c r="AT26" s="116">
        <v>24969.91</v>
      </c>
      <c r="AU26">
        <v>52369</v>
      </c>
      <c r="AV26" s="116">
        <v>308444.61999999994</v>
      </c>
    </row>
    <row r="27" spans="2:48">
      <c r="E27"/>
    </row>
    <row r="28" spans="2:48">
      <c r="E28"/>
    </row>
    <row r="29" spans="2:48">
      <c r="E29"/>
    </row>
    <row r="30" spans="2:48">
      <c r="E30"/>
    </row>
    <row r="31" spans="2:48">
      <c r="E31"/>
    </row>
    <row r="32" spans="2:48">
      <c r="E32"/>
    </row>
    <row r="33" spans="5:5">
      <c r="E33"/>
    </row>
    <row r="34" spans="5:5">
      <c r="E34"/>
    </row>
    <row r="35" spans="5:5">
      <c r="E35"/>
    </row>
    <row r="36" spans="5:5">
      <c r="E36"/>
    </row>
    <row r="37" spans="5:5">
      <c r="E37"/>
    </row>
    <row r="38" spans="5:5">
      <c r="E38"/>
    </row>
    <row r="39" spans="5:5">
      <c r="E39"/>
    </row>
    <row r="40" spans="5:5">
      <c r="E40"/>
    </row>
    <row r="41" spans="5:5">
      <c r="E41"/>
    </row>
    <row r="42" spans="5:5">
      <c r="E42"/>
    </row>
    <row r="43" spans="5:5">
      <c r="E43"/>
    </row>
    <row r="44" spans="5:5">
      <c r="E44"/>
    </row>
    <row r="45" spans="5:5">
      <c r="E45"/>
    </row>
    <row r="46" spans="5:5">
      <c r="E46"/>
    </row>
    <row r="47" spans="5:5">
      <c r="E47"/>
    </row>
    <row r="48" spans="5:5">
      <c r="E48"/>
    </row>
    <row r="49" spans="5:5">
      <c r="E49"/>
    </row>
    <row r="50" spans="5:5">
      <c r="E50"/>
    </row>
    <row r="51" spans="5:5">
      <c r="E51"/>
    </row>
    <row r="52" spans="5:5">
      <c r="E52"/>
    </row>
    <row r="53" spans="5:5">
      <c r="E53"/>
    </row>
    <row r="54" spans="5:5">
      <c r="E54"/>
    </row>
    <row r="55" spans="5:5">
      <c r="E55"/>
    </row>
    <row r="56" spans="5:5">
      <c r="E56"/>
    </row>
    <row r="57" spans="5:5">
      <c r="E57"/>
    </row>
    <row r="58" spans="5:5">
      <c r="E58"/>
    </row>
    <row r="59" spans="5:5">
      <c r="E59"/>
    </row>
    <row r="60" spans="5:5">
      <c r="E60"/>
    </row>
    <row r="61" spans="5:5">
      <c r="E61"/>
    </row>
    <row r="62" spans="5:5">
      <c r="E62"/>
    </row>
    <row r="63" spans="5:5">
      <c r="E63"/>
    </row>
    <row r="64" spans="5:5">
      <c r="E64"/>
    </row>
    <row r="65" spans="5:5">
      <c r="E65"/>
    </row>
    <row r="66" spans="5:5">
      <c r="E66"/>
    </row>
    <row r="67" spans="5:5">
      <c r="E67"/>
    </row>
    <row r="68" spans="5:5">
      <c r="E68"/>
    </row>
    <row r="69" spans="5:5">
      <c r="E69"/>
    </row>
    <row r="70" spans="5:5">
      <c r="E70"/>
    </row>
    <row r="71" spans="5:5">
      <c r="E71"/>
    </row>
    <row r="72" spans="5:5">
      <c r="E72"/>
    </row>
    <row r="73" spans="5:5">
      <c r="E73"/>
    </row>
    <row r="74" spans="5:5">
      <c r="E74"/>
    </row>
    <row r="75" spans="5:5">
      <c r="E75"/>
    </row>
    <row r="76" spans="5:5">
      <c r="E76"/>
    </row>
    <row r="77" spans="5:5">
      <c r="E77"/>
    </row>
    <row r="78" spans="5:5">
      <c r="E78"/>
    </row>
    <row r="79" spans="5:5">
      <c r="E79"/>
    </row>
    <row r="80" spans="5:5">
      <c r="E80"/>
    </row>
    <row r="81" spans="5:5">
      <c r="E81"/>
    </row>
    <row r="82" spans="5:5">
      <c r="E82"/>
    </row>
    <row r="83" spans="5:5">
      <c r="E83"/>
    </row>
    <row r="84" spans="5:5">
      <c r="E84"/>
    </row>
    <row r="85" spans="5:5">
      <c r="E85"/>
    </row>
    <row r="86" spans="5:5">
      <c r="E86"/>
    </row>
    <row r="87" spans="5:5">
      <c r="E87"/>
    </row>
    <row r="88" spans="5:5">
      <c r="E88"/>
    </row>
    <row r="89" spans="5:5">
      <c r="E89"/>
    </row>
    <row r="90" spans="5:5">
      <c r="E90"/>
    </row>
    <row r="91" spans="5:5">
      <c r="E91"/>
    </row>
    <row r="92" spans="5:5">
      <c r="E92"/>
    </row>
    <row r="93" spans="5:5">
      <c r="E93"/>
    </row>
    <row r="94" spans="5:5">
      <c r="E94"/>
    </row>
    <row r="95" spans="5:5">
      <c r="E95"/>
    </row>
    <row r="96" spans="5:5">
      <c r="E96"/>
    </row>
    <row r="97" spans="5:5">
      <c r="E97"/>
    </row>
    <row r="98" spans="5:5">
      <c r="E98"/>
    </row>
    <row r="99" spans="5:5">
      <c r="E99"/>
    </row>
    <row r="100" spans="5:5">
      <c r="E100"/>
    </row>
    <row r="101" spans="5:5">
      <c r="E101"/>
    </row>
    <row r="102" spans="5:5">
      <c r="E102"/>
    </row>
    <row r="103" spans="5:5">
      <c r="E103"/>
    </row>
    <row r="104" spans="5:5">
      <c r="E104"/>
    </row>
    <row r="105" spans="5:5">
      <c r="E105"/>
    </row>
    <row r="106" spans="5:5">
      <c r="E106"/>
    </row>
    <row r="107" spans="5:5">
      <c r="E107"/>
    </row>
    <row r="108" spans="5:5">
      <c r="E108"/>
    </row>
    <row r="109" spans="5:5">
      <c r="E109"/>
    </row>
    <row r="110" spans="5:5">
      <c r="E110"/>
    </row>
    <row r="111" spans="5:5">
      <c r="E111"/>
    </row>
    <row r="112" spans="5:5">
      <c r="E112"/>
    </row>
    <row r="113" spans="5:5">
      <c r="E113"/>
    </row>
    <row r="114" spans="5:5">
      <c r="E114"/>
    </row>
    <row r="115" spans="5:5">
      <c r="E115"/>
    </row>
    <row r="116" spans="5:5">
      <c r="E116"/>
    </row>
    <row r="117" spans="5:5">
      <c r="E117"/>
    </row>
    <row r="118" spans="5:5">
      <c r="E118"/>
    </row>
    <row r="119" spans="5:5">
      <c r="E119"/>
    </row>
    <row r="120" spans="5:5">
      <c r="E120"/>
    </row>
    <row r="121" spans="5:5">
      <c r="E121"/>
    </row>
    <row r="122" spans="5:5">
      <c r="E122"/>
    </row>
    <row r="123" spans="5:5">
      <c r="E123"/>
    </row>
    <row r="124" spans="5:5">
      <c r="E124"/>
    </row>
    <row r="125" spans="5:5">
      <c r="E125"/>
    </row>
    <row r="126" spans="5:5">
      <c r="E126"/>
    </row>
    <row r="127" spans="5:5">
      <c r="E127"/>
    </row>
    <row r="128" spans="5:5">
      <c r="E128"/>
    </row>
    <row r="129" spans="5:5">
      <c r="E129"/>
    </row>
    <row r="130" spans="5:5">
      <c r="E130"/>
    </row>
    <row r="131" spans="5:5">
      <c r="E131"/>
    </row>
    <row r="132" spans="5:5">
      <c r="E132"/>
    </row>
    <row r="133" spans="5:5">
      <c r="E133"/>
    </row>
    <row r="134" spans="5:5">
      <c r="E134"/>
    </row>
    <row r="135" spans="5:5">
      <c r="E135"/>
    </row>
    <row r="136" spans="5:5">
      <c r="E136"/>
    </row>
    <row r="137" spans="5:5">
      <c r="E137"/>
    </row>
    <row r="138" spans="5:5">
      <c r="E138"/>
    </row>
    <row r="139" spans="5:5">
      <c r="E139"/>
    </row>
    <row r="140" spans="5:5">
      <c r="E140"/>
    </row>
    <row r="141" spans="5:5">
      <c r="E141"/>
    </row>
    <row r="142" spans="5:5">
      <c r="E142"/>
    </row>
    <row r="143" spans="5:5">
      <c r="E143"/>
    </row>
    <row r="144" spans="5:5">
      <c r="E144"/>
    </row>
    <row r="145" spans="5:5">
      <c r="E145"/>
    </row>
    <row r="146" spans="5:5">
      <c r="E146"/>
    </row>
    <row r="147" spans="5:5">
      <c r="E147"/>
    </row>
    <row r="148" spans="5:5">
      <c r="E148"/>
    </row>
    <row r="149" spans="5:5">
      <c r="E149"/>
    </row>
  </sheetData>
  <pageMargins left="0.25" right="0.25" top="0.75" bottom="0.75" header="0.3" footer="0.3"/>
  <pageSetup paperSize="8" fitToWidth="2" fitToHeight="2" orientation="landscape"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67C23-2EB2-4513-8A3B-FDB84EA74A8D}">
  <dimension ref="B9:H342"/>
  <sheetViews>
    <sheetView zoomScale="70" zoomScaleNormal="70" workbookViewId="0">
      <selection activeCell="P21" sqref="P21"/>
    </sheetView>
  </sheetViews>
  <sheetFormatPr defaultRowHeight="15"/>
  <cols>
    <col min="2" max="2" width="22.42578125" bestFit="1" customWidth="1"/>
    <col min="3" max="3" width="30.42578125" bestFit="1" customWidth="1"/>
    <col min="4" max="4" width="8.28515625" style="70" bestFit="1" customWidth="1"/>
    <col min="5" max="5" width="14.5703125" bestFit="1" customWidth="1"/>
    <col min="6" max="6" width="18.7109375" bestFit="1" customWidth="1"/>
    <col min="7" max="8" width="17.140625" bestFit="1" customWidth="1"/>
    <col min="9" max="9" width="15" bestFit="1" customWidth="1"/>
    <col min="10" max="10" width="18.140625" bestFit="1" customWidth="1"/>
    <col min="11" max="11" width="15" bestFit="1" customWidth="1"/>
    <col min="12" max="12" width="18.140625" bestFit="1" customWidth="1"/>
    <col min="13" max="13" width="15" bestFit="1" customWidth="1"/>
    <col min="14" max="14" width="18.140625" bestFit="1" customWidth="1"/>
    <col min="15" max="15" width="15" bestFit="1" customWidth="1"/>
    <col min="16" max="16" width="18.140625" bestFit="1" customWidth="1"/>
    <col min="17" max="17" width="15" bestFit="1" customWidth="1"/>
    <col min="18" max="18" width="18.140625" bestFit="1" customWidth="1"/>
    <col min="19" max="19" width="15" bestFit="1" customWidth="1"/>
    <col min="20" max="20" width="18.140625" bestFit="1" customWidth="1"/>
    <col min="21" max="21" width="20.85546875" bestFit="1" customWidth="1"/>
    <col min="22" max="22" width="11.42578125" bestFit="1" customWidth="1"/>
    <col min="23" max="23" width="26.140625" bestFit="1" customWidth="1"/>
    <col min="24" max="24" width="11.7109375" bestFit="1" customWidth="1"/>
    <col min="25" max="25" width="26.140625" bestFit="1" customWidth="1"/>
    <col min="26" max="26" width="11.7109375" bestFit="1" customWidth="1"/>
    <col min="27" max="27" width="26.140625" bestFit="1" customWidth="1"/>
    <col min="28" max="28" width="11.7109375" bestFit="1" customWidth="1"/>
    <col min="29" max="29" width="13.5703125" bestFit="1" customWidth="1"/>
    <col min="30" max="30" width="11.7109375" bestFit="1" customWidth="1"/>
    <col min="31" max="31" width="13.5703125" bestFit="1" customWidth="1"/>
    <col min="32" max="32" width="11.7109375" bestFit="1" customWidth="1"/>
    <col min="33" max="33" width="26.140625" bestFit="1" customWidth="1"/>
    <col min="34" max="34" width="11.7109375" bestFit="1" customWidth="1"/>
    <col min="35" max="35" width="15.85546875" bestFit="1" customWidth="1"/>
    <col min="36" max="36" width="11.42578125" bestFit="1" customWidth="1"/>
    <col min="37" max="440" width="32.140625" bestFit="1" customWidth="1"/>
    <col min="441" max="441" width="11.28515625" bestFit="1" customWidth="1"/>
  </cols>
  <sheetData>
    <row r="9" spans="2:8">
      <c r="B9" s="48" t="s">
        <v>0</v>
      </c>
      <c r="C9" t="s">
        <v>1</v>
      </c>
    </row>
    <row r="10" spans="2:8">
      <c r="B10" s="48" t="s">
        <v>2</v>
      </c>
      <c r="C10" t="s">
        <v>1</v>
      </c>
    </row>
    <row r="11" spans="2:8">
      <c r="B11" s="48" t="s">
        <v>4</v>
      </c>
      <c r="C11" t="s">
        <v>1</v>
      </c>
    </row>
    <row r="13" spans="2:8">
      <c r="B13" s="48" t="s">
        <v>112</v>
      </c>
      <c r="D13"/>
      <c r="E13" s="48" t="s">
        <v>20</v>
      </c>
      <c r="F13" s="48" t="s">
        <v>113</v>
      </c>
      <c r="G13" s="48" t="s">
        <v>21</v>
      </c>
      <c r="H13" s="48" t="s">
        <v>22</v>
      </c>
    </row>
    <row r="14" spans="2:8">
      <c r="D14"/>
      <c r="E14" t="s">
        <v>82</v>
      </c>
      <c r="F14" t="s">
        <v>111</v>
      </c>
    </row>
    <row r="15" spans="2:8">
      <c r="D15"/>
    </row>
    <row r="16" spans="2:8">
      <c r="D16"/>
    </row>
    <row r="17" spans="2:6">
      <c r="B17" s="48" t="s">
        <v>114</v>
      </c>
      <c r="C17" s="48" t="s">
        <v>6</v>
      </c>
      <c r="D17" s="48" t="s">
        <v>115</v>
      </c>
    </row>
    <row r="18" spans="2:6">
      <c r="B18" t="s">
        <v>9</v>
      </c>
      <c r="C18" t="s">
        <v>118</v>
      </c>
      <c r="D18"/>
      <c r="E18">
        <v>225</v>
      </c>
      <c r="F18">
        <v>225</v>
      </c>
    </row>
    <row r="19" spans="2:6">
      <c r="C19" t="s">
        <v>119</v>
      </c>
      <c r="D19"/>
      <c r="E19">
        <v>308</v>
      </c>
      <c r="F19">
        <v>308</v>
      </c>
    </row>
    <row r="20" spans="2:6">
      <c r="C20" t="s">
        <v>15</v>
      </c>
      <c r="D20"/>
      <c r="E20">
        <v>63667</v>
      </c>
      <c r="F20">
        <v>63667</v>
      </c>
    </row>
    <row r="21" spans="2:6">
      <c r="C21" t="s">
        <v>17</v>
      </c>
      <c r="D21"/>
      <c r="E21">
        <v>363</v>
      </c>
      <c r="F21">
        <v>363</v>
      </c>
    </row>
    <row r="22" spans="2:6">
      <c r="B22" t="s">
        <v>4439</v>
      </c>
      <c r="D22"/>
      <c r="E22">
        <v>64563</v>
      </c>
      <c r="F22">
        <v>64563</v>
      </c>
    </row>
    <row r="23" spans="2:6">
      <c r="B23" t="s">
        <v>10</v>
      </c>
      <c r="C23" t="s">
        <v>119</v>
      </c>
      <c r="D23"/>
      <c r="E23">
        <v>62</v>
      </c>
      <c r="F23">
        <v>62</v>
      </c>
    </row>
    <row r="24" spans="2:6">
      <c r="C24" t="s">
        <v>19</v>
      </c>
      <c r="D24"/>
      <c r="E24">
        <v>143</v>
      </c>
      <c r="F24">
        <v>143</v>
      </c>
    </row>
    <row r="25" spans="2:6">
      <c r="B25" t="s">
        <v>120</v>
      </c>
      <c r="D25"/>
      <c r="E25">
        <v>205</v>
      </c>
      <c r="F25">
        <v>205</v>
      </c>
    </row>
    <row r="26" spans="2:6">
      <c r="B26" t="s">
        <v>111</v>
      </c>
      <c r="D26"/>
      <c r="E26">
        <v>64768</v>
      </c>
      <c r="F26">
        <v>64768</v>
      </c>
    </row>
    <row r="27" spans="2:6">
      <c r="D27"/>
    </row>
    <row r="28" spans="2:6">
      <c r="D28"/>
    </row>
    <row r="29" spans="2:6">
      <c r="D29"/>
    </row>
    <row r="30" spans="2:6">
      <c r="D30"/>
    </row>
    <row r="31" spans="2:6">
      <c r="D31"/>
    </row>
    <row r="32" spans="2:6">
      <c r="D32"/>
    </row>
    <row r="33" spans="4:4">
      <c r="D33"/>
    </row>
    <row r="34" spans="4:4">
      <c r="D34"/>
    </row>
    <row r="35" spans="4:4">
      <c r="D35"/>
    </row>
    <row r="36" spans="4:4">
      <c r="D36"/>
    </row>
    <row r="37" spans="4:4">
      <c r="D37"/>
    </row>
    <row r="38" spans="4:4">
      <c r="D38"/>
    </row>
    <row r="39" spans="4:4">
      <c r="D39"/>
    </row>
    <row r="40" spans="4:4">
      <c r="D40"/>
    </row>
    <row r="41" spans="4:4">
      <c r="D41"/>
    </row>
    <row r="42" spans="4:4">
      <c r="D42"/>
    </row>
    <row r="43" spans="4:4">
      <c r="D43"/>
    </row>
    <row r="44" spans="4:4">
      <c r="D44"/>
    </row>
    <row r="45" spans="4:4">
      <c r="D45"/>
    </row>
    <row r="46" spans="4:4">
      <c r="D46"/>
    </row>
    <row r="47" spans="4:4">
      <c r="D47"/>
    </row>
    <row r="48" spans="4:4">
      <c r="D48"/>
    </row>
    <row r="49" spans="4:4">
      <c r="D49"/>
    </row>
    <row r="50" spans="4:4">
      <c r="D50"/>
    </row>
    <row r="51" spans="4:4">
      <c r="D51"/>
    </row>
    <row r="52" spans="4:4">
      <c r="D52"/>
    </row>
    <row r="53" spans="4:4">
      <c r="D53"/>
    </row>
    <row r="54" spans="4:4">
      <c r="D54"/>
    </row>
    <row r="55" spans="4:4">
      <c r="D55"/>
    </row>
    <row r="56" spans="4:4">
      <c r="D56"/>
    </row>
    <row r="57" spans="4:4">
      <c r="D57"/>
    </row>
    <row r="58" spans="4:4">
      <c r="D58"/>
    </row>
    <row r="59" spans="4:4">
      <c r="D59"/>
    </row>
    <row r="60" spans="4:4">
      <c r="D60"/>
    </row>
    <row r="61" spans="4:4">
      <c r="D61"/>
    </row>
    <row r="62" spans="4:4">
      <c r="D62"/>
    </row>
    <row r="63" spans="4:4">
      <c r="D63"/>
    </row>
    <row r="64" spans="4:4">
      <c r="D64"/>
    </row>
    <row r="65" spans="4:4">
      <c r="D65"/>
    </row>
    <row r="66" spans="4:4">
      <c r="D66"/>
    </row>
    <row r="67" spans="4:4">
      <c r="D67"/>
    </row>
    <row r="68" spans="4:4">
      <c r="D68"/>
    </row>
    <row r="69" spans="4:4">
      <c r="D69"/>
    </row>
    <row r="70" spans="4:4">
      <c r="D70"/>
    </row>
    <row r="71" spans="4:4">
      <c r="D71"/>
    </row>
    <row r="72" spans="4:4">
      <c r="D72"/>
    </row>
    <row r="73" spans="4:4">
      <c r="D73"/>
    </row>
    <row r="74" spans="4:4">
      <c r="D74"/>
    </row>
    <row r="75" spans="4:4">
      <c r="D75"/>
    </row>
    <row r="76" spans="4:4">
      <c r="D76"/>
    </row>
    <row r="77" spans="4:4">
      <c r="D77"/>
    </row>
    <row r="78" spans="4:4">
      <c r="D78"/>
    </row>
    <row r="79" spans="4:4">
      <c r="D79"/>
    </row>
    <row r="80" spans="4:4">
      <c r="D80"/>
    </row>
    <row r="81" spans="4:4">
      <c r="D81"/>
    </row>
    <row r="82" spans="4:4">
      <c r="D82"/>
    </row>
    <row r="83" spans="4:4">
      <c r="D83"/>
    </row>
    <row r="84" spans="4:4">
      <c r="D84"/>
    </row>
    <row r="85" spans="4:4">
      <c r="D85"/>
    </row>
    <row r="86" spans="4:4">
      <c r="D86"/>
    </row>
    <row r="87" spans="4:4">
      <c r="D87"/>
    </row>
    <row r="88" spans="4:4">
      <c r="D88"/>
    </row>
    <row r="89" spans="4:4">
      <c r="D89"/>
    </row>
    <row r="90" spans="4:4">
      <c r="D90"/>
    </row>
    <row r="91" spans="4:4">
      <c r="D91"/>
    </row>
    <row r="92" spans="4:4">
      <c r="D92"/>
    </row>
    <row r="93" spans="4:4">
      <c r="D93"/>
    </row>
    <row r="94" spans="4:4">
      <c r="D94"/>
    </row>
    <row r="95" spans="4:4">
      <c r="D95"/>
    </row>
    <row r="96" spans="4:4">
      <c r="D96"/>
    </row>
    <row r="97" spans="4:4">
      <c r="D97"/>
    </row>
    <row r="98" spans="4:4">
      <c r="D98"/>
    </row>
    <row r="99" spans="4:4">
      <c r="D99"/>
    </row>
    <row r="100" spans="4:4">
      <c r="D100"/>
    </row>
    <row r="101" spans="4:4">
      <c r="D101"/>
    </row>
    <row r="102" spans="4:4">
      <c r="D102"/>
    </row>
    <row r="103" spans="4:4">
      <c r="D103"/>
    </row>
    <row r="104" spans="4:4">
      <c r="D104"/>
    </row>
    <row r="105" spans="4:4">
      <c r="D105"/>
    </row>
    <row r="106" spans="4:4">
      <c r="D106"/>
    </row>
    <row r="107" spans="4:4">
      <c r="D107"/>
    </row>
    <row r="108" spans="4:4">
      <c r="D108"/>
    </row>
    <row r="109" spans="4:4">
      <c r="D109"/>
    </row>
    <row r="110" spans="4:4">
      <c r="D110"/>
    </row>
    <row r="111" spans="4:4">
      <c r="D111"/>
    </row>
    <row r="112" spans="4:4">
      <c r="D112"/>
    </row>
    <row r="113" spans="4:4">
      <c r="D113"/>
    </row>
    <row r="114" spans="4:4">
      <c r="D114"/>
    </row>
    <row r="115" spans="4:4">
      <c r="D115"/>
    </row>
    <row r="116" spans="4:4">
      <c r="D116"/>
    </row>
    <row r="117" spans="4:4">
      <c r="D117"/>
    </row>
    <row r="118" spans="4:4">
      <c r="D118"/>
    </row>
    <row r="119" spans="4:4">
      <c r="D119"/>
    </row>
    <row r="120" spans="4:4">
      <c r="D120"/>
    </row>
    <row r="121" spans="4:4">
      <c r="D121"/>
    </row>
    <row r="122" spans="4:4">
      <c r="D122"/>
    </row>
    <row r="123" spans="4:4">
      <c r="D123"/>
    </row>
    <row r="124" spans="4:4">
      <c r="D124"/>
    </row>
    <row r="125" spans="4:4">
      <c r="D125"/>
    </row>
    <row r="126" spans="4:4">
      <c r="D126"/>
    </row>
    <row r="127" spans="4:4">
      <c r="D127"/>
    </row>
    <row r="128" spans="4:4">
      <c r="D128"/>
    </row>
    <row r="129" spans="4:4">
      <c r="D129"/>
    </row>
    <row r="130" spans="4:4">
      <c r="D130"/>
    </row>
    <row r="131" spans="4:4">
      <c r="D131"/>
    </row>
    <row r="132" spans="4:4">
      <c r="D132"/>
    </row>
    <row r="133" spans="4:4">
      <c r="D133"/>
    </row>
    <row r="134" spans="4:4">
      <c r="D134"/>
    </row>
    <row r="135" spans="4:4">
      <c r="D135"/>
    </row>
    <row r="136" spans="4:4">
      <c r="D136"/>
    </row>
    <row r="137" spans="4:4">
      <c r="D137"/>
    </row>
    <row r="138" spans="4:4">
      <c r="D138"/>
    </row>
    <row r="139" spans="4:4">
      <c r="D139"/>
    </row>
    <row r="140" spans="4:4">
      <c r="D140"/>
    </row>
    <row r="141" spans="4:4">
      <c r="D141"/>
    </row>
    <row r="142" spans="4:4">
      <c r="D142"/>
    </row>
    <row r="143" spans="4:4">
      <c r="D143"/>
    </row>
    <row r="144" spans="4:4">
      <c r="D144"/>
    </row>
    <row r="145" spans="4:4">
      <c r="D145"/>
    </row>
    <row r="146" spans="4:4">
      <c r="D146"/>
    </row>
    <row r="147" spans="4:4">
      <c r="D147"/>
    </row>
    <row r="148" spans="4:4">
      <c r="D148"/>
    </row>
    <row r="149" spans="4:4">
      <c r="D149"/>
    </row>
    <row r="150" spans="4:4">
      <c r="D150"/>
    </row>
    <row r="151" spans="4:4">
      <c r="D151"/>
    </row>
    <row r="152" spans="4:4">
      <c r="D152"/>
    </row>
    <row r="153" spans="4:4">
      <c r="D153"/>
    </row>
    <row r="154" spans="4:4">
      <c r="D154"/>
    </row>
    <row r="155" spans="4:4">
      <c r="D155"/>
    </row>
    <row r="156" spans="4:4">
      <c r="D156"/>
    </row>
    <row r="157" spans="4:4">
      <c r="D157"/>
    </row>
    <row r="158" spans="4:4">
      <c r="D158"/>
    </row>
    <row r="159" spans="4:4">
      <c r="D159"/>
    </row>
    <row r="160" spans="4:4">
      <c r="D160"/>
    </row>
    <row r="161" spans="4:4">
      <c r="D161"/>
    </row>
    <row r="162" spans="4:4">
      <c r="D162"/>
    </row>
    <row r="163" spans="4:4">
      <c r="D163"/>
    </row>
    <row r="164" spans="4:4">
      <c r="D164"/>
    </row>
    <row r="165" spans="4:4">
      <c r="D165"/>
    </row>
    <row r="166" spans="4:4">
      <c r="D166"/>
    </row>
    <row r="167" spans="4:4">
      <c r="D167"/>
    </row>
    <row r="168" spans="4:4">
      <c r="D168"/>
    </row>
    <row r="169" spans="4:4">
      <c r="D169"/>
    </row>
    <row r="170" spans="4:4">
      <c r="D170"/>
    </row>
    <row r="171" spans="4:4">
      <c r="D171"/>
    </row>
    <row r="172" spans="4:4">
      <c r="D172"/>
    </row>
    <row r="173" spans="4:4">
      <c r="D173"/>
    </row>
    <row r="174" spans="4:4">
      <c r="D174"/>
    </row>
    <row r="175" spans="4:4">
      <c r="D175"/>
    </row>
    <row r="176" spans="4:4">
      <c r="D176"/>
    </row>
    <row r="177" spans="4:4">
      <c r="D177"/>
    </row>
    <row r="178" spans="4:4">
      <c r="D178"/>
    </row>
    <row r="179" spans="4:4">
      <c r="D179"/>
    </row>
    <row r="180" spans="4:4">
      <c r="D180"/>
    </row>
    <row r="181" spans="4:4">
      <c r="D181"/>
    </row>
    <row r="182" spans="4:4">
      <c r="D182"/>
    </row>
    <row r="183" spans="4:4">
      <c r="D183"/>
    </row>
    <row r="184" spans="4:4">
      <c r="D184"/>
    </row>
    <row r="185" spans="4:4">
      <c r="D185"/>
    </row>
    <row r="186" spans="4:4">
      <c r="D186"/>
    </row>
    <row r="187" spans="4:4">
      <c r="D187"/>
    </row>
    <row r="188" spans="4:4">
      <c r="D188"/>
    </row>
    <row r="189" spans="4:4">
      <c r="D189"/>
    </row>
    <row r="190" spans="4:4">
      <c r="D190"/>
    </row>
    <row r="191" spans="4:4">
      <c r="D191"/>
    </row>
    <row r="192" spans="4:4">
      <c r="D192"/>
    </row>
    <row r="193" spans="4:4">
      <c r="D193"/>
    </row>
    <row r="194" spans="4:4">
      <c r="D194"/>
    </row>
    <row r="195" spans="4:4">
      <c r="D195"/>
    </row>
    <row r="196" spans="4:4">
      <c r="D196"/>
    </row>
    <row r="197" spans="4:4">
      <c r="D197"/>
    </row>
    <row r="198" spans="4:4">
      <c r="D198"/>
    </row>
    <row r="199" spans="4:4">
      <c r="D199"/>
    </row>
    <row r="200" spans="4:4">
      <c r="D200"/>
    </row>
    <row r="201" spans="4:4">
      <c r="D201"/>
    </row>
    <row r="202" spans="4:4">
      <c r="D202"/>
    </row>
    <row r="203" spans="4:4">
      <c r="D203"/>
    </row>
    <row r="204" spans="4:4">
      <c r="D204"/>
    </row>
    <row r="205" spans="4:4">
      <c r="D205"/>
    </row>
    <row r="206" spans="4:4">
      <c r="D206"/>
    </row>
    <row r="207" spans="4:4">
      <c r="D207"/>
    </row>
    <row r="208" spans="4:4">
      <c r="D208"/>
    </row>
    <row r="209" spans="4:4">
      <c r="D209"/>
    </row>
    <row r="210" spans="4:4">
      <c r="D210"/>
    </row>
    <row r="211" spans="4:4">
      <c r="D211"/>
    </row>
    <row r="212" spans="4:4">
      <c r="D212"/>
    </row>
    <row r="213" spans="4:4">
      <c r="D213"/>
    </row>
    <row r="214" spans="4:4">
      <c r="D214"/>
    </row>
    <row r="215" spans="4:4">
      <c r="D215"/>
    </row>
    <row r="216" spans="4:4">
      <c r="D216"/>
    </row>
    <row r="217" spans="4:4">
      <c r="D217"/>
    </row>
    <row r="218" spans="4:4">
      <c r="D218"/>
    </row>
    <row r="219" spans="4:4">
      <c r="D219"/>
    </row>
    <row r="220" spans="4:4">
      <c r="D220"/>
    </row>
    <row r="221" spans="4:4">
      <c r="D221"/>
    </row>
    <row r="222" spans="4:4">
      <c r="D222"/>
    </row>
    <row r="223" spans="4:4">
      <c r="D223"/>
    </row>
    <row r="224" spans="4:4">
      <c r="D224"/>
    </row>
    <row r="225" spans="4:4">
      <c r="D225"/>
    </row>
    <row r="226" spans="4:4">
      <c r="D226"/>
    </row>
    <row r="227" spans="4:4">
      <c r="D227"/>
    </row>
    <row r="228" spans="4:4">
      <c r="D228"/>
    </row>
    <row r="229" spans="4:4">
      <c r="D229"/>
    </row>
    <row r="230" spans="4:4">
      <c r="D230"/>
    </row>
    <row r="231" spans="4:4">
      <c r="D231"/>
    </row>
    <row r="232" spans="4:4">
      <c r="D232"/>
    </row>
    <row r="233" spans="4:4">
      <c r="D233"/>
    </row>
    <row r="234" spans="4:4">
      <c r="D234"/>
    </row>
    <row r="235" spans="4:4">
      <c r="D235"/>
    </row>
    <row r="236" spans="4:4">
      <c r="D236"/>
    </row>
    <row r="237" spans="4:4">
      <c r="D237"/>
    </row>
    <row r="238" spans="4:4">
      <c r="D238"/>
    </row>
    <row r="239" spans="4:4">
      <c r="D239"/>
    </row>
    <row r="240" spans="4:4">
      <c r="D240"/>
    </row>
    <row r="241" spans="4:4">
      <c r="D241"/>
    </row>
    <row r="242" spans="4:4">
      <c r="D242"/>
    </row>
    <row r="243" spans="4:4">
      <c r="D243"/>
    </row>
    <row r="244" spans="4:4">
      <c r="D244"/>
    </row>
    <row r="245" spans="4:4">
      <c r="D245"/>
    </row>
    <row r="246" spans="4:4">
      <c r="D246"/>
    </row>
    <row r="247" spans="4:4">
      <c r="D247"/>
    </row>
    <row r="248" spans="4:4">
      <c r="D248"/>
    </row>
    <row r="249" spans="4:4">
      <c r="D249"/>
    </row>
    <row r="250" spans="4:4">
      <c r="D250"/>
    </row>
    <row r="251" spans="4:4">
      <c r="D251"/>
    </row>
    <row r="252" spans="4:4">
      <c r="D252"/>
    </row>
    <row r="253" spans="4:4">
      <c r="D253"/>
    </row>
    <row r="254" spans="4:4">
      <c r="D254"/>
    </row>
    <row r="255" spans="4:4">
      <c r="D255"/>
    </row>
    <row r="256" spans="4:4">
      <c r="D256"/>
    </row>
    <row r="257" spans="4:4">
      <c r="D257"/>
    </row>
    <row r="258" spans="4:4">
      <c r="D258"/>
    </row>
    <row r="259" spans="4:4">
      <c r="D259"/>
    </row>
    <row r="260" spans="4:4">
      <c r="D260"/>
    </row>
    <row r="261" spans="4:4">
      <c r="D261"/>
    </row>
    <row r="262" spans="4:4">
      <c r="D262"/>
    </row>
    <row r="263" spans="4:4">
      <c r="D263"/>
    </row>
    <row r="264" spans="4:4">
      <c r="D264"/>
    </row>
    <row r="265" spans="4:4">
      <c r="D265"/>
    </row>
    <row r="266" spans="4:4">
      <c r="D266"/>
    </row>
    <row r="267" spans="4:4">
      <c r="D267"/>
    </row>
    <row r="268" spans="4:4">
      <c r="D268"/>
    </row>
    <row r="269" spans="4:4">
      <c r="D269"/>
    </row>
    <row r="270" spans="4:4">
      <c r="D270"/>
    </row>
    <row r="271" spans="4:4">
      <c r="D271"/>
    </row>
    <row r="272" spans="4:4">
      <c r="D272"/>
    </row>
    <row r="273" spans="4:4">
      <c r="D273"/>
    </row>
    <row r="274" spans="4:4">
      <c r="D274"/>
    </row>
    <row r="275" spans="4:4">
      <c r="D275"/>
    </row>
    <row r="276" spans="4:4">
      <c r="D276"/>
    </row>
    <row r="277" spans="4:4">
      <c r="D277"/>
    </row>
    <row r="278" spans="4:4">
      <c r="D278"/>
    </row>
    <row r="279" spans="4:4">
      <c r="D279"/>
    </row>
    <row r="280" spans="4:4">
      <c r="D280"/>
    </row>
    <row r="281" spans="4:4">
      <c r="D281"/>
    </row>
    <row r="282" spans="4:4">
      <c r="D282"/>
    </row>
    <row r="283" spans="4:4">
      <c r="D283"/>
    </row>
    <row r="284" spans="4:4">
      <c r="D284"/>
    </row>
    <row r="285" spans="4:4">
      <c r="D285"/>
    </row>
    <row r="286" spans="4:4">
      <c r="D286"/>
    </row>
    <row r="287" spans="4:4">
      <c r="D287"/>
    </row>
    <row r="288" spans="4:4">
      <c r="D288"/>
    </row>
    <row r="289" spans="4:4">
      <c r="D289"/>
    </row>
    <row r="290" spans="4:4">
      <c r="D290"/>
    </row>
    <row r="291" spans="4:4">
      <c r="D291"/>
    </row>
    <row r="292" spans="4:4">
      <c r="D292"/>
    </row>
    <row r="293" spans="4:4">
      <c r="D293"/>
    </row>
    <row r="294" spans="4:4">
      <c r="D294"/>
    </row>
    <row r="295" spans="4:4">
      <c r="D295"/>
    </row>
    <row r="296" spans="4:4">
      <c r="D296"/>
    </row>
    <row r="297" spans="4:4">
      <c r="D297"/>
    </row>
    <row r="298" spans="4:4">
      <c r="D298"/>
    </row>
    <row r="299" spans="4:4">
      <c r="D299"/>
    </row>
    <row r="300" spans="4:4">
      <c r="D300"/>
    </row>
    <row r="301" spans="4:4">
      <c r="D301"/>
    </row>
    <row r="302" spans="4:4">
      <c r="D302"/>
    </row>
    <row r="303" spans="4:4">
      <c r="D303"/>
    </row>
    <row r="304" spans="4:4">
      <c r="D304"/>
    </row>
    <row r="305" spans="4:4">
      <c r="D305"/>
    </row>
    <row r="306" spans="4:4">
      <c r="D306"/>
    </row>
    <row r="307" spans="4:4">
      <c r="D307"/>
    </row>
    <row r="308" spans="4:4">
      <c r="D308"/>
    </row>
    <row r="309" spans="4:4">
      <c r="D309"/>
    </row>
    <row r="310" spans="4:4">
      <c r="D310"/>
    </row>
    <row r="311" spans="4:4">
      <c r="D311"/>
    </row>
    <row r="312" spans="4:4">
      <c r="D312"/>
    </row>
    <row r="313" spans="4:4">
      <c r="D313"/>
    </row>
    <row r="314" spans="4:4">
      <c r="D314"/>
    </row>
    <row r="315" spans="4:4">
      <c r="D315"/>
    </row>
    <row r="316" spans="4:4">
      <c r="D316"/>
    </row>
    <row r="317" spans="4:4">
      <c r="D317"/>
    </row>
    <row r="318" spans="4:4">
      <c r="D318"/>
    </row>
    <row r="319" spans="4:4">
      <c r="D319"/>
    </row>
    <row r="320" spans="4:4">
      <c r="D320"/>
    </row>
    <row r="321" spans="4:4">
      <c r="D321"/>
    </row>
    <row r="322" spans="4:4">
      <c r="D322"/>
    </row>
    <row r="323" spans="4:4">
      <c r="D323"/>
    </row>
    <row r="324" spans="4:4">
      <c r="D324"/>
    </row>
    <row r="325" spans="4:4">
      <c r="D325"/>
    </row>
    <row r="326" spans="4:4">
      <c r="D326"/>
    </row>
    <row r="327" spans="4:4">
      <c r="D327"/>
    </row>
    <row r="328" spans="4:4">
      <c r="D328"/>
    </row>
    <row r="329" spans="4:4">
      <c r="D329"/>
    </row>
    <row r="330" spans="4:4">
      <c r="D330"/>
    </row>
    <row r="331" spans="4:4">
      <c r="D331"/>
    </row>
    <row r="332" spans="4:4">
      <c r="D332"/>
    </row>
    <row r="333" spans="4:4">
      <c r="D333"/>
    </row>
    <row r="334" spans="4:4">
      <c r="D334"/>
    </row>
    <row r="335" spans="4:4">
      <c r="D335"/>
    </row>
    <row r="336" spans="4:4">
      <c r="D336"/>
    </row>
    <row r="337" spans="4:4">
      <c r="D337"/>
    </row>
    <row r="338" spans="4:4">
      <c r="D338"/>
    </row>
    <row r="339" spans="4:4">
      <c r="D339"/>
    </row>
    <row r="340" spans="4:4">
      <c r="D340"/>
    </row>
    <row r="341" spans="4:4">
      <c r="D341"/>
    </row>
    <row r="342" spans="4:4">
      <c r="D342"/>
    </row>
  </sheetData>
  <pageMargins left="0.25" right="0.25" top="0.75" bottom="0.75" header="0.3" footer="0.3"/>
  <pageSetup paperSize="8" scale="65" fitToWidth="2" fitToHeight="2" orientation="landscape"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DAD51-0B65-4652-BA40-05ACCAC282B1}">
  <dimension ref="B6:J1529"/>
  <sheetViews>
    <sheetView zoomScale="85" zoomScaleNormal="85" workbookViewId="0">
      <pane xSplit="5" ySplit="17" topLeftCell="F18" activePane="bottomRight" state="frozen"/>
      <selection pane="topRight" activeCell="F1" sqref="F1"/>
      <selection pane="bottomLeft" activeCell="A18" sqref="A18"/>
      <selection pane="bottomRight" activeCell="C19" sqref="C19"/>
    </sheetView>
  </sheetViews>
  <sheetFormatPr defaultRowHeight="15"/>
  <cols>
    <col min="2" max="2" width="21.85546875" bestFit="1" customWidth="1"/>
    <col min="3" max="3" width="22.42578125" bestFit="1" customWidth="1"/>
    <col min="4" max="4" width="14.5703125" style="70" bestFit="1" customWidth="1"/>
    <col min="5" max="6" width="12.140625" bestFit="1" customWidth="1"/>
    <col min="7" max="7" width="14.7109375" bestFit="1" customWidth="1"/>
    <col min="8" max="8" width="16.7109375" bestFit="1" customWidth="1"/>
    <col min="9" max="9" width="15.140625" bestFit="1" customWidth="1"/>
    <col min="10" max="10" width="17.28515625" bestFit="1" customWidth="1"/>
    <col min="11" max="42" width="12.140625" bestFit="1" customWidth="1"/>
    <col min="43" max="43" width="13.7109375" bestFit="1" customWidth="1"/>
    <col min="44" max="44" width="15.7109375" bestFit="1" customWidth="1"/>
    <col min="45" max="45" width="14.7109375" bestFit="1" customWidth="1"/>
    <col min="46" max="46" width="16.7109375" bestFit="1" customWidth="1"/>
    <col min="47" max="47" width="15.140625" bestFit="1" customWidth="1"/>
    <col min="48" max="48" width="17.28515625" bestFit="1" customWidth="1"/>
    <col min="49" max="49" width="15.140625" bestFit="1" customWidth="1"/>
    <col min="50" max="50" width="17.28515625" bestFit="1" customWidth="1"/>
    <col min="51" max="52" width="12.140625" bestFit="1" customWidth="1"/>
    <col min="53" max="53" width="13.7109375" bestFit="1" customWidth="1"/>
    <col min="54" max="54" width="15.7109375" bestFit="1" customWidth="1"/>
    <col min="55" max="55" width="14.7109375" bestFit="1" customWidth="1"/>
    <col min="56" max="56" width="16.7109375" bestFit="1" customWidth="1"/>
    <col min="57" max="57" width="15.140625" bestFit="1" customWidth="1"/>
    <col min="58" max="58" width="17.28515625" bestFit="1" customWidth="1"/>
    <col min="59" max="62" width="12.140625" bestFit="1" customWidth="1"/>
    <col min="63" max="63" width="13.140625" bestFit="1" customWidth="1"/>
    <col min="64" max="64" width="15.140625" bestFit="1" customWidth="1"/>
    <col min="65" max="70" width="12.140625" bestFit="1" customWidth="1"/>
    <col min="71" max="71" width="14.7109375" bestFit="1" customWidth="1"/>
    <col min="72" max="72" width="16.7109375" bestFit="1" customWidth="1"/>
    <col min="73" max="73" width="15.140625" bestFit="1" customWidth="1"/>
    <col min="74" max="74" width="17.28515625" bestFit="1" customWidth="1"/>
    <col min="75" max="76" width="6.85546875" bestFit="1" customWidth="1"/>
    <col min="77" max="77" width="9" bestFit="1" customWidth="1"/>
    <col min="78" max="96" width="7.5703125" bestFit="1" customWidth="1"/>
    <col min="97" max="97" width="9.7109375" bestFit="1" customWidth="1"/>
    <col min="98" max="117" width="6.7109375" bestFit="1" customWidth="1"/>
    <col min="118" max="118" width="8.85546875" bestFit="1" customWidth="1"/>
    <col min="119" max="127" width="6.140625" bestFit="1" customWidth="1"/>
    <col min="128" max="128" width="8.28515625" bestFit="1" customWidth="1"/>
    <col min="129" max="129" width="9.85546875" bestFit="1" customWidth="1"/>
    <col min="130" max="130" width="11.28515625" bestFit="1" customWidth="1"/>
    <col min="131" max="133" width="6.7109375" bestFit="1" customWidth="1"/>
    <col min="134" max="134" width="8.85546875" bestFit="1" customWidth="1"/>
    <col min="135" max="143" width="6.140625" bestFit="1" customWidth="1"/>
    <col min="144" max="144" width="8.28515625" bestFit="1" customWidth="1"/>
    <col min="145" max="145" width="9.85546875" bestFit="1" customWidth="1"/>
    <col min="146" max="146" width="11.28515625" bestFit="1" customWidth="1"/>
    <col min="147" max="157" width="6.7109375" bestFit="1" customWidth="1"/>
    <col min="158" max="158" width="8.85546875" bestFit="1" customWidth="1"/>
    <col min="159" max="174" width="7.28515625" bestFit="1" customWidth="1"/>
    <col min="175" max="175" width="9.42578125" bestFit="1" customWidth="1"/>
    <col min="176" max="188" width="7" bestFit="1" customWidth="1"/>
    <col min="189" max="189" width="9.140625" bestFit="1" customWidth="1"/>
    <col min="190" max="190" width="9.85546875" bestFit="1" customWidth="1"/>
    <col min="191" max="206" width="6.85546875" bestFit="1" customWidth="1"/>
    <col min="207" max="207" width="8.7109375" bestFit="1" customWidth="1"/>
    <col min="208" max="228" width="7" bestFit="1" customWidth="1"/>
    <col min="229" max="229" width="9.140625" bestFit="1" customWidth="1"/>
    <col min="230" max="253" width="7.28515625" bestFit="1" customWidth="1"/>
    <col min="254" max="254" width="9.42578125" bestFit="1" customWidth="1"/>
    <col min="255" max="274" width="6.85546875" bestFit="1" customWidth="1"/>
    <col min="275" max="275" width="9" bestFit="1" customWidth="1"/>
    <col min="276" max="294" width="7.5703125" bestFit="1" customWidth="1"/>
    <col min="295" max="295" width="9.7109375" bestFit="1" customWidth="1"/>
    <col min="296" max="315" width="6.7109375" bestFit="1" customWidth="1"/>
    <col min="316" max="316" width="8.85546875" bestFit="1" customWidth="1"/>
    <col min="317" max="325" width="6.140625" bestFit="1" customWidth="1"/>
    <col min="326" max="326" width="8.28515625" bestFit="1" customWidth="1"/>
    <col min="327" max="327" width="9.85546875" bestFit="1" customWidth="1"/>
    <col min="328" max="328" width="11.28515625" bestFit="1" customWidth="1"/>
    <col min="329" max="329" width="9.85546875" bestFit="1" customWidth="1"/>
    <col min="330" max="330" width="11.28515625" bestFit="1" customWidth="1"/>
    <col min="331" max="340" width="11.5703125" bestFit="1" customWidth="1"/>
    <col min="341" max="341" width="7.85546875" bestFit="1" customWidth="1"/>
    <col min="342" max="342" width="14.7109375" bestFit="1" customWidth="1"/>
    <col min="343" max="351" width="11.5703125" bestFit="1" customWidth="1"/>
    <col min="352" max="352" width="7.85546875" bestFit="1" customWidth="1"/>
    <col min="353" max="353" width="14.7109375" bestFit="1" customWidth="1"/>
    <col min="354" max="357" width="11.5703125" bestFit="1" customWidth="1"/>
    <col min="358" max="358" width="7.85546875" bestFit="1" customWidth="1"/>
    <col min="359" max="359" width="14.7109375" bestFit="1" customWidth="1"/>
    <col min="360" max="361" width="10.5703125" bestFit="1" customWidth="1"/>
    <col min="362" max="362" width="7.85546875" bestFit="1" customWidth="1"/>
    <col min="363" max="363" width="13.7109375" bestFit="1" customWidth="1"/>
    <col min="364" max="379" width="10.5703125" bestFit="1" customWidth="1"/>
    <col min="380" max="380" width="7.85546875" bestFit="1" customWidth="1"/>
    <col min="381" max="381" width="13.7109375" bestFit="1" customWidth="1"/>
    <col min="382" max="390" width="10.5703125" bestFit="1" customWidth="1"/>
    <col min="391" max="391" width="7.85546875" bestFit="1" customWidth="1"/>
    <col min="392" max="392" width="13.7109375" bestFit="1" customWidth="1"/>
    <col min="393" max="395" width="11.5703125" bestFit="1" customWidth="1"/>
    <col min="396" max="396" width="7.85546875" bestFit="1" customWidth="1"/>
    <col min="397" max="397" width="14.7109375" bestFit="1" customWidth="1"/>
    <col min="398" max="413" width="11.5703125" bestFit="1" customWidth="1"/>
    <col min="414" max="414" width="7.85546875" bestFit="1" customWidth="1"/>
    <col min="415" max="415" width="14.7109375" bestFit="1" customWidth="1"/>
    <col min="416" max="420" width="11.5703125" bestFit="1" customWidth="1"/>
    <col min="421" max="421" width="7.85546875" bestFit="1" customWidth="1"/>
    <col min="422" max="422" width="14.7109375" bestFit="1" customWidth="1"/>
    <col min="423" max="432" width="11.5703125" bestFit="1" customWidth="1"/>
    <col min="433" max="433" width="7.85546875" bestFit="1" customWidth="1"/>
    <col min="434" max="434" width="14.7109375" bestFit="1" customWidth="1"/>
    <col min="435" max="441" width="11.5703125" bestFit="1" customWidth="1"/>
    <col min="442" max="442" width="7.85546875" bestFit="1" customWidth="1"/>
    <col min="443" max="443" width="14.7109375" bestFit="1" customWidth="1"/>
    <col min="444" max="450" width="11.5703125" bestFit="1" customWidth="1"/>
    <col min="451" max="451" width="7.85546875" bestFit="1" customWidth="1"/>
    <col min="452" max="452" width="14.7109375" bestFit="1" customWidth="1"/>
    <col min="453" max="455" width="11.5703125" bestFit="1" customWidth="1"/>
    <col min="456" max="456" width="7.85546875" bestFit="1" customWidth="1"/>
    <col min="457" max="457" width="14.7109375" bestFit="1" customWidth="1"/>
    <col min="458" max="465" width="11.5703125" bestFit="1" customWidth="1"/>
    <col min="466" max="466" width="7.85546875" bestFit="1" customWidth="1"/>
    <col min="467" max="467" width="14.7109375" bestFit="1" customWidth="1"/>
    <col min="468" max="477" width="11.5703125" bestFit="1" customWidth="1"/>
    <col min="478" max="478" width="7.85546875" bestFit="1" customWidth="1"/>
    <col min="479" max="479" width="14.7109375" bestFit="1" customWidth="1"/>
    <col min="480" max="485" width="11.5703125" bestFit="1" customWidth="1"/>
    <col min="486" max="486" width="7.85546875" bestFit="1" customWidth="1"/>
    <col min="487" max="487" width="14.7109375" bestFit="1" customWidth="1"/>
    <col min="488" max="495" width="11.5703125" bestFit="1" customWidth="1"/>
    <col min="496" max="496" width="7.85546875" bestFit="1" customWidth="1"/>
    <col min="497" max="497" width="14.7109375" bestFit="1" customWidth="1"/>
    <col min="498" max="500" width="10.5703125" bestFit="1" customWidth="1"/>
    <col min="501" max="501" width="7.85546875" bestFit="1" customWidth="1"/>
    <col min="502" max="502" width="13.7109375" bestFit="1" customWidth="1"/>
    <col min="503" max="508" width="10.5703125" bestFit="1" customWidth="1"/>
    <col min="509" max="509" width="7.85546875" bestFit="1" customWidth="1"/>
    <col min="510" max="510" width="13.7109375" bestFit="1" customWidth="1"/>
    <col min="511" max="513" width="10.5703125" bestFit="1" customWidth="1"/>
    <col min="514" max="514" width="7.85546875" bestFit="1" customWidth="1"/>
    <col min="515" max="515" width="13.7109375" bestFit="1" customWidth="1"/>
    <col min="516" max="532" width="10.5703125" bestFit="1" customWidth="1"/>
    <col min="533" max="533" width="7.85546875" bestFit="1" customWidth="1"/>
    <col min="534" max="534" width="13.7109375" bestFit="1" customWidth="1"/>
    <col min="535" max="538" width="10.5703125" bestFit="1" customWidth="1"/>
    <col min="539" max="539" width="7.85546875" bestFit="1" customWidth="1"/>
    <col min="540" max="540" width="13.7109375" bestFit="1" customWidth="1"/>
    <col min="541" max="541" width="10.5703125" bestFit="1" customWidth="1"/>
    <col min="542" max="542" width="7.85546875" bestFit="1" customWidth="1"/>
    <col min="543" max="543" width="13.7109375" bestFit="1" customWidth="1"/>
    <col min="544" max="561" width="10.5703125" bestFit="1" customWidth="1"/>
    <col min="562" max="562" width="7.85546875" bestFit="1" customWidth="1"/>
    <col min="563" max="563" width="13.7109375" bestFit="1" customWidth="1"/>
    <col min="564" max="578" width="11.5703125" bestFit="1" customWidth="1"/>
    <col min="579" max="579" width="7.85546875" bestFit="1" customWidth="1"/>
    <col min="580" max="580" width="14.7109375" bestFit="1" customWidth="1"/>
    <col min="581" max="584" width="11.5703125" bestFit="1" customWidth="1"/>
    <col min="585" max="585" width="7.85546875" bestFit="1" customWidth="1"/>
    <col min="586" max="586" width="14.7109375" bestFit="1" customWidth="1"/>
    <col min="587" max="594" width="11.5703125" bestFit="1" customWidth="1"/>
    <col min="595" max="595" width="7.85546875" bestFit="1" customWidth="1"/>
    <col min="596" max="596" width="14.7109375" bestFit="1" customWidth="1"/>
    <col min="597" max="597" width="11.5703125" bestFit="1" customWidth="1"/>
    <col min="598" max="598" width="7.85546875" bestFit="1" customWidth="1"/>
    <col min="599" max="599" width="14.7109375" bestFit="1" customWidth="1"/>
    <col min="600" max="604" width="11.5703125" bestFit="1" customWidth="1"/>
    <col min="605" max="605" width="7.85546875" bestFit="1" customWidth="1"/>
    <col min="606" max="606" width="14.7109375" bestFit="1" customWidth="1"/>
    <col min="607" max="607" width="11.5703125" bestFit="1" customWidth="1"/>
    <col min="608" max="608" width="7.85546875" bestFit="1" customWidth="1"/>
    <col min="609" max="609" width="14.7109375" bestFit="1" customWidth="1"/>
    <col min="610" max="610" width="11.5703125" bestFit="1" customWidth="1"/>
    <col min="611" max="611" width="7.85546875" bestFit="1" customWidth="1"/>
    <col min="612" max="612" width="14.7109375" bestFit="1" customWidth="1"/>
    <col min="613" max="614" width="11.5703125" bestFit="1" customWidth="1"/>
    <col min="615" max="615" width="7.85546875" bestFit="1" customWidth="1"/>
    <col min="616" max="616" width="14.7109375" bestFit="1" customWidth="1"/>
    <col min="617" max="620" width="11.5703125" bestFit="1" customWidth="1"/>
    <col min="621" max="621" width="7.85546875" bestFit="1" customWidth="1"/>
    <col min="622" max="622" width="14.7109375" bestFit="1" customWidth="1"/>
    <col min="623" max="626" width="11.5703125" bestFit="1" customWidth="1"/>
    <col min="627" max="627" width="7.85546875" bestFit="1" customWidth="1"/>
    <col min="628" max="628" width="14.7109375" bestFit="1" customWidth="1"/>
    <col min="629" max="635" width="11.5703125" bestFit="1" customWidth="1"/>
    <col min="636" max="636" width="7.85546875" bestFit="1" customWidth="1"/>
    <col min="637" max="637" width="14.7109375" bestFit="1" customWidth="1"/>
    <col min="638" max="640" width="11.5703125" bestFit="1" customWidth="1"/>
    <col min="641" max="641" width="7.85546875" bestFit="1" customWidth="1"/>
    <col min="642" max="642" width="14.7109375" bestFit="1" customWidth="1"/>
    <col min="643" max="653" width="11.5703125" bestFit="1" customWidth="1"/>
    <col min="654" max="654" width="7.85546875" bestFit="1" customWidth="1"/>
    <col min="655" max="655" width="14.7109375" bestFit="1" customWidth="1"/>
    <col min="656" max="660" width="11.5703125" bestFit="1" customWidth="1"/>
    <col min="661" max="661" width="7.85546875" bestFit="1" customWidth="1"/>
    <col min="662" max="662" width="14.7109375" bestFit="1" customWidth="1"/>
    <col min="663" max="671" width="11.5703125" bestFit="1" customWidth="1"/>
    <col min="672" max="672" width="7.85546875" bestFit="1" customWidth="1"/>
    <col min="673" max="673" width="14.7109375" bestFit="1" customWidth="1"/>
    <col min="674" max="674" width="10.5703125" bestFit="1" customWidth="1"/>
    <col min="675" max="675" width="7.85546875" bestFit="1" customWidth="1"/>
    <col min="676" max="676" width="13.7109375" bestFit="1" customWidth="1"/>
    <col min="677" max="678" width="10.5703125" bestFit="1" customWidth="1"/>
    <col min="679" max="679" width="7.85546875" bestFit="1" customWidth="1"/>
    <col min="680" max="680" width="13.7109375" bestFit="1" customWidth="1"/>
    <col min="681" max="688" width="10.5703125" bestFit="1" customWidth="1"/>
    <col min="689" max="689" width="7.85546875" bestFit="1" customWidth="1"/>
    <col min="690" max="690" width="13.7109375" bestFit="1" customWidth="1"/>
    <col min="691" max="692" width="10.5703125" bestFit="1" customWidth="1"/>
    <col min="693" max="693" width="7.85546875" bestFit="1" customWidth="1"/>
    <col min="694" max="694" width="13.7109375" bestFit="1" customWidth="1"/>
    <col min="695" max="696" width="10.5703125" bestFit="1" customWidth="1"/>
    <col min="697" max="697" width="7.85546875" bestFit="1" customWidth="1"/>
    <col min="698" max="698" width="13.7109375" bestFit="1" customWidth="1"/>
    <col min="699" max="700" width="10.5703125" bestFit="1" customWidth="1"/>
    <col min="701" max="701" width="7.85546875" bestFit="1" customWidth="1"/>
    <col min="702" max="702" width="13.7109375" bestFit="1" customWidth="1"/>
    <col min="703" max="705" width="11.5703125" bestFit="1" customWidth="1"/>
    <col min="706" max="706" width="7.85546875" bestFit="1" customWidth="1"/>
    <col min="707" max="707" width="14.7109375" bestFit="1" customWidth="1"/>
    <col min="708" max="709" width="11.5703125" bestFit="1" customWidth="1"/>
    <col min="710" max="710" width="7.85546875" bestFit="1" customWidth="1"/>
    <col min="711" max="711" width="14.7109375" bestFit="1" customWidth="1"/>
    <col min="712" max="718" width="11.5703125" bestFit="1" customWidth="1"/>
    <col min="719" max="719" width="7.85546875" bestFit="1" customWidth="1"/>
    <col min="720" max="720" width="14.7109375" bestFit="1" customWidth="1"/>
    <col min="721" max="727" width="11.5703125" bestFit="1" customWidth="1"/>
    <col min="728" max="728" width="7.85546875" bestFit="1" customWidth="1"/>
    <col min="729" max="729" width="14.7109375" bestFit="1" customWidth="1"/>
    <col min="730" max="772" width="11.5703125" bestFit="1" customWidth="1"/>
    <col min="773" max="773" width="7.85546875" bestFit="1" customWidth="1"/>
    <col min="774" max="774" width="14.7109375" bestFit="1" customWidth="1"/>
    <col min="775" max="776" width="11.5703125" bestFit="1" customWidth="1"/>
    <col min="777" max="777" width="7.85546875" bestFit="1" customWidth="1"/>
    <col min="778" max="778" width="14.7109375" bestFit="1" customWidth="1"/>
    <col min="779" max="780" width="11.5703125" bestFit="1" customWidth="1"/>
    <col min="781" max="781" width="7.85546875" bestFit="1" customWidth="1"/>
    <col min="782" max="782" width="14.7109375" bestFit="1" customWidth="1"/>
    <col min="783" max="787" width="11.5703125" bestFit="1" customWidth="1"/>
    <col min="788" max="788" width="7.85546875" bestFit="1" customWidth="1"/>
    <col min="789" max="789" width="14.7109375" bestFit="1" customWidth="1"/>
    <col min="790" max="790" width="11.5703125" bestFit="1" customWidth="1"/>
    <col min="791" max="791" width="7.85546875" bestFit="1" customWidth="1"/>
    <col min="792" max="792" width="14.7109375" bestFit="1" customWidth="1"/>
    <col min="793" max="793" width="11.5703125" bestFit="1" customWidth="1"/>
    <col min="794" max="794" width="7.85546875" bestFit="1" customWidth="1"/>
    <col min="795" max="795" width="14.7109375" bestFit="1" customWidth="1"/>
    <col min="796" max="803" width="11.5703125" bestFit="1" customWidth="1"/>
    <col min="804" max="804" width="7.85546875" bestFit="1" customWidth="1"/>
    <col min="805" max="805" width="14.7109375" bestFit="1" customWidth="1"/>
    <col min="806" max="807" width="11.5703125" bestFit="1" customWidth="1"/>
    <col min="808" max="808" width="7.85546875" bestFit="1" customWidth="1"/>
    <col min="809" max="809" width="14.7109375" bestFit="1" customWidth="1"/>
    <col min="810" max="855" width="11.5703125" bestFit="1" customWidth="1"/>
    <col min="856" max="856" width="7.85546875" bestFit="1" customWidth="1"/>
    <col min="857" max="857" width="14.7109375" bestFit="1" customWidth="1"/>
    <col min="858" max="861" width="11.5703125" bestFit="1" customWidth="1"/>
    <col min="862" max="862" width="7.85546875" bestFit="1" customWidth="1"/>
    <col min="863" max="863" width="14.7109375" bestFit="1" customWidth="1"/>
    <col min="864" max="866" width="10.5703125" bestFit="1" customWidth="1"/>
    <col min="867" max="867" width="7.85546875" bestFit="1" customWidth="1"/>
    <col min="868" max="868" width="13.7109375" bestFit="1" customWidth="1"/>
    <col min="869" max="870" width="10.5703125" bestFit="1" customWidth="1"/>
    <col min="871" max="871" width="7.85546875" bestFit="1" customWidth="1"/>
    <col min="872" max="872" width="13.7109375" bestFit="1" customWidth="1"/>
    <col min="873" max="874" width="10.5703125" bestFit="1" customWidth="1"/>
    <col min="875" max="875" width="7.85546875" bestFit="1" customWidth="1"/>
    <col min="876" max="876" width="13.7109375" bestFit="1" customWidth="1"/>
    <col min="877" max="891" width="10.7109375" bestFit="1" customWidth="1"/>
    <col min="892" max="892" width="7.85546875" bestFit="1" customWidth="1"/>
    <col min="893" max="893" width="13.7109375" bestFit="1" customWidth="1"/>
    <col min="894" max="894" width="10.5703125" bestFit="1" customWidth="1"/>
    <col min="895" max="895" width="7.85546875" bestFit="1" customWidth="1"/>
    <col min="896" max="896" width="13.7109375" bestFit="1" customWidth="1"/>
    <col min="897" max="898" width="10.5703125" bestFit="1" customWidth="1"/>
    <col min="899" max="899" width="7.85546875" bestFit="1" customWidth="1"/>
    <col min="900" max="900" width="13.7109375" bestFit="1" customWidth="1"/>
    <col min="901" max="904" width="11.5703125" bestFit="1" customWidth="1"/>
    <col min="905" max="905" width="7.85546875" bestFit="1" customWidth="1"/>
    <col min="906" max="906" width="14.7109375" bestFit="1" customWidth="1"/>
    <col min="907" max="909" width="11.5703125" bestFit="1" customWidth="1"/>
    <col min="910" max="910" width="7.85546875" bestFit="1" customWidth="1"/>
    <col min="911" max="911" width="14.7109375" bestFit="1" customWidth="1"/>
    <col min="912" max="912" width="11.5703125" bestFit="1" customWidth="1"/>
    <col min="913" max="913" width="7.85546875" bestFit="1" customWidth="1"/>
    <col min="914" max="914" width="14.7109375" bestFit="1" customWidth="1"/>
    <col min="915" max="916" width="11.5703125" bestFit="1" customWidth="1"/>
    <col min="917" max="917" width="7.85546875" bestFit="1" customWidth="1"/>
    <col min="918" max="918" width="14.7109375" bestFit="1" customWidth="1"/>
    <col min="919" max="919" width="11.5703125" bestFit="1" customWidth="1"/>
    <col min="920" max="920" width="7.85546875" bestFit="1" customWidth="1"/>
    <col min="921" max="921" width="14.7109375" bestFit="1" customWidth="1"/>
    <col min="922" max="925" width="11.5703125" bestFit="1" customWidth="1"/>
    <col min="926" max="926" width="7.85546875" bestFit="1" customWidth="1"/>
    <col min="927" max="927" width="14.7109375" bestFit="1" customWidth="1"/>
    <col min="928" max="929" width="11.5703125" bestFit="1" customWidth="1"/>
    <col min="930" max="930" width="7.85546875" bestFit="1" customWidth="1"/>
    <col min="931" max="931" width="14.7109375" bestFit="1" customWidth="1"/>
    <col min="932" max="932" width="11.5703125" bestFit="1" customWidth="1"/>
    <col min="933" max="933" width="7.85546875" bestFit="1" customWidth="1"/>
    <col min="934" max="934" width="14.7109375" bestFit="1" customWidth="1"/>
    <col min="935" max="936" width="11.5703125" bestFit="1" customWidth="1"/>
    <col min="937" max="937" width="7.85546875" bestFit="1" customWidth="1"/>
    <col min="938" max="938" width="14.7109375" bestFit="1" customWidth="1"/>
    <col min="939" max="939" width="11.5703125" bestFit="1" customWidth="1"/>
    <col min="940" max="940" width="7.85546875" bestFit="1" customWidth="1"/>
    <col min="941" max="941" width="14.7109375" bestFit="1" customWidth="1"/>
    <col min="942" max="942" width="11.5703125" bestFit="1" customWidth="1"/>
    <col min="943" max="943" width="7.85546875" bestFit="1" customWidth="1"/>
    <col min="944" max="944" width="14.7109375" bestFit="1" customWidth="1"/>
    <col min="945" max="945" width="11.5703125" bestFit="1" customWidth="1"/>
    <col min="946" max="946" width="7.85546875" bestFit="1" customWidth="1"/>
    <col min="947" max="947" width="14.7109375" bestFit="1" customWidth="1"/>
    <col min="948" max="948" width="11.5703125" bestFit="1" customWidth="1"/>
    <col min="949" max="949" width="7.85546875" bestFit="1" customWidth="1"/>
    <col min="950" max="950" width="14.7109375" bestFit="1" customWidth="1"/>
    <col min="951" max="956" width="11.5703125" bestFit="1" customWidth="1"/>
    <col min="957" max="957" width="7.85546875" bestFit="1" customWidth="1"/>
    <col min="958" max="958" width="14.7109375" bestFit="1" customWidth="1"/>
    <col min="959" max="959" width="11.5703125" bestFit="1" customWidth="1"/>
    <col min="960" max="960" width="7.85546875" bestFit="1" customWidth="1"/>
    <col min="961" max="961" width="14.7109375" bestFit="1" customWidth="1"/>
    <col min="962" max="962" width="11.5703125" bestFit="1" customWidth="1"/>
    <col min="963" max="963" width="7.85546875" bestFit="1" customWidth="1"/>
    <col min="964" max="964" width="14.7109375" bestFit="1" customWidth="1"/>
    <col min="965" max="970" width="11.5703125" bestFit="1" customWidth="1"/>
    <col min="971" max="971" width="7.85546875" bestFit="1" customWidth="1"/>
    <col min="972" max="972" width="14.7109375" bestFit="1" customWidth="1"/>
    <col min="973" max="973" width="11.5703125" bestFit="1" customWidth="1"/>
    <col min="974" max="974" width="7.85546875" bestFit="1" customWidth="1"/>
    <col min="975" max="975" width="14.7109375" bestFit="1" customWidth="1"/>
    <col min="976" max="976" width="11.5703125" bestFit="1" customWidth="1"/>
    <col min="977" max="977" width="7.85546875" bestFit="1" customWidth="1"/>
    <col min="978" max="978" width="14.7109375" bestFit="1" customWidth="1"/>
    <col min="979" max="983" width="11.5703125" bestFit="1" customWidth="1"/>
    <col min="984" max="984" width="7.85546875" bestFit="1" customWidth="1"/>
    <col min="985" max="985" width="14.7109375" bestFit="1" customWidth="1"/>
    <col min="986" max="989" width="11.5703125" bestFit="1" customWidth="1"/>
    <col min="990" max="990" width="7.85546875" bestFit="1" customWidth="1"/>
    <col min="991" max="991" width="14.7109375" bestFit="1" customWidth="1"/>
    <col min="992" max="995" width="11.5703125" bestFit="1" customWidth="1"/>
    <col min="996" max="996" width="7.85546875" bestFit="1" customWidth="1"/>
    <col min="997" max="997" width="14.7109375" bestFit="1" customWidth="1"/>
    <col min="998" max="1001" width="11.5703125" bestFit="1" customWidth="1"/>
    <col min="1002" max="1002" width="7.85546875" bestFit="1" customWidth="1"/>
    <col min="1003" max="1003" width="14.7109375" bestFit="1" customWidth="1"/>
    <col min="1004" max="1007" width="12.5703125" bestFit="1" customWidth="1"/>
    <col min="1008" max="1008" width="7.85546875" bestFit="1" customWidth="1"/>
    <col min="1009" max="1009" width="15.7109375" bestFit="1" customWidth="1"/>
    <col min="1010" max="1013" width="12.5703125" bestFit="1" customWidth="1"/>
    <col min="1014" max="1014" width="7.85546875" bestFit="1" customWidth="1"/>
    <col min="1015" max="1015" width="15.7109375" bestFit="1" customWidth="1"/>
    <col min="1016" max="1018" width="12.5703125" bestFit="1" customWidth="1"/>
    <col min="1019" max="1019" width="7.85546875" bestFit="1" customWidth="1"/>
    <col min="1020" max="1020" width="15.7109375" bestFit="1" customWidth="1"/>
    <col min="1021" max="1025" width="12.5703125" bestFit="1" customWidth="1"/>
    <col min="1026" max="1026" width="7.85546875" bestFit="1" customWidth="1"/>
    <col min="1027" max="1027" width="15.7109375" bestFit="1" customWidth="1"/>
    <col min="1028" max="1029" width="12.5703125" bestFit="1" customWidth="1"/>
    <col min="1030" max="1030" width="7.85546875" bestFit="1" customWidth="1"/>
    <col min="1031" max="1031" width="15.7109375" bestFit="1" customWidth="1"/>
    <col min="1032" max="1033" width="12.5703125" bestFit="1" customWidth="1"/>
    <col min="1034" max="1034" width="7.85546875" bestFit="1" customWidth="1"/>
    <col min="1035" max="1035" width="15.7109375" bestFit="1" customWidth="1"/>
    <col min="1036" max="1042" width="12.5703125" bestFit="1" customWidth="1"/>
    <col min="1043" max="1043" width="7.85546875" bestFit="1" customWidth="1"/>
    <col min="1044" max="1044" width="15.7109375" bestFit="1" customWidth="1"/>
    <col min="1045" max="1051" width="12.5703125" bestFit="1" customWidth="1"/>
    <col min="1052" max="1052" width="7.85546875" bestFit="1" customWidth="1"/>
    <col min="1053" max="1053" width="15.7109375" bestFit="1" customWidth="1"/>
    <col min="1054" max="1058" width="12.5703125" bestFit="1" customWidth="1"/>
    <col min="1059" max="1059" width="7.85546875" bestFit="1" customWidth="1"/>
    <col min="1060" max="1060" width="15.7109375" bestFit="1" customWidth="1"/>
    <col min="1061" max="1062" width="12.5703125" bestFit="1" customWidth="1"/>
    <col min="1063" max="1063" width="7.85546875" bestFit="1" customWidth="1"/>
    <col min="1064" max="1064" width="15.7109375" bestFit="1" customWidth="1"/>
    <col min="1065" max="1069" width="12.5703125" bestFit="1" customWidth="1"/>
    <col min="1070" max="1070" width="7.85546875" bestFit="1" customWidth="1"/>
    <col min="1071" max="1071" width="15.7109375" bestFit="1" customWidth="1"/>
    <col min="1072" max="1074" width="12.5703125" bestFit="1" customWidth="1"/>
    <col min="1075" max="1075" width="7.85546875" bestFit="1" customWidth="1"/>
    <col min="1076" max="1076" width="15.7109375" bestFit="1" customWidth="1"/>
    <col min="1077" max="1081" width="12.5703125" bestFit="1" customWidth="1"/>
    <col min="1082" max="1082" width="7.85546875" bestFit="1" customWidth="1"/>
    <col min="1083" max="1083" width="15.7109375" bestFit="1" customWidth="1"/>
    <col min="1084" max="1085" width="12.5703125" bestFit="1" customWidth="1"/>
    <col min="1086" max="1086" width="7.85546875" bestFit="1" customWidth="1"/>
    <col min="1087" max="1087" width="15.7109375" bestFit="1" customWidth="1"/>
    <col min="1088" max="1091" width="12.5703125" bestFit="1" customWidth="1"/>
    <col min="1092" max="1092" width="7.85546875" bestFit="1" customWidth="1"/>
    <col min="1093" max="1093" width="15.7109375" bestFit="1" customWidth="1"/>
    <col min="1094" max="1095" width="11.5703125" bestFit="1" customWidth="1"/>
    <col min="1096" max="1096" width="7.85546875" bestFit="1" customWidth="1"/>
    <col min="1097" max="1097" width="14.7109375" bestFit="1" customWidth="1"/>
    <col min="1098" max="1098" width="11.5703125" bestFit="1" customWidth="1"/>
    <col min="1099" max="1099" width="7.85546875" bestFit="1" customWidth="1"/>
    <col min="1100" max="1100" width="14.7109375" bestFit="1" customWidth="1"/>
    <col min="1101" max="1108" width="11.5703125" bestFit="1" customWidth="1"/>
    <col min="1109" max="1109" width="7.85546875" bestFit="1" customWidth="1"/>
    <col min="1110" max="1110" width="14.7109375" bestFit="1" customWidth="1"/>
    <col min="1111" max="1119" width="11.5703125" bestFit="1" customWidth="1"/>
    <col min="1120" max="1120" width="7.85546875" bestFit="1" customWidth="1"/>
    <col min="1121" max="1121" width="14.7109375" bestFit="1" customWidth="1"/>
    <col min="1122" max="1123" width="11.5703125" bestFit="1" customWidth="1"/>
    <col min="1124" max="1124" width="7.85546875" bestFit="1" customWidth="1"/>
    <col min="1125" max="1125" width="14.7109375" bestFit="1" customWidth="1"/>
    <col min="1126" max="1128" width="12.5703125" bestFit="1" customWidth="1"/>
    <col min="1129" max="1129" width="7.85546875" bestFit="1" customWidth="1"/>
    <col min="1130" max="1130" width="15.7109375" bestFit="1" customWidth="1"/>
    <col min="1131" max="1136" width="12.5703125" bestFit="1" customWidth="1"/>
    <col min="1137" max="1137" width="7.85546875" bestFit="1" customWidth="1"/>
    <col min="1138" max="1138" width="15.7109375" bestFit="1" customWidth="1"/>
    <col min="1139" max="1142" width="12.5703125" bestFit="1" customWidth="1"/>
    <col min="1143" max="1143" width="7.85546875" bestFit="1" customWidth="1"/>
    <col min="1144" max="1144" width="15.7109375" bestFit="1" customWidth="1"/>
    <col min="1145" max="1148" width="12.5703125" bestFit="1" customWidth="1"/>
    <col min="1149" max="1149" width="7.85546875" bestFit="1" customWidth="1"/>
    <col min="1150" max="1150" width="15.7109375" bestFit="1" customWidth="1"/>
    <col min="1151" max="1153" width="12.5703125" bestFit="1" customWidth="1"/>
    <col min="1154" max="1154" width="7.85546875" bestFit="1" customWidth="1"/>
    <col min="1155" max="1155" width="15.7109375" bestFit="1" customWidth="1"/>
    <col min="1156" max="1156" width="12.5703125" bestFit="1" customWidth="1"/>
    <col min="1157" max="1157" width="7.85546875" bestFit="1" customWidth="1"/>
    <col min="1158" max="1158" width="15.7109375" bestFit="1" customWidth="1"/>
    <col min="1159" max="1163" width="12.5703125" bestFit="1" customWidth="1"/>
    <col min="1164" max="1164" width="7.85546875" bestFit="1" customWidth="1"/>
    <col min="1165" max="1165" width="15.7109375" bestFit="1" customWidth="1"/>
    <col min="1166" max="1170" width="12.5703125" bestFit="1" customWidth="1"/>
    <col min="1171" max="1171" width="7.85546875" bestFit="1" customWidth="1"/>
    <col min="1172" max="1172" width="15.7109375" bestFit="1" customWidth="1"/>
    <col min="1173" max="1176" width="12.5703125" bestFit="1" customWidth="1"/>
    <col min="1177" max="1177" width="7.85546875" bestFit="1" customWidth="1"/>
    <col min="1178" max="1178" width="15.7109375" bestFit="1" customWidth="1"/>
    <col min="1179" max="1179" width="12.5703125" bestFit="1" customWidth="1"/>
    <col min="1180" max="1180" width="7.85546875" bestFit="1" customWidth="1"/>
    <col min="1181" max="1181" width="15.7109375" bestFit="1" customWidth="1"/>
    <col min="1182" max="1183" width="12.5703125" bestFit="1" customWidth="1"/>
    <col min="1184" max="1184" width="7.85546875" bestFit="1" customWidth="1"/>
    <col min="1185" max="1185" width="15.7109375" bestFit="1" customWidth="1"/>
    <col min="1186" max="1187" width="12.5703125" bestFit="1" customWidth="1"/>
    <col min="1188" max="1188" width="7.85546875" bestFit="1" customWidth="1"/>
    <col min="1189" max="1189" width="15.7109375" bestFit="1" customWidth="1"/>
    <col min="1190" max="1192" width="12.5703125" bestFit="1" customWidth="1"/>
    <col min="1193" max="1193" width="7.85546875" bestFit="1" customWidth="1"/>
    <col min="1194" max="1194" width="15.7109375" bestFit="1" customWidth="1"/>
    <col min="1195" max="1195" width="12.5703125" bestFit="1" customWidth="1"/>
    <col min="1196" max="1196" width="7.85546875" bestFit="1" customWidth="1"/>
    <col min="1197" max="1197" width="15.7109375" bestFit="1" customWidth="1"/>
    <col min="1198" max="1199" width="12.5703125" bestFit="1" customWidth="1"/>
    <col min="1200" max="1200" width="7.85546875" bestFit="1" customWidth="1"/>
    <col min="1201" max="1201" width="15.7109375" bestFit="1" customWidth="1"/>
    <col min="1202" max="1203" width="11.5703125" bestFit="1" customWidth="1"/>
    <col min="1204" max="1204" width="7.85546875" bestFit="1" customWidth="1"/>
    <col min="1205" max="1205" width="14.7109375" bestFit="1" customWidth="1"/>
    <col min="1206" max="1209" width="11.5703125" bestFit="1" customWidth="1"/>
    <col min="1210" max="1210" width="7.85546875" bestFit="1" customWidth="1"/>
    <col min="1211" max="1211" width="14.7109375" bestFit="1" customWidth="1"/>
    <col min="1212" max="1214" width="11.5703125" bestFit="1" customWidth="1"/>
    <col min="1215" max="1215" width="7.85546875" bestFit="1" customWidth="1"/>
    <col min="1216" max="1216" width="14.7109375" bestFit="1" customWidth="1"/>
    <col min="1217" max="1220" width="11.5703125" bestFit="1" customWidth="1"/>
    <col min="1221" max="1221" width="7.85546875" bestFit="1" customWidth="1"/>
    <col min="1222" max="1222" width="14.7109375" bestFit="1" customWidth="1"/>
    <col min="1223" max="1224" width="11.5703125" bestFit="1" customWidth="1"/>
    <col min="1225" max="1225" width="7.85546875" bestFit="1" customWidth="1"/>
    <col min="1226" max="1226" width="14.7109375" bestFit="1" customWidth="1"/>
    <col min="1227" max="1235" width="12.5703125" bestFit="1" customWidth="1"/>
    <col min="1236" max="1236" width="7.85546875" bestFit="1" customWidth="1"/>
    <col min="1237" max="1237" width="15.7109375" bestFit="1" customWidth="1"/>
    <col min="1238" max="1239" width="12.5703125" bestFit="1" customWidth="1"/>
    <col min="1240" max="1240" width="7.85546875" bestFit="1" customWidth="1"/>
    <col min="1241" max="1241" width="15.7109375" bestFit="1" customWidth="1"/>
    <col min="1242" max="1242" width="12.5703125" bestFit="1" customWidth="1"/>
    <col min="1243" max="1243" width="7.85546875" bestFit="1" customWidth="1"/>
    <col min="1244" max="1244" width="15.7109375" bestFit="1" customWidth="1"/>
    <col min="1245" max="1249" width="12.5703125" bestFit="1" customWidth="1"/>
    <col min="1250" max="1250" width="7.85546875" bestFit="1" customWidth="1"/>
    <col min="1251" max="1251" width="15.7109375" bestFit="1" customWidth="1"/>
    <col min="1252" max="1252" width="12.5703125" bestFit="1" customWidth="1"/>
    <col min="1253" max="1253" width="7.85546875" bestFit="1" customWidth="1"/>
    <col min="1254" max="1254" width="15.7109375" bestFit="1" customWidth="1"/>
    <col min="1255" max="1255" width="10.5703125" bestFit="1" customWidth="1"/>
    <col min="1256" max="1256" width="6.85546875" bestFit="1" customWidth="1"/>
    <col min="1257" max="1257" width="13.7109375" bestFit="1" customWidth="1"/>
    <col min="1258" max="1258" width="10.7109375" bestFit="1" customWidth="1"/>
    <col min="1259" max="1259" width="6.85546875" bestFit="1" customWidth="1"/>
    <col min="1260" max="1260" width="13.7109375" bestFit="1" customWidth="1"/>
    <col min="1261" max="1261" width="10.5703125" bestFit="1" customWidth="1"/>
    <col min="1262" max="1262" width="6.85546875" bestFit="1" customWidth="1"/>
    <col min="1263" max="1263" width="13.7109375" bestFit="1" customWidth="1"/>
    <col min="1264" max="1264" width="10.5703125" bestFit="1" customWidth="1"/>
    <col min="1265" max="1265" width="6.85546875" bestFit="1" customWidth="1"/>
    <col min="1266" max="1266" width="13.7109375" bestFit="1" customWidth="1"/>
    <col min="1267" max="1272" width="10.7109375" bestFit="1" customWidth="1"/>
    <col min="1273" max="1273" width="6.85546875" bestFit="1" customWidth="1"/>
    <col min="1274" max="1274" width="13.7109375" bestFit="1" customWidth="1"/>
    <col min="1275" max="1275" width="11.5703125" bestFit="1" customWidth="1"/>
    <col min="1276" max="1276" width="6.85546875" bestFit="1" customWidth="1"/>
    <col min="1277" max="1277" width="14.7109375" bestFit="1" customWidth="1"/>
    <col min="1278" max="1280" width="11.5703125" bestFit="1" customWidth="1"/>
    <col min="1281" max="1281" width="6.85546875" bestFit="1" customWidth="1"/>
    <col min="1282" max="1282" width="14.7109375" bestFit="1" customWidth="1"/>
    <col min="1283" max="1292" width="11.5703125" bestFit="1" customWidth="1"/>
    <col min="1293" max="1293" width="6.85546875" bestFit="1" customWidth="1"/>
    <col min="1294" max="1294" width="14.7109375" bestFit="1" customWidth="1"/>
    <col min="1295" max="1305" width="11.5703125" bestFit="1" customWidth="1"/>
    <col min="1306" max="1306" width="6.85546875" bestFit="1" customWidth="1"/>
    <col min="1307" max="1307" width="14.7109375" bestFit="1" customWidth="1"/>
    <col min="1308" max="1319" width="11.5703125" bestFit="1" customWidth="1"/>
    <col min="1320" max="1320" width="6.85546875" bestFit="1" customWidth="1"/>
    <col min="1321" max="1321" width="14.7109375" bestFit="1" customWidth="1"/>
    <col min="1322" max="1322" width="11.5703125" bestFit="1" customWidth="1"/>
    <col min="1323" max="1323" width="6.85546875" bestFit="1" customWidth="1"/>
    <col min="1324" max="1324" width="14.7109375" bestFit="1" customWidth="1"/>
    <col min="1325" max="1325" width="10.5703125" bestFit="1" customWidth="1"/>
    <col min="1326" max="1326" width="6.85546875" bestFit="1" customWidth="1"/>
    <col min="1327" max="1327" width="13.7109375" bestFit="1" customWidth="1"/>
    <col min="1328" max="1328" width="10.7109375" bestFit="1" customWidth="1"/>
    <col min="1329" max="1329" width="6.85546875" bestFit="1" customWidth="1"/>
    <col min="1330" max="1330" width="13.7109375" bestFit="1" customWidth="1"/>
    <col min="1331" max="1336" width="10.5703125" bestFit="1" customWidth="1"/>
    <col min="1337" max="1337" width="6.85546875" bestFit="1" customWidth="1"/>
    <col min="1338" max="1338" width="13.7109375" bestFit="1" customWidth="1"/>
    <col min="1339" max="1346" width="10.5703125" bestFit="1" customWidth="1"/>
    <col min="1347" max="1347" width="6.85546875" bestFit="1" customWidth="1"/>
    <col min="1348" max="1348" width="13.7109375" bestFit="1" customWidth="1"/>
    <col min="1349" max="1350" width="10.5703125" bestFit="1" customWidth="1"/>
    <col min="1351" max="1351" width="6.85546875" bestFit="1" customWidth="1"/>
    <col min="1352" max="1352" width="13.7109375" bestFit="1" customWidth="1"/>
    <col min="1353" max="1367" width="11.5703125" bestFit="1" customWidth="1"/>
    <col min="1368" max="1368" width="6.85546875" bestFit="1" customWidth="1"/>
    <col min="1369" max="1369" width="14.7109375" bestFit="1" customWidth="1"/>
    <col min="1370" max="1370" width="11.5703125" bestFit="1" customWidth="1"/>
    <col min="1371" max="1371" width="6.85546875" bestFit="1" customWidth="1"/>
    <col min="1372" max="1372" width="14.7109375" bestFit="1" customWidth="1"/>
    <col min="1373" max="1374" width="11.5703125" bestFit="1" customWidth="1"/>
    <col min="1375" max="1375" width="6.85546875" bestFit="1" customWidth="1"/>
    <col min="1376" max="1376" width="14.7109375" bestFit="1" customWidth="1"/>
    <col min="1377" max="1390" width="11.5703125" bestFit="1" customWidth="1"/>
    <col min="1391" max="1391" width="6.85546875" bestFit="1" customWidth="1"/>
    <col min="1392" max="1392" width="14.7109375" bestFit="1" customWidth="1"/>
    <col min="1393" max="1393" width="11.5703125" bestFit="1" customWidth="1"/>
    <col min="1394" max="1394" width="6.85546875" bestFit="1" customWidth="1"/>
    <col min="1395" max="1395" width="14.7109375" bestFit="1" customWidth="1"/>
    <col min="1396" max="1408" width="11.5703125" bestFit="1" customWidth="1"/>
    <col min="1409" max="1409" width="6.85546875" bestFit="1" customWidth="1"/>
    <col min="1410" max="1410" width="14.7109375" bestFit="1" customWidth="1"/>
    <col min="1411" max="1416" width="11.5703125" bestFit="1" customWidth="1"/>
    <col min="1417" max="1417" width="6.85546875" bestFit="1" customWidth="1"/>
    <col min="1418" max="1418" width="14.7109375" bestFit="1" customWidth="1"/>
    <col min="1419" max="1435" width="11.5703125" bestFit="1" customWidth="1"/>
    <col min="1436" max="1436" width="6.85546875" bestFit="1" customWidth="1"/>
    <col min="1437" max="1437" width="14.7109375" bestFit="1" customWidth="1"/>
    <col min="1438" max="1445" width="11.5703125" bestFit="1" customWidth="1"/>
    <col min="1446" max="1446" width="6.85546875" bestFit="1" customWidth="1"/>
    <col min="1447" max="1447" width="14.7109375" bestFit="1" customWidth="1"/>
    <col min="1448" max="1449" width="11.5703125" bestFit="1" customWidth="1"/>
    <col min="1450" max="1450" width="6.85546875" bestFit="1" customWidth="1"/>
    <col min="1451" max="1451" width="14.7109375" bestFit="1" customWidth="1"/>
    <col min="1452" max="1458" width="11.5703125" bestFit="1" customWidth="1"/>
    <col min="1459" max="1459" width="6.85546875" bestFit="1" customWidth="1"/>
    <col min="1460" max="1460" width="14.7109375" bestFit="1" customWidth="1"/>
    <col min="1461" max="1470" width="11.5703125" bestFit="1" customWidth="1"/>
    <col min="1471" max="1471" width="6.85546875" bestFit="1" customWidth="1"/>
    <col min="1472" max="1472" width="14.7109375" bestFit="1" customWidth="1"/>
    <col min="1473" max="1473" width="10.5703125" bestFit="1" customWidth="1"/>
    <col min="1474" max="1474" width="6.85546875" bestFit="1" customWidth="1"/>
    <col min="1475" max="1475" width="13.7109375" bestFit="1" customWidth="1"/>
    <col min="1476" max="1478" width="10.5703125" bestFit="1" customWidth="1"/>
    <col min="1479" max="1479" width="7.85546875" bestFit="1" customWidth="1"/>
    <col min="1480" max="1480" width="13.7109375" bestFit="1" customWidth="1"/>
    <col min="1481" max="1488" width="10.5703125" bestFit="1" customWidth="1"/>
    <col min="1489" max="1489" width="7.85546875" bestFit="1" customWidth="1"/>
    <col min="1490" max="1490" width="13.7109375" bestFit="1" customWidth="1"/>
    <col min="1491" max="1496" width="10.5703125" bestFit="1" customWidth="1"/>
    <col min="1497" max="1497" width="7.85546875" bestFit="1" customWidth="1"/>
    <col min="1498" max="1498" width="13.7109375" bestFit="1" customWidth="1"/>
    <col min="1499" max="1501" width="10.5703125" bestFit="1" customWidth="1"/>
    <col min="1502" max="1502" width="7.85546875" bestFit="1" customWidth="1"/>
    <col min="1503" max="1503" width="13.7109375" bestFit="1" customWidth="1"/>
    <col min="1504" max="1504" width="11.5703125" bestFit="1" customWidth="1"/>
    <col min="1505" max="1505" width="7.85546875" bestFit="1" customWidth="1"/>
    <col min="1506" max="1506" width="14.7109375" bestFit="1" customWidth="1"/>
    <col min="1507" max="1513" width="11.5703125" bestFit="1" customWidth="1"/>
    <col min="1514" max="1514" width="7.85546875" bestFit="1" customWidth="1"/>
    <col min="1515" max="1515" width="14.7109375" bestFit="1" customWidth="1"/>
    <col min="1516" max="1518" width="11.5703125" bestFit="1" customWidth="1"/>
    <col min="1519" max="1519" width="7.85546875" bestFit="1" customWidth="1"/>
    <col min="1520" max="1520" width="14.7109375" bestFit="1" customWidth="1"/>
    <col min="1521" max="1522" width="11.5703125" bestFit="1" customWidth="1"/>
    <col min="1523" max="1523" width="7.85546875" bestFit="1" customWidth="1"/>
    <col min="1524" max="1524" width="14.7109375" bestFit="1" customWidth="1"/>
    <col min="1525" max="1530" width="11.5703125" bestFit="1" customWidth="1"/>
    <col min="1531" max="1531" width="7.85546875" bestFit="1" customWidth="1"/>
    <col min="1532" max="1532" width="14.7109375" bestFit="1" customWidth="1"/>
    <col min="1533" max="1540" width="11.5703125" bestFit="1" customWidth="1"/>
    <col min="1541" max="1541" width="7.85546875" bestFit="1" customWidth="1"/>
    <col min="1542" max="1542" width="14.7109375" bestFit="1" customWidth="1"/>
    <col min="1543" max="1557" width="11.5703125" bestFit="1" customWidth="1"/>
    <col min="1558" max="1558" width="7.85546875" bestFit="1" customWidth="1"/>
    <col min="1559" max="1559" width="14.7109375" bestFit="1" customWidth="1"/>
    <col min="1560" max="1563" width="11.5703125" bestFit="1" customWidth="1"/>
    <col min="1564" max="1564" width="7.85546875" bestFit="1" customWidth="1"/>
    <col min="1565" max="1565" width="14.7109375" bestFit="1" customWidth="1"/>
    <col min="1566" max="1569" width="11.5703125" bestFit="1" customWidth="1"/>
    <col min="1570" max="1570" width="7.85546875" bestFit="1" customWidth="1"/>
    <col min="1571" max="1571" width="14.7109375" bestFit="1" customWidth="1"/>
    <col min="1572" max="1572" width="11.5703125" bestFit="1" customWidth="1"/>
    <col min="1573" max="1573" width="7.85546875" bestFit="1" customWidth="1"/>
    <col min="1574" max="1574" width="14.7109375" bestFit="1" customWidth="1"/>
    <col min="1575" max="1581" width="11.5703125" bestFit="1" customWidth="1"/>
    <col min="1582" max="1582" width="7.85546875" bestFit="1" customWidth="1"/>
    <col min="1583" max="1583" width="14.7109375" bestFit="1" customWidth="1"/>
    <col min="1584" max="1584" width="11.5703125" bestFit="1" customWidth="1"/>
    <col min="1585" max="1585" width="7.85546875" bestFit="1" customWidth="1"/>
    <col min="1586" max="1586" width="14.7109375" bestFit="1" customWidth="1"/>
    <col min="1587" max="1587" width="11.5703125" bestFit="1" customWidth="1"/>
    <col min="1588" max="1588" width="7.85546875" bestFit="1" customWidth="1"/>
    <col min="1589" max="1589" width="14.7109375" bestFit="1" customWidth="1"/>
    <col min="1590" max="1594" width="10.5703125" bestFit="1" customWidth="1"/>
    <col min="1595" max="1595" width="7.85546875" bestFit="1" customWidth="1"/>
    <col min="1596" max="1596" width="13.7109375" bestFit="1" customWidth="1"/>
    <col min="1597" max="1605" width="10.5703125" bestFit="1" customWidth="1"/>
    <col min="1606" max="1606" width="7.85546875" bestFit="1" customWidth="1"/>
    <col min="1607" max="1607" width="13.7109375" bestFit="1" customWidth="1"/>
    <col min="1608" max="1608" width="10.5703125" bestFit="1" customWidth="1"/>
    <col min="1609" max="1609" width="7.85546875" bestFit="1" customWidth="1"/>
    <col min="1610" max="1610" width="13.7109375" bestFit="1" customWidth="1"/>
    <col min="1611" max="1615" width="10.5703125" bestFit="1" customWidth="1"/>
    <col min="1616" max="1616" width="7.85546875" bestFit="1" customWidth="1"/>
    <col min="1617" max="1617" width="13.7109375" bestFit="1" customWidth="1"/>
    <col min="1618" max="1619" width="11.5703125" bestFit="1" customWidth="1"/>
    <col min="1620" max="1620" width="7.85546875" bestFit="1" customWidth="1"/>
    <col min="1621" max="1621" width="14.7109375" bestFit="1" customWidth="1"/>
    <col min="1622" max="1626" width="11.5703125" bestFit="1" customWidth="1"/>
    <col min="1627" max="1627" width="7.85546875" bestFit="1" customWidth="1"/>
    <col min="1628" max="1628" width="14.7109375" bestFit="1" customWidth="1"/>
    <col min="1629" max="1630" width="11.5703125" bestFit="1" customWidth="1"/>
    <col min="1631" max="1631" width="7.85546875" bestFit="1" customWidth="1"/>
    <col min="1632" max="1632" width="14.7109375" bestFit="1" customWidth="1"/>
    <col min="1633" max="1637" width="11.5703125" bestFit="1" customWidth="1"/>
    <col min="1638" max="1638" width="7.85546875" bestFit="1" customWidth="1"/>
    <col min="1639" max="1639" width="14.7109375" bestFit="1" customWidth="1"/>
    <col min="1640" max="1656" width="11.5703125" bestFit="1" customWidth="1"/>
    <col min="1657" max="1657" width="7.85546875" bestFit="1" customWidth="1"/>
    <col min="1658" max="1658" width="14.7109375" bestFit="1" customWidth="1"/>
    <col min="1659" max="1659" width="11.5703125" bestFit="1" customWidth="1"/>
    <col min="1660" max="1660" width="7.85546875" bestFit="1" customWidth="1"/>
    <col min="1661" max="1661" width="14.7109375" bestFit="1" customWidth="1"/>
    <col min="1662" max="1672" width="11.5703125" bestFit="1" customWidth="1"/>
    <col min="1673" max="1673" width="7.85546875" bestFit="1" customWidth="1"/>
    <col min="1674" max="1674" width="14.7109375" bestFit="1" customWidth="1"/>
    <col min="1675" max="1680" width="11.5703125" bestFit="1" customWidth="1"/>
    <col min="1681" max="1681" width="7.85546875" bestFit="1" customWidth="1"/>
    <col min="1682" max="1682" width="14.7109375" bestFit="1" customWidth="1"/>
    <col min="1683" max="1684" width="11.5703125" bestFit="1" customWidth="1"/>
    <col min="1685" max="1685" width="7.85546875" bestFit="1" customWidth="1"/>
    <col min="1686" max="1686" width="14.7109375" bestFit="1" customWidth="1"/>
    <col min="1687" max="1690" width="11.5703125" bestFit="1" customWidth="1"/>
    <col min="1691" max="1691" width="7.85546875" bestFit="1" customWidth="1"/>
    <col min="1692" max="1692" width="14.7109375" bestFit="1" customWidth="1"/>
    <col min="1693" max="1693" width="11.5703125" bestFit="1" customWidth="1"/>
    <col min="1694" max="1694" width="7.85546875" bestFit="1" customWidth="1"/>
    <col min="1695" max="1695" width="14.7109375" bestFit="1" customWidth="1"/>
    <col min="1696" max="1696" width="11.5703125" bestFit="1" customWidth="1"/>
    <col min="1697" max="1697" width="7.85546875" bestFit="1" customWidth="1"/>
    <col min="1698" max="1698" width="14.7109375" bestFit="1" customWidth="1"/>
    <col min="1699" max="1699" width="11.5703125" bestFit="1" customWidth="1"/>
    <col min="1700" max="1700" width="7.85546875" bestFit="1" customWidth="1"/>
    <col min="1701" max="1701" width="14.7109375" bestFit="1" customWidth="1"/>
    <col min="1702" max="1702" width="10.5703125" bestFit="1" customWidth="1"/>
    <col min="1703" max="1703" width="7.85546875" bestFit="1" customWidth="1"/>
    <col min="1704" max="1704" width="13.7109375" bestFit="1" customWidth="1"/>
    <col min="1705" max="1711" width="10.5703125" bestFit="1" customWidth="1"/>
    <col min="1712" max="1712" width="7.85546875" bestFit="1" customWidth="1"/>
    <col min="1713" max="1713" width="13.7109375" bestFit="1" customWidth="1"/>
    <col min="1714" max="1715" width="10.5703125" bestFit="1" customWidth="1"/>
    <col min="1716" max="1716" width="7.85546875" bestFit="1" customWidth="1"/>
    <col min="1717" max="1717" width="13.7109375" bestFit="1" customWidth="1"/>
    <col min="1718" max="1726" width="10.5703125" bestFit="1" customWidth="1"/>
    <col min="1727" max="1727" width="7.85546875" bestFit="1" customWidth="1"/>
    <col min="1728" max="1728" width="9.7109375" bestFit="1" customWidth="1"/>
    <col min="1729" max="1729" width="7.85546875" bestFit="1" customWidth="1"/>
    <col min="1730" max="1730" width="13.7109375" bestFit="1" customWidth="1"/>
    <col min="1731" max="1732" width="10.5703125" bestFit="1" customWidth="1"/>
    <col min="1733" max="1733" width="7.85546875" bestFit="1" customWidth="1"/>
    <col min="1734" max="1734" width="13.7109375" bestFit="1" customWidth="1"/>
    <col min="1735" max="1736" width="10.5703125" bestFit="1" customWidth="1"/>
    <col min="1737" max="1737" width="7.85546875" bestFit="1" customWidth="1"/>
    <col min="1738" max="1738" width="13.7109375" bestFit="1" customWidth="1"/>
    <col min="1739" max="1749" width="11.5703125" bestFit="1" customWidth="1"/>
    <col min="1750" max="1750" width="7.85546875" bestFit="1" customWidth="1"/>
    <col min="1751" max="1751" width="14.7109375" bestFit="1" customWidth="1"/>
    <col min="1752" max="1753" width="11.5703125" bestFit="1" customWidth="1"/>
    <col min="1754" max="1754" width="7.85546875" bestFit="1" customWidth="1"/>
    <col min="1755" max="1755" width="14.7109375" bestFit="1" customWidth="1"/>
    <col min="1756" max="1756" width="11.5703125" bestFit="1" customWidth="1"/>
    <col min="1757" max="1757" width="7.85546875" bestFit="1" customWidth="1"/>
    <col min="1758" max="1758" width="14.7109375" bestFit="1" customWidth="1"/>
    <col min="1759" max="1762" width="11.5703125" bestFit="1" customWidth="1"/>
    <col min="1763" max="1763" width="7.85546875" bestFit="1" customWidth="1"/>
    <col min="1764" max="1764" width="14.7109375" bestFit="1" customWidth="1"/>
    <col min="1765" max="1768" width="11.5703125" bestFit="1" customWidth="1"/>
    <col min="1769" max="1769" width="7.85546875" bestFit="1" customWidth="1"/>
    <col min="1770" max="1770" width="14.7109375" bestFit="1" customWidth="1"/>
    <col min="1771" max="1774" width="11.5703125" bestFit="1" customWidth="1"/>
    <col min="1775" max="1775" width="7.85546875" bestFit="1" customWidth="1"/>
    <col min="1776" max="1776" width="14.7109375" bestFit="1" customWidth="1"/>
    <col min="1777" max="1777" width="11.5703125" bestFit="1" customWidth="1"/>
    <col min="1778" max="1778" width="7.85546875" bestFit="1" customWidth="1"/>
    <col min="1779" max="1779" width="14.7109375" bestFit="1" customWidth="1"/>
    <col min="1780" max="1780" width="11.5703125" bestFit="1" customWidth="1"/>
    <col min="1781" max="1781" width="7.85546875" bestFit="1" customWidth="1"/>
    <col min="1782" max="1782" width="14.7109375" bestFit="1" customWidth="1"/>
    <col min="1783" max="1785" width="11.5703125" bestFit="1" customWidth="1"/>
    <col min="1786" max="1786" width="7.85546875" bestFit="1" customWidth="1"/>
    <col min="1787" max="1787" width="14.7109375" bestFit="1" customWidth="1"/>
    <col min="1788" max="1791" width="10.5703125" bestFit="1" customWidth="1"/>
    <col min="1792" max="1792" width="7.85546875" bestFit="1" customWidth="1"/>
    <col min="1793" max="1793" width="13.7109375" bestFit="1" customWidth="1"/>
    <col min="1794" max="1798" width="10.5703125" bestFit="1" customWidth="1"/>
    <col min="1799" max="1799" width="7.85546875" bestFit="1" customWidth="1"/>
    <col min="1800" max="1800" width="13.7109375" bestFit="1" customWidth="1"/>
    <col min="1801" max="1802" width="10.5703125" bestFit="1" customWidth="1"/>
    <col min="1803" max="1803" width="7.85546875" bestFit="1" customWidth="1"/>
    <col min="1804" max="1804" width="13.7109375" bestFit="1" customWidth="1"/>
    <col min="1805" max="1809" width="11.5703125" bestFit="1" customWidth="1"/>
    <col min="1810" max="1810" width="7.85546875" bestFit="1" customWidth="1"/>
    <col min="1811" max="1811" width="14.7109375" bestFit="1" customWidth="1"/>
    <col min="1812" max="1812" width="11.5703125" bestFit="1" customWidth="1"/>
    <col min="1813" max="1813" width="7.85546875" bestFit="1" customWidth="1"/>
    <col min="1814" max="1814" width="14.7109375" bestFit="1" customWidth="1"/>
    <col min="1815" max="1826" width="11.5703125" bestFit="1" customWidth="1"/>
    <col min="1827" max="1827" width="7.85546875" bestFit="1" customWidth="1"/>
    <col min="1828" max="1828" width="14.7109375" bestFit="1" customWidth="1"/>
    <col min="1829" max="1830" width="11.5703125" bestFit="1" customWidth="1"/>
    <col min="1831" max="1831" width="7.85546875" bestFit="1" customWidth="1"/>
    <col min="1832" max="1832" width="14.7109375" bestFit="1" customWidth="1"/>
    <col min="1833" max="1841" width="11.5703125" bestFit="1" customWidth="1"/>
    <col min="1842" max="1842" width="7.85546875" bestFit="1" customWidth="1"/>
    <col min="1843" max="1843" width="14.7109375" bestFit="1" customWidth="1"/>
    <col min="1844" max="1844" width="10.5703125" bestFit="1" customWidth="1"/>
    <col min="1845" max="1845" width="7.85546875" bestFit="1" customWidth="1"/>
    <col min="1846" max="1846" width="13.7109375" bestFit="1" customWidth="1"/>
    <col min="1847" max="1847" width="10.5703125" bestFit="1" customWidth="1"/>
    <col min="1848" max="1848" width="7.85546875" bestFit="1" customWidth="1"/>
    <col min="1849" max="1849" width="13.7109375" bestFit="1" customWidth="1"/>
    <col min="1850" max="1850" width="11.5703125" bestFit="1" customWidth="1"/>
    <col min="1851" max="1851" width="7.85546875" bestFit="1" customWidth="1"/>
    <col min="1852" max="1852" width="14.7109375" bestFit="1" customWidth="1"/>
    <col min="1853" max="1853" width="11.5703125" bestFit="1" customWidth="1"/>
    <col min="1854" max="1854" width="7.85546875" bestFit="1" customWidth="1"/>
    <col min="1855" max="1855" width="14.7109375" bestFit="1" customWidth="1"/>
    <col min="1856" max="1856" width="11.5703125" bestFit="1" customWidth="1"/>
    <col min="1857" max="1857" width="7.85546875" bestFit="1" customWidth="1"/>
    <col min="1858" max="1858" width="14.7109375" bestFit="1" customWidth="1"/>
    <col min="1859" max="1863" width="11.5703125" bestFit="1" customWidth="1"/>
    <col min="1864" max="1864" width="7.85546875" bestFit="1" customWidth="1"/>
    <col min="1865" max="1865" width="14.7109375" bestFit="1" customWidth="1"/>
    <col min="1866" max="1866" width="11.5703125" bestFit="1" customWidth="1"/>
    <col min="1867" max="1867" width="7.85546875" bestFit="1" customWidth="1"/>
    <col min="1868" max="1868" width="14.7109375" bestFit="1" customWidth="1"/>
    <col min="1869" max="1869" width="10.5703125" bestFit="1" customWidth="1"/>
    <col min="1870" max="1870" width="7.85546875" bestFit="1" customWidth="1"/>
    <col min="1871" max="1871" width="13.7109375" bestFit="1" customWidth="1"/>
    <col min="1872" max="1872" width="11.5703125" bestFit="1" customWidth="1"/>
    <col min="1873" max="1873" width="7.85546875" bestFit="1" customWidth="1"/>
    <col min="1874" max="1874" width="14.7109375" bestFit="1" customWidth="1"/>
    <col min="1875" max="1875" width="11.5703125" bestFit="1" customWidth="1"/>
    <col min="1876" max="1876" width="7.85546875" bestFit="1" customWidth="1"/>
    <col min="1877" max="1877" width="14.7109375" bestFit="1" customWidth="1"/>
    <col min="1878" max="1878" width="11.5703125" bestFit="1" customWidth="1"/>
    <col min="1879" max="1879" width="7.85546875" bestFit="1" customWidth="1"/>
    <col min="1880" max="1880" width="14.7109375" bestFit="1" customWidth="1"/>
    <col min="1881" max="1881" width="12.5703125" bestFit="1" customWidth="1"/>
    <col min="1882" max="1882" width="7.85546875" bestFit="1" customWidth="1"/>
    <col min="1883" max="1883" width="15.7109375" bestFit="1" customWidth="1"/>
    <col min="1884" max="1884" width="12.5703125" bestFit="1" customWidth="1"/>
    <col min="1885" max="1885" width="7.85546875" bestFit="1" customWidth="1"/>
    <col min="1886" max="1886" width="15.7109375" bestFit="1" customWidth="1"/>
    <col min="1887" max="1887" width="11.5703125" bestFit="1" customWidth="1"/>
    <col min="1888" max="1888" width="7.85546875" bestFit="1" customWidth="1"/>
    <col min="1889" max="1889" width="14.7109375" bestFit="1" customWidth="1"/>
    <col min="1890" max="1890" width="12.5703125" bestFit="1" customWidth="1"/>
    <col min="1891" max="1891" width="7.85546875" bestFit="1" customWidth="1"/>
    <col min="1892" max="1892" width="15.7109375" bestFit="1" customWidth="1"/>
    <col min="1893" max="1893" width="12.5703125" bestFit="1" customWidth="1"/>
    <col min="1894" max="1894" width="7.85546875" bestFit="1" customWidth="1"/>
    <col min="1895" max="1895" width="15.7109375" bestFit="1" customWidth="1"/>
    <col min="1896" max="1896" width="11.5703125" bestFit="1" customWidth="1"/>
    <col min="1897" max="1897" width="7.85546875" bestFit="1" customWidth="1"/>
    <col min="1898" max="1898" width="14.7109375" bestFit="1" customWidth="1"/>
    <col min="1899" max="1899" width="11.5703125" bestFit="1" customWidth="1"/>
    <col min="1900" max="1900" width="7.85546875" bestFit="1" customWidth="1"/>
    <col min="1901" max="1901" width="14.7109375" bestFit="1" customWidth="1"/>
    <col min="1902" max="1902" width="10.5703125" bestFit="1" customWidth="1"/>
    <col min="1903" max="1903" width="6.85546875" bestFit="1" customWidth="1"/>
    <col min="1904" max="1904" width="13.7109375" bestFit="1" customWidth="1"/>
    <col min="1905" max="1905" width="10.5703125" bestFit="1" customWidth="1"/>
    <col min="1906" max="1906" width="7.85546875" bestFit="1" customWidth="1"/>
    <col min="1907" max="1907" width="13.7109375" bestFit="1" customWidth="1"/>
    <col min="1908" max="1908" width="9.7109375" bestFit="1" customWidth="1"/>
    <col min="1909" max="1909" width="6.85546875" bestFit="1" customWidth="1"/>
    <col min="1910" max="1910" width="12.140625" bestFit="1" customWidth="1"/>
    <col min="1911" max="1914" width="11.5703125" bestFit="1" customWidth="1"/>
    <col min="1915" max="1915" width="7.85546875" bestFit="1" customWidth="1"/>
    <col min="1916" max="1916" width="14.7109375" bestFit="1" customWidth="1"/>
    <col min="1917" max="1921" width="11.5703125" bestFit="1" customWidth="1"/>
    <col min="1922" max="1922" width="7.85546875" bestFit="1" customWidth="1"/>
    <col min="1923" max="1923" width="14.7109375" bestFit="1" customWidth="1"/>
    <col min="1924" max="1924" width="10.5703125" bestFit="1" customWidth="1"/>
    <col min="1925" max="1925" width="7.85546875" bestFit="1" customWidth="1"/>
    <col min="1926" max="1926" width="13.7109375" bestFit="1" customWidth="1"/>
    <col min="1927" max="1934" width="11.5703125" bestFit="1" customWidth="1"/>
    <col min="1935" max="1935" width="7.85546875" bestFit="1" customWidth="1"/>
    <col min="1936" max="1936" width="14.7109375" bestFit="1" customWidth="1"/>
    <col min="1937" max="1937" width="11.5703125" bestFit="1" customWidth="1"/>
    <col min="1938" max="1938" width="7.85546875" bestFit="1" customWidth="1"/>
    <col min="1939" max="1939" width="14.7109375" bestFit="1" customWidth="1"/>
    <col min="1940" max="1942" width="11.5703125" bestFit="1" customWidth="1"/>
    <col min="1943" max="1943" width="7.85546875" bestFit="1" customWidth="1"/>
    <col min="1944" max="1944" width="14.7109375" bestFit="1" customWidth="1"/>
    <col min="1945" max="1945" width="11.5703125" bestFit="1" customWidth="1"/>
    <col min="1946" max="1946" width="7.85546875" bestFit="1" customWidth="1"/>
    <col min="1947" max="1947" width="14.7109375" bestFit="1" customWidth="1"/>
    <col min="1948" max="1948" width="11.28515625" bestFit="1" customWidth="1"/>
  </cols>
  <sheetData>
    <row r="6" spans="2:10">
      <c r="B6" s="48" t="s">
        <v>2</v>
      </c>
      <c r="C6" t="s">
        <v>1</v>
      </c>
    </row>
    <row r="7" spans="2:10">
      <c r="B7" s="48" t="s">
        <v>0</v>
      </c>
      <c r="C7" t="s">
        <v>1</v>
      </c>
    </row>
    <row r="8" spans="2:10">
      <c r="B8" s="48" t="s">
        <v>122</v>
      </c>
      <c r="C8" t="s">
        <v>1</v>
      </c>
    </row>
    <row r="9" spans="2:10">
      <c r="B9" s="48" t="s">
        <v>123</v>
      </c>
      <c r="C9" t="s">
        <v>1</v>
      </c>
    </row>
    <row r="10" spans="2:10">
      <c r="B10" s="48" t="s">
        <v>4</v>
      </c>
      <c r="C10" t="s">
        <v>1</v>
      </c>
    </row>
    <row r="11" spans="2:10">
      <c r="B11" s="48" t="s">
        <v>124</v>
      </c>
      <c r="C11" t="s">
        <v>1</v>
      </c>
    </row>
    <row r="13" spans="2:10">
      <c r="D13"/>
      <c r="E13" s="48" t="s">
        <v>5</v>
      </c>
      <c r="F13" s="48" t="s">
        <v>125</v>
      </c>
      <c r="G13" s="48" t="s">
        <v>126</v>
      </c>
      <c r="H13" s="48" t="s">
        <v>8</v>
      </c>
    </row>
    <row r="14" spans="2:10">
      <c r="D14"/>
      <c r="E14" t="s">
        <v>10</v>
      </c>
      <c r="G14" t="s">
        <v>4409</v>
      </c>
      <c r="H14" t="s">
        <v>4410</v>
      </c>
      <c r="I14" t="s">
        <v>127</v>
      </c>
      <c r="J14" t="s">
        <v>128</v>
      </c>
    </row>
    <row r="15" spans="2:10">
      <c r="D15"/>
      <c r="E15" t="s">
        <v>17</v>
      </c>
    </row>
    <row r="16" spans="2:10">
      <c r="D16"/>
    </row>
    <row r="17" spans="2:10">
      <c r="B17" s="48" t="s">
        <v>20</v>
      </c>
      <c r="C17" s="48" t="s">
        <v>21</v>
      </c>
      <c r="D17" s="48" t="s">
        <v>22</v>
      </c>
      <c r="E17" t="s">
        <v>129</v>
      </c>
      <c r="F17" t="s">
        <v>130</v>
      </c>
    </row>
    <row r="18" spans="2:10">
      <c r="B18" t="s">
        <v>25</v>
      </c>
      <c r="C18" t="s">
        <v>4104</v>
      </c>
      <c r="D18"/>
      <c r="E18">
        <v>420</v>
      </c>
      <c r="F18" s="218">
        <v>7299.5999999999995</v>
      </c>
      <c r="G18">
        <v>420</v>
      </c>
      <c r="H18" s="218">
        <v>7299.5999999999995</v>
      </c>
      <c r="I18">
        <v>420</v>
      </c>
      <c r="J18" s="218">
        <v>7299.5999999999995</v>
      </c>
    </row>
    <row r="19" spans="2:10">
      <c r="C19" t="s">
        <v>4102</v>
      </c>
      <c r="D19"/>
      <c r="E19">
        <v>300</v>
      </c>
      <c r="F19" s="218">
        <v>26409</v>
      </c>
      <c r="G19">
        <v>300</v>
      </c>
      <c r="H19" s="218">
        <v>26409</v>
      </c>
      <c r="I19">
        <v>300</v>
      </c>
      <c r="J19" s="218">
        <v>26409</v>
      </c>
    </row>
    <row r="20" spans="2:10">
      <c r="B20" t="s">
        <v>4465</v>
      </c>
      <c r="D20"/>
      <c r="E20">
        <v>720</v>
      </c>
      <c r="F20" s="218">
        <v>33708.6</v>
      </c>
      <c r="G20">
        <v>720</v>
      </c>
      <c r="H20" s="218">
        <v>33708.6</v>
      </c>
      <c r="I20">
        <v>720</v>
      </c>
      <c r="J20" s="218">
        <v>33708.6</v>
      </c>
    </row>
    <row r="21" spans="2:10">
      <c r="B21" t="s">
        <v>26</v>
      </c>
      <c r="D21"/>
      <c r="E21">
        <v>10</v>
      </c>
      <c r="F21" s="218">
        <v>3000</v>
      </c>
      <c r="G21">
        <v>10</v>
      </c>
      <c r="H21" s="218">
        <v>3000</v>
      </c>
      <c r="I21">
        <v>10</v>
      </c>
      <c r="J21" s="218">
        <v>3000</v>
      </c>
    </row>
    <row r="22" spans="2:10">
      <c r="B22" t="s">
        <v>27</v>
      </c>
      <c r="D22"/>
      <c r="E22">
        <v>2856</v>
      </c>
      <c r="F22" s="218">
        <v>58859.57</v>
      </c>
      <c r="G22">
        <v>2856</v>
      </c>
      <c r="H22" s="218">
        <v>58859.57</v>
      </c>
      <c r="I22">
        <v>2856</v>
      </c>
      <c r="J22" s="218">
        <v>58859.57</v>
      </c>
    </row>
    <row r="23" spans="2:10">
      <c r="B23" t="s">
        <v>57</v>
      </c>
      <c r="C23" t="s">
        <v>4246</v>
      </c>
      <c r="D23"/>
      <c r="E23">
        <v>5</v>
      </c>
      <c r="F23" s="218">
        <v>2520.65</v>
      </c>
      <c r="G23">
        <v>5</v>
      </c>
      <c r="H23" s="218">
        <v>2520.65</v>
      </c>
      <c r="I23">
        <v>5</v>
      </c>
      <c r="J23" s="218">
        <v>2520.65</v>
      </c>
    </row>
    <row r="24" spans="2:10">
      <c r="C24" t="s">
        <v>4245</v>
      </c>
      <c r="D24"/>
      <c r="E24">
        <v>5</v>
      </c>
      <c r="F24" s="218">
        <v>2530.5500000000002</v>
      </c>
      <c r="G24">
        <v>5</v>
      </c>
      <c r="H24" s="218">
        <v>2530.5500000000002</v>
      </c>
      <c r="I24">
        <v>5</v>
      </c>
      <c r="J24" s="218">
        <v>2530.5500000000002</v>
      </c>
    </row>
    <row r="25" spans="2:10">
      <c r="C25" t="s">
        <v>4251</v>
      </c>
      <c r="D25"/>
      <c r="E25">
        <v>5</v>
      </c>
      <c r="F25" s="218">
        <v>2511.9</v>
      </c>
      <c r="G25">
        <v>5</v>
      </c>
      <c r="H25" s="218">
        <v>2511.9</v>
      </c>
      <c r="I25">
        <v>5</v>
      </c>
      <c r="J25" s="218">
        <v>2511.9</v>
      </c>
    </row>
    <row r="26" spans="2:10">
      <c r="B26" t="s">
        <v>4464</v>
      </c>
      <c r="D26"/>
      <c r="E26">
        <v>15</v>
      </c>
      <c r="F26" s="218">
        <v>7563.1</v>
      </c>
      <c r="G26">
        <v>15</v>
      </c>
      <c r="H26" s="218">
        <v>7563.1</v>
      </c>
      <c r="I26">
        <v>15</v>
      </c>
      <c r="J26" s="218">
        <v>7563.1</v>
      </c>
    </row>
    <row r="27" spans="2:10">
      <c r="B27" t="s">
        <v>58</v>
      </c>
      <c r="D27"/>
      <c r="E27">
        <v>10</v>
      </c>
      <c r="F27" s="218">
        <v>5226</v>
      </c>
      <c r="G27">
        <v>10</v>
      </c>
      <c r="H27" s="218">
        <v>5226</v>
      </c>
      <c r="I27">
        <v>10</v>
      </c>
      <c r="J27" s="218">
        <v>5226</v>
      </c>
    </row>
    <row r="28" spans="2:10">
      <c r="B28" t="s">
        <v>59</v>
      </c>
      <c r="C28" t="s">
        <v>68</v>
      </c>
      <c r="D28"/>
      <c r="E28">
        <v>6</v>
      </c>
      <c r="F28" s="218">
        <v>4792.1400000000003</v>
      </c>
      <c r="G28">
        <v>6</v>
      </c>
      <c r="H28" s="218">
        <v>4792.1400000000003</v>
      </c>
      <c r="I28">
        <v>6</v>
      </c>
      <c r="J28" s="218">
        <v>4792.1400000000003</v>
      </c>
    </row>
    <row r="29" spans="2:10">
      <c r="C29" t="s">
        <v>70</v>
      </c>
      <c r="D29"/>
      <c r="E29">
        <v>6</v>
      </c>
      <c r="F29" s="218">
        <v>3114.7200000000003</v>
      </c>
      <c r="G29">
        <v>6</v>
      </c>
      <c r="H29" s="218">
        <v>3114.7200000000003</v>
      </c>
      <c r="I29">
        <v>6</v>
      </c>
      <c r="J29" s="218">
        <v>3114.7200000000003</v>
      </c>
    </row>
    <row r="30" spans="2:10">
      <c r="C30" t="s">
        <v>74</v>
      </c>
      <c r="D30"/>
      <c r="E30">
        <v>6</v>
      </c>
      <c r="F30" s="218">
        <v>1458.66</v>
      </c>
      <c r="G30">
        <v>6</v>
      </c>
      <c r="H30" s="218">
        <v>1458.66</v>
      </c>
      <c r="I30">
        <v>6</v>
      </c>
      <c r="J30" s="218">
        <v>1458.66</v>
      </c>
    </row>
    <row r="31" spans="2:10">
      <c r="B31" t="s">
        <v>4463</v>
      </c>
      <c r="D31"/>
      <c r="E31">
        <v>18</v>
      </c>
      <c r="F31" s="218">
        <v>9365.52</v>
      </c>
      <c r="G31">
        <v>18</v>
      </c>
      <c r="H31" s="218">
        <v>9365.52</v>
      </c>
      <c r="I31">
        <v>18</v>
      </c>
      <c r="J31" s="218">
        <v>9365.52</v>
      </c>
    </row>
    <row r="32" spans="2:10">
      <c r="B32" t="s">
        <v>83</v>
      </c>
      <c r="D32"/>
      <c r="E32">
        <v>23644</v>
      </c>
      <c r="F32" s="218">
        <v>51051.567493661416</v>
      </c>
      <c r="G32">
        <v>23644</v>
      </c>
      <c r="H32" s="218">
        <v>51051.567493661416</v>
      </c>
      <c r="I32">
        <v>23644</v>
      </c>
      <c r="J32" s="218">
        <v>51051.567493661416</v>
      </c>
    </row>
    <row r="33" spans="2:10">
      <c r="B33" t="s">
        <v>111</v>
      </c>
      <c r="D33"/>
      <c r="E33">
        <v>27273</v>
      </c>
      <c r="F33" s="218">
        <v>168774.3574936614</v>
      </c>
      <c r="G33">
        <v>27273</v>
      </c>
      <c r="H33" s="218">
        <v>168774.3574936614</v>
      </c>
      <c r="I33">
        <v>27273</v>
      </c>
      <c r="J33" s="218">
        <v>168774.3574936614</v>
      </c>
    </row>
    <row r="34" spans="2:10">
      <c r="D34"/>
    </row>
    <row r="35" spans="2:10">
      <c r="D35"/>
    </row>
    <row r="36" spans="2:10">
      <c r="D36"/>
    </row>
    <row r="37" spans="2:10">
      <c r="D37"/>
    </row>
    <row r="38" spans="2:10">
      <c r="D38"/>
    </row>
    <row r="39" spans="2:10">
      <c r="D39"/>
    </row>
    <row r="40" spans="2:10">
      <c r="D40"/>
    </row>
    <row r="41" spans="2:10">
      <c r="D41"/>
    </row>
    <row r="42" spans="2:10">
      <c r="D42"/>
    </row>
    <row r="43" spans="2:10">
      <c r="D43"/>
    </row>
    <row r="44" spans="2:10">
      <c r="D44"/>
    </row>
    <row r="45" spans="2:10">
      <c r="D45"/>
    </row>
    <row r="46" spans="2:10">
      <c r="D46"/>
    </row>
    <row r="47" spans="2:10">
      <c r="D47"/>
    </row>
    <row r="48" spans="2:10">
      <c r="D48"/>
    </row>
    <row r="49" spans="4:4">
      <c r="D49"/>
    </row>
    <row r="50" spans="4:4">
      <c r="D50"/>
    </row>
    <row r="51" spans="4:4">
      <c r="D51"/>
    </row>
    <row r="52" spans="4:4">
      <c r="D52"/>
    </row>
    <row r="53" spans="4:4">
      <c r="D53"/>
    </row>
    <row r="54" spans="4:4">
      <c r="D54"/>
    </row>
    <row r="55" spans="4:4">
      <c r="D55"/>
    </row>
    <row r="56" spans="4:4">
      <c r="D56"/>
    </row>
    <row r="57" spans="4:4">
      <c r="D57"/>
    </row>
    <row r="58" spans="4:4">
      <c r="D58"/>
    </row>
    <row r="59" spans="4:4">
      <c r="D59"/>
    </row>
    <row r="60" spans="4:4">
      <c r="D60"/>
    </row>
    <row r="61" spans="4:4">
      <c r="D61"/>
    </row>
    <row r="62" spans="4:4">
      <c r="D62"/>
    </row>
    <row r="63" spans="4:4">
      <c r="D63"/>
    </row>
    <row r="64" spans="4:4">
      <c r="D64"/>
    </row>
    <row r="65" spans="4:4">
      <c r="D65"/>
    </row>
    <row r="66" spans="4:4">
      <c r="D66"/>
    </row>
    <row r="67" spans="4:4">
      <c r="D67"/>
    </row>
    <row r="68" spans="4:4">
      <c r="D68"/>
    </row>
    <row r="69" spans="4:4">
      <c r="D69"/>
    </row>
    <row r="70" spans="4:4">
      <c r="D70"/>
    </row>
    <row r="71" spans="4:4">
      <c r="D71"/>
    </row>
    <row r="72" spans="4:4">
      <c r="D72"/>
    </row>
    <row r="73" spans="4:4">
      <c r="D73"/>
    </row>
    <row r="74" spans="4:4">
      <c r="D74"/>
    </row>
    <row r="75" spans="4:4">
      <c r="D75"/>
    </row>
    <row r="76" spans="4:4">
      <c r="D76"/>
    </row>
    <row r="77" spans="4:4">
      <c r="D77"/>
    </row>
    <row r="78" spans="4:4">
      <c r="D78"/>
    </row>
    <row r="79" spans="4:4">
      <c r="D79"/>
    </row>
    <row r="80" spans="4:4">
      <c r="D80"/>
    </row>
    <row r="81" spans="4:4">
      <c r="D81"/>
    </row>
    <row r="82" spans="4:4">
      <c r="D82"/>
    </row>
    <row r="83" spans="4:4">
      <c r="D83"/>
    </row>
    <row r="84" spans="4:4">
      <c r="D84"/>
    </row>
    <row r="85" spans="4:4">
      <c r="D85"/>
    </row>
    <row r="86" spans="4:4">
      <c r="D86"/>
    </row>
    <row r="87" spans="4:4">
      <c r="D87"/>
    </row>
    <row r="88" spans="4:4">
      <c r="D88"/>
    </row>
    <row r="89" spans="4:4">
      <c r="D89"/>
    </row>
    <row r="90" spans="4:4">
      <c r="D90"/>
    </row>
    <row r="91" spans="4:4">
      <c r="D91"/>
    </row>
    <row r="92" spans="4:4">
      <c r="D92"/>
    </row>
    <row r="93" spans="4:4">
      <c r="D93"/>
    </row>
    <row r="94" spans="4:4">
      <c r="D94"/>
    </row>
    <row r="95" spans="4:4">
      <c r="D95"/>
    </row>
    <row r="96" spans="4:4">
      <c r="D96"/>
    </row>
    <row r="97" spans="4:4">
      <c r="D97"/>
    </row>
    <row r="98" spans="4:4">
      <c r="D98"/>
    </row>
    <row r="99" spans="4:4">
      <c r="D99"/>
    </row>
    <row r="100" spans="4:4">
      <c r="D100"/>
    </row>
    <row r="101" spans="4:4">
      <c r="D101"/>
    </row>
    <row r="102" spans="4:4">
      <c r="D102"/>
    </row>
    <row r="103" spans="4:4">
      <c r="D103"/>
    </row>
    <row r="104" spans="4:4">
      <c r="D104"/>
    </row>
    <row r="105" spans="4:4">
      <c r="D105"/>
    </row>
    <row r="106" spans="4:4">
      <c r="D106"/>
    </row>
    <row r="107" spans="4:4">
      <c r="D107"/>
    </row>
    <row r="108" spans="4:4">
      <c r="D108"/>
    </row>
    <row r="109" spans="4:4">
      <c r="D109"/>
    </row>
    <row r="110" spans="4:4">
      <c r="D110"/>
    </row>
    <row r="111" spans="4:4">
      <c r="D111"/>
    </row>
    <row r="112" spans="4:4">
      <c r="D112"/>
    </row>
    <row r="113" spans="4:4">
      <c r="D113"/>
    </row>
    <row r="114" spans="4:4">
      <c r="D114"/>
    </row>
    <row r="115" spans="4:4">
      <c r="D115"/>
    </row>
    <row r="116" spans="4:4">
      <c r="D116"/>
    </row>
    <row r="117" spans="4:4">
      <c r="D117"/>
    </row>
    <row r="118" spans="4:4">
      <c r="D118"/>
    </row>
    <row r="119" spans="4:4">
      <c r="D119"/>
    </row>
    <row r="120" spans="4:4">
      <c r="D120"/>
    </row>
    <row r="121" spans="4:4">
      <c r="D121"/>
    </row>
    <row r="122" spans="4:4">
      <c r="D122"/>
    </row>
    <row r="123" spans="4:4">
      <c r="D123"/>
    </row>
    <row r="124" spans="4:4">
      <c r="D124"/>
    </row>
    <row r="125" spans="4:4">
      <c r="D125"/>
    </row>
    <row r="126" spans="4:4">
      <c r="D126"/>
    </row>
    <row r="127" spans="4:4">
      <c r="D127"/>
    </row>
    <row r="128" spans="4:4">
      <c r="D128"/>
    </row>
    <row r="129" spans="4:4">
      <c r="D129"/>
    </row>
    <row r="130" spans="4:4">
      <c r="D130"/>
    </row>
    <row r="131" spans="4:4">
      <c r="D131"/>
    </row>
    <row r="132" spans="4:4">
      <c r="D132"/>
    </row>
    <row r="133" spans="4:4">
      <c r="D133"/>
    </row>
    <row r="134" spans="4:4">
      <c r="D134"/>
    </row>
    <row r="135" spans="4:4">
      <c r="D135"/>
    </row>
    <row r="136" spans="4:4">
      <c r="D136"/>
    </row>
    <row r="137" spans="4:4">
      <c r="D137"/>
    </row>
    <row r="138" spans="4:4">
      <c r="D138"/>
    </row>
    <row r="139" spans="4:4">
      <c r="D139"/>
    </row>
    <row r="140" spans="4:4">
      <c r="D140"/>
    </row>
    <row r="141" spans="4:4">
      <c r="D141"/>
    </row>
    <row r="142" spans="4:4">
      <c r="D142"/>
    </row>
    <row r="143" spans="4:4">
      <c r="D143"/>
    </row>
    <row r="144" spans="4:4">
      <c r="D144"/>
    </row>
    <row r="145" spans="4:4">
      <c r="D145"/>
    </row>
    <row r="146" spans="4:4">
      <c r="D146"/>
    </row>
    <row r="147" spans="4:4">
      <c r="D147"/>
    </row>
    <row r="148" spans="4:4">
      <c r="D148"/>
    </row>
    <row r="149" spans="4:4">
      <c r="D149"/>
    </row>
    <row r="150" spans="4:4">
      <c r="D150"/>
    </row>
    <row r="151" spans="4:4">
      <c r="D151"/>
    </row>
    <row r="152" spans="4:4">
      <c r="D152"/>
    </row>
    <row r="153" spans="4:4">
      <c r="D153"/>
    </row>
    <row r="154" spans="4:4">
      <c r="D154"/>
    </row>
    <row r="155" spans="4:4">
      <c r="D155"/>
    </row>
    <row r="156" spans="4:4">
      <c r="D156"/>
    </row>
    <row r="157" spans="4:4">
      <c r="D157"/>
    </row>
    <row r="158" spans="4:4">
      <c r="D158"/>
    </row>
    <row r="159" spans="4:4">
      <c r="D159"/>
    </row>
    <row r="160" spans="4:4">
      <c r="D160"/>
    </row>
    <row r="161" spans="4:4">
      <c r="D161"/>
    </row>
    <row r="162" spans="4:4">
      <c r="D162"/>
    </row>
    <row r="163" spans="4:4">
      <c r="D163"/>
    </row>
    <row r="164" spans="4:4">
      <c r="D164"/>
    </row>
    <row r="165" spans="4:4">
      <c r="D165"/>
    </row>
    <row r="166" spans="4:4">
      <c r="D166"/>
    </row>
    <row r="167" spans="4:4">
      <c r="D167"/>
    </row>
    <row r="168" spans="4:4">
      <c r="D168"/>
    </row>
    <row r="169" spans="4:4">
      <c r="D169"/>
    </row>
    <row r="170" spans="4:4">
      <c r="D170"/>
    </row>
    <row r="171" spans="4:4">
      <c r="D171"/>
    </row>
    <row r="172" spans="4:4">
      <c r="D172"/>
    </row>
    <row r="173" spans="4:4">
      <c r="D173"/>
    </row>
    <row r="174" spans="4:4">
      <c r="D174"/>
    </row>
    <row r="175" spans="4:4">
      <c r="D175"/>
    </row>
    <row r="176" spans="4:4">
      <c r="D176"/>
    </row>
    <row r="177" spans="4:4">
      <c r="D177"/>
    </row>
    <row r="178" spans="4:4">
      <c r="D178"/>
    </row>
    <row r="179" spans="4:4">
      <c r="D179"/>
    </row>
    <row r="180" spans="4:4">
      <c r="D180"/>
    </row>
    <row r="181" spans="4:4">
      <c r="D181"/>
    </row>
    <row r="182" spans="4:4">
      <c r="D182"/>
    </row>
    <row r="183" spans="4:4">
      <c r="D183"/>
    </row>
    <row r="184" spans="4:4">
      <c r="D184"/>
    </row>
    <row r="185" spans="4:4">
      <c r="D185"/>
    </row>
    <row r="186" spans="4:4">
      <c r="D186"/>
    </row>
    <row r="187" spans="4:4">
      <c r="D187"/>
    </row>
    <row r="188" spans="4:4">
      <c r="D188"/>
    </row>
    <row r="189" spans="4:4">
      <c r="D189"/>
    </row>
    <row r="190" spans="4:4">
      <c r="D190"/>
    </row>
    <row r="191" spans="4:4">
      <c r="D191"/>
    </row>
    <row r="192" spans="4:4">
      <c r="D192"/>
    </row>
    <row r="193" spans="4:4">
      <c r="D193"/>
    </row>
    <row r="194" spans="4:4">
      <c r="D194"/>
    </row>
    <row r="195" spans="4:4">
      <c r="D195"/>
    </row>
    <row r="196" spans="4:4">
      <c r="D196"/>
    </row>
    <row r="197" spans="4:4">
      <c r="D197"/>
    </row>
    <row r="198" spans="4:4">
      <c r="D198"/>
    </row>
    <row r="199" spans="4:4">
      <c r="D199"/>
    </row>
    <row r="200" spans="4:4">
      <c r="D200"/>
    </row>
    <row r="201" spans="4:4">
      <c r="D201"/>
    </row>
    <row r="202" spans="4:4">
      <c r="D202"/>
    </row>
    <row r="203" spans="4:4">
      <c r="D203"/>
    </row>
    <row r="204" spans="4:4">
      <c r="D204"/>
    </row>
    <row r="205" spans="4:4">
      <c r="D205"/>
    </row>
    <row r="206" spans="4:4">
      <c r="D206"/>
    </row>
    <row r="207" spans="4:4">
      <c r="D207"/>
    </row>
    <row r="208" spans="4:4">
      <c r="D208"/>
    </row>
    <row r="209" spans="4:4">
      <c r="D209"/>
    </row>
    <row r="210" spans="4:4">
      <c r="D210"/>
    </row>
    <row r="211" spans="4:4">
      <c r="D211"/>
    </row>
    <row r="212" spans="4:4">
      <c r="D212"/>
    </row>
    <row r="213" spans="4:4">
      <c r="D213"/>
    </row>
    <row r="214" spans="4:4">
      <c r="D214"/>
    </row>
    <row r="215" spans="4:4">
      <c r="D215"/>
    </row>
    <row r="216" spans="4:4">
      <c r="D216"/>
    </row>
    <row r="217" spans="4:4">
      <c r="D217"/>
    </row>
    <row r="218" spans="4:4">
      <c r="D218"/>
    </row>
    <row r="219" spans="4:4">
      <c r="D219"/>
    </row>
    <row r="220" spans="4:4">
      <c r="D220"/>
    </row>
    <row r="221" spans="4:4">
      <c r="D221"/>
    </row>
    <row r="222" spans="4:4">
      <c r="D222"/>
    </row>
    <row r="223" spans="4:4">
      <c r="D223"/>
    </row>
    <row r="224" spans="4:4">
      <c r="D224"/>
    </row>
    <row r="225" spans="4:4">
      <c r="D225"/>
    </row>
    <row r="226" spans="4:4">
      <c r="D226"/>
    </row>
    <row r="227" spans="4:4">
      <c r="D227"/>
    </row>
    <row r="228" spans="4:4">
      <c r="D228"/>
    </row>
    <row r="229" spans="4:4">
      <c r="D229"/>
    </row>
    <row r="230" spans="4:4">
      <c r="D230"/>
    </row>
    <row r="231" spans="4:4">
      <c r="D231"/>
    </row>
    <row r="232" spans="4:4">
      <c r="D232"/>
    </row>
    <row r="233" spans="4:4">
      <c r="D233"/>
    </row>
    <row r="234" spans="4:4">
      <c r="D234"/>
    </row>
    <row r="235" spans="4:4">
      <c r="D235"/>
    </row>
    <row r="236" spans="4:4">
      <c r="D236"/>
    </row>
    <row r="237" spans="4:4">
      <c r="D237"/>
    </row>
    <row r="238" spans="4:4">
      <c r="D238"/>
    </row>
    <row r="239" spans="4:4">
      <c r="D239"/>
    </row>
    <row r="240" spans="4:4">
      <c r="D240"/>
    </row>
    <row r="241" spans="4:4">
      <c r="D241"/>
    </row>
    <row r="242" spans="4:4">
      <c r="D242"/>
    </row>
    <row r="243" spans="4:4">
      <c r="D243"/>
    </row>
    <row r="244" spans="4:4">
      <c r="D244"/>
    </row>
    <row r="245" spans="4:4">
      <c r="D245"/>
    </row>
    <row r="246" spans="4:4">
      <c r="D246"/>
    </row>
    <row r="247" spans="4:4">
      <c r="D247"/>
    </row>
    <row r="248" spans="4:4">
      <c r="D248"/>
    </row>
    <row r="249" spans="4:4">
      <c r="D249"/>
    </row>
    <row r="250" spans="4:4">
      <c r="D250"/>
    </row>
    <row r="251" spans="4:4">
      <c r="D251"/>
    </row>
    <row r="252" spans="4:4">
      <c r="D252"/>
    </row>
    <row r="253" spans="4:4">
      <c r="D253"/>
    </row>
    <row r="254" spans="4:4">
      <c r="D254"/>
    </row>
    <row r="255" spans="4:4">
      <c r="D255"/>
    </row>
    <row r="256" spans="4:4">
      <c r="D256"/>
    </row>
    <row r="257" spans="4:4">
      <c r="D257"/>
    </row>
    <row r="258" spans="4:4">
      <c r="D258"/>
    </row>
    <row r="259" spans="4:4">
      <c r="D259"/>
    </row>
    <row r="260" spans="4:4">
      <c r="D260"/>
    </row>
    <row r="261" spans="4:4">
      <c r="D261"/>
    </row>
    <row r="262" spans="4:4">
      <c r="D262"/>
    </row>
    <row r="263" spans="4:4">
      <c r="D263"/>
    </row>
    <row r="264" spans="4:4">
      <c r="D264"/>
    </row>
    <row r="265" spans="4:4">
      <c r="D265"/>
    </row>
    <row r="266" spans="4:4">
      <c r="D266"/>
    </row>
    <row r="267" spans="4:4">
      <c r="D267"/>
    </row>
    <row r="268" spans="4:4">
      <c r="D268"/>
    </row>
    <row r="269" spans="4:4">
      <c r="D269"/>
    </row>
    <row r="270" spans="4:4">
      <c r="D270"/>
    </row>
    <row r="271" spans="4:4">
      <c r="D271"/>
    </row>
    <row r="272" spans="4:4">
      <c r="D272"/>
    </row>
    <row r="273" spans="4:4">
      <c r="D273"/>
    </row>
    <row r="274" spans="4:4">
      <c r="D274"/>
    </row>
    <row r="275" spans="4:4">
      <c r="D275"/>
    </row>
    <row r="276" spans="4:4">
      <c r="D276"/>
    </row>
    <row r="277" spans="4:4">
      <c r="D277"/>
    </row>
    <row r="278" spans="4:4">
      <c r="D278"/>
    </row>
    <row r="279" spans="4:4">
      <c r="D279"/>
    </row>
    <row r="280" spans="4:4">
      <c r="D280"/>
    </row>
    <row r="281" spans="4:4">
      <c r="D281"/>
    </row>
    <row r="282" spans="4:4">
      <c r="D282"/>
    </row>
    <row r="283" spans="4:4">
      <c r="D283"/>
    </row>
    <row r="284" spans="4:4">
      <c r="D284"/>
    </row>
    <row r="285" spans="4:4">
      <c r="D285"/>
    </row>
    <row r="286" spans="4:4">
      <c r="D286"/>
    </row>
    <row r="287" spans="4:4">
      <c r="D287"/>
    </row>
    <row r="288" spans="4:4">
      <c r="D288"/>
    </row>
    <row r="289" spans="4:4">
      <c r="D289"/>
    </row>
    <row r="290" spans="4:4">
      <c r="D290"/>
    </row>
    <row r="291" spans="4:4">
      <c r="D291"/>
    </row>
    <row r="292" spans="4:4">
      <c r="D292"/>
    </row>
    <row r="293" spans="4:4">
      <c r="D293"/>
    </row>
    <row r="294" spans="4:4">
      <c r="D294"/>
    </row>
    <row r="295" spans="4:4">
      <c r="D295"/>
    </row>
    <row r="296" spans="4:4">
      <c r="D296"/>
    </row>
    <row r="297" spans="4:4">
      <c r="D297"/>
    </row>
    <row r="298" spans="4:4">
      <c r="D298"/>
    </row>
    <row r="299" spans="4:4">
      <c r="D299"/>
    </row>
    <row r="300" spans="4:4">
      <c r="D300"/>
    </row>
    <row r="301" spans="4:4">
      <c r="D301"/>
    </row>
    <row r="302" spans="4:4">
      <c r="D302"/>
    </row>
    <row r="303" spans="4:4">
      <c r="D303"/>
    </row>
    <row r="304" spans="4:4">
      <c r="D304"/>
    </row>
    <row r="305" spans="4:4">
      <c r="D305"/>
    </row>
    <row r="306" spans="4:4">
      <c r="D306"/>
    </row>
    <row r="307" spans="4:4">
      <c r="D307"/>
    </row>
    <row r="308" spans="4:4">
      <c r="D308"/>
    </row>
    <row r="309" spans="4:4">
      <c r="D309"/>
    </row>
    <row r="310" spans="4:4">
      <c r="D310"/>
    </row>
    <row r="311" spans="4:4">
      <c r="D311"/>
    </row>
    <row r="312" spans="4:4">
      <c r="D312"/>
    </row>
    <row r="313" spans="4:4">
      <c r="D313"/>
    </row>
    <row r="314" spans="4:4">
      <c r="D314"/>
    </row>
    <row r="315" spans="4:4">
      <c r="D315"/>
    </row>
    <row r="316" spans="4:4">
      <c r="D316"/>
    </row>
    <row r="317" spans="4:4">
      <c r="D317"/>
    </row>
    <row r="318" spans="4:4">
      <c r="D318"/>
    </row>
    <row r="319" spans="4:4">
      <c r="D319"/>
    </row>
    <row r="320" spans="4:4">
      <c r="D320"/>
    </row>
    <row r="321" spans="4:4">
      <c r="D321"/>
    </row>
    <row r="322" spans="4:4">
      <c r="D322"/>
    </row>
    <row r="323" spans="4:4">
      <c r="D323"/>
    </row>
    <row r="324" spans="4:4">
      <c r="D324"/>
    </row>
    <row r="325" spans="4:4">
      <c r="D325"/>
    </row>
    <row r="326" spans="4:4">
      <c r="D326"/>
    </row>
    <row r="327" spans="4:4">
      <c r="D327"/>
    </row>
    <row r="328" spans="4:4">
      <c r="D328"/>
    </row>
    <row r="329" spans="4:4">
      <c r="D329"/>
    </row>
    <row r="330" spans="4:4">
      <c r="D330"/>
    </row>
    <row r="331" spans="4:4">
      <c r="D331"/>
    </row>
    <row r="332" spans="4:4">
      <c r="D332"/>
    </row>
    <row r="333" spans="4:4">
      <c r="D333"/>
    </row>
    <row r="334" spans="4:4">
      <c r="D334"/>
    </row>
    <row r="335" spans="4:4">
      <c r="D335"/>
    </row>
    <row r="336" spans="4:4">
      <c r="D336"/>
    </row>
    <row r="337" spans="4:4">
      <c r="D337"/>
    </row>
    <row r="338" spans="4:4">
      <c r="D338"/>
    </row>
    <row r="339" spans="4:4">
      <c r="D339"/>
    </row>
    <row r="340" spans="4:4">
      <c r="D340"/>
    </row>
    <row r="341" spans="4:4">
      <c r="D341"/>
    </row>
    <row r="342" spans="4:4">
      <c r="D342"/>
    </row>
    <row r="343" spans="4:4">
      <c r="D343"/>
    </row>
    <row r="344" spans="4:4">
      <c r="D344"/>
    </row>
    <row r="345" spans="4:4">
      <c r="D345"/>
    </row>
    <row r="346" spans="4:4">
      <c r="D346"/>
    </row>
    <row r="347" spans="4:4">
      <c r="D347"/>
    </row>
    <row r="348" spans="4:4">
      <c r="D348"/>
    </row>
    <row r="349" spans="4:4">
      <c r="D349"/>
    </row>
    <row r="350" spans="4:4">
      <c r="D350"/>
    </row>
    <row r="351" spans="4:4">
      <c r="D351"/>
    </row>
    <row r="352" spans="4:4">
      <c r="D352"/>
    </row>
    <row r="353" spans="4:4">
      <c r="D353"/>
    </row>
    <row r="354" spans="4:4">
      <c r="D354"/>
    </row>
    <row r="355" spans="4:4">
      <c r="D355"/>
    </row>
    <row r="356" spans="4:4">
      <c r="D356"/>
    </row>
    <row r="357" spans="4:4">
      <c r="D357"/>
    </row>
    <row r="358" spans="4:4">
      <c r="D358"/>
    </row>
    <row r="359" spans="4:4">
      <c r="D359"/>
    </row>
    <row r="360" spans="4:4">
      <c r="D360"/>
    </row>
    <row r="361" spans="4:4">
      <c r="D361"/>
    </row>
    <row r="362" spans="4:4">
      <c r="D362"/>
    </row>
    <row r="363" spans="4:4">
      <c r="D363"/>
    </row>
    <row r="364" spans="4:4">
      <c r="D364"/>
    </row>
    <row r="365" spans="4:4">
      <c r="D365"/>
    </row>
    <row r="366" spans="4:4">
      <c r="D366"/>
    </row>
    <row r="367" spans="4:4">
      <c r="D367"/>
    </row>
    <row r="368" spans="4:4">
      <c r="D368"/>
    </row>
    <row r="369" spans="4:4">
      <c r="D369"/>
    </row>
    <row r="370" spans="4:4">
      <c r="D370"/>
    </row>
    <row r="371" spans="4:4">
      <c r="D371"/>
    </row>
    <row r="372" spans="4:4">
      <c r="D372"/>
    </row>
    <row r="373" spans="4:4">
      <c r="D373"/>
    </row>
    <row r="374" spans="4:4">
      <c r="D374"/>
    </row>
    <row r="375" spans="4:4">
      <c r="D375"/>
    </row>
    <row r="376" spans="4:4">
      <c r="D376"/>
    </row>
    <row r="377" spans="4:4">
      <c r="D377"/>
    </row>
    <row r="378" spans="4:4">
      <c r="D378"/>
    </row>
    <row r="379" spans="4:4">
      <c r="D379"/>
    </row>
    <row r="380" spans="4:4">
      <c r="D380"/>
    </row>
    <row r="381" spans="4:4">
      <c r="D381"/>
    </row>
    <row r="382" spans="4:4">
      <c r="D382"/>
    </row>
    <row r="383" spans="4:4">
      <c r="D383"/>
    </row>
    <row r="384" spans="4:4">
      <c r="D384"/>
    </row>
    <row r="385" spans="4:4">
      <c r="D385"/>
    </row>
    <row r="386" spans="4:4">
      <c r="D386"/>
    </row>
    <row r="387" spans="4:4">
      <c r="D387"/>
    </row>
    <row r="388" spans="4:4">
      <c r="D388"/>
    </row>
    <row r="389" spans="4:4">
      <c r="D389"/>
    </row>
    <row r="390" spans="4:4">
      <c r="D390"/>
    </row>
    <row r="391" spans="4:4">
      <c r="D391"/>
    </row>
    <row r="392" spans="4:4">
      <c r="D392"/>
    </row>
    <row r="393" spans="4:4">
      <c r="D393"/>
    </row>
    <row r="394" spans="4:4">
      <c r="D394"/>
    </row>
    <row r="395" spans="4:4">
      <c r="D395"/>
    </row>
    <row r="396" spans="4:4">
      <c r="D396"/>
    </row>
    <row r="397" spans="4:4">
      <c r="D397"/>
    </row>
    <row r="398" spans="4:4">
      <c r="D398"/>
    </row>
    <row r="399" spans="4:4">
      <c r="D399"/>
    </row>
    <row r="400" spans="4:4">
      <c r="D400"/>
    </row>
    <row r="401" spans="4:4">
      <c r="D401"/>
    </row>
    <row r="402" spans="4:4">
      <c r="D402"/>
    </row>
    <row r="403" spans="4:4">
      <c r="D403"/>
    </row>
    <row r="404" spans="4:4">
      <c r="D404"/>
    </row>
    <row r="405" spans="4:4">
      <c r="D405"/>
    </row>
    <row r="406" spans="4:4">
      <c r="D406"/>
    </row>
    <row r="407" spans="4:4">
      <c r="D407"/>
    </row>
    <row r="408" spans="4:4">
      <c r="D408"/>
    </row>
    <row r="409" spans="4:4">
      <c r="D409"/>
    </row>
    <row r="410" spans="4:4">
      <c r="D410"/>
    </row>
    <row r="411" spans="4:4">
      <c r="D411"/>
    </row>
    <row r="412" spans="4:4">
      <c r="D412"/>
    </row>
    <row r="413" spans="4:4">
      <c r="D413"/>
    </row>
    <row r="414" spans="4:4">
      <c r="D414"/>
    </row>
    <row r="415" spans="4:4">
      <c r="D415"/>
    </row>
    <row r="416" spans="4:4">
      <c r="D416"/>
    </row>
    <row r="417" spans="4:4">
      <c r="D417"/>
    </row>
    <row r="418" spans="4:4">
      <c r="D418"/>
    </row>
    <row r="419" spans="4:4">
      <c r="D419"/>
    </row>
    <row r="420" spans="4:4">
      <c r="D420"/>
    </row>
    <row r="421" spans="4:4">
      <c r="D421"/>
    </row>
    <row r="422" spans="4:4">
      <c r="D422"/>
    </row>
    <row r="423" spans="4:4">
      <c r="D423"/>
    </row>
    <row r="424" spans="4:4">
      <c r="D424"/>
    </row>
    <row r="425" spans="4:4">
      <c r="D425"/>
    </row>
    <row r="426" spans="4:4">
      <c r="D426"/>
    </row>
    <row r="427" spans="4:4">
      <c r="D427"/>
    </row>
    <row r="428" spans="4:4">
      <c r="D428"/>
    </row>
    <row r="429" spans="4:4">
      <c r="D429"/>
    </row>
    <row r="430" spans="4:4">
      <c r="D430"/>
    </row>
    <row r="431" spans="4:4">
      <c r="D431"/>
    </row>
    <row r="432" spans="4:4">
      <c r="D432"/>
    </row>
    <row r="433" spans="4:4">
      <c r="D433"/>
    </row>
    <row r="434" spans="4:4">
      <c r="D434"/>
    </row>
    <row r="435" spans="4:4">
      <c r="D435"/>
    </row>
    <row r="436" spans="4:4">
      <c r="D436"/>
    </row>
    <row r="437" spans="4:4">
      <c r="D437"/>
    </row>
    <row r="438" spans="4:4">
      <c r="D438"/>
    </row>
    <row r="439" spans="4:4">
      <c r="D439"/>
    </row>
    <row r="440" spans="4:4">
      <c r="D440"/>
    </row>
    <row r="441" spans="4:4">
      <c r="D441"/>
    </row>
    <row r="442" spans="4:4">
      <c r="D442"/>
    </row>
    <row r="443" spans="4:4">
      <c r="D443"/>
    </row>
    <row r="444" spans="4:4">
      <c r="D444"/>
    </row>
    <row r="445" spans="4:4">
      <c r="D445"/>
    </row>
    <row r="446" spans="4:4">
      <c r="D446"/>
    </row>
    <row r="447" spans="4:4">
      <c r="D447"/>
    </row>
    <row r="448" spans="4:4">
      <c r="D448"/>
    </row>
    <row r="449" spans="4:4">
      <c r="D449"/>
    </row>
    <row r="450" spans="4:4">
      <c r="D450"/>
    </row>
    <row r="451" spans="4:4">
      <c r="D451"/>
    </row>
    <row r="452" spans="4:4">
      <c r="D452"/>
    </row>
    <row r="453" spans="4:4">
      <c r="D453"/>
    </row>
    <row r="454" spans="4:4">
      <c r="D454"/>
    </row>
    <row r="455" spans="4:4">
      <c r="D455"/>
    </row>
    <row r="456" spans="4:4">
      <c r="D456"/>
    </row>
    <row r="457" spans="4:4">
      <c r="D457"/>
    </row>
    <row r="458" spans="4:4">
      <c r="D458"/>
    </row>
    <row r="459" spans="4:4">
      <c r="D459"/>
    </row>
    <row r="460" spans="4:4">
      <c r="D460"/>
    </row>
    <row r="461" spans="4:4">
      <c r="D461"/>
    </row>
    <row r="462" spans="4:4">
      <c r="D462"/>
    </row>
    <row r="463" spans="4:4">
      <c r="D463"/>
    </row>
    <row r="464" spans="4:4">
      <c r="D464"/>
    </row>
    <row r="465" spans="4:4">
      <c r="D465"/>
    </row>
    <row r="466" spans="4:4">
      <c r="D466"/>
    </row>
    <row r="467" spans="4:4">
      <c r="D467"/>
    </row>
    <row r="468" spans="4:4">
      <c r="D468"/>
    </row>
    <row r="469" spans="4:4">
      <c r="D469"/>
    </row>
    <row r="470" spans="4:4">
      <c r="D470"/>
    </row>
    <row r="471" spans="4:4">
      <c r="D471"/>
    </row>
    <row r="472" spans="4:4">
      <c r="D472"/>
    </row>
    <row r="473" spans="4:4">
      <c r="D473"/>
    </row>
    <row r="474" spans="4:4">
      <c r="D474"/>
    </row>
    <row r="475" spans="4:4">
      <c r="D475"/>
    </row>
    <row r="476" spans="4:4">
      <c r="D476"/>
    </row>
    <row r="477" spans="4:4">
      <c r="D477"/>
    </row>
    <row r="478" spans="4:4">
      <c r="D478"/>
    </row>
    <row r="479" spans="4:4">
      <c r="D479"/>
    </row>
    <row r="480" spans="4:4">
      <c r="D480"/>
    </row>
    <row r="481" spans="4:4">
      <c r="D481"/>
    </row>
    <row r="482" spans="4:4">
      <c r="D482"/>
    </row>
    <row r="483" spans="4:4">
      <c r="D483"/>
    </row>
    <row r="484" spans="4:4">
      <c r="D484"/>
    </row>
    <row r="485" spans="4:4">
      <c r="D485"/>
    </row>
    <row r="486" spans="4:4">
      <c r="D486"/>
    </row>
    <row r="487" spans="4:4">
      <c r="D487"/>
    </row>
    <row r="488" spans="4:4">
      <c r="D488"/>
    </row>
    <row r="489" spans="4:4">
      <c r="D489"/>
    </row>
    <row r="490" spans="4:4">
      <c r="D490"/>
    </row>
    <row r="491" spans="4:4">
      <c r="D491"/>
    </row>
    <row r="492" spans="4:4">
      <c r="D492"/>
    </row>
    <row r="493" spans="4:4">
      <c r="D493"/>
    </row>
    <row r="494" spans="4:4">
      <c r="D494"/>
    </row>
    <row r="495" spans="4:4">
      <c r="D495"/>
    </row>
    <row r="496" spans="4:4">
      <c r="D496"/>
    </row>
    <row r="497" spans="4:4">
      <c r="D497"/>
    </row>
    <row r="498" spans="4:4">
      <c r="D498"/>
    </row>
    <row r="499" spans="4:4">
      <c r="D499"/>
    </row>
    <row r="500" spans="4:4">
      <c r="D500"/>
    </row>
    <row r="501" spans="4:4">
      <c r="D501"/>
    </row>
    <row r="502" spans="4:4">
      <c r="D502"/>
    </row>
    <row r="503" spans="4:4">
      <c r="D503"/>
    </row>
    <row r="504" spans="4:4">
      <c r="D504"/>
    </row>
    <row r="505" spans="4:4">
      <c r="D505"/>
    </row>
    <row r="506" spans="4:4">
      <c r="D506"/>
    </row>
    <row r="507" spans="4:4">
      <c r="D507"/>
    </row>
    <row r="508" spans="4:4">
      <c r="D508"/>
    </row>
    <row r="509" spans="4:4">
      <c r="D509"/>
    </row>
    <row r="510" spans="4:4">
      <c r="D510"/>
    </row>
    <row r="511" spans="4:4">
      <c r="D511"/>
    </row>
    <row r="512" spans="4:4">
      <c r="D512"/>
    </row>
    <row r="513" spans="4:4">
      <c r="D513"/>
    </row>
    <row r="514" spans="4:4">
      <c r="D514"/>
    </row>
    <row r="515" spans="4:4">
      <c r="D515"/>
    </row>
    <row r="516" spans="4:4">
      <c r="D516"/>
    </row>
    <row r="517" spans="4:4">
      <c r="D517"/>
    </row>
    <row r="518" spans="4:4">
      <c r="D518"/>
    </row>
    <row r="519" spans="4:4">
      <c r="D519"/>
    </row>
    <row r="520" spans="4:4">
      <c r="D520"/>
    </row>
    <row r="521" spans="4:4">
      <c r="D521"/>
    </row>
    <row r="522" spans="4:4">
      <c r="D522"/>
    </row>
    <row r="523" spans="4:4">
      <c r="D523"/>
    </row>
    <row r="524" spans="4:4">
      <c r="D524"/>
    </row>
    <row r="525" spans="4:4">
      <c r="D525"/>
    </row>
    <row r="526" spans="4:4">
      <c r="D526"/>
    </row>
    <row r="527" spans="4:4">
      <c r="D527"/>
    </row>
    <row r="528" spans="4:4">
      <c r="D528"/>
    </row>
    <row r="529" spans="4:4">
      <c r="D529"/>
    </row>
    <row r="530" spans="4:4">
      <c r="D530"/>
    </row>
    <row r="531" spans="4:4">
      <c r="D531"/>
    </row>
    <row r="532" spans="4:4">
      <c r="D532"/>
    </row>
    <row r="533" spans="4:4">
      <c r="D533"/>
    </row>
    <row r="534" spans="4:4">
      <c r="D534"/>
    </row>
    <row r="535" spans="4:4">
      <c r="D535"/>
    </row>
    <row r="536" spans="4:4">
      <c r="D536"/>
    </row>
    <row r="537" spans="4:4">
      <c r="D537"/>
    </row>
    <row r="538" spans="4:4">
      <c r="D538"/>
    </row>
    <row r="539" spans="4:4">
      <c r="D539"/>
    </row>
    <row r="540" spans="4:4">
      <c r="D540"/>
    </row>
    <row r="541" spans="4:4">
      <c r="D541"/>
    </row>
    <row r="542" spans="4:4">
      <c r="D542"/>
    </row>
    <row r="543" spans="4:4">
      <c r="D543"/>
    </row>
    <row r="544" spans="4:4">
      <c r="D544"/>
    </row>
    <row r="545" spans="4:4">
      <c r="D545"/>
    </row>
    <row r="546" spans="4:4">
      <c r="D546"/>
    </row>
    <row r="547" spans="4:4">
      <c r="D547"/>
    </row>
    <row r="548" spans="4:4">
      <c r="D548"/>
    </row>
    <row r="549" spans="4:4">
      <c r="D549"/>
    </row>
    <row r="550" spans="4:4">
      <c r="D550"/>
    </row>
    <row r="551" spans="4:4">
      <c r="D551"/>
    </row>
    <row r="552" spans="4:4">
      <c r="D552"/>
    </row>
    <row r="553" spans="4:4">
      <c r="D553"/>
    </row>
    <row r="554" spans="4:4">
      <c r="D554"/>
    </row>
    <row r="555" spans="4:4">
      <c r="D555"/>
    </row>
    <row r="556" spans="4:4">
      <c r="D556"/>
    </row>
    <row r="557" spans="4:4">
      <c r="D557"/>
    </row>
    <row r="558" spans="4:4">
      <c r="D558"/>
    </row>
    <row r="559" spans="4:4">
      <c r="D559"/>
    </row>
    <row r="560" spans="4:4">
      <c r="D560"/>
    </row>
    <row r="561" spans="4:4">
      <c r="D561"/>
    </row>
    <row r="562" spans="4:4">
      <c r="D562"/>
    </row>
    <row r="563" spans="4:4">
      <c r="D563"/>
    </row>
    <row r="564" spans="4:4">
      <c r="D564"/>
    </row>
    <row r="565" spans="4:4">
      <c r="D565"/>
    </row>
    <row r="566" spans="4:4">
      <c r="D566"/>
    </row>
    <row r="567" spans="4:4">
      <c r="D567"/>
    </row>
    <row r="568" spans="4:4">
      <c r="D568"/>
    </row>
    <row r="569" spans="4:4">
      <c r="D569"/>
    </row>
    <row r="570" spans="4:4">
      <c r="D570"/>
    </row>
    <row r="571" spans="4:4">
      <c r="D571"/>
    </row>
    <row r="572" spans="4:4">
      <c r="D572"/>
    </row>
    <row r="573" spans="4:4">
      <c r="D573"/>
    </row>
    <row r="574" spans="4:4">
      <c r="D574"/>
    </row>
    <row r="575" spans="4:4">
      <c r="D575"/>
    </row>
    <row r="576" spans="4:4">
      <c r="D576"/>
    </row>
    <row r="577" spans="4:4">
      <c r="D577"/>
    </row>
    <row r="578" spans="4:4">
      <c r="D578"/>
    </row>
    <row r="579" spans="4:4">
      <c r="D579"/>
    </row>
    <row r="580" spans="4:4">
      <c r="D580"/>
    </row>
    <row r="581" spans="4:4">
      <c r="D581"/>
    </row>
    <row r="582" spans="4:4">
      <c r="D582"/>
    </row>
    <row r="583" spans="4:4">
      <c r="D583"/>
    </row>
    <row r="584" spans="4:4">
      <c r="D584"/>
    </row>
    <row r="585" spans="4:4">
      <c r="D585"/>
    </row>
    <row r="586" spans="4:4">
      <c r="D586"/>
    </row>
    <row r="587" spans="4:4">
      <c r="D587"/>
    </row>
    <row r="588" spans="4:4">
      <c r="D588"/>
    </row>
    <row r="589" spans="4:4">
      <c r="D589"/>
    </row>
    <row r="590" spans="4:4">
      <c r="D590"/>
    </row>
    <row r="591" spans="4:4">
      <c r="D591"/>
    </row>
    <row r="592" spans="4:4">
      <c r="D592"/>
    </row>
    <row r="593" spans="4:4">
      <c r="D593"/>
    </row>
    <row r="594" spans="4:4">
      <c r="D594"/>
    </row>
    <row r="595" spans="4:4">
      <c r="D595"/>
    </row>
    <row r="596" spans="4:4">
      <c r="D596"/>
    </row>
    <row r="597" spans="4:4">
      <c r="D597"/>
    </row>
    <row r="598" spans="4:4">
      <c r="D598"/>
    </row>
    <row r="599" spans="4:4">
      <c r="D599"/>
    </row>
    <row r="600" spans="4:4">
      <c r="D600"/>
    </row>
    <row r="601" spans="4:4">
      <c r="D601"/>
    </row>
    <row r="602" spans="4:4">
      <c r="D602"/>
    </row>
    <row r="603" spans="4:4">
      <c r="D603"/>
    </row>
    <row r="604" spans="4:4">
      <c r="D604"/>
    </row>
    <row r="605" spans="4:4">
      <c r="D605"/>
    </row>
    <row r="606" spans="4:4">
      <c r="D606"/>
    </row>
    <row r="607" spans="4:4">
      <c r="D607"/>
    </row>
    <row r="608" spans="4:4">
      <c r="D608"/>
    </row>
    <row r="609" spans="4:4">
      <c r="D609"/>
    </row>
    <row r="610" spans="4:4">
      <c r="D610"/>
    </row>
    <row r="611" spans="4:4">
      <c r="D611"/>
    </row>
    <row r="612" spans="4:4">
      <c r="D612"/>
    </row>
    <row r="613" spans="4:4">
      <c r="D613"/>
    </row>
    <row r="614" spans="4:4">
      <c r="D614"/>
    </row>
    <row r="615" spans="4:4">
      <c r="D615"/>
    </row>
    <row r="616" spans="4:4">
      <c r="D616"/>
    </row>
    <row r="617" spans="4:4">
      <c r="D617"/>
    </row>
    <row r="618" spans="4:4">
      <c r="D618"/>
    </row>
    <row r="619" spans="4:4">
      <c r="D619"/>
    </row>
    <row r="620" spans="4:4">
      <c r="D620"/>
    </row>
    <row r="621" spans="4:4">
      <c r="D621"/>
    </row>
    <row r="622" spans="4:4">
      <c r="D622"/>
    </row>
    <row r="623" spans="4:4">
      <c r="D623"/>
    </row>
    <row r="624" spans="4:4">
      <c r="D624"/>
    </row>
    <row r="625" spans="4:4">
      <c r="D625"/>
    </row>
    <row r="626" spans="4:4">
      <c r="D626"/>
    </row>
    <row r="627" spans="4:4">
      <c r="D627"/>
    </row>
    <row r="628" spans="4:4">
      <c r="D628"/>
    </row>
    <row r="629" spans="4:4">
      <c r="D629"/>
    </row>
    <row r="630" spans="4:4">
      <c r="D630"/>
    </row>
    <row r="631" spans="4:4">
      <c r="D631"/>
    </row>
    <row r="632" spans="4:4">
      <c r="D632"/>
    </row>
    <row r="633" spans="4:4">
      <c r="D633"/>
    </row>
    <row r="634" spans="4:4">
      <c r="D634"/>
    </row>
    <row r="635" spans="4:4">
      <c r="D635"/>
    </row>
    <row r="636" spans="4:4">
      <c r="D636"/>
    </row>
    <row r="637" spans="4:4">
      <c r="D637"/>
    </row>
    <row r="638" spans="4:4">
      <c r="D638"/>
    </row>
    <row r="639" spans="4:4">
      <c r="D639"/>
    </row>
    <row r="640" spans="4:4">
      <c r="D640"/>
    </row>
    <row r="641" spans="4:4">
      <c r="D641"/>
    </row>
    <row r="642" spans="4:4">
      <c r="D642"/>
    </row>
    <row r="643" spans="4:4">
      <c r="D643"/>
    </row>
    <row r="644" spans="4:4">
      <c r="D644"/>
    </row>
    <row r="645" spans="4:4">
      <c r="D645"/>
    </row>
    <row r="646" spans="4:4">
      <c r="D646"/>
    </row>
    <row r="647" spans="4:4">
      <c r="D647"/>
    </row>
    <row r="648" spans="4:4">
      <c r="D648"/>
    </row>
    <row r="649" spans="4:4">
      <c r="D649"/>
    </row>
    <row r="650" spans="4:4">
      <c r="D650"/>
    </row>
    <row r="651" spans="4:4">
      <c r="D651"/>
    </row>
    <row r="652" spans="4:4">
      <c r="D652"/>
    </row>
    <row r="653" spans="4:4">
      <c r="D653"/>
    </row>
    <row r="654" spans="4:4">
      <c r="D654"/>
    </row>
    <row r="655" spans="4:4">
      <c r="D655"/>
    </row>
    <row r="656" spans="4:4">
      <c r="D656"/>
    </row>
    <row r="657" spans="4:4">
      <c r="D657"/>
    </row>
    <row r="658" spans="4:4">
      <c r="D658"/>
    </row>
    <row r="659" spans="4:4">
      <c r="D659"/>
    </row>
    <row r="660" spans="4:4">
      <c r="D660"/>
    </row>
    <row r="661" spans="4:4">
      <c r="D661"/>
    </row>
    <row r="662" spans="4:4">
      <c r="D662"/>
    </row>
    <row r="663" spans="4:4">
      <c r="D663"/>
    </row>
    <row r="664" spans="4:4">
      <c r="D664"/>
    </row>
    <row r="665" spans="4:4">
      <c r="D665"/>
    </row>
    <row r="666" spans="4:4">
      <c r="D666"/>
    </row>
    <row r="667" spans="4:4">
      <c r="D667"/>
    </row>
    <row r="668" spans="4:4">
      <c r="D668"/>
    </row>
    <row r="669" spans="4:4">
      <c r="D669"/>
    </row>
    <row r="670" spans="4:4">
      <c r="D670"/>
    </row>
    <row r="671" spans="4:4">
      <c r="D671"/>
    </row>
    <row r="672" spans="4:4">
      <c r="D672"/>
    </row>
    <row r="673" spans="4:4">
      <c r="D673"/>
    </row>
    <row r="674" spans="4:4">
      <c r="D674"/>
    </row>
    <row r="675" spans="4:4">
      <c r="D675"/>
    </row>
    <row r="676" spans="4:4">
      <c r="D676"/>
    </row>
    <row r="677" spans="4:4">
      <c r="D677"/>
    </row>
    <row r="678" spans="4:4">
      <c r="D678"/>
    </row>
    <row r="679" spans="4:4">
      <c r="D679"/>
    </row>
    <row r="680" spans="4:4">
      <c r="D680"/>
    </row>
    <row r="681" spans="4:4">
      <c r="D681"/>
    </row>
    <row r="682" spans="4:4">
      <c r="D682"/>
    </row>
    <row r="683" spans="4:4">
      <c r="D683"/>
    </row>
    <row r="684" spans="4:4">
      <c r="D684"/>
    </row>
    <row r="685" spans="4:4">
      <c r="D685"/>
    </row>
    <row r="686" spans="4:4">
      <c r="D686"/>
    </row>
    <row r="687" spans="4:4">
      <c r="D687"/>
    </row>
    <row r="688" spans="4:4">
      <c r="D688"/>
    </row>
    <row r="689" spans="4:4">
      <c r="D689"/>
    </row>
    <row r="690" spans="4:4">
      <c r="D690"/>
    </row>
    <row r="691" spans="4:4">
      <c r="D691"/>
    </row>
    <row r="692" spans="4:4">
      <c r="D692"/>
    </row>
    <row r="693" spans="4:4">
      <c r="D693"/>
    </row>
    <row r="694" spans="4:4">
      <c r="D694"/>
    </row>
    <row r="695" spans="4:4">
      <c r="D695"/>
    </row>
    <row r="696" spans="4:4">
      <c r="D696"/>
    </row>
    <row r="697" spans="4:4">
      <c r="D697"/>
    </row>
    <row r="698" spans="4:4">
      <c r="D698"/>
    </row>
    <row r="699" spans="4:4">
      <c r="D699"/>
    </row>
    <row r="700" spans="4:4">
      <c r="D700"/>
    </row>
    <row r="701" spans="4:4">
      <c r="D701"/>
    </row>
    <row r="702" spans="4:4">
      <c r="D702"/>
    </row>
    <row r="703" spans="4:4">
      <c r="D703"/>
    </row>
    <row r="704" spans="4:4">
      <c r="D704"/>
    </row>
    <row r="705" spans="4:4">
      <c r="D705"/>
    </row>
    <row r="706" spans="4:4">
      <c r="D706"/>
    </row>
    <row r="707" spans="4:4">
      <c r="D707"/>
    </row>
    <row r="708" spans="4:4">
      <c r="D708"/>
    </row>
    <row r="709" spans="4:4">
      <c r="D709"/>
    </row>
    <row r="710" spans="4:4">
      <c r="D710"/>
    </row>
    <row r="711" spans="4:4">
      <c r="D711"/>
    </row>
    <row r="712" spans="4:4">
      <c r="D712"/>
    </row>
    <row r="713" spans="4:4">
      <c r="D713"/>
    </row>
    <row r="714" spans="4:4">
      <c r="D714"/>
    </row>
    <row r="715" spans="4:4">
      <c r="D715"/>
    </row>
    <row r="716" spans="4:4">
      <c r="D716"/>
    </row>
    <row r="717" spans="4:4">
      <c r="D717"/>
    </row>
    <row r="718" spans="4:4">
      <c r="D718"/>
    </row>
    <row r="719" spans="4:4">
      <c r="D719"/>
    </row>
    <row r="720" spans="4:4">
      <c r="D720"/>
    </row>
    <row r="721" spans="4:4">
      <c r="D721"/>
    </row>
    <row r="722" spans="4:4">
      <c r="D722"/>
    </row>
    <row r="723" spans="4:4">
      <c r="D723"/>
    </row>
    <row r="724" spans="4:4">
      <c r="D724"/>
    </row>
    <row r="725" spans="4:4">
      <c r="D725"/>
    </row>
    <row r="726" spans="4:4">
      <c r="D726"/>
    </row>
    <row r="727" spans="4:4">
      <c r="D727"/>
    </row>
    <row r="728" spans="4:4">
      <c r="D728"/>
    </row>
    <row r="729" spans="4:4">
      <c r="D729"/>
    </row>
    <row r="730" spans="4:4">
      <c r="D730"/>
    </row>
    <row r="731" spans="4:4">
      <c r="D731"/>
    </row>
    <row r="732" spans="4:4">
      <c r="D732"/>
    </row>
    <row r="733" spans="4:4">
      <c r="D733"/>
    </row>
    <row r="734" spans="4:4">
      <c r="D734"/>
    </row>
    <row r="735" spans="4:4">
      <c r="D735"/>
    </row>
    <row r="736" spans="4:4">
      <c r="D736"/>
    </row>
    <row r="737" spans="4:4">
      <c r="D737"/>
    </row>
    <row r="738" spans="4:4">
      <c r="D738"/>
    </row>
    <row r="739" spans="4:4">
      <c r="D739"/>
    </row>
    <row r="740" spans="4:4">
      <c r="D740"/>
    </row>
    <row r="741" spans="4:4">
      <c r="D741"/>
    </row>
    <row r="742" spans="4:4">
      <c r="D742"/>
    </row>
    <row r="743" spans="4:4">
      <c r="D743"/>
    </row>
    <row r="744" spans="4:4">
      <c r="D744"/>
    </row>
    <row r="745" spans="4:4">
      <c r="D745"/>
    </row>
    <row r="746" spans="4:4">
      <c r="D746"/>
    </row>
    <row r="747" spans="4:4">
      <c r="D747"/>
    </row>
    <row r="748" spans="4:4">
      <c r="D748"/>
    </row>
    <row r="749" spans="4:4">
      <c r="D749"/>
    </row>
    <row r="750" spans="4:4">
      <c r="D750"/>
    </row>
    <row r="751" spans="4:4">
      <c r="D751"/>
    </row>
    <row r="752" spans="4:4">
      <c r="D752"/>
    </row>
    <row r="753" spans="4:4">
      <c r="D753"/>
    </row>
    <row r="754" spans="4:4">
      <c r="D754"/>
    </row>
    <row r="755" spans="4:4">
      <c r="D755"/>
    </row>
    <row r="756" spans="4:4">
      <c r="D756"/>
    </row>
    <row r="757" spans="4:4">
      <c r="D757"/>
    </row>
    <row r="758" spans="4:4">
      <c r="D758"/>
    </row>
    <row r="759" spans="4:4">
      <c r="D759"/>
    </row>
    <row r="760" spans="4:4">
      <c r="D760"/>
    </row>
    <row r="761" spans="4:4">
      <c r="D761"/>
    </row>
    <row r="762" spans="4:4">
      <c r="D762"/>
    </row>
    <row r="763" spans="4:4">
      <c r="D763"/>
    </row>
    <row r="764" spans="4:4">
      <c r="D764"/>
    </row>
    <row r="765" spans="4:4">
      <c r="D765"/>
    </row>
    <row r="766" spans="4:4">
      <c r="D766"/>
    </row>
    <row r="767" spans="4:4">
      <c r="D767"/>
    </row>
    <row r="768" spans="4:4">
      <c r="D768"/>
    </row>
    <row r="769" spans="4:4">
      <c r="D769"/>
    </row>
    <row r="770" spans="4:4">
      <c r="D770"/>
    </row>
    <row r="771" spans="4:4">
      <c r="D771"/>
    </row>
    <row r="772" spans="4:4">
      <c r="D772"/>
    </row>
    <row r="773" spans="4:4">
      <c r="D773"/>
    </row>
    <row r="774" spans="4:4">
      <c r="D774"/>
    </row>
    <row r="775" spans="4:4">
      <c r="D775"/>
    </row>
    <row r="776" spans="4:4">
      <c r="D776"/>
    </row>
    <row r="777" spans="4:4">
      <c r="D777"/>
    </row>
    <row r="778" spans="4:4">
      <c r="D778"/>
    </row>
    <row r="779" spans="4:4">
      <c r="D779"/>
    </row>
    <row r="780" spans="4:4">
      <c r="D780"/>
    </row>
    <row r="781" spans="4:4">
      <c r="D781"/>
    </row>
    <row r="782" spans="4:4">
      <c r="D782"/>
    </row>
    <row r="783" spans="4:4">
      <c r="D783"/>
    </row>
    <row r="784" spans="4:4">
      <c r="D784"/>
    </row>
    <row r="785" spans="4:4">
      <c r="D785"/>
    </row>
    <row r="786" spans="4:4">
      <c r="D786"/>
    </row>
    <row r="787" spans="4:4">
      <c r="D787"/>
    </row>
    <row r="788" spans="4:4">
      <c r="D788"/>
    </row>
    <row r="789" spans="4:4">
      <c r="D789"/>
    </row>
    <row r="790" spans="4:4">
      <c r="D790"/>
    </row>
    <row r="791" spans="4:4">
      <c r="D791"/>
    </row>
    <row r="792" spans="4:4">
      <c r="D792"/>
    </row>
    <row r="793" spans="4:4">
      <c r="D793"/>
    </row>
    <row r="794" spans="4:4">
      <c r="D794"/>
    </row>
    <row r="795" spans="4:4">
      <c r="D795"/>
    </row>
    <row r="796" spans="4:4">
      <c r="D796"/>
    </row>
    <row r="797" spans="4:4">
      <c r="D797"/>
    </row>
    <row r="798" spans="4:4">
      <c r="D798"/>
    </row>
    <row r="799" spans="4:4">
      <c r="D799"/>
    </row>
    <row r="800" spans="4:4">
      <c r="D800"/>
    </row>
    <row r="801" spans="4:4">
      <c r="D801"/>
    </row>
    <row r="802" spans="4:4">
      <c r="D802"/>
    </row>
    <row r="803" spans="4:4">
      <c r="D803"/>
    </row>
    <row r="804" spans="4:4">
      <c r="D804"/>
    </row>
    <row r="805" spans="4:4">
      <c r="D805"/>
    </row>
    <row r="806" spans="4:4">
      <c r="D806"/>
    </row>
    <row r="807" spans="4:4">
      <c r="D807"/>
    </row>
    <row r="808" spans="4:4">
      <c r="D808"/>
    </row>
    <row r="809" spans="4:4">
      <c r="D809"/>
    </row>
    <row r="810" spans="4:4">
      <c r="D810"/>
    </row>
    <row r="811" spans="4:4">
      <c r="D811"/>
    </row>
    <row r="812" spans="4:4">
      <c r="D812"/>
    </row>
    <row r="813" spans="4:4">
      <c r="D813"/>
    </row>
    <row r="814" spans="4:4">
      <c r="D814"/>
    </row>
    <row r="815" spans="4:4">
      <c r="D815"/>
    </row>
    <row r="816" spans="4:4">
      <c r="D816"/>
    </row>
    <row r="817" spans="4:4">
      <c r="D817"/>
    </row>
    <row r="818" spans="4:4">
      <c r="D818"/>
    </row>
    <row r="819" spans="4:4">
      <c r="D819"/>
    </row>
    <row r="820" spans="4:4">
      <c r="D820"/>
    </row>
    <row r="821" spans="4:4">
      <c r="D821"/>
    </row>
    <row r="822" spans="4:4">
      <c r="D822"/>
    </row>
    <row r="823" spans="4:4">
      <c r="D823"/>
    </row>
    <row r="824" spans="4:4">
      <c r="D824"/>
    </row>
    <row r="825" spans="4:4">
      <c r="D825"/>
    </row>
    <row r="826" spans="4:4">
      <c r="D826"/>
    </row>
    <row r="827" spans="4:4">
      <c r="D827"/>
    </row>
    <row r="828" spans="4:4">
      <c r="D828"/>
    </row>
    <row r="829" spans="4:4">
      <c r="D829"/>
    </row>
    <row r="830" spans="4:4">
      <c r="D830"/>
    </row>
    <row r="831" spans="4:4">
      <c r="D831"/>
    </row>
    <row r="832" spans="4:4">
      <c r="D832"/>
    </row>
    <row r="833" spans="4:4">
      <c r="D833"/>
    </row>
    <row r="834" spans="4:4">
      <c r="D834"/>
    </row>
    <row r="835" spans="4:4">
      <c r="D835"/>
    </row>
    <row r="836" spans="4:4">
      <c r="D836"/>
    </row>
    <row r="837" spans="4:4">
      <c r="D837"/>
    </row>
    <row r="838" spans="4:4">
      <c r="D838"/>
    </row>
    <row r="839" spans="4:4">
      <c r="D839"/>
    </row>
    <row r="840" spans="4:4">
      <c r="D840"/>
    </row>
    <row r="841" spans="4:4">
      <c r="D841"/>
    </row>
    <row r="842" spans="4:4">
      <c r="D842"/>
    </row>
    <row r="843" spans="4:4">
      <c r="D843"/>
    </row>
    <row r="844" spans="4:4">
      <c r="D844"/>
    </row>
    <row r="845" spans="4:4">
      <c r="D845"/>
    </row>
    <row r="846" spans="4:4">
      <c r="D846"/>
    </row>
    <row r="847" spans="4:4">
      <c r="D847"/>
    </row>
    <row r="848" spans="4:4">
      <c r="D848"/>
    </row>
    <row r="849" spans="4:4">
      <c r="D849"/>
    </row>
    <row r="850" spans="4:4">
      <c r="D850"/>
    </row>
    <row r="851" spans="4:4">
      <c r="D851"/>
    </row>
    <row r="852" spans="4:4">
      <c r="D852"/>
    </row>
    <row r="853" spans="4:4">
      <c r="D853"/>
    </row>
    <row r="854" spans="4:4">
      <c r="D854"/>
    </row>
    <row r="855" spans="4:4">
      <c r="D855"/>
    </row>
    <row r="856" spans="4:4">
      <c r="D856"/>
    </row>
    <row r="857" spans="4:4">
      <c r="D857"/>
    </row>
    <row r="858" spans="4:4">
      <c r="D858"/>
    </row>
    <row r="859" spans="4:4">
      <c r="D859"/>
    </row>
    <row r="860" spans="4:4">
      <c r="D860"/>
    </row>
    <row r="861" spans="4:4">
      <c r="D861"/>
    </row>
    <row r="862" spans="4:4">
      <c r="D862"/>
    </row>
    <row r="863" spans="4:4">
      <c r="D863"/>
    </row>
    <row r="864" spans="4:4">
      <c r="D864"/>
    </row>
    <row r="865" spans="4:4">
      <c r="D865"/>
    </row>
    <row r="866" spans="4:4">
      <c r="D866"/>
    </row>
    <row r="867" spans="4:4">
      <c r="D867"/>
    </row>
    <row r="868" spans="4:4">
      <c r="D868"/>
    </row>
    <row r="869" spans="4:4">
      <c r="D869"/>
    </row>
    <row r="870" spans="4:4">
      <c r="D870"/>
    </row>
    <row r="871" spans="4:4">
      <c r="D871"/>
    </row>
    <row r="872" spans="4:4">
      <c r="D872"/>
    </row>
    <row r="873" spans="4:4">
      <c r="D873"/>
    </row>
    <row r="874" spans="4:4">
      <c r="D874"/>
    </row>
    <row r="875" spans="4:4">
      <c r="D875"/>
    </row>
    <row r="876" spans="4:4">
      <c r="D876"/>
    </row>
    <row r="877" spans="4:4">
      <c r="D877"/>
    </row>
    <row r="878" spans="4:4">
      <c r="D878"/>
    </row>
    <row r="879" spans="4:4">
      <c r="D879"/>
    </row>
    <row r="880" spans="4:4">
      <c r="D880"/>
    </row>
    <row r="881" spans="4:4">
      <c r="D881"/>
    </row>
    <row r="882" spans="4:4">
      <c r="D882"/>
    </row>
    <row r="883" spans="4:4">
      <c r="D883"/>
    </row>
    <row r="884" spans="4:4">
      <c r="D884"/>
    </row>
    <row r="885" spans="4:4">
      <c r="D885"/>
    </row>
    <row r="886" spans="4:4">
      <c r="D886"/>
    </row>
    <row r="887" spans="4:4">
      <c r="D887"/>
    </row>
    <row r="888" spans="4:4">
      <c r="D888"/>
    </row>
    <row r="889" spans="4:4">
      <c r="D889"/>
    </row>
    <row r="890" spans="4:4">
      <c r="D890"/>
    </row>
    <row r="891" spans="4:4">
      <c r="D891"/>
    </row>
    <row r="892" spans="4:4">
      <c r="D892"/>
    </row>
    <row r="893" spans="4:4">
      <c r="D893"/>
    </row>
    <row r="894" spans="4:4">
      <c r="D894"/>
    </row>
    <row r="895" spans="4:4">
      <c r="D895"/>
    </row>
    <row r="896" spans="4:4">
      <c r="D896"/>
    </row>
    <row r="897" spans="4:4">
      <c r="D897"/>
    </row>
    <row r="898" spans="4:4">
      <c r="D898"/>
    </row>
    <row r="899" spans="4:4">
      <c r="D899"/>
    </row>
    <row r="900" spans="4:4">
      <c r="D900"/>
    </row>
    <row r="901" spans="4:4">
      <c r="D901"/>
    </row>
    <row r="902" spans="4:4">
      <c r="D902"/>
    </row>
    <row r="903" spans="4:4">
      <c r="D903"/>
    </row>
    <row r="904" spans="4:4">
      <c r="D904"/>
    </row>
    <row r="905" spans="4:4">
      <c r="D905"/>
    </row>
    <row r="906" spans="4:4">
      <c r="D906"/>
    </row>
    <row r="907" spans="4:4">
      <c r="D907"/>
    </row>
    <row r="908" spans="4:4">
      <c r="D908"/>
    </row>
    <row r="909" spans="4:4">
      <c r="D909"/>
    </row>
    <row r="910" spans="4:4">
      <c r="D910"/>
    </row>
    <row r="911" spans="4:4">
      <c r="D911"/>
    </row>
    <row r="912" spans="4:4">
      <c r="D912"/>
    </row>
    <row r="913" spans="4:4">
      <c r="D913"/>
    </row>
    <row r="914" spans="4:4">
      <c r="D914"/>
    </row>
    <row r="915" spans="4:4">
      <c r="D915"/>
    </row>
    <row r="916" spans="4:4">
      <c r="D916"/>
    </row>
    <row r="917" spans="4:4">
      <c r="D917"/>
    </row>
    <row r="918" spans="4:4">
      <c r="D918"/>
    </row>
    <row r="919" spans="4:4">
      <c r="D919"/>
    </row>
    <row r="920" spans="4:4">
      <c r="D920"/>
    </row>
    <row r="921" spans="4:4">
      <c r="D921"/>
    </row>
    <row r="922" spans="4:4">
      <c r="D922"/>
    </row>
    <row r="923" spans="4:4">
      <c r="D923"/>
    </row>
    <row r="924" spans="4:4">
      <c r="D924"/>
    </row>
    <row r="925" spans="4:4">
      <c r="D925"/>
    </row>
    <row r="926" spans="4:4">
      <c r="D926"/>
    </row>
    <row r="927" spans="4:4">
      <c r="D927"/>
    </row>
    <row r="928" spans="4:4">
      <c r="D928"/>
    </row>
    <row r="929" spans="4:4">
      <c r="D929"/>
    </row>
    <row r="930" spans="4:4">
      <c r="D930"/>
    </row>
    <row r="931" spans="4:4">
      <c r="D931"/>
    </row>
    <row r="932" spans="4:4">
      <c r="D932"/>
    </row>
    <row r="933" spans="4:4">
      <c r="D933"/>
    </row>
    <row r="934" spans="4:4">
      <c r="D934"/>
    </row>
    <row r="935" spans="4:4">
      <c r="D935"/>
    </row>
    <row r="936" spans="4:4">
      <c r="D936"/>
    </row>
    <row r="937" spans="4:4">
      <c r="D937"/>
    </row>
    <row r="938" spans="4:4">
      <c r="D938"/>
    </row>
    <row r="939" spans="4:4">
      <c r="D939"/>
    </row>
    <row r="940" spans="4:4">
      <c r="D940"/>
    </row>
    <row r="941" spans="4:4">
      <c r="D941"/>
    </row>
    <row r="942" spans="4:4">
      <c r="D942"/>
    </row>
    <row r="943" spans="4:4">
      <c r="D943"/>
    </row>
    <row r="944" spans="4:4">
      <c r="D944"/>
    </row>
    <row r="945" spans="4:4">
      <c r="D945"/>
    </row>
    <row r="946" spans="4:4">
      <c r="D946"/>
    </row>
    <row r="947" spans="4:4">
      <c r="D947"/>
    </row>
    <row r="948" spans="4:4">
      <c r="D948"/>
    </row>
    <row r="949" spans="4:4">
      <c r="D949"/>
    </row>
    <row r="950" spans="4:4">
      <c r="D950"/>
    </row>
    <row r="951" spans="4:4">
      <c r="D951"/>
    </row>
    <row r="952" spans="4:4">
      <c r="D952"/>
    </row>
    <row r="953" spans="4:4">
      <c r="D953"/>
    </row>
    <row r="954" spans="4:4">
      <c r="D954"/>
    </row>
    <row r="955" spans="4:4">
      <c r="D955"/>
    </row>
    <row r="956" spans="4:4">
      <c r="D956"/>
    </row>
    <row r="957" spans="4:4">
      <c r="D957"/>
    </row>
    <row r="958" spans="4:4">
      <c r="D958"/>
    </row>
    <row r="959" spans="4:4">
      <c r="D959"/>
    </row>
    <row r="960" spans="4:4">
      <c r="D960"/>
    </row>
    <row r="961" spans="4:4">
      <c r="D961"/>
    </row>
    <row r="962" spans="4:4">
      <c r="D962"/>
    </row>
    <row r="963" spans="4:4">
      <c r="D963"/>
    </row>
    <row r="964" spans="4:4">
      <c r="D964"/>
    </row>
    <row r="965" spans="4:4">
      <c r="D965"/>
    </row>
    <row r="966" spans="4:4">
      <c r="D966"/>
    </row>
    <row r="967" spans="4:4">
      <c r="D967"/>
    </row>
    <row r="968" spans="4:4">
      <c r="D968"/>
    </row>
    <row r="969" spans="4:4">
      <c r="D969"/>
    </row>
    <row r="970" spans="4:4">
      <c r="D970"/>
    </row>
    <row r="971" spans="4:4">
      <c r="D971"/>
    </row>
    <row r="972" spans="4:4">
      <c r="D972"/>
    </row>
    <row r="973" spans="4:4">
      <c r="D973"/>
    </row>
    <row r="974" spans="4:4">
      <c r="D974"/>
    </row>
    <row r="975" spans="4:4">
      <c r="D975"/>
    </row>
    <row r="976" spans="4:4">
      <c r="D976"/>
    </row>
    <row r="977" spans="4:4">
      <c r="D977"/>
    </row>
    <row r="978" spans="4:4">
      <c r="D978"/>
    </row>
    <row r="979" spans="4:4">
      <c r="D979"/>
    </row>
    <row r="980" spans="4:4">
      <c r="D980"/>
    </row>
    <row r="981" spans="4:4">
      <c r="D981"/>
    </row>
    <row r="982" spans="4:4">
      <c r="D982"/>
    </row>
    <row r="983" spans="4:4">
      <c r="D983"/>
    </row>
    <row r="984" spans="4:4">
      <c r="D984"/>
    </row>
    <row r="985" spans="4:4">
      <c r="D985"/>
    </row>
    <row r="986" spans="4:4">
      <c r="D986"/>
    </row>
    <row r="987" spans="4:4">
      <c r="D987"/>
    </row>
    <row r="988" spans="4:4">
      <c r="D988"/>
    </row>
    <row r="989" spans="4:4">
      <c r="D989"/>
    </row>
    <row r="990" spans="4:4">
      <c r="D990"/>
    </row>
    <row r="991" spans="4:4">
      <c r="D991"/>
    </row>
    <row r="992" spans="4:4">
      <c r="D992"/>
    </row>
    <row r="993" spans="4:4">
      <c r="D993"/>
    </row>
    <row r="994" spans="4:4">
      <c r="D994"/>
    </row>
    <row r="995" spans="4:4">
      <c r="D995"/>
    </row>
    <row r="996" spans="4:4">
      <c r="D996"/>
    </row>
    <row r="997" spans="4:4">
      <c r="D997"/>
    </row>
    <row r="998" spans="4:4">
      <c r="D998"/>
    </row>
    <row r="999" spans="4:4">
      <c r="D999"/>
    </row>
    <row r="1000" spans="4:4">
      <c r="D1000"/>
    </row>
    <row r="1001" spans="4:4">
      <c r="D1001"/>
    </row>
    <row r="1002" spans="4:4">
      <c r="D1002"/>
    </row>
    <row r="1003" spans="4:4">
      <c r="D1003"/>
    </row>
    <row r="1004" spans="4:4">
      <c r="D1004"/>
    </row>
    <row r="1005" spans="4:4">
      <c r="D1005"/>
    </row>
    <row r="1006" spans="4:4">
      <c r="D1006"/>
    </row>
    <row r="1007" spans="4:4">
      <c r="D1007"/>
    </row>
    <row r="1008" spans="4:4">
      <c r="D1008"/>
    </row>
    <row r="1009" spans="4:4">
      <c r="D1009"/>
    </row>
    <row r="1010" spans="4:4">
      <c r="D1010"/>
    </row>
    <row r="1011" spans="4:4">
      <c r="D1011"/>
    </row>
    <row r="1012" spans="4:4">
      <c r="D1012"/>
    </row>
    <row r="1013" spans="4:4">
      <c r="D1013"/>
    </row>
    <row r="1014" spans="4:4">
      <c r="D1014"/>
    </row>
    <row r="1015" spans="4:4">
      <c r="D1015"/>
    </row>
    <row r="1016" spans="4:4">
      <c r="D1016"/>
    </row>
    <row r="1017" spans="4:4">
      <c r="D1017"/>
    </row>
    <row r="1018" spans="4:4">
      <c r="D1018"/>
    </row>
    <row r="1019" spans="4:4">
      <c r="D1019"/>
    </row>
    <row r="1020" spans="4:4">
      <c r="D1020"/>
    </row>
    <row r="1021" spans="4:4">
      <c r="D1021"/>
    </row>
    <row r="1022" spans="4:4">
      <c r="D1022"/>
    </row>
    <row r="1023" spans="4:4">
      <c r="D1023"/>
    </row>
    <row r="1024" spans="4:4">
      <c r="D1024"/>
    </row>
    <row r="1025" spans="4:4">
      <c r="D1025"/>
    </row>
    <row r="1026" spans="4:4">
      <c r="D1026"/>
    </row>
    <row r="1027" spans="4:4">
      <c r="D1027"/>
    </row>
    <row r="1028" spans="4:4">
      <c r="D1028"/>
    </row>
    <row r="1029" spans="4:4">
      <c r="D1029"/>
    </row>
    <row r="1030" spans="4:4">
      <c r="D1030"/>
    </row>
    <row r="1031" spans="4:4">
      <c r="D1031"/>
    </row>
    <row r="1032" spans="4:4">
      <c r="D1032"/>
    </row>
    <row r="1033" spans="4:4">
      <c r="D1033"/>
    </row>
    <row r="1034" spans="4:4">
      <c r="D1034"/>
    </row>
    <row r="1035" spans="4:4">
      <c r="D1035"/>
    </row>
    <row r="1036" spans="4:4">
      <c r="D1036"/>
    </row>
    <row r="1037" spans="4:4">
      <c r="D1037"/>
    </row>
    <row r="1038" spans="4:4">
      <c r="D1038"/>
    </row>
    <row r="1039" spans="4:4">
      <c r="D1039"/>
    </row>
    <row r="1040" spans="4:4">
      <c r="D1040"/>
    </row>
    <row r="1041" spans="4:4">
      <c r="D1041"/>
    </row>
    <row r="1042" spans="4:4">
      <c r="D1042"/>
    </row>
    <row r="1043" spans="4:4">
      <c r="D1043"/>
    </row>
    <row r="1044" spans="4:4">
      <c r="D1044"/>
    </row>
    <row r="1045" spans="4:4">
      <c r="D1045"/>
    </row>
    <row r="1046" spans="4:4">
      <c r="D1046"/>
    </row>
    <row r="1047" spans="4:4">
      <c r="D1047"/>
    </row>
    <row r="1048" spans="4:4">
      <c r="D1048"/>
    </row>
    <row r="1049" spans="4:4">
      <c r="D1049"/>
    </row>
    <row r="1050" spans="4:4">
      <c r="D1050"/>
    </row>
    <row r="1051" spans="4:4">
      <c r="D1051"/>
    </row>
    <row r="1052" spans="4:4">
      <c r="D1052"/>
    </row>
    <row r="1053" spans="4:4">
      <c r="D1053"/>
    </row>
    <row r="1054" spans="4:4">
      <c r="D1054"/>
    </row>
    <row r="1055" spans="4:4">
      <c r="D1055"/>
    </row>
    <row r="1056" spans="4:4">
      <c r="D1056"/>
    </row>
    <row r="1057" spans="4:4">
      <c r="D1057"/>
    </row>
    <row r="1058" spans="4:4">
      <c r="D1058"/>
    </row>
    <row r="1059" spans="4:4">
      <c r="D1059"/>
    </row>
    <row r="1060" spans="4:4">
      <c r="D1060"/>
    </row>
    <row r="1061" spans="4:4">
      <c r="D1061"/>
    </row>
    <row r="1062" spans="4:4">
      <c r="D1062"/>
    </row>
    <row r="1063" spans="4:4">
      <c r="D1063"/>
    </row>
    <row r="1064" spans="4:4">
      <c r="D1064"/>
    </row>
    <row r="1065" spans="4:4">
      <c r="D1065"/>
    </row>
    <row r="1066" spans="4:4">
      <c r="D1066"/>
    </row>
    <row r="1067" spans="4:4">
      <c r="D1067"/>
    </row>
    <row r="1068" spans="4:4">
      <c r="D1068"/>
    </row>
    <row r="1069" spans="4:4">
      <c r="D1069"/>
    </row>
    <row r="1070" spans="4:4">
      <c r="D1070"/>
    </row>
    <row r="1071" spans="4:4">
      <c r="D1071"/>
    </row>
    <row r="1072" spans="4:4">
      <c r="D1072"/>
    </row>
    <row r="1073" spans="4:4">
      <c r="D1073"/>
    </row>
    <row r="1074" spans="4:4">
      <c r="D1074"/>
    </row>
    <row r="1075" spans="4:4">
      <c r="D1075"/>
    </row>
    <row r="1076" spans="4:4">
      <c r="D1076"/>
    </row>
    <row r="1077" spans="4:4">
      <c r="D1077"/>
    </row>
    <row r="1078" spans="4:4">
      <c r="D1078"/>
    </row>
    <row r="1079" spans="4:4">
      <c r="D1079"/>
    </row>
    <row r="1080" spans="4:4">
      <c r="D1080"/>
    </row>
    <row r="1081" spans="4:4">
      <c r="D1081"/>
    </row>
    <row r="1082" spans="4:4">
      <c r="D1082"/>
    </row>
    <row r="1083" spans="4:4">
      <c r="D1083"/>
    </row>
    <row r="1084" spans="4:4">
      <c r="D1084"/>
    </row>
    <row r="1085" spans="4:4">
      <c r="D1085"/>
    </row>
    <row r="1086" spans="4:4">
      <c r="D1086"/>
    </row>
    <row r="1087" spans="4:4">
      <c r="D1087"/>
    </row>
    <row r="1088" spans="4:4">
      <c r="D1088"/>
    </row>
    <row r="1089" spans="4:4">
      <c r="D1089"/>
    </row>
    <row r="1090" spans="4:4">
      <c r="D1090"/>
    </row>
    <row r="1091" spans="4:4">
      <c r="D1091"/>
    </row>
    <row r="1092" spans="4:4">
      <c r="D1092"/>
    </row>
    <row r="1093" spans="4:4">
      <c r="D1093"/>
    </row>
    <row r="1094" spans="4:4">
      <c r="D1094"/>
    </row>
    <row r="1095" spans="4:4">
      <c r="D1095"/>
    </row>
    <row r="1096" spans="4:4">
      <c r="D1096"/>
    </row>
    <row r="1097" spans="4:4">
      <c r="D1097"/>
    </row>
    <row r="1098" spans="4:4">
      <c r="D1098"/>
    </row>
    <row r="1099" spans="4:4">
      <c r="D1099"/>
    </row>
    <row r="1100" spans="4:4">
      <c r="D1100"/>
    </row>
    <row r="1101" spans="4:4">
      <c r="D1101"/>
    </row>
    <row r="1102" spans="4:4">
      <c r="D1102"/>
    </row>
    <row r="1103" spans="4:4">
      <c r="D1103"/>
    </row>
    <row r="1104" spans="4:4">
      <c r="D1104"/>
    </row>
    <row r="1105" spans="4:4">
      <c r="D1105"/>
    </row>
    <row r="1106" spans="4:4">
      <c r="D1106"/>
    </row>
    <row r="1107" spans="4:4">
      <c r="D1107"/>
    </row>
    <row r="1108" spans="4:4">
      <c r="D1108"/>
    </row>
    <row r="1109" spans="4:4">
      <c r="D1109"/>
    </row>
    <row r="1110" spans="4:4">
      <c r="D1110"/>
    </row>
    <row r="1111" spans="4:4">
      <c r="D1111"/>
    </row>
    <row r="1112" spans="4:4">
      <c r="D1112"/>
    </row>
    <row r="1113" spans="4:4">
      <c r="D1113"/>
    </row>
    <row r="1114" spans="4:4">
      <c r="D1114"/>
    </row>
    <row r="1115" spans="4:4">
      <c r="D1115"/>
    </row>
    <row r="1116" spans="4:4">
      <c r="D1116"/>
    </row>
    <row r="1117" spans="4:4">
      <c r="D1117"/>
    </row>
    <row r="1118" spans="4:4">
      <c r="D1118"/>
    </row>
    <row r="1119" spans="4:4">
      <c r="D1119"/>
    </row>
    <row r="1120" spans="4:4">
      <c r="D1120"/>
    </row>
    <row r="1121" spans="4:4">
      <c r="D1121"/>
    </row>
    <row r="1122" spans="4:4">
      <c r="D1122"/>
    </row>
    <row r="1123" spans="4:4">
      <c r="D1123"/>
    </row>
    <row r="1124" spans="4:4">
      <c r="D1124"/>
    </row>
    <row r="1125" spans="4:4">
      <c r="D1125"/>
    </row>
    <row r="1126" spans="4:4">
      <c r="D1126"/>
    </row>
    <row r="1127" spans="4:4">
      <c r="D1127"/>
    </row>
    <row r="1128" spans="4:4">
      <c r="D1128"/>
    </row>
    <row r="1129" spans="4:4">
      <c r="D1129"/>
    </row>
    <row r="1130" spans="4:4">
      <c r="D1130"/>
    </row>
    <row r="1131" spans="4:4">
      <c r="D1131"/>
    </row>
    <row r="1132" spans="4:4">
      <c r="D1132"/>
    </row>
    <row r="1133" spans="4:4">
      <c r="D1133"/>
    </row>
    <row r="1134" spans="4:4">
      <c r="D1134"/>
    </row>
    <row r="1135" spans="4:4">
      <c r="D1135"/>
    </row>
    <row r="1136" spans="4:4">
      <c r="D1136"/>
    </row>
    <row r="1137" spans="4:4">
      <c r="D1137"/>
    </row>
    <row r="1138" spans="4:4">
      <c r="D1138"/>
    </row>
    <row r="1139" spans="4:4">
      <c r="D1139"/>
    </row>
    <row r="1140" spans="4:4">
      <c r="D1140"/>
    </row>
    <row r="1141" spans="4:4">
      <c r="D1141"/>
    </row>
    <row r="1142" spans="4:4">
      <c r="D1142"/>
    </row>
    <row r="1143" spans="4:4">
      <c r="D1143"/>
    </row>
    <row r="1144" spans="4:4">
      <c r="D1144"/>
    </row>
    <row r="1145" spans="4:4">
      <c r="D1145"/>
    </row>
    <row r="1146" spans="4:4">
      <c r="D1146"/>
    </row>
    <row r="1147" spans="4:4">
      <c r="D1147"/>
    </row>
    <row r="1148" spans="4:4">
      <c r="D1148"/>
    </row>
    <row r="1149" spans="4:4">
      <c r="D1149"/>
    </row>
    <row r="1150" spans="4:4">
      <c r="D1150"/>
    </row>
    <row r="1151" spans="4:4">
      <c r="D1151"/>
    </row>
    <row r="1152" spans="4:4">
      <c r="D1152"/>
    </row>
    <row r="1153" spans="4:4">
      <c r="D1153"/>
    </row>
    <row r="1154" spans="4:4">
      <c r="D1154"/>
    </row>
    <row r="1155" spans="4:4">
      <c r="D1155"/>
    </row>
    <row r="1156" spans="4:4">
      <c r="D1156"/>
    </row>
    <row r="1157" spans="4:4">
      <c r="D1157"/>
    </row>
    <row r="1158" spans="4:4">
      <c r="D1158"/>
    </row>
    <row r="1159" spans="4:4">
      <c r="D1159"/>
    </row>
    <row r="1160" spans="4:4">
      <c r="D1160"/>
    </row>
    <row r="1161" spans="4:4">
      <c r="D1161"/>
    </row>
    <row r="1162" spans="4:4">
      <c r="D1162"/>
    </row>
    <row r="1163" spans="4:4">
      <c r="D1163"/>
    </row>
    <row r="1164" spans="4:4">
      <c r="D1164"/>
    </row>
    <row r="1165" spans="4:4">
      <c r="D1165"/>
    </row>
    <row r="1166" spans="4:4">
      <c r="D1166"/>
    </row>
    <row r="1167" spans="4:4">
      <c r="D1167"/>
    </row>
    <row r="1168" spans="4:4">
      <c r="D1168"/>
    </row>
    <row r="1169" spans="4:4">
      <c r="D1169"/>
    </row>
    <row r="1170" spans="4:4">
      <c r="D1170"/>
    </row>
    <row r="1171" spans="4:4">
      <c r="D1171"/>
    </row>
    <row r="1172" spans="4:4">
      <c r="D1172"/>
    </row>
    <row r="1173" spans="4:4">
      <c r="D1173"/>
    </row>
    <row r="1174" spans="4:4">
      <c r="D1174"/>
    </row>
    <row r="1175" spans="4:4">
      <c r="D1175"/>
    </row>
    <row r="1176" spans="4:4">
      <c r="D1176"/>
    </row>
    <row r="1177" spans="4:4">
      <c r="D1177"/>
    </row>
    <row r="1178" spans="4:4">
      <c r="D1178"/>
    </row>
    <row r="1179" spans="4:4">
      <c r="D1179"/>
    </row>
    <row r="1180" spans="4:4">
      <c r="D1180"/>
    </row>
    <row r="1181" spans="4:4">
      <c r="D1181"/>
    </row>
    <row r="1182" spans="4:4">
      <c r="D1182"/>
    </row>
    <row r="1183" spans="4:4">
      <c r="D1183"/>
    </row>
    <row r="1184" spans="4:4">
      <c r="D1184"/>
    </row>
    <row r="1185" spans="4:4">
      <c r="D1185"/>
    </row>
    <row r="1186" spans="4:4">
      <c r="D1186"/>
    </row>
    <row r="1187" spans="4:4">
      <c r="D1187"/>
    </row>
    <row r="1188" spans="4:4">
      <c r="D1188"/>
    </row>
    <row r="1189" spans="4:4">
      <c r="D1189"/>
    </row>
    <row r="1190" spans="4:4">
      <c r="D1190"/>
    </row>
    <row r="1191" spans="4:4">
      <c r="D1191"/>
    </row>
    <row r="1192" spans="4:4">
      <c r="D1192"/>
    </row>
    <row r="1193" spans="4:4">
      <c r="D1193"/>
    </row>
    <row r="1194" spans="4:4">
      <c r="D1194"/>
    </row>
    <row r="1195" spans="4:4">
      <c r="D1195"/>
    </row>
    <row r="1196" spans="4:4">
      <c r="D1196"/>
    </row>
    <row r="1197" spans="4:4">
      <c r="D1197"/>
    </row>
    <row r="1198" spans="4:4">
      <c r="D1198"/>
    </row>
    <row r="1199" spans="4:4">
      <c r="D1199"/>
    </row>
    <row r="1200" spans="4:4">
      <c r="D1200"/>
    </row>
    <row r="1201" spans="4:4">
      <c r="D1201"/>
    </row>
    <row r="1202" spans="4:4">
      <c r="D1202"/>
    </row>
    <row r="1203" spans="4:4">
      <c r="D1203"/>
    </row>
    <row r="1204" spans="4:4">
      <c r="D1204"/>
    </row>
    <row r="1205" spans="4:4">
      <c r="D1205"/>
    </row>
    <row r="1206" spans="4:4">
      <c r="D1206"/>
    </row>
    <row r="1207" spans="4:4">
      <c r="D1207"/>
    </row>
    <row r="1208" spans="4:4">
      <c r="D1208"/>
    </row>
    <row r="1209" spans="4:4">
      <c r="D1209"/>
    </row>
    <row r="1210" spans="4:4">
      <c r="D1210"/>
    </row>
    <row r="1211" spans="4:4">
      <c r="D1211"/>
    </row>
    <row r="1212" spans="4:4">
      <c r="D1212"/>
    </row>
    <row r="1213" spans="4:4">
      <c r="D1213"/>
    </row>
    <row r="1214" spans="4:4">
      <c r="D1214"/>
    </row>
    <row r="1215" spans="4:4">
      <c r="D1215"/>
    </row>
    <row r="1216" spans="4:4">
      <c r="D1216"/>
    </row>
    <row r="1217" spans="4:4">
      <c r="D1217"/>
    </row>
    <row r="1218" spans="4:4">
      <c r="D1218"/>
    </row>
    <row r="1219" spans="4:4">
      <c r="D1219"/>
    </row>
    <row r="1220" spans="4:4">
      <c r="D1220"/>
    </row>
    <row r="1221" spans="4:4">
      <c r="D1221"/>
    </row>
    <row r="1222" spans="4:4">
      <c r="D1222"/>
    </row>
    <row r="1223" spans="4:4">
      <c r="D1223"/>
    </row>
    <row r="1224" spans="4:4">
      <c r="D1224"/>
    </row>
    <row r="1225" spans="4:4">
      <c r="D1225"/>
    </row>
    <row r="1226" spans="4:4">
      <c r="D1226"/>
    </row>
    <row r="1227" spans="4:4">
      <c r="D1227"/>
    </row>
    <row r="1228" spans="4:4">
      <c r="D1228"/>
    </row>
    <row r="1229" spans="4:4">
      <c r="D1229"/>
    </row>
    <row r="1230" spans="4:4">
      <c r="D1230"/>
    </row>
    <row r="1231" spans="4:4">
      <c r="D1231"/>
    </row>
    <row r="1232" spans="4:4">
      <c r="D1232"/>
    </row>
    <row r="1233" spans="4:4">
      <c r="D1233"/>
    </row>
    <row r="1234" spans="4:4">
      <c r="D1234"/>
    </row>
    <row r="1235" spans="4:4">
      <c r="D1235"/>
    </row>
    <row r="1236" spans="4:4">
      <c r="D1236"/>
    </row>
    <row r="1237" spans="4:4">
      <c r="D1237"/>
    </row>
    <row r="1238" spans="4:4">
      <c r="D1238"/>
    </row>
    <row r="1239" spans="4:4">
      <c r="D1239"/>
    </row>
    <row r="1240" spans="4:4">
      <c r="D1240"/>
    </row>
    <row r="1241" spans="4:4">
      <c r="D1241"/>
    </row>
    <row r="1242" spans="4:4">
      <c r="D1242"/>
    </row>
    <row r="1243" spans="4:4">
      <c r="D1243"/>
    </row>
    <row r="1244" spans="4:4">
      <c r="D1244"/>
    </row>
    <row r="1245" spans="4:4">
      <c r="D1245"/>
    </row>
    <row r="1246" spans="4:4">
      <c r="D1246"/>
    </row>
    <row r="1247" spans="4:4">
      <c r="D1247"/>
    </row>
    <row r="1248" spans="4:4">
      <c r="D1248"/>
    </row>
    <row r="1249" spans="4:4">
      <c r="D1249"/>
    </row>
    <row r="1250" spans="4:4">
      <c r="D1250"/>
    </row>
    <row r="1251" spans="4:4">
      <c r="D1251"/>
    </row>
    <row r="1252" spans="4:4">
      <c r="D1252"/>
    </row>
    <row r="1253" spans="4:4">
      <c r="D1253"/>
    </row>
    <row r="1254" spans="4:4">
      <c r="D1254"/>
    </row>
    <row r="1255" spans="4:4">
      <c r="D1255"/>
    </row>
    <row r="1256" spans="4:4">
      <c r="D1256"/>
    </row>
    <row r="1257" spans="4:4">
      <c r="D1257"/>
    </row>
    <row r="1258" spans="4:4">
      <c r="D1258"/>
    </row>
    <row r="1259" spans="4:4">
      <c r="D1259"/>
    </row>
    <row r="1260" spans="4:4">
      <c r="D1260"/>
    </row>
    <row r="1261" spans="4:4">
      <c r="D1261"/>
    </row>
    <row r="1262" spans="4:4">
      <c r="D1262"/>
    </row>
    <row r="1263" spans="4:4">
      <c r="D1263"/>
    </row>
    <row r="1264" spans="4:4">
      <c r="D1264"/>
    </row>
    <row r="1265" spans="4:4">
      <c r="D1265"/>
    </row>
    <row r="1266" spans="4:4">
      <c r="D1266"/>
    </row>
    <row r="1267" spans="4:4">
      <c r="D1267"/>
    </row>
    <row r="1268" spans="4:4">
      <c r="D1268"/>
    </row>
    <row r="1269" spans="4:4">
      <c r="D1269"/>
    </row>
    <row r="1270" spans="4:4">
      <c r="D1270"/>
    </row>
    <row r="1271" spans="4:4">
      <c r="D1271"/>
    </row>
    <row r="1272" spans="4:4">
      <c r="D1272"/>
    </row>
    <row r="1273" spans="4:4">
      <c r="D1273"/>
    </row>
    <row r="1274" spans="4:4">
      <c r="D1274"/>
    </row>
    <row r="1275" spans="4:4">
      <c r="D1275"/>
    </row>
    <row r="1276" spans="4:4">
      <c r="D1276"/>
    </row>
    <row r="1277" spans="4:4">
      <c r="D1277"/>
    </row>
    <row r="1278" spans="4:4">
      <c r="D1278"/>
    </row>
    <row r="1279" spans="4:4">
      <c r="D1279"/>
    </row>
    <row r="1280" spans="4:4">
      <c r="D1280"/>
    </row>
    <row r="1281" spans="4:4">
      <c r="D1281"/>
    </row>
    <row r="1282" spans="4:4">
      <c r="D1282"/>
    </row>
    <row r="1283" spans="4:4">
      <c r="D1283"/>
    </row>
    <row r="1284" spans="4:4">
      <c r="D1284"/>
    </row>
    <row r="1285" spans="4:4">
      <c r="D1285"/>
    </row>
    <row r="1286" spans="4:4">
      <c r="D1286"/>
    </row>
    <row r="1287" spans="4:4">
      <c r="D1287"/>
    </row>
    <row r="1288" spans="4:4">
      <c r="D1288"/>
    </row>
    <row r="1289" spans="4:4">
      <c r="D1289"/>
    </row>
    <row r="1290" spans="4:4">
      <c r="D1290"/>
    </row>
    <row r="1291" spans="4:4">
      <c r="D1291"/>
    </row>
    <row r="1292" spans="4:4">
      <c r="D1292"/>
    </row>
    <row r="1293" spans="4:4">
      <c r="D1293"/>
    </row>
    <row r="1294" spans="4:4">
      <c r="D1294"/>
    </row>
    <row r="1295" spans="4:4">
      <c r="D1295"/>
    </row>
    <row r="1296" spans="4:4">
      <c r="D1296"/>
    </row>
    <row r="1297" spans="4:4">
      <c r="D1297"/>
    </row>
    <row r="1298" spans="4:4">
      <c r="D1298"/>
    </row>
    <row r="1299" spans="4:4">
      <c r="D1299"/>
    </row>
    <row r="1300" spans="4:4">
      <c r="D1300"/>
    </row>
    <row r="1301" spans="4:4">
      <c r="D1301"/>
    </row>
    <row r="1302" spans="4:4">
      <c r="D1302"/>
    </row>
    <row r="1303" spans="4:4">
      <c r="D1303"/>
    </row>
    <row r="1304" spans="4:4">
      <c r="D1304"/>
    </row>
    <row r="1305" spans="4:4">
      <c r="D1305"/>
    </row>
    <row r="1306" spans="4:4">
      <c r="D1306"/>
    </row>
    <row r="1307" spans="4:4">
      <c r="D1307"/>
    </row>
    <row r="1308" spans="4:4">
      <c r="D1308"/>
    </row>
    <row r="1309" spans="4:4">
      <c r="D1309"/>
    </row>
    <row r="1310" spans="4:4">
      <c r="D1310"/>
    </row>
    <row r="1311" spans="4:4">
      <c r="D1311"/>
    </row>
    <row r="1312" spans="4:4">
      <c r="D1312"/>
    </row>
    <row r="1313" spans="4:4">
      <c r="D1313"/>
    </row>
    <row r="1314" spans="4:4">
      <c r="D1314"/>
    </row>
    <row r="1315" spans="4:4">
      <c r="D1315"/>
    </row>
    <row r="1316" spans="4:4">
      <c r="D1316"/>
    </row>
    <row r="1317" spans="4:4">
      <c r="D1317"/>
    </row>
    <row r="1318" spans="4:4">
      <c r="D1318"/>
    </row>
    <row r="1319" spans="4:4">
      <c r="D1319"/>
    </row>
    <row r="1320" spans="4:4">
      <c r="D1320"/>
    </row>
    <row r="1321" spans="4:4">
      <c r="D1321"/>
    </row>
    <row r="1322" spans="4:4">
      <c r="D1322"/>
    </row>
    <row r="1323" spans="4:4">
      <c r="D1323"/>
    </row>
    <row r="1324" spans="4:4">
      <c r="D1324"/>
    </row>
    <row r="1325" spans="4:4">
      <c r="D1325"/>
    </row>
    <row r="1326" spans="4:4">
      <c r="D1326"/>
    </row>
    <row r="1327" spans="4:4">
      <c r="D1327"/>
    </row>
    <row r="1328" spans="4:4">
      <c r="D1328"/>
    </row>
    <row r="1329" spans="4:4">
      <c r="D1329"/>
    </row>
    <row r="1330" spans="4:4">
      <c r="D1330"/>
    </row>
    <row r="1331" spans="4:4">
      <c r="D1331"/>
    </row>
    <row r="1332" spans="4:4">
      <c r="D1332"/>
    </row>
    <row r="1333" spans="4:4">
      <c r="D1333"/>
    </row>
    <row r="1334" spans="4:4">
      <c r="D1334"/>
    </row>
    <row r="1335" spans="4:4">
      <c r="D1335"/>
    </row>
    <row r="1336" spans="4:4">
      <c r="D1336"/>
    </row>
    <row r="1337" spans="4:4">
      <c r="D1337"/>
    </row>
    <row r="1338" spans="4:4">
      <c r="D1338"/>
    </row>
    <row r="1339" spans="4:4">
      <c r="D1339"/>
    </row>
    <row r="1340" spans="4:4">
      <c r="D1340"/>
    </row>
    <row r="1341" spans="4:4">
      <c r="D1341"/>
    </row>
    <row r="1342" spans="4:4">
      <c r="D1342"/>
    </row>
    <row r="1343" spans="4:4">
      <c r="D1343"/>
    </row>
    <row r="1344" spans="4:4">
      <c r="D1344"/>
    </row>
    <row r="1345" spans="4:4">
      <c r="D1345"/>
    </row>
    <row r="1346" spans="4:4">
      <c r="D1346"/>
    </row>
    <row r="1347" spans="4:4">
      <c r="D1347"/>
    </row>
    <row r="1348" spans="4:4">
      <c r="D1348"/>
    </row>
    <row r="1349" spans="4:4">
      <c r="D1349"/>
    </row>
    <row r="1350" spans="4:4">
      <c r="D1350"/>
    </row>
    <row r="1351" spans="4:4">
      <c r="D1351"/>
    </row>
    <row r="1352" spans="4:4">
      <c r="D1352"/>
    </row>
    <row r="1353" spans="4:4">
      <c r="D1353"/>
    </row>
    <row r="1354" spans="4:4">
      <c r="D1354"/>
    </row>
    <row r="1355" spans="4:4">
      <c r="D1355"/>
    </row>
    <row r="1356" spans="4:4">
      <c r="D1356"/>
    </row>
    <row r="1357" spans="4:4">
      <c r="D1357"/>
    </row>
    <row r="1358" spans="4:4">
      <c r="D1358"/>
    </row>
    <row r="1359" spans="4:4">
      <c r="D1359"/>
    </row>
    <row r="1360" spans="4:4">
      <c r="D1360"/>
    </row>
    <row r="1361" spans="4:4">
      <c r="D1361"/>
    </row>
    <row r="1362" spans="4:4">
      <c r="D1362"/>
    </row>
    <row r="1363" spans="4:4">
      <c r="D1363"/>
    </row>
    <row r="1364" spans="4:4">
      <c r="D1364"/>
    </row>
    <row r="1365" spans="4:4">
      <c r="D1365"/>
    </row>
    <row r="1366" spans="4:4">
      <c r="D1366"/>
    </row>
    <row r="1367" spans="4:4">
      <c r="D1367"/>
    </row>
    <row r="1368" spans="4:4">
      <c r="D1368"/>
    </row>
    <row r="1369" spans="4:4">
      <c r="D1369"/>
    </row>
    <row r="1370" spans="4:4">
      <c r="D1370"/>
    </row>
    <row r="1371" spans="4:4">
      <c r="D1371"/>
    </row>
    <row r="1372" spans="4:4">
      <c r="D1372"/>
    </row>
    <row r="1373" spans="4:4">
      <c r="D1373"/>
    </row>
    <row r="1374" spans="4:4">
      <c r="D1374"/>
    </row>
    <row r="1375" spans="4:4">
      <c r="D1375"/>
    </row>
    <row r="1376" spans="4:4">
      <c r="D1376"/>
    </row>
    <row r="1377" spans="4:4">
      <c r="D1377"/>
    </row>
    <row r="1378" spans="4:4">
      <c r="D1378"/>
    </row>
    <row r="1379" spans="4:4">
      <c r="D1379"/>
    </row>
    <row r="1380" spans="4:4">
      <c r="D1380"/>
    </row>
    <row r="1381" spans="4:4">
      <c r="D1381"/>
    </row>
    <row r="1382" spans="4:4">
      <c r="D1382"/>
    </row>
    <row r="1383" spans="4:4">
      <c r="D1383"/>
    </row>
    <row r="1384" spans="4:4">
      <c r="D1384"/>
    </row>
    <row r="1385" spans="4:4">
      <c r="D1385"/>
    </row>
    <row r="1386" spans="4:4">
      <c r="D1386"/>
    </row>
    <row r="1387" spans="4:4">
      <c r="D1387"/>
    </row>
    <row r="1388" spans="4:4">
      <c r="D1388"/>
    </row>
    <row r="1389" spans="4:4">
      <c r="D1389"/>
    </row>
    <row r="1390" spans="4:4">
      <c r="D1390"/>
    </row>
    <row r="1391" spans="4:4">
      <c r="D1391"/>
    </row>
    <row r="1392" spans="4:4">
      <c r="D1392"/>
    </row>
    <row r="1393" spans="4:4">
      <c r="D1393"/>
    </row>
    <row r="1394" spans="4:4">
      <c r="D1394"/>
    </row>
    <row r="1395" spans="4:4">
      <c r="D1395"/>
    </row>
    <row r="1396" spans="4:4">
      <c r="D1396"/>
    </row>
    <row r="1397" spans="4:4">
      <c r="D1397"/>
    </row>
    <row r="1398" spans="4:4">
      <c r="D1398"/>
    </row>
    <row r="1399" spans="4:4">
      <c r="D1399"/>
    </row>
    <row r="1400" spans="4:4">
      <c r="D1400"/>
    </row>
    <row r="1401" spans="4:4">
      <c r="D1401"/>
    </row>
    <row r="1402" spans="4:4">
      <c r="D1402"/>
    </row>
    <row r="1403" spans="4:4">
      <c r="D1403"/>
    </row>
    <row r="1404" spans="4:4">
      <c r="D1404"/>
    </row>
    <row r="1405" spans="4:4">
      <c r="D1405"/>
    </row>
    <row r="1406" spans="4:4">
      <c r="D1406"/>
    </row>
    <row r="1407" spans="4:4">
      <c r="D1407"/>
    </row>
    <row r="1408" spans="4:4">
      <c r="D1408"/>
    </row>
    <row r="1409" spans="4:4">
      <c r="D1409"/>
    </row>
    <row r="1410" spans="4:4">
      <c r="D1410"/>
    </row>
    <row r="1411" spans="4:4">
      <c r="D1411"/>
    </row>
    <row r="1412" spans="4:4">
      <c r="D1412"/>
    </row>
    <row r="1413" spans="4:4">
      <c r="D1413"/>
    </row>
    <row r="1414" spans="4:4">
      <c r="D1414"/>
    </row>
    <row r="1415" spans="4:4">
      <c r="D1415"/>
    </row>
    <row r="1416" spans="4:4">
      <c r="D1416"/>
    </row>
    <row r="1417" spans="4:4">
      <c r="D1417"/>
    </row>
    <row r="1418" spans="4:4">
      <c r="D1418"/>
    </row>
    <row r="1419" spans="4:4">
      <c r="D1419"/>
    </row>
    <row r="1420" spans="4:4">
      <c r="D1420"/>
    </row>
    <row r="1421" spans="4:4">
      <c r="D1421"/>
    </row>
    <row r="1422" spans="4:4">
      <c r="D1422"/>
    </row>
    <row r="1423" spans="4:4">
      <c r="D1423"/>
    </row>
    <row r="1424" spans="4:4">
      <c r="D1424"/>
    </row>
    <row r="1425" spans="4:4">
      <c r="D1425"/>
    </row>
    <row r="1426" spans="4:4">
      <c r="D1426"/>
    </row>
    <row r="1427" spans="4:4">
      <c r="D1427"/>
    </row>
    <row r="1428" spans="4:4">
      <c r="D1428"/>
    </row>
    <row r="1429" spans="4:4">
      <c r="D1429"/>
    </row>
    <row r="1430" spans="4:4">
      <c r="D1430"/>
    </row>
    <row r="1431" spans="4:4">
      <c r="D1431"/>
    </row>
    <row r="1432" spans="4:4">
      <c r="D1432"/>
    </row>
    <row r="1433" spans="4:4">
      <c r="D1433"/>
    </row>
    <row r="1434" spans="4:4">
      <c r="D1434"/>
    </row>
    <row r="1435" spans="4:4">
      <c r="D1435"/>
    </row>
    <row r="1436" spans="4:4">
      <c r="D1436"/>
    </row>
    <row r="1437" spans="4:4">
      <c r="D1437"/>
    </row>
    <row r="1438" spans="4:4">
      <c r="D1438"/>
    </row>
    <row r="1439" spans="4:4">
      <c r="D1439"/>
    </row>
    <row r="1440" spans="4:4">
      <c r="D1440"/>
    </row>
    <row r="1441" spans="4:4">
      <c r="D1441"/>
    </row>
    <row r="1442" spans="4:4">
      <c r="D1442"/>
    </row>
    <row r="1443" spans="4:4">
      <c r="D1443"/>
    </row>
    <row r="1444" spans="4:4">
      <c r="D1444"/>
    </row>
    <row r="1445" spans="4:4">
      <c r="D1445"/>
    </row>
    <row r="1446" spans="4:4">
      <c r="D1446"/>
    </row>
    <row r="1447" spans="4:4">
      <c r="D1447"/>
    </row>
    <row r="1448" spans="4:4">
      <c r="D1448"/>
    </row>
    <row r="1449" spans="4:4">
      <c r="D1449"/>
    </row>
    <row r="1450" spans="4:4">
      <c r="D1450"/>
    </row>
    <row r="1451" spans="4:4">
      <c r="D1451"/>
    </row>
    <row r="1452" spans="4:4">
      <c r="D1452"/>
    </row>
    <row r="1453" spans="4:4">
      <c r="D1453"/>
    </row>
    <row r="1454" spans="4:4">
      <c r="D1454"/>
    </row>
    <row r="1455" spans="4:4">
      <c r="D1455"/>
    </row>
    <row r="1456" spans="4:4">
      <c r="D1456"/>
    </row>
    <row r="1457" spans="4:4">
      <c r="D1457"/>
    </row>
    <row r="1458" spans="4:4">
      <c r="D1458"/>
    </row>
    <row r="1459" spans="4:4">
      <c r="D1459"/>
    </row>
    <row r="1460" spans="4:4">
      <c r="D1460"/>
    </row>
    <row r="1461" spans="4:4">
      <c r="D1461"/>
    </row>
    <row r="1462" spans="4:4">
      <c r="D1462"/>
    </row>
    <row r="1463" spans="4:4">
      <c r="D1463"/>
    </row>
    <row r="1464" spans="4:4">
      <c r="D1464"/>
    </row>
    <row r="1465" spans="4:4">
      <c r="D1465"/>
    </row>
    <row r="1466" spans="4:4">
      <c r="D1466"/>
    </row>
    <row r="1467" spans="4:4">
      <c r="D1467"/>
    </row>
    <row r="1468" spans="4:4">
      <c r="D1468"/>
    </row>
    <row r="1469" spans="4:4">
      <c r="D1469"/>
    </row>
    <row r="1470" spans="4:4">
      <c r="D1470"/>
    </row>
    <row r="1471" spans="4:4">
      <c r="D1471"/>
    </row>
    <row r="1472" spans="4:4">
      <c r="D1472"/>
    </row>
    <row r="1473" spans="4:4">
      <c r="D1473"/>
    </row>
    <row r="1474" spans="4:4">
      <c r="D1474"/>
    </row>
    <row r="1475" spans="4:4">
      <c r="D1475"/>
    </row>
    <row r="1476" spans="4:4">
      <c r="D1476"/>
    </row>
    <row r="1477" spans="4:4">
      <c r="D1477"/>
    </row>
    <row r="1478" spans="4:4">
      <c r="D1478"/>
    </row>
    <row r="1479" spans="4:4">
      <c r="D1479"/>
    </row>
    <row r="1480" spans="4:4">
      <c r="D1480"/>
    </row>
    <row r="1481" spans="4:4">
      <c r="D1481"/>
    </row>
    <row r="1482" spans="4:4">
      <c r="D1482"/>
    </row>
    <row r="1483" spans="4:4">
      <c r="D1483"/>
    </row>
    <row r="1484" spans="4:4">
      <c r="D1484"/>
    </row>
    <row r="1485" spans="4:4">
      <c r="D1485"/>
    </row>
    <row r="1486" spans="4:4">
      <c r="D1486"/>
    </row>
    <row r="1487" spans="4:4">
      <c r="D1487"/>
    </row>
    <row r="1488" spans="4:4">
      <c r="D1488"/>
    </row>
    <row r="1489" spans="4:4">
      <c r="D1489"/>
    </row>
    <row r="1490" spans="4:4">
      <c r="D1490"/>
    </row>
    <row r="1491" spans="4:4">
      <c r="D1491"/>
    </row>
    <row r="1492" spans="4:4">
      <c r="D1492"/>
    </row>
    <row r="1493" spans="4:4">
      <c r="D1493"/>
    </row>
    <row r="1494" spans="4:4">
      <c r="D1494"/>
    </row>
    <row r="1495" spans="4:4">
      <c r="D1495"/>
    </row>
    <row r="1496" spans="4:4">
      <c r="D1496"/>
    </row>
    <row r="1497" spans="4:4">
      <c r="D1497"/>
    </row>
    <row r="1498" spans="4:4">
      <c r="D1498"/>
    </row>
    <row r="1499" spans="4:4">
      <c r="D1499"/>
    </row>
    <row r="1500" spans="4:4">
      <c r="D1500"/>
    </row>
    <row r="1501" spans="4:4">
      <c r="D1501"/>
    </row>
    <row r="1502" spans="4:4">
      <c r="D1502"/>
    </row>
    <row r="1503" spans="4:4">
      <c r="D1503"/>
    </row>
    <row r="1504" spans="4:4">
      <c r="D1504"/>
    </row>
    <row r="1505" spans="4:4">
      <c r="D1505"/>
    </row>
    <row r="1506" spans="4:4">
      <c r="D1506"/>
    </row>
    <row r="1507" spans="4:4">
      <c r="D1507"/>
    </row>
    <row r="1508" spans="4:4">
      <c r="D1508"/>
    </row>
    <row r="1509" spans="4:4">
      <c r="D1509"/>
    </row>
    <row r="1510" spans="4:4">
      <c r="D1510"/>
    </row>
    <row r="1511" spans="4:4">
      <c r="D1511"/>
    </row>
    <row r="1512" spans="4:4">
      <c r="D1512"/>
    </row>
    <row r="1513" spans="4:4">
      <c r="D1513"/>
    </row>
    <row r="1514" spans="4:4">
      <c r="D1514"/>
    </row>
    <row r="1515" spans="4:4">
      <c r="D1515"/>
    </row>
    <row r="1516" spans="4:4">
      <c r="D1516"/>
    </row>
    <row r="1517" spans="4:4">
      <c r="D1517"/>
    </row>
    <row r="1518" spans="4:4">
      <c r="D1518"/>
    </row>
    <row r="1519" spans="4:4">
      <c r="D1519"/>
    </row>
    <row r="1520" spans="4:4">
      <c r="D1520"/>
    </row>
    <row r="1521" spans="4:4">
      <c r="D1521"/>
    </row>
    <row r="1522" spans="4:4">
      <c r="D1522"/>
    </row>
    <row r="1523" spans="4:4">
      <c r="D1523"/>
    </row>
    <row r="1524" spans="4:4">
      <c r="D1524"/>
    </row>
    <row r="1525" spans="4:4">
      <c r="D1525"/>
    </row>
    <row r="1526" spans="4:4">
      <c r="D1526"/>
    </row>
    <row r="1527" spans="4:4">
      <c r="D1527"/>
    </row>
    <row r="1528" spans="4:4">
      <c r="D1528"/>
    </row>
    <row r="1529" spans="4:4">
      <c r="D1529"/>
    </row>
  </sheetData>
  <pageMargins left="0.25" right="0.25" top="0.75" bottom="0.75" header="0.3" footer="0.3"/>
  <pageSetup paperSize="8" scale="65" fitToWidth="2" fitToHeight="2" orientation="landscape"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03DDC-B7C2-4B4A-ADFF-D514B2059DE6}">
  <dimension ref="B4:H1529"/>
  <sheetViews>
    <sheetView tabSelected="1" zoomScale="80" zoomScaleNormal="80" workbookViewId="0">
      <selection activeCell="C16" sqref="C16"/>
    </sheetView>
  </sheetViews>
  <sheetFormatPr defaultRowHeight="15"/>
  <cols>
    <col min="2" max="2" width="42" bestFit="1" customWidth="1"/>
    <col min="3" max="3" width="18.5703125" bestFit="1" customWidth="1"/>
    <col min="4" max="5" width="18.5703125" style="70" bestFit="1" customWidth="1"/>
    <col min="6" max="6" width="16" bestFit="1" customWidth="1"/>
    <col min="7" max="7" width="14.42578125" bestFit="1" customWidth="1"/>
    <col min="8" max="8" width="12.7109375" bestFit="1" customWidth="1"/>
    <col min="9" max="17" width="18.42578125" bestFit="1" customWidth="1"/>
    <col min="18" max="19" width="12.7109375" bestFit="1" customWidth="1"/>
    <col min="20" max="23" width="17.7109375" bestFit="1" customWidth="1"/>
    <col min="24" max="24" width="18.7109375" bestFit="1" customWidth="1"/>
    <col min="25" max="25" width="14.7109375" bestFit="1" customWidth="1"/>
    <col min="26" max="26" width="7.28515625" bestFit="1" customWidth="1"/>
    <col min="27" max="27" width="11.5703125" bestFit="1" customWidth="1"/>
    <col min="28" max="28" width="28.5703125" bestFit="1" customWidth="1"/>
    <col min="29" max="29" width="13.7109375" bestFit="1" customWidth="1"/>
    <col min="30" max="30" width="18.7109375" bestFit="1" customWidth="1"/>
    <col min="31" max="31" width="11.5703125" bestFit="1" customWidth="1"/>
    <col min="32" max="32" width="16.42578125" bestFit="1" customWidth="1"/>
    <col min="33" max="34" width="22" bestFit="1" customWidth="1"/>
    <col min="35" max="35" width="26.140625" bestFit="1" customWidth="1"/>
    <col min="36" max="36" width="27.140625" bestFit="1" customWidth="1"/>
    <col min="37" max="37" width="13.5703125" bestFit="1" customWidth="1"/>
    <col min="38" max="38" width="18" bestFit="1" customWidth="1"/>
    <col min="39" max="39" width="11.42578125" bestFit="1" customWidth="1"/>
    <col min="40" max="41" width="22" bestFit="1" customWidth="1"/>
    <col min="42" max="42" width="26.140625" bestFit="1" customWidth="1"/>
    <col min="43" max="43" width="27.140625" bestFit="1" customWidth="1"/>
    <col min="44" max="44" width="13.5703125" bestFit="1" customWidth="1"/>
    <col min="45" max="45" width="18" bestFit="1" customWidth="1"/>
    <col min="46" max="46" width="14.42578125" bestFit="1" customWidth="1"/>
    <col min="47" max="47" width="7" bestFit="1" customWidth="1"/>
    <col min="48" max="48" width="11.42578125" bestFit="1" customWidth="1"/>
    <col min="49" max="49" width="13.7109375" bestFit="1" customWidth="1"/>
    <col min="50" max="50" width="18.7109375" bestFit="1" customWidth="1"/>
    <col min="51" max="51" width="14.7109375" bestFit="1" customWidth="1"/>
    <col min="52" max="52" width="7.28515625" bestFit="1" customWidth="1"/>
    <col min="53" max="53" width="11.5703125" bestFit="1" customWidth="1"/>
    <col min="54" max="54" width="11.42578125" bestFit="1" customWidth="1"/>
    <col min="55" max="55" width="6" bestFit="1" customWidth="1"/>
    <col min="56" max="56" width="8.28515625" bestFit="1" customWidth="1"/>
    <col min="57" max="57" width="10.28515625" bestFit="1" customWidth="1"/>
    <col min="58" max="58" width="11.42578125" bestFit="1" customWidth="1"/>
    <col min="59" max="76" width="6.85546875" bestFit="1" customWidth="1"/>
    <col min="77" max="77" width="9" bestFit="1" customWidth="1"/>
    <col min="78" max="96" width="7.5703125" bestFit="1" customWidth="1"/>
    <col min="97" max="97" width="9.7109375" bestFit="1" customWidth="1"/>
    <col min="98" max="117" width="6.7109375" bestFit="1" customWidth="1"/>
    <col min="118" max="118" width="8.85546875" bestFit="1" customWidth="1"/>
    <col min="119" max="127" width="6.140625" bestFit="1" customWidth="1"/>
    <col min="128" max="128" width="8.28515625" bestFit="1" customWidth="1"/>
    <col min="129" max="129" width="9.85546875" bestFit="1" customWidth="1"/>
    <col min="130" max="130" width="11.28515625" bestFit="1" customWidth="1"/>
    <col min="131" max="133" width="6.7109375" bestFit="1" customWidth="1"/>
    <col min="134" max="134" width="8.85546875" bestFit="1" customWidth="1"/>
    <col min="135" max="143" width="6.140625" bestFit="1" customWidth="1"/>
    <col min="144" max="144" width="8.28515625" bestFit="1" customWidth="1"/>
    <col min="145" max="145" width="9.85546875" bestFit="1" customWidth="1"/>
    <col min="146" max="146" width="11.28515625" bestFit="1" customWidth="1"/>
    <col min="147" max="157" width="6.7109375" bestFit="1" customWidth="1"/>
    <col min="158" max="158" width="8.85546875" bestFit="1" customWidth="1"/>
    <col min="159" max="174" width="7.28515625" bestFit="1" customWidth="1"/>
    <col min="175" max="175" width="9.42578125" bestFit="1" customWidth="1"/>
    <col min="176" max="188" width="7" bestFit="1" customWidth="1"/>
    <col min="189" max="189" width="9.140625" bestFit="1" customWidth="1"/>
    <col min="190" max="190" width="9.85546875" bestFit="1" customWidth="1"/>
    <col min="191" max="206" width="6.85546875" bestFit="1" customWidth="1"/>
    <col min="207" max="207" width="8.7109375" bestFit="1" customWidth="1"/>
    <col min="208" max="228" width="7" bestFit="1" customWidth="1"/>
    <col min="229" max="229" width="9.140625" bestFit="1" customWidth="1"/>
    <col min="230" max="253" width="7.28515625" bestFit="1" customWidth="1"/>
    <col min="254" max="254" width="9.42578125" bestFit="1" customWidth="1"/>
    <col min="255" max="274" width="6.85546875" bestFit="1" customWidth="1"/>
    <col min="275" max="275" width="9" bestFit="1" customWidth="1"/>
    <col min="276" max="294" width="7.5703125" bestFit="1" customWidth="1"/>
    <col min="295" max="295" width="9.7109375" bestFit="1" customWidth="1"/>
    <col min="296" max="315" width="6.7109375" bestFit="1" customWidth="1"/>
    <col min="316" max="316" width="8.85546875" bestFit="1" customWidth="1"/>
    <col min="317" max="325" width="6.140625" bestFit="1" customWidth="1"/>
    <col min="326" max="326" width="8.28515625" bestFit="1" customWidth="1"/>
    <col min="327" max="327" width="9.85546875" bestFit="1" customWidth="1"/>
    <col min="328" max="328" width="11.28515625" bestFit="1" customWidth="1"/>
    <col min="329" max="329" width="9.85546875" bestFit="1" customWidth="1"/>
    <col min="330" max="330" width="11.28515625" bestFit="1" customWidth="1"/>
    <col min="331" max="340" width="11.5703125" bestFit="1" customWidth="1"/>
    <col min="341" max="341" width="7.85546875" bestFit="1" customWidth="1"/>
    <col min="342" max="342" width="14.7109375" bestFit="1" customWidth="1"/>
    <col min="343" max="351" width="11.5703125" bestFit="1" customWidth="1"/>
    <col min="352" max="352" width="7.85546875" bestFit="1" customWidth="1"/>
    <col min="353" max="353" width="14.7109375" bestFit="1" customWidth="1"/>
    <col min="354" max="357" width="11.5703125" bestFit="1" customWidth="1"/>
    <col min="358" max="358" width="7.85546875" bestFit="1" customWidth="1"/>
    <col min="359" max="359" width="14.7109375" bestFit="1" customWidth="1"/>
    <col min="360" max="361" width="10.5703125" bestFit="1" customWidth="1"/>
    <col min="362" max="362" width="7.85546875" bestFit="1" customWidth="1"/>
    <col min="363" max="363" width="13.7109375" bestFit="1" customWidth="1"/>
    <col min="364" max="379" width="10.5703125" bestFit="1" customWidth="1"/>
    <col min="380" max="380" width="7.85546875" bestFit="1" customWidth="1"/>
    <col min="381" max="381" width="13.7109375" bestFit="1" customWidth="1"/>
    <col min="382" max="390" width="10.5703125" bestFit="1" customWidth="1"/>
    <col min="391" max="391" width="7.85546875" bestFit="1" customWidth="1"/>
    <col min="392" max="392" width="13.7109375" bestFit="1" customWidth="1"/>
    <col min="393" max="395" width="11.5703125" bestFit="1" customWidth="1"/>
    <col min="396" max="396" width="7.85546875" bestFit="1" customWidth="1"/>
    <col min="397" max="397" width="14.7109375" bestFit="1" customWidth="1"/>
    <col min="398" max="413" width="11.5703125" bestFit="1" customWidth="1"/>
    <col min="414" max="414" width="7.85546875" bestFit="1" customWidth="1"/>
    <col min="415" max="415" width="14.7109375" bestFit="1" customWidth="1"/>
    <col min="416" max="420" width="11.5703125" bestFit="1" customWidth="1"/>
    <col min="421" max="421" width="7.85546875" bestFit="1" customWidth="1"/>
    <col min="422" max="422" width="14.7109375" bestFit="1" customWidth="1"/>
    <col min="423" max="432" width="11.5703125" bestFit="1" customWidth="1"/>
    <col min="433" max="433" width="7.85546875" bestFit="1" customWidth="1"/>
    <col min="434" max="434" width="14.7109375" bestFit="1" customWidth="1"/>
    <col min="435" max="441" width="11.5703125" bestFit="1" customWidth="1"/>
    <col min="442" max="442" width="7.85546875" bestFit="1" customWidth="1"/>
    <col min="443" max="443" width="14.7109375" bestFit="1" customWidth="1"/>
    <col min="444" max="450" width="11.5703125" bestFit="1" customWidth="1"/>
    <col min="451" max="451" width="7.85546875" bestFit="1" customWidth="1"/>
    <col min="452" max="452" width="14.7109375" bestFit="1" customWidth="1"/>
    <col min="453" max="455" width="11.5703125" bestFit="1" customWidth="1"/>
    <col min="456" max="456" width="7.85546875" bestFit="1" customWidth="1"/>
    <col min="457" max="457" width="14.7109375" bestFit="1" customWidth="1"/>
    <col min="458" max="465" width="11.5703125" bestFit="1" customWidth="1"/>
    <col min="466" max="466" width="7.85546875" bestFit="1" customWidth="1"/>
    <col min="467" max="467" width="14.7109375" bestFit="1" customWidth="1"/>
    <col min="468" max="477" width="11.5703125" bestFit="1" customWidth="1"/>
    <col min="478" max="478" width="7.85546875" bestFit="1" customWidth="1"/>
    <col min="479" max="479" width="14.7109375" bestFit="1" customWidth="1"/>
    <col min="480" max="485" width="11.5703125" bestFit="1" customWidth="1"/>
    <col min="486" max="486" width="7.85546875" bestFit="1" customWidth="1"/>
    <col min="487" max="487" width="14.7109375" bestFit="1" customWidth="1"/>
    <col min="488" max="495" width="11.5703125" bestFit="1" customWidth="1"/>
    <col min="496" max="496" width="7.85546875" bestFit="1" customWidth="1"/>
    <col min="497" max="497" width="14.7109375" bestFit="1" customWidth="1"/>
    <col min="498" max="500" width="10.5703125" bestFit="1" customWidth="1"/>
    <col min="501" max="501" width="7.85546875" bestFit="1" customWidth="1"/>
    <col min="502" max="502" width="13.7109375" bestFit="1" customWidth="1"/>
    <col min="503" max="508" width="10.5703125" bestFit="1" customWidth="1"/>
    <col min="509" max="509" width="7.85546875" bestFit="1" customWidth="1"/>
    <col min="510" max="510" width="13.7109375" bestFit="1" customWidth="1"/>
    <col min="511" max="513" width="10.5703125" bestFit="1" customWidth="1"/>
    <col min="514" max="514" width="7.85546875" bestFit="1" customWidth="1"/>
    <col min="515" max="515" width="13.7109375" bestFit="1" customWidth="1"/>
    <col min="516" max="532" width="10.5703125" bestFit="1" customWidth="1"/>
    <col min="533" max="533" width="7.85546875" bestFit="1" customWidth="1"/>
    <col min="534" max="534" width="13.7109375" bestFit="1" customWidth="1"/>
    <col min="535" max="538" width="10.5703125" bestFit="1" customWidth="1"/>
    <col min="539" max="539" width="7.85546875" bestFit="1" customWidth="1"/>
    <col min="540" max="540" width="13.7109375" bestFit="1" customWidth="1"/>
    <col min="541" max="541" width="10.5703125" bestFit="1" customWidth="1"/>
    <col min="542" max="542" width="7.85546875" bestFit="1" customWidth="1"/>
    <col min="543" max="543" width="13.7109375" bestFit="1" customWidth="1"/>
    <col min="544" max="561" width="10.5703125" bestFit="1" customWidth="1"/>
    <col min="562" max="562" width="7.85546875" bestFit="1" customWidth="1"/>
    <col min="563" max="563" width="13.7109375" bestFit="1" customWidth="1"/>
    <col min="564" max="578" width="11.5703125" bestFit="1" customWidth="1"/>
    <col min="579" max="579" width="7.85546875" bestFit="1" customWidth="1"/>
    <col min="580" max="580" width="14.7109375" bestFit="1" customWidth="1"/>
    <col min="581" max="584" width="11.5703125" bestFit="1" customWidth="1"/>
    <col min="585" max="585" width="7.85546875" bestFit="1" customWidth="1"/>
    <col min="586" max="586" width="14.7109375" bestFit="1" customWidth="1"/>
    <col min="587" max="594" width="11.5703125" bestFit="1" customWidth="1"/>
    <col min="595" max="595" width="7.85546875" bestFit="1" customWidth="1"/>
    <col min="596" max="596" width="14.7109375" bestFit="1" customWidth="1"/>
    <col min="597" max="597" width="11.5703125" bestFit="1" customWidth="1"/>
    <col min="598" max="598" width="7.85546875" bestFit="1" customWidth="1"/>
    <col min="599" max="599" width="14.7109375" bestFit="1" customWidth="1"/>
    <col min="600" max="604" width="11.5703125" bestFit="1" customWidth="1"/>
    <col min="605" max="605" width="7.85546875" bestFit="1" customWidth="1"/>
    <col min="606" max="606" width="14.7109375" bestFit="1" customWidth="1"/>
    <col min="607" max="607" width="11.5703125" bestFit="1" customWidth="1"/>
    <col min="608" max="608" width="7.85546875" bestFit="1" customWidth="1"/>
    <col min="609" max="609" width="14.7109375" bestFit="1" customWidth="1"/>
    <col min="610" max="610" width="11.5703125" bestFit="1" customWidth="1"/>
    <col min="611" max="611" width="7.85546875" bestFit="1" customWidth="1"/>
    <col min="612" max="612" width="14.7109375" bestFit="1" customWidth="1"/>
    <col min="613" max="614" width="11.5703125" bestFit="1" customWidth="1"/>
    <col min="615" max="615" width="7.85546875" bestFit="1" customWidth="1"/>
    <col min="616" max="616" width="14.7109375" bestFit="1" customWidth="1"/>
    <col min="617" max="620" width="11.5703125" bestFit="1" customWidth="1"/>
    <col min="621" max="621" width="7.85546875" bestFit="1" customWidth="1"/>
    <col min="622" max="622" width="14.7109375" bestFit="1" customWidth="1"/>
    <col min="623" max="626" width="11.5703125" bestFit="1" customWidth="1"/>
    <col min="627" max="627" width="7.85546875" bestFit="1" customWidth="1"/>
    <col min="628" max="628" width="14.7109375" bestFit="1" customWidth="1"/>
    <col min="629" max="635" width="11.5703125" bestFit="1" customWidth="1"/>
    <col min="636" max="636" width="7.85546875" bestFit="1" customWidth="1"/>
    <col min="637" max="637" width="14.7109375" bestFit="1" customWidth="1"/>
    <col min="638" max="640" width="11.5703125" bestFit="1" customWidth="1"/>
    <col min="641" max="641" width="7.85546875" bestFit="1" customWidth="1"/>
    <col min="642" max="642" width="14.7109375" bestFit="1" customWidth="1"/>
    <col min="643" max="653" width="11.5703125" bestFit="1" customWidth="1"/>
    <col min="654" max="654" width="7.85546875" bestFit="1" customWidth="1"/>
    <col min="655" max="655" width="14.7109375" bestFit="1" customWidth="1"/>
    <col min="656" max="660" width="11.5703125" bestFit="1" customWidth="1"/>
    <col min="661" max="661" width="7.85546875" bestFit="1" customWidth="1"/>
    <col min="662" max="662" width="14.7109375" bestFit="1" customWidth="1"/>
    <col min="663" max="671" width="11.5703125" bestFit="1" customWidth="1"/>
    <col min="672" max="672" width="7.85546875" bestFit="1" customWidth="1"/>
    <col min="673" max="673" width="14.7109375" bestFit="1" customWidth="1"/>
    <col min="674" max="674" width="10.5703125" bestFit="1" customWidth="1"/>
    <col min="675" max="675" width="7.85546875" bestFit="1" customWidth="1"/>
    <col min="676" max="676" width="13.7109375" bestFit="1" customWidth="1"/>
    <col min="677" max="678" width="10.5703125" bestFit="1" customWidth="1"/>
    <col min="679" max="679" width="7.85546875" bestFit="1" customWidth="1"/>
    <col min="680" max="680" width="13.7109375" bestFit="1" customWidth="1"/>
    <col min="681" max="688" width="10.5703125" bestFit="1" customWidth="1"/>
    <col min="689" max="689" width="7.85546875" bestFit="1" customWidth="1"/>
    <col min="690" max="690" width="13.7109375" bestFit="1" customWidth="1"/>
    <col min="691" max="692" width="10.5703125" bestFit="1" customWidth="1"/>
    <col min="693" max="693" width="7.85546875" bestFit="1" customWidth="1"/>
    <col min="694" max="694" width="13.7109375" bestFit="1" customWidth="1"/>
    <col min="695" max="696" width="10.5703125" bestFit="1" customWidth="1"/>
    <col min="697" max="697" width="7.85546875" bestFit="1" customWidth="1"/>
    <col min="698" max="698" width="13.7109375" bestFit="1" customWidth="1"/>
    <col min="699" max="700" width="10.5703125" bestFit="1" customWidth="1"/>
    <col min="701" max="701" width="7.85546875" bestFit="1" customWidth="1"/>
    <col min="702" max="702" width="13.7109375" bestFit="1" customWidth="1"/>
    <col min="703" max="705" width="11.5703125" bestFit="1" customWidth="1"/>
    <col min="706" max="706" width="7.85546875" bestFit="1" customWidth="1"/>
    <col min="707" max="707" width="14.7109375" bestFit="1" customWidth="1"/>
    <col min="708" max="709" width="11.5703125" bestFit="1" customWidth="1"/>
    <col min="710" max="710" width="7.85546875" bestFit="1" customWidth="1"/>
    <col min="711" max="711" width="14.7109375" bestFit="1" customWidth="1"/>
    <col min="712" max="718" width="11.5703125" bestFit="1" customWidth="1"/>
    <col min="719" max="719" width="7.85546875" bestFit="1" customWidth="1"/>
    <col min="720" max="720" width="14.7109375" bestFit="1" customWidth="1"/>
    <col min="721" max="727" width="11.5703125" bestFit="1" customWidth="1"/>
    <col min="728" max="728" width="7.85546875" bestFit="1" customWidth="1"/>
    <col min="729" max="729" width="14.7109375" bestFit="1" customWidth="1"/>
    <col min="730" max="772" width="11.5703125" bestFit="1" customWidth="1"/>
    <col min="773" max="773" width="7.85546875" bestFit="1" customWidth="1"/>
    <col min="774" max="774" width="14.7109375" bestFit="1" customWidth="1"/>
    <col min="775" max="776" width="11.5703125" bestFit="1" customWidth="1"/>
    <col min="777" max="777" width="7.85546875" bestFit="1" customWidth="1"/>
    <col min="778" max="778" width="14.7109375" bestFit="1" customWidth="1"/>
    <col min="779" max="780" width="11.5703125" bestFit="1" customWidth="1"/>
    <col min="781" max="781" width="7.85546875" bestFit="1" customWidth="1"/>
    <col min="782" max="782" width="14.7109375" bestFit="1" customWidth="1"/>
    <col min="783" max="787" width="11.5703125" bestFit="1" customWidth="1"/>
    <col min="788" max="788" width="7.85546875" bestFit="1" customWidth="1"/>
    <col min="789" max="789" width="14.7109375" bestFit="1" customWidth="1"/>
    <col min="790" max="790" width="11.5703125" bestFit="1" customWidth="1"/>
    <col min="791" max="791" width="7.85546875" bestFit="1" customWidth="1"/>
    <col min="792" max="792" width="14.7109375" bestFit="1" customWidth="1"/>
    <col min="793" max="793" width="11.5703125" bestFit="1" customWidth="1"/>
    <col min="794" max="794" width="7.85546875" bestFit="1" customWidth="1"/>
    <col min="795" max="795" width="14.7109375" bestFit="1" customWidth="1"/>
    <col min="796" max="803" width="11.5703125" bestFit="1" customWidth="1"/>
    <col min="804" max="804" width="7.85546875" bestFit="1" customWidth="1"/>
    <col min="805" max="805" width="14.7109375" bestFit="1" customWidth="1"/>
    <col min="806" max="807" width="11.5703125" bestFit="1" customWidth="1"/>
    <col min="808" max="808" width="7.85546875" bestFit="1" customWidth="1"/>
    <col min="809" max="809" width="14.7109375" bestFit="1" customWidth="1"/>
    <col min="810" max="855" width="11.5703125" bestFit="1" customWidth="1"/>
    <col min="856" max="856" width="7.85546875" bestFit="1" customWidth="1"/>
    <col min="857" max="857" width="14.7109375" bestFit="1" customWidth="1"/>
    <col min="858" max="861" width="11.5703125" bestFit="1" customWidth="1"/>
    <col min="862" max="862" width="7.85546875" bestFit="1" customWidth="1"/>
    <col min="863" max="863" width="14.7109375" bestFit="1" customWidth="1"/>
    <col min="864" max="866" width="10.5703125" bestFit="1" customWidth="1"/>
    <col min="867" max="867" width="7.85546875" bestFit="1" customWidth="1"/>
    <col min="868" max="868" width="13.7109375" bestFit="1" customWidth="1"/>
    <col min="869" max="870" width="10.5703125" bestFit="1" customWidth="1"/>
    <col min="871" max="871" width="7.85546875" bestFit="1" customWidth="1"/>
    <col min="872" max="872" width="13.7109375" bestFit="1" customWidth="1"/>
    <col min="873" max="874" width="10.5703125" bestFit="1" customWidth="1"/>
    <col min="875" max="875" width="7.85546875" bestFit="1" customWidth="1"/>
    <col min="876" max="876" width="13.7109375" bestFit="1" customWidth="1"/>
    <col min="877" max="891" width="10.7109375" bestFit="1" customWidth="1"/>
    <col min="892" max="892" width="7.85546875" bestFit="1" customWidth="1"/>
    <col min="893" max="893" width="13.7109375" bestFit="1" customWidth="1"/>
    <col min="894" max="894" width="10.5703125" bestFit="1" customWidth="1"/>
    <col min="895" max="895" width="7.85546875" bestFit="1" customWidth="1"/>
    <col min="896" max="896" width="13.7109375" bestFit="1" customWidth="1"/>
    <col min="897" max="898" width="10.5703125" bestFit="1" customWidth="1"/>
    <col min="899" max="899" width="7.85546875" bestFit="1" customWidth="1"/>
    <col min="900" max="900" width="13.7109375" bestFit="1" customWidth="1"/>
    <col min="901" max="904" width="11.5703125" bestFit="1" customWidth="1"/>
    <col min="905" max="905" width="7.85546875" bestFit="1" customWidth="1"/>
    <col min="906" max="906" width="14.7109375" bestFit="1" customWidth="1"/>
    <col min="907" max="909" width="11.5703125" bestFit="1" customWidth="1"/>
    <col min="910" max="910" width="7.85546875" bestFit="1" customWidth="1"/>
    <col min="911" max="911" width="14.7109375" bestFit="1" customWidth="1"/>
    <col min="912" max="912" width="11.5703125" bestFit="1" customWidth="1"/>
    <col min="913" max="913" width="7.85546875" bestFit="1" customWidth="1"/>
    <col min="914" max="914" width="14.7109375" bestFit="1" customWidth="1"/>
    <col min="915" max="916" width="11.5703125" bestFit="1" customWidth="1"/>
    <col min="917" max="917" width="7.85546875" bestFit="1" customWidth="1"/>
    <col min="918" max="918" width="14.7109375" bestFit="1" customWidth="1"/>
    <col min="919" max="919" width="11.5703125" bestFit="1" customWidth="1"/>
    <col min="920" max="920" width="7.85546875" bestFit="1" customWidth="1"/>
    <col min="921" max="921" width="14.7109375" bestFit="1" customWidth="1"/>
    <col min="922" max="925" width="11.5703125" bestFit="1" customWidth="1"/>
    <col min="926" max="926" width="7.85546875" bestFit="1" customWidth="1"/>
    <col min="927" max="927" width="14.7109375" bestFit="1" customWidth="1"/>
    <col min="928" max="929" width="11.5703125" bestFit="1" customWidth="1"/>
    <col min="930" max="930" width="7.85546875" bestFit="1" customWidth="1"/>
    <col min="931" max="931" width="14.7109375" bestFit="1" customWidth="1"/>
    <col min="932" max="932" width="11.5703125" bestFit="1" customWidth="1"/>
    <col min="933" max="933" width="7.85546875" bestFit="1" customWidth="1"/>
    <col min="934" max="934" width="14.7109375" bestFit="1" customWidth="1"/>
    <col min="935" max="936" width="11.5703125" bestFit="1" customWidth="1"/>
    <col min="937" max="937" width="7.85546875" bestFit="1" customWidth="1"/>
    <col min="938" max="938" width="14.7109375" bestFit="1" customWidth="1"/>
    <col min="939" max="939" width="11.5703125" bestFit="1" customWidth="1"/>
    <col min="940" max="940" width="7.85546875" bestFit="1" customWidth="1"/>
    <col min="941" max="941" width="14.7109375" bestFit="1" customWidth="1"/>
    <col min="942" max="942" width="11.5703125" bestFit="1" customWidth="1"/>
    <col min="943" max="943" width="7.85546875" bestFit="1" customWidth="1"/>
    <col min="944" max="944" width="14.7109375" bestFit="1" customWidth="1"/>
    <col min="945" max="945" width="11.5703125" bestFit="1" customWidth="1"/>
    <col min="946" max="946" width="7.85546875" bestFit="1" customWidth="1"/>
    <col min="947" max="947" width="14.7109375" bestFit="1" customWidth="1"/>
    <col min="948" max="948" width="11.5703125" bestFit="1" customWidth="1"/>
    <col min="949" max="949" width="7.85546875" bestFit="1" customWidth="1"/>
    <col min="950" max="950" width="14.7109375" bestFit="1" customWidth="1"/>
    <col min="951" max="956" width="11.5703125" bestFit="1" customWidth="1"/>
    <col min="957" max="957" width="7.85546875" bestFit="1" customWidth="1"/>
    <col min="958" max="958" width="14.7109375" bestFit="1" customWidth="1"/>
    <col min="959" max="959" width="11.5703125" bestFit="1" customWidth="1"/>
    <col min="960" max="960" width="7.85546875" bestFit="1" customWidth="1"/>
    <col min="961" max="961" width="14.7109375" bestFit="1" customWidth="1"/>
    <col min="962" max="962" width="11.5703125" bestFit="1" customWidth="1"/>
    <col min="963" max="963" width="7.85546875" bestFit="1" customWidth="1"/>
    <col min="964" max="964" width="14.7109375" bestFit="1" customWidth="1"/>
    <col min="965" max="970" width="11.5703125" bestFit="1" customWidth="1"/>
    <col min="971" max="971" width="7.85546875" bestFit="1" customWidth="1"/>
    <col min="972" max="972" width="14.7109375" bestFit="1" customWidth="1"/>
    <col min="973" max="973" width="11.5703125" bestFit="1" customWidth="1"/>
    <col min="974" max="974" width="7.85546875" bestFit="1" customWidth="1"/>
    <col min="975" max="975" width="14.7109375" bestFit="1" customWidth="1"/>
    <col min="976" max="976" width="11.5703125" bestFit="1" customWidth="1"/>
    <col min="977" max="977" width="7.85546875" bestFit="1" customWidth="1"/>
    <col min="978" max="978" width="14.7109375" bestFit="1" customWidth="1"/>
    <col min="979" max="983" width="11.5703125" bestFit="1" customWidth="1"/>
    <col min="984" max="984" width="7.85546875" bestFit="1" customWidth="1"/>
    <col min="985" max="985" width="14.7109375" bestFit="1" customWidth="1"/>
    <col min="986" max="989" width="11.5703125" bestFit="1" customWidth="1"/>
    <col min="990" max="990" width="7.85546875" bestFit="1" customWidth="1"/>
    <col min="991" max="991" width="14.7109375" bestFit="1" customWidth="1"/>
    <col min="992" max="995" width="11.5703125" bestFit="1" customWidth="1"/>
    <col min="996" max="996" width="7.85546875" bestFit="1" customWidth="1"/>
    <col min="997" max="997" width="14.7109375" bestFit="1" customWidth="1"/>
    <col min="998" max="1001" width="11.5703125" bestFit="1" customWidth="1"/>
    <col min="1002" max="1002" width="7.85546875" bestFit="1" customWidth="1"/>
    <col min="1003" max="1003" width="14.7109375" bestFit="1" customWidth="1"/>
    <col min="1004" max="1007" width="12.5703125" bestFit="1" customWidth="1"/>
    <col min="1008" max="1008" width="7.85546875" bestFit="1" customWidth="1"/>
    <col min="1009" max="1009" width="15.7109375" bestFit="1" customWidth="1"/>
    <col min="1010" max="1013" width="12.5703125" bestFit="1" customWidth="1"/>
    <col min="1014" max="1014" width="7.85546875" bestFit="1" customWidth="1"/>
    <col min="1015" max="1015" width="15.7109375" bestFit="1" customWidth="1"/>
    <col min="1016" max="1018" width="12.5703125" bestFit="1" customWidth="1"/>
    <col min="1019" max="1019" width="7.85546875" bestFit="1" customWidth="1"/>
    <col min="1020" max="1020" width="15.7109375" bestFit="1" customWidth="1"/>
    <col min="1021" max="1025" width="12.5703125" bestFit="1" customWidth="1"/>
    <col min="1026" max="1026" width="7.85546875" bestFit="1" customWidth="1"/>
    <col min="1027" max="1027" width="15.7109375" bestFit="1" customWidth="1"/>
    <col min="1028" max="1029" width="12.5703125" bestFit="1" customWidth="1"/>
    <col min="1030" max="1030" width="7.85546875" bestFit="1" customWidth="1"/>
    <col min="1031" max="1031" width="15.7109375" bestFit="1" customWidth="1"/>
    <col min="1032" max="1033" width="12.5703125" bestFit="1" customWidth="1"/>
    <col min="1034" max="1034" width="7.85546875" bestFit="1" customWidth="1"/>
    <col min="1035" max="1035" width="15.7109375" bestFit="1" customWidth="1"/>
    <col min="1036" max="1042" width="12.5703125" bestFit="1" customWidth="1"/>
    <col min="1043" max="1043" width="7.85546875" bestFit="1" customWidth="1"/>
    <col min="1044" max="1044" width="15.7109375" bestFit="1" customWidth="1"/>
    <col min="1045" max="1051" width="12.5703125" bestFit="1" customWidth="1"/>
    <col min="1052" max="1052" width="7.85546875" bestFit="1" customWidth="1"/>
    <col min="1053" max="1053" width="15.7109375" bestFit="1" customWidth="1"/>
    <col min="1054" max="1058" width="12.5703125" bestFit="1" customWidth="1"/>
    <col min="1059" max="1059" width="7.85546875" bestFit="1" customWidth="1"/>
    <col min="1060" max="1060" width="15.7109375" bestFit="1" customWidth="1"/>
    <col min="1061" max="1062" width="12.5703125" bestFit="1" customWidth="1"/>
    <col min="1063" max="1063" width="7.85546875" bestFit="1" customWidth="1"/>
    <col min="1064" max="1064" width="15.7109375" bestFit="1" customWidth="1"/>
    <col min="1065" max="1069" width="12.5703125" bestFit="1" customWidth="1"/>
    <col min="1070" max="1070" width="7.85546875" bestFit="1" customWidth="1"/>
    <col min="1071" max="1071" width="15.7109375" bestFit="1" customWidth="1"/>
    <col min="1072" max="1074" width="12.5703125" bestFit="1" customWidth="1"/>
    <col min="1075" max="1075" width="7.85546875" bestFit="1" customWidth="1"/>
    <col min="1076" max="1076" width="15.7109375" bestFit="1" customWidth="1"/>
    <col min="1077" max="1081" width="12.5703125" bestFit="1" customWidth="1"/>
    <col min="1082" max="1082" width="7.85546875" bestFit="1" customWidth="1"/>
    <col min="1083" max="1083" width="15.7109375" bestFit="1" customWidth="1"/>
    <col min="1084" max="1085" width="12.5703125" bestFit="1" customWidth="1"/>
    <col min="1086" max="1086" width="7.85546875" bestFit="1" customWidth="1"/>
    <col min="1087" max="1087" width="15.7109375" bestFit="1" customWidth="1"/>
    <col min="1088" max="1091" width="12.5703125" bestFit="1" customWidth="1"/>
    <col min="1092" max="1092" width="7.85546875" bestFit="1" customWidth="1"/>
    <col min="1093" max="1093" width="15.7109375" bestFit="1" customWidth="1"/>
    <col min="1094" max="1095" width="11.5703125" bestFit="1" customWidth="1"/>
    <col min="1096" max="1096" width="7.85546875" bestFit="1" customWidth="1"/>
    <col min="1097" max="1097" width="14.7109375" bestFit="1" customWidth="1"/>
    <col min="1098" max="1098" width="11.5703125" bestFit="1" customWidth="1"/>
    <col min="1099" max="1099" width="7.85546875" bestFit="1" customWidth="1"/>
    <col min="1100" max="1100" width="14.7109375" bestFit="1" customWidth="1"/>
    <col min="1101" max="1108" width="11.5703125" bestFit="1" customWidth="1"/>
    <col min="1109" max="1109" width="7.85546875" bestFit="1" customWidth="1"/>
    <col min="1110" max="1110" width="14.7109375" bestFit="1" customWidth="1"/>
    <col min="1111" max="1119" width="11.5703125" bestFit="1" customWidth="1"/>
    <col min="1120" max="1120" width="7.85546875" bestFit="1" customWidth="1"/>
    <col min="1121" max="1121" width="14.7109375" bestFit="1" customWidth="1"/>
    <col min="1122" max="1123" width="11.5703125" bestFit="1" customWidth="1"/>
    <col min="1124" max="1124" width="7.85546875" bestFit="1" customWidth="1"/>
    <col min="1125" max="1125" width="14.7109375" bestFit="1" customWidth="1"/>
    <col min="1126" max="1128" width="12.5703125" bestFit="1" customWidth="1"/>
    <col min="1129" max="1129" width="7.85546875" bestFit="1" customWidth="1"/>
    <col min="1130" max="1130" width="15.7109375" bestFit="1" customWidth="1"/>
    <col min="1131" max="1136" width="12.5703125" bestFit="1" customWidth="1"/>
    <col min="1137" max="1137" width="7.85546875" bestFit="1" customWidth="1"/>
    <col min="1138" max="1138" width="15.7109375" bestFit="1" customWidth="1"/>
    <col min="1139" max="1142" width="12.5703125" bestFit="1" customWidth="1"/>
    <col min="1143" max="1143" width="7.85546875" bestFit="1" customWidth="1"/>
    <col min="1144" max="1144" width="15.7109375" bestFit="1" customWidth="1"/>
    <col min="1145" max="1148" width="12.5703125" bestFit="1" customWidth="1"/>
    <col min="1149" max="1149" width="7.85546875" bestFit="1" customWidth="1"/>
    <col min="1150" max="1150" width="15.7109375" bestFit="1" customWidth="1"/>
    <col min="1151" max="1153" width="12.5703125" bestFit="1" customWidth="1"/>
    <col min="1154" max="1154" width="7.85546875" bestFit="1" customWidth="1"/>
    <col min="1155" max="1155" width="15.7109375" bestFit="1" customWidth="1"/>
    <col min="1156" max="1156" width="12.5703125" bestFit="1" customWidth="1"/>
    <col min="1157" max="1157" width="7.85546875" bestFit="1" customWidth="1"/>
    <col min="1158" max="1158" width="15.7109375" bestFit="1" customWidth="1"/>
    <col min="1159" max="1163" width="12.5703125" bestFit="1" customWidth="1"/>
    <col min="1164" max="1164" width="7.85546875" bestFit="1" customWidth="1"/>
    <col min="1165" max="1165" width="15.7109375" bestFit="1" customWidth="1"/>
    <col min="1166" max="1170" width="12.5703125" bestFit="1" customWidth="1"/>
    <col min="1171" max="1171" width="7.85546875" bestFit="1" customWidth="1"/>
    <col min="1172" max="1172" width="15.7109375" bestFit="1" customWidth="1"/>
    <col min="1173" max="1176" width="12.5703125" bestFit="1" customWidth="1"/>
    <col min="1177" max="1177" width="7.85546875" bestFit="1" customWidth="1"/>
    <col min="1178" max="1178" width="15.7109375" bestFit="1" customWidth="1"/>
    <col min="1179" max="1179" width="12.5703125" bestFit="1" customWidth="1"/>
    <col min="1180" max="1180" width="7.85546875" bestFit="1" customWidth="1"/>
    <col min="1181" max="1181" width="15.7109375" bestFit="1" customWidth="1"/>
    <col min="1182" max="1183" width="12.5703125" bestFit="1" customWidth="1"/>
    <col min="1184" max="1184" width="7.85546875" bestFit="1" customWidth="1"/>
    <col min="1185" max="1185" width="15.7109375" bestFit="1" customWidth="1"/>
    <col min="1186" max="1187" width="12.5703125" bestFit="1" customWidth="1"/>
    <col min="1188" max="1188" width="7.85546875" bestFit="1" customWidth="1"/>
    <col min="1189" max="1189" width="15.7109375" bestFit="1" customWidth="1"/>
    <col min="1190" max="1192" width="12.5703125" bestFit="1" customWidth="1"/>
    <col min="1193" max="1193" width="7.85546875" bestFit="1" customWidth="1"/>
    <col min="1194" max="1194" width="15.7109375" bestFit="1" customWidth="1"/>
    <col min="1195" max="1195" width="12.5703125" bestFit="1" customWidth="1"/>
    <col min="1196" max="1196" width="7.85546875" bestFit="1" customWidth="1"/>
    <col min="1197" max="1197" width="15.7109375" bestFit="1" customWidth="1"/>
    <col min="1198" max="1199" width="12.5703125" bestFit="1" customWidth="1"/>
    <col min="1200" max="1200" width="7.85546875" bestFit="1" customWidth="1"/>
    <col min="1201" max="1201" width="15.7109375" bestFit="1" customWidth="1"/>
    <col min="1202" max="1203" width="11.5703125" bestFit="1" customWidth="1"/>
    <col min="1204" max="1204" width="7.85546875" bestFit="1" customWidth="1"/>
    <col min="1205" max="1205" width="14.7109375" bestFit="1" customWidth="1"/>
    <col min="1206" max="1209" width="11.5703125" bestFit="1" customWidth="1"/>
    <col min="1210" max="1210" width="7.85546875" bestFit="1" customWidth="1"/>
    <col min="1211" max="1211" width="14.7109375" bestFit="1" customWidth="1"/>
    <col min="1212" max="1214" width="11.5703125" bestFit="1" customWidth="1"/>
    <col min="1215" max="1215" width="7.85546875" bestFit="1" customWidth="1"/>
    <col min="1216" max="1216" width="14.7109375" bestFit="1" customWidth="1"/>
    <col min="1217" max="1220" width="11.5703125" bestFit="1" customWidth="1"/>
    <col min="1221" max="1221" width="7.85546875" bestFit="1" customWidth="1"/>
    <col min="1222" max="1222" width="14.7109375" bestFit="1" customWidth="1"/>
    <col min="1223" max="1224" width="11.5703125" bestFit="1" customWidth="1"/>
    <col min="1225" max="1225" width="7.85546875" bestFit="1" customWidth="1"/>
    <col min="1226" max="1226" width="14.7109375" bestFit="1" customWidth="1"/>
    <col min="1227" max="1235" width="12.5703125" bestFit="1" customWidth="1"/>
    <col min="1236" max="1236" width="7.85546875" bestFit="1" customWidth="1"/>
    <col min="1237" max="1237" width="15.7109375" bestFit="1" customWidth="1"/>
    <col min="1238" max="1239" width="12.5703125" bestFit="1" customWidth="1"/>
    <col min="1240" max="1240" width="7.85546875" bestFit="1" customWidth="1"/>
    <col min="1241" max="1241" width="15.7109375" bestFit="1" customWidth="1"/>
    <col min="1242" max="1242" width="12.5703125" bestFit="1" customWidth="1"/>
    <col min="1243" max="1243" width="7.85546875" bestFit="1" customWidth="1"/>
    <col min="1244" max="1244" width="15.7109375" bestFit="1" customWidth="1"/>
    <col min="1245" max="1249" width="12.5703125" bestFit="1" customWidth="1"/>
    <col min="1250" max="1250" width="7.85546875" bestFit="1" customWidth="1"/>
    <col min="1251" max="1251" width="15.7109375" bestFit="1" customWidth="1"/>
    <col min="1252" max="1252" width="12.5703125" bestFit="1" customWidth="1"/>
    <col min="1253" max="1253" width="7.85546875" bestFit="1" customWidth="1"/>
    <col min="1254" max="1254" width="15.7109375" bestFit="1" customWidth="1"/>
    <col min="1255" max="1255" width="10.5703125" bestFit="1" customWidth="1"/>
    <col min="1256" max="1256" width="6.85546875" bestFit="1" customWidth="1"/>
    <col min="1257" max="1257" width="13.7109375" bestFit="1" customWidth="1"/>
    <col min="1258" max="1258" width="10.7109375" bestFit="1" customWidth="1"/>
    <col min="1259" max="1259" width="6.85546875" bestFit="1" customWidth="1"/>
    <col min="1260" max="1260" width="13.7109375" bestFit="1" customWidth="1"/>
    <col min="1261" max="1261" width="10.5703125" bestFit="1" customWidth="1"/>
    <col min="1262" max="1262" width="6.85546875" bestFit="1" customWidth="1"/>
    <col min="1263" max="1263" width="13.7109375" bestFit="1" customWidth="1"/>
    <col min="1264" max="1264" width="10.5703125" bestFit="1" customWidth="1"/>
    <col min="1265" max="1265" width="6.85546875" bestFit="1" customWidth="1"/>
    <col min="1266" max="1266" width="13.7109375" bestFit="1" customWidth="1"/>
    <col min="1267" max="1272" width="10.7109375" bestFit="1" customWidth="1"/>
    <col min="1273" max="1273" width="6.85546875" bestFit="1" customWidth="1"/>
    <col min="1274" max="1274" width="13.7109375" bestFit="1" customWidth="1"/>
    <col min="1275" max="1275" width="11.5703125" bestFit="1" customWidth="1"/>
    <col min="1276" max="1276" width="6.85546875" bestFit="1" customWidth="1"/>
    <col min="1277" max="1277" width="14.7109375" bestFit="1" customWidth="1"/>
    <col min="1278" max="1280" width="11.5703125" bestFit="1" customWidth="1"/>
    <col min="1281" max="1281" width="6.85546875" bestFit="1" customWidth="1"/>
    <col min="1282" max="1282" width="14.7109375" bestFit="1" customWidth="1"/>
    <col min="1283" max="1292" width="11.5703125" bestFit="1" customWidth="1"/>
    <col min="1293" max="1293" width="6.85546875" bestFit="1" customWidth="1"/>
    <col min="1294" max="1294" width="14.7109375" bestFit="1" customWidth="1"/>
    <col min="1295" max="1305" width="11.5703125" bestFit="1" customWidth="1"/>
    <col min="1306" max="1306" width="6.85546875" bestFit="1" customWidth="1"/>
    <col min="1307" max="1307" width="14.7109375" bestFit="1" customWidth="1"/>
    <col min="1308" max="1319" width="11.5703125" bestFit="1" customWidth="1"/>
    <col min="1320" max="1320" width="6.85546875" bestFit="1" customWidth="1"/>
    <col min="1321" max="1321" width="14.7109375" bestFit="1" customWidth="1"/>
    <col min="1322" max="1322" width="11.5703125" bestFit="1" customWidth="1"/>
    <col min="1323" max="1323" width="6.85546875" bestFit="1" customWidth="1"/>
    <col min="1324" max="1324" width="14.7109375" bestFit="1" customWidth="1"/>
    <col min="1325" max="1325" width="10.5703125" bestFit="1" customWidth="1"/>
    <col min="1326" max="1326" width="6.85546875" bestFit="1" customWidth="1"/>
    <col min="1327" max="1327" width="13.7109375" bestFit="1" customWidth="1"/>
    <col min="1328" max="1328" width="10.7109375" bestFit="1" customWidth="1"/>
    <col min="1329" max="1329" width="6.85546875" bestFit="1" customWidth="1"/>
    <col min="1330" max="1330" width="13.7109375" bestFit="1" customWidth="1"/>
    <col min="1331" max="1336" width="10.5703125" bestFit="1" customWidth="1"/>
    <col min="1337" max="1337" width="6.85546875" bestFit="1" customWidth="1"/>
    <col min="1338" max="1338" width="13.7109375" bestFit="1" customWidth="1"/>
    <col min="1339" max="1346" width="10.5703125" bestFit="1" customWidth="1"/>
    <col min="1347" max="1347" width="6.85546875" bestFit="1" customWidth="1"/>
    <col min="1348" max="1348" width="13.7109375" bestFit="1" customWidth="1"/>
    <col min="1349" max="1350" width="10.5703125" bestFit="1" customWidth="1"/>
    <col min="1351" max="1351" width="6.85546875" bestFit="1" customWidth="1"/>
    <col min="1352" max="1352" width="13.7109375" bestFit="1" customWidth="1"/>
    <col min="1353" max="1367" width="11.5703125" bestFit="1" customWidth="1"/>
    <col min="1368" max="1368" width="6.85546875" bestFit="1" customWidth="1"/>
    <col min="1369" max="1369" width="14.7109375" bestFit="1" customWidth="1"/>
    <col min="1370" max="1370" width="11.5703125" bestFit="1" customWidth="1"/>
    <col min="1371" max="1371" width="6.85546875" bestFit="1" customWidth="1"/>
    <col min="1372" max="1372" width="14.7109375" bestFit="1" customWidth="1"/>
    <col min="1373" max="1374" width="11.5703125" bestFit="1" customWidth="1"/>
    <col min="1375" max="1375" width="6.85546875" bestFit="1" customWidth="1"/>
    <col min="1376" max="1376" width="14.7109375" bestFit="1" customWidth="1"/>
    <col min="1377" max="1390" width="11.5703125" bestFit="1" customWidth="1"/>
    <col min="1391" max="1391" width="6.85546875" bestFit="1" customWidth="1"/>
    <col min="1392" max="1392" width="14.7109375" bestFit="1" customWidth="1"/>
    <col min="1393" max="1393" width="11.5703125" bestFit="1" customWidth="1"/>
    <col min="1394" max="1394" width="6.85546875" bestFit="1" customWidth="1"/>
    <col min="1395" max="1395" width="14.7109375" bestFit="1" customWidth="1"/>
    <col min="1396" max="1408" width="11.5703125" bestFit="1" customWidth="1"/>
    <col min="1409" max="1409" width="6.85546875" bestFit="1" customWidth="1"/>
    <col min="1410" max="1410" width="14.7109375" bestFit="1" customWidth="1"/>
    <col min="1411" max="1416" width="11.5703125" bestFit="1" customWidth="1"/>
    <col min="1417" max="1417" width="6.85546875" bestFit="1" customWidth="1"/>
    <col min="1418" max="1418" width="14.7109375" bestFit="1" customWidth="1"/>
    <col min="1419" max="1435" width="11.5703125" bestFit="1" customWidth="1"/>
    <col min="1436" max="1436" width="6.85546875" bestFit="1" customWidth="1"/>
    <col min="1437" max="1437" width="14.7109375" bestFit="1" customWidth="1"/>
    <col min="1438" max="1445" width="11.5703125" bestFit="1" customWidth="1"/>
    <col min="1446" max="1446" width="6.85546875" bestFit="1" customWidth="1"/>
    <col min="1447" max="1447" width="14.7109375" bestFit="1" customWidth="1"/>
    <col min="1448" max="1449" width="11.5703125" bestFit="1" customWidth="1"/>
    <col min="1450" max="1450" width="6.85546875" bestFit="1" customWidth="1"/>
    <col min="1451" max="1451" width="14.7109375" bestFit="1" customWidth="1"/>
    <col min="1452" max="1458" width="11.5703125" bestFit="1" customWidth="1"/>
    <col min="1459" max="1459" width="6.85546875" bestFit="1" customWidth="1"/>
    <col min="1460" max="1460" width="14.7109375" bestFit="1" customWidth="1"/>
    <col min="1461" max="1470" width="11.5703125" bestFit="1" customWidth="1"/>
    <col min="1471" max="1471" width="6.85546875" bestFit="1" customWidth="1"/>
    <col min="1472" max="1472" width="14.7109375" bestFit="1" customWidth="1"/>
    <col min="1473" max="1473" width="10.5703125" bestFit="1" customWidth="1"/>
    <col min="1474" max="1474" width="6.85546875" bestFit="1" customWidth="1"/>
    <col min="1475" max="1475" width="13.7109375" bestFit="1" customWidth="1"/>
    <col min="1476" max="1478" width="10.5703125" bestFit="1" customWidth="1"/>
    <col min="1479" max="1479" width="7.85546875" bestFit="1" customWidth="1"/>
    <col min="1480" max="1480" width="13.7109375" bestFit="1" customWidth="1"/>
    <col min="1481" max="1488" width="10.5703125" bestFit="1" customWidth="1"/>
    <col min="1489" max="1489" width="7.85546875" bestFit="1" customWidth="1"/>
    <col min="1490" max="1490" width="13.7109375" bestFit="1" customWidth="1"/>
    <col min="1491" max="1496" width="10.5703125" bestFit="1" customWidth="1"/>
    <col min="1497" max="1497" width="7.85546875" bestFit="1" customWidth="1"/>
    <col min="1498" max="1498" width="13.7109375" bestFit="1" customWidth="1"/>
    <col min="1499" max="1501" width="10.5703125" bestFit="1" customWidth="1"/>
    <col min="1502" max="1502" width="7.85546875" bestFit="1" customWidth="1"/>
    <col min="1503" max="1503" width="13.7109375" bestFit="1" customWidth="1"/>
    <col min="1504" max="1504" width="11.5703125" bestFit="1" customWidth="1"/>
    <col min="1505" max="1505" width="7.85546875" bestFit="1" customWidth="1"/>
    <col min="1506" max="1506" width="14.7109375" bestFit="1" customWidth="1"/>
    <col min="1507" max="1513" width="11.5703125" bestFit="1" customWidth="1"/>
    <col min="1514" max="1514" width="7.85546875" bestFit="1" customWidth="1"/>
    <col min="1515" max="1515" width="14.7109375" bestFit="1" customWidth="1"/>
    <col min="1516" max="1518" width="11.5703125" bestFit="1" customWidth="1"/>
    <col min="1519" max="1519" width="7.85546875" bestFit="1" customWidth="1"/>
    <col min="1520" max="1520" width="14.7109375" bestFit="1" customWidth="1"/>
    <col min="1521" max="1522" width="11.5703125" bestFit="1" customWidth="1"/>
    <col min="1523" max="1523" width="7.85546875" bestFit="1" customWidth="1"/>
    <col min="1524" max="1524" width="14.7109375" bestFit="1" customWidth="1"/>
    <col min="1525" max="1530" width="11.5703125" bestFit="1" customWidth="1"/>
    <col min="1531" max="1531" width="7.85546875" bestFit="1" customWidth="1"/>
    <col min="1532" max="1532" width="14.7109375" bestFit="1" customWidth="1"/>
    <col min="1533" max="1540" width="11.5703125" bestFit="1" customWidth="1"/>
    <col min="1541" max="1541" width="7.85546875" bestFit="1" customWidth="1"/>
    <col min="1542" max="1542" width="14.7109375" bestFit="1" customWidth="1"/>
    <col min="1543" max="1557" width="11.5703125" bestFit="1" customWidth="1"/>
    <col min="1558" max="1558" width="7.85546875" bestFit="1" customWidth="1"/>
    <col min="1559" max="1559" width="14.7109375" bestFit="1" customWidth="1"/>
    <col min="1560" max="1563" width="11.5703125" bestFit="1" customWidth="1"/>
    <col min="1564" max="1564" width="7.85546875" bestFit="1" customWidth="1"/>
    <col min="1565" max="1565" width="14.7109375" bestFit="1" customWidth="1"/>
    <col min="1566" max="1569" width="11.5703125" bestFit="1" customWidth="1"/>
    <col min="1570" max="1570" width="7.85546875" bestFit="1" customWidth="1"/>
    <col min="1571" max="1571" width="14.7109375" bestFit="1" customWidth="1"/>
    <col min="1572" max="1572" width="11.5703125" bestFit="1" customWidth="1"/>
    <col min="1573" max="1573" width="7.85546875" bestFit="1" customWidth="1"/>
    <col min="1574" max="1574" width="14.7109375" bestFit="1" customWidth="1"/>
    <col min="1575" max="1581" width="11.5703125" bestFit="1" customWidth="1"/>
    <col min="1582" max="1582" width="7.85546875" bestFit="1" customWidth="1"/>
    <col min="1583" max="1583" width="14.7109375" bestFit="1" customWidth="1"/>
    <col min="1584" max="1584" width="11.5703125" bestFit="1" customWidth="1"/>
    <col min="1585" max="1585" width="7.85546875" bestFit="1" customWidth="1"/>
    <col min="1586" max="1586" width="14.7109375" bestFit="1" customWidth="1"/>
    <col min="1587" max="1587" width="11.5703125" bestFit="1" customWidth="1"/>
    <col min="1588" max="1588" width="7.85546875" bestFit="1" customWidth="1"/>
    <col min="1589" max="1589" width="14.7109375" bestFit="1" customWidth="1"/>
    <col min="1590" max="1594" width="10.5703125" bestFit="1" customWidth="1"/>
    <col min="1595" max="1595" width="7.85546875" bestFit="1" customWidth="1"/>
    <col min="1596" max="1596" width="13.7109375" bestFit="1" customWidth="1"/>
    <col min="1597" max="1605" width="10.5703125" bestFit="1" customWidth="1"/>
    <col min="1606" max="1606" width="7.85546875" bestFit="1" customWidth="1"/>
    <col min="1607" max="1607" width="13.7109375" bestFit="1" customWidth="1"/>
    <col min="1608" max="1608" width="10.5703125" bestFit="1" customWidth="1"/>
    <col min="1609" max="1609" width="7.85546875" bestFit="1" customWidth="1"/>
    <col min="1610" max="1610" width="13.7109375" bestFit="1" customWidth="1"/>
    <col min="1611" max="1615" width="10.5703125" bestFit="1" customWidth="1"/>
    <col min="1616" max="1616" width="7.85546875" bestFit="1" customWidth="1"/>
    <col min="1617" max="1617" width="13.7109375" bestFit="1" customWidth="1"/>
    <col min="1618" max="1619" width="11.5703125" bestFit="1" customWidth="1"/>
    <col min="1620" max="1620" width="7.85546875" bestFit="1" customWidth="1"/>
    <col min="1621" max="1621" width="14.7109375" bestFit="1" customWidth="1"/>
    <col min="1622" max="1626" width="11.5703125" bestFit="1" customWidth="1"/>
    <col min="1627" max="1627" width="7.85546875" bestFit="1" customWidth="1"/>
    <col min="1628" max="1628" width="14.7109375" bestFit="1" customWidth="1"/>
    <col min="1629" max="1630" width="11.5703125" bestFit="1" customWidth="1"/>
    <col min="1631" max="1631" width="7.85546875" bestFit="1" customWidth="1"/>
    <col min="1632" max="1632" width="14.7109375" bestFit="1" customWidth="1"/>
    <col min="1633" max="1637" width="11.5703125" bestFit="1" customWidth="1"/>
    <col min="1638" max="1638" width="7.85546875" bestFit="1" customWidth="1"/>
    <col min="1639" max="1639" width="14.7109375" bestFit="1" customWidth="1"/>
    <col min="1640" max="1656" width="11.5703125" bestFit="1" customWidth="1"/>
    <col min="1657" max="1657" width="7.85546875" bestFit="1" customWidth="1"/>
    <col min="1658" max="1658" width="14.7109375" bestFit="1" customWidth="1"/>
    <col min="1659" max="1659" width="11.5703125" bestFit="1" customWidth="1"/>
    <col min="1660" max="1660" width="7.85546875" bestFit="1" customWidth="1"/>
    <col min="1661" max="1661" width="14.7109375" bestFit="1" customWidth="1"/>
    <col min="1662" max="1672" width="11.5703125" bestFit="1" customWidth="1"/>
    <col min="1673" max="1673" width="7.85546875" bestFit="1" customWidth="1"/>
    <col min="1674" max="1674" width="14.7109375" bestFit="1" customWidth="1"/>
    <col min="1675" max="1680" width="11.5703125" bestFit="1" customWidth="1"/>
    <col min="1681" max="1681" width="7.85546875" bestFit="1" customWidth="1"/>
    <col min="1682" max="1682" width="14.7109375" bestFit="1" customWidth="1"/>
    <col min="1683" max="1684" width="11.5703125" bestFit="1" customWidth="1"/>
    <col min="1685" max="1685" width="7.85546875" bestFit="1" customWidth="1"/>
    <col min="1686" max="1686" width="14.7109375" bestFit="1" customWidth="1"/>
    <col min="1687" max="1690" width="11.5703125" bestFit="1" customWidth="1"/>
    <col min="1691" max="1691" width="7.85546875" bestFit="1" customWidth="1"/>
    <col min="1692" max="1692" width="14.7109375" bestFit="1" customWidth="1"/>
    <col min="1693" max="1693" width="11.5703125" bestFit="1" customWidth="1"/>
    <col min="1694" max="1694" width="7.85546875" bestFit="1" customWidth="1"/>
    <col min="1695" max="1695" width="14.7109375" bestFit="1" customWidth="1"/>
    <col min="1696" max="1696" width="11.5703125" bestFit="1" customWidth="1"/>
    <col min="1697" max="1697" width="7.85546875" bestFit="1" customWidth="1"/>
    <col min="1698" max="1698" width="14.7109375" bestFit="1" customWidth="1"/>
    <col min="1699" max="1699" width="11.5703125" bestFit="1" customWidth="1"/>
    <col min="1700" max="1700" width="7.85546875" bestFit="1" customWidth="1"/>
    <col min="1701" max="1701" width="14.7109375" bestFit="1" customWidth="1"/>
    <col min="1702" max="1702" width="10.5703125" bestFit="1" customWidth="1"/>
    <col min="1703" max="1703" width="7.85546875" bestFit="1" customWidth="1"/>
    <col min="1704" max="1704" width="13.7109375" bestFit="1" customWidth="1"/>
    <col min="1705" max="1711" width="10.5703125" bestFit="1" customWidth="1"/>
    <col min="1712" max="1712" width="7.85546875" bestFit="1" customWidth="1"/>
    <col min="1713" max="1713" width="13.7109375" bestFit="1" customWidth="1"/>
    <col min="1714" max="1715" width="10.5703125" bestFit="1" customWidth="1"/>
    <col min="1716" max="1716" width="7.85546875" bestFit="1" customWidth="1"/>
    <col min="1717" max="1717" width="13.7109375" bestFit="1" customWidth="1"/>
    <col min="1718" max="1726" width="10.5703125" bestFit="1" customWidth="1"/>
    <col min="1727" max="1727" width="7.85546875" bestFit="1" customWidth="1"/>
    <col min="1728" max="1728" width="9.7109375" bestFit="1" customWidth="1"/>
    <col min="1729" max="1729" width="7.85546875" bestFit="1" customWidth="1"/>
    <col min="1730" max="1730" width="13.7109375" bestFit="1" customWidth="1"/>
    <col min="1731" max="1732" width="10.5703125" bestFit="1" customWidth="1"/>
    <col min="1733" max="1733" width="7.85546875" bestFit="1" customWidth="1"/>
    <col min="1734" max="1734" width="13.7109375" bestFit="1" customWidth="1"/>
    <col min="1735" max="1736" width="10.5703125" bestFit="1" customWidth="1"/>
    <col min="1737" max="1737" width="7.85546875" bestFit="1" customWidth="1"/>
    <col min="1738" max="1738" width="13.7109375" bestFit="1" customWidth="1"/>
    <col min="1739" max="1749" width="11.5703125" bestFit="1" customWidth="1"/>
    <col min="1750" max="1750" width="7.85546875" bestFit="1" customWidth="1"/>
    <col min="1751" max="1751" width="14.7109375" bestFit="1" customWidth="1"/>
    <col min="1752" max="1753" width="11.5703125" bestFit="1" customWidth="1"/>
    <col min="1754" max="1754" width="7.85546875" bestFit="1" customWidth="1"/>
    <col min="1755" max="1755" width="14.7109375" bestFit="1" customWidth="1"/>
    <col min="1756" max="1756" width="11.5703125" bestFit="1" customWidth="1"/>
    <col min="1757" max="1757" width="7.85546875" bestFit="1" customWidth="1"/>
    <col min="1758" max="1758" width="14.7109375" bestFit="1" customWidth="1"/>
    <col min="1759" max="1762" width="11.5703125" bestFit="1" customWidth="1"/>
    <col min="1763" max="1763" width="7.85546875" bestFit="1" customWidth="1"/>
    <col min="1764" max="1764" width="14.7109375" bestFit="1" customWidth="1"/>
    <col min="1765" max="1768" width="11.5703125" bestFit="1" customWidth="1"/>
    <col min="1769" max="1769" width="7.85546875" bestFit="1" customWidth="1"/>
    <col min="1770" max="1770" width="14.7109375" bestFit="1" customWidth="1"/>
    <col min="1771" max="1774" width="11.5703125" bestFit="1" customWidth="1"/>
    <col min="1775" max="1775" width="7.85546875" bestFit="1" customWidth="1"/>
    <col min="1776" max="1776" width="14.7109375" bestFit="1" customWidth="1"/>
    <col min="1777" max="1777" width="11.5703125" bestFit="1" customWidth="1"/>
    <col min="1778" max="1778" width="7.85546875" bestFit="1" customWidth="1"/>
    <col min="1779" max="1779" width="14.7109375" bestFit="1" customWidth="1"/>
    <col min="1780" max="1780" width="11.5703125" bestFit="1" customWidth="1"/>
    <col min="1781" max="1781" width="7.85546875" bestFit="1" customWidth="1"/>
    <col min="1782" max="1782" width="14.7109375" bestFit="1" customWidth="1"/>
    <col min="1783" max="1785" width="11.5703125" bestFit="1" customWidth="1"/>
    <col min="1786" max="1786" width="7.85546875" bestFit="1" customWidth="1"/>
    <col min="1787" max="1787" width="14.7109375" bestFit="1" customWidth="1"/>
    <col min="1788" max="1791" width="10.5703125" bestFit="1" customWidth="1"/>
    <col min="1792" max="1792" width="7.85546875" bestFit="1" customWidth="1"/>
    <col min="1793" max="1793" width="13.7109375" bestFit="1" customWidth="1"/>
    <col min="1794" max="1798" width="10.5703125" bestFit="1" customWidth="1"/>
    <col min="1799" max="1799" width="7.85546875" bestFit="1" customWidth="1"/>
    <col min="1800" max="1800" width="13.7109375" bestFit="1" customWidth="1"/>
    <col min="1801" max="1802" width="10.5703125" bestFit="1" customWidth="1"/>
    <col min="1803" max="1803" width="7.85546875" bestFit="1" customWidth="1"/>
    <col min="1804" max="1804" width="13.7109375" bestFit="1" customWidth="1"/>
    <col min="1805" max="1809" width="11.5703125" bestFit="1" customWidth="1"/>
    <col min="1810" max="1810" width="7.85546875" bestFit="1" customWidth="1"/>
    <col min="1811" max="1811" width="14.7109375" bestFit="1" customWidth="1"/>
    <col min="1812" max="1812" width="11.5703125" bestFit="1" customWidth="1"/>
    <col min="1813" max="1813" width="7.85546875" bestFit="1" customWidth="1"/>
    <col min="1814" max="1814" width="14.7109375" bestFit="1" customWidth="1"/>
    <col min="1815" max="1826" width="11.5703125" bestFit="1" customWidth="1"/>
    <col min="1827" max="1827" width="7.85546875" bestFit="1" customWidth="1"/>
    <col min="1828" max="1828" width="14.7109375" bestFit="1" customWidth="1"/>
    <col min="1829" max="1830" width="11.5703125" bestFit="1" customWidth="1"/>
    <col min="1831" max="1831" width="7.85546875" bestFit="1" customWidth="1"/>
    <col min="1832" max="1832" width="14.7109375" bestFit="1" customWidth="1"/>
    <col min="1833" max="1841" width="11.5703125" bestFit="1" customWidth="1"/>
    <col min="1842" max="1842" width="7.85546875" bestFit="1" customWidth="1"/>
    <col min="1843" max="1843" width="14.7109375" bestFit="1" customWidth="1"/>
    <col min="1844" max="1844" width="10.5703125" bestFit="1" customWidth="1"/>
    <col min="1845" max="1845" width="7.85546875" bestFit="1" customWidth="1"/>
    <col min="1846" max="1846" width="13.7109375" bestFit="1" customWidth="1"/>
    <col min="1847" max="1847" width="10.5703125" bestFit="1" customWidth="1"/>
    <col min="1848" max="1848" width="7.85546875" bestFit="1" customWidth="1"/>
    <col min="1849" max="1849" width="13.7109375" bestFit="1" customWidth="1"/>
    <col min="1850" max="1850" width="11.5703125" bestFit="1" customWidth="1"/>
    <col min="1851" max="1851" width="7.85546875" bestFit="1" customWidth="1"/>
    <col min="1852" max="1852" width="14.7109375" bestFit="1" customWidth="1"/>
    <col min="1853" max="1853" width="11.5703125" bestFit="1" customWidth="1"/>
    <col min="1854" max="1854" width="7.85546875" bestFit="1" customWidth="1"/>
    <col min="1855" max="1855" width="14.7109375" bestFit="1" customWidth="1"/>
    <col min="1856" max="1856" width="11.5703125" bestFit="1" customWidth="1"/>
    <col min="1857" max="1857" width="7.85546875" bestFit="1" customWidth="1"/>
    <col min="1858" max="1858" width="14.7109375" bestFit="1" customWidth="1"/>
    <col min="1859" max="1863" width="11.5703125" bestFit="1" customWidth="1"/>
    <col min="1864" max="1864" width="7.85546875" bestFit="1" customWidth="1"/>
    <col min="1865" max="1865" width="14.7109375" bestFit="1" customWidth="1"/>
    <col min="1866" max="1866" width="11.5703125" bestFit="1" customWidth="1"/>
    <col min="1867" max="1867" width="7.85546875" bestFit="1" customWidth="1"/>
    <col min="1868" max="1868" width="14.7109375" bestFit="1" customWidth="1"/>
    <col min="1869" max="1869" width="10.5703125" bestFit="1" customWidth="1"/>
    <col min="1870" max="1870" width="7.85546875" bestFit="1" customWidth="1"/>
    <col min="1871" max="1871" width="13.7109375" bestFit="1" customWidth="1"/>
    <col min="1872" max="1872" width="11.5703125" bestFit="1" customWidth="1"/>
    <col min="1873" max="1873" width="7.85546875" bestFit="1" customWidth="1"/>
    <col min="1874" max="1874" width="14.7109375" bestFit="1" customWidth="1"/>
    <col min="1875" max="1875" width="11.5703125" bestFit="1" customWidth="1"/>
    <col min="1876" max="1876" width="7.85546875" bestFit="1" customWidth="1"/>
    <col min="1877" max="1877" width="14.7109375" bestFit="1" customWidth="1"/>
    <col min="1878" max="1878" width="11.5703125" bestFit="1" customWidth="1"/>
    <col min="1879" max="1879" width="7.85546875" bestFit="1" customWidth="1"/>
    <col min="1880" max="1880" width="14.7109375" bestFit="1" customWidth="1"/>
    <col min="1881" max="1881" width="12.5703125" bestFit="1" customWidth="1"/>
    <col min="1882" max="1882" width="7.85546875" bestFit="1" customWidth="1"/>
    <col min="1883" max="1883" width="15.7109375" bestFit="1" customWidth="1"/>
    <col min="1884" max="1884" width="12.5703125" bestFit="1" customWidth="1"/>
    <col min="1885" max="1885" width="7.85546875" bestFit="1" customWidth="1"/>
    <col min="1886" max="1886" width="15.7109375" bestFit="1" customWidth="1"/>
    <col min="1887" max="1887" width="11.5703125" bestFit="1" customWidth="1"/>
    <col min="1888" max="1888" width="7.85546875" bestFit="1" customWidth="1"/>
    <col min="1889" max="1889" width="14.7109375" bestFit="1" customWidth="1"/>
    <col min="1890" max="1890" width="12.5703125" bestFit="1" customWidth="1"/>
    <col min="1891" max="1891" width="7.85546875" bestFit="1" customWidth="1"/>
    <col min="1892" max="1892" width="15.7109375" bestFit="1" customWidth="1"/>
    <col min="1893" max="1893" width="12.5703125" bestFit="1" customWidth="1"/>
    <col min="1894" max="1894" width="7.85546875" bestFit="1" customWidth="1"/>
    <col min="1895" max="1895" width="15.7109375" bestFit="1" customWidth="1"/>
    <col min="1896" max="1896" width="11.5703125" bestFit="1" customWidth="1"/>
    <col min="1897" max="1897" width="7.85546875" bestFit="1" customWidth="1"/>
    <col min="1898" max="1898" width="14.7109375" bestFit="1" customWidth="1"/>
    <col min="1899" max="1899" width="11.5703125" bestFit="1" customWidth="1"/>
    <col min="1900" max="1900" width="7.85546875" bestFit="1" customWidth="1"/>
    <col min="1901" max="1901" width="14.7109375" bestFit="1" customWidth="1"/>
    <col min="1902" max="1902" width="10.5703125" bestFit="1" customWidth="1"/>
    <col min="1903" max="1903" width="6.85546875" bestFit="1" customWidth="1"/>
    <col min="1904" max="1904" width="13.7109375" bestFit="1" customWidth="1"/>
    <col min="1905" max="1905" width="10.5703125" bestFit="1" customWidth="1"/>
    <col min="1906" max="1906" width="7.85546875" bestFit="1" customWidth="1"/>
    <col min="1907" max="1907" width="13.7109375" bestFit="1" customWidth="1"/>
    <col min="1908" max="1908" width="9.7109375" bestFit="1" customWidth="1"/>
    <col min="1909" max="1909" width="6.85546875" bestFit="1" customWidth="1"/>
    <col min="1910" max="1910" width="12.140625" bestFit="1" customWidth="1"/>
    <col min="1911" max="1914" width="11.5703125" bestFit="1" customWidth="1"/>
    <col min="1915" max="1915" width="7.85546875" bestFit="1" customWidth="1"/>
    <col min="1916" max="1916" width="14.7109375" bestFit="1" customWidth="1"/>
    <col min="1917" max="1921" width="11.5703125" bestFit="1" customWidth="1"/>
    <col min="1922" max="1922" width="7.85546875" bestFit="1" customWidth="1"/>
    <col min="1923" max="1923" width="14.7109375" bestFit="1" customWidth="1"/>
    <col min="1924" max="1924" width="10.5703125" bestFit="1" customWidth="1"/>
    <col min="1925" max="1925" width="7.85546875" bestFit="1" customWidth="1"/>
    <col min="1926" max="1926" width="13.7109375" bestFit="1" customWidth="1"/>
    <col min="1927" max="1934" width="11.5703125" bestFit="1" customWidth="1"/>
    <col min="1935" max="1935" width="7.85546875" bestFit="1" customWidth="1"/>
    <col min="1936" max="1936" width="14.7109375" bestFit="1" customWidth="1"/>
    <col min="1937" max="1937" width="11.5703125" bestFit="1" customWidth="1"/>
    <col min="1938" max="1938" width="7.85546875" bestFit="1" customWidth="1"/>
    <col min="1939" max="1939" width="14.7109375" bestFit="1" customWidth="1"/>
    <col min="1940" max="1942" width="11.5703125" bestFit="1" customWidth="1"/>
    <col min="1943" max="1943" width="7.85546875" bestFit="1" customWidth="1"/>
    <col min="1944" max="1944" width="14.7109375" bestFit="1" customWidth="1"/>
    <col min="1945" max="1945" width="11.5703125" bestFit="1" customWidth="1"/>
    <col min="1946" max="1946" width="7.85546875" bestFit="1" customWidth="1"/>
    <col min="1947" max="1947" width="14.7109375" bestFit="1" customWidth="1"/>
    <col min="1948" max="1948" width="11.28515625" bestFit="1" customWidth="1"/>
  </cols>
  <sheetData>
    <row r="4" spans="2:8">
      <c r="B4" s="48" t="s">
        <v>2</v>
      </c>
      <c r="C4" t="s">
        <v>121</v>
      </c>
    </row>
    <row r="5" spans="2:8">
      <c r="B5" s="48" t="s">
        <v>0</v>
      </c>
      <c r="C5" t="s">
        <v>1</v>
      </c>
    </row>
    <row r="6" spans="2:8">
      <c r="B6" s="48" t="s">
        <v>122</v>
      </c>
      <c r="C6" t="s">
        <v>1</v>
      </c>
    </row>
    <row r="7" spans="2:8">
      <c r="B7" s="48" t="s">
        <v>123</v>
      </c>
      <c r="C7" t="s">
        <v>1</v>
      </c>
    </row>
    <row r="8" spans="2:8">
      <c r="B8" s="48" t="s">
        <v>4</v>
      </c>
      <c r="C8" t="s">
        <v>1</v>
      </c>
    </row>
    <row r="9" spans="2:8">
      <c r="B9" s="48" t="s">
        <v>124</v>
      </c>
      <c r="C9" t="s">
        <v>1</v>
      </c>
    </row>
    <row r="10" spans="2:8">
      <c r="B10" s="48" t="s">
        <v>21</v>
      </c>
      <c r="C10" t="s">
        <v>1</v>
      </c>
    </row>
    <row r="11" spans="2:8">
      <c r="B11" s="48" t="s">
        <v>1159</v>
      </c>
      <c r="C11" t="s">
        <v>1</v>
      </c>
    </row>
    <row r="13" spans="2:8">
      <c r="B13" s="48" t="s">
        <v>129</v>
      </c>
      <c r="D13"/>
      <c r="E13"/>
      <c r="G13" s="48" t="s">
        <v>20</v>
      </c>
    </row>
    <row r="14" spans="2:8">
      <c r="B14" s="48" t="s">
        <v>5</v>
      </c>
      <c r="C14" s="48" t="s">
        <v>125</v>
      </c>
      <c r="D14" s="48" t="s">
        <v>126</v>
      </c>
      <c r="E14" s="48" t="s">
        <v>113</v>
      </c>
      <c r="F14" s="48" t="s">
        <v>22</v>
      </c>
      <c r="G14" t="s">
        <v>83</v>
      </c>
      <c r="H14" t="s">
        <v>111</v>
      </c>
    </row>
    <row r="15" spans="2:8">
      <c r="B15" t="s">
        <v>10</v>
      </c>
      <c r="C15" t="s">
        <v>16</v>
      </c>
      <c r="D15"/>
      <c r="E15"/>
      <c r="G15">
        <v>8222</v>
      </c>
      <c r="H15">
        <v>8222</v>
      </c>
    </row>
    <row r="16" spans="2:8">
      <c r="C16" t="s">
        <v>17</v>
      </c>
      <c r="D16"/>
      <c r="E16"/>
      <c r="G16">
        <v>4185</v>
      </c>
      <c r="H16">
        <v>4185</v>
      </c>
    </row>
    <row r="17" spans="2:8">
      <c r="B17" t="s">
        <v>120</v>
      </c>
      <c r="D17"/>
      <c r="E17"/>
      <c r="G17">
        <v>12407</v>
      </c>
      <c r="H17">
        <v>12407</v>
      </c>
    </row>
    <row r="18" spans="2:8">
      <c r="B18" t="s">
        <v>111</v>
      </c>
      <c r="D18"/>
      <c r="E18"/>
      <c r="G18">
        <v>12407</v>
      </c>
      <c r="H18">
        <v>12407</v>
      </c>
    </row>
    <row r="19" spans="2:8">
      <c r="D19"/>
      <c r="E19"/>
    </row>
    <row r="20" spans="2:8">
      <c r="D20"/>
      <c r="E20"/>
    </row>
    <row r="21" spans="2:8">
      <c r="D21"/>
      <c r="E21"/>
    </row>
    <row r="22" spans="2:8">
      <c r="D22"/>
      <c r="E22"/>
    </row>
    <row r="23" spans="2:8">
      <c r="D23"/>
      <c r="E23"/>
    </row>
    <row r="24" spans="2:8">
      <c r="D24"/>
      <c r="E24"/>
    </row>
    <row r="25" spans="2:8">
      <c r="D25"/>
      <c r="E25"/>
    </row>
    <row r="26" spans="2:8">
      <c r="D26"/>
      <c r="E26"/>
    </row>
    <row r="27" spans="2:8">
      <c r="D27"/>
      <c r="E27"/>
    </row>
    <row r="28" spans="2:8">
      <c r="D28"/>
      <c r="E28"/>
    </row>
    <row r="29" spans="2:8">
      <c r="D29"/>
      <c r="E29"/>
    </row>
    <row r="30" spans="2:8">
      <c r="D30"/>
      <c r="E30"/>
    </row>
    <row r="31" spans="2:8">
      <c r="D31"/>
      <c r="E31"/>
    </row>
    <row r="32" spans="2:8">
      <c r="D32"/>
      <c r="E32"/>
    </row>
    <row r="33" spans="4:5">
      <c r="D33"/>
      <c r="E33"/>
    </row>
    <row r="34" spans="4:5">
      <c r="D34"/>
      <c r="E34"/>
    </row>
    <row r="35" spans="4:5">
      <c r="D35"/>
      <c r="E35"/>
    </row>
    <row r="36" spans="4:5">
      <c r="D36"/>
      <c r="E36"/>
    </row>
    <row r="37" spans="4:5">
      <c r="D37"/>
      <c r="E37"/>
    </row>
    <row r="38" spans="4:5">
      <c r="D38"/>
      <c r="E38"/>
    </row>
    <row r="39" spans="4:5">
      <c r="D39"/>
      <c r="E39"/>
    </row>
    <row r="40" spans="4:5">
      <c r="D40"/>
      <c r="E40"/>
    </row>
    <row r="41" spans="4:5">
      <c r="D41"/>
      <c r="E41"/>
    </row>
    <row r="42" spans="4:5">
      <c r="D42"/>
      <c r="E42"/>
    </row>
    <row r="43" spans="4:5">
      <c r="D43"/>
      <c r="E43"/>
    </row>
    <row r="44" spans="4:5">
      <c r="D44"/>
      <c r="E44"/>
    </row>
    <row r="45" spans="4:5">
      <c r="D45"/>
      <c r="E45"/>
    </row>
    <row r="46" spans="4:5">
      <c r="D46"/>
      <c r="E46"/>
    </row>
    <row r="47" spans="4:5">
      <c r="D47"/>
      <c r="E47"/>
    </row>
    <row r="48" spans="4:5">
      <c r="D48"/>
      <c r="E48"/>
    </row>
    <row r="49" spans="4:5">
      <c r="D49"/>
      <c r="E49"/>
    </row>
    <row r="50" spans="4:5">
      <c r="D50"/>
      <c r="E50"/>
    </row>
    <row r="51" spans="4:5">
      <c r="D51"/>
      <c r="E51"/>
    </row>
    <row r="52" spans="4:5">
      <c r="D52"/>
      <c r="E52"/>
    </row>
    <row r="53" spans="4:5">
      <c r="D53"/>
      <c r="E53"/>
    </row>
    <row r="54" spans="4:5">
      <c r="D54"/>
      <c r="E54"/>
    </row>
    <row r="55" spans="4:5">
      <c r="D55"/>
      <c r="E55"/>
    </row>
    <row r="56" spans="4:5">
      <c r="D56"/>
      <c r="E56"/>
    </row>
    <row r="57" spans="4:5">
      <c r="D57"/>
      <c r="E57"/>
    </row>
    <row r="58" spans="4:5">
      <c r="D58"/>
      <c r="E58"/>
    </row>
    <row r="59" spans="4:5">
      <c r="D59"/>
      <c r="E59"/>
    </row>
    <row r="60" spans="4:5">
      <c r="D60"/>
      <c r="E60"/>
    </row>
    <row r="61" spans="4:5">
      <c r="D61"/>
      <c r="E61"/>
    </row>
    <row r="62" spans="4:5">
      <c r="D62"/>
      <c r="E62"/>
    </row>
    <row r="63" spans="4:5">
      <c r="D63"/>
      <c r="E63"/>
    </row>
    <row r="64" spans="4:5">
      <c r="D64"/>
      <c r="E64"/>
    </row>
    <row r="65" spans="4:5">
      <c r="D65"/>
      <c r="E65"/>
    </row>
    <row r="66" spans="4:5">
      <c r="D66"/>
      <c r="E66"/>
    </row>
    <row r="67" spans="4:5">
      <c r="D67"/>
      <c r="E67"/>
    </row>
    <row r="68" spans="4:5">
      <c r="D68"/>
      <c r="E68"/>
    </row>
    <row r="69" spans="4:5">
      <c r="D69"/>
      <c r="E69"/>
    </row>
    <row r="70" spans="4:5">
      <c r="D70"/>
      <c r="E70"/>
    </row>
    <row r="71" spans="4:5">
      <c r="D71"/>
      <c r="E71"/>
    </row>
    <row r="72" spans="4:5">
      <c r="D72"/>
      <c r="E72"/>
    </row>
    <row r="73" spans="4:5">
      <c r="D73"/>
      <c r="E73"/>
    </row>
    <row r="74" spans="4:5">
      <c r="D74"/>
      <c r="E74"/>
    </row>
    <row r="75" spans="4:5">
      <c r="D75"/>
      <c r="E75"/>
    </row>
    <row r="76" spans="4:5">
      <c r="D76"/>
      <c r="E76"/>
    </row>
    <row r="77" spans="4:5">
      <c r="D77"/>
      <c r="E77"/>
    </row>
    <row r="78" spans="4:5">
      <c r="D78"/>
      <c r="E78"/>
    </row>
    <row r="79" spans="4:5">
      <c r="D79"/>
      <c r="E79"/>
    </row>
    <row r="80" spans="4:5">
      <c r="D80"/>
      <c r="E80"/>
    </row>
    <row r="81" spans="4:5">
      <c r="D81"/>
      <c r="E81"/>
    </row>
    <row r="82" spans="4:5">
      <c r="D82"/>
      <c r="E82"/>
    </row>
    <row r="83" spans="4:5">
      <c r="D83"/>
      <c r="E83"/>
    </row>
    <row r="84" spans="4:5">
      <c r="D84"/>
      <c r="E84"/>
    </row>
    <row r="85" spans="4:5">
      <c r="D85"/>
      <c r="E85"/>
    </row>
    <row r="86" spans="4:5">
      <c r="D86"/>
      <c r="E86"/>
    </row>
    <row r="87" spans="4:5">
      <c r="D87"/>
      <c r="E87"/>
    </row>
    <row r="88" spans="4:5">
      <c r="D88"/>
      <c r="E88"/>
    </row>
    <row r="89" spans="4:5">
      <c r="D89"/>
      <c r="E89"/>
    </row>
    <row r="90" spans="4:5">
      <c r="D90"/>
      <c r="E90"/>
    </row>
    <row r="91" spans="4:5">
      <c r="D91"/>
      <c r="E91"/>
    </row>
    <row r="92" spans="4:5">
      <c r="D92"/>
      <c r="E92"/>
    </row>
    <row r="93" spans="4:5">
      <c r="D93"/>
      <c r="E93"/>
    </row>
    <row r="94" spans="4:5">
      <c r="D94"/>
      <c r="E94"/>
    </row>
    <row r="95" spans="4:5">
      <c r="D95"/>
      <c r="E95"/>
    </row>
    <row r="96" spans="4:5">
      <c r="D96"/>
      <c r="E96"/>
    </row>
    <row r="97" spans="4:5">
      <c r="D97"/>
      <c r="E97"/>
    </row>
    <row r="98" spans="4:5">
      <c r="D98"/>
      <c r="E98"/>
    </row>
    <row r="99" spans="4:5">
      <c r="D99"/>
      <c r="E99"/>
    </row>
    <row r="100" spans="4:5">
      <c r="D100"/>
      <c r="E100"/>
    </row>
    <row r="101" spans="4:5">
      <c r="D101"/>
      <c r="E101"/>
    </row>
    <row r="102" spans="4:5">
      <c r="D102"/>
      <c r="E102"/>
    </row>
    <row r="103" spans="4:5">
      <c r="D103"/>
      <c r="E103"/>
    </row>
    <row r="104" spans="4:5">
      <c r="D104"/>
      <c r="E104"/>
    </row>
    <row r="105" spans="4:5">
      <c r="D105"/>
      <c r="E105"/>
    </row>
    <row r="106" spans="4:5">
      <c r="D106"/>
      <c r="E106"/>
    </row>
    <row r="107" spans="4:5">
      <c r="D107"/>
      <c r="E107"/>
    </row>
    <row r="108" spans="4:5">
      <c r="D108"/>
      <c r="E108"/>
    </row>
    <row r="109" spans="4:5">
      <c r="D109"/>
      <c r="E109"/>
    </row>
    <row r="110" spans="4:5">
      <c r="D110"/>
      <c r="E110"/>
    </row>
    <row r="111" spans="4:5">
      <c r="D111"/>
      <c r="E111"/>
    </row>
    <row r="112" spans="4:5">
      <c r="D112"/>
      <c r="E112"/>
    </row>
    <row r="113" spans="4:5">
      <c r="D113"/>
      <c r="E113"/>
    </row>
    <row r="114" spans="4:5">
      <c r="D114"/>
      <c r="E114"/>
    </row>
    <row r="115" spans="4:5">
      <c r="D115"/>
      <c r="E115"/>
    </row>
    <row r="116" spans="4:5">
      <c r="D116"/>
      <c r="E116"/>
    </row>
    <row r="117" spans="4:5">
      <c r="D117"/>
      <c r="E117"/>
    </row>
    <row r="118" spans="4:5">
      <c r="D118"/>
      <c r="E118"/>
    </row>
    <row r="119" spans="4:5">
      <c r="D119"/>
      <c r="E119"/>
    </row>
    <row r="120" spans="4:5">
      <c r="D120"/>
      <c r="E120"/>
    </row>
    <row r="121" spans="4:5">
      <c r="D121"/>
      <c r="E121"/>
    </row>
    <row r="122" spans="4:5">
      <c r="D122"/>
      <c r="E122"/>
    </row>
    <row r="123" spans="4:5">
      <c r="D123"/>
      <c r="E123"/>
    </row>
    <row r="124" spans="4:5">
      <c r="D124"/>
      <c r="E124"/>
    </row>
    <row r="125" spans="4:5">
      <c r="D125"/>
      <c r="E125"/>
    </row>
    <row r="126" spans="4:5">
      <c r="D126"/>
      <c r="E126"/>
    </row>
    <row r="127" spans="4:5">
      <c r="D127"/>
      <c r="E127"/>
    </row>
    <row r="128" spans="4:5">
      <c r="D128"/>
      <c r="E128"/>
    </row>
    <row r="129" spans="4:5">
      <c r="D129"/>
      <c r="E129"/>
    </row>
    <row r="130" spans="4:5">
      <c r="D130"/>
      <c r="E130"/>
    </row>
    <row r="131" spans="4:5">
      <c r="D131"/>
      <c r="E131"/>
    </row>
    <row r="132" spans="4:5">
      <c r="D132"/>
      <c r="E132"/>
    </row>
    <row r="133" spans="4:5">
      <c r="D133"/>
      <c r="E133"/>
    </row>
    <row r="134" spans="4:5">
      <c r="D134"/>
      <c r="E134"/>
    </row>
    <row r="135" spans="4:5">
      <c r="D135"/>
      <c r="E135"/>
    </row>
    <row r="136" spans="4:5">
      <c r="D136"/>
      <c r="E136"/>
    </row>
    <row r="137" spans="4:5">
      <c r="D137"/>
      <c r="E137"/>
    </row>
    <row r="138" spans="4:5">
      <c r="D138"/>
      <c r="E138"/>
    </row>
    <row r="139" spans="4:5">
      <c r="D139"/>
      <c r="E139"/>
    </row>
    <row r="140" spans="4:5">
      <c r="D140"/>
      <c r="E140"/>
    </row>
    <row r="141" spans="4:5">
      <c r="D141"/>
      <c r="E141"/>
    </row>
    <row r="142" spans="4:5">
      <c r="D142"/>
      <c r="E142"/>
    </row>
    <row r="143" spans="4:5">
      <c r="D143"/>
      <c r="E143"/>
    </row>
    <row r="144" spans="4:5">
      <c r="D144"/>
      <c r="E144"/>
    </row>
    <row r="145" spans="4:5">
      <c r="D145"/>
      <c r="E145"/>
    </row>
    <row r="146" spans="4:5">
      <c r="D146"/>
      <c r="E146"/>
    </row>
    <row r="147" spans="4:5">
      <c r="D147"/>
      <c r="E147"/>
    </row>
    <row r="148" spans="4:5">
      <c r="D148"/>
      <c r="E148"/>
    </row>
    <row r="149" spans="4:5">
      <c r="D149"/>
      <c r="E149"/>
    </row>
    <row r="150" spans="4:5">
      <c r="D150"/>
      <c r="E150"/>
    </row>
    <row r="151" spans="4:5">
      <c r="D151"/>
      <c r="E151"/>
    </row>
    <row r="152" spans="4:5">
      <c r="D152"/>
      <c r="E152"/>
    </row>
    <row r="153" spans="4:5">
      <c r="D153"/>
      <c r="E153"/>
    </row>
    <row r="154" spans="4:5">
      <c r="D154"/>
      <c r="E154"/>
    </row>
    <row r="155" spans="4:5">
      <c r="D155"/>
      <c r="E155"/>
    </row>
    <row r="156" spans="4:5">
      <c r="D156"/>
      <c r="E156"/>
    </row>
    <row r="157" spans="4:5">
      <c r="D157"/>
      <c r="E157"/>
    </row>
    <row r="158" spans="4:5">
      <c r="D158"/>
      <c r="E158"/>
    </row>
    <row r="159" spans="4:5">
      <c r="D159"/>
      <c r="E159"/>
    </row>
    <row r="160" spans="4:5">
      <c r="D160"/>
      <c r="E160"/>
    </row>
    <row r="161" spans="4:5">
      <c r="D161"/>
      <c r="E161"/>
    </row>
    <row r="162" spans="4:5">
      <c r="D162"/>
      <c r="E162"/>
    </row>
    <row r="163" spans="4:5">
      <c r="D163"/>
      <c r="E163"/>
    </row>
    <row r="164" spans="4:5">
      <c r="D164"/>
      <c r="E164"/>
    </row>
    <row r="165" spans="4:5">
      <c r="D165"/>
      <c r="E165"/>
    </row>
    <row r="166" spans="4:5">
      <c r="D166"/>
      <c r="E166"/>
    </row>
    <row r="167" spans="4:5">
      <c r="D167"/>
      <c r="E167"/>
    </row>
    <row r="168" spans="4:5">
      <c r="D168"/>
      <c r="E168"/>
    </row>
    <row r="169" spans="4:5">
      <c r="D169"/>
      <c r="E169"/>
    </row>
    <row r="170" spans="4:5">
      <c r="D170"/>
      <c r="E170"/>
    </row>
    <row r="171" spans="4:5">
      <c r="D171"/>
      <c r="E171"/>
    </row>
    <row r="172" spans="4:5">
      <c r="D172"/>
      <c r="E172"/>
    </row>
    <row r="173" spans="4:5">
      <c r="D173"/>
      <c r="E173"/>
    </row>
    <row r="174" spans="4:5">
      <c r="D174"/>
      <c r="E174"/>
    </row>
    <row r="175" spans="4:5">
      <c r="D175"/>
      <c r="E175"/>
    </row>
    <row r="176" spans="4:5">
      <c r="D176"/>
      <c r="E176"/>
    </row>
    <row r="177" spans="4:5">
      <c r="D177"/>
      <c r="E177"/>
    </row>
    <row r="178" spans="4:5">
      <c r="D178"/>
      <c r="E178"/>
    </row>
    <row r="179" spans="4:5">
      <c r="D179"/>
      <c r="E179"/>
    </row>
    <row r="180" spans="4:5">
      <c r="D180"/>
      <c r="E180"/>
    </row>
    <row r="181" spans="4:5">
      <c r="D181"/>
      <c r="E181"/>
    </row>
    <row r="182" spans="4:5">
      <c r="D182"/>
    </row>
    <row r="183" spans="4:5">
      <c r="D183"/>
    </row>
    <row r="184" spans="4:5">
      <c r="D184"/>
    </row>
    <row r="185" spans="4:5">
      <c r="D185"/>
    </row>
    <row r="186" spans="4:5">
      <c r="D186"/>
    </row>
    <row r="187" spans="4:5">
      <c r="D187"/>
    </row>
    <row r="188" spans="4:5">
      <c r="D188"/>
    </row>
    <row r="189" spans="4:5">
      <c r="D189"/>
    </row>
    <row r="190" spans="4:5">
      <c r="D190"/>
    </row>
    <row r="191" spans="4:5">
      <c r="D191"/>
    </row>
    <row r="192" spans="4:5">
      <c r="D192"/>
    </row>
    <row r="193" spans="4:4">
      <c r="D193"/>
    </row>
    <row r="194" spans="4:4">
      <c r="D194"/>
    </row>
    <row r="195" spans="4:4">
      <c r="D195"/>
    </row>
    <row r="196" spans="4:4">
      <c r="D196"/>
    </row>
    <row r="197" spans="4:4">
      <c r="D197"/>
    </row>
    <row r="198" spans="4:4">
      <c r="D198"/>
    </row>
    <row r="199" spans="4:4">
      <c r="D199"/>
    </row>
    <row r="200" spans="4:4">
      <c r="D200"/>
    </row>
    <row r="201" spans="4:4">
      <c r="D201"/>
    </row>
    <row r="202" spans="4:4">
      <c r="D202"/>
    </row>
    <row r="203" spans="4:4">
      <c r="D203"/>
    </row>
    <row r="204" spans="4:4">
      <c r="D204"/>
    </row>
    <row r="205" spans="4:4">
      <c r="D205"/>
    </row>
    <row r="206" spans="4:4">
      <c r="D206"/>
    </row>
    <row r="207" spans="4:4">
      <c r="D207"/>
    </row>
    <row r="208" spans="4:4">
      <c r="D208"/>
    </row>
    <row r="209" spans="4:4">
      <c r="D209"/>
    </row>
    <row r="210" spans="4:4">
      <c r="D210"/>
    </row>
    <row r="211" spans="4:4">
      <c r="D211"/>
    </row>
    <row r="212" spans="4:4">
      <c r="D212"/>
    </row>
    <row r="213" spans="4:4">
      <c r="D213"/>
    </row>
    <row r="214" spans="4:4">
      <c r="D214"/>
    </row>
    <row r="215" spans="4:4">
      <c r="D215"/>
    </row>
    <row r="216" spans="4:4">
      <c r="D216"/>
    </row>
    <row r="217" spans="4:4">
      <c r="D217"/>
    </row>
    <row r="218" spans="4:4">
      <c r="D218"/>
    </row>
    <row r="219" spans="4:4">
      <c r="D219"/>
    </row>
    <row r="220" spans="4:4">
      <c r="D220"/>
    </row>
    <row r="221" spans="4:4">
      <c r="D221"/>
    </row>
    <row r="222" spans="4:4">
      <c r="D222"/>
    </row>
    <row r="223" spans="4:4">
      <c r="D223"/>
    </row>
    <row r="224" spans="4:4">
      <c r="D224"/>
    </row>
    <row r="225" spans="4:4">
      <c r="D225"/>
    </row>
    <row r="226" spans="4:4">
      <c r="D226"/>
    </row>
    <row r="227" spans="4:4">
      <c r="D227"/>
    </row>
    <row r="228" spans="4:4">
      <c r="D228"/>
    </row>
    <row r="229" spans="4:4">
      <c r="D229"/>
    </row>
    <row r="230" spans="4:4">
      <c r="D230"/>
    </row>
    <row r="231" spans="4:4">
      <c r="D231"/>
    </row>
    <row r="232" spans="4:4">
      <c r="D232"/>
    </row>
    <row r="233" spans="4:4">
      <c r="D233"/>
    </row>
    <row r="234" spans="4:4">
      <c r="D234"/>
    </row>
    <row r="235" spans="4:4">
      <c r="D235"/>
    </row>
    <row r="236" spans="4:4">
      <c r="D236"/>
    </row>
    <row r="237" spans="4:4">
      <c r="D237"/>
    </row>
    <row r="238" spans="4:4">
      <c r="D238"/>
    </row>
    <row r="239" spans="4:4">
      <c r="D239"/>
    </row>
    <row r="240" spans="4:4">
      <c r="D240"/>
    </row>
    <row r="241" spans="4:4">
      <c r="D241"/>
    </row>
    <row r="242" spans="4:4">
      <c r="D242"/>
    </row>
    <row r="243" spans="4:4">
      <c r="D243"/>
    </row>
    <row r="244" spans="4:4">
      <c r="D244"/>
    </row>
    <row r="245" spans="4:4">
      <c r="D245"/>
    </row>
    <row r="246" spans="4:4">
      <c r="D246"/>
    </row>
    <row r="247" spans="4:4">
      <c r="D247"/>
    </row>
    <row r="248" spans="4:4">
      <c r="D248"/>
    </row>
    <row r="249" spans="4:4">
      <c r="D249"/>
    </row>
    <row r="250" spans="4:4">
      <c r="D250"/>
    </row>
    <row r="251" spans="4:4">
      <c r="D251"/>
    </row>
    <row r="252" spans="4:4">
      <c r="D252"/>
    </row>
    <row r="253" spans="4:4">
      <c r="D253"/>
    </row>
    <row r="254" spans="4:4">
      <c r="D254"/>
    </row>
    <row r="255" spans="4:4">
      <c r="D255"/>
    </row>
    <row r="256" spans="4:4">
      <c r="D256"/>
    </row>
    <row r="257" spans="4:4">
      <c r="D257"/>
    </row>
    <row r="258" spans="4:4">
      <c r="D258"/>
    </row>
    <row r="259" spans="4:4">
      <c r="D259"/>
    </row>
    <row r="260" spans="4:4">
      <c r="D260"/>
    </row>
    <row r="261" spans="4:4">
      <c r="D261"/>
    </row>
    <row r="262" spans="4:4">
      <c r="D262"/>
    </row>
    <row r="263" spans="4:4">
      <c r="D263"/>
    </row>
    <row r="264" spans="4:4">
      <c r="D264"/>
    </row>
    <row r="265" spans="4:4">
      <c r="D265"/>
    </row>
    <row r="266" spans="4:4">
      <c r="D266"/>
    </row>
    <row r="267" spans="4:4">
      <c r="D267"/>
    </row>
    <row r="268" spans="4:4">
      <c r="D268"/>
    </row>
    <row r="269" spans="4:4">
      <c r="D269"/>
    </row>
    <row r="270" spans="4:4">
      <c r="D270"/>
    </row>
    <row r="271" spans="4:4">
      <c r="D271"/>
    </row>
    <row r="272" spans="4:4">
      <c r="D272"/>
    </row>
    <row r="273" spans="4:4">
      <c r="D273"/>
    </row>
    <row r="274" spans="4:4">
      <c r="D274"/>
    </row>
    <row r="275" spans="4:4">
      <c r="D275"/>
    </row>
    <row r="276" spans="4:4">
      <c r="D276"/>
    </row>
    <row r="277" spans="4:4">
      <c r="D277"/>
    </row>
    <row r="278" spans="4:4">
      <c r="D278"/>
    </row>
    <row r="279" spans="4:4">
      <c r="D279"/>
    </row>
    <row r="280" spans="4:4">
      <c r="D280"/>
    </row>
    <row r="281" spans="4:4">
      <c r="D281"/>
    </row>
    <row r="282" spans="4:4">
      <c r="D282"/>
    </row>
    <row r="283" spans="4:4">
      <c r="D283"/>
    </row>
    <row r="284" spans="4:4">
      <c r="D284"/>
    </row>
    <row r="285" spans="4:4">
      <c r="D285"/>
    </row>
    <row r="286" spans="4:4">
      <c r="D286"/>
    </row>
    <row r="287" spans="4:4">
      <c r="D287"/>
    </row>
    <row r="288" spans="4:4">
      <c r="D288"/>
    </row>
    <row r="289" spans="4:4">
      <c r="D289"/>
    </row>
    <row r="290" spans="4:4">
      <c r="D290"/>
    </row>
    <row r="291" spans="4:4">
      <c r="D291"/>
    </row>
    <row r="292" spans="4:4">
      <c r="D292"/>
    </row>
    <row r="293" spans="4:4">
      <c r="D293"/>
    </row>
    <row r="294" spans="4:4">
      <c r="D294"/>
    </row>
    <row r="295" spans="4:4">
      <c r="D295"/>
    </row>
    <row r="296" spans="4:4">
      <c r="D296"/>
    </row>
    <row r="297" spans="4:4">
      <c r="D297"/>
    </row>
    <row r="298" spans="4:4">
      <c r="D298"/>
    </row>
    <row r="299" spans="4:4">
      <c r="D299"/>
    </row>
    <row r="300" spans="4:4">
      <c r="D300"/>
    </row>
    <row r="301" spans="4:4">
      <c r="D301"/>
    </row>
    <row r="302" spans="4:4">
      <c r="D302"/>
    </row>
    <row r="303" spans="4:4">
      <c r="D303"/>
    </row>
    <row r="304" spans="4:4">
      <c r="D304"/>
    </row>
    <row r="305" spans="4:4">
      <c r="D305"/>
    </row>
    <row r="306" spans="4:4">
      <c r="D306"/>
    </row>
    <row r="307" spans="4:4">
      <c r="D307"/>
    </row>
    <row r="308" spans="4:4">
      <c r="D308"/>
    </row>
    <row r="309" spans="4:4">
      <c r="D309"/>
    </row>
    <row r="310" spans="4:4">
      <c r="D310"/>
    </row>
    <row r="311" spans="4:4">
      <c r="D311"/>
    </row>
    <row r="312" spans="4:4">
      <c r="D312"/>
    </row>
    <row r="313" spans="4:4">
      <c r="D313"/>
    </row>
    <row r="314" spans="4:4">
      <c r="D314"/>
    </row>
    <row r="315" spans="4:4">
      <c r="D315"/>
    </row>
    <row r="316" spans="4:4">
      <c r="D316"/>
    </row>
    <row r="317" spans="4:4">
      <c r="D317"/>
    </row>
    <row r="318" spans="4:4">
      <c r="D318"/>
    </row>
    <row r="319" spans="4:4">
      <c r="D319"/>
    </row>
    <row r="320" spans="4:4">
      <c r="D320"/>
    </row>
    <row r="321" spans="4:4">
      <c r="D321"/>
    </row>
    <row r="322" spans="4:4">
      <c r="D322"/>
    </row>
    <row r="323" spans="4:4">
      <c r="D323"/>
    </row>
    <row r="324" spans="4:4">
      <c r="D324"/>
    </row>
    <row r="325" spans="4:4">
      <c r="D325"/>
    </row>
    <row r="326" spans="4:4">
      <c r="D326"/>
    </row>
    <row r="327" spans="4:4">
      <c r="D327"/>
    </row>
    <row r="328" spans="4:4">
      <c r="D328"/>
    </row>
    <row r="329" spans="4:4">
      <c r="D329"/>
    </row>
    <row r="330" spans="4:4">
      <c r="D330"/>
    </row>
    <row r="331" spans="4:4">
      <c r="D331"/>
    </row>
    <row r="332" spans="4:4">
      <c r="D332"/>
    </row>
    <row r="333" spans="4:4">
      <c r="D333"/>
    </row>
    <row r="334" spans="4:4">
      <c r="D334"/>
    </row>
    <row r="335" spans="4:4">
      <c r="D335"/>
    </row>
    <row r="336" spans="4:4">
      <c r="D336"/>
    </row>
    <row r="337" spans="4:4">
      <c r="D337"/>
    </row>
    <row r="338" spans="4:4">
      <c r="D338"/>
    </row>
    <row r="339" spans="4:4">
      <c r="D339"/>
    </row>
    <row r="340" spans="4:4">
      <c r="D340"/>
    </row>
    <row r="341" spans="4:4">
      <c r="D341"/>
    </row>
    <row r="342" spans="4:4">
      <c r="D342"/>
    </row>
    <row r="343" spans="4:4">
      <c r="D343"/>
    </row>
    <row r="344" spans="4:4">
      <c r="D344"/>
    </row>
    <row r="345" spans="4:4">
      <c r="D345"/>
    </row>
    <row r="346" spans="4:4">
      <c r="D346"/>
    </row>
    <row r="347" spans="4:4">
      <c r="D347"/>
    </row>
    <row r="348" spans="4:4">
      <c r="D348"/>
    </row>
    <row r="349" spans="4:4">
      <c r="D349"/>
    </row>
    <row r="350" spans="4:4">
      <c r="D350"/>
    </row>
    <row r="351" spans="4:4">
      <c r="D351"/>
    </row>
    <row r="352" spans="4:4">
      <c r="D352"/>
    </row>
    <row r="353" spans="4:4">
      <c r="D353"/>
    </row>
    <row r="354" spans="4:4">
      <c r="D354"/>
    </row>
    <row r="355" spans="4:4">
      <c r="D355"/>
    </row>
    <row r="356" spans="4:4">
      <c r="D356"/>
    </row>
    <row r="357" spans="4:4">
      <c r="D357"/>
    </row>
    <row r="358" spans="4:4">
      <c r="D358"/>
    </row>
    <row r="359" spans="4:4">
      <c r="D359"/>
    </row>
    <row r="360" spans="4:4">
      <c r="D360"/>
    </row>
    <row r="361" spans="4:4">
      <c r="D361"/>
    </row>
    <row r="362" spans="4:4">
      <c r="D362"/>
    </row>
    <row r="363" spans="4:4">
      <c r="D363"/>
    </row>
    <row r="364" spans="4:4">
      <c r="D364"/>
    </row>
    <row r="365" spans="4:4">
      <c r="D365"/>
    </row>
    <row r="366" spans="4:4">
      <c r="D366"/>
    </row>
    <row r="367" spans="4:4">
      <c r="D367"/>
    </row>
    <row r="368" spans="4:4">
      <c r="D368"/>
    </row>
    <row r="369" spans="4:4">
      <c r="D369"/>
    </row>
    <row r="370" spans="4:4">
      <c r="D370"/>
    </row>
    <row r="371" spans="4:4">
      <c r="D371"/>
    </row>
    <row r="372" spans="4:4">
      <c r="D372"/>
    </row>
    <row r="373" spans="4:4">
      <c r="D373"/>
    </row>
    <row r="374" spans="4:4">
      <c r="D374"/>
    </row>
    <row r="375" spans="4:4">
      <c r="D375"/>
    </row>
    <row r="376" spans="4:4">
      <c r="D376"/>
    </row>
    <row r="377" spans="4:4">
      <c r="D377"/>
    </row>
    <row r="378" spans="4:4">
      <c r="D378"/>
    </row>
    <row r="379" spans="4:4">
      <c r="D379"/>
    </row>
    <row r="380" spans="4:4">
      <c r="D380"/>
    </row>
    <row r="381" spans="4:4">
      <c r="D381"/>
    </row>
    <row r="382" spans="4:4">
      <c r="D382"/>
    </row>
    <row r="383" spans="4:4">
      <c r="D383"/>
    </row>
    <row r="384" spans="4:4">
      <c r="D384"/>
    </row>
    <row r="385" spans="4:4">
      <c r="D385"/>
    </row>
    <row r="386" spans="4:4">
      <c r="D386"/>
    </row>
    <row r="387" spans="4:4">
      <c r="D387"/>
    </row>
    <row r="388" spans="4:4">
      <c r="D388"/>
    </row>
    <row r="389" spans="4:4">
      <c r="D389"/>
    </row>
    <row r="390" spans="4:4">
      <c r="D390"/>
    </row>
    <row r="391" spans="4:4">
      <c r="D391"/>
    </row>
    <row r="392" spans="4:4">
      <c r="D392"/>
    </row>
    <row r="393" spans="4:4">
      <c r="D393"/>
    </row>
    <row r="394" spans="4:4">
      <c r="D394"/>
    </row>
    <row r="395" spans="4:4">
      <c r="D395"/>
    </row>
    <row r="396" spans="4:4">
      <c r="D396"/>
    </row>
    <row r="397" spans="4:4">
      <c r="D397"/>
    </row>
    <row r="398" spans="4:4">
      <c r="D398"/>
    </row>
    <row r="399" spans="4:4">
      <c r="D399"/>
    </row>
    <row r="400" spans="4:4">
      <c r="D400"/>
    </row>
    <row r="401" spans="4:4">
      <c r="D401"/>
    </row>
    <row r="402" spans="4:4">
      <c r="D402"/>
    </row>
    <row r="403" spans="4:4">
      <c r="D403"/>
    </row>
    <row r="404" spans="4:4">
      <c r="D404"/>
    </row>
    <row r="405" spans="4:4">
      <c r="D405"/>
    </row>
    <row r="406" spans="4:4">
      <c r="D406"/>
    </row>
    <row r="407" spans="4:4">
      <c r="D407"/>
    </row>
    <row r="408" spans="4:4">
      <c r="D408"/>
    </row>
    <row r="409" spans="4:4">
      <c r="D409"/>
    </row>
    <row r="410" spans="4:4">
      <c r="D410"/>
    </row>
    <row r="411" spans="4:4">
      <c r="D411"/>
    </row>
    <row r="412" spans="4:4">
      <c r="D412"/>
    </row>
    <row r="413" spans="4:4">
      <c r="D413"/>
    </row>
    <row r="414" spans="4:4">
      <c r="D414"/>
    </row>
    <row r="415" spans="4:4">
      <c r="D415"/>
    </row>
    <row r="416" spans="4:4">
      <c r="D416"/>
    </row>
    <row r="417" spans="4:4">
      <c r="D417"/>
    </row>
    <row r="418" spans="4:4">
      <c r="D418"/>
    </row>
    <row r="419" spans="4:4">
      <c r="D419"/>
    </row>
    <row r="420" spans="4:4">
      <c r="D420"/>
    </row>
    <row r="421" spans="4:4">
      <c r="D421"/>
    </row>
    <row r="422" spans="4:4">
      <c r="D422"/>
    </row>
    <row r="423" spans="4:4">
      <c r="D423"/>
    </row>
    <row r="424" spans="4:4">
      <c r="D424"/>
    </row>
    <row r="425" spans="4:4">
      <c r="D425"/>
    </row>
    <row r="426" spans="4:4">
      <c r="D426"/>
    </row>
    <row r="427" spans="4:4">
      <c r="D427"/>
    </row>
    <row r="428" spans="4:4">
      <c r="D428"/>
    </row>
    <row r="429" spans="4:4">
      <c r="D429"/>
    </row>
    <row r="430" spans="4:4">
      <c r="D430"/>
    </row>
    <row r="431" spans="4:4">
      <c r="D431"/>
    </row>
    <row r="432" spans="4:4">
      <c r="D432"/>
    </row>
    <row r="433" spans="4:4">
      <c r="D433"/>
    </row>
    <row r="434" spans="4:4">
      <c r="D434"/>
    </row>
    <row r="435" spans="4:4">
      <c r="D435"/>
    </row>
    <row r="436" spans="4:4">
      <c r="D436"/>
    </row>
    <row r="437" spans="4:4">
      <c r="D437"/>
    </row>
    <row r="438" spans="4:4">
      <c r="D438"/>
    </row>
    <row r="439" spans="4:4">
      <c r="D439"/>
    </row>
    <row r="440" spans="4:4">
      <c r="D440"/>
    </row>
    <row r="441" spans="4:4">
      <c r="D441"/>
    </row>
    <row r="442" spans="4:4">
      <c r="D442"/>
    </row>
    <row r="443" spans="4:4">
      <c r="D443"/>
    </row>
    <row r="444" spans="4:4">
      <c r="D444"/>
    </row>
    <row r="445" spans="4:4">
      <c r="D445"/>
    </row>
    <row r="446" spans="4:4">
      <c r="D446"/>
    </row>
    <row r="447" spans="4:4">
      <c r="D447"/>
    </row>
    <row r="448" spans="4:4">
      <c r="D448"/>
    </row>
    <row r="449" spans="4:4">
      <c r="D449"/>
    </row>
    <row r="450" spans="4:4">
      <c r="D450"/>
    </row>
    <row r="451" spans="4:4">
      <c r="D451"/>
    </row>
    <row r="452" spans="4:4">
      <c r="D452"/>
    </row>
    <row r="453" spans="4:4">
      <c r="D453"/>
    </row>
    <row r="454" spans="4:4">
      <c r="D454"/>
    </row>
    <row r="455" spans="4:4">
      <c r="D455"/>
    </row>
    <row r="456" spans="4:4">
      <c r="D456"/>
    </row>
    <row r="457" spans="4:4">
      <c r="D457"/>
    </row>
    <row r="458" spans="4:4">
      <c r="D458"/>
    </row>
    <row r="459" spans="4:4">
      <c r="D459"/>
    </row>
    <row r="460" spans="4:4">
      <c r="D460"/>
    </row>
    <row r="461" spans="4:4">
      <c r="D461"/>
    </row>
    <row r="462" spans="4:4">
      <c r="D462"/>
    </row>
    <row r="463" spans="4:4">
      <c r="D463"/>
    </row>
    <row r="464" spans="4:4">
      <c r="D464"/>
    </row>
    <row r="465" spans="4:4">
      <c r="D465"/>
    </row>
    <row r="466" spans="4:4">
      <c r="D466"/>
    </row>
    <row r="467" spans="4:4">
      <c r="D467"/>
    </row>
    <row r="468" spans="4:4">
      <c r="D468"/>
    </row>
    <row r="469" spans="4:4">
      <c r="D469"/>
    </row>
    <row r="470" spans="4:4">
      <c r="D470"/>
    </row>
    <row r="471" spans="4:4">
      <c r="D471"/>
    </row>
    <row r="472" spans="4:4">
      <c r="D472"/>
    </row>
    <row r="473" spans="4:4">
      <c r="D473"/>
    </row>
    <row r="474" spans="4:4">
      <c r="D474"/>
    </row>
    <row r="475" spans="4:4">
      <c r="D475"/>
    </row>
    <row r="476" spans="4:4">
      <c r="D476"/>
    </row>
    <row r="477" spans="4:4">
      <c r="D477"/>
    </row>
    <row r="478" spans="4:4">
      <c r="D478"/>
    </row>
    <row r="479" spans="4:4">
      <c r="D479"/>
    </row>
    <row r="480" spans="4:4">
      <c r="D480"/>
    </row>
    <row r="481" spans="4:4">
      <c r="D481"/>
    </row>
    <row r="482" spans="4:4">
      <c r="D482"/>
    </row>
    <row r="483" spans="4:4">
      <c r="D483"/>
    </row>
    <row r="484" spans="4:4">
      <c r="D484"/>
    </row>
    <row r="485" spans="4:4">
      <c r="D485"/>
    </row>
    <row r="486" spans="4:4">
      <c r="D486"/>
    </row>
    <row r="487" spans="4:4">
      <c r="D487"/>
    </row>
    <row r="488" spans="4:4">
      <c r="D488"/>
    </row>
    <row r="489" spans="4:4">
      <c r="D489"/>
    </row>
    <row r="490" spans="4:4">
      <c r="D490"/>
    </row>
    <row r="491" spans="4:4">
      <c r="D491"/>
    </row>
    <row r="492" spans="4:4">
      <c r="D492"/>
    </row>
    <row r="493" spans="4:4">
      <c r="D493"/>
    </row>
    <row r="494" spans="4:4">
      <c r="D494"/>
    </row>
    <row r="495" spans="4:4">
      <c r="D495"/>
    </row>
    <row r="496" spans="4:4">
      <c r="D496"/>
    </row>
    <row r="497" spans="4:4">
      <c r="D497"/>
    </row>
    <row r="498" spans="4:4">
      <c r="D498"/>
    </row>
    <row r="499" spans="4:4">
      <c r="D499"/>
    </row>
    <row r="500" spans="4:4">
      <c r="D500"/>
    </row>
    <row r="501" spans="4:4">
      <c r="D501"/>
    </row>
    <row r="502" spans="4:4">
      <c r="D502"/>
    </row>
    <row r="503" spans="4:4">
      <c r="D503"/>
    </row>
    <row r="504" spans="4:4">
      <c r="D504"/>
    </row>
    <row r="505" spans="4:4">
      <c r="D505"/>
    </row>
    <row r="506" spans="4:4">
      <c r="D506"/>
    </row>
    <row r="507" spans="4:4">
      <c r="D507"/>
    </row>
    <row r="508" spans="4:4">
      <c r="D508"/>
    </row>
    <row r="509" spans="4:4">
      <c r="D509"/>
    </row>
    <row r="510" spans="4:4">
      <c r="D510"/>
    </row>
    <row r="511" spans="4:4">
      <c r="D511"/>
    </row>
    <row r="512" spans="4:4">
      <c r="D512"/>
    </row>
    <row r="513" spans="4:4">
      <c r="D513"/>
    </row>
    <row r="514" spans="4:4">
      <c r="D514"/>
    </row>
    <row r="515" spans="4:4">
      <c r="D515"/>
    </row>
    <row r="516" spans="4:4">
      <c r="D516"/>
    </row>
    <row r="517" spans="4:4">
      <c r="D517"/>
    </row>
    <row r="518" spans="4:4">
      <c r="D518"/>
    </row>
    <row r="519" spans="4:4">
      <c r="D519"/>
    </row>
    <row r="520" spans="4:4">
      <c r="D520"/>
    </row>
    <row r="521" spans="4:4">
      <c r="D521"/>
    </row>
    <row r="522" spans="4:4">
      <c r="D522"/>
    </row>
    <row r="523" spans="4:4">
      <c r="D523"/>
    </row>
    <row r="524" spans="4:4">
      <c r="D524"/>
    </row>
    <row r="525" spans="4:4">
      <c r="D525"/>
    </row>
    <row r="526" spans="4:4">
      <c r="D526"/>
    </row>
    <row r="527" spans="4:4">
      <c r="D527"/>
    </row>
    <row r="528" spans="4:4">
      <c r="D528"/>
    </row>
    <row r="529" spans="4:4">
      <c r="D529"/>
    </row>
    <row r="530" spans="4:4">
      <c r="D530"/>
    </row>
    <row r="531" spans="4:4">
      <c r="D531"/>
    </row>
    <row r="532" spans="4:4">
      <c r="D532"/>
    </row>
    <row r="533" spans="4:4">
      <c r="D533"/>
    </row>
    <row r="534" spans="4:4">
      <c r="D534"/>
    </row>
    <row r="535" spans="4:4">
      <c r="D535"/>
    </row>
    <row r="536" spans="4:4">
      <c r="D536"/>
    </row>
    <row r="537" spans="4:4">
      <c r="D537"/>
    </row>
    <row r="538" spans="4:4">
      <c r="D538"/>
    </row>
    <row r="539" spans="4:4">
      <c r="D539"/>
    </row>
    <row r="540" spans="4:4">
      <c r="D540"/>
    </row>
    <row r="541" spans="4:4">
      <c r="D541"/>
    </row>
    <row r="542" spans="4:4">
      <c r="D542"/>
    </row>
    <row r="543" spans="4:4">
      <c r="D543"/>
    </row>
    <row r="544" spans="4:4">
      <c r="D544"/>
    </row>
    <row r="545" spans="4:4">
      <c r="D545"/>
    </row>
    <row r="546" spans="4:4">
      <c r="D546"/>
    </row>
    <row r="547" spans="4:4">
      <c r="D547"/>
    </row>
    <row r="548" spans="4:4">
      <c r="D548"/>
    </row>
    <row r="549" spans="4:4">
      <c r="D549"/>
    </row>
    <row r="550" spans="4:4">
      <c r="D550"/>
    </row>
    <row r="551" spans="4:4">
      <c r="D551"/>
    </row>
    <row r="552" spans="4:4">
      <c r="D552"/>
    </row>
    <row r="553" spans="4:4">
      <c r="D553"/>
    </row>
    <row r="554" spans="4:4">
      <c r="D554"/>
    </row>
    <row r="555" spans="4:4">
      <c r="D555"/>
    </row>
    <row r="556" spans="4:4">
      <c r="D556"/>
    </row>
    <row r="557" spans="4:4">
      <c r="D557"/>
    </row>
    <row r="558" spans="4:4">
      <c r="D558"/>
    </row>
    <row r="559" spans="4:4">
      <c r="D559"/>
    </row>
    <row r="560" spans="4:4">
      <c r="D560"/>
    </row>
    <row r="561" spans="4:4">
      <c r="D561"/>
    </row>
    <row r="562" spans="4:4">
      <c r="D562"/>
    </row>
    <row r="563" spans="4:4">
      <c r="D563"/>
    </row>
    <row r="564" spans="4:4">
      <c r="D564"/>
    </row>
    <row r="565" spans="4:4">
      <c r="D565"/>
    </row>
    <row r="566" spans="4:4">
      <c r="D566"/>
    </row>
    <row r="567" spans="4:4">
      <c r="D567"/>
    </row>
    <row r="568" spans="4:4">
      <c r="D568"/>
    </row>
    <row r="569" spans="4:4">
      <c r="D569"/>
    </row>
    <row r="570" spans="4:4">
      <c r="D570"/>
    </row>
    <row r="571" spans="4:4">
      <c r="D571"/>
    </row>
    <row r="572" spans="4:4">
      <c r="D572"/>
    </row>
    <row r="573" spans="4:4">
      <c r="D573"/>
    </row>
    <row r="574" spans="4:4">
      <c r="D574"/>
    </row>
    <row r="575" spans="4:4">
      <c r="D575"/>
    </row>
    <row r="576" spans="4:4">
      <c r="D576"/>
    </row>
    <row r="577" spans="4:4">
      <c r="D577"/>
    </row>
    <row r="578" spans="4:4">
      <c r="D578"/>
    </row>
    <row r="579" spans="4:4">
      <c r="D579"/>
    </row>
    <row r="580" spans="4:4">
      <c r="D580"/>
    </row>
    <row r="581" spans="4:4">
      <c r="D581"/>
    </row>
    <row r="582" spans="4:4">
      <c r="D582"/>
    </row>
    <row r="583" spans="4:4">
      <c r="D583"/>
    </row>
    <row r="584" spans="4:4">
      <c r="D584"/>
    </row>
    <row r="585" spans="4:4">
      <c r="D585"/>
    </row>
    <row r="586" spans="4:4">
      <c r="D586"/>
    </row>
    <row r="587" spans="4:4">
      <c r="D587"/>
    </row>
    <row r="588" spans="4:4">
      <c r="D588"/>
    </row>
    <row r="589" spans="4:4">
      <c r="D589"/>
    </row>
    <row r="590" spans="4:4">
      <c r="D590"/>
    </row>
    <row r="591" spans="4:4">
      <c r="D591"/>
    </row>
    <row r="592" spans="4:4">
      <c r="D592"/>
    </row>
    <row r="593" spans="4:4">
      <c r="D593"/>
    </row>
    <row r="594" spans="4:4">
      <c r="D594"/>
    </row>
    <row r="595" spans="4:4">
      <c r="D595"/>
    </row>
    <row r="596" spans="4:4">
      <c r="D596"/>
    </row>
    <row r="597" spans="4:4">
      <c r="D597"/>
    </row>
    <row r="598" spans="4:4">
      <c r="D598"/>
    </row>
    <row r="599" spans="4:4">
      <c r="D599"/>
    </row>
    <row r="600" spans="4:4">
      <c r="D600"/>
    </row>
    <row r="601" spans="4:4">
      <c r="D601"/>
    </row>
    <row r="602" spans="4:4">
      <c r="D602"/>
    </row>
    <row r="603" spans="4:4">
      <c r="D603"/>
    </row>
    <row r="604" spans="4:4">
      <c r="D604"/>
    </row>
    <row r="605" spans="4:4">
      <c r="D605"/>
    </row>
    <row r="606" spans="4:4">
      <c r="D606"/>
    </row>
    <row r="607" spans="4:4">
      <c r="D607"/>
    </row>
    <row r="608" spans="4:4">
      <c r="D608"/>
    </row>
    <row r="609" spans="4:4">
      <c r="D609"/>
    </row>
    <row r="610" spans="4:4">
      <c r="D610"/>
    </row>
    <row r="611" spans="4:4">
      <c r="D611"/>
    </row>
    <row r="612" spans="4:4">
      <c r="D612"/>
    </row>
    <row r="613" spans="4:4">
      <c r="D613"/>
    </row>
    <row r="614" spans="4:4">
      <c r="D614"/>
    </row>
    <row r="615" spans="4:4">
      <c r="D615"/>
    </row>
    <row r="616" spans="4:4">
      <c r="D616"/>
    </row>
    <row r="617" spans="4:4">
      <c r="D617"/>
    </row>
    <row r="618" spans="4:4">
      <c r="D618"/>
    </row>
    <row r="619" spans="4:4">
      <c r="D619"/>
    </row>
    <row r="620" spans="4:4">
      <c r="D620"/>
    </row>
    <row r="621" spans="4:4">
      <c r="D621"/>
    </row>
    <row r="622" spans="4:4">
      <c r="D622"/>
    </row>
    <row r="623" spans="4:4">
      <c r="D623"/>
    </row>
    <row r="624" spans="4:4">
      <c r="D624"/>
    </row>
    <row r="625" spans="4:4">
      <c r="D625"/>
    </row>
    <row r="626" spans="4:4">
      <c r="D626"/>
    </row>
    <row r="627" spans="4:4">
      <c r="D627"/>
    </row>
    <row r="628" spans="4:4">
      <c r="D628"/>
    </row>
    <row r="629" spans="4:4">
      <c r="D629"/>
    </row>
    <row r="630" spans="4:4">
      <c r="D630"/>
    </row>
    <row r="631" spans="4:4">
      <c r="D631"/>
    </row>
    <row r="632" spans="4:4">
      <c r="D632"/>
    </row>
    <row r="633" spans="4:4">
      <c r="D633"/>
    </row>
    <row r="634" spans="4:4">
      <c r="D634"/>
    </row>
    <row r="635" spans="4:4">
      <c r="D635"/>
    </row>
    <row r="636" spans="4:4">
      <c r="D636"/>
    </row>
    <row r="637" spans="4:4">
      <c r="D637"/>
    </row>
    <row r="638" spans="4:4">
      <c r="D638"/>
    </row>
    <row r="639" spans="4:4">
      <c r="D639"/>
    </row>
    <row r="640" spans="4:4">
      <c r="D640"/>
    </row>
    <row r="641" spans="4:4">
      <c r="D641"/>
    </row>
    <row r="642" spans="4:4">
      <c r="D642"/>
    </row>
    <row r="643" spans="4:4">
      <c r="D643"/>
    </row>
    <row r="644" spans="4:4">
      <c r="D644"/>
    </row>
    <row r="645" spans="4:4">
      <c r="D645"/>
    </row>
    <row r="646" spans="4:4">
      <c r="D646"/>
    </row>
    <row r="647" spans="4:4">
      <c r="D647"/>
    </row>
    <row r="648" spans="4:4">
      <c r="D648"/>
    </row>
    <row r="649" spans="4:4">
      <c r="D649"/>
    </row>
    <row r="650" spans="4:4">
      <c r="D650"/>
    </row>
    <row r="651" spans="4:4">
      <c r="D651"/>
    </row>
    <row r="652" spans="4:4">
      <c r="D652"/>
    </row>
    <row r="653" spans="4:4">
      <c r="D653"/>
    </row>
    <row r="654" spans="4:4">
      <c r="D654"/>
    </row>
    <row r="655" spans="4:4">
      <c r="D655"/>
    </row>
    <row r="656" spans="4:4">
      <c r="D656"/>
    </row>
    <row r="657" spans="4:4">
      <c r="D657"/>
    </row>
    <row r="658" spans="4:4">
      <c r="D658"/>
    </row>
    <row r="659" spans="4:4">
      <c r="D659"/>
    </row>
    <row r="660" spans="4:4">
      <c r="D660"/>
    </row>
    <row r="661" spans="4:4">
      <c r="D661"/>
    </row>
    <row r="662" spans="4:4">
      <c r="D662"/>
    </row>
    <row r="663" spans="4:4">
      <c r="D663"/>
    </row>
    <row r="664" spans="4:4">
      <c r="D664"/>
    </row>
    <row r="665" spans="4:4">
      <c r="D665"/>
    </row>
    <row r="666" spans="4:4">
      <c r="D666"/>
    </row>
    <row r="667" spans="4:4">
      <c r="D667"/>
    </row>
    <row r="668" spans="4:4">
      <c r="D668"/>
    </row>
    <row r="669" spans="4:4">
      <c r="D669"/>
    </row>
    <row r="670" spans="4:4">
      <c r="D670"/>
    </row>
    <row r="671" spans="4:4">
      <c r="D671"/>
    </row>
    <row r="672" spans="4:4">
      <c r="D672"/>
    </row>
    <row r="673" spans="4:4">
      <c r="D673"/>
    </row>
    <row r="674" spans="4:4">
      <c r="D674"/>
    </row>
    <row r="675" spans="4:4">
      <c r="D675"/>
    </row>
    <row r="676" spans="4:4">
      <c r="D676"/>
    </row>
    <row r="677" spans="4:4">
      <c r="D677"/>
    </row>
    <row r="678" spans="4:4">
      <c r="D678"/>
    </row>
    <row r="679" spans="4:4">
      <c r="D679"/>
    </row>
    <row r="680" spans="4:4">
      <c r="D680"/>
    </row>
    <row r="681" spans="4:4">
      <c r="D681"/>
    </row>
    <row r="682" spans="4:4">
      <c r="D682"/>
    </row>
    <row r="683" spans="4:4">
      <c r="D683"/>
    </row>
    <row r="684" spans="4:4">
      <c r="D684"/>
    </row>
    <row r="685" spans="4:4">
      <c r="D685"/>
    </row>
    <row r="686" spans="4:4">
      <c r="D686"/>
    </row>
    <row r="687" spans="4:4">
      <c r="D687"/>
    </row>
    <row r="688" spans="4:4">
      <c r="D688"/>
    </row>
    <row r="689" spans="4:4">
      <c r="D689"/>
    </row>
    <row r="690" spans="4:4">
      <c r="D690"/>
    </row>
    <row r="691" spans="4:4">
      <c r="D691"/>
    </row>
    <row r="692" spans="4:4">
      <c r="D692"/>
    </row>
    <row r="693" spans="4:4">
      <c r="D693"/>
    </row>
    <row r="694" spans="4:4">
      <c r="D694"/>
    </row>
    <row r="695" spans="4:4">
      <c r="D695"/>
    </row>
    <row r="696" spans="4:4">
      <c r="D696"/>
    </row>
    <row r="697" spans="4:4">
      <c r="D697"/>
    </row>
    <row r="698" spans="4:4">
      <c r="D698"/>
    </row>
    <row r="699" spans="4:4">
      <c r="D699"/>
    </row>
    <row r="700" spans="4:4">
      <c r="D700"/>
    </row>
    <row r="701" spans="4:4">
      <c r="D701"/>
    </row>
    <row r="702" spans="4:4">
      <c r="D702"/>
    </row>
    <row r="703" spans="4:4">
      <c r="D703"/>
    </row>
    <row r="704" spans="4:4">
      <c r="D704"/>
    </row>
    <row r="705" spans="4:4">
      <c r="D705"/>
    </row>
    <row r="706" spans="4:4">
      <c r="D706"/>
    </row>
    <row r="707" spans="4:4">
      <c r="D707"/>
    </row>
    <row r="708" spans="4:4">
      <c r="D708"/>
    </row>
    <row r="709" spans="4:4">
      <c r="D709"/>
    </row>
    <row r="710" spans="4:4">
      <c r="D710"/>
    </row>
    <row r="711" spans="4:4">
      <c r="D711"/>
    </row>
    <row r="712" spans="4:4">
      <c r="D712"/>
    </row>
    <row r="713" spans="4:4">
      <c r="D713"/>
    </row>
    <row r="714" spans="4:4">
      <c r="D714"/>
    </row>
    <row r="715" spans="4:4">
      <c r="D715"/>
    </row>
    <row r="716" spans="4:4">
      <c r="D716"/>
    </row>
    <row r="717" spans="4:4">
      <c r="D717"/>
    </row>
    <row r="718" spans="4:4">
      <c r="D718"/>
    </row>
    <row r="719" spans="4:4">
      <c r="D719"/>
    </row>
    <row r="720" spans="4:4">
      <c r="D720"/>
    </row>
    <row r="721" spans="4:4">
      <c r="D721"/>
    </row>
    <row r="722" spans="4:4">
      <c r="D722"/>
    </row>
    <row r="723" spans="4:4">
      <c r="D723"/>
    </row>
    <row r="724" spans="4:4">
      <c r="D724"/>
    </row>
    <row r="725" spans="4:4">
      <c r="D725"/>
    </row>
    <row r="726" spans="4:4">
      <c r="D726"/>
    </row>
    <row r="727" spans="4:4">
      <c r="D727"/>
    </row>
    <row r="728" spans="4:4">
      <c r="D728"/>
    </row>
    <row r="729" spans="4:4">
      <c r="D729"/>
    </row>
    <row r="730" spans="4:4">
      <c r="D730"/>
    </row>
    <row r="731" spans="4:4">
      <c r="D731"/>
    </row>
    <row r="732" spans="4:4">
      <c r="D732"/>
    </row>
    <row r="733" spans="4:4">
      <c r="D733"/>
    </row>
    <row r="734" spans="4:4">
      <c r="D734"/>
    </row>
    <row r="735" spans="4:4">
      <c r="D735"/>
    </row>
    <row r="736" spans="4:4">
      <c r="D736"/>
    </row>
    <row r="737" spans="4:4">
      <c r="D737"/>
    </row>
    <row r="738" spans="4:4">
      <c r="D738"/>
    </row>
    <row r="739" spans="4:4">
      <c r="D739"/>
    </row>
    <row r="740" spans="4:4">
      <c r="D740"/>
    </row>
    <row r="741" spans="4:4">
      <c r="D741"/>
    </row>
    <row r="742" spans="4:4">
      <c r="D742"/>
    </row>
    <row r="743" spans="4:4">
      <c r="D743"/>
    </row>
    <row r="744" spans="4:4">
      <c r="D744"/>
    </row>
    <row r="745" spans="4:4">
      <c r="D745"/>
    </row>
    <row r="746" spans="4:4">
      <c r="D746"/>
    </row>
    <row r="747" spans="4:4">
      <c r="D747"/>
    </row>
    <row r="748" spans="4:4">
      <c r="D748"/>
    </row>
    <row r="749" spans="4:4">
      <c r="D749"/>
    </row>
    <row r="750" spans="4:4">
      <c r="D750"/>
    </row>
    <row r="751" spans="4:4">
      <c r="D751"/>
    </row>
    <row r="752" spans="4:4">
      <c r="D752"/>
    </row>
    <row r="753" spans="4:4">
      <c r="D753"/>
    </row>
    <row r="754" spans="4:4">
      <c r="D754"/>
    </row>
    <row r="755" spans="4:4">
      <c r="D755"/>
    </row>
    <row r="756" spans="4:4">
      <c r="D756"/>
    </row>
    <row r="757" spans="4:4">
      <c r="D757"/>
    </row>
    <row r="758" spans="4:4">
      <c r="D758"/>
    </row>
    <row r="759" spans="4:4">
      <c r="D759"/>
    </row>
    <row r="760" spans="4:4">
      <c r="D760"/>
    </row>
    <row r="761" spans="4:4">
      <c r="D761"/>
    </row>
    <row r="762" spans="4:4">
      <c r="D762"/>
    </row>
    <row r="763" spans="4:4">
      <c r="D763"/>
    </row>
    <row r="764" spans="4:4">
      <c r="D764"/>
    </row>
    <row r="765" spans="4:4">
      <c r="D765"/>
    </row>
    <row r="766" spans="4:4">
      <c r="D766"/>
    </row>
    <row r="767" spans="4:4">
      <c r="D767"/>
    </row>
    <row r="768" spans="4:4">
      <c r="D768"/>
    </row>
    <row r="769" spans="4:4">
      <c r="D769"/>
    </row>
    <row r="770" spans="4:4">
      <c r="D770"/>
    </row>
    <row r="771" spans="4:4">
      <c r="D771"/>
    </row>
    <row r="772" spans="4:4">
      <c r="D772"/>
    </row>
    <row r="773" spans="4:4">
      <c r="D773"/>
    </row>
    <row r="774" spans="4:4">
      <c r="D774"/>
    </row>
    <row r="775" spans="4:4">
      <c r="D775"/>
    </row>
    <row r="776" spans="4:4">
      <c r="D776"/>
    </row>
    <row r="777" spans="4:4">
      <c r="D777"/>
    </row>
    <row r="778" spans="4:4">
      <c r="D778"/>
    </row>
    <row r="779" spans="4:4">
      <c r="D779"/>
    </row>
    <row r="780" spans="4:4">
      <c r="D780"/>
    </row>
    <row r="781" spans="4:4">
      <c r="D781"/>
    </row>
    <row r="782" spans="4:4">
      <c r="D782"/>
    </row>
    <row r="783" spans="4:4">
      <c r="D783"/>
    </row>
    <row r="784" spans="4:4">
      <c r="D784"/>
    </row>
    <row r="785" spans="4:4">
      <c r="D785"/>
    </row>
    <row r="786" spans="4:4">
      <c r="D786"/>
    </row>
    <row r="787" spans="4:4">
      <c r="D787"/>
    </row>
    <row r="788" spans="4:4">
      <c r="D788"/>
    </row>
    <row r="789" spans="4:4">
      <c r="D789"/>
    </row>
    <row r="790" spans="4:4">
      <c r="D790"/>
    </row>
    <row r="791" spans="4:4">
      <c r="D791"/>
    </row>
    <row r="792" spans="4:4">
      <c r="D792"/>
    </row>
    <row r="793" spans="4:4">
      <c r="D793"/>
    </row>
    <row r="794" spans="4:4">
      <c r="D794"/>
    </row>
    <row r="795" spans="4:4">
      <c r="D795"/>
    </row>
    <row r="796" spans="4:4">
      <c r="D796"/>
    </row>
    <row r="797" spans="4:4">
      <c r="D797"/>
    </row>
    <row r="798" spans="4:4">
      <c r="D798"/>
    </row>
    <row r="799" spans="4:4">
      <c r="D799"/>
    </row>
    <row r="800" spans="4:4">
      <c r="D800"/>
    </row>
    <row r="801" spans="4:4">
      <c r="D801"/>
    </row>
    <row r="802" spans="4:4">
      <c r="D802"/>
    </row>
    <row r="803" spans="4:4">
      <c r="D803"/>
    </row>
    <row r="804" spans="4:4">
      <c r="D804"/>
    </row>
    <row r="805" spans="4:4">
      <c r="D805"/>
    </row>
    <row r="806" spans="4:4">
      <c r="D806"/>
    </row>
    <row r="807" spans="4:4">
      <c r="D807"/>
    </row>
    <row r="808" spans="4:4">
      <c r="D808"/>
    </row>
    <row r="809" spans="4:4">
      <c r="D809"/>
    </row>
    <row r="810" spans="4:4">
      <c r="D810"/>
    </row>
    <row r="811" spans="4:4">
      <c r="D811"/>
    </row>
    <row r="812" spans="4:4">
      <c r="D812"/>
    </row>
    <row r="813" spans="4:4">
      <c r="D813"/>
    </row>
    <row r="814" spans="4:4">
      <c r="D814"/>
    </row>
    <row r="815" spans="4:4">
      <c r="D815"/>
    </row>
    <row r="816" spans="4:4">
      <c r="D816"/>
    </row>
    <row r="817" spans="4:4">
      <c r="D817"/>
    </row>
    <row r="818" spans="4:4">
      <c r="D818"/>
    </row>
    <row r="819" spans="4:4">
      <c r="D819"/>
    </row>
    <row r="820" spans="4:4">
      <c r="D820"/>
    </row>
    <row r="821" spans="4:4">
      <c r="D821"/>
    </row>
    <row r="822" spans="4:4">
      <c r="D822"/>
    </row>
    <row r="823" spans="4:4">
      <c r="D823"/>
    </row>
    <row r="824" spans="4:4">
      <c r="D824"/>
    </row>
    <row r="825" spans="4:4">
      <c r="D825"/>
    </row>
    <row r="826" spans="4:4">
      <c r="D826"/>
    </row>
    <row r="827" spans="4:4">
      <c r="D827"/>
    </row>
    <row r="828" spans="4:4">
      <c r="D828"/>
    </row>
    <row r="829" spans="4:4">
      <c r="D829"/>
    </row>
    <row r="830" spans="4:4">
      <c r="D830"/>
    </row>
    <row r="831" spans="4:4">
      <c r="D831"/>
    </row>
    <row r="832" spans="4:4">
      <c r="D832"/>
    </row>
    <row r="833" spans="4:4">
      <c r="D833"/>
    </row>
    <row r="834" spans="4:4">
      <c r="D834"/>
    </row>
    <row r="835" spans="4:4">
      <c r="D835"/>
    </row>
    <row r="836" spans="4:4">
      <c r="D836"/>
    </row>
    <row r="837" spans="4:4">
      <c r="D837"/>
    </row>
    <row r="838" spans="4:4">
      <c r="D838"/>
    </row>
    <row r="839" spans="4:4">
      <c r="D839"/>
    </row>
    <row r="840" spans="4:4">
      <c r="D840"/>
    </row>
    <row r="841" spans="4:4">
      <c r="D841"/>
    </row>
    <row r="842" spans="4:4">
      <c r="D842"/>
    </row>
    <row r="843" spans="4:4">
      <c r="D843"/>
    </row>
    <row r="844" spans="4:4">
      <c r="D844"/>
    </row>
    <row r="845" spans="4:4">
      <c r="D845"/>
    </row>
    <row r="846" spans="4:4">
      <c r="D846"/>
    </row>
    <row r="847" spans="4:4">
      <c r="D847"/>
    </row>
    <row r="848" spans="4:4">
      <c r="D848"/>
    </row>
    <row r="849" spans="4:4">
      <c r="D849"/>
    </row>
    <row r="850" spans="4:4">
      <c r="D850"/>
    </row>
    <row r="851" spans="4:4">
      <c r="D851"/>
    </row>
    <row r="852" spans="4:4">
      <c r="D852"/>
    </row>
    <row r="853" spans="4:4">
      <c r="D853"/>
    </row>
    <row r="854" spans="4:4">
      <c r="D854"/>
    </row>
    <row r="855" spans="4:4">
      <c r="D855"/>
    </row>
    <row r="856" spans="4:4">
      <c r="D856"/>
    </row>
    <row r="857" spans="4:4">
      <c r="D857"/>
    </row>
    <row r="858" spans="4:4">
      <c r="D858"/>
    </row>
    <row r="859" spans="4:4">
      <c r="D859"/>
    </row>
    <row r="860" spans="4:4">
      <c r="D860"/>
    </row>
    <row r="861" spans="4:4">
      <c r="D861"/>
    </row>
    <row r="862" spans="4:4">
      <c r="D862"/>
    </row>
    <row r="863" spans="4:4">
      <c r="D863"/>
    </row>
    <row r="864" spans="4:4">
      <c r="D864"/>
    </row>
    <row r="865" spans="4:4">
      <c r="D865"/>
    </row>
    <row r="866" spans="4:4">
      <c r="D866"/>
    </row>
    <row r="867" spans="4:4">
      <c r="D867"/>
    </row>
    <row r="868" spans="4:4">
      <c r="D868"/>
    </row>
    <row r="869" spans="4:4">
      <c r="D869"/>
    </row>
    <row r="870" spans="4:4">
      <c r="D870"/>
    </row>
    <row r="871" spans="4:4">
      <c r="D871"/>
    </row>
    <row r="872" spans="4:4">
      <c r="D872"/>
    </row>
    <row r="873" spans="4:4">
      <c r="D873"/>
    </row>
    <row r="874" spans="4:4">
      <c r="D874"/>
    </row>
    <row r="875" spans="4:4">
      <c r="D875"/>
    </row>
    <row r="876" spans="4:4">
      <c r="D876"/>
    </row>
    <row r="877" spans="4:4">
      <c r="D877"/>
    </row>
    <row r="878" spans="4:4">
      <c r="D878"/>
    </row>
    <row r="879" spans="4:4">
      <c r="D879"/>
    </row>
    <row r="880" spans="4:4">
      <c r="D880"/>
    </row>
    <row r="881" spans="4:4">
      <c r="D881"/>
    </row>
    <row r="882" spans="4:4">
      <c r="D882"/>
    </row>
    <row r="883" spans="4:4">
      <c r="D883"/>
    </row>
    <row r="884" spans="4:4">
      <c r="D884"/>
    </row>
    <row r="885" spans="4:4">
      <c r="D885"/>
    </row>
    <row r="886" spans="4:4">
      <c r="D886"/>
    </row>
    <row r="887" spans="4:4">
      <c r="D887"/>
    </row>
    <row r="888" spans="4:4">
      <c r="D888"/>
    </row>
    <row r="889" spans="4:4">
      <c r="D889"/>
    </row>
    <row r="890" spans="4:4">
      <c r="D890"/>
    </row>
    <row r="891" spans="4:4">
      <c r="D891"/>
    </row>
    <row r="892" spans="4:4">
      <c r="D892"/>
    </row>
    <row r="893" spans="4:4">
      <c r="D893"/>
    </row>
    <row r="894" spans="4:4">
      <c r="D894"/>
    </row>
    <row r="895" spans="4:4">
      <c r="D895"/>
    </row>
    <row r="896" spans="4:4">
      <c r="D896"/>
    </row>
    <row r="897" spans="4:4">
      <c r="D897"/>
    </row>
    <row r="898" spans="4:4">
      <c r="D898"/>
    </row>
    <row r="899" spans="4:4">
      <c r="D899"/>
    </row>
    <row r="900" spans="4:4">
      <c r="D900"/>
    </row>
    <row r="901" spans="4:4">
      <c r="D901"/>
    </row>
    <row r="902" spans="4:4">
      <c r="D902"/>
    </row>
    <row r="903" spans="4:4">
      <c r="D903"/>
    </row>
    <row r="904" spans="4:4">
      <c r="D904"/>
    </row>
    <row r="905" spans="4:4">
      <c r="D905"/>
    </row>
    <row r="906" spans="4:4">
      <c r="D906"/>
    </row>
    <row r="907" spans="4:4">
      <c r="D907"/>
    </row>
    <row r="908" spans="4:4">
      <c r="D908"/>
    </row>
    <row r="909" spans="4:4">
      <c r="D909"/>
    </row>
    <row r="910" spans="4:4">
      <c r="D910"/>
    </row>
    <row r="911" spans="4:4">
      <c r="D911"/>
    </row>
    <row r="912" spans="4:4">
      <c r="D912"/>
    </row>
    <row r="913" spans="4:4">
      <c r="D913"/>
    </row>
    <row r="914" spans="4:4">
      <c r="D914"/>
    </row>
    <row r="915" spans="4:4">
      <c r="D915"/>
    </row>
    <row r="916" spans="4:4">
      <c r="D916"/>
    </row>
    <row r="917" spans="4:4">
      <c r="D917"/>
    </row>
    <row r="918" spans="4:4">
      <c r="D918"/>
    </row>
    <row r="919" spans="4:4">
      <c r="D919"/>
    </row>
    <row r="920" spans="4:4">
      <c r="D920"/>
    </row>
    <row r="921" spans="4:4">
      <c r="D921"/>
    </row>
    <row r="922" spans="4:4">
      <c r="D922"/>
    </row>
    <row r="923" spans="4:4">
      <c r="D923"/>
    </row>
    <row r="924" spans="4:4">
      <c r="D924"/>
    </row>
    <row r="925" spans="4:4">
      <c r="D925"/>
    </row>
    <row r="926" spans="4:4">
      <c r="D926"/>
    </row>
    <row r="927" spans="4:4">
      <c r="D927"/>
    </row>
    <row r="928" spans="4:4">
      <c r="D928"/>
    </row>
    <row r="929" spans="4:4">
      <c r="D929"/>
    </row>
    <row r="930" spans="4:4">
      <c r="D930"/>
    </row>
    <row r="931" spans="4:4">
      <c r="D931"/>
    </row>
    <row r="932" spans="4:4">
      <c r="D932"/>
    </row>
    <row r="933" spans="4:4">
      <c r="D933"/>
    </row>
    <row r="934" spans="4:4">
      <c r="D934"/>
    </row>
    <row r="935" spans="4:4">
      <c r="D935"/>
    </row>
    <row r="936" spans="4:4">
      <c r="D936"/>
    </row>
    <row r="937" spans="4:4">
      <c r="D937"/>
    </row>
    <row r="938" spans="4:4">
      <c r="D938"/>
    </row>
    <row r="939" spans="4:4">
      <c r="D939"/>
    </row>
    <row r="940" spans="4:4">
      <c r="D940"/>
    </row>
    <row r="941" spans="4:4">
      <c r="D941"/>
    </row>
    <row r="942" spans="4:4">
      <c r="D942"/>
    </row>
    <row r="943" spans="4:4">
      <c r="D943"/>
    </row>
    <row r="944" spans="4:4">
      <c r="D944"/>
    </row>
    <row r="945" spans="4:4">
      <c r="D945"/>
    </row>
    <row r="946" spans="4:4">
      <c r="D946"/>
    </row>
    <row r="947" spans="4:4">
      <c r="D947"/>
    </row>
    <row r="948" spans="4:4">
      <c r="D948"/>
    </row>
    <row r="949" spans="4:4">
      <c r="D949"/>
    </row>
    <row r="950" spans="4:4">
      <c r="D950"/>
    </row>
    <row r="951" spans="4:4">
      <c r="D951"/>
    </row>
    <row r="952" spans="4:4">
      <c r="D952"/>
    </row>
    <row r="953" spans="4:4">
      <c r="D953"/>
    </row>
    <row r="954" spans="4:4">
      <c r="D954"/>
    </row>
    <row r="955" spans="4:4">
      <c r="D955"/>
    </row>
    <row r="956" spans="4:4">
      <c r="D956"/>
    </row>
    <row r="957" spans="4:4">
      <c r="D957"/>
    </row>
    <row r="958" spans="4:4">
      <c r="D958"/>
    </row>
    <row r="959" spans="4:4">
      <c r="D959"/>
    </row>
    <row r="960" spans="4:4">
      <c r="D960"/>
    </row>
    <row r="961" spans="4:4">
      <c r="D961"/>
    </row>
    <row r="962" spans="4:4">
      <c r="D962"/>
    </row>
    <row r="963" spans="4:4">
      <c r="D963"/>
    </row>
    <row r="964" spans="4:4">
      <c r="D964"/>
    </row>
    <row r="965" spans="4:4">
      <c r="D965"/>
    </row>
    <row r="966" spans="4:4">
      <c r="D966"/>
    </row>
    <row r="967" spans="4:4">
      <c r="D967"/>
    </row>
    <row r="968" spans="4:4">
      <c r="D968"/>
    </row>
    <row r="969" spans="4:4">
      <c r="D969"/>
    </row>
    <row r="970" spans="4:4">
      <c r="D970"/>
    </row>
    <row r="971" spans="4:4">
      <c r="D971"/>
    </row>
    <row r="972" spans="4:4">
      <c r="D972"/>
    </row>
    <row r="973" spans="4:4">
      <c r="D973"/>
    </row>
    <row r="974" spans="4:4">
      <c r="D974"/>
    </row>
    <row r="975" spans="4:4">
      <c r="D975"/>
    </row>
    <row r="976" spans="4:4">
      <c r="D976"/>
    </row>
    <row r="977" spans="4:4">
      <c r="D977"/>
    </row>
    <row r="978" spans="4:4">
      <c r="D978"/>
    </row>
    <row r="979" spans="4:4">
      <c r="D979"/>
    </row>
    <row r="980" spans="4:4">
      <c r="D980"/>
    </row>
    <row r="981" spans="4:4">
      <c r="D981"/>
    </row>
    <row r="982" spans="4:4">
      <c r="D982"/>
    </row>
    <row r="983" spans="4:4">
      <c r="D983"/>
    </row>
    <row r="984" spans="4:4">
      <c r="D984"/>
    </row>
    <row r="985" spans="4:4">
      <c r="D985"/>
    </row>
    <row r="986" spans="4:4">
      <c r="D986"/>
    </row>
    <row r="987" spans="4:4">
      <c r="D987"/>
    </row>
    <row r="988" spans="4:4">
      <c r="D988"/>
    </row>
    <row r="989" spans="4:4">
      <c r="D989"/>
    </row>
    <row r="990" spans="4:4">
      <c r="D990"/>
    </row>
    <row r="991" spans="4:4">
      <c r="D991"/>
    </row>
    <row r="992" spans="4:4">
      <c r="D992"/>
    </row>
    <row r="993" spans="4:4">
      <c r="D993"/>
    </row>
    <row r="994" spans="4:4">
      <c r="D994"/>
    </row>
    <row r="995" spans="4:4">
      <c r="D995"/>
    </row>
    <row r="996" spans="4:4">
      <c r="D996"/>
    </row>
    <row r="997" spans="4:4">
      <c r="D997"/>
    </row>
    <row r="998" spans="4:4">
      <c r="D998"/>
    </row>
    <row r="999" spans="4:4">
      <c r="D999"/>
    </row>
    <row r="1000" spans="4:4">
      <c r="D1000"/>
    </row>
    <row r="1001" spans="4:4">
      <c r="D1001"/>
    </row>
    <row r="1002" spans="4:4">
      <c r="D1002"/>
    </row>
    <row r="1003" spans="4:4">
      <c r="D1003"/>
    </row>
    <row r="1004" spans="4:4">
      <c r="D1004"/>
    </row>
    <row r="1005" spans="4:4">
      <c r="D1005"/>
    </row>
    <row r="1006" spans="4:4">
      <c r="D1006"/>
    </row>
    <row r="1007" spans="4:4">
      <c r="D1007"/>
    </row>
    <row r="1008" spans="4:4">
      <c r="D1008"/>
    </row>
    <row r="1009" spans="4:4">
      <c r="D1009"/>
    </row>
    <row r="1010" spans="4:4">
      <c r="D1010"/>
    </row>
    <row r="1011" spans="4:4">
      <c r="D1011"/>
    </row>
    <row r="1012" spans="4:4">
      <c r="D1012"/>
    </row>
    <row r="1013" spans="4:4">
      <c r="D1013"/>
    </row>
    <row r="1014" spans="4:4">
      <c r="D1014"/>
    </row>
    <row r="1015" spans="4:4">
      <c r="D1015"/>
    </row>
    <row r="1016" spans="4:4">
      <c r="D1016"/>
    </row>
    <row r="1017" spans="4:4">
      <c r="D1017"/>
    </row>
    <row r="1018" spans="4:4">
      <c r="D1018"/>
    </row>
    <row r="1019" spans="4:4">
      <c r="D1019"/>
    </row>
    <row r="1020" spans="4:4">
      <c r="D1020"/>
    </row>
    <row r="1021" spans="4:4">
      <c r="D1021"/>
    </row>
    <row r="1022" spans="4:4">
      <c r="D1022"/>
    </row>
    <row r="1023" spans="4:4">
      <c r="D1023"/>
    </row>
    <row r="1024" spans="4:4">
      <c r="D1024"/>
    </row>
    <row r="1025" spans="4:4">
      <c r="D1025"/>
    </row>
    <row r="1026" spans="4:4">
      <c r="D1026"/>
    </row>
    <row r="1027" spans="4:4">
      <c r="D1027"/>
    </row>
    <row r="1028" spans="4:4">
      <c r="D1028"/>
    </row>
    <row r="1029" spans="4:4">
      <c r="D1029"/>
    </row>
    <row r="1030" spans="4:4">
      <c r="D1030"/>
    </row>
    <row r="1031" spans="4:4">
      <c r="D1031"/>
    </row>
    <row r="1032" spans="4:4">
      <c r="D1032"/>
    </row>
    <row r="1033" spans="4:4">
      <c r="D1033"/>
    </row>
    <row r="1034" spans="4:4">
      <c r="D1034"/>
    </row>
    <row r="1035" spans="4:4">
      <c r="D1035"/>
    </row>
    <row r="1036" spans="4:4">
      <c r="D1036"/>
    </row>
    <row r="1037" spans="4:4">
      <c r="D1037"/>
    </row>
    <row r="1038" spans="4:4">
      <c r="D1038"/>
    </row>
    <row r="1039" spans="4:4">
      <c r="D1039"/>
    </row>
    <row r="1040" spans="4:4">
      <c r="D1040"/>
    </row>
    <row r="1041" spans="4:4">
      <c r="D1041"/>
    </row>
    <row r="1042" spans="4:4">
      <c r="D1042"/>
    </row>
    <row r="1043" spans="4:4">
      <c r="D1043"/>
    </row>
    <row r="1044" spans="4:4">
      <c r="D1044"/>
    </row>
    <row r="1045" spans="4:4">
      <c r="D1045"/>
    </row>
    <row r="1046" spans="4:4">
      <c r="D1046"/>
    </row>
    <row r="1047" spans="4:4">
      <c r="D1047"/>
    </row>
    <row r="1048" spans="4:4">
      <c r="D1048"/>
    </row>
    <row r="1049" spans="4:4">
      <c r="D1049"/>
    </row>
    <row r="1050" spans="4:4">
      <c r="D1050"/>
    </row>
    <row r="1051" spans="4:4">
      <c r="D1051"/>
    </row>
    <row r="1052" spans="4:4">
      <c r="D1052"/>
    </row>
    <row r="1053" spans="4:4">
      <c r="D1053"/>
    </row>
    <row r="1054" spans="4:4">
      <c r="D1054"/>
    </row>
    <row r="1055" spans="4:4">
      <c r="D1055"/>
    </row>
    <row r="1056" spans="4:4">
      <c r="D1056"/>
    </row>
    <row r="1057" spans="4:4">
      <c r="D1057"/>
    </row>
    <row r="1058" spans="4:4">
      <c r="D1058"/>
    </row>
    <row r="1059" spans="4:4">
      <c r="D1059"/>
    </row>
    <row r="1060" spans="4:4">
      <c r="D1060"/>
    </row>
    <row r="1061" spans="4:4">
      <c r="D1061"/>
    </row>
    <row r="1062" spans="4:4">
      <c r="D1062"/>
    </row>
    <row r="1063" spans="4:4">
      <c r="D1063"/>
    </row>
    <row r="1064" spans="4:4">
      <c r="D1064"/>
    </row>
    <row r="1065" spans="4:4">
      <c r="D1065"/>
    </row>
    <row r="1066" spans="4:4">
      <c r="D1066"/>
    </row>
    <row r="1067" spans="4:4">
      <c r="D1067"/>
    </row>
    <row r="1068" spans="4:4">
      <c r="D1068"/>
    </row>
    <row r="1069" spans="4:4">
      <c r="D1069"/>
    </row>
    <row r="1070" spans="4:4">
      <c r="D1070"/>
    </row>
    <row r="1071" spans="4:4">
      <c r="D1071"/>
    </row>
    <row r="1072" spans="4:4">
      <c r="D1072"/>
    </row>
    <row r="1073" spans="4:4">
      <c r="D1073"/>
    </row>
    <row r="1074" spans="4:4">
      <c r="D1074"/>
    </row>
    <row r="1075" spans="4:4">
      <c r="D1075"/>
    </row>
    <row r="1076" spans="4:4">
      <c r="D1076"/>
    </row>
    <row r="1077" spans="4:4">
      <c r="D1077"/>
    </row>
    <row r="1078" spans="4:4">
      <c r="D1078"/>
    </row>
    <row r="1079" spans="4:4">
      <c r="D1079"/>
    </row>
    <row r="1080" spans="4:4">
      <c r="D1080"/>
    </row>
    <row r="1081" spans="4:4">
      <c r="D1081"/>
    </row>
    <row r="1082" spans="4:4">
      <c r="D1082"/>
    </row>
    <row r="1083" spans="4:4">
      <c r="D1083"/>
    </row>
    <row r="1084" spans="4:4">
      <c r="D1084"/>
    </row>
    <row r="1085" spans="4:4">
      <c r="D1085"/>
    </row>
    <row r="1086" spans="4:4">
      <c r="D1086"/>
    </row>
    <row r="1087" spans="4:4">
      <c r="D1087"/>
    </row>
    <row r="1088" spans="4:4">
      <c r="D1088"/>
    </row>
    <row r="1089" spans="4:4">
      <c r="D1089"/>
    </row>
    <row r="1090" spans="4:4">
      <c r="D1090"/>
    </row>
    <row r="1091" spans="4:4">
      <c r="D1091"/>
    </row>
    <row r="1092" spans="4:4">
      <c r="D1092"/>
    </row>
    <row r="1093" spans="4:4">
      <c r="D1093"/>
    </row>
    <row r="1094" spans="4:4">
      <c r="D1094"/>
    </row>
    <row r="1095" spans="4:4">
      <c r="D1095"/>
    </row>
    <row r="1096" spans="4:4">
      <c r="D1096"/>
    </row>
    <row r="1097" spans="4:4">
      <c r="D1097"/>
    </row>
    <row r="1098" spans="4:4">
      <c r="D1098"/>
    </row>
    <row r="1099" spans="4:4">
      <c r="D1099"/>
    </row>
    <row r="1100" spans="4:4">
      <c r="D1100"/>
    </row>
    <row r="1101" spans="4:4">
      <c r="D1101"/>
    </row>
    <row r="1102" spans="4:4">
      <c r="D1102"/>
    </row>
    <row r="1103" spans="4:4">
      <c r="D1103"/>
    </row>
    <row r="1104" spans="4:4">
      <c r="D1104"/>
    </row>
    <row r="1105" spans="4:4">
      <c r="D1105"/>
    </row>
    <row r="1106" spans="4:4">
      <c r="D1106"/>
    </row>
    <row r="1107" spans="4:4">
      <c r="D1107"/>
    </row>
    <row r="1108" spans="4:4">
      <c r="D1108"/>
    </row>
    <row r="1109" spans="4:4">
      <c r="D1109"/>
    </row>
    <row r="1110" spans="4:4">
      <c r="D1110"/>
    </row>
    <row r="1111" spans="4:4">
      <c r="D1111"/>
    </row>
    <row r="1112" spans="4:4">
      <c r="D1112"/>
    </row>
    <row r="1113" spans="4:4">
      <c r="D1113"/>
    </row>
    <row r="1114" spans="4:4">
      <c r="D1114"/>
    </row>
    <row r="1115" spans="4:4">
      <c r="D1115"/>
    </row>
    <row r="1116" spans="4:4">
      <c r="D1116"/>
    </row>
    <row r="1117" spans="4:4">
      <c r="D1117"/>
    </row>
    <row r="1118" spans="4:4">
      <c r="D1118"/>
    </row>
    <row r="1119" spans="4:4">
      <c r="D1119"/>
    </row>
    <row r="1120" spans="4:4">
      <c r="D1120"/>
    </row>
    <row r="1121" spans="4:4">
      <c r="D1121"/>
    </row>
    <row r="1122" spans="4:4">
      <c r="D1122"/>
    </row>
    <row r="1123" spans="4:4">
      <c r="D1123"/>
    </row>
    <row r="1124" spans="4:4">
      <c r="D1124"/>
    </row>
    <row r="1125" spans="4:4">
      <c r="D1125"/>
    </row>
    <row r="1126" spans="4:4">
      <c r="D1126"/>
    </row>
    <row r="1127" spans="4:4">
      <c r="D1127"/>
    </row>
    <row r="1128" spans="4:4">
      <c r="D1128"/>
    </row>
    <row r="1129" spans="4:4">
      <c r="D1129"/>
    </row>
    <row r="1130" spans="4:4">
      <c r="D1130"/>
    </row>
    <row r="1131" spans="4:4">
      <c r="D1131"/>
    </row>
    <row r="1132" spans="4:4">
      <c r="D1132"/>
    </row>
    <row r="1133" spans="4:4">
      <c r="D1133"/>
    </row>
    <row r="1134" spans="4:4">
      <c r="D1134"/>
    </row>
    <row r="1135" spans="4:4">
      <c r="D1135"/>
    </row>
    <row r="1136" spans="4:4">
      <c r="D1136"/>
    </row>
    <row r="1137" spans="4:4">
      <c r="D1137"/>
    </row>
    <row r="1138" spans="4:4">
      <c r="D1138"/>
    </row>
    <row r="1139" spans="4:4">
      <c r="D1139"/>
    </row>
    <row r="1140" spans="4:4">
      <c r="D1140"/>
    </row>
    <row r="1141" spans="4:4">
      <c r="D1141"/>
    </row>
    <row r="1142" spans="4:4">
      <c r="D1142"/>
    </row>
    <row r="1143" spans="4:4">
      <c r="D1143"/>
    </row>
    <row r="1144" spans="4:4">
      <c r="D1144"/>
    </row>
    <row r="1145" spans="4:4">
      <c r="D1145"/>
    </row>
    <row r="1146" spans="4:4">
      <c r="D1146"/>
    </row>
    <row r="1147" spans="4:4">
      <c r="D1147"/>
    </row>
    <row r="1148" spans="4:4">
      <c r="D1148"/>
    </row>
    <row r="1149" spans="4:4">
      <c r="D1149"/>
    </row>
    <row r="1150" spans="4:4">
      <c r="D1150"/>
    </row>
    <row r="1151" spans="4:4">
      <c r="D1151"/>
    </row>
    <row r="1152" spans="4:4">
      <c r="D1152"/>
    </row>
    <row r="1153" spans="4:4">
      <c r="D1153"/>
    </row>
    <row r="1154" spans="4:4">
      <c r="D1154"/>
    </row>
    <row r="1155" spans="4:4">
      <c r="D1155"/>
    </row>
    <row r="1156" spans="4:4">
      <c r="D1156"/>
    </row>
    <row r="1157" spans="4:4">
      <c r="D1157"/>
    </row>
    <row r="1158" spans="4:4">
      <c r="D1158"/>
    </row>
    <row r="1159" spans="4:4">
      <c r="D1159"/>
    </row>
    <row r="1160" spans="4:4">
      <c r="D1160"/>
    </row>
    <row r="1161" spans="4:4">
      <c r="D1161"/>
    </row>
    <row r="1162" spans="4:4">
      <c r="D1162"/>
    </row>
    <row r="1163" spans="4:4">
      <c r="D1163"/>
    </row>
    <row r="1164" spans="4:4">
      <c r="D1164"/>
    </row>
    <row r="1165" spans="4:4">
      <c r="D1165"/>
    </row>
    <row r="1166" spans="4:4">
      <c r="D1166"/>
    </row>
    <row r="1167" spans="4:4">
      <c r="D1167"/>
    </row>
    <row r="1168" spans="4:4">
      <c r="D1168"/>
    </row>
    <row r="1169" spans="4:4">
      <c r="D1169"/>
    </row>
    <row r="1170" spans="4:4">
      <c r="D1170"/>
    </row>
    <row r="1171" spans="4:4">
      <c r="D1171"/>
    </row>
    <row r="1172" spans="4:4">
      <c r="D1172"/>
    </row>
    <row r="1173" spans="4:4">
      <c r="D1173"/>
    </row>
    <row r="1174" spans="4:4">
      <c r="D1174"/>
    </row>
    <row r="1175" spans="4:4">
      <c r="D1175"/>
    </row>
    <row r="1176" spans="4:4">
      <c r="D1176"/>
    </row>
    <row r="1177" spans="4:4">
      <c r="D1177"/>
    </row>
    <row r="1178" spans="4:4">
      <c r="D1178"/>
    </row>
    <row r="1179" spans="4:4">
      <c r="D1179"/>
    </row>
    <row r="1180" spans="4:4">
      <c r="D1180"/>
    </row>
    <row r="1181" spans="4:4">
      <c r="D1181"/>
    </row>
    <row r="1182" spans="4:4">
      <c r="D1182"/>
    </row>
    <row r="1183" spans="4:4">
      <c r="D1183"/>
    </row>
    <row r="1184" spans="4:4">
      <c r="D1184"/>
    </row>
    <row r="1185" spans="4:4">
      <c r="D1185"/>
    </row>
    <row r="1186" spans="4:4">
      <c r="D1186"/>
    </row>
    <row r="1187" spans="4:4">
      <c r="D1187"/>
    </row>
    <row r="1188" spans="4:4">
      <c r="D1188"/>
    </row>
    <row r="1189" spans="4:4">
      <c r="D1189"/>
    </row>
    <row r="1190" spans="4:4">
      <c r="D1190"/>
    </row>
    <row r="1191" spans="4:4">
      <c r="D1191"/>
    </row>
    <row r="1192" spans="4:4">
      <c r="D1192"/>
    </row>
    <row r="1193" spans="4:4">
      <c r="D1193"/>
    </row>
    <row r="1194" spans="4:4">
      <c r="D1194"/>
    </row>
    <row r="1195" spans="4:4">
      <c r="D1195"/>
    </row>
    <row r="1196" spans="4:4">
      <c r="D1196"/>
    </row>
    <row r="1197" spans="4:4">
      <c r="D1197"/>
    </row>
    <row r="1198" spans="4:4">
      <c r="D1198"/>
    </row>
    <row r="1199" spans="4:4">
      <c r="D1199"/>
    </row>
    <row r="1200" spans="4:4">
      <c r="D1200"/>
    </row>
    <row r="1201" spans="4:4">
      <c r="D1201"/>
    </row>
    <row r="1202" spans="4:4">
      <c r="D1202"/>
    </row>
    <row r="1203" spans="4:4">
      <c r="D1203"/>
    </row>
    <row r="1204" spans="4:4">
      <c r="D1204"/>
    </row>
    <row r="1205" spans="4:4">
      <c r="D1205"/>
    </row>
    <row r="1206" spans="4:4">
      <c r="D1206"/>
    </row>
    <row r="1207" spans="4:4">
      <c r="D1207"/>
    </row>
    <row r="1208" spans="4:4">
      <c r="D1208"/>
    </row>
    <row r="1209" spans="4:4">
      <c r="D1209"/>
    </row>
    <row r="1210" spans="4:4">
      <c r="D1210"/>
    </row>
    <row r="1211" spans="4:4">
      <c r="D1211"/>
    </row>
    <row r="1212" spans="4:4">
      <c r="D1212"/>
    </row>
    <row r="1213" spans="4:4">
      <c r="D1213"/>
    </row>
    <row r="1214" spans="4:4">
      <c r="D1214"/>
    </row>
    <row r="1215" spans="4:4">
      <c r="D1215"/>
    </row>
    <row r="1216" spans="4:4">
      <c r="D1216"/>
    </row>
    <row r="1217" spans="4:4">
      <c r="D1217"/>
    </row>
    <row r="1218" spans="4:4">
      <c r="D1218"/>
    </row>
    <row r="1219" spans="4:4">
      <c r="D1219"/>
    </row>
    <row r="1220" spans="4:4">
      <c r="D1220"/>
    </row>
    <row r="1221" spans="4:4">
      <c r="D1221"/>
    </row>
    <row r="1222" spans="4:4">
      <c r="D1222"/>
    </row>
    <row r="1223" spans="4:4">
      <c r="D1223"/>
    </row>
    <row r="1224" spans="4:4">
      <c r="D1224"/>
    </row>
    <row r="1225" spans="4:4">
      <c r="D1225"/>
    </row>
    <row r="1226" spans="4:4">
      <c r="D1226"/>
    </row>
    <row r="1227" spans="4:4">
      <c r="D1227"/>
    </row>
    <row r="1228" spans="4:4">
      <c r="D1228"/>
    </row>
    <row r="1229" spans="4:4">
      <c r="D1229"/>
    </row>
    <row r="1230" spans="4:4">
      <c r="D1230"/>
    </row>
    <row r="1231" spans="4:4">
      <c r="D1231"/>
    </row>
    <row r="1232" spans="4:4">
      <c r="D1232"/>
    </row>
    <row r="1233" spans="4:4">
      <c r="D1233"/>
    </row>
    <row r="1234" spans="4:4">
      <c r="D1234"/>
    </row>
    <row r="1235" spans="4:4">
      <c r="D1235"/>
    </row>
    <row r="1236" spans="4:4">
      <c r="D1236"/>
    </row>
    <row r="1237" spans="4:4">
      <c r="D1237"/>
    </row>
    <row r="1238" spans="4:4">
      <c r="D1238"/>
    </row>
    <row r="1239" spans="4:4">
      <c r="D1239"/>
    </row>
    <row r="1240" spans="4:4">
      <c r="D1240"/>
    </row>
    <row r="1241" spans="4:4">
      <c r="D1241"/>
    </row>
    <row r="1242" spans="4:4">
      <c r="D1242"/>
    </row>
    <row r="1243" spans="4:4">
      <c r="D1243"/>
    </row>
    <row r="1244" spans="4:4">
      <c r="D1244"/>
    </row>
    <row r="1245" spans="4:4">
      <c r="D1245"/>
    </row>
    <row r="1246" spans="4:4">
      <c r="D1246"/>
    </row>
    <row r="1247" spans="4:4">
      <c r="D1247"/>
    </row>
    <row r="1248" spans="4:4">
      <c r="D1248"/>
    </row>
    <row r="1249" spans="4:4">
      <c r="D1249"/>
    </row>
    <row r="1250" spans="4:4">
      <c r="D1250"/>
    </row>
    <row r="1251" spans="4:4">
      <c r="D1251"/>
    </row>
    <row r="1252" spans="4:4">
      <c r="D1252"/>
    </row>
    <row r="1253" spans="4:4">
      <c r="D1253"/>
    </row>
    <row r="1254" spans="4:4">
      <c r="D1254"/>
    </row>
    <row r="1255" spans="4:4">
      <c r="D1255"/>
    </row>
    <row r="1256" spans="4:4">
      <c r="D1256"/>
    </row>
    <row r="1257" spans="4:4">
      <c r="D1257"/>
    </row>
    <row r="1258" spans="4:4">
      <c r="D1258"/>
    </row>
    <row r="1259" spans="4:4">
      <c r="D1259"/>
    </row>
    <row r="1260" spans="4:4">
      <c r="D1260"/>
    </row>
    <row r="1261" spans="4:4">
      <c r="D1261"/>
    </row>
    <row r="1262" spans="4:4">
      <c r="D1262"/>
    </row>
    <row r="1263" spans="4:4">
      <c r="D1263"/>
    </row>
    <row r="1264" spans="4:4">
      <c r="D1264"/>
    </row>
    <row r="1265" spans="4:4">
      <c r="D1265"/>
    </row>
    <row r="1266" spans="4:4">
      <c r="D1266"/>
    </row>
    <row r="1267" spans="4:4">
      <c r="D1267"/>
    </row>
    <row r="1268" spans="4:4">
      <c r="D1268"/>
    </row>
    <row r="1269" spans="4:4">
      <c r="D1269"/>
    </row>
    <row r="1270" spans="4:4">
      <c r="D1270"/>
    </row>
    <row r="1271" spans="4:4">
      <c r="D1271"/>
    </row>
    <row r="1272" spans="4:4">
      <c r="D1272"/>
    </row>
    <row r="1273" spans="4:4">
      <c r="D1273"/>
    </row>
    <row r="1274" spans="4:4">
      <c r="D1274"/>
    </row>
    <row r="1275" spans="4:4">
      <c r="D1275"/>
    </row>
    <row r="1276" spans="4:4">
      <c r="D1276"/>
    </row>
    <row r="1277" spans="4:4">
      <c r="D1277"/>
    </row>
    <row r="1278" spans="4:4">
      <c r="D1278"/>
    </row>
    <row r="1279" spans="4:4">
      <c r="D1279"/>
    </row>
    <row r="1280" spans="4:4">
      <c r="D1280"/>
    </row>
    <row r="1281" spans="4:4">
      <c r="D1281"/>
    </row>
    <row r="1282" spans="4:4">
      <c r="D1282"/>
    </row>
    <row r="1283" spans="4:4">
      <c r="D1283"/>
    </row>
    <row r="1284" spans="4:4">
      <c r="D1284"/>
    </row>
    <row r="1285" spans="4:4">
      <c r="D1285"/>
    </row>
    <row r="1286" spans="4:4">
      <c r="D1286"/>
    </row>
    <row r="1287" spans="4:4">
      <c r="D1287"/>
    </row>
    <row r="1288" spans="4:4">
      <c r="D1288"/>
    </row>
    <row r="1289" spans="4:4">
      <c r="D1289"/>
    </row>
    <row r="1290" spans="4:4">
      <c r="D1290"/>
    </row>
    <row r="1291" spans="4:4">
      <c r="D1291"/>
    </row>
    <row r="1292" spans="4:4">
      <c r="D1292"/>
    </row>
    <row r="1293" spans="4:4">
      <c r="D1293"/>
    </row>
    <row r="1294" spans="4:4">
      <c r="D1294"/>
    </row>
    <row r="1295" spans="4:4">
      <c r="D1295"/>
    </row>
    <row r="1296" spans="4:4">
      <c r="D1296"/>
    </row>
    <row r="1297" spans="4:4">
      <c r="D1297"/>
    </row>
    <row r="1298" spans="4:4">
      <c r="D1298"/>
    </row>
    <row r="1299" spans="4:4">
      <c r="D1299"/>
    </row>
    <row r="1300" spans="4:4">
      <c r="D1300"/>
    </row>
    <row r="1301" spans="4:4">
      <c r="D1301"/>
    </row>
    <row r="1302" spans="4:4">
      <c r="D1302"/>
    </row>
    <row r="1303" spans="4:4">
      <c r="D1303"/>
    </row>
    <row r="1304" spans="4:4">
      <c r="D1304"/>
    </row>
    <row r="1305" spans="4:4">
      <c r="D1305"/>
    </row>
    <row r="1306" spans="4:4">
      <c r="D1306"/>
    </row>
    <row r="1307" spans="4:4">
      <c r="D1307"/>
    </row>
    <row r="1308" spans="4:4">
      <c r="D1308"/>
    </row>
    <row r="1309" spans="4:4">
      <c r="D1309"/>
    </row>
    <row r="1310" spans="4:4">
      <c r="D1310"/>
    </row>
    <row r="1311" spans="4:4">
      <c r="D1311"/>
    </row>
    <row r="1312" spans="4:4">
      <c r="D1312"/>
    </row>
    <row r="1313" spans="4:4">
      <c r="D1313"/>
    </row>
    <row r="1314" spans="4:4">
      <c r="D1314"/>
    </row>
    <row r="1315" spans="4:4">
      <c r="D1315"/>
    </row>
    <row r="1316" spans="4:4">
      <c r="D1316"/>
    </row>
    <row r="1317" spans="4:4">
      <c r="D1317"/>
    </row>
    <row r="1318" spans="4:4">
      <c r="D1318"/>
    </row>
    <row r="1319" spans="4:4">
      <c r="D1319"/>
    </row>
    <row r="1320" spans="4:4">
      <c r="D1320"/>
    </row>
    <row r="1321" spans="4:4">
      <c r="D1321"/>
    </row>
    <row r="1322" spans="4:4">
      <c r="D1322"/>
    </row>
    <row r="1323" spans="4:4">
      <c r="D1323"/>
    </row>
    <row r="1324" spans="4:4">
      <c r="D1324"/>
    </row>
    <row r="1325" spans="4:4">
      <c r="D1325"/>
    </row>
    <row r="1326" spans="4:4">
      <c r="D1326"/>
    </row>
    <row r="1327" spans="4:4">
      <c r="D1327"/>
    </row>
    <row r="1328" spans="4:4">
      <c r="D1328"/>
    </row>
    <row r="1329" spans="4:4">
      <c r="D1329"/>
    </row>
    <row r="1330" spans="4:4">
      <c r="D1330"/>
    </row>
    <row r="1331" spans="4:4">
      <c r="D1331"/>
    </row>
    <row r="1332" spans="4:4">
      <c r="D1332"/>
    </row>
    <row r="1333" spans="4:4">
      <c r="D1333"/>
    </row>
    <row r="1334" spans="4:4">
      <c r="D1334"/>
    </row>
    <row r="1335" spans="4:4">
      <c r="D1335"/>
    </row>
    <row r="1336" spans="4:4">
      <c r="D1336"/>
    </row>
    <row r="1337" spans="4:4">
      <c r="D1337"/>
    </row>
    <row r="1338" spans="4:4">
      <c r="D1338"/>
    </row>
    <row r="1339" spans="4:4">
      <c r="D1339"/>
    </row>
    <row r="1340" spans="4:4">
      <c r="D1340"/>
    </row>
    <row r="1341" spans="4:4">
      <c r="D1341"/>
    </row>
    <row r="1342" spans="4:4">
      <c r="D1342"/>
    </row>
    <row r="1343" spans="4:4">
      <c r="D1343"/>
    </row>
    <row r="1344" spans="4:4">
      <c r="D1344"/>
    </row>
    <row r="1345" spans="4:4">
      <c r="D1345"/>
    </row>
    <row r="1346" spans="4:4">
      <c r="D1346"/>
    </row>
    <row r="1347" spans="4:4">
      <c r="D1347"/>
    </row>
    <row r="1348" spans="4:4">
      <c r="D1348"/>
    </row>
    <row r="1349" spans="4:4">
      <c r="D1349"/>
    </row>
    <row r="1350" spans="4:4">
      <c r="D1350"/>
    </row>
    <row r="1351" spans="4:4">
      <c r="D1351"/>
    </row>
    <row r="1352" spans="4:4">
      <c r="D1352"/>
    </row>
    <row r="1353" spans="4:4">
      <c r="D1353"/>
    </row>
    <row r="1354" spans="4:4">
      <c r="D1354"/>
    </row>
    <row r="1355" spans="4:4">
      <c r="D1355"/>
    </row>
    <row r="1356" spans="4:4">
      <c r="D1356"/>
    </row>
    <row r="1357" spans="4:4">
      <c r="D1357"/>
    </row>
    <row r="1358" spans="4:4">
      <c r="D1358"/>
    </row>
    <row r="1359" spans="4:4">
      <c r="D1359"/>
    </row>
    <row r="1360" spans="4:4">
      <c r="D1360"/>
    </row>
    <row r="1361" spans="4:4">
      <c r="D1361"/>
    </row>
    <row r="1362" spans="4:4">
      <c r="D1362"/>
    </row>
    <row r="1363" spans="4:4">
      <c r="D1363"/>
    </row>
    <row r="1364" spans="4:4">
      <c r="D1364"/>
    </row>
    <row r="1365" spans="4:4">
      <c r="D1365"/>
    </row>
    <row r="1366" spans="4:4">
      <c r="D1366"/>
    </row>
    <row r="1367" spans="4:4">
      <c r="D1367"/>
    </row>
    <row r="1368" spans="4:4">
      <c r="D1368"/>
    </row>
    <row r="1369" spans="4:4">
      <c r="D1369"/>
    </row>
    <row r="1370" spans="4:4">
      <c r="D1370"/>
    </row>
    <row r="1371" spans="4:4">
      <c r="D1371"/>
    </row>
    <row r="1372" spans="4:4">
      <c r="D1372"/>
    </row>
    <row r="1373" spans="4:4">
      <c r="D1373"/>
    </row>
    <row r="1374" spans="4:4">
      <c r="D1374"/>
    </row>
    <row r="1375" spans="4:4">
      <c r="D1375"/>
    </row>
    <row r="1376" spans="4:4">
      <c r="D1376"/>
    </row>
    <row r="1377" spans="4:4">
      <c r="D1377"/>
    </row>
    <row r="1378" spans="4:4">
      <c r="D1378"/>
    </row>
    <row r="1379" spans="4:4">
      <c r="D1379"/>
    </row>
    <row r="1380" spans="4:4">
      <c r="D1380"/>
    </row>
    <row r="1381" spans="4:4">
      <c r="D1381"/>
    </row>
    <row r="1382" spans="4:4">
      <c r="D1382"/>
    </row>
    <row r="1383" spans="4:4">
      <c r="D1383"/>
    </row>
    <row r="1384" spans="4:4">
      <c r="D1384"/>
    </row>
    <row r="1385" spans="4:4">
      <c r="D1385"/>
    </row>
    <row r="1386" spans="4:4">
      <c r="D1386"/>
    </row>
    <row r="1387" spans="4:4">
      <c r="D1387"/>
    </row>
    <row r="1388" spans="4:4">
      <c r="D1388"/>
    </row>
    <row r="1389" spans="4:4">
      <c r="D1389"/>
    </row>
    <row r="1390" spans="4:4">
      <c r="D1390"/>
    </row>
    <row r="1391" spans="4:4">
      <c r="D1391"/>
    </row>
    <row r="1392" spans="4:4">
      <c r="D1392"/>
    </row>
    <row r="1393" spans="4:4">
      <c r="D1393"/>
    </row>
    <row r="1394" spans="4:4">
      <c r="D1394"/>
    </row>
    <row r="1395" spans="4:4">
      <c r="D1395"/>
    </row>
    <row r="1396" spans="4:4">
      <c r="D1396"/>
    </row>
    <row r="1397" spans="4:4">
      <c r="D1397"/>
    </row>
    <row r="1398" spans="4:4">
      <c r="D1398"/>
    </row>
    <row r="1399" spans="4:4">
      <c r="D1399"/>
    </row>
    <row r="1400" spans="4:4">
      <c r="D1400"/>
    </row>
    <row r="1401" spans="4:4">
      <c r="D1401"/>
    </row>
    <row r="1402" spans="4:4">
      <c r="D1402"/>
    </row>
    <row r="1403" spans="4:4">
      <c r="D1403"/>
    </row>
    <row r="1404" spans="4:4">
      <c r="D1404"/>
    </row>
    <row r="1405" spans="4:4">
      <c r="D1405"/>
    </row>
    <row r="1406" spans="4:4">
      <c r="D1406"/>
    </row>
    <row r="1407" spans="4:4">
      <c r="D1407"/>
    </row>
    <row r="1408" spans="4:4">
      <c r="D1408"/>
    </row>
    <row r="1409" spans="4:4">
      <c r="D1409"/>
    </row>
    <row r="1410" spans="4:4">
      <c r="D1410"/>
    </row>
    <row r="1411" spans="4:4">
      <c r="D1411"/>
    </row>
    <row r="1412" spans="4:4">
      <c r="D1412"/>
    </row>
    <row r="1413" spans="4:4">
      <c r="D1413"/>
    </row>
    <row r="1414" spans="4:4">
      <c r="D1414"/>
    </row>
    <row r="1415" spans="4:4">
      <c r="D1415"/>
    </row>
    <row r="1416" spans="4:4">
      <c r="D1416"/>
    </row>
    <row r="1417" spans="4:4">
      <c r="D1417"/>
    </row>
    <row r="1418" spans="4:4">
      <c r="D1418"/>
    </row>
    <row r="1419" spans="4:4">
      <c r="D1419"/>
    </row>
    <row r="1420" spans="4:4">
      <c r="D1420"/>
    </row>
    <row r="1421" spans="4:4">
      <c r="D1421"/>
    </row>
    <row r="1422" spans="4:4">
      <c r="D1422"/>
    </row>
    <row r="1423" spans="4:4">
      <c r="D1423"/>
    </row>
    <row r="1424" spans="4:4">
      <c r="D1424"/>
    </row>
    <row r="1425" spans="4:4">
      <c r="D1425"/>
    </row>
    <row r="1426" spans="4:4">
      <c r="D1426"/>
    </row>
    <row r="1427" spans="4:4">
      <c r="D1427"/>
    </row>
    <row r="1428" spans="4:4">
      <c r="D1428"/>
    </row>
    <row r="1429" spans="4:4">
      <c r="D1429"/>
    </row>
    <row r="1430" spans="4:4">
      <c r="D1430"/>
    </row>
    <row r="1431" spans="4:4">
      <c r="D1431"/>
    </row>
    <row r="1432" spans="4:4">
      <c r="D1432"/>
    </row>
    <row r="1433" spans="4:4">
      <c r="D1433"/>
    </row>
    <row r="1434" spans="4:4">
      <c r="D1434"/>
    </row>
    <row r="1435" spans="4:4">
      <c r="D1435"/>
    </row>
    <row r="1436" spans="4:4">
      <c r="D1436"/>
    </row>
    <row r="1437" spans="4:4">
      <c r="D1437"/>
    </row>
    <row r="1438" spans="4:4">
      <c r="D1438"/>
    </row>
    <row r="1439" spans="4:4">
      <c r="D1439"/>
    </row>
    <row r="1440" spans="4:4">
      <c r="D1440"/>
    </row>
    <row r="1441" spans="4:4">
      <c r="D1441"/>
    </row>
    <row r="1442" spans="4:4">
      <c r="D1442"/>
    </row>
    <row r="1443" spans="4:4">
      <c r="D1443"/>
    </row>
    <row r="1444" spans="4:4">
      <c r="D1444"/>
    </row>
    <row r="1445" spans="4:4">
      <c r="D1445"/>
    </row>
    <row r="1446" spans="4:4">
      <c r="D1446"/>
    </row>
    <row r="1447" spans="4:4">
      <c r="D1447"/>
    </row>
    <row r="1448" spans="4:4">
      <c r="D1448"/>
    </row>
    <row r="1449" spans="4:4">
      <c r="D1449"/>
    </row>
    <row r="1450" spans="4:4">
      <c r="D1450"/>
    </row>
    <row r="1451" spans="4:4">
      <c r="D1451"/>
    </row>
    <row r="1452" spans="4:4">
      <c r="D1452"/>
    </row>
    <row r="1453" spans="4:4">
      <c r="D1453"/>
    </row>
    <row r="1454" spans="4:4">
      <c r="D1454"/>
    </row>
    <row r="1455" spans="4:4">
      <c r="D1455"/>
    </row>
    <row r="1456" spans="4:4">
      <c r="D1456"/>
    </row>
    <row r="1457" spans="4:4">
      <c r="D1457"/>
    </row>
    <row r="1458" spans="4:4">
      <c r="D1458"/>
    </row>
    <row r="1459" spans="4:4">
      <c r="D1459"/>
    </row>
    <row r="1460" spans="4:4">
      <c r="D1460"/>
    </row>
    <row r="1461" spans="4:4">
      <c r="D1461"/>
    </row>
    <row r="1462" spans="4:4">
      <c r="D1462"/>
    </row>
    <row r="1463" spans="4:4">
      <c r="D1463"/>
    </row>
    <row r="1464" spans="4:4">
      <c r="D1464"/>
    </row>
    <row r="1465" spans="4:4">
      <c r="D1465"/>
    </row>
    <row r="1466" spans="4:4">
      <c r="D1466"/>
    </row>
    <row r="1467" spans="4:4">
      <c r="D1467"/>
    </row>
    <row r="1468" spans="4:4">
      <c r="D1468"/>
    </row>
    <row r="1469" spans="4:4">
      <c r="D1469"/>
    </row>
    <row r="1470" spans="4:4">
      <c r="D1470"/>
    </row>
    <row r="1471" spans="4:4">
      <c r="D1471"/>
    </row>
    <row r="1472" spans="4:4">
      <c r="D1472"/>
    </row>
    <row r="1473" spans="4:4">
      <c r="D1473"/>
    </row>
    <row r="1474" spans="4:4">
      <c r="D1474"/>
    </row>
    <row r="1475" spans="4:4">
      <c r="D1475"/>
    </row>
    <row r="1476" spans="4:4">
      <c r="D1476"/>
    </row>
    <row r="1477" spans="4:4">
      <c r="D1477"/>
    </row>
    <row r="1478" spans="4:4">
      <c r="D1478"/>
    </row>
    <row r="1479" spans="4:4">
      <c r="D1479"/>
    </row>
    <row r="1480" spans="4:4">
      <c r="D1480"/>
    </row>
    <row r="1481" spans="4:4">
      <c r="D1481"/>
    </row>
    <row r="1482" spans="4:4">
      <c r="D1482"/>
    </row>
    <row r="1483" spans="4:4">
      <c r="D1483"/>
    </row>
    <row r="1484" spans="4:4">
      <c r="D1484"/>
    </row>
    <row r="1485" spans="4:4">
      <c r="D1485"/>
    </row>
    <row r="1486" spans="4:4">
      <c r="D1486"/>
    </row>
    <row r="1487" spans="4:4">
      <c r="D1487"/>
    </row>
    <row r="1488" spans="4:4">
      <c r="D1488"/>
    </row>
    <row r="1489" spans="4:4">
      <c r="D1489"/>
    </row>
    <row r="1490" spans="4:4">
      <c r="D1490"/>
    </row>
    <row r="1491" spans="4:4">
      <c r="D1491"/>
    </row>
    <row r="1492" spans="4:4">
      <c r="D1492"/>
    </row>
    <row r="1493" spans="4:4">
      <c r="D1493"/>
    </row>
    <row r="1494" spans="4:4">
      <c r="D1494"/>
    </row>
    <row r="1495" spans="4:4">
      <c r="D1495"/>
    </row>
    <row r="1496" spans="4:4">
      <c r="D1496"/>
    </row>
    <row r="1497" spans="4:4">
      <c r="D1497"/>
    </row>
    <row r="1498" spans="4:4">
      <c r="D1498"/>
    </row>
    <row r="1499" spans="4:4">
      <c r="D1499"/>
    </row>
    <row r="1500" spans="4:4">
      <c r="D1500"/>
    </row>
    <row r="1501" spans="4:4">
      <c r="D1501"/>
    </row>
    <row r="1502" spans="4:4">
      <c r="D1502"/>
    </row>
    <row r="1503" spans="4:4">
      <c r="D1503"/>
    </row>
    <row r="1504" spans="4:4">
      <c r="D1504"/>
    </row>
    <row r="1505" spans="4:4">
      <c r="D1505"/>
    </row>
    <row r="1506" spans="4:4">
      <c r="D1506"/>
    </row>
    <row r="1507" spans="4:4">
      <c r="D1507"/>
    </row>
    <row r="1508" spans="4:4">
      <c r="D1508"/>
    </row>
    <row r="1509" spans="4:4">
      <c r="D1509"/>
    </row>
    <row r="1510" spans="4:4">
      <c r="D1510"/>
    </row>
    <row r="1511" spans="4:4">
      <c r="D1511"/>
    </row>
    <row r="1512" spans="4:4">
      <c r="D1512"/>
    </row>
    <row r="1513" spans="4:4">
      <c r="D1513"/>
    </row>
    <row r="1514" spans="4:4">
      <c r="D1514"/>
    </row>
    <row r="1515" spans="4:4">
      <c r="D1515"/>
    </row>
    <row r="1516" spans="4:4">
      <c r="D1516"/>
    </row>
    <row r="1517" spans="4:4">
      <c r="D1517"/>
    </row>
    <row r="1518" spans="4:4">
      <c r="D1518"/>
    </row>
    <row r="1519" spans="4:4">
      <c r="D1519"/>
    </row>
    <row r="1520" spans="4:4">
      <c r="D1520"/>
    </row>
    <row r="1521" spans="4:4">
      <c r="D1521"/>
    </row>
    <row r="1522" spans="4:4">
      <c r="D1522"/>
    </row>
    <row r="1523" spans="4:4">
      <c r="D1523"/>
    </row>
    <row r="1524" spans="4:4">
      <c r="D1524"/>
    </row>
    <row r="1525" spans="4:4">
      <c r="D1525"/>
    </row>
    <row r="1526" spans="4:4">
      <c r="D1526"/>
    </row>
    <row r="1527" spans="4:4">
      <c r="D1527"/>
    </row>
    <row r="1528" spans="4:4">
      <c r="D1528"/>
    </row>
    <row r="1529" spans="4:4">
      <c r="D1529"/>
    </row>
  </sheetData>
  <pageMargins left="0.25" right="0.25" top="0.75" bottom="0.75" header="0.3" footer="0.3"/>
  <pageSetup paperSize="8" orientation="landscape" r:id="rId2"/>
  <rowBreaks count="1" manualBreakCount="1">
    <brk id="54" max="17" man="1"/>
  </rowBreaks>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7CA3E-9607-4A78-82FA-634662151D67}">
  <sheetPr codeName="Sheet10"/>
  <dimension ref="A1:H713"/>
  <sheetViews>
    <sheetView workbookViewId="0">
      <selection activeCell="E15" sqref="E15"/>
    </sheetView>
  </sheetViews>
  <sheetFormatPr defaultRowHeight="15"/>
  <cols>
    <col min="1" max="1" width="19" bestFit="1" customWidth="1"/>
    <col min="2" max="2" width="12" bestFit="1" customWidth="1"/>
    <col min="3" max="3" width="6" bestFit="1" customWidth="1"/>
    <col min="4" max="4" width="5.5703125" bestFit="1" customWidth="1"/>
    <col min="5" max="5" width="37.42578125" bestFit="1" customWidth="1"/>
    <col min="6" max="6" width="16.42578125" style="105" bestFit="1" customWidth="1"/>
    <col min="7" max="7" width="21.5703125" style="105" bestFit="1" customWidth="1"/>
    <col min="8" max="8" width="56.42578125" bestFit="1" customWidth="1"/>
  </cols>
  <sheetData>
    <row r="1" spans="1:7">
      <c r="A1" t="s">
        <v>134</v>
      </c>
      <c r="B1" t="s">
        <v>135</v>
      </c>
      <c r="C1" t="s">
        <v>136</v>
      </c>
      <c r="D1" t="s">
        <v>137</v>
      </c>
      <c r="E1" t="s">
        <v>138</v>
      </c>
      <c r="F1" s="105" t="s">
        <v>139</v>
      </c>
      <c r="G1" s="105" t="s">
        <v>140</v>
      </c>
    </row>
    <row r="2" spans="1:7">
      <c r="A2">
        <v>240201</v>
      </c>
      <c r="E2" t="s">
        <v>141</v>
      </c>
      <c r="F2" s="105">
        <v>89466930</v>
      </c>
      <c r="G2" s="105" t="s">
        <v>142</v>
      </c>
    </row>
    <row r="3" spans="1:7">
      <c r="A3">
        <v>240202</v>
      </c>
      <c r="E3" t="s">
        <v>143</v>
      </c>
      <c r="F3" s="105">
        <v>88821241</v>
      </c>
      <c r="G3" s="105" t="s">
        <v>144</v>
      </c>
    </row>
    <row r="4" spans="1:7">
      <c r="A4">
        <v>240203</v>
      </c>
      <c r="E4" t="s">
        <v>145</v>
      </c>
      <c r="F4" s="105">
        <v>88962011</v>
      </c>
      <c r="G4" s="105" t="s">
        <v>146</v>
      </c>
    </row>
    <row r="5" spans="1:7">
      <c r="A5">
        <v>240204</v>
      </c>
      <c r="E5" t="s">
        <v>147</v>
      </c>
      <c r="F5" s="105">
        <v>84159615</v>
      </c>
      <c r="G5" s="105" t="s">
        <v>148</v>
      </c>
    </row>
    <row r="6" spans="1:7">
      <c r="A6">
        <v>240205</v>
      </c>
      <c r="E6" t="s">
        <v>149</v>
      </c>
      <c r="F6" s="105">
        <v>89151373</v>
      </c>
      <c r="G6" s="105" t="s">
        <v>150</v>
      </c>
    </row>
    <row r="7" spans="1:7">
      <c r="A7">
        <v>240206</v>
      </c>
      <c r="E7" t="s">
        <v>151</v>
      </c>
      <c r="F7" s="105">
        <v>3075576</v>
      </c>
    </row>
    <row r="8" spans="1:7">
      <c r="A8">
        <v>240207</v>
      </c>
      <c r="E8">
        <v>1818509725</v>
      </c>
      <c r="F8" s="105">
        <v>279676</v>
      </c>
    </row>
    <row r="9" spans="1:7">
      <c r="A9" t="s">
        <v>152</v>
      </c>
      <c r="E9" t="s">
        <v>147</v>
      </c>
      <c r="F9" s="105">
        <v>84159615</v>
      </c>
      <c r="G9" s="105" t="s">
        <v>153</v>
      </c>
    </row>
    <row r="10" spans="1:7">
      <c r="A10">
        <v>240209</v>
      </c>
      <c r="E10" t="s">
        <v>154</v>
      </c>
      <c r="F10" s="105">
        <v>88821241</v>
      </c>
      <c r="G10" s="105" t="s">
        <v>155</v>
      </c>
    </row>
    <row r="11" spans="1:7">
      <c r="A11">
        <v>240301</v>
      </c>
      <c r="E11" t="s">
        <v>156</v>
      </c>
      <c r="G11" s="105" t="s">
        <v>157</v>
      </c>
    </row>
    <row r="12" spans="1:7">
      <c r="A12">
        <v>240302</v>
      </c>
      <c r="E12" t="s">
        <v>158</v>
      </c>
      <c r="F12" s="105">
        <v>89293208</v>
      </c>
      <c r="G12" s="105" t="s">
        <v>159</v>
      </c>
    </row>
    <row r="13" spans="1:7">
      <c r="A13">
        <v>240303</v>
      </c>
      <c r="E13" t="s">
        <v>160</v>
      </c>
    </row>
    <row r="14" spans="1:7">
      <c r="A14">
        <v>240304</v>
      </c>
      <c r="E14" t="s">
        <v>161</v>
      </c>
      <c r="F14" s="105">
        <v>89288511</v>
      </c>
      <c r="G14" s="105" t="s">
        <v>162</v>
      </c>
    </row>
    <row r="15" spans="1:7">
      <c r="A15">
        <v>240305</v>
      </c>
      <c r="E15" t="s">
        <v>163</v>
      </c>
      <c r="G15" s="105" t="s">
        <v>164</v>
      </c>
    </row>
    <row r="16" spans="1:7">
      <c r="A16">
        <v>240306</v>
      </c>
      <c r="E16" t="s">
        <v>165</v>
      </c>
      <c r="F16" s="105">
        <v>86937618</v>
      </c>
      <c r="G16" s="105" t="s">
        <v>166</v>
      </c>
    </row>
    <row r="17" spans="1:8">
      <c r="A17">
        <v>240307</v>
      </c>
      <c r="E17" t="s">
        <v>158</v>
      </c>
      <c r="F17" s="105">
        <v>89293208</v>
      </c>
      <c r="G17" s="105" t="s">
        <v>167</v>
      </c>
    </row>
    <row r="18" spans="1:8">
      <c r="A18">
        <v>240308</v>
      </c>
      <c r="E18" t="s">
        <v>147</v>
      </c>
      <c r="F18" s="105">
        <v>2644388</v>
      </c>
      <c r="G18" s="105" t="s">
        <v>168</v>
      </c>
    </row>
    <row r="19" spans="1:8">
      <c r="A19">
        <v>240309</v>
      </c>
      <c r="E19">
        <v>1818509284</v>
      </c>
    </row>
    <row r="20" spans="1:8">
      <c r="A20">
        <v>240310</v>
      </c>
      <c r="E20" t="s">
        <v>151</v>
      </c>
      <c r="F20" s="105">
        <v>3075576</v>
      </c>
    </row>
    <row r="21" spans="1:8">
      <c r="A21">
        <v>240311</v>
      </c>
      <c r="E21" t="s">
        <v>169</v>
      </c>
      <c r="G21" s="105" t="s">
        <v>170</v>
      </c>
    </row>
    <row r="22" spans="1:8">
      <c r="A22">
        <v>240312</v>
      </c>
      <c r="E22" t="s">
        <v>171</v>
      </c>
      <c r="F22" s="105">
        <v>873065802</v>
      </c>
      <c r="G22" s="105" t="s">
        <v>172</v>
      </c>
    </row>
    <row r="23" spans="1:8">
      <c r="A23">
        <v>240313</v>
      </c>
      <c r="E23" t="s">
        <v>156</v>
      </c>
      <c r="G23" s="105" t="s">
        <v>173</v>
      </c>
    </row>
    <row r="24" spans="1:8">
      <c r="A24">
        <v>240314</v>
      </c>
      <c r="E24" t="s">
        <v>174</v>
      </c>
      <c r="F24" s="105">
        <v>89293273</v>
      </c>
    </row>
    <row r="25" spans="1:8">
      <c r="A25">
        <v>240315</v>
      </c>
      <c r="E25" t="s">
        <v>161</v>
      </c>
    </row>
    <row r="26" spans="1:8">
      <c r="A26">
        <v>240401</v>
      </c>
      <c r="E26" t="s">
        <v>156</v>
      </c>
      <c r="G26" s="105" t="s">
        <v>173</v>
      </c>
    </row>
    <row r="27" spans="1:8">
      <c r="A27">
        <v>240402</v>
      </c>
      <c r="E27" t="s">
        <v>175</v>
      </c>
      <c r="G27" s="105" t="s">
        <v>176</v>
      </c>
    </row>
    <row r="28" spans="1:8">
      <c r="A28">
        <v>240403</v>
      </c>
      <c r="E28" t="s">
        <v>177</v>
      </c>
      <c r="G28" s="105" t="s">
        <v>178</v>
      </c>
    </row>
    <row r="29" spans="1:8">
      <c r="A29">
        <v>240404</v>
      </c>
      <c r="E29" t="s">
        <v>179</v>
      </c>
      <c r="F29" s="105">
        <v>2021050331</v>
      </c>
      <c r="G29" s="105" t="s">
        <v>180</v>
      </c>
    </row>
    <row r="30" spans="1:8">
      <c r="A30">
        <v>240405</v>
      </c>
      <c r="E30" t="s">
        <v>160</v>
      </c>
      <c r="F30" s="105">
        <v>2021050331</v>
      </c>
      <c r="G30" s="105" t="s">
        <v>181</v>
      </c>
    </row>
    <row r="31" spans="1:8">
      <c r="A31">
        <v>240406</v>
      </c>
      <c r="E31" t="s">
        <v>161</v>
      </c>
      <c r="F31" s="105">
        <v>86971634</v>
      </c>
      <c r="G31" s="105" t="s">
        <v>182</v>
      </c>
      <c r="H31" t="s">
        <v>167</v>
      </c>
    </row>
    <row r="32" spans="1:8">
      <c r="A32">
        <v>240407</v>
      </c>
      <c r="E32" t="s">
        <v>165</v>
      </c>
      <c r="F32" s="105">
        <v>8697618</v>
      </c>
      <c r="G32" s="105" t="s">
        <v>168</v>
      </c>
    </row>
    <row r="33" spans="1:7">
      <c r="A33">
        <v>240408</v>
      </c>
      <c r="E33" t="s">
        <v>147</v>
      </c>
      <c r="F33" s="105">
        <v>2644388</v>
      </c>
      <c r="G33" s="105" t="s">
        <v>168</v>
      </c>
    </row>
    <row r="34" spans="1:7">
      <c r="A34">
        <v>240409</v>
      </c>
      <c r="E34" t="s">
        <v>183</v>
      </c>
      <c r="F34" s="105">
        <v>86937618</v>
      </c>
      <c r="G34" s="105" t="s">
        <v>184</v>
      </c>
    </row>
    <row r="35" spans="1:7">
      <c r="A35">
        <v>240410</v>
      </c>
      <c r="E35" t="s">
        <v>185</v>
      </c>
      <c r="G35" s="105" t="s">
        <v>186</v>
      </c>
    </row>
    <row r="36" spans="1:7">
      <c r="A36">
        <v>240411</v>
      </c>
      <c r="E36" t="s">
        <v>171</v>
      </c>
      <c r="F36" s="105">
        <v>87306802</v>
      </c>
      <c r="G36" s="105" t="s">
        <v>187</v>
      </c>
    </row>
    <row r="37" spans="1:7">
      <c r="A37">
        <v>240412</v>
      </c>
      <c r="E37">
        <v>1813218042</v>
      </c>
    </row>
    <row r="38" spans="1:7">
      <c r="A38">
        <v>240413</v>
      </c>
      <c r="E38" t="s">
        <v>165</v>
      </c>
      <c r="F38" s="105">
        <v>86937618</v>
      </c>
    </row>
    <row r="39" spans="1:7">
      <c r="A39">
        <v>240414</v>
      </c>
      <c r="E39" t="s">
        <v>156</v>
      </c>
    </row>
    <row r="40" spans="1:7">
      <c r="A40">
        <v>240415</v>
      </c>
      <c r="E40" t="s">
        <v>165</v>
      </c>
      <c r="F40" s="105">
        <v>86937618</v>
      </c>
      <c r="G40" s="105" t="s">
        <v>188</v>
      </c>
    </row>
    <row r="41" spans="1:7">
      <c r="A41">
        <v>240416</v>
      </c>
      <c r="E41" t="s">
        <v>189</v>
      </c>
      <c r="F41" s="105" t="s">
        <v>190</v>
      </c>
    </row>
    <row r="42" spans="1:7">
      <c r="A42">
        <v>240417</v>
      </c>
      <c r="E42" t="s">
        <v>147</v>
      </c>
      <c r="F42" s="105">
        <v>2644388</v>
      </c>
    </row>
    <row r="43" spans="1:7">
      <c r="A43">
        <v>240418</v>
      </c>
      <c r="E43" t="s">
        <v>165</v>
      </c>
      <c r="F43" s="105">
        <v>86937618</v>
      </c>
      <c r="G43" s="105" t="s">
        <v>188</v>
      </c>
    </row>
    <row r="44" spans="1:7">
      <c r="A44">
        <v>240419</v>
      </c>
      <c r="E44" t="s">
        <v>147</v>
      </c>
      <c r="F44" s="105">
        <v>2644388</v>
      </c>
      <c r="G44" s="105" t="s">
        <v>188</v>
      </c>
    </row>
    <row r="45" spans="1:7">
      <c r="A45">
        <v>240420</v>
      </c>
      <c r="E45" t="s">
        <v>191</v>
      </c>
    </row>
    <row r="46" spans="1:7">
      <c r="A46">
        <v>240421</v>
      </c>
      <c r="E46" t="s">
        <v>171</v>
      </c>
      <c r="F46" s="105">
        <v>87306802</v>
      </c>
      <c r="G46" s="105" t="s">
        <v>192</v>
      </c>
    </row>
    <row r="47" spans="1:7">
      <c r="A47">
        <v>240422</v>
      </c>
      <c r="E47" t="s">
        <v>193</v>
      </c>
    </row>
    <row r="48" spans="1:7">
      <c r="A48">
        <v>240501</v>
      </c>
      <c r="E48" t="s">
        <v>194</v>
      </c>
      <c r="G48" s="105" t="s">
        <v>195</v>
      </c>
    </row>
    <row r="49" spans="1:8">
      <c r="A49">
        <v>240502</v>
      </c>
      <c r="E49" t="s">
        <v>196</v>
      </c>
      <c r="F49" s="105" t="s">
        <v>197</v>
      </c>
      <c r="G49" s="105" t="s">
        <v>198</v>
      </c>
    </row>
    <row r="50" spans="1:8">
      <c r="A50">
        <v>240503</v>
      </c>
      <c r="E50" t="s">
        <v>199</v>
      </c>
      <c r="F50" s="105">
        <v>87632366</v>
      </c>
      <c r="G50" s="105" t="s">
        <v>200</v>
      </c>
    </row>
    <row r="51" spans="1:8">
      <c r="A51">
        <v>240504</v>
      </c>
      <c r="E51" t="s">
        <v>171</v>
      </c>
      <c r="F51" s="105">
        <v>81737681</v>
      </c>
    </row>
    <row r="52" spans="1:8">
      <c r="A52">
        <v>240505</v>
      </c>
      <c r="E52" t="s">
        <v>201</v>
      </c>
      <c r="F52" s="105">
        <v>81795123</v>
      </c>
      <c r="G52" s="105">
        <v>200</v>
      </c>
    </row>
    <row r="53" spans="1:8">
      <c r="A53">
        <v>240506</v>
      </c>
      <c r="E53" t="s">
        <v>202</v>
      </c>
      <c r="G53" s="105">
        <v>400</v>
      </c>
    </row>
    <row r="54" spans="1:8">
      <c r="A54">
        <v>240507</v>
      </c>
      <c r="E54" t="s">
        <v>203</v>
      </c>
      <c r="F54" s="105">
        <v>81795123</v>
      </c>
      <c r="G54" s="105">
        <v>200</v>
      </c>
    </row>
    <row r="55" spans="1:8">
      <c r="A55">
        <v>240508</v>
      </c>
      <c r="E55" t="s">
        <v>171</v>
      </c>
      <c r="F55" s="105">
        <v>81737681</v>
      </c>
    </row>
    <row r="56" spans="1:8">
      <c r="A56">
        <v>240509</v>
      </c>
      <c r="E56" t="s">
        <v>156</v>
      </c>
    </row>
    <row r="57" spans="1:8">
      <c r="A57">
        <v>240510</v>
      </c>
      <c r="E57" t="s">
        <v>165</v>
      </c>
      <c r="G57" s="105">
        <v>144</v>
      </c>
    </row>
    <row r="58" spans="1:8">
      <c r="A58">
        <v>240511</v>
      </c>
      <c r="E58" t="s">
        <v>171</v>
      </c>
      <c r="F58" s="105">
        <v>88215374</v>
      </c>
    </row>
    <row r="59" spans="1:8">
      <c r="A59">
        <v>240512</v>
      </c>
      <c r="E59" t="s">
        <v>204</v>
      </c>
      <c r="F59" s="105">
        <v>518274</v>
      </c>
      <c r="G59" s="105" t="s">
        <v>205</v>
      </c>
    </row>
    <row r="60" spans="1:8">
      <c r="A60">
        <v>240513</v>
      </c>
      <c r="E60" t="s">
        <v>171</v>
      </c>
      <c r="F60" s="105">
        <v>88215374</v>
      </c>
      <c r="G60" s="105" t="s">
        <v>173</v>
      </c>
    </row>
    <row r="61" spans="1:8">
      <c r="A61">
        <v>240514</v>
      </c>
      <c r="E61" t="s">
        <v>156</v>
      </c>
      <c r="F61" s="105">
        <v>87306797</v>
      </c>
      <c r="G61" s="105" t="s">
        <v>206</v>
      </c>
    </row>
    <row r="62" spans="1:8">
      <c r="A62">
        <v>240515</v>
      </c>
      <c r="E62" t="s">
        <v>165</v>
      </c>
      <c r="F62" s="105">
        <v>86937618</v>
      </c>
      <c r="G62" s="105" t="s">
        <v>188</v>
      </c>
    </row>
    <row r="63" spans="1:8">
      <c r="A63">
        <v>240516</v>
      </c>
      <c r="E63" t="s">
        <v>199</v>
      </c>
      <c r="F63" s="105">
        <v>8191522</v>
      </c>
      <c r="G63" s="105" t="s">
        <v>207</v>
      </c>
    </row>
    <row r="64" spans="1:8">
      <c r="A64">
        <v>240601</v>
      </c>
      <c r="E64" t="s">
        <v>208</v>
      </c>
      <c r="F64" s="105">
        <v>2021050331</v>
      </c>
      <c r="G64" s="105" t="s">
        <v>209</v>
      </c>
      <c r="H64" t="s">
        <v>210</v>
      </c>
    </row>
    <row r="65" spans="1:8">
      <c r="A65">
        <v>240602</v>
      </c>
      <c r="E65" t="s">
        <v>211</v>
      </c>
      <c r="F65" s="105">
        <v>689208</v>
      </c>
      <c r="G65" s="105" t="s">
        <v>176</v>
      </c>
      <c r="H65" t="s">
        <v>210</v>
      </c>
    </row>
    <row r="66" spans="1:8">
      <c r="A66">
        <v>240603</v>
      </c>
      <c r="E66" t="s">
        <v>212</v>
      </c>
      <c r="F66" s="105">
        <v>2021050331</v>
      </c>
      <c r="G66" s="105" t="s">
        <v>181</v>
      </c>
      <c r="H66" t="s">
        <v>210</v>
      </c>
    </row>
    <row r="67" spans="1:8">
      <c r="A67">
        <v>240604</v>
      </c>
      <c r="E67" t="s">
        <v>212</v>
      </c>
      <c r="F67" s="105">
        <v>2021050331</v>
      </c>
      <c r="G67" s="105" t="s">
        <v>186</v>
      </c>
      <c r="H67" t="s">
        <v>210</v>
      </c>
    </row>
    <row r="68" spans="1:8">
      <c r="A68">
        <v>240605</v>
      </c>
      <c r="E68">
        <v>181509289</v>
      </c>
      <c r="F68" s="105">
        <v>95692</v>
      </c>
      <c r="G68" s="105" t="s">
        <v>213</v>
      </c>
      <c r="H68" t="s">
        <v>210</v>
      </c>
    </row>
    <row r="69" spans="1:8">
      <c r="A69">
        <v>240606</v>
      </c>
      <c r="E69" t="s">
        <v>183</v>
      </c>
      <c r="F69" s="105">
        <v>86937618</v>
      </c>
      <c r="G69" s="105">
        <v>144</v>
      </c>
      <c r="H69" t="s">
        <v>210</v>
      </c>
    </row>
    <row r="70" spans="1:8">
      <c r="A70">
        <v>240607</v>
      </c>
      <c r="E70" t="s">
        <v>214</v>
      </c>
      <c r="F70" s="105">
        <v>90843302</v>
      </c>
    </row>
    <row r="71" spans="1:8">
      <c r="A71">
        <v>240608</v>
      </c>
      <c r="E71">
        <v>181321050</v>
      </c>
      <c r="G71" s="105" t="s">
        <v>215</v>
      </c>
      <c r="H71" t="s">
        <v>210</v>
      </c>
    </row>
    <row r="72" spans="1:8">
      <c r="A72">
        <v>240609</v>
      </c>
      <c r="E72">
        <v>557809</v>
      </c>
      <c r="G72" s="105" t="s">
        <v>216</v>
      </c>
      <c r="H72" t="s">
        <v>210</v>
      </c>
    </row>
    <row r="73" spans="1:8">
      <c r="A73">
        <v>240610</v>
      </c>
      <c r="E73" t="s">
        <v>183</v>
      </c>
      <c r="F73" s="105">
        <v>86937618</v>
      </c>
      <c r="G73" s="105">
        <v>144</v>
      </c>
      <c r="H73" t="s">
        <v>217</v>
      </c>
    </row>
    <row r="74" spans="1:8">
      <c r="A74">
        <v>240611</v>
      </c>
      <c r="E74" t="s">
        <v>214</v>
      </c>
      <c r="F74" s="105">
        <v>90843302</v>
      </c>
      <c r="G74" s="105" t="s">
        <v>167</v>
      </c>
      <c r="H74" t="s">
        <v>217</v>
      </c>
    </row>
    <row r="75" spans="1:8">
      <c r="A75">
        <v>240612</v>
      </c>
      <c r="E75" t="s">
        <v>199</v>
      </c>
      <c r="F75" s="105">
        <v>89632366</v>
      </c>
      <c r="G75" s="105">
        <v>144</v>
      </c>
      <c r="H75" t="s">
        <v>217</v>
      </c>
    </row>
    <row r="76" spans="1:8">
      <c r="A76">
        <v>240613</v>
      </c>
      <c r="E76" t="s">
        <v>211</v>
      </c>
      <c r="F76" s="105">
        <v>689208</v>
      </c>
      <c r="G76" s="105" t="s">
        <v>218</v>
      </c>
      <c r="H76" t="s">
        <v>219</v>
      </c>
    </row>
    <row r="77" spans="1:8">
      <c r="A77">
        <v>240614</v>
      </c>
      <c r="E77" t="s">
        <v>220</v>
      </c>
      <c r="F77" s="105" t="s">
        <v>221</v>
      </c>
      <c r="G77" s="105" t="s">
        <v>222</v>
      </c>
      <c r="H77" t="s">
        <v>217</v>
      </c>
    </row>
    <row r="78" spans="1:8">
      <c r="A78">
        <v>240615</v>
      </c>
      <c r="E78">
        <v>1818509289</v>
      </c>
      <c r="F78" s="105">
        <v>95692</v>
      </c>
      <c r="G78" s="105" t="s">
        <v>213</v>
      </c>
      <c r="H78" t="s">
        <v>219</v>
      </c>
    </row>
    <row r="79" spans="1:8">
      <c r="A79">
        <v>240616</v>
      </c>
      <c r="E79">
        <v>1818509519</v>
      </c>
      <c r="F79" s="105" t="s">
        <v>223</v>
      </c>
      <c r="G79" s="105" t="s">
        <v>213</v>
      </c>
      <c r="H79" t="s">
        <v>219</v>
      </c>
    </row>
    <row r="80" spans="1:8">
      <c r="A80">
        <v>240617</v>
      </c>
      <c r="E80">
        <v>1818509665</v>
      </c>
      <c r="F80" s="105" t="s">
        <v>223</v>
      </c>
      <c r="G80" s="105" t="s">
        <v>213</v>
      </c>
      <c r="H80" t="s">
        <v>219</v>
      </c>
    </row>
    <row r="81" spans="1:8">
      <c r="A81">
        <v>240618</v>
      </c>
      <c r="E81" t="s">
        <v>224</v>
      </c>
      <c r="F81" s="105">
        <v>90887829</v>
      </c>
      <c r="G81" s="105" t="s">
        <v>225</v>
      </c>
      <c r="H81" t="s">
        <v>219</v>
      </c>
    </row>
    <row r="82" spans="1:8">
      <c r="A82">
        <v>240619</v>
      </c>
      <c r="E82" t="s">
        <v>183</v>
      </c>
      <c r="F82" s="105">
        <v>86937618</v>
      </c>
      <c r="G82" s="105" t="s">
        <v>226</v>
      </c>
      <c r="H82" t="s">
        <v>219</v>
      </c>
    </row>
    <row r="83" spans="1:8">
      <c r="A83">
        <v>240620</v>
      </c>
      <c r="E83" t="s">
        <v>183</v>
      </c>
      <c r="F83" s="105">
        <v>81764496</v>
      </c>
      <c r="G83" s="105" t="s">
        <v>227</v>
      </c>
      <c r="H83" t="s">
        <v>210</v>
      </c>
    </row>
    <row r="84" spans="1:8">
      <c r="A84">
        <v>240621</v>
      </c>
      <c r="E84" t="s">
        <v>183</v>
      </c>
      <c r="F84" s="105">
        <v>86937618</v>
      </c>
      <c r="G84" s="105" t="s">
        <v>186</v>
      </c>
      <c r="H84" t="s">
        <v>210</v>
      </c>
    </row>
    <row r="85" spans="1:8">
      <c r="A85">
        <v>240622</v>
      </c>
      <c r="E85" t="s">
        <v>199</v>
      </c>
      <c r="F85" s="105">
        <v>89632366</v>
      </c>
      <c r="G85" s="105" t="s">
        <v>188</v>
      </c>
      <c r="H85" t="s">
        <v>210</v>
      </c>
    </row>
    <row r="86" spans="1:8">
      <c r="A86">
        <v>240623</v>
      </c>
      <c r="E86">
        <v>1818509519</v>
      </c>
      <c r="F86" s="105" t="s">
        <v>223</v>
      </c>
      <c r="G86" s="105" t="s">
        <v>218</v>
      </c>
      <c r="H86" t="s">
        <v>210</v>
      </c>
    </row>
    <row r="87" spans="1:8">
      <c r="A87">
        <v>240624</v>
      </c>
      <c r="E87" t="s">
        <v>228</v>
      </c>
      <c r="F87" s="105" t="s">
        <v>221</v>
      </c>
      <c r="G87" s="105" t="s">
        <v>229</v>
      </c>
      <c r="H87" t="s">
        <v>210</v>
      </c>
    </row>
    <row r="88" spans="1:8">
      <c r="A88" t="s">
        <v>230</v>
      </c>
      <c r="E88" t="s">
        <v>158</v>
      </c>
    </row>
    <row r="89" spans="1:8">
      <c r="A89" t="s">
        <v>231</v>
      </c>
      <c r="E89" t="s">
        <v>158</v>
      </c>
    </row>
    <row r="90" spans="1:8">
      <c r="A90" t="s">
        <v>232</v>
      </c>
      <c r="E90" t="s">
        <v>158</v>
      </c>
    </row>
    <row r="91" spans="1:8">
      <c r="A91" t="s">
        <v>233</v>
      </c>
      <c r="E91" t="s">
        <v>87</v>
      </c>
    </row>
    <row r="92" spans="1:8">
      <c r="A92" t="s">
        <v>234</v>
      </c>
      <c r="E92" t="s">
        <v>87</v>
      </c>
    </row>
    <row r="93" spans="1:8">
      <c r="A93" t="s">
        <v>235</v>
      </c>
      <c r="E93" t="s">
        <v>87</v>
      </c>
    </row>
    <row r="94" spans="1:8">
      <c r="A94" t="s">
        <v>236</v>
      </c>
      <c r="E94" t="s">
        <v>87</v>
      </c>
    </row>
    <row r="95" spans="1:8">
      <c r="A95" t="s">
        <v>237</v>
      </c>
      <c r="E95" t="s">
        <v>87</v>
      </c>
    </row>
    <row r="96" spans="1:8">
      <c r="A96" t="s">
        <v>238</v>
      </c>
      <c r="E96" t="s">
        <v>87</v>
      </c>
    </row>
    <row r="97" spans="1:8">
      <c r="A97" t="s">
        <v>239</v>
      </c>
      <c r="E97" t="s">
        <v>87</v>
      </c>
    </row>
    <row r="98" spans="1:8">
      <c r="A98" t="s">
        <v>240</v>
      </c>
      <c r="E98" t="s">
        <v>87</v>
      </c>
    </row>
    <row r="99" spans="1:8">
      <c r="A99">
        <v>240704</v>
      </c>
      <c r="E99">
        <v>1818509554</v>
      </c>
      <c r="G99" s="105">
        <v>30</v>
      </c>
      <c r="H99" t="s">
        <v>241</v>
      </c>
    </row>
    <row r="100" spans="1:8">
      <c r="A100">
        <v>240705</v>
      </c>
      <c r="E100">
        <v>1818509555</v>
      </c>
    </row>
    <row r="101" spans="1:8">
      <c r="A101">
        <v>240706</v>
      </c>
      <c r="E101">
        <v>1818509563</v>
      </c>
    </row>
    <row r="102" spans="1:8">
      <c r="A102">
        <v>240707</v>
      </c>
      <c r="E102">
        <v>1818509497</v>
      </c>
    </row>
    <row r="103" spans="1:8">
      <c r="A103">
        <v>240708</v>
      </c>
      <c r="E103">
        <v>1818509138</v>
      </c>
    </row>
    <row r="104" spans="1:8">
      <c r="A104">
        <v>240709</v>
      </c>
      <c r="E104">
        <v>1813218044</v>
      </c>
    </row>
    <row r="105" spans="1:8">
      <c r="A105">
        <v>240710</v>
      </c>
      <c r="E105" t="s">
        <v>242</v>
      </c>
    </row>
    <row r="106" spans="1:8">
      <c r="A106">
        <v>240712</v>
      </c>
      <c r="E106" t="s">
        <v>183</v>
      </c>
      <c r="F106" s="105">
        <v>2337585</v>
      </c>
      <c r="G106" s="105">
        <v>200</v>
      </c>
    </row>
    <row r="107" spans="1:8">
      <c r="A107">
        <v>240713</v>
      </c>
      <c r="E107" t="s">
        <v>165</v>
      </c>
      <c r="F107" s="105">
        <v>2337585</v>
      </c>
      <c r="G107" s="105">
        <v>100</v>
      </c>
    </row>
    <row r="108" spans="1:8">
      <c r="A108">
        <v>240714</v>
      </c>
      <c r="E108">
        <v>1818509554</v>
      </c>
      <c r="G108" s="105">
        <v>30</v>
      </c>
    </row>
    <row r="109" spans="1:8">
      <c r="A109">
        <v>240715</v>
      </c>
      <c r="E109">
        <v>1818509665</v>
      </c>
      <c r="G109" s="105">
        <v>30</v>
      </c>
    </row>
    <row r="110" spans="1:8">
      <c r="A110">
        <v>240716</v>
      </c>
      <c r="E110" t="s">
        <v>199</v>
      </c>
      <c r="F110" s="105">
        <v>89632366</v>
      </c>
      <c r="G110" s="105">
        <v>97</v>
      </c>
    </row>
    <row r="111" spans="1:8">
      <c r="A111">
        <v>240717</v>
      </c>
      <c r="E111">
        <v>1813218050</v>
      </c>
      <c r="G111" s="105">
        <v>5</v>
      </c>
    </row>
    <row r="112" spans="1:8">
      <c r="A112">
        <v>240718</v>
      </c>
      <c r="E112">
        <v>1813218050</v>
      </c>
      <c r="G112" s="105">
        <v>1010</v>
      </c>
    </row>
    <row r="113" spans="1:8">
      <c r="A113">
        <v>240719</v>
      </c>
      <c r="E113" t="s">
        <v>243</v>
      </c>
      <c r="G113" s="105">
        <v>220</v>
      </c>
    </row>
    <row r="114" spans="1:8">
      <c r="A114">
        <v>240720</v>
      </c>
      <c r="E114" t="s">
        <v>87</v>
      </c>
      <c r="F114" s="105">
        <v>91050085</v>
      </c>
      <c r="G114" s="105">
        <v>350</v>
      </c>
    </row>
    <row r="115" spans="1:8">
      <c r="A115">
        <v>240721</v>
      </c>
      <c r="E115" t="s">
        <v>244</v>
      </c>
      <c r="G115" s="105">
        <v>72</v>
      </c>
    </row>
    <row r="116" spans="1:8">
      <c r="A116">
        <v>240722</v>
      </c>
      <c r="E116" t="s">
        <v>245</v>
      </c>
      <c r="F116" s="105">
        <v>67354189</v>
      </c>
      <c r="G116" s="105">
        <v>15</v>
      </c>
    </row>
    <row r="117" spans="1:8">
      <c r="A117">
        <v>240723</v>
      </c>
      <c r="E117" t="s">
        <v>165</v>
      </c>
      <c r="F117" s="105">
        <v>86937618</v>
      </c>
      <c r="G117" s="105">
        <v>280</v>
      </c>
    </row>
    <row r="118" spans="1:8">
      <c r="A118">
        <v>240724</v>
      </c>
      <c r="E118">
        <v>1818509665</v>
      </c>
      <c r="G118" s="105">
        <v>30</v>
      </c>
    </row>
    <row r="119" spans="1:8">
      <c r="A119">
        <v>240725</v>
      </c>
      <c r="E119" t="s">
        <v>204</v>
      </c>
      <c r="G119" s="105">
        <v>5</v>
      </c>
    </row>
    <row r="120" spans="1:8">
      <c r="A120">
        <v>240726</v>
      </c>
      <c r="E120" t="s">
        <v>87</v>
      </c>
      <c r="G120" s="105">
        <v>350</v>
      </c>
    </row>
    <row r="121" spans="1:8">
      <c r="A121" t="s">
        <v>246</v>
      </c>
      <c r="E121" t="s">
        <v>87</v>
      </c>
      <c r="G121" s="105">
        <v>350</v>
      </c>
    </row>
    <row r="122" spans="1:8">
      <c r="A122">
        <v>240727</v>
      </c>
      <c r="E122" t="s">
        <v>247</v>
      </c>
      <c r="F122" s="105">
        <v>81795123</v>
      </c>
      <c r="G122" s="105">
        <v>120</v>
      </c>
    </row>
    <row r="123" spans="1:8">
      <c r="A123">
        <v>240728</v>
      </c>
      <c r="E123" t="s">
        <v>158</v>
      </c>
      <c r="F123" s="105">
        <v>90929590</v>
      </c>
      <c r="G123" s="105" t="s">
        <v>248</v>
      </c>
    </row>
    <row r="124" spans="1:8">
      <c r="A124" t="s">
        <v>249</v>
      </c>
      <c r="E124" t="s">
        <v>158</v>
      </c>
      <c r="G124" s="105">
        <v>410</v>
      </c>
    </row>
    <row r="125" spans="1:8">
      <c r="A125">
        <v>240729</v>
      </c>
      <c r="E125" t="s">
        <v>250</v>
      </c>
      <c r="F125" s="105">
        <v>91139227</v>
      </c>
      <c r="G125" s="105">
        <v>310</v>
      </c>
    </row>
    <row r="126" spans="1:8">
      <c r="A126" t="s">
        <v>251</v>
      </c>
      <c r="E126" t="s">
        <v>250</v>
      </c>
      <c r="F126" s="105">
        <v>91139227</v>
      </c>
      <c r="G126" s="105">
        <v>310</v>
      </c>
    </row>
    <row r="127" spans="1:8">
      <c r="A127" t="s">
        <v>252</v>
      </c>
      <c r="E127" t="s">
        <v>250</v>
      </c>
      <c r="F127" s="105">
        <v>91139227</v>
      </c>
      <c r="G127" s="105">
        <v>300</v>
      </c>
    </row>
    <row r="128" spans="1:8">
      <c r="A128">
        <v>240801</v>
      </c>
      <c r="E128">
        <v>1818509554</v>
      </c>
      <c r="G128" s="105">
        <v>30</v>
      </c>
      <c r="H128" t="s">
        <v>253</v>
      </c>
    </row>
    <row r="129" spans="1:8">
      <c r="A129">
        <v>240802</v>
      </c>
      <c r="E129" t="s">
        <v>254</v>
      </c>
      <c r="F129" s="105">
        <v>91080217</v>
      </c>
      <c r="G129" s="105">
        <v>255</v>
      </c>
    </row>
    <row r="130" spans="1:8">
      <c r="A130" t="s">
        <v>255</v>
      </c>
      <c r="E130" t="s">
        <v>254</v>
      </c>
      <c r="F130" s="105">
        <v>91080217</v>
      </c>
      <c r="G130" s="105">
        <v>255</v>
      </c>
    </row>
    <row r="131" spans="1:8">
      <c r="A131" t="s">
        <v>256</v>
      </c>
      <c r="E131" t="s">
        <v>254</v>
      </c>
      <c r="F131" s="105">
        <v>91080217</v>
      </c>
      <c r="G131" s="105">
        <v>250</v>
      </c>
    </row>
    <row r="132" spans="1:8">
      <c r="A132">
        <v>240803</v>
      </c>
      <c r="E132">
        <v>1818509555</v>
      </c>
      <c r="G132" s="105">
        <v>30</v>
      </c>
      <c r="H132" t="s">
        <v>241</v>
      </c>
    </row>
    <row r="133" spans="1:8">
      <c r="A133">
        <v>240804</v>
      </c>
      <c r="E133">
        <v>1818509555</v>
      </c>
      <c r="G133" s="105">
        <v>30</v>
      </c>
      <c r="H133" t="s">
        <v>253</v>
      </c>
    </row>
    <row r="134" spans="1:8">
      <c r="A134">
        <v>240805</v>
      </c>
      <c r="E134">
        <v>1818509563</v>
      </c>
      <c r="G134" s="105">
        <v>30</v>
      </c>
      <c r="H134" t="s">
        <v>241</v>
      </c>
    </row>
    <row r="135" spans="1:8">
      <c r="A135">
        <v>240806</v>
      </c>
      <c r="E135">
        <v>1818509563</v>
      </c>
      <c r="G135" s="105">
        <v>30</v>
      </c>
      <c r="H135" t="s">
        <v>253</v>
      </c>
    </row>
    <row r="136" spans="1:8">
      <c r="A136">
        <v>240807</v>
      </c>
      <c r="E136" t="s">
        <v>183</v>
      </c>
      <c r="F136" s="105">
        <v>86937618</v>
      </c>
      <c r="G136" s="105">
        <v>200</v>
      </c>
    </row>
    <row r="137" spans="1:8">
      <c r="A137">
        <v>240808</v>
      </c>
      <c r="E137">
        <v>1818509665</v>
      </c>
      <c r="G137" s="105">
        <v>30</v>
      </c>
      <c r="H137" t="s">
        <v>241</v>
      </c>
    </row>
    <row r="138" spans="1:8">
      <c r="A138">
        <v>240809</v>
      </c>
      <c r="E138">
        <v>1818509665</v>
      </c>
      <c r="G138" s="105">
        <v>30</v>
      </c>
      <c r="H138" t="s">
        <v>253</v>
      </c>
    </row>
    <row r="139" spans="1:8">
      <c r="A139">
        <v>240810</v>
      </c>
      <c r="E139" t="s">
        <v>257</v>
      </c>
      <c r="G139" s="105">
        <v>5</v>
      </c>
      <c r="H139" t="s">
        <v>258</v>
      </c>
    </row>
    <row r="140" spans="1:8">
      <c r="A140">
        <v>240811</v>
      </c>
      <c r="E140" t="s">
        <v>257</v>
      </c>
      <c r="G140" s="105">
        <v>100</v>
      </c>
    </row>
    <row r="141" spans="1:8">
      <c r="A141">
        <v>240812</v>
      </c>
      <c r="E141">
        <v>1818509748</v>
      </c>
      <c r="G141" s="105">
        <v>30</v>
      </c>
      <c r="H141" t="s">
        <v>241</v>
      </c>
    </row>
    <row r="142" spans="1:8">
      <c r="A142">
        <v>240813</v>
      </c>
      <c r="E142">
        <v>1818509193</v>
      </c>
      <c r="G142" s="105">
        <v>30</v>
      </c>
      <c r="H142" t="s">
        <v>241</v>
      </c>
    </row>
    <row r="143" spans="1:8">
      <c r="A143" t="s">
        <v>259</v>
      </c>
      <c r="E143" t="s">
        <v>224</v>
      </c>
      <c r="F143" s="105">
        <v>90887829</v>
      </c>
      <c r="G143" s="105">
        <v>126</v>
      </c>
    </row>
    <row r="144" spans="1:8">
      <c r="A144">
        <v>240814</v>
      </c>
      <c r="E144" t="s">
        <v>260</v>
      </c>
      <c r="F144" s="105">
        <v>91505832</v>
      </c>
      <c r="G144" s="105">
        <v>199</v>
      </c>
    </row>
    <row r="145" spans="1:8">
      <c r="A145">
        <v>240815</v>
      </c>
      <c r="E145" t="s">
        <v>87</v>
      </c>
      <c r="F145" s="105">
        <v>91050085</v>
      </c>
      <c r="G145" s="105">
        <v>320</v>
      </c>
      <c r="H145" t="s">
        <v>167</v>
      </c>
    </row>
    <row r="146" spans="1:8">
      <c r="A146">
        <v>240816</v>
      </c>
      <c r="E146" t="s">
        <v>33</v>
      </c>
      <c r="G146" s="105">
        <v>200</v>
      </c>
    </row>
    <row r="147" spans="1:8">
      <c r="A147">
        <v>240901</v>
      </c>
      <c r="E147" t="s">
        <v>261</v>
      </c>
      <c r="G147" s="105">
        <v>72</v>
      </c>
    </row>
    <row r="148" spans="1:8">
      <c r="A148">
        <v>240902</v>
      </c>
      <c r="E148" t="s">
        <v>183</v>
      </c>
      <c r="F148" s="105">
        <v>86937618</v>
      </c>
      <c r="G148" s="105">
        <v>150</v>
      </c>
    </row>
    <row r="149" spans="1:8">
      <c r="A149" t="s">
        <v>262</v>
      </c>
      <c r="E149" t="s">
        <v>183</v>
      </c>
      <c r="F149" s="105">
        <v>86937618</v>
      </c>
      <c r="G149" s="105">
        <v>150</v>
      </c>
    </row>
    <row r="150" spans="1:8">
      <c r="A150">
        <v>240903</v>
      </c>
      <c r="E150" t="s">
        <v>165</v>
      </c>
      <c r="F150" s="105">
        <v>86937618</v>
      </c>
      <c r="G150" s="105">
        <v>325</v>
      </c>
    </row>
    <row r="151" spans="1:8">
      <c r="A151" t="s">
        <v>263</v>
      </c>
      <c r="E151" t="s">
        <v>165</v>
      </c>
      <c r="F151" s="105">
        <v>86937618</v>
      </c>
      <c r="G151" s="105">
        <v>300</v>
      </c>
    </row>
    <row r="152" spans="1:8">
      <c r="A152">
        <v>240904</v>
      </c>
      <c r="E152">
        <v>1818509503</v>
      </c>
      <c r="G152" s="105">
        <v>30</v>
      </c>
    </row>
    <row r="153" spans="1:8">
      <c r="A153">
        <v>240905</v>
      </c>
      <c r="E153">
        <v>1818509748</v>
      </c>
      <c r="G153" s="105">
        <v>30</v>
      </c>
    </row>
    <row r="154" spans="1:8">
      <c r="A154">
        <v>240906</v>
      </c>
      <c r="E154">
        <v>1818509512</v>
      </c>
      <c r="G154" s="105">
        <v>30</v>
      </c>
    </row>
    <row r="155" spans="1:8">
      <c r="A155">
        <v>240907</v>
      </c>
      <c r="E155" t="s">
        <v>199</v>
      </c>
      <c r="F155" s="105">
        <v>2644388</v>
      </c>
      <c r="G155" s="105">
        <v>53</v>
      </c>
    </row>
    <row r="156" spans="1:8">
      <c r="A156">
        <v>240908</v>
      </c>
      <c r="E156" t="s">
        <v>264</v>
      </c>
      <c r="F156" s="105">
        <v>88962011</v>
      </c>
    </row>
    <row r="157" spans="1:8">
      <c r="A157">
        <v>240910</v>
      </c>
      <c r="E157" t="s">
        <v>42</v>
      </c>
      <c r="G157" s="105">
        <v>62</v>
      </c>
    </row>
    <row r="158" spans="1:8">
      <c r="A158">
        <v>240911</v>
      </c>
      <c r="E158" t="s">
        <v>265</v>
      </c>
      <c r="F158" s="105">
        <v>87316040</v>
      </c>
      <c r="G158" s="105">
        <v>204</v>
      </c>
    </row>
    <row r="159" spans="1:8">
      <c r="A159">
        <v>240912</v>
      </c>
      <c r="E159" t="s">
        <v>183</v>
      </c>
      <c r="F159" s="105">
        <v>86937618</v>
      </c>
      <c r="G159" s="105">
        <v>4</v>
      </c>
    </row>
    <row r="160" spans="1:8">
      <c r="A160">
        <v>241001</v>
      </c>
      <c r="E160" t="s">
        <v>199</v>
      </c>
      <c r="F160" s="105">
        <v>2644388</v>
      </c>
      <c r="G160" s="105">
        <v>47</v>
      </c>
    </row>
    <row r="161" spans="1:8">
      <c r="A161">
        <v>241002</v>
      </c>
      <c r="E161">
        <v>1535100044</v>
      </c>
      <c r="F161" s="105">
        <v>3075576</v>
      </c>
      <c r="G161" s="105">
        <v>100</v>
      </c>
    </row>
    <row r="162" spans="1:8">
      <c r="A162" t="s">
        <v>266</v>
      </c>
      <c r="E162">
        <v>1535100044</v>
      </c>
      <c r="F162" s="105">
        <v>3075576</v>
      </c>
      <c r="G162" s="105">
        <v>70</v>
      </c>
    </row>
    <row r="163" spans="1:8">
      <c r="A163">
        <v>241003</v>
      </c>
      <c r="E163">
        <v>1818509618</v>
      </c>
      <c r="G163" s="105">
        <v>30</v>
      </c>
    </row>
    <row r="164" spans="1:8">
      <c r="A164">
        <v>241004</v>
      </c>
      <c r="E164">
        <v>1818509516</v>
      </c>
      <c r="G164" s="105">
        <v>30</v>
      </c>
    </row>
    <row r="165" spans="1:8">
      <c r="A165">
        <v>241005</v>
      </c>
      <c r="E165">
        <v>1818509265</v>
      </c>
      <c r="G165" s="105">
        <v>30</v>
      </c>
    </row>
    <row r="166" spans="1:8">
      <c r="A166">
        <v>241006</v>
      </c>
      <c r="E166">
        <v>1818509251</v>
      </c>
    </row>
    <row r="167" spans="1:8">
      <c r="A167">
        <v>241007</v>
      </c>
      <c r="E167" t="s">
        <v>245</v>
      </c>
      <c r="F167" s="105">
        <v>90858779</v>
      </c>
      <c r="G167" s="105">
        <v>180</v>
      </c>
    </row>
    <row r="168" spans="1:8">
      <c r="A168" t="s">
        <v>267</v>
      </c>
      <c r="E168" t="s">
        <v>245</v>
      </c>
      <c r="F168" s="105">
        <v>90858779</v>
      </c>
      <c r="G168" s="105">
        <v>180</v>
      </c>
    </row>
    <row r="169" spans="1:8">
      <c r="A169">
        <v>241008</v>
      </c>
      <c r="E169" t="s">
        <v>156</v>
      </c>
      <c r="F169" s="105">
        <v>88215373</v>
      </c>
      <c r="G169" s="105">
        <v>2000</v>
      </c>
    </row>
    <row r="170" spans="1:8">
      <c r="A170">
        <v>241009</v>
      </c>
      <c r="E170" t="s">
        <v>268</v>
      </c>
      <c r="G170" s="105">
        <v>3</v>
      </c>
    </row>
    <row r="171" spans="1:8">
      <c r="A171">
        <v>241010</v>
      </c>
      <c r="E171" t="s">
        <v>36</v>
      </c>
      <c r="G171" s="105">
        <v>3</v>
      </c>
      <c r="H171" t="s">
        <v>258</v>
      </c>
    </row>
    <row r="172" spans="1:8">
      <c r="A172">
        <v>241011</v>
      </c>
      <c r="E172">
        <v>1535100044</v>
      </c>
      <c r="G172" s="105">
        <v>100</v>
      </c>
      <c r="H172" t="s">
        <v>269</v>
      </c>
    </row>
    <row r="173" spans="1:8">
      <c r="A173">
        <v>241012</v>
      </c>
      <c r="E173">
        <v>557809</v>
      </c>
      <c r="G173" s="105">
        <v>82</v>
      </c>
      <c r="H173" t="s">
        <v>167</v>
      </c>
    </row>
    <row r="174" spans="1:8">
      <c r="A174" t="s">
        <v>270</v>
      </c>
      <c r="E174">
        <v>1535100044</v>
      </c>
      <c r="G174" s="105">
        <v>29</v>
      </c>
    </row>
    <row r="175" spans="1:8">
      <c r="A175">
        <v>241101</v>
      </c>
      <c r="E175" t="s">
        <v>165</v>
      </c>
      <c r="F175" s="105">
        <v>86937618</v>
      </c>
      <c r="G175" s="105">
        <v>325</v>
      </c>
    </row>
    <row r="176" spans="1:8">
      <c r="A176" t="s">
        <v>271</v>
      </c>
      <c r="E176" t="s">
        <v>165</v>
      </c>
      <c r="F176" s="105">
        <v>86937618</v>
      </c>
      <c r="G176" s="105">
        <v>300</v>
      </c>
    </row>
    <row r="177" spans="1:8">
      <c r="A177">
        <v>241102</v>
      </c>
      <c r="E177" t="s">
        <v>183</v>
      </c>
      <c r="F177" s="105">
        <v>86937618</v>
      </c>
      <c r="G177" s="105">
        <v>150</v>
      </c>
    </row>
    <row r="178" spans="1:8">
      <c r="A178" t="s">
        <v>272</v>
      </c>
      <c r="E178" t="s">
        <v>183</v>
      </c>
      <c r="F178" s="105">
        <v>86937618</v>
      </c>
      <c r="G178" s="105">
        <v>150</v>
      </c>
    </row>
    <row r="179" spans="1:8">
      <c r="A179">
        <v>241103</v>
      </c>
      <c r="E179" t="s">
        <v>273</v>
      </c>
      <c r="G179" s="105">
        <v>116</v>
      </c>
    </row>
    <row r="180" spans="1:8">
      <c r="A180">
        <v>241104</v>
      </c>
      <c r="E180" t="s">
        <v>274</v>
      </c>
      <c r="F180" s="105">
        <v>90107968</v>
      </c>
      <c r="G180" s="105">
        <v>92</v>
      </c>
    </row>
    <row r="181" spans="1:8">
      <c r="A181">
        <v>241105</v>
      </c>
      <c r="E181" t="s">
        <v>245</v>
      </c>
      <c r="F181" s="105">
        <v>92368521</v>
      </c>
      <c r="G181" s="105">
        <v>188</v>
      </c>
    </row>
    <row r="182" spans="1:8">
      <c r="A182" t="s">
        <v>275</v>
      </c>
      <c r="E182" t="s">
        <v>245</v>
      </c>
      <c r="F182" s="105">
        <v>92368521</v>
      </c>
      <c r="G182" s="105">
        <v>150</v>
      </c>
    </row>
    <row r="183" spans="1:8">
      <c r="A183">
        <v>241106</v>
      </c>
      <c r="E183" t="s">
        <v>276</v>
      </c>
      <c r="F183" s="105">
        <v>92733483</v>
      </c>
      <c r="G183" s="105">
        <v>294</v>
      </c>
    </row>
    <row r="184" spans="1:8">
      <c r="A184" t="s">
        <v>277</v>
      </c>
      <c r="E184" t="s">
        <v>276</v>
      </c>
      <c r="F184" s="105">
        <v>92733483</v>
      </c>
      <c r="G184" s="105">
        <v>140</v>
      </c>
    </row>
    <row r="185" spans="1:8">
      <c r="A185" t="s">
        <v>278</v>
      </c>
      <c r="E185" t="s">
        <v>276</v>
      </c>
      <c r="F185" s="105">
        <v>92733491</v>
      </c>
      <c r="G185" s="105">
        <v>294</v>
      </c>
    </row>
    <row r="186" spans="1:8">
      <c r="A186">
        <v>241107</v>
      </c>
      <c r="E186" t="s">
        <v>156</v>
      </c>
      <c r="F186" s="105">
        <v>88215373</v>
      </c>
      <c r="G186" s="105">
        <v>500</v>
      </c>
    </row>
    <row r="187" spans="1:8">
      <c r="A187" t="s">
        <v>279</v>
      </c>
      <c r="E187" t="s">
        <v>183</v>
      </c>
      <c r="F187" s="105">
        <v>86937618</v>
      </c>
      <c r="G187" s="105">
        <v>150</v>
      </c>
    </row>
    <row r="188" spans="1:8">
      <c r="A188">
        <v>241108</v>
      </c>
      <c r="E188" t="s">
        <v>280</v>
      </c>
      <c r="G188" s="105">
        <v>15</v>
      </c>
    </row>
    <row r="189" spans="1:8">
      <c r="A189" t="s">
        <v>281</v>
      </c>
      <c r="E189" t="s">
        <v>183</v>
      </c>
      <c r="F189" s="105">
        <v>86937618</v>
      </c>
      <c r="G189" s="105">
        <v>150</v>
      </c>
    </row>
    <row r="190" spans="1:8">
      <c r="A190" t="s">
        <v>282</v>
      </c>
      <c r="E190" t="s">
        <v>165</v>
      </c>
      <c r="F190" s="105">
        <v>86937618</v>
      </c>
      <c r="G190" s="105">
        <v>180</v>
      </c>
    </row>
    <row r="191" spans="1:8">
      <c r="A191" t="s">
        <v>283</v>
      </c>
      <c r="E191" t="s">
        <v>245</v>
      </c>
      <c r="F191" s="105">
        <v>92368521</v>
      </c>
      <c r="G191" s="105">
        <v>180</v>
      </c>
    </row>
    <row r="192" spans="1:8">
      <c r="A192">
        <v>241109</v>
      </c>
      <c r="E192">
        <v>1818509259</v>
      </c>
      <c r="G192" s="105">
        <v>30</v>
      </c>
      <c r="H192" t="s">
        <v>253</v>
      </c>
    </row>
    <row r="193" spans="1:8">
      <c r="A193" t="s">
        <v>281</v>
      </c>
      <c r="E193" t="s">
        <v>183</v>
      </c>
      <c r="F193" s="105">
        <v>86937618</v>
      </c>
      <c r="G193" s="105">
        <v>150</v>
      </c>
    </row>
    <row r="194" spans="1:8">
      <c r="A194" t="s">
        <v>284</v>
      </c>
      <c r="E194" t="s">
        <v>165</v>
      </c>
      <c r="F194" s="105">
        <v>86937618</v>
      </c>
      <c r="G194" s="105">
        <v>150</v>
      </c>
    </row>
    <row r="195" spans="1:8">
      <c r="A195" t="s">
        <v>285</v>
      </c>
      <c r="E195" t="s">
        <v>245</v>
      </c>
      <c r="F195" s="105">
        <v>92368521</v>
      </c>
      <c r="G195" s="105">
        <v>200</v>
      </c>
    </row>
    <row r="196" spans="1:8">
      <c r="A196" t="s">
        <v>286</v>
      </c>
      <c r="E196" t="s">
        <v>183</v>
      </c>
      <c r="F196" s="105">
        <v>86937618</v>
      </c>
      <c r="G196" s="105">
        <v>150</v>
      </c>
      <c r="H196" t="s">
        <v>287</v>
      </c>
    </row>
    <row r="197" spans="1:8">
      <c r="A197" t="s">
        <v>284</v>
      </c>
      <c r="E197" t="s">
        <v>165</v>
      </c>
      <c r="F197" s="105">
        <v>86937618</v>
      </c>
      <c r="G197" s="105">
        <v>225</v>
      </c>
      <c r="H197" t="s">
        <v>287</v>
      </c>
    </row>
    <row r="198" spans="1:8">
      <c r="A198" t="s">
        <v>288</v>
      </c>
      <c r="E198" t="s">
        <v>245</v>
      </c>
      <c r="F198" s="105">
        <v>92368521</v>
      </c>
      <c r="G198" s="105">
        <v>210</v>
      </c>
      <c r="H198" t="s">
        <v>287</v>
      </c>
    </row>
    <row r="199" spans="1:8">
      <c r="A199">
        <v>241110</v>
      </c>
      <c r="E199" t="s">
        <v>276</v>
      </c>
      <c r="F199" s="105">
        <v>92733491</v>
      </c>
      <c r="G199" s="105">
        <v>532</v>
      </c>
      <c r="H199" t="s">
        <v>287</v>
      </c>
    </row>
    <row r="200" spans="1:8">
      <c r="A200">
        <v>241201</v>
      </c>
      <c r="E200" t="s">
        <v>276</v>
      </c>
      <c r="F200" s="105">
        <v>92733491</v>
      </c>
      <c r="G200" s="105">
        <v>532</v>
      </c>
      <c r="H200" t="s">
        <v>289</v>
      </c>
    </row>
    <row r="201" spans="1:8">
      <c r="A201" t="s">
        <v>290</v>
      </c>
      <c r="E201" t="s">
        <v>276</v>
      </c>
      <c r="F201" s="105">
        <v>92733491</v>
      </c>
      <c r="G201" s="105">
        <v>532</v>
      </c>
    </row>
    <row r="202" spans="1:8">
      <c r="A202">
        <v>241202</v>
      </c>
      <c r="E202" t="s">
        <v>245</v>
      </c>
      <c r="F202" s="105">
        <v>92368521</v>
      </c>
      <c r="G202" s="105">
        <v>187</v>
      </c>
      <c r="H202" t="s">
        <v>291</v>
      </c>
    </row>
    <row r="203" spans="1:8">
      <c r="A203" t="s">
        <v>292</v>
      </c>
      <c r="E203" t="s">
        <v>245</v>
      </c>
      <c r="F203" s="105">
        <v>92368521</v>
      </c>
      <c r="G203" s="105">
        <v>188</v>
      </c>
      <c r="H203" t="s">
        <v>293</v>
      </c>
    </row>
    <row r="204" spans="1:8">
      <c r="A204" t="s">
        <v>294</v>
      </c>
      <c r="E204" t="s">
        <v>245</v>
      </c>
      <c r="F204" s="105">
        <v>92368521</v>
      </c>
      <c r="G204" s="105">
        <v>188</v>
      </c>
      <c r="H204" t="s">
        <v>293</v>
      </c>
    </row>
    <row r="205" spans="1:8">
      <c r="A205">
        <v>241203</v>
      </c>
      <c r="E205" t="s">
        <v>165</v>
      </c>
      <c r="F205" s="105">
        <v>86937618</v>
      </c>
      <c r="G205" s="105">
        <v>225</v>
      </c>
      <c r="H205" t="s">
        <v>291</v>
      </c>
    </row>
    <row r="206" spans="1:8">
      <c r="A206" t="s">
        <v>295</v>
      </c>
      <c r="E206" t="s">
        <v>165</v>
      </c>
      <c r="F206" s="105">
        <v>86937618</v>
      </c>
      <c r="G206" s="105">
        <v>200</v>
      </c>
      <c r="H206" t="s">
        <v>293</v>
      </c>
    </row>
    <row r="207" spans="1:8">
      <c r="A207" t="s">
        <v>296</v>
      </c>
      <c r="E207" t="s">
        <v>165</v>
      </c>
      <c r="F207" s="105">
        <v>86937618</v>
      </c>
      <c r="G207" s="105">
        <v>225</v>
      </c>
      <c r="H207" t="s">
        <v>293</v>
      </c>
    </row>
    <row r="208" spans="1:8">
      <c r="A208">
        <v>241204</v>
      </c>
      <c r="E208" t="s">
        <v>183</v>
      </c>
      <c r="F208" s="105">
        <v>86937618</v>
      </c>
      <c r="G208" s="105">
        <v>150</v>
      </c>
      <c r="H208" t="s">
        <v>297</v>
      </c>
    </row>
    <row r="209" spans="1:8">
      <c r="A209" t="s">
        <v>298</v>
      </c>
      <c r="E209" t="s">
        <v>183</v>
      </c>
      <c r="F209" s="105">
        <v>86937618</v>
      </c>
      <c r="G209" s="105">
        <v>150</v>
      </c>
      <c r="H209" t="s">
        <v>293</v>
      </c>
    </row>
    <row r="210" spans="1:8">
      <c r="A210" t="s">
        <v>299</v>
      </c>
      <c r="E210" t="s">
        <v>183</v>
      </c>
      <c r="F210" s="105">
        <v>86937618</v>
      </c>
      <c r="G210" s="105">
        <v>150</v>
      </c>
      <c r="H210" t="s">
        <v>293</v>
      </c>
    </row>
    <row r="211" spans="1:8">
      <c r="A211">
        <v>241205</v>
      </c>
      <c r="E211" t="s">
        <v>300</v>
      </c>
      <c r="F211" s="105">
        <v>89662146</v>
      </c>
      <c r="G211" s="105">
        <v>106</v>
      </c>
    </row>
    <row r="212" spans="1:8">
      <c r="A212">
        <v>241206</v>
      </c>
      <c r="E212" t="s">
        <v>301</v>
      </c>
      <c r="F212" s="105">
        <v>92459749</v>
      </c>
      <c r="G212" s="105">
        <v>100</v>
      </c>
    </row>
    <row r="213" spans="1:8">
      <c r="A213">
        <v>241207</v>
      </c>
      <c r="E213">
        <v>1818509138</v>
      </c>
      <c r="G213" s="105">
        <v>30</v>
      </c>
      <c r="H213" t="s">
        <v>253</v>
      </c>
    </row>
    <row r="214" spans="1:8">
      <c r="A214">
        <v>241208</v>
      </c>
      <c r="E214" t="s">
        <v>302</v>
      </c>
      <c r="G214" s="105">
        <v>10</v>
      </c>
      <c r="H214" t="s">
        <v>303</v>
      </c>
    </row>
    <row r="215" spans="1:8">
      <c r="A215">
        <v>241209</v>
      </c>
      <c r="E215" t="s">
        <v>304</v>
      </c>
      <c r="F215" s="105">
        <v>92355253</v>
      </c>
      <c r="G215" s="105">
        <v>20</v>
      </c>
    </row>
    <row r="216" spans="1:8">
      <c r="A216">
        <v>241210</v>
      </c>
      <c r="E216" t="s">
        <v>305</v>
      </c>
      <c r="F216" s="105">
        <v>92355255</v>
      </c>
      <c r="G216" s="105">
        <v>20</v>
      </c>
    </row>
    <row r="217" spans="1:8">
      <c r="A217">
        <v>241211</v>
      </c>
      <c r="E217">
        <v>1818509634</v>
      </c>
      <c r="G217" s="105">
        <v>30</v>
      </c>
    </row>
    <row r="218" spans="1:8">
      <c r="A218">
        <v>241301</v>
      </c>
      <c r="E218" t="s">
        <v>183</v>
      </c>
      <c r="F218" s="105">
        <v>86937618</v>
      </c>
      <c r="G218" s="105">
        <v>150</v>
      </c>
    </row>
    <row r="219" spans="1:8">
      <c r="A219">
        <v>241302</v>
      </c>
      <c r="E219" t="s">
        <v>165</v>
      </c>
      <c r="F219" s="105">
        <v>86937618</v>
      </c>
      <c r="G219" s="105">
        <v>225</v>
      </c>
    </row>
    <row r="220" spans="1:8">
      <c r="A220">
        <v>241303</v>
      </c>
      <c r="E220" t="s">
        <v>245</v>
      </c>
      <c r="F220" s="105">
        <v>92368521</v>
      </c>
      <c r="G220" s="105">
        <v>188</v>
      </c>
    </row>
    <row r="221" spans="1:8">
      <c r="A221">
        <v>241304</v>
      </c>
      <c r="E221" t="s">
        <v>306</v>
      </c>
      <c r="G221" s="105">
        <v>22</v>
      </c>
    </row>
    <row r="222" spans="1:8">
      <c r="A222">
        <v>241305</v>
      </c>
      <c r="E222" t="s">
        <v>156</v>
      </c>
      <c r="F222" s="105">
        <v>88215373</v>
      </c>
      <c r="G222" s="105">
        <v>2000</v>
      </c>
    </row>
    <row r="223" spans="1:8">
      <c r="A223">
        <v>241306</v>
      </c>
      <c r="E223" t="s">
        <v>307</v>
      </c>
      <c r="G223" s="105">
        <v>24</v>
      </c>
    </row>
    <row r="224" spans="1:8">
      <c r="A224">
        <v>241307</v>
      </c>
      <c r="E224">
        <v>1535100044</v>
      </c>
      <c r="F224" s="105" t="s">
        <v>269</v>
      </c>
      <c r="G224" s="105">
        <v>500</v>
      </c>
    </row>
    <row r="225" spans="1:8">
      <c r="A225">
        <v>241308</v>
      </c>
      <c r="E225" t="s">
        <v>308</v>
      </c>
      <c r="G225" s="105">
        <v>23</v>
      </c>
    </row>
    <row r="226" spans="1:8">
      <c r="A226">
        <v>241309</v>
      </c>
      <c r="E226" t="s">
        <v>165</v>
      </c>
      <c r="F226" s="105">
        <v>86937618</v>
      </c>
      <c r="G226" s="105">
        <v>150</v>
      </c>
    </row>
    <row r="227" spans="1:8">
      <c r="A227">
        <v>241310</v>
      </c>
      <c r="E227" t="s">
        <v>309</v>
      </c>
      <c r="G227" s="105">
        <v>107</v>
      </c>
    </row>
    <row r="228" spans="1:8">
      <c r="A228">
        <v>241311</v>
      </c>
      <c r="E228" t="s">
        <v>261</v>
      </c>
      <c r="G228" s="105">
        <v>40</v>
      </c>
    </row>
    <row r="229" spans="1:8">
      <c r="A229">
        <v>241312</v>
      </c>
      <c r="E229" t="s">
        <v>308</v>
      </c>
      <c r="G229" s="105">
        <v>3</v>
      </c>
      <c r="H229" t="s">
        <v>310</v>
      </c>
    </row>
    <row r="230" spans="1:8">
      <c r="A230">
        <v>241313</v>
      </c>
      <c r="E230" t="s">
        <v>171</v>
      </c>
      <c r="G230" s="105">
        <v>1500</v>
      </c>
    </row>
    <row r="231" spans="1:8">
      <c r="A231">
        <v>241314</v>
      </c>
      <c r="E231" t="s">
        <v>165</v>
      </c>
      <c r="F231" s="105">
        <v>86937618</v>
      </c>
      <c r="G231" s="105">
        <v>200</v>
      </c>
    </row>
    <row r="232" spans="1:8">
      <c r="A232">
        <v>241315</v>
      </c>
      <c r="E232" t="s">
        <v>245</v>
      </c>
      <c r="F232" s="105">
        <v>93528583</v>
      </c>
      <c r="G232" s="105">
        <v>250</v>
      </c>
    </row>
    <row r="233" spans="1:8">
      <c r="A233">
        <v>241316</v>
      </c>
      <c r="E233" t="s">
        <v>311</v>
      </c>
      <c r="F233" s="105">
        <v>89662146</v>
      </c>
      <c r="G233" s="105">
        <v>5</v>
      </c>
    </row>
    <row r="234" spans="1:8">
      <c r="A234">
        <v>241317</v>
      </c>
      <c r="E234" t="s">
        <v>46</v>
      </c>
      <c r="G234" s="105">
        <v>3</v>
      </c>
    </row>
    <row r="235" spans="1:8">
      <c r="A235">
        <v>241401</v>
      </c>
      <c r="E235" t="s">
        <v>183</v>
      </c>
      <c r="F235" s="105">
        <v>86937618</v>
      </c>
      <c r="G235" s="105">
        <v>100</v>
      </c>
      <c r="H235" t="s">
        <v>312</v>
      </c>
    </row>
    <row r="236" spans="1:8">
      <c r="A236">
        <v>241402</v>
      </c>
      <c r="E236" t="s">
        <v>199</v>
      </c>
      <c r="F236" s="105">
        <v>89632366</v>
      </c>
      <c r="G236" s="105">
        <v>100</v>
      </c>
    </row>
    <row r="237" spans="1:8">
      <c r="A237">
        <v>241403</v>
      </c>
      <c r="E237" t="s">
        <v>46</v>
      </c>
      <c r="F237" s="105" t="s">
        <v>313</v>
      </c>
      <c r="G237" s="105">
        <v>50</v>
      </c>
    </row>
    <row r="238" spans="1:8">
      <c r="A238">
        <v>241404</v>
      </c>
      <c r="E238" t="s">
        <v>314</v>
      </c>
      <c r="F238" s="105">
        <v>92553780</v>
      </c>
      <c r="G238" s="105">
        <v>104</v>
      </c>
    </row>
    <row r="239" spans="1:8">
      <c r="A239">
        <v>241405</v>
      </c>
      <c r="E239" t="s">
        <v>33</v>
      </c>
      <c r="G239" s="105">
        <v>162</v>
      </c>
      <c r="H239" t="s">
        <v>315</v>
      </c>
    </row>
    <row r="240" spans="1:8">
      <c r="A240">
        <v>241406</v>
      </c>
      <c r="E240" t="s">
        <v>276</v>
      </c>
      <c r="F240" s="105">
        <v>93715168</v>
      </c>
      <c r="G240" s="105">
        <v>1500</v>
      </c>
    </row>
    <row r="241" spans="1:8">
      <c r="A241">
        <v>241407</v>
      </c>
      <c r="E241" t="s">
        <v>165</v>
      </c>
      <c r="F241" s="105">
        <v>86937618</v>
      </c>
      <c r="G241" s="105">
        <v>200</v>
      </c>
    </row>
    <row r="242" spans="1:8">
      <c r="A242">
        <v>241408</v>
      </c>
      <c r="E242" t="s">
        <v>316</v>
      </c>
      <c r="G242" s="105">
        <v>10</v>
      </c>
    </row>
    <row r="243" spans="1:8">
      <c r="A243">
        <v>241409</v>
      </c>
      <c r="E243" t="s">
        <v>317</v>
      </c>
      <c r="F243" s="105">
        <v>93880904</v>
      </c>
      <c r="G243" s="105">
        <v>1362</v>
      </c>
    </row>
    <row r="244" spans="1:8">
      <c r="A244">
        <v>241410</v>
      </c>
      <c r="E244" t="s">
        <v>318</v>
      </c>
      <c r="F244" s="105">
        <v>81795123</v>
      </c>
      <c r="G244" s="105">
        <v>200</v>
      </c>
      <c r="H244" t="s">
        <v>319</v>
      </c>
    </row>
    <row r="245" spans="1:8">
      <c r="A245">
        <v>241411</v>
      </c>
      <c r="E245" t="s">
        <v>245</v>
      </c>
      <c r="F245" s="105">
        <v>93528583</v>
      </c>
      <c r="G245" s="105">
        <v>250</v>
      </c>
    </row>
    <row r="246" spans="1:8">
      <c r="A246">
        <v>241412</v>
      </c>
      <c r="E246" t="s">
        <v>36</v>
      </c>
      <c r="G246" s="105">
        <v>30</v>
      </c>
    </row>
    <row r="247" spans="1:8">
      <c r="A247">
        <v>241413</v>
      </c>
      <c r="E247" t="s">
        <v>46</v>
      </c>
      <c r="F247" s="105" t="s">
        <v>313</v>
      </c>
      <c r="G247" s="105">
        <v>52</v>
      </c>
    </row>
    <row r="248" spans="1:8">
      <c r="A248">
        <v>241414</v>
      </c>
      <c r="E248" t="s">
        <v>320</v>
      </c>
      <c r="F248" s="105" t="s">
        <v>321</v>
      </c>
      <c r="G248" s="105">
        <v>20</v>
      </c>
    </row>
    <row r="249" spans="1:8">
      <c r="A249">
        <v>241415</v>
      </c>
      <c r="E249" t="s">
        <v>322</v>
      </c>
      <c r="G249" s="105">
        <v>2</v>
      </c>
    </row>
    <row r="250" spans="1:8">
      <c r="A250">
        <v>241416</v>
      </c>
      <c r="E250" t="s">
        <v>147</v>
      </c>
      <c r="F250" s="105">
        <v>90536319</v>
      </c>
      <c r="G250" s="105">
        <v>100</v>
      </c>
    </row>
    <row r="251" spans="1:8">
      <c r="A251">
        <v>241501</v>
      </c>
      <c r="E251" t="s">
        <v>158</v>
      </c>
      <c r="F251" s="105">
        <v>93881353</v>
      </c>
      <c r="G251" s="105">
        <v>207</v>
      </c>
    </row>
    <row r="252" spans="1:8">
      <c r="A252">
        <v>241502</v>
      </c>
      <c r="E252" t="s">
        <v>323</v>
      </c>
      <c r="F252" s="105">
        <v>689308</v>
      </c>
      <c r="G252" s="105">
        <v>5</v>
      </c>
    </row>
    <row r="253" spans="1:8">
      <c r="A253">
        <v>241503</v>
      </c>
      <c r="E253" t="s">
        <v>323</v>
      </c>
      <c r="F253" s="105">
        <v>689308</v>
      </c>
      <c r="G253" s="105">
        <v>100</v>
      </c>
    </row>
    <row r="254" spans="1:8">
      <c r="A254">
        <v>241504</v>
      </c>
      <c r="E254" t="s">
        <v>243</v>
      </c>
      <c r="F254" s="105">
        <v>93104056</v>
      </c>
      <c r="G254" s="105">
        <v>97</v>
      </c>
    </row>
    <row r="255" spans="1:8">
      <c r="A255">
        <v>241505</v>
      </c>
      <c r="E255" t="s">
        <v>165</v>
      </c>
      <c r="F255" s="105">
        <v>86937618</v>
      </c>
      <c r="G255" s="105">
        <v>300</v>
      </c>
      <c r="H255" t="s">
        <v>324</v>
      </c>
    </row>
    <row r="256" spans="1:8">
      <c r="A256">
        <v>241506</v>
      </c>
      <c r="E256" t="s">
        <v>199</v>
      </c>
      <c r="F256" s="105">
        <v>89632366</v>
      </c>
      <c r="G256" s="105">
        <v>200</v>
      </c>
      <c r="H256" t="s">
        <v>325</v>
      </c>
    </row>
    <row r="257" spans="1:8">
      <c r="A257">
        <v>241507</v>
      </c>
      <c r="E257" t="s">
        <v>245</v>
      </c>
      <c r="F257" s="105">
        <v>93528583</v>
      </c>
      <c r="G257" s="105">
        <v>250</v>
      </c>
    </row>
    <row r="258" spans="1:8">
      <c r="A258">
        <v>241508</v>
      </c>
      <c r="E258" t="s">
        <v>326</v>
      </c>
      <c r="F258" s="105">
        <v>81795123</v>
      </c>
      <c r="G258" s="105">
        <v>200</v>
      </c>
      <c r="H258" t="s">
        <v>324</v>
      </c>
    </row>
    <row r="259" spans="1:8">
      <c r="A259">
        <v>241509</v>
      </c>
      <c r="E259" t="s">
        <v>46</v>
      </c>
      <c r="F259" s="105" t="s">
        <v>313</v>
      </c>
      <c r="G259" s="105">
        <v>36</v>
      </c>
    </row>
    <row r="260" spans="1:8">
      <c r="A260">
        <v>241510</v>
      </c>
      <c r="E260" t="s">
        <v>327</v>
      </c>
      <c r="G260" s="105">
        <v>100</v>
      </c>
    </row>
    <row r="261" spans="1:8">
      <c r="A261">
        <v>241511</v>
      </c>
      <c r="E261" t="s">
        <v>202</v>
      </c>
      <c r="G261" s="105">
        <v>600</v>
      </c>
    </row>
    <row r="262" spans="1:8">
      <c r="A262">
        <v>241512</v>
      </c>
      <c r="E262" t="s">
        <v>320</v>
      </c>
      <c r="G262" s="105">
        <v>52</v>
      </c>
    </row>
    <row r="263" spans="1:8">
      <c r="A263">
        <v>241513</v>
      </c>
      <c r="E263" t="s">
        <v>328</v>
      </c>
      <c r="G263" s="105">
        <v>500</v>
      </c>
    </row>
    <row r="264" spans="1:8">
      <c r="A264">
        <v>241514</v>
      </c>
      <c r="E264">
        <v>1535100046</v>
      </c>
      <c r="G264" s="105">
        <v>200</v>
      </c>
    </row>
    <row r="265" spans="1:8">
      <c r="A265">
        <v>241515</v>
      </c>
      <c r="E265" t="s">
        <v>165</v>
      </c>
      <c r="F265" s="105">
        <v>86937618</v>
      </c>
      <c r="G265" s="105">
        <v>300</v>
      </c>
    </row>
    <row r="266" spans="1:8">
      <c r="A266">
        <v>241516</v>
      </c>
      <c r="E266" t="s">
        <v>245</v>
      </c>
      <c r="F266" s="105">
        <v>93528583</v>
      </c>
      <c r="G266" s="105">
        <v>250</v>
      </c>
    </row>
    <row r="267" spans="1:8">
      <c r="A267">
        <v>241517</v>
      </c>
      <c r="E267" t="s">
        <v>329</v>
      </c>
      <c r="F267" s="105" t="s">
        <v>313</v>
      </c>
      <c r="G267" s="105">
        <v>10</v>
      </c>
    </row>
    <row r="268" spans="1:8">
      <c r="A268">
        <v>241518</v>
      </c>
      <c r="E268" t="s">
        <v>330</v>
      </c>
      <c r="G268" s="105">
        <v>50</v>
      </c>
    </row>
    <row r="269" spans="1:8">
      <c r="A269">
        <v>241519</v>
      </c>
      <c r="E269" t="s">
        <v>245</v>
      </c>
      <c r="F269" s="105">
        <v>93528583</v>
      </c>
      <c r="G269" s="105">
        <v>250</v>
      </c>
    </row>
    <row r="270" spans="1:8">
      <c r="A270">
        <v>241520</v>
      </c>
      <c r="E270" t="s">
        <v>245</v>
      </c>
      <c r="F270" s="105">
        <v>93528583</v>
      </c>
      <c r="G270" s="105">
        <v>325</v>
      </c>
      <c r="H270" t="s">
        <v>331</v>
      </c>
    </row>
    <row r="271" spans="1:8">
      <c r="A271">
        <v>241601</v>
      </c>
      <c r="E271" t="s">
        <v>261</v>
      </c>
      <c r="G271" s="105">
        <v>117</v>
      </c>
    </row>
    <row r="272" spans="1:8">
      <c r="A272">
        <v>241602</v>
      </c>
      <c r="E272" t="s">
        <v>309</v>
      </c>
      <c r="G272" s="105">
        <v>140</v>
      </c>
    </row>
    <row r="273" spans="1:8">
      <c r="A273">
        <v>241603</v>
      </c>
      <c r="E273" t="s">
        <v>202</v>
      </c>
      <c r="G273" s="105">
        <v>600</v>
      </c>
      <c r="H273" t="s">
        <v>332</v>
      </c>
    </row>
    <row r="274" spans="1:8">
      <c r="A274">
        <v>241604</v>
      </c>
      <c r="E274" t="s">
        <v>328</v>
      </c>
      <c r="F274" s="105">
        <v>93881354</v>
      </c>
      <c r="G274" s="105" t="s">
        <v>333</v>
      </c>
    </row>
    <row r="275" spans="1:8">
      <c r="A275">
        <v>241605</v>
      </c>
      <c r="E275" t="s">
        <v>326</v>
      </c>
      <c r="F275" s="105">
        <v>81795123</v>
      </c>
      <c r="G275" s="105" t="s">
        <v>218</v>
      </c>
    </row>
    <row r="276" spans="1:8">
      <c r="A276">
        <v>241606</v>
      </c>
      <c r="E276" t="s">
        <v>334</v>
      </c>
      <c r="G276" s="105">
        <v>8</v>
      </c>
      <c r="H276" t="s">
        <v>335</v>
      </c>
    </row>
    <row r="277" spans="1:8">
      <c r="A277">
        <v>241607</v>
      </c>
      <c r="E277" t="s">
        <v>336</v>
      </c>
      <c r="G277" s="105">
        <v>8</v>
      </c>
    </row>
    <row r="278" spans="1:8">
      <c r="A278">
        <v>241608</v>
      </c>
      <c r="E278">
        <v>1813218050</v>
      </c>
      <c r="G278" s="105">
        <v>355</v>
      </c>
    </row>
    <row r="279" spans="1:8">
      <c r="A279">
        <v>241609</v>
      </c>
      <c r="E279" t="s">
        <v>34</v>
      </c>
      <c r="G279" s="105">
        <v>100</v>
      </c>
    </row>
    <row r="280" spans="1:8">
      <c r="A280">
        <v>241610</v>
      </c>
      <c r="E280" t="s">
        <v>337</v>
      </c>
      <c r="G280" s="105">
        <v>33</v>
      </c>
    </row>
    <row r="281" spans="1:8">
      <c r="A281">
        <v>241611</v>
      </c>
      <c r="E281" t="s">
        <v>338</v>
      </c>
      <c r="G281" s="105">
        <v>8</v>
      </c>
    </row>
    <row r="282" spans="1:8">
      <c r="A282">
        <v>241612</v>
      </c>
      <c r="E282" t="s">
        <v>339</v>
      </c>
      <c r="G282" s="105">
        <v>8</v>
      </c>
    </row>
    <row r="283" spans="1:8">
      <c r="A283">
        <v>241613</v>
      </c>
      <c r="E283" t="s">
        <v>340</v>
      </c>
      <c r="F283" s="105">
        <v>89593261</v>
      </c>
      <c r="G283" s="105">
        <v>203</v>
      </c>
    </row>
    <row r="284" spans="1:8">
      <c r="A284">
        <v>241614</v>
      </c>
      <c r="E284" t="s">
        <v>314</v>
      </c>
      <c r="F284" s="105">
        <v>92553780</v>
      </c>
      <c r="G284" s="105">
        <v>5</v>
      </c>
    </row>
    <row r="285" spans="1:8">
      <c r="A285">
        <v>241615</v>
      </c>
      <c r="E285" t="s">
        <v>36</v>
      </c>
      <c r="G285" s="105">
        <v>80</v>
      </c>
    </row>
    <row r="286" spans="1:8">
      <c r="A286">
        <v>241701</v>
      </c>
      <c r="E286" t="s">
        <v>183</v>
      </c>
      <c r="F286" s="105">
        <v>86937618</v>
      </c>
      <c r="G286" s="105">
        <v>200</v>
      </c>
    </row>
    <row r="287" spans="1:8">
      <c r="A287">
        <v>241702</v>
      </c>
      <c r="E287" t="s">
        <v>40</v>
      </c>
      <c r="G287" s="105">
        <v>142</v>
      </c>
    </row>
    <row r="288" spans="1:8">
      <c r="A288">
        <v>241703</v>
      </c>
      <c r="E288" t="s">
        <v>245</v>
      </c>
      <c r="F288" s="105">
        <v>93528583</v>
      </c>
      <c r="G288" s="105">
        <v>175</v>
      </c>
    </row>
    <row r="289" spans="1:8">
      <c r="A289">
        <v>241704</v>
      </c>
      <c r="E289" t="s">
        <v>314</v>
      </c>
      <c r="F289" s="105">
        <v>94306585</v>
      </c>
      <c r="G289" s="105">
        <v>152</v>
      </c>
    </row>
    <row r="290" spans="1:8">
      <c r="A290">
        <v>241706</v>
      </c>
      <c r="E290" t="s">
        <v>165</v>
      </c>
      <c r="G290" s="105">
        <v>200</v>
      </c>
    </row>
    <row r="291" spans="1:8">
      <c r="A291">
        <v>241707</v>
      </c>
      <c r="E291" t="s">
        <v>336</v>
      </c>
      <c r="G291" s="105">
        <v>8</v>
      </c>
    </row>
    <row r="292" spans="1:8">
      <c r="A292">
        <v>241705</v>
      </c>
      <c r="E292" t="s">
        <v>341</v>
      </c>
      <c r="G292" s="105">
        <v>250</v>
      </c>
    </row>
    <row r="293" spans="1:8">
      <c r="A293">
        <v>241708</v>
      </c>
      <c r="E293" t="s">
        <v>46</v>
      </c>
      <c r="G293" s="105">
        <v>96</v>
      </c>
    </row>
    <row r="294" spans="1:8">
      <c r="A294">
        <v>241709</v>
      </c>
      <c r="E294" t="s">
        <v>228</v>
      </c>
      <c r="G294" s="105">
        <v>600</v>
      </c>
    </row>
    <row r="295" spans="1:8">
      <c r="A295">
        <v>241710</v>
      </c>
      <c r="E295" t="s">
        <v>340</v>
      </c>
      <c r="F295" s="105">
        <v>89593261</v>
      </c>
      <c r="G295" s="105">
        <v>5</v>
      </c>
    </row>
    <row r="296" spans="1:8">
      <c r="A296">
        <v>241711</v>
      </c>
      <c r="E296" t="s">
        <v>158</v>
      </c>
      <c r="F296" s="105">
        <v>93881353</v>
      </c>
      <c r="G296" s="105">
        <v>303</v>
      </c>
      <c r="H296" t="s">
        <v>342</v>
      </c>
    </row>
    <row r="297" spans="1:8">
      <c r="A297">
        <v>241712</v>
      </c>
      <c r="E297" t="s">
        <v>327</v>
      </c>
      <c r="G297" s="105">
        <v>16</v>
      </c>
    </row>
    <row r="298" spans="1:8">
      <c r="A298">
        <v>241713</v>
      </c>
      <c r="E298" t="s">
        <v>35</v>
      </c>
      <c r="G298" s="105">
        <v>40</v>
      </c>
    </row>
    <row r="299" spans="1:8">
      <c r="A299">
        <v>241714</v>
      </c>
      <c r="E299" t="s">
        <v>165</v>
      </c>
      <c r="F299" s="105">
        <v>86937618</v>
      </c>
      <c r="G299" s="105">
        <v>204</v>
      </c>
      <c r="H299" t="s">
        <v>343</v>
      </c>
    </row>
    <row r="300" spans="1:8">
      <c r="A300">
        <v>241715</v>
      </c>
      <c r="E300" t="s">
        <v>276</v>
      </c>
      <c r="F300" s="105">
        <v>93715168</v>
      </c>
      <c r="G300" s="105" t="s">
        <v>167</v>
      </c>
    </row>
    <row r="301" spans="1:8">
      <c r="A301">
        <v>241716</v>
      </c>
      <c r="E301" t="s">
        <v>344</v>
      </c>
      <c r="G301" s="105">
        <v>24</v>
      </c>
    </row>
    <row r="302" spans="1:8">
      <c r="A302">
        <v>241717</v>
      </c>
      <c r="E302" t="s">
        <v>191</v>
      </c>
      <c r="G302" s="105">
        <v>50</v>
      </c>
    </row>
    <row r="303" spans="1:8">
      <c r="A303">
        <v>241718</v>
      </c>
      <c r="E303" t="s">
        <v>165</v>
      </c>
      <c r="F303" s="105">
        <v>86937618</v>
      </c>
      <c r="G303" s="105">
        <v>250</v>
      </c>
    </row>
    <row r="304" spans="1:8">
      <c r="A304">
        <v>241719</v>
      </c>
      <c r="E304" t="s">
        <v>264</v>
      </c>
      <c r="F304" s="105">
        <v>94977481</v>
      </c>
      <c r="G304" s="105">
        <v>1379</v>
      </c>
    </row>
    <row r="305" spans="1:8">
      <c r="A305">
        <v>241720</v>
      </c>
      <c r="E305" t="s">
        <v>345</v>
      </c>
      <c r="G305" s="105">
        <v>32</v>
      </c>
    </row>
    <row r="306" spans="1:8">
      <c r="A306">
        <v>241721</v>
      </c>
      <c r="E306" t="s">
        <v>346</v>
      </c>
      <c r="G306" s="105">
        <v>40</v>
      </c>
    </row>
    <row r="307" spans="1:8">
      <c r="A307">
        <v>241722</v>
      </c>
      <c r="E307" t="s">
        <v>199</v>
      </c>
      <c r="F307" s="105">
        <v>89632366</v>
      </c>
      <c r="G307" s="105">
        <v>350</v>
      </c>
    </row>
    <row r="308" spans="1:8">
      <c r="A308">
        <v>241801</v>
      </c>
      <c r="E308" t="s">
        <v>341</v>
      </c>
      <c r="F308" s="105">
        <v>92926691</v>
      </c>
      <c r="G308" s="105">
        <v>250</v>
      </c>
    </row>
    <row r="309" spans="1:8">
      <c r="A309">
        <v>241802</v>
      </c>
      <c r="E309">
        <v>1535100045</v>
      </c>
    </row>
    <row r="310" spans="1:8">
      <c r="A310">
        <v>241803</v>
      </c>
      <c r="E310" t="s">
        <v>245</v>
      </c>
      <c r="F310" s="105">
        <v>93528583</v>
      </c>
      <c r="G310" s="105">
        <v>200</v>
      </c>
    </row>
    <row r="311" spans="1:8">
      <c r="A311">
        <v>241804</v>
      </c>
      <c r="E311" t="s">
        <v>347</v>
      </c>
      <c r="G311" s="105">
        <v>200</v>
      </c>
    </row>
    <row r="312" spans="1:8">
      <c r="A312">
        <v>241805</v>
      </c>
      <c r="E312" t="s">
        <v>228</v>
      </c>
      <c r="G312" s="105">
        <v>600</v>
      </c>
      <c r="H312" t="s">
        <v>332</v>
      </c>
    </row>
    <row r="313" spans="1:8">
      <c r="A313">
        <v>241806</v>
      </c>
      <c r="E313" t="s">
        <v>156</v>
      </c>
      <c r="G313" s="105">
        <v>1500</v>
      </c>
      <c r="H313" t="s">
        <v>348</v>
      </c>
    </row>
    <row r="314" spans="1:8">
      <c r="A314">
        <v>241807</v>
      </c>
      <c r="E314" t="s">
        <v>183</v>
      </c>
      <c r="G314" s="105">
        <v>100</v>
      </c>
      <c r="H314" t="s">
        <v>349</v>
      </c>
    </row>
    <row r="315" spans="1:8">
      <c r="A315">
        <v>241808</v>
      </c>
      <c r="E315" t="s">
        <v>309</v>
      </c>
      <c r="G315" s="105">
        <v>44</v>
      </c>
      <c r="H315" t="s">
        <v>348</v>
      </c>
    </row>
    <row r="316" spans="1:8">
      <c r="A316">
        <v>241809</v>
      </c>
      <c r="E316" t="s">
        <v>171</v>
      </c>
      <c r="G316" s="105">
        <v>2100</v>
      </c>
      <c r="H316" t="s">
        <v>348</v>
      </c>
    </row>
    <row r="317" spans="1:8">
      <c r="A317">
        <v>241901</v>
      </c>
      <c r="E317" t="s">
        <v>350</v>
      </c>
      <c r="G317" s="105">
        <v>45</v>
      </c>
    </row>
    <row r="318" spans="1:8">
      <c r="A318">
        <v>241902</v>
      </c>
      <c r="E318" t="s">
        <v>43</v>
      </c>
      <c r="G318" s="105">
        <v>27</v>
      </c>
    </row>
    <row r="319" spans="1:8">
      <c r="A319">
        <v>241903</v>
      </c>
      <c r="E319" t="s">
        <v>268</v>
      </c>
      <c r="G319" s="105">
        <v>32</v>
      </c>
    </row>
    <row r="320" spans="1:8">
      <c r="A320">
        <v>241904</v>
      </c>
      <c r="E320" t="s">
        <v>351</v>
      </c>
      <c r="G320" s="105">
        <v>25</v>
      </c>
      <c r="H320" t="s">
        <v>348</v>
      </c>
    </row>
    <row r="321" spans="1:8">
      <c r="A321">
        <v>241905</v>
      </c>
      <c r="E321" t="s">
        <v>351</v>
      </c>
      <c r="G321" s="105">
        <v>100</v>
      </c>
      <c r="H321" t="s">
        <v>348</v>
      </c>
    </row>
    <row r="322" spans="1:8">
      <c r="A322">
        <v>241906</v>
      </c>
      <c r="E322" t="s">
        <v>264</v>
      </c>
      <c r="F322" s="105">
        <v>94977481</v>
      </c>
      <c r="G322" s="105">
        <v>1500</v>
      </c>
    </row>
    <row r="323" spans="1:8">
      <c r="A323">
        <v>241907</v>
      </c>
      <c r="E323" t="s">
        <v>352</v>
      </c>
      <c r="F323" s="105">
        <v>87385923</v>
      </c>
      <c r="G323" s="105">
        <v>100</v>
      </c>
    </row>
    <row r="324" spans="1:8">
      <c r="A324">
        <v>241908</v>
      </c>
      <c r="E324" t="s">
        <v>87</v>
      </c>
      <c r="G324" s="105">
        <v>976</v>
      </c>
    </row>
    <row r="325" spans="1:8">
      <c r="A325">
        <v>241909</v>
      </c>
      <c r="E325" t="s">
        <v>161</v>
      </c>
      <c r="G325" s="105">
        <v>1042</v>
      </c>
    </row>
    <row r="326" spans="1:8">
      <c r="A326">
        <v>241910</v>
      </c>
      <c r="E326" t="s">
        <v>341</v>
      </c>
      <c r="F326" s="105">
        <v>92926691</v>
      </c>
      <c r="G326" s="105">
        <v>5</v>
      </c>
      <c r="H326" t="s">
        <v>310</v>
      </c>
    </row>
    <row r="327" spans="1:8">
      <c r="A327">
        <v>241911</v>
      </c>
      <c r="E327" t="s">
        <v>353</v>
      </c>
      <c r="F327" s="105">
        <v>87129176</v>
      </c>
      <c r="G327" s="105">
        <v>20</v>
      </c>
    </row>
    <row r="328" spans="1:8">
      <c r="A328">
        <v>242001</v>
      </c>
      <c r="E328" t="s">
        <v>341</v>
      </c>
      <c r="F328" s="105">
        <v>92926691</v>
      </c>
      <c r="G328" s="105">
        <v>1400</v>
      </c>
    </row>
    <row r="329" spans="1:8">
      <c r="A329">
        <v>242002</v>
      </c>
      <c r="E329" t="s">
        <v>165</v>
      </c>
      <c r="F329" s="105">
        <v>86937618</v>
      </c>
      <c r="G329" s="105">
        <v>512</v>
      </c>
    </row>
    <row r="330" spans="1:8">
      <c r="A330">
        <v>242003</v>
      </c>
      <c r="E330" t="s">
        <v>245</v>
      </c>
      <c r="F330" s="105">
        <v>93528583</v>
      </c>
      <c r="G330" s="105">
        <v>200</v>
      </c>
    </row>
    <row r="331" spans="1:8">
      <c r="A331">
        <v>242004</v>
      </c>
      <c r="E331" t="s">
        <v>352</v>
      </c>
      <c r="G331" s="105">
        <v>250</v>
      </c>
    </row>
    <row r="332" spans="1:8">
      <c r="A332">
        <v>242005</v>
      </c>
      <c r="E332" t="s">
        <v>156</v>
      </c>
      <c r="F332" s="105">
        <v>94417600</v>
      </c>
      <c r="G332" s="105">
        <v>1500</v>
      </c>
    </row>
    <row r="333" spans="1:8">
      <c r="A333">
        <v>242006</v>
      </c>
      <c r="E333" t="s">
        <v>199</v>
      </c>
      <c r="F333" s="105">
        <v>89632366</v>
      </c>
      <c r="G333" s="105">
        <v>300</v>
      </c>
    </row>
    <row r="334" spans="1:8">
      <c r="A334">
        <v>242007</v>
      </c>
      <c r="E334" t="s">
        <v>354</v>
      </c>
      <c r="F334" s="105">
        <v>689308</v>
      </c>
      <c r="G334" s="105">
        <v>100</v>
      </c>
    </row>
    <row r="335" spans="1:8">
      <c r="A335">
        <v>242008</v>
      </c>
      <c r="E335" t="s">
        <v>355</v>
      </c>
      <c r="G335" s="105">
        <v>360</v>
      </c>
    </row>
    <row r="336" spans="1:8">
      <c r="A336">
        <v>242009</v>
      </c>
      <c r="E336" t="s">
        <v>354</v>
      </c>
      <c r="F336" s="105">
        <v>689308</v>
      </c>
      <c r="G336" s="105">
        <v>5</v>
      </c>
    </row>
    <row r="337" spans="1:8">
      <c r="A337">
        <v>242010</v>
      </c>
      <c r="E337" t="s">
        <v>338</v>
      </c>
      <c r="F337" s="105">
        <v>84897137</v>
      </c>
      <c r="G337" s="105">
        <v>8</v>
      </c>
    </row>
    <row r="338" spans="1:8">
      <c r="A338">
        <v>242011</v>
      </c>
      <c r="E338" t="s">
        <v>356</v>
      </c>
      <c r="G338" s="105">
        <v>39</v>
      </c>
    </row>
    <row r="339" spans="1:8">
      <c r="A339">
        <v>242012</v>
      </c>
      <c r="E339">
        <v>1813218050</v>
      </c>
      <c r="G339" s="105">
        <v>250</v>
      </c>
      <c r="H339" t="s">
        <v>332</v>
      </c>
    </row>
    <row r="340" spans="1:8">
      <c r="A340">
        <v>242101</v>
      </c>
      <c r="E340" t="s">
        <v>147</v>
      </c>
      <c r="F340" s="105">
        <v>90536319</v>
      </c>
      <c r="G340" s="105">
        <v>300</v>
      </c>
      <c r="H340" t="s">
        <v>357</v>
      </c>
    </row>
    <row r="341" spans="1:8">
      <c r="A341">
        <v>242102</v>
      </c>
      <c r="E341" t="s">
        <v>87</v>
      </c>
      <c r="F341" s="105">
        <v>95741965</v>
      </c>
      <c r="G341" s="105">
        <v>164</v>
      </c>
      <c r="H341" t="s">
        <v>167</v>
      </c>
    </row>
    <row r="342" spans="1:8">
      <c r="A342">
        <v>242103</v>
      </c>
      <c r="E342" t="s">
        <v>202</v>
      </c>
      <c r="G342" s="105">
        <v>680</v>
      </c>
      <c r="H342" t="s">
        <v>358</v>
      </c>
    </row>
    <row r="343" spans="1:8">
      <c r="A343">
        <v>242104</v>
      </c>
      <c r="E343" t="s">
        <v>351</v>
      </c>
      <c r="G343" s="105">
        <v>70</v>
      </c>
    </row>
    <row r="344" spans="1:8">
      <c r="A344">
        <v>242105</v>
      </c>
      <c r="E344" t="s">
        <v>191</v>
      </c>
      <c r="G344" s="105">
        <v>40</v>
      </c>
    </row>
    <row r="345" spans="1:8">
      <c r="A345">
        <v>242106</v>
      </c>
      <c r="E345" t="s">
        <v>183</v>
      </c>
      <c r="F345" s="105">
        <v>86937618</v>
      </c>
      <c r="G345" s="105">
        <v>50</v>
      </c>
    </row>
    <row r="346" spans="1:8">
      <c r="A346">
        <v>242107</v>
      </c>
      <c r="E346" t="s">
        <v>165</v>
      </c>
      <c r="F346" s="105">
        <v>86937618</v>
      </c>
      <c r="G346" s="105">
        <v>430</v>
      </c>
    </row>
    <row r="347" spans="1:8">
      <c r="A347">
        <v>242108</v>
      </c>
      <c r="E347" t="s">
        <v>147</v>
      </c>
      <c r="F347" s="105">
        <v>90536319</v>
      </c>
      <c r="G347" s="105">
        <v>300</v>
      </c>
    </row>
    <row r="348" spans="1:8">
      <c r="A348">
        <v>242109</v>
      </c>
      <c r="E348" t="s">
        <v>352</v>
      </c>
      <c r="F348" s="105">
        <v>61907777</v>
      </c>
      <c r="G348" s="105">
        <v>14</v>
      </c>
    </row>
    <row r="349" spans="1:8">
      <c r="A349">
        <v>242110</v>
      </c>
      <c r="E349" t="s">
        <v>352</v>
      </c>
      <c r="F349" s="105">
        <v>87385923</v>
      </c>
      <c r="G349" s="105">
        <v>50</v>
      </c>
    </row>
    <row r="350" spans="1:8">
      <c r="A350">
        <v>242111</v>
      </c>
      <c r="E350" t="s">
        <v>199</v>
      </c>
      <c r="G350" s="105">
        <v>137</v>
      </c>
      <c r="H350" t="s">
        <v>359</v>
      </c>
    </row>
    <row r="351" spans="1:8">
      <c r="A351">
        <v>242112</v>
      </c>
      <c r="E351" t="s">
        <v>360</v>
      </c>
      <c r="F351" s="105">
        <v>219835</v>
      </c>
      <c r="G351" s="105">
        <v>30</v>
      </c>
    </row>
    <row r="352" spans="1:8">
      <c r="A352">
        <v>242113</v>
      </c>
      <c r="E352" t="s">
        <v>351</v>
      </c>
      <c r="G352" s="105">
        <v>70</v>
      </c>
    </row>
    <row r="353" spans="1:8">
      <c r="A353">
        <v>242114</v>
      </c>
      <c r="E353" t="s">
        <v>361</v>
      </c>
      <c r="G353" s="105">
        <v>96</v>
      </c>
    </row>
    <row r="354" spans="1:8">
      <c r="A354">
        <v>242115</v>
      </c>
      <c r="E354" t="s">
        <v>362</v>
      </c>
      <c r="G354" s="105">
        <v>800</v>
      </c>
    </row>
    <row r="355" spans="1:8">
      <c r="A355">
        <v>242116</v>
      </c>
      <c r="E355" t="s">
        <v>363</v>
      </c>
      <c r="F355" s="105">
        <v>93269993</v>
      </c>
      <c r="G355" s="105">
        <v>123</v>
      </c>
    </row>
    <row r="356" spans="1:8">
      <c r="A356">
        <v>242117</v>
      </c>
      <c r="E356" t="s">
        <v>245</v>
      </c>
      <c r="F356" s="105">
        <v>94860033</v>
      </c>
      <c r="G356" s="105">
        <v>723</v>
      </c>
    </row>
    <row r="357" spans="1:8">
      <c r="A357">
        <v>242118</v>
      </c>
      <c r="E357" t="s">
        <v>161</v>
      </c>
      <c r="F357" s="105">
        <v>95796670</v>
      </c>
      <c r="G357" s="105">
        <v>77</v>
      </c>
      <c r="H357" t="s">
        <v>167</v>
      </c>
    </row>
    <row r="358" spans="1:8">
      <c r="A358">
        <v>242201</v>
      </c>
      <c r="E358" t="s">
        <v>147</v>
      </c>
      <c r="F358" s="105">
        <v>90536319</v>
      </c>
      <c r="G358" s="105">
        <v>300</v>
      </c>
      <c r="H358" t="s">
        <v>364</v>
      </c>
    </row>
    <row r="359" spans="1:8">
      <c r="A359">
        <v>242202</v>
      </c>
      <c r="E359" t="s">
        <v>156</v>
      </c>
      <c r="F359" s="105">
        <v>95210279</v>
      </c>
      <c r="G359" s="105">
        <v>3000</v>
      </c>
    </row>
    <row r="360" spans="1:8">
      <c r="A360">
        <v>242203</v>
      </c>
      <c r="E360" t="s">
        <v>171</v>
      </c>
      <c r="F360" s="105">
        <v>93112189</v>
      </c>
      <c r="G360" s="105">
        <v>2000</v>
      </c>
    </row>
    <row r="361" spans="1:8">
      <c r="A361">
        <v>242204</v>
      </c>
      <c r="E361" t="s">
        <v>264</v>
      </c>
      <c r="F361" s="105">
        <v>95810167</v>
      </c>
      <c r="G361" s="105">
        <v>804</v>
      </c>
    </row>
    <row r="362" spans="1:8">
      <c r="A362">
        <v>242205</v>
      </c>
      <c r="E362" t="s">
        <v>365</v>
      </c>
      <c r="F362" s="105" t="s">
        <v>366</v>
      </c>
      <c r="G362" s="105">
        <v>40</v>
      </c>
    </row>
    <row r="363" spans="1:8">
      <c r="A363">
        <v>242206</v>
      </c>
      <c r="E363" t="s">
        <v>367</v>
      </c>
      <c r="G363" s="105">
        <v>65</v>
      </c>
      <c r="H363" t="s">
        <v>368</v>
      </c>
    </row>
    <row r="364" spans="1:8">
      <c r="A364">
        <v>242207</v>
      </c>
      <c r="E364" t="s">
        <v>350</v>
      </c>
      <c r="G364" s="105">
        <v>121</v>
      </c>
    </row>
    <row r="365" spans="1:8">
      <c r="A365">
        <v>242208</v>
      </c>
      <c r="E365" t="s">
        <v>369</v>
      </c>
      <c r="G365" s="105">
        <v>68</v>
      </c>
    </row>
    <row r="366" spans="1:8">
      <c r="A366">
        <v>242209</v>
      </c>
      <c r="E366" t="s">
        <v>42</v>
      </c>
      <c r="G366" s="105">
        <v>16</v>
      </c>
      <c r="H366" t="s">
        <v>269</v>
      </c>
    </row>
    <row r="367" spans="1:8">
      <c r="A367">
        <v>242210</v>
      </c>
      <c r="E367" t="s">
        <v>370</v>
      </c>
      <c r="F367" s="105">
        <v>70355722</v>
      </c>
      <c r="G367" s="105">
        <v>20</v>
      </c>
    </row>
    <row r="368" spans="1:8">
      <c r="A368">
        <v>242211</v>
      </c>
      <c r="E368" t="s">
        <v>371</v>
      </c>
      <c r="F368" s="105" t="s">
        <v>372</v>
      </c>
      <c r="G368" s="105">
        <v>68</v>
      </c>
    </row>
    <row r="369" spans="1:8">
      <c r="A369">
        <v>242212</v>
      </c>
      <c r="E369" t="s">
        <v>373</v>
      </c>
      <c r="G369" s="105">
        <v>68</v>
      </c>
    </row>
    <row r="370" spans="1:8">
      <c r="A370">
        <v>242213</v>
      </c>
      <c r="E370" t="s">
        <v>374</v>
      </c>
      <c r="G370" s="105">
        <v>66</v>
      </c>
      <c r="H370" t="s">
        <v>375</v>
      </c>
    </row>
    <row r="371" spans="1:8">
      <c r="A371">
        <v>242214</v>
      </c>
      <c r="E371" t="s">
        <v>376</v>
      </c>
      <c r="G371" s="105">
        <v>5</v>
      </c>
      <c r="H371" t="s">
        <v>375</v>
      </c>
    </row>
    <row r="372" spans="1:8">
      <c r="A372">
        <v>242215</v>
      </c>
      <c r="E372" t="s">
        <v>377</v>
      </c>
      <c r="G372" s="105">
        <v>5</v>
      </c>
      <c r="H372" t="s">
        <v>375</v>
      </c>
    </row>
    <row r="373" spans="1:8">
      <c r="A373">
        <v>242216</v>
      </c>
      <c r="E373" t="s">
        <v>378</v>
      </c>
      <c r="G373" s="105">
        <v>5</v>
      </c>
      <c r="H373" t="s">
        <v>375</v>
      </c>
    </row>
    <row r="374" spans="1:8">
      <c r="A374">
        <v>242217</v>
      </c>
      <c r="E374" t="s">
        <v>245</v>
      </c>
      <c r="F374" s="105">
        <v>94860033</v>
      </c>
      <c r="G374" s="105">
        <v>800</v>
      </c>
    </row>
    <row r="375" spans="1:8">
      <c r="A375">
        <v>242301</v>
      </c>
      <c r="E375" t="s">
        <v>374</v>
      </c>
      <c r="G375" s="105">
        <v>2</v>
      </c>
      <c r="H375" t="s">
        <v>375</v>
      </c>
    </row>
    <row r="376" spans="1:8">
      <c r="A376">
        <v>242302</v>
      </c>
      <c r="E376" t="s">
        <v>379</v>
      </c>
      <c r="F376" s="105">
        <v>94591311</v>
      </c>
      <c r="G376" s="105">
        <v>65</v>
      </c>
    </row>
    <row r="377" spans="1:8">
      <c r="A377">
        <v>242303</v>
      </c>
      <c r="E377" t="s">
        <v>379</v>
      </c>
      <c r="F377" s="105">
        <v>94591311</v>
      </c>
      <c r="G377" s="105">
        <v>5</v>
      </c>
    </row>
    <row r="378" spans="1:8">
      <c r="A378">
        <v>242304</v>
      </c>
      <c r="E378" t="s">
        <v>380</v>
      </c>
      <c r="G378" s="105">
        <v>5</v>
      </c>
    </row>
    <row r="379" spans="1:8">
      <c r="A379">
        <v>242305</v>
      </c>
      <c r="E379" t="s">
        <v>380</v>
      </c>
      <c r="G379" s="105">
        <v>23</v>
      </c>
    </row>
    <row r="380" spans="1:8">
      <c r="A380">
        <v>242306</v>
      </c>
      <c r="E380" t="s">
        <v>341</v>
      </c>
      <c r="F380" s="105">
        <v>92926691</v>
      </c>
      <c r="G380" s="105">
        <v>300</v>
      </c>
    </row>
    <row r="381" spans="1:8">
      <c r="A381">
        <v>242307</v>
      </c>
      <c r="E381" t="s">
        <v>274</v>
      </c>
      <c r="F381" s="105">
        <v>94591311</v>
      </c>
      <c r="G381" s="105">
        <v>150</v>
      </c>
    </row>
    <row r="382" spans="1:8">
      <c r="A382">
        <v>242308</v>
      </c>
      <c r="E382" t="s">
        <v>264</v>
      </c>
      <c r="F382" s="105">
        <v>95810167</v>
      </c>
      <c r="G382" s="105">
        <v>840</v>
      </c>
      <c r="H382" t="s">
        <v>381</v>
      </c>
    </row>
    <row r="383" spans="1:8">
      <c r="A383">
        <v>242309</v>
      </c>
      <c r="E383" t="s">
        <v>382</v>
      </c>
      <c r="F383" s="105">
        <v>97122464</v>
      </c>
      <c r="G383" s="105">
        <v>1308</v>
      </c>
    </row>
    <row r="384" spans="1:8">
      <c r="A384">
        <v>242310</v>
      </c>
      <c r="E384" t="s">
        <v>317</v>
      </c>
      <c r="F384" s="105">
        <v>97122454</v>
      </c>
      <c r="G384" s="105">
        <v>842</v>
      </c>
    </row>
    <row r="385" spans="1:8">
      <c r="A385">
        <v>242311</v>
      </c>
      <c r="E385" t="s">
        <v>383</v>
      </c>
      <c r="G385" s="105">
        <v>10</v>
      </c>
    </row>
    <row r="386" spans="1:8">
      <c r="A386">
        <v>242312</v>
      </c>
      <c r="E386" t="s">
        <v>165</v>
      </c>
      <c r="F386" s="105">
        <v>86937618</v>
      </c>
      <c r="G386" s="105">
        <v>620</v>
      </c>
    </row>
    <row r="387" spans="1:8">
      <c r="A387">
        <v>242313</v>
      </c>
      <c r="E387" t="s">
        <v>165</v>
      </c>
      <c r="F387" s="105">
        <v>86937618</v>
      </c>
      <c r="G387" s="105">
        <v>16</v>
      </c>
    </row>
    <row r="388" spans="1:8">
      <c r="A388">
        <v>242314</v>
      </c>
      <c r="E388" t="s">
        <v>384</v>
      </c>
      <c r="F388" s="105">
        <v>95055370</v>
      </c>
      <c r="G388" s="105">
        <v>129</v>
      </c>
    </row>
    <row r="389" spans="1:8">
      <c r="A389">
        <v>242315</v>
      </c>
      <c r="E389" t="s">
        <v>260</v>
      </c>
      <c r="G389" s="105">
        <v>214</v>
      </c>
    </row>
    <row r="390" spans="1:8">
      <c r="A390">
        <v>242401</v>
      </c>
      <c r="E390" t="s">
        <v>147</v>
      </c>
      <c r="F390" s="105">
        <v>90536319</v>
      </c>
      <c r="G390" s="105">
        <v>400</v>
      </c>
    </row>
    <row r="391" spans="1:8">
      <c r="A391">
        <v>242402</v>
      </c>
      <c r="E391" t="s">
        <v>352</v>
      </c>
      <c r="G391" s="105">
        <v>600</v>
      </c>
    </row>
    <row r="392" spans="1:8">
      <c r="A392">
        <v>242403</v>
      </c>
      <c r="E392" t="s">
        <v>352</v>
      </c>
      <c r="G392" s="105">
        <v>8</v>
      </c>
    </row>
    <row r="393" spans="1:8">
      <c r="A393">
        <v>242404</v>
      </c>
      <c r="E393" t="s">
        <v>385</v>
      </c>
      <c r="G393" s="105">
        <v>10</v>
      </c>
      <c r="H393" t="s">
        <v>348</v>
      </c>
    </row>
    <row r="394" spans="1:8">
      <c r="A394">
        <v>242405</v>
      </c>
      <c r="E394" t="s">
        <v>341</v>
      </c>
      <c r="G394" s="105">
        <v>900</v>
      </c>
      <c r="H394" t="s">
        <v>348</v>
      </c>
    </row>
    <row r="395" spans="1:8">
      <c r="A395">
        <v>242406</v>
      </c>
      <c r="E395" t="s">
        <v>351</v>
      </c>
      <c r="F395" s="105" t="s">
        <v>313</v>
      </c>
      <c r="G395" s="105">
        <v>75</v>
      </c>
    </row>
    <row r="396" spans="1:8">
      <c r="A396">
        <v>242408</v>
      </c>
      <c r="E396" t="s">
        <v>179</v>
      </c>
      <c r="G396" s="105">
        <v>20</v>
      </c>
    </row>
    <row r="397" spans="1:8">
      <c r="A397">
        <v>242409</v>
      </c>
      <c r="E397" t="s">
        <v>36</v>
      </c>
      <c r="G397" s="105">
        <v>33</v>
      </c>
    </row>
    <row r="398" spans="1:8">
      <c r="A398">
        <v>242501</v>
      </c>
      <c r="E398" t="s">
        <v>309</v>
      </c>
      <c r="G398" s="105">
        <v>38</v>
      </c>
    </row>
    <row r="399" spans="1:8">
      <c r="A399">
        <v>242502</v>
      </c>
      <c r="E399" t="s">
        <v>156</v>
      </c>
      <c r="F399" s="105">
        <v>95210279</v>
      </c>
      <c r="G399" s="105">
        <v>3000</v>
      </c>
    </row>
    <row r="400" spans="1:8">
      <c r="A400">
        <v>242503</v>
      </c>
      <c r="E400" t="s">
        <v>341</v>
      </c>
      <c r="F400" s="105">
        <v>92926691</v>
      </c>
      <c r="G400" s="105">
        <v>600</v>
      </c>
    </row>
    <row r="401" spans="1:8">
      <c r="A401">
        <v>242504</v>
      </c>
      <c r="E401" t="s">
        <v>386</v>
      </c>
      <c r="G401" s="105">
        <v>80</v>
      </c>
      <c r="H401" t="s">
        <v>387</v>
      </c>
    </row>
    <row r="402" spans="1:8">
      <c r="A402">
        <v>242505</v>
      </c>
      <c r="E402" t="s">
        <v>382</v>
      </c>
      <c r="F402" s="105">
        <v>97122464</v>
      </c>
      <c r="G402" s="105">
        <v>102</v>
      </c>
      <c r="H402" t="s">
        <v>167</v>
      </c>
    </row>
    <row r="403" spans="1:8">
      <c r="A403">
        <v>242506</v>
      </c>
      <c r="E403" t="s">
        <v>317</v>
      </c>
      <c r="F403" s="105">
        <v>97122454</v>
      </c>
      <c r="G403" s="105">
        <v>65</v>
      </c>
      <c r="H403" t="s">
        <v>167</v>
      </c>
    </row>
    <row r="404" spans="1:8">
      <c r="A404">
        <v>242507</v>
      </c>
      <c r="E404" t="s">
        <v>351</v>
      </c>
      <c r="F404" s="105" t="s">
        <v>313</v>
      </c>
      <c r="G404" s="105">
        <v>192</v>
      </c>
    </row>
    <row r="405" spans="1:8">
      <c r="A405">
        <v>242508</v>
      </c>
      <c r="E405" t="s">
        <v>388</v>
      </c>
      <c r="F405" s="105">
        <v>18133</v>
      </c>
      <c r="G405" s="105">
        <v>10</v>
      </c>
    </row>
    <row r="406" spans="1:8">
      <c r="A406">
        <v>242509</v>
      </c>
      <c r="E406" t="s">
        <v>264</v>
      </c>
      <c r="F406" s="105">
        <v>97420368</v>
      </c>
      <c r="G406" s="105">
        <v>1120</v>
      </c>
    </row>
    <row r="407" spans="1:8">
      <c r="A407">
        <v>242510</v>
      </c>
      <c r="E407" t="s">
        <v>389</v>
      </c>
      <c r="G407" s="105">
        <v>30</v>
      </c>
    </row>
    <row r="408" spans="1:8">
      <c r="A408">
        <v>242511</v>
      </c>
      <c r="E408" t="s">
        <v>228</v>
      </c>
      <c r="G408" s="105">
        <v>181</v>
      </c>
      <c r="H408" t="s">
        <v>390</v>
      </c>
    </row>
    <row r="409" spans="1:8">
      <c r="A409">
        <v>242512</v>
      </c>
      <c r="E409" t="s">
        <v>274</v>
      </c>
      <c r="G409" s="105">
        <v>100</v>
      </c>
      <c r="H409" t="s">
        <v>391</v>
      </c>
    </row>
    <row r="410" spans="1:8">
      <c r="A410">
        <v>242513</v>
      </c>
      <c r="E410" t="s">
        <v>314</v>
      </c>
      <c r="G410" s="105">
        <v>100</v>
      </c>
      <c r="H410" t="s">
        <v>391</v>
      </c>
    </row>
    <row r="411" spans="1:8">
      <c r="A411">
        <v>242601</v>
      </c>
      <c r="E411" t="s">
        <v>339</v>
      </c>
      <c r="F411" s="105">
        <v>97317389</v>
      </c>
      <c r="G411" s="105">
        <v>200</v>
      </c>
      <c r="H411" t="s">
        <v>392</v>
      </c>
    </row>
    <row r="412" spans="1:8">
      <c r="A412">
        <v>242602</v>
      </c>
      <c r="E412" t="s">
        <v>165</v>
      </c>
      <c r="F412" s="105">
        <v>86937618</v>
      </c>
      <c r="G412" s="105">
        <v>600</v>
      </c>
    </row>
    <row r="413" spans="1:8">
      <c r="A413">
        <v>242603</v>
      </c>
      <c r="E413" t="s">
        <v>171</v>
      </c>
      <c r="F413" s="105">
        <v>93112189</v>
      </c>
      <c r="G413" s="105">
        <v>1000</v>
      </c>
    </row>
    <row r="414" spans="1:8">
      <c r="A414">
        <v>242604</v>
      </c>
      <c r="E414" t="s">
        <v>341</v>
      </c>
      <c r="F414" s="105">
        <v>2909190</v>
      </c>
      <c r="G414" s="105">
        <v>200</v>
      </c>
    </row>
    <row r="415" spans="1:8">
      <c r="A415">
        <v>242605</v>
      </c>
      <c r="E415" t="s">
        <v>245</v>
      </c>
      <c r="F415" s="105">
        <v>97618313</v>
      </c>
      <c r="G415" s="105">
        <v>200</v>
      </c>
    </row>
    <row r="416" spans="1:8">
      <c r="A416">
        <v>242701</v>
      </c>
      <c r="E416" t="s">
        <v>336</v>
      </c>
      <c r="F416" s="105">
        <v>97277557</v>
      </c>
      <c r="G416" s="105">
        <v>200</v>
      </c>
    </row>
    <row r="417" spans="1:8">
      <c r="A417">
        <v>242702</v>
      </c>
      <c r="E417" t="s">
        <v>393</v>
      </c>
      <c r="F417" s="105">
        <v>95210279</v>
      </c>
      <c r="G417" s="105">
        <v>3000</v>
      </c>
    </row>
    <row r="418" spans="1:8">
      <c r="A418">
        <v>242703</v>
      </c>
      <c r="E418" t="s">
        <v>245</v>
      </c>
      <c r="F418" s="105">
        <v>97618313</v>
      </c>
      <c r="G418" s="105">
        <v>400</v>
      </c>
    </row>
    <row r="419" spans="1:8">
      <c r="A419">
        <v>242704</v>
      </c>
      <c r="E419" t="s">
        <v>165</v>
      </c>
      <c r="F419" s="105">
        <v>86937618</v>
      </c>
      <c r="G419" s="105">
        <v>300</v>
      </c>
      <c r="H419" t="s">
        <v>394</v>
      </c>
    </row>
    <row r="420" spans="1:8">
      <c r="A420">
        <v>242705</v>
      </c>
      <c r="E420" t="s">
        <v>395</v>
      </c>
      <c r="F420" s="105">
        <v>92926691</v>
      </c>
      <c r="G420" s="105">
        <v>600</v>
      </c>
    </row>
    <row r="421" spans="1:8">
      <c r="A421">
        <v>242706</v>
      </c>
      <c r="E421" t="s">
        <v>242</v>
      </c>
      <c r="G421" s="105">
        <v>283</v>
      </c>
    </row>
    <row r="422" spans="1:8">
      <c r="A422">
        <v>242707</v>
      </c>
      <c r="E422" t="s">
        <v>179</v>
      </c>
      <c r="F422" s="105" t="s">
        <v>396</v>
      </c>
      <c r="G422" s="105">
        <v>9</v>
      </c>
    </row>
    <row r="423" spans="1:8">
      <c r="A423">
        <v>242708</v>
      </c>
      <c r="E423" t="s">
        <v>397</v>
      </c>
      <c r="F423" s="105" t="s">
        <v>313</v>
      </c>
      <c r="G423" s="105">
        <v>20</v>
      </c>
    </row>
    <row r="424" spans="1:8">
      <c r="A424">
        <v>242709</v>
      </c>
      <c r="E424" t="s">
        <v>393</v>
      </c>
      <c r="F424" s="105">
        <v>95210279</v>
      </c>
      <c r="G424" s="105">
        <v>2500</v>
      </c>
    </row>
    <row r="425" spans="1:8">
      <c r="A425">
        <v>242710</v>
      </c>
      <c r="E425" t="s">
        <v>42</v>
      </c>
      <c r="G425" s="105">
        <v>16</v>
      </c>
      <c r="H425" t="s">
        <v>315</v>
      </c>
    </row>
    <row r="426" spans="1:8">
      <c r="A426">
        <v>242711</v>
      </c>
      <c r="E426">
        <v>1535100046</v>
      </c>
      <c r="G426" s="105">
        <v>150</v>
      </c>
    </row>
    <row r="427" spans="1:8">
      <c r="A427">
        <v>242712</v>
      </c>
      <c r="E427" t="s">
        <v>147</v>
      </c>
      <c r="F427" s="105">
        <v>90536319</v>
      </c>
      <c r="G427" s="105">
        <v>300</v>
      </c>
    </row>
    <row r="428" spans="1:8">
      <c r="A428">
        <v>242713</v>
      </c>
      <c r="E428" t="s">
        <v>147</v>
      </c>
      <c r="G428" s="105">
        <v>500</v>
      </c>
    </row>
    <row r="429" spans="1:8">
      <c r="A429">
        <v>242714</v>
      </c>
      <c r="E429" t="s">
        <v>398</v>
      </c>
      <c r="G429" s="105">
        <v>15</v>
      </c>
    </row>
    <row r="430" spans="1:8">
      <c r="A430">
        <v>242715</v>
      </c>
      <c r="E430" t="s">
        <v>165</v>
      </c>
      <c r="G430" s="105">
        <v>150</v>
      </c>
    </row>
    <row r="431" spans="1:8">
      <c r="A431">
        <v>242716</v>
      </c>
      <c r="E431" t="s">
        <v>399</v>
      </c>
      <c r="G431" s="105">
        <v>80</v>
      </c>
    </row>
    <row r="432" spans="1:8">
      <c r="A432">
        <v>242717</v>
      </c>
      <c r="E432" t="s">
        <v>347</v>
      </c>
      <c r="G432" s="105">
        <v>200</v>
      </c>
    </row>
    <row r="433" spans="1:8">
      <c r="A433">
        <v>242801</v>
      </c>
      <c r="E433" t="s">
        <v>33</v>
      </c>
      <c r="G433" s="105">
        <v>79</v>
      </c>
      <c r="H433" t="s">
        <v>315</v>
      </c>
    </row>
    <row r="434" spans="1:8">
      <c r="A434">
        <v>242802</v>
      </c>
      <c r="E434" t="s">
        <v>264</v>
      </c>
      <c r="F434" s="105">
        <v>94977481</v>
      </c>
      <c r="G434" s="105">
        <v>900</v>
      </c>
      <c r="H434" t="s">
        <v>400</v>
      </c>
    </row>
    <row r="435" spans="1:8">
      <c r="A435">
        <v>242803</v>
      </c>
      <c r="E435" t="s">
        <v>202</v>
      </c>
      <c r="F435" s="105">
        <v>2310000876</v>
      </c>
      <c r="G435" s="105">
        <v>680</v>
      </c>
    </row>
    <row r="436" spans="1:8">
      <c r="A436">
        <v>242804</v>
      </c>
      <c r="E436" t="s">
        <v>351</v>
      </c>
      <c r="G436" s="105">
        <v>320</v>
      </c>
    </row>
    <row r="437" spans="1:8">
      <c r="A437">
        <v>242805</v>
      </c>
      <c r="E437" t="s">
        <v>401</v>
      </c>
    </row>
    <row r="438" spans="1:8">
      <c r="A438">
        <v>242806</v>
      </c>
      <c r="E438" t="s">
        <v>40</v>
      </c>
      <c r="G438" s="105">
        <v>146</v>
      </c>
      <c r="H438" t="s">
        <v>315</v>
      </c>
    </row>
    <row r="439" spans="1:8">
      <c r="A439">
        <v>242807</v>
      </c>
      <c r="E439" t="s">
        <v>183</v>
      </c>
      <c r="F439" s="105">
        <v>86937618</v>
      </c>
      <c r="G439" s="105">
        <v>300</v>
      </c>
    </row>
    <row r="440" spans="1:8">
      <c r="A440">
        <v>242808</v>
      </c>
      <c r="E440" t="s">
        <v>384</v>
      </c>
      <c r="G440" s="105">
        <v>187</v>
      </c>
    </row>
    <row r="441" spans="1:8">
      <c r="A441">
        <v>242809</v>
      </c>
      <c r="E441" t="s">
        <v>49</v>
      </c>
      <c r="G441" s="105">
        <v>20</v>
      </c>
    </row>
    <row r="442" spans="1:8">
      <c r="A442">
        <v>242810</v>
      </c>
      <c r="E442" t="s">
        <v>352</v>
      </c>
      <c r="F442" s="105">
        <v>87385923</v>
      </c>
      <c r="G442" s="105">
        <v>150</v>
      </c>
    </row>
    <row r="443" spans="1:8">
      <c r="A443">
        <v>242811</v>
      </c>
      <c r="E443" t="s">
        <v>161</v>
      </c>
      <c r="F443" s="105">
        <v>99266744</v>
      </c>
      <c r="G443" s="105">
        <v>1081</v>
      </c>
    </row>
    <row r="444" spans="1:8">
      <c r="A444">
        <v>242901</v>
      </c>
      <c r="E444" t="s">
        <v>402</v>
      </c>
      <c r="F444" s="105">
        <v>84897137</v>
      </c>
      <c r="G444" s="105">
        <v>100</v>
      </c>
    </row>
    <row r="445" spans="1:8">
      <c r="A445">
        <v>242902</v>
      </c>
      <c r="E445" t="s">
        <v>403</v>
      </c>
      <c r="G445" s="105">
        <v>110</v>
      </c>
    </row>
    <row r="446" spans="1:8">
      <c r="A446">
        <v>242903</v>
      </c>
      <c r="E446" t="s">
        <v>245</v>
      </c>
      <c r="F446" s="105">
        <v>97618313</v>
      </c>
      <c r="G446" s="105">
        <v>650</v>
      </c>
    </row>
    <row r="447" spans="1:8">
      <c r="A447">
        <v>242904</v>
      </c>
      <c r="E447" t="s">
        <v>165</v>
      </c>
      <c r="F447" s="105">
        <v>2337585</v>
      </c>
      <c r="G447" s="105">
        <v>200</v>
      </c>
    </row>
    <row r="448" spans="1:8">
      <c r="A448">
        <v>242905</v>
      </c>
      <c r="E448" t="s">
        <v>171</v>
      </c>
      <c r="F448" s="105">
        <v>93112189</v>
      </c>
      <c r="G448" s="105">
        <v>2000</v>
      </c>
    </row>
    <row r="449" spans="1:8">
      <c r="A449">
        <v>242906</v>
      </c>
      <c r="E449" t="s">
        <v>53</v>
      </c>
      <c r="F449" s="105" t="s">
        <v>404</v>
      </c>
      <c r="G449" s="105">
        <v>1584</v>
      </c>
    </row>
    <row r="450" spans="1:8">
      <c r="A450">
        <v>242907</v>
      </c>
      <c r="E450" t="s">
        <v>33</v>
      </c>
      <c r="G450" s="105">
        <v>100</v>
      </c>
    </row>
    <row r="451" spans="1:8">
      <c r="A451">
        <v>242908</v>
      </c>
      <c r="E451" t="s">
        <v>405</v>
      </c>
      <c r="G451" s="105">
        <v>1300</v>
      </c>
      <c r="H451" t="s">
        <v>406</v>
      </c>
    </row>
    <row r="452" spans="1:8">
      <c r="A452">
        <v>242909</v>
      </c>
      <c r="E452" t="s">
        <v>407</v>
      </c>
      <c r="F452" s="105">
        <v>95210279</v>
      </c>
      <c r="G452" s="105">
        <v>2000</v>
      </c>
    </row>
    <row r="453" spans="1:8">
      <c r="A453">
        <v>242910</v>
      </c>
      <c r="E453" t="s">
        <v>183</v>
      </c>
      <c r="F453" s="105">
        <v>86937618</v>
      </c>
      <c r="G453" s="105">
        <v>300</v>
      </c>
    </row>
    <row r="454" spans="1:8">
      <c r="A454">
        <v>243001</v>
      </c>
      <c r="E454" t="s">
        <v>274</v>
      </c>
      <c r="F454" s="105">
        <v>96584864</v>
      </c>
      <c r="G454" s="105">
        <v>53</v>
      </c>
    </row>
    <row r="455" spans="1:8">
      <c r="A455">
        <v>243002</v>
      </c>
      <c r="E455" t="s">
        <v>408</v>
      </c>
      <c r="F455" s="105">
        <v>84897137</v>
      </c>
      <c r="G455" s="105">
        <v>100</v>
      </c>
    </row>
    <row r="456" spans="1:8">
      <c r="A456">
        <v>243003</v>
      </c>
      <c r="E456" t="s">
        <v>409</v>
      </c>
      <c r="F456" s="105">
        <v>93112189</v>
      </c>
      <c r="G456" s="105">
        <v>2000</v>
      </c>
    </row>
    <row r="457" spans="1:8">
      <c r="A457">
        <v>243004</v>
      </c>
      <c r="E457" t="s">
        <v>245</v>
      </c>
      <c r="G457" s="105">
        <v>1000</v>
      </c>
      <c r="H457" t="s">
        <v>410</v>
      </c>
    </row>
    <row r="458" spans="1:8">
      <c r="A458">
        <v>243005</v>
      </c>
      <c r="E458" t="s">
        <v>183</v>
      </c>
      <c r="F458" s="105">
        <v>86937618</v>
      </c>
      <c r="G458" s="105">
        <v>150</v>
      </c>
    </row>
    <row r="459" spans="1:8">
      <c r="A459">
        <v>243006</v>
      </c>
      <c r="E459" t="s">
        <v>40</v>
      </c>
      <c r="G459" s="105">
        <v>147</v>
      </c>
    </row>
    <row r="460" spans="1:8">
      <c r="A460">
        <v>243007</v>
      </c>
      <c r="E460" t="s">
        <v>161</v>
      </c>
      <c r="G460" s="105" t="s">
        <v>167</v>
      </c>
    </row>
    <row r="461" spans="1:8">
      <c r="A461">
        <v>243008</v>
      </c>
      <c r="E461" t="s">
        <v>43</v>
      </c>
      <c r="G461" s="105">
        <v>21</v>
      </c>
    </row>
    <row r="462" spans="1:8">
      <c r="A462">
        <v>243101</v>
      </c>
      <c r="E462" t="s">
        <v>384</v>
      </c>
      <c r="F462" s="105">
        <v>98550332</v>
      </c>
      <c r="G462" s="105">
        <v>212</v>
      </c>
    </row>
    <row r="463" spans="1:8">
      <c r="A463">
        <v>243102</v>
      </c>
      <c r="E463" t="s">
        <v>411</v>
      </c>
      <c r="F463" s="105">
        <v>98795480</v>
      </c>
      <c r="G463" s="105">
        <v>212</v>
      </c>
    </row>
    <row r="464" spans="1:8">
      <c r="A464">
        <v>243103</v>
      </c>
      <c r="E464">
        <v>28043501</v>
      </c>
      <c r="G464" s="105">
        <v>30</v>
      </c>
    </row>
    <row r="465" spans="1:8">
      <c r="A465">
        <v>243104</v>
      </c>
      <c r="E465" t="s">
        <v>395</v>
      </c>
      <c r="G465" s="105">
        <v>473</v>
      </c>
      <c r="H465" t="s">
        <v>412</v>
      </c>
    </row>
    <row r="466" spans="1:8">
      <c r="A466">
        <v>243105</v>
      </c>
      <c r="E466" t="s">
        <v>261</v>
      </c>
      <c r="G466" s="105">
        <v>72</v>
      </c>
    </row>
    <row r="467" spans="1:8">
      <c r="A467">
        <v>243106</v>
      </c>
      <c r="E467" t="s">
        <v>228</v>
      </c>
      <c r="G467" s="105">
        <v>720</v>
      </c>
    </row>
    <row r="468" spans="1:8">
      <c r="A468">
        <v>243107</v>
      </c>
      <c r="E468" t="s">
        <v>413</v>
      </c>
      <c r="F468" s="105">
        <v>95105276</v>
      </c>
      <c r="G468" s="105">
        <v>28</v>
      </c>
    </row>
    <row r="469" spans="1:8">
      <c r="A469">
        <v>243108</v>
      </c>
      <c r="E469" t="s">
        <v>336</v>
      </c>
      <c r="F469" s="105">
        <v>98802687</v>
      </c>
      <c r="G469" s="105">
        <v>200</v>
      </c>
    </row>
    <row r="470" spans="1:8">
      <c r="A470">
        <v>243109</v>
      </c>
      <c r="E470" t="s">
        <v>414</v>
      </c>
      <c r="F470" s="105" t="s">
        <v>415</v>
      </c>
      <c r="G470" s="105" t="s">
        <v>416</v>
      </c>
      <c r="H470" t="s">
        <v>417</v>
      </c>
    </row>
    <row r="471" spans="1:8">
      <c r="A471">
        <v>243110</v>
      </c>
      <c r="E471" t="s">
        <v>418</v>
      </c>
      <c r="G471" s="105">
        <v>50</v>
      </c>
    </row>
    <row r="472" spans="1:8">
      <c r="A472">
        <v>243111</v>
      </c>
      <c r="E472" t="s">
        <v>419</v>
      </c>
      <c r="G472" s="105">
        <v>7</v>
      </c>
    </row>
    <row r="473" spans="1:8">
      <c r="A473">
        <v>243112</v>
      </c>
      <c r="E473" t="s">
        <v>397</v>
      </c>
      <c r="G473" s="105">
        <v>19</v>
      </c>
    </row>
    <row r="474" spans="1:8">
      <c r="A474">
        <v>243113</v>
      </c>
      <c r="E474" t="s">
        <v>40</v>
      </c>
      <c r="G474" s="105">
        <v>28</v>
      </c>
    </row>
    <row r="475" spans="1:8">
      <c r="A475">
        <v>243201</v>
      </c>
      <c r="E475" t="s">
        <v>171</v>
      </c>
      <c r="F475" s="105">
        <v>93112189</v>
      </c>
      <c r="G475" s="105">
        <v>2000</v>
      </c>
    </row>
    <row r="476" spans="1:8">
      <c r="A476">
        <v>243202</v>
      </c>
      <c r="E476" t="s">
        <v>317</v>
      </c>
      <c r="F476" s="105">
        <v>100316639</v>
      </c>
      <c r="G476" s="105">
        <v>1500</v>
      </c>
    </row>
    <row r="477" spans="1:8">
      <c r="A477">
        <v>243203</v>
      </c>
      <c r="E477" t="s">
        <v>382</v>
      </c>
      <c r="F477" s="105">
        <v>99938357</v>
      </c>
      <c r="G477" s="105">
        <v>1650</v>
      </c>
    </row>
    <row r="478" spans="1:8">
      <c r="A478">
        <v>243204</v>
      </c>
      <c r="E478" t="s">
        <v>420</v>
      </c>
      <c r="G478" s="105">
        <v>110</v>
      </c>
    </row>
    <row r="479" spans="1:8">
      <c r="A479">
        <v>243205</v>
      </c>
      <c r="E479" t="s">
        <v>341</v>
      </c>
      <c r="G479" s="105">
        <v>200</v>
      </c>
    </row>
    <row r="480" spans="1:8">
      <c r="A480">
        <v>243206</v>
      </c>
      <c r="E480" t="s">
        <v>421</v>
      </c>
      <c r="G480" s="105">
        <v>156</v>
      </c>
    </row>
    <row r="481" spans="1:8">
      <c r="A481">
        <v>243207</v>
      </c>
    </row>
    <row r="482" spans="1:8">
      <c r="A482">
        <v>242308</v>
      </c>
      <c r="E482" t="s">
        <v>422</v>
      </c>
      <c r="G482" s="105">
        <v>20000</v>
      </c>
    </row>
    <row r="483" spans="1:8">
      <c r="A483">
        <v>243209</v>
      </c>
      <c r="E483" t="s">
        <v>409</v>
      </c>
      <c r="F483" s="105">
        <v>93112189</v>
      </c>
      <c r="G483" s="105">
        <v>2000</v>
      </c>
    </row>
    <row r="484" spans="1:8">
      <c r="A484">
        <v>243210</v>
      </c>
      <c r="E484" t="s">
        <v>407</v>
      </c>
      <c r="F484" s="105">
        <v>95210279</v>
      </c>
      <c r="G484" s="105">
        <v>2000</v>
      </c>
    </row>
    <row r="485" spans="1:8">
      <c r="A485">
        <v>243211</v>
      </c>
      <c r="E485" t="s">
        <v>409</v>
      </c>
      <c r="F485" s="105">
        <v>93112189</v>
      </c>
      <c r="G485" s="105">
        <v>1500</v>
      </c>
    </row>
    <row r="486" spans="1:8">
      <c r="A486">
        <v>243212</v>
      </c>
      <c r="E486" t="s">
        <v>423</v>
      </c>
      <c r="G486" s="105">
        <v>418</v>
      </c>
    </row>
    <row r="487" spans="1:8">
      <c r="A487">
        <v>243213</v>
      </c>
      <c r="E487">
        <v>758</v>
      </c>
      <c r="G487" s="105">
        <v>250</v>
      </c>
    </row>
    <row r="488" spans="1:8">
      <c r="A488">
        <v>243301</v>
      </c>
      <c r="E488" t="s">
        <v>274</v>
      </c>
      <c r="F488" s="105">
        <v>100061624</v>
      </c>
      <c r="G488" s="105">
        <v>110</v>
      </c>
    </row>
    <row r="489" spans="1:8">
      <c r="A489">
        <v>243302</v>
      </c>
      <c r="E489" t="s">
        <v>309</v>
      </c>
      <c r="G489" s="105">
        <v>223</v>
      </c>
    </row>
    <row r="490" spans="1:8">
      <c r="A490">
        <v>243303</v>
      </c>
      <c r="E490" t="s">
        <v>424</v>
      </c>
      <c r="G490" s="105">
        <v>5</v>
      </c>
      <c r="H490" t="s">
        <v>310</v>
      </c>
    </row>
    <row r="491" spans="1:8">
      <c r="A491">
        <v>243304</v>
      </c>
      <c r="E491" t="s">
        <v>425</v>
      </c>
      <c r="G491" s="105">
        <v>500</v>
      </c>
    </row>
    <row r="492" spans="1:8">
      <c r="A492">
        <v>243305</v>
      </c>
      <c r="E492" t="s">
        <v>314</v>
      </c>
      <c r="F492" s="105">
        <v>96584865</v>
      </c>
      <c r="G492" s="105">
        <v>110</v>
      </c>
    </row>
    <row r="493" spans="1:8">
      <c r="A493">
        <v>243306</v>
      </c>
      <c r="E493" t="s">
        <v>409</v>
      </c>
      <c r="F493" s="105">
        <v>93112189</v>
      </c>
      <c r="G493" s="105">
        <v>1500</v>
      </c>
    </row>
    <row r="494" spans="1:8">
      <c r="A494">
        <v>243307</v>
      </c>
      <c r="E494" t="s">
        <v>309</v>
      </c>
      <c r="G494" s="105">
        <v>140</v>
      </c>
    </row>
    <row r="495" spans="1:8">
      <c r="A495">
        <v>243401</v>
      </c>
      <c r="E495" t="s">
        <v>426</v>
      </c>
      <c r="G495" s="105">
        <v>673</v>
      </c>
    </row>
    <row r="496" spans="1:8">
      <c r="A496">
        <v>243402</v>
      </c>
      <c r="E496" t="s">
        <v>427</v>
      </c>
      <c r="G496" s="105">
        <v>140</v>
      </c>
    </row>
    <row r="497" spans="1:8">
      <c r="A497">
        <v>243403</v>
      </c>
      <c r="E497" t="s">
        <v>54</v>
      </c>
      <c r="G497" s="105">
        <v>396</v>
      </c>
    </row>
    <row r="498" spans="1:8">
      <c r="A498">
        <v>243404</v>
      </c>
      <c r="E498">
        <v>10916528043501</v>
      </c>
      <c r="G498" s="105">
        <v>30</v>
      </c>
    </row>
    <row r="499" spans="1:8">
      <c r="A499">
        <v>243405</v>
      </c>
      <c r="E499" t="s">
        <v>428</v>
      </c>
      <c r="G499" s="105">
        <v>667</v>
      </c>
    </row>
    <row r="500" spans="1:8">
      <c r="A500">
        <v>243406</v>
      </c>
      <c r="E500" t="s">
        <v>407</v>
      </c>
      <c r="F500" s="105">
        <v>96308671</v>
      </c>
      <c r="G500" s="105">
        <v>4700</v>
      </c>
    </row>
    <row r="501" spans="1:8">
      <c r="A501">
        <v>243407</v>
      </c>
      <c r="E501" t="s">
        <v>409</v>
      </c>
      <c r="F501" s="105">
        <v>93112189</v>
      </c>
      <c r="G501" s="105">
        <v>2300</v>
      </c>
    </row>
    <row r="502" spans="1:8">
      <c r="A502">
        <v>243408</v>
      </c>
    </row>
    <row r="503" spans="1:8">
      <c r="A503">
        <v>243409</v>
      </c>
      <c r="E503" t="s">
        <v>429</v>
      </c>
      <c r="G503" s="105">
        <v>50</v>
      </c>
    </row>
    <row r="504" spans="1:8">
      <c r="A504">
        <v>243501</v>
      </c>
      <c r="E504" t="s">
        <v>430</v>
      </c>
      <c r="F504" s="105">
        <v>100063357</v>
      </c>
      <c r="G504" s="105">
        <v>284</v>
      </c>
    </row>
    <row r="505" spans="1:8">
      <c r="A505">
        <v>243502</v>
      </c>
      <c r="E505" t="s">
        <v>430</v>
      </c>
      <c r="F505" s="105">
        <v>100063357</v>
      </c>
      <c r="G505" s="105">
        <v>16</v>
      </c>
      <c r="H505" t="s">
        <v>310</v>
      </c>
    </row>
    <row r="506" spans="1:8">
      <c r="A506">
        <v>243503</v>
      </c>
      <c r="E506" t="s">
        <v>431</v>
      </c>
      <c r="G506" s="105">
        <v>4000</v>
      </c>
    </row>
    <row r="507" spans="1:8">
      <c r="A507">
        <v>243504</v>
      </c>
      <c r="E507" t="s">
        <v>53</v>
      </c>
      <c r="G507" s="105">
        <v>528</v>
      </c>
    </row>
    <row r="508" spans="1:8">
      <c r="A508">
        <v>243601</v>
      </c>
      <c r="E508" t="s">
        <v>432</v>
      </c>
      <c r="F508" s="105">
        <v>90536319</v>
      </c>
      <c r="G508" s="105">
        <v>700</v>
      </c>
    </row>
    <row r="509" spans="1:8">
      <c r="A509">
        <v>243602</v>
      </c>
      <c r="E509" t="s">
        <v>433</v>
      </c>
      <c r="G509" s="105">
        <v>80</v>
      </c>
    </row>
    <row r="510" spans="1:8">
      <c r="A510">
        <v>243603</v>
      </c>
      <c r="E510" t="s">
        <v>434</v>
      </c>
      <c r="G510" s="105">
        <v>57</v>
      </c>
      <c r="H510" t="s">
        <v>435</v>
      </c>
    </row>
    <row r="511" spans="1:8">
      <c r="A511">
        <v>243604</v>
      </c>
      <c r="E511" t="s">
        <v>436</v>
      </c>
      <c r="G511" s="105">
        <v>5</v>
      </c>
    </row>
    <row r="512" spans="1:8">
      <c r="A512">
        <v>243605</v>
      </c>
      <c r="E512" t="s">
        <v>347</v>
      </c>
      <c r="G512" s="105">
        <v>200</v>
      </c>
    </row>
    <row r="513" spans="1:7">
      <c r="A513">
        <v>243606</v>
      </c>
      <c r="E513" t="s">
        <v>437</v>
      </c>
    </row>
    <row r="514" spans="1:7">
      <c r="A514">
        <v>243607</v>
      </c>
      <c r="E514" t="s">
        <v>438</v>
      </c>
    </row>
    <row r="515" spans="1:7">
      <c r="A515">
        <v>243701</v>
      </c>
      <c r="E515" t="s">
        <v>202</v>
      </c>
      <c r="G515" s="105">
        <v>250</v>
      </c>
    </row>
    <row r="516" spans="1:7">
      <c r="A516">
        <v>243703</v>
      </c>
      <c r="E516" t="s">
        <v>439</v>
      </c>
      <c r="G516" s="105">
        <v>70</v>
      </c>
    </row>
    <row r="517" spans="1:7">
      <c r="A517">
        <v>243707</v>
      </c>
      <c r="E517" t="s">
        <v>33</v>
      </c>
      <c r="G517" s="105">
        <v>243</v>
      </c>
    </row>
    <row r="518" spans="1:7">
      <c r="A518">
        <v>243801</v>
      </c>
      <c r="E518" t="s">
        <v>440</v>
      </c>
    </row>
    <row r="519" spans="1:7">
      <c r="A519">
        <v>243802</v>
      </c>
      <c r="E519" t="s">
        <v>441</v>
      </c>
    </row>
    <row r="520" spans="1:7">
      <c r="A520">
        <v>243803</v>
      </c>
      <c r="E520" t="s">
        <v>442</v>
      </c>
    </row>
    <row r="521" spans="1:7">
      <c r="A521">
        <v>243804</v>
      </c>
      <c r="E521" t="s">
        <v>371</v>
      </c>
    </row>
    <row r="522" spans="1:7">
      <c r="A522">
        <v>243805</v>
      </c>
      <c r="E522" t="s">
        <v>443</v>
      </c>
      <c r="G522" s="105">
        <v>650</v>
      </c>
    </row>
    <row r="523" spans="1:7">
      <c r="A523">
        <v>243806</v>
      </c>
      <c r="E523" t="s">
        <v>444</v>
      </c>
      <c r="G523" s="105">
        <v>250</v>
      </c>
    </row>
    <row r="524" spans="1:7">
      <c r="A524">
        <v>243807</v>
      </c>
      <c r="E524" t="s">
        <v>429</v>
      </c>
      <c r="G524" s="105">
        <v>50</v>
      </c>
    </row>
    <row r="525" spans="1:7">
      <c r="A525">
        <v>243808</v>
      </c>
      <c r="E525" t="s">
        <v>445</v>
      </c>
      <c r="G525" s="105">
        <v>30</v>
      </c>
    </row>
    <row r="526" spans="1:7">
      <c r="A526">
        <v>243901</v>
      </c>
      <c r="E526" t="s">
        <v>56</v>
      </c>
      <c r="G526" s="105">
        <v>500</v>
      </c>
    </row>
    <row r="527" spans="1:7">
      <c r="A527">
        <v>243902</v>
      </c>
      <c r="E527" t="s">
        <v>91</v>
      </c>
      <c r="G527" s="105">
        <v>110</v>
      </c>
    </row>
    <row r="528" spans="1:7">
      <c r="A528">
        <v>243903</v>
      </c>
      <c r="E528" t="s">
        <v>446</v>
      </c>
      <c r="G528" s="105">
        <v>70</v>
      </c>
    </row>
    <row r="529" spans="1:8">
      <c r="A529">
        <v>243904</v>
      </c>
      <c r="E529" t="s">
        <v>447</v>
      </c>
      <c r="G529" s="105">
        <v>650</v>
      </c>
    </row>
    <row r="530" spans="1:8">
      <c r="A530">
        <v>243905</v>
      </c>
      <c r="E530" t="s">
        <v>448</v>
      </c>
      <c r="G530" s="105">
        <v>5</v>
      </c>
      <c r="H530" t="s">
        <v>310</v>
      </c>
    </row>
    <row r="531" spans="1:8">
      <c r="A531">
        <v>243906</v>
      </c>
      <c r="E531" t="s">
        <v>449</v>
      </c>
      <c r="G531" s="105">
        <v>500</v>
      </c>
    </row>
    <row r="532" spans="1:8">
      <c r="A532">
        <v>243907</v>
      </c>
      <c r="E532" t="s">
        <v>450</v>
      </c>
      <c r="G532" s="105">
        <v>184</v>
      </c>
    </row>
    <row r="533" spans="1:8">
      <c r="A533">
        <v>243908</v>
      </c>
      <c r="E533" t="s">
        <v>451</v>
      </c>
      <c r="G533" s="105">
        <v>350</v>
      </c>
    </row>
    <row r="534" spans="1:8">
      <c r="A534">
        <v>243910</v>
      </c>
      <c r="E534" t="s">
        <v>40</v>
      </c>
      <c r="G534" s="105" t="s">
        <v>452</v>
      </c>
    </row>
    <row r="535" spans="1:8">
      <c r="A535">
        <v>243911</v>
      </c>
      <c r="E535" t="s">
        <v>453</v>
      </c>
      <c r="G535" s="105">
        <v>75</v>
      </c>
    </row>
    <row r="536" spans="1:8">
      <c r="A536">
        <v>243912</v>
      </c>
      <c r="E536" t="s">
        <v>454</v>
      </c>
      <c r="G536" s="105">
        <v>72</v>
      </c>
    </row>
    <row r="537" spans="1:8">
      <c r="A537">
        <v>243913</v>
      </c>
      <c r="E537" t="s">
        <v>455</v>
      </c>
      <c r="G537" s="105">
        <v>72</v>
      </c>
    </row>
    <row r="538" spans="1:8">
      <c r="A538">
        <v>244001</v>
      </c>
      <c r="E538" t="s">
        <v>456</v>
      </c>
      <c r="G538" s="105">
        <v>650</v>
      </c>
    </row>
    <row r="539" spans="1:8">
      <c r="A539">
        <v>244002</v>
      </c>
      <c r="E539" t="s">
        <v>457</v>
      </c>
      <c r="G539" s="105">
        <v>78</v>
      </c>
    </row>
    <row r="540" spans="1:8">
      <c r="A540">
        <v>244003</v>
      </c>
      <c r="E540" t="s">
        <v>451</v>
      </c>
      <c r="G540" s="105">
        <v>379</v>
      </c>
    </row>
    <row r="541" spans="1:8">
      <c r="A541">
        <v>244004</v>
      </c>
      <c r="E541" t="s">
        <v>433</v>
      </c>
      <c r="G541" s="105">
        <v>80</v>
      </c>
    </row>
    <row r="542" spans="1:8">
      <c r="A542">
        <v>244005</v>
      </c>
      <c r="E542" t="s">
        <v>458</v>
      </c>
      <c r="G542" s="105">
        <v>32</v>
      </c>
    </row>
    <row r="543" spans="1:8">
      <c r="A543">
        <v>244006</v>
      </c>
      <c r="E543" t="s">
        <v>459</v>
      </c>
      <c r="G543" s="105">
        <v>48</v>
      </c>
    </row>
    <row r="544" spans="1:8">
      <c r="A544">
        <v>244007</v>
      </c>
      <c r="E544" t="s">
        <v>460</v>
      </c>
      <c r="G544" s="105">
        <v>8</v>
      </c>
    </row>
    <row r="545" spans="1:8">
      <c r="A545">
        <v>244008</v>
      </c>
      <c r="E545" t="s">
        <v>451</v>
      </c>
      <c r="G545" s="105">
        <v>155</v>
      </c>
    </row>
    <row r="546" spans="1:8">
      <c r="A546">
        <v>244009</v>
      </c>
      <c r="E546" t="s">
        <v>461</v>
      </c>
      <c r="G546" s="105">
        <v>116</v>
      </c>
    </row>
    <row r="547" spans="1:8">
      <c r="A547">
        <v>244010</v>
      </c>
      <c r="E547" t="s">
        <v>425</v>
      </c>
      <c r="G547" s="105">
        <v>270</v>
      </c>
    </row>
    <row r="548" spans="1:8">
      <c r="A548">
        <v>244011</v>
      </c>
      <c r="E548" t="s">
        <v>462</v>
      </c>
      <c r="G548" s="105">
        <v>17</v>
      </c>
    </row>
    <row r="549" spans="1:8">
      <c r="A549">
        <v>244012</v>
      </c>
      <c r="E549" t="s">
        <v>463</v>
      </c>
      <c r="G549" s="105">
        <v>16</v>
      </c>
    </row>
    <row r="550" spans="1:8">
      <c r="A550">
        <v>244013</v>
      </c>
      <c r="E550" t="s">
        <v>464</v>
      </c>
      <c r="G550" s="105">
        <v>15</v>
      </c>
      <c r="H550" t="s">
        <v>465</v>
      </c>
    </row>
    <row r="551" spans="1:8">
      <c r="E551" t="s">
        <v>466</v>
      </c>
      <c r="G551" s="105">
        <v>64</v>
      </c>
      <c r="H551" t="s">
        <v>465</v>
      </c>
    </row>
    <row r="552" spans="1:8">
      <c r="A552">
        <v>244014</v>
      </c>
      <c r="E552" t="s">
        <v>467</v>
      </c>
      <c r="G552" s="105">
        <v>16</v>
      </c>
    </row>
    <row r="553" spans="1:8">
      <c r="A553">
        <v>244015</v>
      </c>
      <c r="E553" t="s">
        <v>468</v>
      </c>
      <c r="G553" s="105">
        <v>99</v>
      </c>
    </row>
    <row r="554" spans="1:8">
      <c r="A554">
        <v>244016</v>
      </c>
      <c r="E554" t="s">
        <v>469</v>
      </c>
      <c r="G554" s="105">
        <v>741</v>
      </c>
    </row>
    <row r="555" spans="1:8">
      <c r="A555">
        <v>244017</v>
      </c>
      <c r="E555" t="s">
        <v>470</v>
      </c>
      <c r="G555" s="105">
        <v>5700</v>
      </c>
      <c r="H555" t="s">
        <v>332</v>
      </c>
    </row>
    <row r="556" spans="1:8">
      <c r="A556">
        <v>244101</v>
      </c>
      <c r="E556" t="s">
        <v>471</v>
      </c>
      <c r="G556" s="105" t="s">
        <v>472</v>
      </c>
    </row>
    <row r="557" spans="1:8">
      <c r="A557">
        <v>244102</v>
      </c>
      <c r="E557" t="s">
        <v>473</v>
      </c>
      <c r="G557" s="105">
        <v>212</v>
      </c>
    </row>
    <row r="558" spans="1:8">
      <c r="A558">
        <v>244103</v>
      </c>
      <c r="E558" t="s">
        <v>474</v>
      </c>
      <c r="G558" s="105">
        <v>100</v>
      </c>
    </row>
    <row r="559" spans="1:8">
      <c r="A559">
        <v>244104</v>
      </c>
      <c r="E559">
        <v>1.0014000000000001</v>
      </c>
      <c r="G559" s="105">
        <v>426</v>
      </c>
    </row>
    <row r="560" spans="1:8">
      <c r="A560">
        <v>244105</v>
      </c>
      <c r="E560">
        <v>239</v>
      </c>
      <c r="G560" s="105">
        <v>50</v>
      </c>
    </row>
    <row r="561" spans="1:8">
      <c r="A561">
        <v>244106</v>
      </c>
      <c r="E561" t="s">
        <v>475</v>
      </c>
      <c r="G561" s="105">
        <v>30</v>
      </c>
    </row>
    <row r="562" spans="1:8">
      <c r="A562">
        <v>244107</v>
      </c>
      <c r="E562" t="s">
        <v>432</v>
      </c>
      <c r="G562" s="105">
        <v>300</v>
      </c>
    </row>
    <row r="563" spans="1:8">
      <c r="A563">
        <v>244108</v>
      </c>
      <c r="E563" t="s">
        <v>432</v>
      </c>
      <c r="F563" s="105">
        <v>102993195</v>
      </c>
      <c r="G563" s="105">
        <v>300</v>
      </c>
      <c r="H563" s="106">
        <v>45615</v>
      </c>
    </row>
    <row r="564" spans="1:8">
      <c r="A564">
        <v>244109</v>
      </c>
      <c r="E564" t="s">
        <v>476</v>
      </c>
      <c r="G564" s="105">
        <v>300</v>
      </c>
    </row>
    <row r="565" spans="1:8">
      <c r="A565">
        <v>244110</v>
      </c>
      <c r="E565" t="s">
        <v>474</v>
      </c>
      <c r="G565" s="105">
        <v>60</v>
      </c>
    </row>
    <row r="566" spans="1:8">
      <c r="A566">
        <v>244111</v>
      </c>
      <c r="E566" t="s">
        <v>91</v>
      </c>
      <c r="G566" s="105">
        <v>100</v>
      </c>
    </row>
    <row r="567" spans="1:8">
      <c r="A567">
        <v>244112</v>
      </c>
      <c r="E567" t="s">
        <v>464</v>
      </c>
      <c r="G567" s="105">
        <v>15</v>
      </c>
    </row>
    <row r="568" spans="1:8">
      <c r="A568">
        <v>244113</v>
      </c>
      <c r="E568" t="s">
        <v>336</v>
      </c>
      <c r="G568" s="105">
        <v>493</v>
      </c>
    </row>
    <row r="569" spans="1:8">
      <c r="A569">
        <v>244201</v>
      </c>
      <c r="E569" t="s">
        <v>477</v>
      </c>
      <c r="G569" s="105">
        <v>250</v>
      </c>
    </row>
    <row r="570" spans="1:8">
      <c r="A570">
        <v>244202</v>
      </c>
      <c r="E570" t="s">
        <v>478</v>
      </c>
      <c r="G570" s="105">
        <v>14</v>
      </c>
    </row>
    <row r="571" spans="1:8">
      <c r="A571">
        <v>244203</v>
      </c>
      <c r="E571" t="s">
        <v>479</v>
      </c>
      <c r="G571" s="105">
        <v>14</v>
      </c>
    </row>
    <row r="572" spans="1:8">
      <c r="A572">
        <v>244204</v>
      </c>
      <c r="E572" t="s">
        <v>480</v>
      </c>
      <c r="G572" s="105">
        <v>650</v>
      </c>
    </row>
    <row r="573" spans="1:8">
      <c r="A573">
        <v>244205</v>
      </c>
      <c r="E573" t="s">
        <v>336</v>
      </c>
      <c r="G573" s="105">
        <v>493</v>
      </c>
      <c r="H573" t="s">
        <v>481</v>
      </c>
    </row>
    <row r="574" spans="1:8">
      <c r="A574">
        <v>244206</v>
      </c>
      <c r="E574" t="s">
        <v>482</v>
      </c>
      <c r="G574" s="105">
        <v>1000</v>
      </c>
    </row>
    <row r="575" spans="1:8">
      <c r="A575">
        <v>244207</v>
      </c>
      <c r="E575" t="s">
        <v>466</v>
      </c>
      <c r="G575" s="105">
        <v>64</v>
      </c>
    </row>
    <row r="576" spans="1:8">
      <c r="A576">
        <v>244208</v>
      </c>
      <c r="E576" t="s">
        <v>483</v>
      </c>
      <c r="G576" s="105">
        <v>445</v>
      </c>
    </row>
    <row r="577" spans="1:8">
      <c r="A577">
        <v>244209</v>
      </c>
      <c r="E577" t="s">
        <v>484</v>
      </c>
      <c r="G577" s="105">
        <v>200</v>
      </c>
    </row>
    <row r="578" spans="1:8">
      <c r="A578">
        <v>244301</v>
      </c>
      <c r="E578" t="s">
        <v>485</v>
      </c>
      <c r="G578" s="105">
        <v>32</v>
      </c>
      <c r="H578" t="s">
        <v>348</v>
      </c>
    </row>
    <row r="579" spans="1:8">
      <c r="A579">
        <v>244302</v>
      </c>
      <c r="E579" t="s">
        <v>486</v>
      </c>
      <c r="G579" s="105">
        <v>4650</v>
      </c>
      <c r="H579" t="s">
        <v>487</v>
      </c>
    </row>
    <row r="580" spans="1:8">
      <c r="A580">
        <v>244303</v>
      </c>
      <c r="E580" t="s">
        <v>53</v>
      </c>
      <c r="G580" s="105">
        <v>1000</v>
      </c>
      <c r="H580" t="s">
        <v>488</v>
      </c>
    </row>
    <row r="581" spans="1:8">
      <c r="A581">
        <v>244304</v>
      </c>
      <c r="E581" t="s">
        <v>489</v>
      </c>
      <c r="G581" s="105">
        <v>120</v>
      </c>
      <c r="H581" t="s">
        <v>348</v>
      </c>
    </row>
    <row r="582" spans="1:8">
      <c r="A582">
        <v>244305</v>
      </c>
      <c r="E582" t="s">
        <v>459</v>
      </c>
      <c r="G582" s="105">
        <v>48</v>
      </c>
      <c r="H582" t="s">
        <v>348</v>
      </c>
    </row>
    <row r="583" spans="1:8">
      <c r="A583">
        <v>244306</v>
      </c>
      <c r="E583" t="s">
        <v>480</v>
      </c>
      <c r="G583" s="105">
        <v>120</v>
      </c>
      <c r="H583" t="s">
        <v>348</v>
      </c>
    </row>
    <row r="584" spans="1:8">
      <c r="A584">
        <v>244307</v>
      </c>
      <c r="E584" t="s">
        <v>480</v>
      </c>
      <c r="G584" s="105">
        <v>5</v>
      </c>
      <c r="H584" t="s">
        <v>490</v>
      </c>
    </row>
    <row r="585" spans="1:8">
      <c r="A585">
        <v>244308</v>
      </c>
      <c r="E585" t="s">
        <v>491</v>
      </c>
      <c r="G585" s="105">
        <v>120</v>
      </c>
      <c r="H585" t="s">
        <v>348</v>
      </c>
    </row>
    <row r="586" spans="1:8">
      <c r="A586">
        <v>244309</v>
      </c>
      <c r="E586" t="s">
        <v>491</v>
      </c>
      <c r="G586" s="105">
        <v>5</v>
      </c>
      <c r="H586" t="s">
        <v>490</v>
      </c>
    </row>
    <row r="587" spans="1:8">
      <c r="A587">
        <v>244401</v>
      </c>
      <c r="E587" t="s">
        <v>474</v>
      </c>
      <c r="G587" s="105">
        <v>240</v>
      </c>
    </row>
    <row r="588" spans="1:8">
      <c r="A588">
        <v>244402</v>
      </c>
      <c r="E588" t="s">
        <v>492</v>
      </c>
      <c r="G588" s="105" t="s">
        <v>493</v>
      </c>
    </row>
    <row r="589" spans="1:8">
      <c r="A589">
        <v>244403</v>
      </c>
      <c r="E589" t="s">
        <v>494</v>
      </c>
      <c r="G589" s="105" t="s">
        <v>493</v>
      </c>
    </row>
    <row r="590" spans="1:8">
      <c r="A590">
        <v>244404</v>
      </c>
      <c r="E590" t="s">
        <v>495</v>
      </c>
      <c r="G590" s="105">
        <v>300</v>
      </c>
    </row>
    <row r="591" spans="1:8">
      <c r="A591">
        <v>244405</v>
      </c>
      <c r="E591" t="s">
        <v>496</v>
      </c>
      <c r="G591" s="105">
        <v>200</v>
      </c>
    </row>
    <row r="592" spans="1:8">
      <c r="A592">
        <v>244406</v>
      </c>
      <c r="E592" t="s">
        <v>486</v>
      </c>
      <c r="G592" s="105">
        <v>140</v>
      </c>
    </row>
    <row r="593" spans="1:8">
      <c r="A593">
        <v>244407</v>
      </c>
      <c r="E593" t="s">
        <v>483</v>
      </c>
      <c r="G593" s="105">
        <v>305</v>
      </c>
    </row>
    <row r="594" spans="1:8">
      <c r="A594">
        <v>244408</v>
      </c>
      <c r="E594" t="s">
        <v>497</v>
      </c>
      <c r="G594" s="105">
        <v>240</v>
      </c>
    </row>
    <row r="595" spans="1:8">
      <c r="A595">
        <v>244409</v>
      </c>
      <c r="E595" t="s">
        <v>498</v>
      </c>
      <c r="G595" s="105">
        <v>300</v>
      </c>
      <c r="H595" t="s">
        <v>499</v>
      </c>
    </row>
    <row r="596" spans="1:8">
      <c r="A596">
        <v>244410</v>
      </c>
      <c r="E596" t="s">
        <v>486</v>
      </c>
      <c r="G596" s="105">
        <v>500</v>
      </c>
    </row>
    <row r="597" spans="1:8">
      <c r="A597">
        <v>244411</v>
      </c>
      <c r="E597" t="s">
        <v>483</v>
      </c>
      <c r="G597" s="105">
        <v>250</v>
      </c>
    </row>
    <row r="598" spans="1:8">
      <c r="A598">
        <v>244501</v>
      </c>
      <c r="E598" t="s">
        <v>425</v>
      </c>
      <c r="G598" s="105">
        <v>150</v>
      </c>
    </row>
    <row r="599" spans="1:8">
      <c r="A599">
        <v>244502</v>
      </c>
      <c r="E599" t="s">
        <v>500</v>
      </c>
      <c r="G599" s="105">
        <v>150</v>
      </c>
    </row>
    <row r="600" spans="1:8">
      <c r="A600">
        <v>244503</v>
      </c>
      <c r="E600">
        <v>411</v>
      </c>
      <c r="G600" s="105">
        <v>240</v>
      </c>
    </row>
    <row r="601" spans="1:8">
      <c r="A601">
        <v>244504</v>
      </c>
      <c r="E601">
        <v>411</v>
      </c>
      <c r="G601" s="105">
        <v>240</v>
      </c>
    </row>
    <row r="602" spans="1:8">
      <c r="A602">
        <v>244505</v>
      </c>
      <c r="E602" t="s">
        <v>425</v>
      </c>
      <c r="G602" s="105">
        <v>150</v>
      </c>
    </row>
    <row r="603" spans="1:8">
      <c r="A603">
        <v>244506</v>
      </c>
      <c r="E603" t="s">
        <v>501</v>
      </c>
      <c r="G603" s="105">
        <v>16</v>
      </c>
    </row>
    <row r="604" spans="1:8">
      <c r="A604">
        <v>244507</v>
      </c>
      <c r="E604" t="s">
        <v>451</v>
      </c>
      <c r="G604" s="105">
        <v>60</v>
      </c>
    </row>
    <row r="605" spans="1:8">
      <c r="A605">
        <v>244508</v>
      </c>
      <c r="E605" t="s">
        <v>502</v>
      </c>
      <c r="G605" s="105">
        <v>144</v>
      </c>
    </row>
    <row r="606" spans="1:8">
      <c r="A606">
        <v>244509</v>
      </c>
      <c r="E606" t="s">
        <v>503</v>
      </c>
      <c r="G606" s="105">
        <v>270</v>
      </c>
    </row>
    <row r="607" spans="1:8">
      <c r="A607">
        <v>244510</v>
      </c>
      <c r="E607" t="s">
        <v>504</v>
      </c>
      <c r="G607" s="105">
        <v>168</v>
      </c>
    </row>
    <row r="608" spans="1:8">
      <c r="A608">
        <v>244511</v>
      </c>
      <c r="E608" t="s">
        <v>505</v>
      </c>
      <c r="G608" s="105">
        <v>57</v>
      </c>
    </row>
    <row r="609" spans="1:8">
      <c r="A609">
        <v>244512</v>
      </c>
      <c r="E609" t="s">
        <v>506</v>
      </c>
      <c r="G609" s="105">
        <v>90</v>
      </c>
    </row>
    <row r="610" spans="1:8">
      <c r="A610">
        <v>244513</v>
      </c>
      <c r="E610" t="s">
        <v>507</v>
      </c>
      <c r="G610" s="105">
        <v>135</v>
      </c>
    </row>
    <row r="611" spans="1:8">
      <c r="A611">
        <v>244514</v>
      </c>
      <c r="E611" t="s">
        <v>507</v>
      </c>
      <c r="G611" s="105">
        <v>135</v>
      </c>
    </row>
    <row r="612" spans="1:8">
      <c r="A612">
        <v>244515</v>
      </c>
      <c r="E612" t="s">
        <v>451</v>
      </c>
      <c r="G612" s="105">
        <v>60</v>
      </c>
    </row>
    <row r="613" spans="1:8">
      <c r="A613">
        <v>244516</v>
      </c>
      <c r="E613" t="s">
        <v>508</v>
      </c>
      <c r="G613" s="105">
        <v>108</v>
      </c>
    </row>
    <row r="614" spans="1:8">
      <c r="A614">
        <v>244517</v>
      </c>
      <c r="E614" t="s">
        <v>509</v>
      </c>
      <c r="G614" s="105">
        <v>135</v>
      </c>
    </row>
    <row r="615" spans="1:8">
      <c r="A615">
        <v>244518</v>
      </c>
      <c r="E615" t="s">
        <v>509</v>
      </c>
      <c r="G615" s="105">
        <v>135</v>
      </c>
    </row>
    <row r="616" spans="1:8">
      <c r="A616">
        <v>244519</v>
      </c>
      <c r="E616" t="s">
        <v>510</v>
      </c>
      <c r="G616" s="105">
        <v>49</v>
      </c>
    </row>
    <row r="617" spans="1:8">
      <c r="A617">
        <v>244520</v>
      </c>
      <c r="E617" t="s">
        <v>508</v>
      </c>
      <c r="G617" s="105">
        <v>108</v>
      </c>
    </row>
    <row r="618" spans="1:8">
      <c r="A618">
        <v>244521</v>
      </c>
      <c r="E618" t="s">
        <v>511</v>
      </c>
      <c r="G618" s="105">
        <v>4</v>
      </c>
    </row>
    <row r="619" spans="1:8">
      <c r="A619">
        <v>244522</v>
      </c>
      <c r="E619" t="s">
        <v>512</v>
      </c>
      <c r="G619" s="105">
        <v>144</v>
      </c>
    </row>
    <row r="620" spans="1:8">
      <c r="A620">
        <v>244523</v>
      </c>
      <c r="E620" t="s">
        <v>513</v>
      </c>
      <c r="G620" s="105">
        <v>45</v>
      </c>
    </row>
    <row r="621" spans="1:8">
      <c r="A621">
        <v>244524</v>
      </c>
      <c r="E621" t="s">
        <v>514</v>
      </c>
      <c r="G621" s="105">
        <v>250</v>
      </c>
    </row>
    <row r="622" spans="1:8">
      <c r="A622">
        <v>244525</v>
      </c>
      <c r="E622" t="s">
        <v>515</v>
      </c>
      <c r="G622" s="105">
        <v>5</v>
      </c>
      <c r="H622" t="s">
        <v>310</v>
      </c>
    </row>
    <row r="623" spans="1:8">
      <c r="A623">
        <v>244526</v>
      </c>
      <c r="E623" t="s">
        <v>515</v>
      </c>
      <c r="G623" s="105">
        <v>150</v>
      </c>
    </row>
    <row r="624" spans="1:8">
      <c r="A624">
        <v>244601</v>
      </c>
      <c r="E624" t="s">
        <v>514</v>
      </c>
      <c r="G624" s="105">
        <v>243</v>
      </c>
    </row>
    <row r="625" spans="1:8">
      <c r="A625">
        <v>244602</v>
      </c>
      <c r="E625" t="s">
        <v>449</v>
      </c>
      <c r="G625" s="105">
        <v>150</v>
      </c>
    </row>
    <row r="626" spans="1:8">
      <c r="A626">
        <v>244603</v>
      </c>
      <c r="E626" t="s">
        <v>516</v>
      </c>
      <c r="G626" s="105">
        <v>150</v>
      </c>
    </row>
    <row r="627" spans="1:8">
      <c r="A627">
        <v>244604</v>
      </c>
      <c r="E627" t="s">
        <v>517</v>
      </c>
      <c r="G627" s="105">
        <v>5</v>
      </c>
      <c r="H627" t="s">
        <v>310</v>
      </c>
    </row>
    <row r="628" spans="1:8">
      <c r="A628">
        <v>244605</v>
      </c>
      <c r="E628" t="s">
        <v>511</v>
      </c>
      <c r="G628" s="105">
        <v>5</v>
      </c>
      <c r="H628" t="s">
        <v>310</v>
      </c>
    </row>
    <row r="629" spans="1:8">
      <c r="A629">
        <v>244606</v>
      </c>
      <c r="E629" t="s">
        <v>518</v>
      </c>
      <c r="G629" s="105">
        <v>168</v>
      </c>
    </row>
    <row r="630" spans="1:8">
      <c r="A630">
        <v>244607</v>
      </c>
      <c r="E630" t="s">
        <v>425</v>
      </c>
      <c r="G630" s="105">
        <v>148</v>
      </c>
    </row>
    <row r="631" spans="1:8">
      <c r="A631">
        <v>244608</v>
      </c>
      <c r="E631" t="s">
        <v>519</v>
      </c>
      <c r="G631" s="105">
        <v>200</v>
      </c>
    </row>
    <row r="632" spans="1:8">
      <c r="A632">
        <v>244609</v>
      </c>
      <c r="E632" t="s">
        <v>520</v>
      </c>
      <c r="G632" s="105">
        <v>150</v>
      </c>
    </row>
    <row r="633" spans="1:8">
      <c r="A633">
        <v>244610</v>
      </c>
      <c r="E633" t="s">
        <v>521</v>
      </c>
      <c r="G633" s="105">
        <v>30</v>
      </c>
    </row>
    <row r="634" spans="1:8">
      <c r="A634">
        <v>244611</v>
      </c>
      <c r="E634" t="s">
        <v>504</v>
      </c>
      <c r="G634" s="105">
        <v>168</v>
      </c>
    </row>
    <row r="635" spans="1:8">
      <c r="A635">
        <v>244612</v>
      </c>
      <c r="E635" t="s">
        <v>522</v>
      </c>
      <c r="G635" s="105">
        <v>100</v>
      </c>
    </row>
    <row r="636" spans="1:8">
      <c r="A636">
        <v>244613</v>
      </c>
      <c r="E636" t="s">
        <v>523</v>
      </c>
      <c r="G636" s="105">
        <v>170</v>
      </c>
    </row>
    <row r="637" spans="1:8">
      <c r="A637">
        <v>244614</v>
      </c>
      <c r="E637" t="s">
        <v>524</v>
      </c>
      <c r="G637" s="105">
        <v>262</v>
      </c>
    </row>
    <row r="638" spans="1:8">
      <c r="A638">
        <v>244615</v>
      </c>
      <c r="E638" t="s">
        <v>326</v>
      </c>
      <c r="G638" s="105">
        <v>200</v>
      </c>
    </row>
    <row r="639" spans="1:8">
      <c r="A639">
        <v>244616</v>
      </c>
      <c r="E639" t="s">
        <v>509</v>
      </c>
      <c r="G639" s="105">
        <v>135</v>
      </c>
    </row>
    <row r="640" spans="1:8">
      <c r="A640">
        <v>244617</v>
      </c>
      <c r="E640" t="s">
        <v>432</v>
      </c>
      <c r="G640" s="105">
        <v>100</v>
      </c>
    </row>
    <row r="641" spans="1:8">
      <c r="A641">
        <v>244618</v>
      </c>
      <c r="E641" t="s">
        <v>508</v>
      </c>
      <c r="G641" s="105">
        <v>108</v>
      </c>
    </row>
    <row r="642" spans="1:8">
      <c r="A642">
        <v>244619</v>
      </c>
      <c r="E642" t="s">
        <v>525</v>
      </c>
      <c r="G642" s="105">
        <v>100</v>
      </c>
    </row>
    <row r="643" spans="1:8">
      <c r="A643">
        <v>244620</v>
      </c>
      <c r="E643" t="s">
        <v>525</v>
      </c>
      <c r="G643" s="105">
        <v>5</v>
      </c>
      <c r="H643" t="s">
        <v>310</v>
      </c>
    </row>
    <row r="644" spans="1:8">
      <c r="A644">
        <v>244621</v>
      </c>
      <c r="E644" t="s">
        <v>526</v>
      </c>
      <c r="G644" s="105">
        <v>240</v>
      </c>
    </row>
    <row r="645" spans="1:8">
      <c r="A645">
        <v>244622</v>
      </c>
      <c r="E645">
        <v>811</v>
      </c>
      <c r="G645" s="105">
        <v>108</v>
      </c>
    </row>
    <row r="646" spans="1:8">
      <c r="A646">
        <v>244623</v>
      </c>
      <c r="E646">
        <v>421</v>
      </c>
      <c r="G646" s="105">
        <v>405</v>
      </c>
    </row>
    <row r="647" spans="1:8">
      <c r="A647">
        <v>244624</v>
      </c>
      <c r="E647" t="s">
        <v>527</v>
      </c>
      <c r="G647" s="105">
        <v>270</v>
      </c>
    </row>
    <row r="648" spans="1:8">
      <c r="A648">
        <v>244625</v>
      </c>
      <c r="E648">
        <v>821</v>
      </c>
      <c r="G648" s="105">
        <v>216</v>
      </c>
    </row>
    <row r="649" spans="1:8">
      <c r="A649">
        <v>244626</v>
      </c>
      <c r="E649" t="s">
        <v>528</v>
      </c>
      <c r="G649" s="105">
        <v>270</v>
      </c>
    </row>
    <row r="650" spans="1:8">
      <c r="A650">
        <v>244701</v>
      </c>
      <c r="E650" t="s">
        <v>528</v>
      </c>
      <c r="G650" s="105">
        <v>135</v>
      </c>
    </row>
    <row r="651" spans="1:8">
      <c r="A651">
        <v>244702</v>
      </c>
      <c r="E651" t="s">
        <v>347</v>
      </c>
      <c r="G651" s="105">
        <v>120</v>
      </c>
    </row>
    <row r="652" spans="1:8">
      <c r="A652">
        <v>244703</v>
      </c>
      <c r="E652" t="s">
        <v>449</v>
      </c>
      <c r="F652" s="105">
        <v>101829343</v>
      </c>
      <c r="G652" s="105">
        <v>120</v>
      </c>
    </row>
    <row r="653" spans="1:8">
      <c r="A653">
        <v>244704</v>
      </c>
      <c r="E653" t="s">
        <v>474</v>
      </c>
      <c r="F653" s="105">
        <v>103035326</v>
      </c>
      <c r="G653" s="105">
        <v>150</v>
      </c>
    </row>
    <row r="654" spans="1:8">
      <c r="A654">
        <v>244705</v>
      </c>
      <c r="E654" t="s">
        <v>507</v>
      </c>
      <c r="G654" s="105">
        <v>135</v>
      </c>
    </row>
    <row r="655" spans="1:8">
      <c r="A655">
        <v>244706</v>
      </c>
      <c r="E655" t="s">
        <v>529</v>
      </c>
      <c r="G655" s="105">
        <v>100</v>
      </c>
    </row>
    <row r="656" spans="1:8">
      <c r="A656">
        <v>244707</v>
      </c>
      <c r="E656" t="s">
        <v>530</v>
      </c>
      <c r="F656" s="105">
        <v>103035326</v>
      </c>
      <c r="G656" s="105">
        <v>150</v>
      </c>
    </row>
    <row r="657" spans="1:7">
      <c r="A657">
        <v>244708</v>
      </c>
      <c r="E657" t="s">
        <v>531</v>
      </c>
      <c r="F657" s="105">
        <v>101829343</v>
      </c>
      <c r="G657" s="105">
        <v>120</v>
      </c>
    </row>
    <row r="658" spans="1:7">
      <c r="A658">
        <v>244709</v>
      </c>
      <c r="E658" t="s">
        <v>432</v>
      </c>
      <c r="F658" s="105">
        <v>102993195</v>
      </c>
      <c r="G658" s="105">
        <v>360</v>
      </c>
    </row>
    <row r="659" spans="1:7">
      <c r="A659">
        <v>244710</v>
      </c>
      <c r="E659" t="s">
        <v>532</v>
      </c>
      <c r="G659" s="105">
        <v>108</v>
      </c>
    </row>
    <row r="660" spans="1:7">
      <c r="A660">
        <v>244711</v>
      </c>
      <c r="E660" t="s">
        <v>527</v>
      </c>
      <c r="G660" s="105">
        <v>130</v>
      </c>
    </row>
    <row r="661" spans="1:7">
      <c r="A661">
        <v>244712</v>
      </c>
      <c r="E661" t="s">
        <v>528</v>
      </c>
      <c r="G661" s="105">
        <v>120</v>
      </c>
    </row>
    <row r="662" spans="1:7">
      <c r="A662">
        <v>244713</v>
      </c>
      <c r="E662" t="s">
        <v>507</v>
      </c>
      <c r="G662" s="105">
        <v>135</v>
      </c>
    </row>
    <row r="663" spans="1:7">
      <c r="A663">
        <v>244714</v>
      </c>
      <c r="E663" t="s">
        <v>533</v>
      </c>
      <c r="G663" s="105">
        <v>60</v>
      </c>
    </row>
    <row r="664" spans="1:7">
      <c r="A664">
        <v>244715</v>
      </c>
      <c r="E664" t="s">
        <v>534</v>
      </c>
      <c r="G664" s="105">
        <v>49</v>
      </c>
    </row>
    <row r="665" spans="1:7">
      <c r="A665">
        <v>244716</v>
      </c>
      <c r="E665" t="s">
        <v>535</v>
      </c>
      <c r="G665" s="105">
        <v>30</v>
      </c>
    </row>
    <row r="666" spans="1:7">
      <c r="A666">
        <v>244717</v>
      </c>
      <c r="E666" t="s">
        <v>202</v>
      </c>
      <c r="G666" s="105">
        <v>600</v>
      </c>
    </row>
    <row r="667" spans="1:7">
      <c r="A667">
        <v>244718</v>
      </c>
      <c r="E667" t="s">
        <v>202</v>
      </c>
      <c r="G667" s="105">
        <v>600</v>
      </c>
    </row>
    <row r="668" spans="1:7">
      <c r="A668">
        <v>244719</v>
      </c>
      <c r="E668" t="s">
        <v>536</v>
      </c>
      <c r="F668" s="105">
        <v>105142497</v>
      </c>
      <c r="G668" s="105">
        <v>144</v>
      </c>
    </row>
    <row r="669" spans="1:7">
      <c r="A669">
        <v>244720</v>
      </c>
      <c r="E669" t="s">
        <v>537</v>
      </c>
      <c r="G669" s="105">
        <v>30</v>
      </c>
    </row>
    <row r="670" spans="1:7">
      <c r="A670">
        <v>244721</v>
      </c>
      <c r="E670" t="s">
        <v>432</v>
      </c>
      <c r="F670" s="105">
        <v>102993195</v>
      </c>
      <c r="G670" s="105" t="s">
        <v>538</v>
      </c>
    </row>
    <row r="671" spans="1:7">
      <c r="A671">
        <v>244722</v>
      </c>
      <c r="E671" t="s">
        <v>504</v>
      </c>
      <c r="G671" s="105">
        <v>170</v>
      </c>
    </row>
    <row r="672" spans="1:7">
      <c r="A672">
        <v>244723</v>
      </c>
      <c r="E672" t="s">
        <v>532</v>
      </c>
      <c r="G672" s="105">
        <v>108</v>
      </c>
    </row>
    <row r="673" spans="1:7">
      <c r="A673">
        <v>244724</v>
      </c>
      <c r="E673" t="s">
        <v>528</v>
      </c>
      <c r="G673" s="105">
        <v>135</v>
      </c>
    </row>
    <row r="674" spans="1:7">
      <c r="A674">
        <v>244725</v>
      </c>
      <c r="E674" t="s">
        <v>470</v>
      </c>
      <c r="G674" s="105">
        <v>135</v>
      </c>
    </row>
    <row r="675" spans="1:7">
      <c r="A675">
        <v>244726</v>
      </c>
      <c r="E675" t="s">
        <v>497</v>
      </c>
      <c r="F675" s="105">
        <v>103035326</v>
      </c>
      <c r="G675" s="105">
        <v>144</v>
      </c>
    </row>
    <row r="676" spans="1:7">
      <c r="A676">
        <v>244727</v>
      </c>
      <c r="E676" t="s">
        <v>531</v>
      </c>
      <c r="F676" s="105">
        <v>101829343</v>
      </c>
      <c r="G676" s="105">
        <v>120</v>
      </c>
    </row>
    <row r="677" spans="1:7">
      <c r="A677">
        <v>244728</v>
      </c>
      <c r="E677" t="s">
        <v>539</v>
      </c>
      <c r="G677" s="105">
        <v>60</v>
      </c>
    </row>
    <row r="678" spans="1:7">
      <c r="A678">
        <v>244729</v>
      </c>
      <c r="B678" t="s">
        <v>540</v>
      </c>
      <c r="C678" s="103">
        <v>0.70833333333333337</v>
      </c>
      <c r="D678">
        <v>205</v>
      </c>
      <c r="E678" t="s">
        <v>103</v>
      </c>
      <c r="G678" s="105">
        <v>120</v>
      </c>
    </row>
    <row r="679" spans="1:7">
      <c r="A679">
        <v>244730</v>
      </c>
      <c r="B679" t="s">
        <v>540</v>
      </c>
      <c r="C679" s="103">
        <v>0.70833333333333337</v>
      </c>
      <c r="D679">
        <v>204</v>
      </c>
      <c r="E679" t="s">
        <v>100</v>
      </c>
      <c r="G679" s="105">
        <v>120</v>
      </c>
    </row>
    <row r="680" spans="1:7">
      <c r="A680">
        <v>244731</v>
      </c>
      <c r="B680" t="s">
        <v>540</v>
      </c>
      <c r="C680" s="103">
        <v>0.70833333333333337</v>
      </c>
      <c r="D680">
        <v>210</v>
      </c>
      <c r="E680" t="s">
        <v>102</v>
      </c>
      <c r="G680" s="105">
        <v>288</v>
      </c>
    </row>
    <row r="681" spans="1:7">
      <c r="A681">
        <v>244732</v>
      </c>
      <c r="B681" t="s">
        <v>540</v>
      </c>
      <c r="C681" s="103">
        <v>0.70833333333333337</v>
      </c>
      <c r="D681">
        <v>208</v>
      </c>
      <c r="E681" t="s">
        <v>541</v>
      </c>
      <c r="G681" s="105">
        <v>270</v>
      </c>
    </row>
    <row r="682" spans="1:7">
      <c r="A682">
        <v>244733</v>
      </c>
      <c r="B682" t="s">
        <v>540</v>
      </c>
      <c r="C682" s="103">
        <v>0.70833333333333337</v>
      </c>
      <c r="D682">
        <v>206</v>
      </c>
      <c r="E682" t="s">
        <v>542</v>
      </c>
      <c r="G682" s="105">
        <v>120</v>
      </c>
    </row>
    <row r="683" spans="1:7">
      <c r="A683">
        <v>244801</v>
      </c>
      <c r="B683" t="s">
        <v>543</v>
      </c>
      <c r="C683" s="103">
        <v>0.52083333333333337</v>
      </c>
      <c r="D683">
        <v>207</v>
      </c>
      <c r="E683" t="s">
        <v>34</v>
      </c>
      <c r="G683" s="105">
        <v>120</v>
      </c>
    </row>
    <row r="684" spans="1:7">
      <c r="A684">
        <v>244802</v>
      </c>
      <c r="B684" t="s">
        <v>543</v>
      </c>
      <c r="C684" s="103">
        <v>0.52083333333333337</v>
      </c>
      <c r="D684">
        <v>202</v>
      </c>
      <c r="E684" t="s">
        <v>56</v>
      </c>
      <c r="G684" s="105">
        <v>300</v>
      </c>
    </row>
    <row r="685" spans="1:7">
      <c r="A685">
        <v>244803</v>
      </c>
      <c r="B685" t="s">
        <v>543</v>
      </c>
      <c r="C685" s="103">
        <v>0.52083333333333337</v>
      </c>
      <c r="E685" t="s">
        <v>228</v>
      </c>
      <c r="G685" s="105">
        <v>600</v>
      </c>
    </row>
    <row r="686" spans="1:7">
      <c r="A686">
        <v>244804</v>
      </c>
      <c r="B686" t="s">
        <v>543</v>
      </c>
      <c r="C686" s="103">
        <v>0.52083333333333337</v>
      </c>
      <c r="D686">
        <v>208</v>
      </c>
      <c r="E686" t="s">
        <v>544</v>
      </c>
      <c r="G686" s="105">
        <v>18</v>
      </c>
    </row>
    <row r="687" spans="1:7">
      <c r="A687">
        <v>244805</v>
      </c>
      <c r="B687" t="s">
        <v>543</v>
      </c>
      <c r="C687" s="103">
        <v>0.52083333333333337</v>
      </c>
      <c r="D687">
        <v>207</v>
      </c>
      <c r="E687" t="s">
        <v>179</v>
      </c>
      <c r="G687" s="105">
        <v>20</v>
      </c>
    </row>
    <row r="688" spans="1:7">
      <c r="A688">
        <v>244806</v>
      </c>
      <c r="B688" t="s">
        <v>545</v>
      </c>
      <c r="C688" s="103">
        <v>0.36805555555555558</v>
      </c>
      <c r="D688">
        <v>203</v>
      </c>
      <c r="E688" t="s">
        <v>511</v>
      </c>
      <c r="G688" s="105">
        <v>120</v>
      </c>
    </row>
    <row r="689" spans="1:7">
      <c r="A689">
        <v>244807</v>
      </c>
      <c r="B689" t="s">
        <v>545</v>
      </c>
      <c r="C689" s="103">
        <v>0.67708333333333337</v>
      </c>
      <c r="D689">
        <v>205</v>
      </c>
      <c r="E689" t="s">
        <v>531</v>
      </c>
      <c r="F689" s="105">
        <v>104999878</v>
      </c>
      <c r="G689" s="105">
        <v>120</v>
      </c>
    </row>
    <row r="690" spans="1:7">
      <c r="A690">
        <v>244808</v>
      </c>
      <c r="B690" t="s">
        <v>545</v>
      </c>
      <c r="C690" s="103">
        <v>0.67708333333333337</v>
      </c>
      <c r="D690">
        <v>206</v>
      </c>
      <c r="E690" t="s">
        <v>33</v>
      </c>
      <c r="G690" s="105">
        <v>60</v>
      </c>
    </row>
    <row r="691" spans="1:7">
      <c r="A691">
        <v>244809</v>
      </c>
      <c r="B691" t="s">
        <v>545</v>
      </c>
      <c r="C691" s="103">
        <v>0.67708333333333337</v>
      </c>
      <c r="D691">
        <v>108</v>
      </c>
      <c r="E691" t="s">
        <v>546</v>
      </c>
      <c r="G691" s="105">
        <v>100</v>
      </c>
    </row>
    <row r="692" spans="1:7">
      <c r="A692">
        <v>244810</v>
      </c>
      <c r="B692" t="s">
        <v>545</v>
      </c>
      <c r="C692" s="103">
        <v>0.67708333333333337</v>
      </c>
      <c r="D692">
        <v>107</v>
      </c>
      <c r="E692" t="s">
        <v>547</v>
      </c>
      <c r="G692" s="105">
        <v>18</v>
      </c>
    </row>
    <row r="693" spans="1:7">
      <c r="A693">
        <v>244811</v>
      </c>
      <c r="B693" t="s">
        <v>548</v>
      </c>
      <c r="C693" s="103">
        <v>0.5</v>
      </c>
      <c r="D693">
        <v>206</v>
      </c>
      <c r="E693" t="s">
        <v>33</v>
      </c>
      <c r="G693" s="105">
        <v>60</v>
      </c>
    </row>
    <row r="694" spans="1:7">
      <c r="A694">
        <v>244812</v>
      </c>
      <c r="B694" t="s">
        <v>548</v>
      </c>
      <c r="C694" s="103">
        <v>0.5</v>
      </c>
      <c r="D694">
        <v>208</v>
      </c>
      <c r="E694" t="s">
        <v>549</v>
      </c>
      <c r="G694" s="105">
        <v>18</v>
      </c>
    </row>
    <row r="695" spans="1:7">
      <c r="A695">
        <v>244813</v>
      </c>
      <c r="B695" t="s">
        <v>548</v>
      </c>
      <c r="C695" s="103">
        <v>0.70138888888888884</v>
      </c>
      <c r="D695">
        <v>205</v>
      </c>
      <c r="E695" t="s">
        <v>531</v>
      </c>
      <c r="G695" s="105">
        <v>120</v>
      </c>
    </row>
    <row r="696" spans="1:7">
      <c r="A696">
        <v>244814</v>
      </c>
      <c r="B696" t="s">
        <v>548</v>
      </c>
      <c r="C696" s="103">
        <v>0.70138888888888884</v>
      </c>
      <c r="D696">
        <v>202</v>
      </c>
      <c r="E696" t="s">
        <v>532</v>
      </c>
      <c r="G696" s="105">
        <v>108</v>
      </c>
    </row>
    <row r="697" spans="1:7">
      <c r="A697">
        <v>244815</v>
      </c>
      <c r="B697" t="s">
        <v>548</v>
      </c>
      <c r="C697" s="103">
        <v>0.70138888888888884</v>
      </c>
      <c r="D697">
        <v>203</v>
      </c>
      <c r="E697" t="s">
        <v>511</v>
      </c>
      <c r="G697" s="105">
        <v>108</v>
      </c>
    </row>
    <row r="698" spans="1:7">
      <c r="A698">
        <v>244816</v>
      </c>
      <c r="B698" t="s">
        <v>550</v>
      </c>
      <c r="C698" s="103">
        <v>0.51527777777777772</v>
      </c>
      <c r="D698">
        <v>203</v>
      </c>
      <c r="E698" t="s">
        <v>511</v>
      </c>
      <c r="G698" s="105">
        <v>108</v>
      </c>
    </row>
    <row r="699" spans="1:7">
      <c r="A699">
        <v>244817</v>
      </c>
      <c r="B699" t="s">
        <v>550</v>
      </c>
      <c r="C699" s="103">
        <v>0.51527777777777772</v>
      </c>
      <c r="D699">
        <v>202</v>
      </c>
      <c r="E699" t="s">
        <v>532</v>
      </c>
      <c r="G699" s="105">
        <v>108</v>
      </c>
    </row>
    <row r="700" spans="1:7">
      <c r="A700">
        <v>244819</v>
      </c>
      <c r="B700" t="s">
        <v>550</v>
      </c>
      <c r="C700" s="103">
        <v>0.51527777777777772</v>
      </c>
      <c r="D700">
        <v>204</v>
      </c>
      <c r="E700" t="s">
        <v>245</v>
      </c>
      <c r="F700" s="105">
        <v>103035326</v>
      </c>
      <c r="G700" s="105">
        <v>120</v>
      </c>
    </row>
    <row r="701" spans="1:7">
      <c r="A701">
        <v>244818</v>
      </c>
      <c r="B701" t="s">
        <v>550</v>
      </c>
      <c r="C701" s="103">
        <v>0.51527777777777772</v>
      </c>
      <c r="D701">
        <v>207</v>
      </c>
      <c r="E701" t="s">
        <v>489</v>
      </c>
      <c r="G701" s="105">
        <v>60</v>
      </c>
    </row>
    <row r="702" spans="1:7">
      <c r="A702">
        <v>244820</v>
      </c>
      <c r="B702" t="s">
        <v>550</v>
      </c>
      <c r="C702" s="103">
        <v>0.51527777777777772</v>
      </c>
      <c r="D702">
        <v>207</v>
      </c>
      <c r="E702" t="s">
        <v>489</v>
      </c>
      <c r="G702" s="105">
        <v>60</v>
      </c>
    </row>
    <row r="703" spans="1:7">
      <c r="A703">
        <v>244821</v>
      </c>
      <c r="B703" t="s">
        <v>550</v>
      </c>
      <c r="C703" s="103">
        <v>0.63541666666666663</v>
      </c>
      <c r="D703">
        <v>208</v>
      </c>
      <c r="E703" t="s">
        <v>445</v>
      </c>
      <c r="G703" s="105">
        <v>6</v>
      </c>
    </row>
    <row r="704" spans="1:7">
      <c r="A704">
        <v>244822</v>
      </c>
      <c r="B704" t="s">
        <v>551</v>
      </c>
      <c r="C704" s="103">
        <v>0.70138888888888884</v>
      </c>
      <c r="D704">
        <v>201</v>
      </c>
      <c r="E704" t="s">
        <v>552</v>
      </c>
      <c r="G704" s="105">
        <v>100</v>
      </c>
    </row>
    <row r="705" spans="1:7">
      <c r="A705">
        <v>244823</v>
      </c>
      <c r="B705" t="s">
        <v>551</v>
      </c>
      <c r="C705" s="103">
        <v>0.79166666666666663</v>
      </c>
      <c r="D705">
        <v>205</v>
      </c>
      <c r="E705" t="s">
        <v>531</v>
      </c>
      <c r="G705" s="105">
        <v>95</v>
      </c>
    </row>
    <row r="706" spans="1:7">
      <c r="A706">
        <v>244824</v>
      </c>
      <c r="B706" t="s">
        <v>553</v>
      </c>
      <c r="C706" s="103">
        <v>0.51388888888888884</v>
      </c>
      <c r="D706">
        <v>205</v>
      </c>
      <c r="E706" t="s">
        <v>432</v>
      </c>
      <c r="F706" s="105">
        <v>102993195</v>
      </c>
      <c r="G706" s="105">
        <v>250</v>
      </c>
    </row>
    <row r="707" spans="1:7">
      <c r="A707">
        <v>244825</v>
      </c>
      <c r="B707" t="s">
        <v>553</v>
      </c>
      <c r="C707" s="103">
        <v>0.51388888888888884</v>
      </c>
      <c r="D707">
        <v>108</v>
      </c>
      <c r="E707" t="s">
        <v>500</v>
      </c>
      <c r="G707" s="105">
        <v>104</v>
      </c>
    </row>
    <row r="708" spans="1:7">
      <c r="A708">
        <v>244826</v>
      </c>
      <c r="B708" t="s">
        <v>553</v>
      </c>
      <c r="C708" s="103">
        <v>0.51388888888888884</v>
      </c>
      <c r="D708">
        <v>201</v>
      </c>
      <c r="E708" t="s">
        <v>552</v>
      </c>
      <c r="G708" s="105">
        <v>100</v>
      </c>
    </row>
    <row r="709" spans="1:7">
      <c r="A709">
        <v>244827</v>
      </c>
      <c r="B709" t="s">
        <v>553</v>
      </c>
      <c r="C709" s="103">
        <v>0.51388888888888884</v>
      </c>
      <c r="D709">
        <v>201</v>
      </c>
      <c r="E709" t="s">
        <v>463</v>
      </c>
      <c r="G709" s="105">
        <v>100</v>
      </c>
    </row>
    <row r="710" spans="1:7">
      <c r="A710">
        <v>244828</v>
      </c>
      <c r="B710" t="s">
        <v>553</v>
      </c>
      <c r="C710" s="103">
        <v>0.51388888888888884</v>
      </c>
      <c r="D710">
        <v>306</v>
      </c>
      <c r="E710" t="s">
        <v>554</v>
      </c>
      <c r="F710" s="105">
        <v>103883310</v>
      </c>
      <c r="G710" s="105">
        <v>120</v>
      </c>
    </row>
    <row r="711" spans="1:7">
      <c r="A711">
        <v>244901</v>
      </c>
      <c r="B711" s="104">
        <v>45628</v>
      </c>
      <c r="C711" s="103">
        <v>0.36805555555555558</v>
      </c>
      <c r="D711">
        <v>208</v>
      </c>
      <c r="E711" t="s">
        <v>541</v>
      </c>
      <c r="G711" s="105">
        <v>135</v>
      </c>
    </row>
    <row r="712" spans="1:7">
      <c r="A712">
        <v>244902</v>
      </c>
      <c r="B712" s="104">
        <v>45628</v>
      </c>
      <c r="C712" s="103">
        <v>0.625</v>
      </c>
      <c r="D712">
        <v>205</v>
      </c>
      <c r="E712" t="s">
        <v>432</v>
      </c>
      <c r="F712" s="105">
        <v>102993195</v>
      </c>
      <c r="G712" s="105">
        <v>192</v>
      </c>
    </row>
    <row r="713" spans="1:7">
      <c r="A713">
        <v>244903</v>
      </c>
      <c r="B713" s="104">
        <v>45628</v>
      </c>
      <c r="C713" s="103">
        <v>0.625</v>
      </c>
      <c r="D713">
        <v>204</v>
      </c>
      <c r="E713" t="s">
        <v>497</v>
      </c>
      <c r="F713" s="105">
        <v>103035326</v>
      </c>
      <c r="G713" s="105">
        <v>120</v>
      </c>
    </row>
  </sheetData>
  <autoFilter ref="A1:H713" xr:uid="{C6B7CA3E-9607-4A78-82FA-634662151D6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O69"/>
  <sheetViews>
    <sheetView topLeftCell="A6" workbookViewId="0">
      <selection activeCell="Q46" sqref="Q46"/>
    </sheetView>
  </sheetViews>
  <sheetFormatPr defaultColWidth="9.42578125" defaultRowHeight="15"/>
  <cols>
    <col min="1" max="1" width="15.42578125" style="3" customWidth="1"/>
    <col min="2" max="2" width="9.42578125" style="3" customWidth="1"/>
    <col min="3" max="3" width="8.42578125" style="3" customWidth="1"/>
    <col min="4" max="5" width="9.42578125" style="3"/>
    <col min="6" max="8" width="7.42578125" style="3" customWidth="1"/>
    <col min="9" max="9" width="9.42578125" style="3"/>
    <col min="10" max="10" width="10.5703125" style="3" customWidth="1"/>
    <col min="11" max="13" width="9.42578125" style="3"/>
    <col min="14" max="14" width="8.42578125" style="3" customWidth="1"/>
    <col min="15" max="15" width="7.42578125" style="3" customWidth="1"/>
    <col min="16" max="16" width="3.5703125" style="3" customWidth="1"/>
    <col min="17" max="16384" width="9.42578125" style="3"/>
  </cols>
  <sheetData>
    <row r="1" spans="1:15">
      <c r="G1" s="368"/>
      <c r="K1" s="369">
        <v>2024</v>
      </c>
      <c r="L1" s="370" t="s">
        <v>555</v>
      </c>
      <c r="M1" s="370"/>
      <c r="N1" s="370"/>
    </row>
    <row r="2" spans="1:15">
      <c r="G2" s="368"/>
      <c r="K2" s="369"/>
      <c r="L2" s="370"/>
      <c r="M2" s="370"/>
      <c r="N2" s="370"/>
    </row>
    <row r="3" spans="1:15">
      <c r="G3" s="368"/>
      <c r="K3" s="369"/>
      <c r="L3" s="370"/>
      <c r="M3" s="370"/>
      <c r="N3" s="370"/>
    </row>
    <row r="4" spans="1:15">
      <c r="L4" s="371" t="s">
        <v>556</v>
      </c>
      <c r="M4" s="371"/>
      <c r="N4" s="371"/>
    </row>
    <row r="6" spans="1:15" ht="27.75">
      <c r="A6" s="25" t="s">
        <v>557</v>
      </c>
      <c r="B6" s="4" t="s">
        <v>558</v>
      </c>
    </row>
    <row r="8" spans="1:15">
      <c r="A8" s="362">
        <v>2024</v>
      </c>
      <c r="B8" s="5" t="s">
        <v>559</v>
      </c>
      <c r="C8" s="5" t="s">
        <v>560</v>
      </c>
      <c r="D8" s="5" t="s">
        <v>561</v>
      </c>
      <c r="E8" s="5" t="s">
        <v>562</v>
      </c>
      <c r="F8" s="5" t="s">
        <v>118</v>
      </c>
      <c r="G8" s="5" t="s">
        <v>563</v>
      </c>
      <c r="H8" s="5" t="s">
        <v>564</v>
      </c>
      <c r="I8" s="5" t="s">
        <v>565</v>
      </c>
      <c r="J8" s="5" t="s">
        <v>566</v>
      </c>
      <c r="K8" s="5" t="s">
        <v>567</v>
      </c>
      <c r="L8" s="5" t="s">
        <v>568</v>
      </c>
      <c r="M8" s="5" t="s">
        <v>569</v>
      </c>
      <c r="N8" s="364" t="s">
        <v>570</v>
      </c>
      <c r="O8" s="366" t="s">
        <v>571</v>
      </c>
    </row>
    <row r="9" spans="1:15">
      <c r="A9" s="363"/>
      <c r="B9" s="6" t="s">
        <v>572</v>
      </c>
      <c r="C9" s="6" t="s">
        <v>573</v>
      </c>
      <c r="D9" s="6" t="s">
        <v>574</v>
      </c>
      <c r="E9" s="6" t="s">
        <v>575</v>
      </c>
      <c r="F9" s="6" t="s">
        <v>576</v>
      </c>
      <c r="G9" s="6" t="s">
        <v>577</v>
      </c>
      <c r="H9" s="6" t="s">
        <v>578</v>
      </c>
      <c r="I9" s="6" t="s">
        <v>579</v>
      </c>
      <c r="J9" s="6" t="s">
        <v>580</v>
      </c>
      <c r="K9" s="6" t="s">
        <v>581</v>
      </c>
      <c r="L9" s="6" t="s">
        <v>582</v>
      </c>
      <c r="M9" s="6" t="s">
        <v>583</v>
      </c>
      <c r="N9" s="365"/>
      <c r="O9" s="367"/>
    </row>
    <row r="10" spans="1:15" ht="24" customHeight="1">
      <c r="A10" s="7" t="s">
        <v>584</v>
      </c>
      <c r="B10" s="26"/>
      <c r="C10" s="26"/>
      <c r="D10" s="26"/>
      <c r="E10" s="26"/>
      <c r="F10" s="26">
        <f>F24+F37+F50+F63</f>
        <v>304</v>
      </c>
      <c r="G10" s="26">
        <f t="shared" ref="G10:M10" si="0">G24+G37+G50+G63</f>
        <v>284</v>
      </c>
      <c r="H10" s="26">
        <f t="shared" si="0"/>
        <v>312</v>
      </c>
      <c r="I10" s="26">
        <f t="shared" si="0"/>
        <v>248</v>
      </c>
      <c r="J10" s="26">
        <f t="shared" si="0"/>
        <v>0</v>
      </c>
      <c r="K10" s="26">
        <f t="shared" si="0"/>
        <v>0</v>
      </c>
      <c r="L10" s="26">
        <f t="shared" si="0"/>
        <v>0</v>
      </c>
      <c r="M10" s="26">
        <f t="shared" si="0"/>
        <v>0</v>
      </c>
      <c r="N10" s="8">
        <f>SUM(B10:M10)</f>
        <v>1148</v>
      </c>
      <c r="O10" s="9">
        <f>AVERAGE(B10:M10)</f>
        <v>143.5</v>
      </c>
    </row>
    <row r="11" spans="1:15" ht="24">
      <c r="A11" s="7" t="s">
        <v>585</v>
      </c>
      <c r="B11" s="10"/>
      <c r="C11" s="10"/>
      <c r="D11" s="10"/>
      <c r="E11" s="10"/>
      <c r="F11" s="10">
        <f>F25+F38+F51+F64</f>
        <v>228</v>
      </c>
      <c r="G11" s="10">
        <f t="shared" ref="G11:M11" si="1">G25+G38+G51+G64</f>
        <v>208</v>
      </c>
      <c r="H11" s="10">
        <f t="shared" si="1"/>
        <v>220</v>
      </c>
      <c r="I11" s="10">
        <f t="shared" si="1"/>
        <v>136</v>
      </c>
      <c r="J11" s="10">
        <f t="shared" si="1"/>
        <v>0</v>
      </c>
      <c r="K11" s="10">
        <f t="shared" si="1"/>
        <v>0</v>
      </c>
      <c r="L11" s="10">
        <f t="shared" si="1"/>
        <v>0</v>
      </c>
      <c r="M11" s="10">
        <f t="shared" si="1"/>
        <v>0</v>
      </c>
      <c r="N11" s="10">
        <f>SUM(B11:M11)</f>
        <v>792</v>
      </c>
      <c r="O11" s="9">
        <f t="shared" ref="O11" si="2">AVERAGE(B11:M11)</f>
        <v>99</v>
      </c>
    </row>
    <row r="12" spans="1:15">
      <c r="A12" s="11" t="s">
        <v>586</v>
      </c>
      <c r="B12" s="14"/>
      <c r="C12" s="14"/>
      <c r="D12" s="14"/>
      <c r="E12" s="14"/>
      <c r="F12" s="14">
        <f t="shared" ref="F12:H12" si="3">F11/F10</f>
        <v>0.75</v>
      </c>
      <c r="G12" s="14">
        <f t="shared" si="3"/>
        <v>0.73239436619718312</v>
      </c>
      <c r="H12" s="14">
        <f t="shared" si="3"/>
        <v>0.70512820512820518</v>
      </c>
      <c r="I12" s="14">
        <f>I11/I10</f>
        <v>0.54838709677419351</v>
      </c>
      <c r="J12" s="14"/>
      <c r="K12" s="14"/>
      <c r="L12" s="14"/>
      <c r="M12" s="14"/>
      <c r="N12" s="17">
        <f>N11/N10</f>
        <v>0.68989547038327526</v>
      </c>
      <c r="O12" s="17">
        <f>O11/O10</f>
        <v>0.68989547038327526</v>
      </c>
    </row>
    <row r="13" spans="1:15" ht="24">
      <c r="A13" s="7" t="s">
        <v>587</v>
      </c>
      <c r="B13" s="18"/>
      <c r="C13" s="18"/>
      <c r="D13" s="18"/>
      <c r="E13" s="18"/>
      <c r="F13" s="18">
        <f>F27+F40+F53+F66</f>
        <v>1534</v>
      </c>
      <c r="G13" s="18">
        <f t="shared" ref="G13:M13" si="4">G27+G40+G53+G66</f>
        <v>1068</v>
      </c>
      <c r="H13" s="18">
        <f t="shared" si="4"/>
        <v>3176</v>
      </c>
      <c r="I13" s="18">
        <f t="shared" si="4"/>
        <v>5708</v>
      </c>
      <c r="J13" s="18">
        <f t="shared" si="4"/>
        <v>0</v>
      </c>
      <c r="K13" s="18">
        <f t="shared" si="4"/>
        <v>0</v>
      </c>
      <c r="L13" s="18">
        <f t="shared" si="4"/>
        <v>0</v>
      </c>
      <c r="M13" s="18">
        <f t="shared" si="4"/>
        <v>0</v>
      </c>
      <c r="N13" s="10">
        <f>SUM(B13:M13)</f>
        <v>11486</v>
      </c>
      <c r="O13" s="9">
        <f>AVERAGE(B13:M13)</f>
        <v>1435.75</v>
      </c>
    </row>
    <row r="14" spans="1:15" ht="24">
      <c r="A14" s="7" t="s">
        <v>588</v>
      </c>
      <c r="B14" s="18"/>
      <c r="C14" s="18"/>
      <c r="D14" s="18"/>
      <c r="E14" s="18"/>
      <c r="F14" s="18">
        <f>F28+F41+F54+F67</f>
        <v>684</v>
      </c>
      <c r="G14" s="18">
        <f t="shared" ref="G14:M14" si="5">G28+G41+G54+G67</f>
        <v>386</v>
      </c>
      <c r="H14" s="18">
        <f t="shared" si="5"/>
        <v>2044</v>
      </c>
      <c r="I14" s="18">
        <f t="shared" si="5"/>
        <v>3594</v>
      </c>
      <c r="J14" s="18">
        <f t="shared" si="5"/>
        <v>0</v>
      </c>
      <c r="K14" s="18">
        <f t="shared" si="5"/>
        <v>0</v>
      </c>
      <c r="L14" s="18">
        <f t="shared" si="5"/>
        <v>0</v>
      </c>
      <c r="M14" s="18">
        <f t="shared" si="5"/>
        <v>0</v>
      </c>
      <c r="N14" s="10">
        <f>SUM(B14:M14)</f>
        <v>6708</v>
      </c>
      <c r="O14" s="9">
        <f>AVERAGE(B14:M14)</f>
        <v>838.5</v>
      </c>
    </row>
    <row r="15" spans="1:15" ht="18.75" hidden="1" customHeight="1">
      <c r="A15" s="21" t="s">
        <v>589</v>
      </c>
      <c r="B15" s="22"/>
      <c r="C15" s="22"/>
      <c r="D15" s="22"/>
      <c r="E15" s="22"/>
      <c r="F15" s="22">
        <f t="shared" ref="F15:G15" si="6">F14/F13</f>
        <v>0.44589308996088656</v>
      </c>
      <c r="G15" s="22">
        <f t="shared" si="6"/>
        <v>0.36142322097378277</v>
      </c>
      <c r="H15" s="18"/>
      <c r="I15" s="18"/>
      <c r="J15" s="18"/>
      <c r="K15" s="18"/>
      <c r="L15" s="18"/>
      <c r="M15" s="18"/>
      <c r="N15" s="19">
        <f>N14/N13</f>
        <v>0.58401532300191539</v>
      </c>
      <c r="O15" s="20">
        <f>N15</f>
        <v>0.58401532300191539</v>
      </c>
    </row>
    <row r="16" spans="1:15">
      <c r="A16" s="11" t="s">
        <v>590</v>
      </c>
      <c r="B16" s="14" t="e">
        <f t="shared" ref="B16:H16" si="7">B14/B13</f>
        <v>#DIV/0!</v>
      </c>
      <c r="C16" s="14" t="e">
        <f t="shared" si="7"/>
        <v>#DIV/0!</v>
      </c>
      <c r="D16" s="14" t="e">
        <f t="shared" si="7"/>
        <v>#DIV/0!</v>
      </c>
      <c r="E16" s="14" t="e">
        <f t="shared" si="7"/>
        <v>#DIV/0!</v>
      </c>
      <c r="F16" s="14">
        <f t="shared" si="7"/>
        <v>0.44589308996088656</v>
      </c>
      <c r="G16" s="14">
        <f t="shared" si="7"/>
        <v>0.36142322097378277</v>
      </c>
      <c r="H16" s="14">
        <f t="shared" si="7"/>
        <v>0.64357682619647361</v>
      </c>
      <c r="I16" s="14">
        <f>I14/I13</f>
        <v>0.62964260686755436</v>
      </c>
      <c r="J16" s="14"/>
      <c r="K16" s="14"/>
      <c r="L16" s="14"/>
      <c r="M16" s="14"/>
      <c r="N16" s="17">
        <f>(N14/N13)</f>
        <v>0.58401532300191539</v>
      </c>
      <c r="O16" s="17">
        <f>(O14/O13)</f>
        <v>0.58401532300191539</v>
      </c>
    </row>
    <row r="17" spans="1:15">
      <c r="A17" s="12" t="s">
        <v>591</v>
      </c>
      <c r="B17" s="15">
        <v>0.8</v>
      </c>
      <c r="C17" s="15">
        <v>0.8</v>
      </c>
      <c r="D17" s="15">
        <v>0.8</v>
      </c>
      <c r="E17" s="15">
        <v>0.8</v>
      </c>
      <c r="F17" s="15">
        <v>0.8</v>
      </c>
      <c r="G17" s="15">
        <v>0.8</v>
      </c>
      <c r="H17" s="15">
        <v>0.8</v>
      </c>
      <c r="I17" s="15">
        <v>0.8</v>
      </c>
      <c r="J17" s="15">
        <v>0.8</v>
      </c>
      <c r="K17" s="15">
        <v>0.8</v>
      </c>
      <c r="L17" s="15">
        <v>0.8</v>
      </c>
      <c r="M17" s="15">
        <v>0.8</v>
      </c>
      <c r="N17" s="16"/>
      <c r="O17" s="13"/>
    </row>
    <row r="20" spans="1:15" ht="27.75">
      <c r="A20" s="25" t="s">
        <v>557</v>
      </c>
      <c r="B20" s="4" t="s">
        <v>592</v>
      </c>
    </row>
    <row r="22" spans="1:15">
      <c r="A22" s="372">
        <v>2024</v>
      </c>
      <c r="B22" s="91" t="s">
        <v>559</v>
      </c>
      <c r="C22" s="91" t="s">
        <v>560</v>
      </c>
      <c r="D22" s="91" t="s">
        <v>561</v>
      </c>
      <c r="E22" s="91" t="s">
        <v>562</v>
      </c>
      <c r="F22" s="91" t="s">
        <v>118</v>
      </c>
      <c r="G22" s="91" t="s">
        <v>563</v>
      </c>
      <c r="H22" s="91" t="s">
        <v>564</v>
      </c>
      <c r="I22" s="91" t="s">
        <v>565</v>
      </c>
      <c r="J22" s="91" t="s">
        <v>566</v>
      </c>
      <c r="K22" s="91" t="s">
        <v>567</v>
      </c>
      <c r="L22" s="91" t="s">
        <v>568</v>
      </c>
      <c r="M22" s="91" t="s">
        <v>569</v>
      </c>
      <c r="N22" s="364" t="s">
        <v>570</v>
      </c>
      <c r="O22" s="374" t="s">
        <v>571</v>
      </c>
    </row>
    <row r="23" spans="1:15">
      <c r="A23" s="373"/>
      <c r="B23" s="92" t="s">
        <v>572</v>
      </c>
      <c r="C23" s="92" t="s">
        <v>573</v>
      </c>
      <c r="D23" s="92" t="s">
        <v>574</v>
      </c>
      <c r="E23" s="92" t="s">
        <v>575</v>
      </c>
      <c r="F23" s="92" t="s">
        <v>576</v>
      </c>
      <c r="G23" s="92" t="s">
        <v>577</v>
      </c>
      <c r="H23" s="92" t="s">
        <v>578</v>
      </c>
      <c r="I23" s="92" t="s">
        <v>579</v>
      </c>
      <c r="J23" s="92" t="s">
        <v>580</v>
      </c>
      <c r="K23" s="92" t="s">
        <v>581</v>
      </c>
      <c r="L23" s="92" t="s">
        <v>582</v>
      </c>
      <c r="M23" s="92" t="s">
        <v>583</v>
      </c>
      <c r="N23" s="365"/>
      <c r="O23" s="375"/>
    </row>
    <row r="24" spans="1:15">
      <c r="A24" s="93" t="s">
        <v>584</v>
      </c>
      <c r="B24" s="26"/>
      <c r="C24" s="26"/>
      <c r="D24" s="26"/>
      <c r="E24" s="26"/>
      <c r="F24" s="26">
        <v>76</v>
      </c>
      <c r="G24" s="26">
        <v>71</v>
      </c>
      <c r="H24" s="26">
        <v>78</v>
      </c>
      <c r="I24" s="26">
        <v>62</v>
      </c>
      <c r="J24" s="26"/>
      <c r="K24" s="26"/>
      <c r="L24" s="26"/>
      <c r="M24" s="26"/>
      <c r="N24" s="99">
        <f>SUM(B24:M24)</f>
        <v>287</v>
      </c>
      <c r="O24" s="100">
        <f>AVERAGE(B24:M24)</f>
        <v>71.75</v>
      </c>
    </row>
    <row r="25" spans="1:15" ht="24">
      <c r="A25" s="93" t="s">
        <v>585</v>
      </c>
      <c r="B25" s="101"/>
      <c r="C25" s="101"/>
      <c r="D25" s="101"/>
      <c r="E25" s="101"/>
      <c r="F25" s="101">
        <v>57</v>
      </c>
      <c r="G25" s="101">
        <v>52</v>
      </c>
      <c r="H25" s="101">
        <v>55</v>
      </c>
      <c r="I25" s="101">
        <v>34</v>
      </c>
      <c r="J25" s="101"/>
      <c r="K25" s="101"/>
      <c r="L25" s="101"/>
      <c r="M25" s="101"/>
      <c r="N25" s="101">
        <f>SUM(B25:M25)</f>
        <v>198</v>
      </c>
      <c r="O25" s="100">
        <f>AVERAGE(B25:M25)</f>
        <v>49.5</v>
      </c>
    </row>
    <row r="26" spans="1:15">
      <c r="A26" s="11" t="s">
        <v>586</v>
      </c>
      <c r="B26" s="14"/>
      <c r="C26" s="14"/>
      <c r="D26" s="14"/>
      <c r="E26" s="14"/>
      <c r="F26" s="14">
        <f>F25/F24</f>
        <v>0.75</v>
      </c>
      <c r="G26" s="14">
        <f>G25/G24</f>
        <v>0.73239436619718312</v>
      </c>
      <c r="H26" s="14">
        <f>H25/H24</f>
        <v>0.70512820512820518</v>
      </c>
      <c r="I26" s="14">
        <f>I25/I24</f>
        <v>0.54838709677419351</v>
      </c>
      <c r="J26" s="14"/>
      <c r="K26" s="14"/>
      <c r="L26" s="14"/>
      <c r="M26" s="14"/>
      <c r="N26" s="17">
        <f>N25/N24</f>
        <v>0.68989547038327526</v>
      </c>
      <c r="O26" s="17">
        <f>O25/O24</f>
        <v>0.68989547038327526</v>
      </c>
    </row>
    <row r="27" spans="1:15" ht="24">
      <c r="A27" s="93" t="s">
        <v>587</v>
      </c>
      <c r="B27" s="94"/>
      <c r="C27" s="94"/>
      <c r="D27" s="94"/>
      <c r="E27" s="94"/>
      <c r="F27" s="94">
        <f t="shared" ref="F27:I28" si="8">F40+F53+F66</f>
        <v>767</v>
      </c>
      <c r="G27" s="94">
        <f t="shared" si="8"/>
        <v>534</v>
      </c>
      <c r="H27" s="94">
        <f t="shared" si="8"/>
        <v>1588</v>
      </c>
      <c r="I27" s="94">
        <f t="shared" si="8"/>
        <v>2854</v>
      </c>
      <c r="J27" s="101"/>
      <c r="K27" s="101"/>
      <c r="L27" s="101"/>
      <c r="M27" s="101"/>
      <c r="N27" s="101">
        <f>SUM(B27:M27)</f>
        <v>5743</v>
      </c>
      <c r="O27" s="100">
        <f>AVERAGE(B27:M27)</f>
        <v>1435.75</v>
      </c>
    </row>
    <row r="28" spans="1:15" ht="24">
      <c r="A28" s="93" t="s">
        <v>588</v>
      </c>
      <c r="B28" s="94"/>
      <c r="C28" s="94"/>
      <c r="D28" s="94"/>
      <c r="E28" s="94"/>
      <c r="F28" s="94">
        <f t="shared" si="8"/>
        <v>342</v>
      </c>
      <c r="G28" s="94">
        <f t="shared" si="8"/>
        <v>193</v>
      </c>
      <c r="H28" s="94">
        <f t="shared" si="8"/>
        <v>1022</v>
      </c>
      <c r="I28" s="94">
        <f t="shared" si="8"/>
        <v>1797</v>
      </c>
      <c r="J28" s="94"/>
      <c r="K28" s="94"/>
      <c r="L28" s="94"/>
      <c r="M28" s="94"/>
      <c r="N28" s="101">
        <f>SUM(B28:M28)</f>
        <v>3354</v>
      </c>
      <c r="O28" s="100">
        <f>AVERAGE(B28:M28)</f>
        <v>838.5</v>
      </c>
    </row>
    <row r="29" spans="1:15">
      <c r="A29" s="11" t="s">
        <v>590</v>
      </c>
      <c r="B29" s="14" t="e">
        <f t="shared" ref="B29:I29" si="9">B28/B27</f>
        <v>#DIV/0!</v>
      </c>
      <c r="C29" s="14" t="e">
        <f t="shared" si="9"/>
        <v>#DIV/0!</v>
      </c>
      <c r="D29" s="14" t="e">
        <f t="shared" si="9"/>
        <v>#DIV/0!</v>
      </c>
      <c r="E29" s="14" t="e">
        <f t="shared" si="9"/>
        <v>#DIV/0!</v>
      </c>
      <c r="F29" s="14">
        <f t="shared" si="9"/>
        <v>0.44589308996088656</v>
      </c>
      <c r="G29" s="14">
        <f t="shared" si="9"/>
        <v>0.36142322097378277</v>
      </c>
      <c r="H29" s="14">
        <f t="shared" si="9"/>
        <v>0.64357682619647361</v>
      </c>
      <c r="I29" s="14">
        <f t="shared" si="9"/>
        <v>0.62964260686755436</v>
      </c>
      <c r="J29" s="14"/>
      <c r="K29" s="14"/>
      <c r="L29" s="14"/>
      <c r="M29" s="14"/>
      <c r="N29" s="17">
        <f>(N28/N27)</f>
        <v>0.58401532300191539</v>
      </c>
      <c r="O29" s="17">
        <f>(O28/O27)</f>
        <v>0.58401532300191539</v>
      </c>
    </row>
    <row r="30" spans="1:15">
      <c r="A30" s="95" t="s">
        <v>591</v>
      </c>
      <c r="B30" s="96">
        <v>0.8</v>
      </c>
      <c r="C30" s="96">
        <v>0.8</v>
      </c>
      <c r="D30" s="96">
        <v>0.8</v>
      </c>
      <c r="E30" s="96">
        <v>0.8</v>
      </c>
      <c r="F30" s="96">
        <v>0.8</v>
      </c>
      <c r="G30" s="96">
        <v>0.8</v>
      </c>
      <c r="H30" s="96">
        <v>0.8</v>
      </c>
      <c r="I30" s="96">
        <v>0.8</v>
      </c>
      <c r="J30" s="96">
        <v>0.8</v>
      </c>
      <c r="K30" s="96">
        <v>0.8</v>
      </c>
      <c r="L30" s="96">
        <v>0.8</v>
      </c>
      <c r="M30" s="96">
        <v>0.8</v>
      </c>
      <c r="N30" s="97"/>
      <c r="O30" s="98"/>
    </row>
    <row r="33" spans="1:15" ht="27.75">
      <c r="A33" s="25" t="s">
        <v>557</v>
      </c>
      <c r="B33" s="4" t="s">
        <v>593</v>
      </c>
    </row>
    <row r="35" spans="1:15">
      <c r="A35" s="372">
        <v>2024</v>
      </c>
      <c r="B35" s="91" t="s">
        <v>559</v>
      </c>
      <c r="C35" s="91" t="s">
        <v>560</v>
      </c>
      <c r="D35" s="91" t="s">
        <v>561</v>
      </c>
      <c r="E35" s="91" t="s">
        <v>562</v>
      </c>
      <c r="F35" s="91" t="s">
        <v>118</v>
      </c>
      <c r="G35" s="91" t="s">
        <v>563</v>
      </c>
      <c r="H35" s="91" t="s">
        <v>564</v>
      </c>
      <c r="I35" s="91" t="s">
        <v>565</v>
      </c>
      <c r="J35" s="91" t="s">
        <v>566</v>
      </c>
      <c r="K35" s="91" t="s">
        <v>567</v>
      </c>
      <c r="L35" s="91" t="s">
        <v>568</v>
      </c>
      <c r="M35" s="91" t="s">
        <v>569</v>
      </c>
      <c r="N35" s="364" t="s">
        <v>570</v>
      </c>
      <c r="O35" s="374" t="s">
        <v>571</v>
      </c>
    </row>
    <row r="36" spans="1:15">
      <c r="A36" s="373"/>
      <c r="B36" s="92" t="s">
        <v>572</v>
      </c>
      <c r="C36" s="92" t="s">
        <v>573</v>
      </c>
      <c r="D36" s="92" t="s">
        <v>574</v>
      </c>
      <c r="E36" s="92" t="s">
        <v>575</v>
      </c>
      <c r="F36" s="92" t="s">
        <v>576</v>
      </c>
      <c r="G36" s="92" t="s">
        <v>577</v>
      </c>
      <c r="H36" s="92" t="s">
        <v>578</v>
      </c>
      <c r="I36" s="92" t="s">
        <v>579</v>
      </c>
      <c r="J36" s="92" t="s">
        <v>580</v>
      </c>
      <c r="K36" s="92" t="s">
        <v>581</v>
      </c>
      <c r="L36" s="92" t="s">
        <v>582</v>
      </c>
      <c r="M36" s="92" t="s">
        <v>583</v>
      </c>
      <c r="N36" s="365"/>
      <c r="O36" s="375"/>
    </row>
    <row r="37" spans="1:15">
      <c r="A37" s="93" t="s">
        <v>584</v>
      </c>
      <c r="B37" s="26"/>
      <c r="C37" s="26"/>
      <c r="D37" s="26"/>
      <c r="E37" s="26"/>
      <c r="F37" s="26">
        <v>76</v>
      </c>
      <c r="G37" s="26">
        <v>71</v>
      </c>
      <c r="H37" s="26">
        <v>78</v>
      </c>
      <c r="I37" s="26">
        <v>62</v>
      </c>
      <c r="J37" s="26"/>
      <c r="K37" s="26"/>
      <c r="L37" s="26"/>
      <c r="M37" s="26"/>
      <c r="N37" s="99">
        <f>SUM(B37:M37)</f>
        <v>287</v>
      </c>
      <c r="O37" s="100">
        <f>AVERAGE(B37:M37)</f>
        <v>71.75</v>
      </c>
    </row>
    <row r="38" spans="1:15" ht="24">
      <c r="A38" s="93" t="s">
        <v>585</v>
      </c>
      <c r="B38" s="101"/>
      <c r="C38" s="101"/>
      <c r="D38" s="101"/>
      <c r="E38" s="101"/>
      <c r="F38" s="101">
        <v>57</v>
      </c>
      <c r="G38" s="101">
        <v>52</v>
      </c>
      <c r="H38" s="101">
        <v>55</v>
      </c>
      <c r="I38" s="101">
        <v>34</v>
      </c>
      <c r="J38" s="101"/>
      <c r="K38" s="101"/>
      <c r="L38" s="101"/>
      <c r="M38" s="101"/>
      <c r="N38" s="101">
        <f>SUM(B38:M38)</f>
        <v>198</v>
      </c>
      <c r="O38" s="100">
        <f>AVERAGE(B38:M38)</f>
        <v>49.5</v>
      </c>
    </row>
    <row r="39" spans="1:15">
      <c r="A39" s="11" t="s">
        <v>586</v>
      </c>
      <c r="B39" s="14"/>
      <c r="C39" s="14"/>
      <c r="D39" s="14"/>
      <c r="E39" s="14"/>
      <c r="F39" s="14">
        <f>F38/F37</f>
        <v>0.75</v>
      </c>
      <c r="G39" s="14">
        <f>G38/G37</f>
        <v>0.73239436619718312</v>
      </c>
      <c r="H39" s="14">
        <f>H38/H37</f>
        <v>0.70512820512820518</v>
      </c>
      <c r="I39" s="14">
        <f>I38/I37</f>
        <v>0.54838709677419351</v>
      </c>
      <c r="J39" s="14"/>
      <c r="K39" s="14"/>
      <c r="L39" s="14"/>
      <c r="M39" s="14"/>
      <c r="N39" s="17">
        <f>N38/N37</f>
        <v>0.68989547038327526</v>
      </c>
      <c r="O39" s="17">
        <f>O38/O37</f>
        <v>0.68989547038327526</v>
      </c>
    </row>
    <row r="40" spans="1:15" ht="24">
      <c r="A40" s="93" t="s">
        <v>587</v>
      </c>
      <c r="B40" s="94"/>
      <c r="C40" s="94"/>
      <c r="D40" s="94"/>
      <c r="E40" s="94"/>
      <c r="F40" s="94">
        <v>164</v>
      </c>
      <c r="G40" s="94">
        <v>294</v>
      </c>
      <c r="H40" s="94">
        <v>271</v>
      </c>
      <c r="I40" s="94">
        <v>240</v>
      </c>
      <c r="J40" s="101"/>
      <c r="K40" s="101"/>
      <c r="L40" s="101"/>
      <c r="M40" s="101"/>
      <c r="N40" s="101">
        <f>SUM(B40:M40)</f>
        <v>969</v>
      </c>
      <c r="O40" s="100">
        <f>AVERAGE(B40:M40)</f>
        <v>242.25</v>
      </c>
    </row>
    <row r="41" spans="1:15" ht="24">
      <c r="A41" s="93" t="s">
        <v>588</v>
      </c>
      <c r="B41" s="94"/>
      <c r="C41" s="94"/>
      <c r="D41" s="94"/>
      <c r="E41" s="94"/>
      <c r="F41" s="94">
        <v>102</v>
      </c>
      <c r="G41" s="94">
        <v>126</v>
      </c>
      <c r="H41" s="94">
        <v>144</v>
      </c>
      <c r="I41" s="94">
        <v>198</v>
      </c>
      <c r="J41" s="94"/>
      <c r="K41" s="94"/>
      <c r="L41" s="94"/>
      <c r="M41" s="94"/>
      <c r="N41" s="101">
        <f>SUM(B41:M41)</f>
        <v>570</v>
      </c>
      <c r="O41" s="100">
        <f>AVERAGE(B41:M41)</f>
        <v>142.5</v>
      </c>
    </row>
    <row r="42" spans="1:15" customFormat="1">
      <c r="A42" s="11" t="s">
        <v>590</v>
      </c>
      <c r="B42" s="14" t="e">
        <f t="shared" ref="B42:I42" si="10">B41/B40</f>
        <v>#DIV/0!</v>
      </c>
      <c r="C42" s="14" t="e">
        <f t="shared" si="10"/>
        <v>#DIV/0!</v>
      </c>
      <c r="D42" s="14" t="e">
        <f t="shared" si="10"/>
        <v>#DIV/0!</v>
      </c>
      <c r="E42" s="14" t="e">
        <f t="shared" si="10"/>
        <v>#DIV/0!</v>
      </c>
      <c r="F42" s="14">
        <f t="shared" si="10"/>
        <v>0.62195121951219512</v>
      </c>
      <c r="G42" s="14">
        <f t="shared" si="10"/>
        <v>0.42857142857142855</v>
      </c>
      <c r="H42" s="14">
        <f t="shared" si="10"/>
        <v>0.53136531365313655</v>
      </c>
      <c r="I42" s="14">
        <f t="shared" si="10"/>
        <v>0.82499999999999996</v>
      </c>
      <c r="J42" s="14"/>
      <c r="K42" s="14"/>
      <c r="L42" s="14"/>
      <c r="M42" s="14"/>
      <c r="N42" s="17">
        <f>(N41/N40)</f>
        <v>0.58823529411764708</v>
      </c>
      <c r="O42" s="17">
        <f>(O41/O40)</f>
        <v>0.58823529411764708</v>
      </c>
    </row>
    <row r="43" spans="1:15" customFormat="1">
      <c r="A43" s="95" t="s">
        <v>591</v>
      </c>
      <c r="B43" s="96">
        <v>0.8</v>
      </c>
      <c r="C43" s="96">
        <v>0.8</v>
      </c>
      <c r="D43" s="96">
        <v>0.8</v>
      </c>
      <c r="E43" s="96">
        <v>0.8</v>
      </c>
      <c r="F43" s="96">
        <v>0.8</v>
      </c>
      <c r="G43" s="96">
        <v>0.8</v>
      </c>
      <c r="H43" s="96">
        <v>0.8</v>
      </c>
      <c r="I43" s="96">
        <v>0.8</v>
      </c>
      <c r="J43" s="96">
        <v>0.8</v>
      </c>
      <c r="K43" s="96">
        <v>0.8</v>
      </c>
      <c r="L43" s="96">
        <v>0.8</v>
      </c>
      <c r="M43" s="96">
        <v>0.8</v>
      </c>
      <c r="N43" s="97"/>
      <c r="O43" s="98"/>
    </row>
    <row r="44" spans="1:15" customFormat="1"/>
    <row r="45" spans="1:15" customFormat="1"/>
    <row r="46" spans="1:15" customFormat="1" ht="27.75">
      <c r="A46" s="25" t="s">
        <v>557</v>
      </c>
      <c r="B46" s="4" t="s">
        <v>594</v>
      </c>
      <c r="C46" s="102"/>
      <c r="D46" s="102"/>
      <c r="E46" s="102"/>
      <c r="F46" s="102"/>
      <c r="G46" s="102"/>
      <c r="H46" s="102"/>
      <c r="I46" s="102"/>
      <c r="J46" s="102"/>
      <c r="K46" s="102"/>
      <c r="L46" s="102"/>
      <c r="M46" s="102"/>
      <c r="N46" s="102"/>
      <c r="O46" s="102"/>
    </row>
    <row r="47" spans="1:15" customFormat="1">
      <c r="A47" s="102"/>
      <c r="B47" s="102"/>
      <c r="C47" s="102"/>
      <c r="D47" s="102"/>
      <c r="E47" s="102"/>
      <c r="F47" s="102"/>
      <c r="G47" s="102"/>
      <c r="H47" s="102"/>
      <c r="I47" s="102"/>
      <c r="J47" s="102"/>
      <c r="K47" s="102"/>
      <c r="L47" s="102"/>
      <c r="M47" s="102"/>
      <c r="N47" s="102"/>
      <c r="O47" s="102"/>
    </row>
    <row r="48" spans="1:15" customFormat="1">
      <c r="A48" s="372">
        <v>2024</v>
      </c>
      <c r="B48" s="91" t="s">
        <v>559</v>
      </c>
      <c r="C48" s="91" t="s">
        <v>560</v>
      </c>
      <c r="D48" s="91" t="s">
        <v>561</v>
      </c>
      <c r="E48" s="91" t="s">
        <v>562</v>
      </c>
      <c r="F48" s="91" t="s">
        <v>118</v>
      </c>
      <c r="G48" s="91" t="s">
        <v>563</v>
      </c>
      <c r="H48" s="91" t="s">
        <v>564</v>
      </c>
      <c r="I48" s="91" t="s">
        <v>565</v>
      </c>
      <c r="J48" s="91" t="s">
        <v>566</v>
      </c>
      <c r="K48" s="91" t="s">
        <v>567</v>
      </c>
      <c r="L48" s="91" t="s">
        <v>568</v>
      </c>
      <c r="M48" s="91" t="s">
        <v>569</v>
      </c>
      <c r="N48" s="364" t="s">
        <v>570</v>
      </c>
      <c r="O48" s="374" t="s">
        <v>571</v>
      </c>
    </row>
    <row r="49" spans="1:15" customFormat="1">
      <c r="A49" s="373"/>
      <c r="B49" s="92" t="s">
        <v>572</v>
      </c>
      <c r="C49" s="92" t="s">
        <v>573</v>
      </c>
      <c r="D49" s="92" t="s">
        <v>574</v>
      </c>
      <c r="E49" s="92" t="s">
        <v>575</v>
      </c>
      <c r="F49" s="92" t="s">
        <v>576</v>
      </c>
      <c r="G49" s="92" t="s">
        <v>577</v>
      </c>
      <c r="H49" s="92" t="s">
        <v>578</v>
      </c>
      <c r="I49" s="92" t="s">
        <v>579</v>
      </c>
      <c r="J49" s="92" t="s">
        <v>580</v>
      </c>
      <c r="K49" s="92" t="s">
        <v>581</v>
      </c>
      <c r="L49" s="92" t="s">
        <v>582</v>
      </c>
      <c r="M49" s="92" t="s">
        <v>583</v>
      </c>
      <c r="N49" s="365"/>
      <c r="O49" s="375"/>
    </row>
    <row r="50" spans="1:15" customFormat="1">
      <c r="A50" s="93" t="s">
        <v>584</v>
      </c>
      <c r="B50" s="26"/>
      <c r="C50" s="26"/>
      <c r="D50" s="26"/>
      <c r="E50" s="26"/>
      <c r="F50" s="26">
        <v>76</v>
      </c>
      <c r="G50" s="26">
        <v>71</v>
      </c>
      <c r="H50" s="26">
        <v>78</v>
      </c>
      <c r="I50" s="26">
        <v>62</v>
      </c>
      <c r="J50" s="26"/>
      <c r="K50" s="26"/>
      <c r="L50" s="26"/>
      <c r="M50" s="26"/>
      <c r="N50" s="99">
        <f>SUM(B50:M50)</f>
        <v>287</v>
      </c>
      <c r="O50" s="100">
        <f>AVERAGE(B50:M50)</f>
        <v>71.75</v>
      </c>
    </row>
    <row r="51" spans="1:15" customFormat="1" ht="24">
      <c r="A51" s="93" t="s">
        <v>585</v>
      </c>
      <c r="B51" s="101"/>
      <c r="C51" s="101"/>
      <c r="D51" s="101"/>
      <c r="E51" s="101"/>
      <c r="F51" s="101">
        <v>57</v>
      </c>
      <c r="G51" s="101">
        <v>52</v>
      </c>
      <c r="H51" s="101">
        <v>55</v>
      </c>
      <c r="I51" s="101">
        <v>34</v>
      </c>
      <c r="J51" s="101"/>
      <c r="K51" s="101"/>
      <c r="L51" s="101"/>
      <c r="M51" s="101"/>
      <c r="N51" s="101">
        <f>SUM(B51:M51)</f>
        <v>198</v>
      </c>
      <c r="O51" s="100">
        <f>AVERAGE(B51:M51)</f>
        <v>49.5</v>
      </c>
    </row>
    <row r="52" spans="1:15" customFormat="1">
      <c r="A52" s="11" t="s">
        <v>586</v>
      </c>
      <c r="B52" s="14"/>
      <c r="C52" s="14"/>
      <c r="D52" s="14"/>
      <c r="E52" s="14"/>
      <c r="F52" s="14">
        <f>F51/F50</f>
        <v>0.75</v>
      </c>
      <c r="G52" s="14">
        <f>G51/G50</f>
        <v>0.73239436619718312</v>
      </c>
      <c r="H52" s="14">
        <f>H51/H50</f>
        <v>0.70512820512820518</v>
      </c>
      <c r="I52" s="14">
        <f>I51/I50</f>
        <v>0.54838709677419351</v>
      </c>
      <c r="J52" s="14"/>
      <c r="K52" s="14"/>
      <c r="L52" s="14"/>
      <c r="M52" s="14"/>
      <c r="N52" s="17">
        <f>N51/N50</f>
        <v>0.68989547038327526</v>
      </c>
      <c r="O52" s="17">
        <f>O51/O50</f>
        <v>0.68989547038327526</v>
      </c>
    </row>
    <row r="53" spans="1:15" customFormat="1" ht="24">
      <c r="A53" s="93" t="s">
        <v>587</v>
      </c>
      <c r="B53" s="94"/>
      <c r="C53" s="94"/>
      <c r="D53" s="94"/>
      <c r="E53" s="94"/>
      <c r="F53" s="94">
        <v>603</v>
      </c>
      <c r="G53" s="94">
        <v>240</v>
      </c>
      <c r="H53" s="94">
        <v>1317</v>
      </c>
      <c r="I53" s="94">
        <v>2598</v>
      </c>
      <c r="J53" s="101"/>
      <c r="K53" s="101"/>
      <c r="L53" s="101"/>
      <c r="M53" s="101"/>
      <c r="N53" s="101">
        <f>SUM(B53:M53)</f>
        <v>4758</v>
      </c>
      <c r="O53" s="100">
        <f>AVERAGE(B53:M53)</f>
        <v>1189.5</v>
      </c>
    </row>
    <row r="54" spans="1:15" customFormat="1" ht="24">
      <c r="A54" s="93" t="s">
        <v>588</v>
      </c>
      <c r="B54" s="94"/>
      <c r="C54" s="94"/>
      <c r="D54" s="94"/>
      <c r="E54" s="94"/>
      <c r="F54" s="94">
        <v>240</v>
      </c>
      <c r="G54" s="94">
        <v>67</v>
      </c>
      <c r="H54" s="94">
        <v>878</v>
      </c>
      <c r="I54" s="94">
        <v>1599</v>
      </c>
      <c r="J54" s="94"/>
      <c r="K54" s="94"/>
      <c r="L54" s="94"/>
      <c r="M54" s="94"/>
      <c r="N54" s="101">
        <f>SUM(B54:M54)</f>
        <v>2784</v>
      </c>
      <c r="O54" s="100">
        <f>AVERAGE(B54:M54)</f>
        <v>696</v>
      </c>
    </row>
    <row r="55" spans="1:15" customFormat="1">
      <c r="A55" s="11" t="s">
        <v>590</v>
      </c>
      <c r="B55" s="14" t="e">
        <f t="shared" ref="B55:I55" si="11">B54/B53</f>
        <v>#DIV/0!</v>
      </c>
      <c r="C55" s="14" t="e">
        <f t="shared" si="11"/>
        <v>#DIV/0!</v>
      </c>
      <c r="D55" s="14" t="e">
        <f t="shared" si="11"/>
        <v>#DIV/0!</v>
      </c>
      <c r="E55" s="14" t="e">
        <f t="shared" si="11"/>
        <v>#DIV/0!</v>
      </c>
      <c r="F55" s="14">
        <f t="shared" si="11"/>
        <v>0.39800995024875624</v>
      </c>
      <c r="G55" s="14">
        <f t="shared" si="11"/>
        <v>0.27916666666666667</v>
      </c>
      <c r="H55" s="14">
        <f t="shared" si="11"/>
        <v>0.66666666666666663</v>
      </c>
      <c r="I55" s="14">
        <f t="shared" si="11"/>
        <v>0.61547344110854507</v>
      </c>
      <c r="J55" s="14"/>
      <c r="K55" s="14"/>
      <c r="L55" s="14"/>
      <c r="M55" s="14"/>
      <c r="N55" s="17">
        <f>(N54/N53)</f>
        <v>0.58511979823455229</v>
      </c>
      <c r="O55" s="17">
        <f>(O54/O53)</f>
        <v>0.58511979823455229</v>
      </c>
    </row>
    <row r="56" spans="1:15" customFormat="1">
      <c r="A56" s="95" t="s">
        <v>591</v>
      </c>
      <c r="B56" s="96">
        <v>0.8</v>
      </c>
      <c r="C56" s="96">
        <v>0.8</v>
      </c>
      <c r="D56" s="96">
        <v>0.8</v>
      </c>
      <c r="E56" s="96">
        <v>0.8</v>
      </c>
      <c r="F56" s="96">
        <v>0.8</v>
      </c>
      <c r="G56" s="96">
        <v>0.8</v>
      </c>
      <c r="H56" s="96">
        <v>0.8</v>
      </c>
      <c r="I56" s="96">
        <v>0.8</v>
      </c>
      <c r="J56" s="96">
        <v>0.8</v>
      </c>
      <c r="K56" s="96">
        <v>0.8</v>
      </c>
      <c r="L56" s="96">
        <v>0.8</v>
      </c>
      <c r="M56" s="96">
        <v>0.8</v>
      </c>
      <c r="N56" s="97"/>
      <c r="O56" s="98"/>
    </row>
    <row r="57" spans="1:15" customFormat="1"/>
    <row r="58" spans="1:15" customFormat="1"/>
    <row r="59" spans="1:15" customFormat="1" ht="27.75">
      <c r="A59" s="25" t="s">
        <v>557</v>
      </c>
      <c r="B59" s="4" t="s">
        <v>595</v>
      </c>
      <c r="C59" s="102"/>
      <c r="D59" s="102"/>
      <c r="E59" s="102"/>
      <c r="F59" s="102"/>
      <c r="G59" s="102"/>
      <c r="H59" s="102"/>
      <c r="I59" s="102"/>
      <c r="J59" s="102"/>
      <c r="K59" s="102"/>
      <c r="L59" s="102"/>
      <c r="M59" s="102"/>
      <c r="N59" s="102"/>
      <c r="O59" s="102"/>
    </row>
    <row r="60" spans="1:15" customFormat="1">
      <c r="A60" s="102"/>
      <c r="B60" s="102"/>
      <c r="C60" s="102"/>
      <c r="D60" s="102"/>
      <c r="E60" s="102"/>
      <c r="F60" s="102"/>
      <c r="G60" s="102"/>
      <c r="H60" s="102"/>
      <c r="I60" s="102"/>
      <c r="J60" s="102"/>
      <c r="K60" s="102"/>
      <c r="L60" s="102"/>
      <c r="M60" s="102"/>
      <c r="N60" s="102"/>
      <c r="O60" s="102"/>
    </row>
    <row r="61" spans="1:15" customFormat="1">
      <c r="A61" s="372">
        <v>2024</v>
      </c>
      <c r="B61" s="91" t="s">
        <v>559</v>
      </c>
      <c r="C61" s="91" t="s">
        <v>560</v>
      </c>
      <c r="D61" s="91" t="s">
        <v>561</v>
      </c>
      <c r="E61" s="91" t="s">
        <v>562</v>
      </c>
      <c r="F61" s="91" t="s">
        <v>118</v>
      </c>
      <c r="G61" s="91" t="s">
        <v>563</v>
      </c>
      <c r="H61" s="91" t="s">
        <v>564</v>
      </c>
      <c r="I61" s="91" t="s">
        <v>565</v>
      </c>
      <c r="J61" s="91" t="s">
        <v>566</v>
      </c>
      <c r="K61" s="91" t="s">
        <v>567</v>
      </c>
      <c r="L61" s="91" t="s">
        <v>568</v>
      </c>
      <c r="M61" s="91" t="s">
        <v>569</v>
      </c>
      <c r="N61" s="364" t="s">
        <v>570</v>
      </c>
      <c r="O61" s="374" t="s">
        <v>571</v>
      </c>
    </row>
    <row r="62" spans="1:15" customFormat="1">
      <c r="A62" s="373"/>
      <c r="B62" s="92" t="s">
        <v>572</v>
      </c>
      <c r="C62" s="92" t="s">
        <v>573</v>
      </c>
      <c r="D62" s="92" t="s">
        <v>574</v>
      </c>
      <c r="E62" s="92" t="s">
        <v>575</v>
      </c>
      <c r="F62" s="92" t="s">
        <v>576</v>
      </c>
      <c r="G62" s="92" t="s">
        <v>577</v>
      </c>
      <c r="H62" s="92" t="s">
        <v>578</v>
      </c>
      <c r="I62" s="92" t="s">
        <v>579</v>
      </c>
      <c r="J62" s="92" t="s">
        <v>580</v>
      </c>
      <c r="K62" s="92" t="s">
        <v>581</v>
      </c>
      <c r="L62" s="92" t="s">
        <v>582</v>
      </c>
      <c r="M62" s="92" t="s">
        <v>583</v>
      </c>
      <c r="N62" s="365"/>
      <c r="O62" s="375"/>
    </row>
    <row r="63" spans="1:15">
      <c r="A63" s="93" t="s">
        <v>584</v>
      </c>
      <c r="B63" s="26"/>
      <c r="C63" s="26"/>
      <c r="D63" s="26"/>
      <c r="E63" s="26"/>
      <c r="F63" s="26">
        <v>76</v>
      </c>
      <c r="G63" s="26">
        <v>71</v>
      </c>
      <c r="H63" s="26">
        <v>78</v>
      </c>
      <c r="I63" s="26">
        <v>62</v>
      </c>
      <c r="J63" s="26"/>
      <c r="K63" s="26"/>
      <c r="L63" s="26"/>
      <c r="M63" s="26"/>
      <c r="N63" s="99">
        <f>SUM(B63:M63)</f>
        <v>287</v>
      </c>
      <c r="O63" s="100">
        <f>AVERAGE(B63:M63)</f>
        <v>71.75</v>
      </c>
    </row>
    <row r="64" spans="1:15" ht="24">
      <c r="A64" s="93" t="s">
        <v>585</v>
      </c>
      <c r="B64" s="101"/>
      <c r="C64" s="101"/>
      <c r="D64" s="101"/>
      <c r="E64" s="101"/>
      <c r="F64" s="101">
        <v>57</v>
      </c>
      <c r="G64" s="101">
        <v>52</v>
      </c>
      <c r="H64" s="101">
        <v>55</v>
      </c>
      <c r="I64" s="101">
        <v>34</v>
      </c>
      <c r="J64" s="101"/>
      <c r="K64" s="101"/>
      <c r="L64" s="101"/>
      <c r="M64" s="101"/>
      <c r="N64" s="101">
        <f>SUM(B64:M64)</f>
        <v>198</v>
      </c>
      <c r="O64" s="100">
        <f>AVERAGE(B64:M64)</f>
        <v>49.5</v>
      </c>
    </row>
    <row r="65" spans="1:15">
      <c r="A65" s="11" t="s">
        <v>586</v>
      </c>
      <c r="B65" s="14"/>
      <c r="C65" s="14"/>
      <c r="D65" s="14"/>
      <c r="E65" s="14"/>
      <c r="F65" s="14">
        <f>F64/F63</f>
        <v>0.75</v>
      </c>
      <c r="G65" s="14">
        <f>G64/G63</f>
        <v>0.73239436619718312</v>
      </c>
      <c r="H65" s="14">
        <f>H64/H63</f>
        <v>0.70512820512820518</v>
      </c>
      <c r="I65" s="14">
        <f>I64/I63</f>
        <v>0.54838709677419351</v>
      </c>
      <c r="J65" s="14"/>
      <c r="K65" s="14"/>
      <c r="L65" s="14"/>
      <c r="M65" s="14"/>
      <c r="N65" s="17">
        <f>N64/N63</f>
        <v>0.68989547038327526</v>
      </c>
      <c r="O65" s="17">
        <f>O64/O63</f>
        <v>0.68989547038327526</v>
      </c>
    </row>
    <row r="66" spans="1:15" ht="24">
      <c r="A66" s="93" t="s">
        <v>587</v>
      </c>
      <c r="B66" s="94"/>
      <c r="C66" s="94"/>
      <c r="D66" s="94"/>
      <c r="E66" s="94"/>
      <c r="F66" s="94">
        <v>0</v>
      </c>
      <c r="G66" s="94">
        <v>0</v>
      </c>
      <c r="H66" s="94">
        <v>0</v>
      </c>
      <c r="I66" s="94">
        <v>16</v>
      </c>
      <c r="J66" s="101"/>
      <c r="K66" s="101"/>
      <c r="L66" s="101"/>
      <c r="M66" s="101"/>
      <c r="N66" s="101">
        <f>SUM(B66:M66)</f>
        <v>16</v>
      </c>
      <c r="O66" s="100">
        <f>AVERAGE(B66:M66)</f>
        <v>4</v>
      </c>
    </row>
    <row r="67" spans="1:15" ht="24">
      <c r="A67" s="93" t="s">
        <v>588</v>
      </c>
      <c r="B67" s="94"/>
      <c r="C67" s="94"/>
      <c r="D67" s="94"/>
      <c r="E67" s="94"/>
      <c r="F67" s="94">
        <v>0</v>
      </c>
      <c r="G67" s="94">
        <v>0</v>
      </c>
      <c r="H67" s="94">
        <v>0</v>
      </c>
      <c r="I67" s="94">
        <v>0</v>
      </c>
      <c r="J67" s="94"/>
      <c r="K67" s="94"/>
      <c r="L67" s="94"/>
      <c r="M67" s="94"/>
      <c r="N67" s="101">
        <f>SUM(B67:M67)</f>
        <v>0</v>
      </c>
      <c r="O67" s="100">
        <f>AVERAGE(B67:M67)</f>
        <v>0</v>
      </c>
    </row>
    <row r="68" spans="1:15">
      <c r="A68" s="11" t="s">
        <v>590</v>
      </c>
      <c r="B68" s="14" t="e">
        <f t="shared" ref="B68:I68" si="12">B67/B66</f>
        <v>#DIV/0!</v>
      </c>
      <c r="C68" s="14" t="e">
        <f t="shared" si="12"/>
        <v>#DIV/0!</v>
      </c>
      <c r="D68" s="14" t="e">
        <f t="shared" si="12"/>
        <v>#DIV/0!</v>
      </c>
      <c r="E68" s="14" t="e">
        <f t="shared" si="12"/>
        <v>#DIV/0!</v>
      </c>
      <c r="F68" s="14" t="e">
        <f t="shared" si="12"/>
        <v>#DIV/0!</v>
      </c>
      <c r="G68" s="14" t="e">
        <f t="shared" si="12"/>
        <v>#DIV/0!</v>
      </c>
      <c r="H68" s="14" t="e">
        <f t="shared" si="12"/>
        <v>#DIV/0!</v>
      </c>
      <c r="I68" s="14">
        <f t="shared" si="12"/>
        <v>0</v>
      </c>
      <c r="J68" s="14"/>
      <c r="K68" s="14"/>
      <c r="L68" s="14"/>
      <c r="M68" s="14"/>
      <c r="N68" s="17">
        <f>(N67/N66)</f>
        <v>0</v>
      </c>
      <c r="O68" s="17">
        <f>(O67/O66)</f>
        <v>0</v>
      </c>
    </row>
    <row r="69" spans="1:15">
      <c r="A69" s="95" t="s">
        <v>591</v>
      </c>
      <c r="B69" s="96">
        <v>0.8</v>
      </c>
      <c r="C69" s="96">
        <v>0.8</v>
      </c>
      <c r="D69" s="96">
        <v>0.8</v>
      </c>
      <c r="E69" s="96">
        <v>0.8</v>
      </c>
      <c r="F69" s="96">
        <v>0.8</v>
      </c>
      <c r="G69" s="96">
        <v>0.8</v>
      </c>
      <c r="H69" s="96">
        <v>0.8</v>
      </c>
      <c r="I69" s="96">
        <v>0.8</v>
      </c>
      <c r="J69" s="96">
        <v>0.8</v>
      </c>
      <c r="K69" s="96">
        <v>0.8</v>
      </c>
      <c r="L69" s="96">
        <v>0.8</v>
      </c>
      <c r="M69" s="96">
        <v>0.8</v>
      </c>
      <c r="N69" s="97"/>
      <c r="O69" s="98"/>
    </row>
  </sheetData>
  <mergeCells count="19">
    <mergeCell ref="A48:A49"/>
    <mergeCell ref="N48:N49"/>
    <mergeCell ref="O48:O49"/>
    <mergeCell ref="A61:A62"/>
    <mergeCell ref="N61:N62"/>
    <mergeCell ref="O61:O62"/>
    <mergeCell ref="A22:A23"/>
    <mergeCell ref="N22:N23"/>
    <mergeCell ref="O22:O23"/>
    <mergeCell ref="A35:A36"/>
    <mergeCell ref="N35:N36"/>
    <mergeCell ref="O35:O36"/>
    <mergeCell ref="A8:A9"/>
    <mergeCell ref="N8:N9"/>
    <mergeCell ref="O8:O9"/>
    <mergeCell ref="G1:G3"/>
    <mergeCell ref="K1:K3"/>
    <mergeCell ref="L1:N3"/>
    <mergeCell ref="L4:N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F76CE-F650-4756-B6C9-0BEBE85A7A81}">
  <sheetPr codeName="Sheet12"/>
  <dimension ref="A1:I19"/>
  <sheetViews>
    <sheetView workbookViewId="0">
      <selection activeCell="H15" sqref="H15:H16"/>
    </sheetView>
  </sheetViews>
  <sheetFormatPr defaultRowHeight="15"/>
  <cols>
    <col min="1" max="1" width="2.5703125" customWidth="1"/>
    <col min="2" max="2" width="10" style="2" customWidth="1"/>
    <col min="3" max="3" width="19.5703125" style="2" customWidth="1"/>
    <col min="4" max="4" width="8.5703125" style="2" customWidth="1"/>
    <col min="5" max="5" width="37.5703125" customWidth="1"/>
    <col min="6" max="6" width="44.5703125" customWidth="1"/>
    <col min="7" max="7" width="11.42578125" style="2" customWidth="1"/>
    <col min="8" max="8" width="14.5703125" style="2" customWidth="1"/>
    <col min="9" max="9" width="25.42578125" style="2" customWidth="1"/>
  </cols>
  <sheetData>
    <row r="1" spans="1:9">
      <c r="A1" s="63"/>
      <c r="B1" s="87" t="s">
        <v>596</v>
      </c>
      <c r="C1" s="85"/>
      <c r="D1" s="85"/>
      <c r="E1" s="83"/>
      <c r="F1" s="83"/>
      <c r="G1" s="85"/>
      <c r="H1" s="85"/>
      <c r="I1" s="85"/>
    </row>
    <row r="2" spans="1:9" ht="8.25" customHeight="1"/>
    <row r="3" spans="1:9" s="82" customFormat="1">
      <c r="B3" s="84" t="s">
        <v>597</v>
      </c>
      <c r="C3" s="84" t="s">
        <v>598</v>
      </c>
      <c r="D3" s="84" t="s">
        <v>599</v>
      </c>
      <c r="E3" s="84" t="s">
        <v>600</v>
      </c>
      <c r="F3" s="84" t="s">
        <v>601</v>
      </c>
      <c r="G3" s="84" t="s">
        <v>602</v>
      </c>
      <c r="H3" s="84" t="s">
        <v>603</v>
      </c>
      <c r="I3" s="84" t="s">
        <v>604</v>
      </c>
    </row>
    <row r="4" spans="1:9">
      <c r="B4" s="86">
        <v>45534</v>
      </c>
      <c r="C4" s="2" t="s">
        <v>605</v>
      </c>
      <c r="E4" t="s">
        <v>606</v>
      </c>
      <c r="F4" t="s">
        <v>607</v>
      </c>
      <c r="G4" s="86">
        <v>45541</v>
      </c>
    </row>
    <row r="5" spans="1:9">
      <c r="D5" s="88"/>
      <c r="E5" t="s">
        <v>608</v>
      </c>
      <c r="F5" t="s">
        <v>609</v>
      </c>
      <c r="G5" s="86">
        <v>45541</v>
      </c>
    </row>
    <row r="6" spans="1:9">
      <c r="B6" s="86">
        <v>45538</v>
      </c>
      <c r="D6" s="89"/>
      <c r="E6" t="s">
        <v>610</v>
      </c>
      <c r="F6" t="s">
        <v>611</v>
      </c>
      <c r="G6" s="86">
        <v>45541</v>
      </c>
      <c r="H6" s="2" t="s">
        <v>612</v>
      </c>
    </row>
    <row r="7" spans="1:9">
      <c r="B7" s="86">
        <v>45540</v>
      </c>
      <c r="D7" s="89"/>
      <c r="E7" t="s">
        <v>191</v>
      </c>
      <c r="F7" t="s">
        <v>613</v>
      </c>
      <c r="G7" s="89"/>
    </row>
    <row r="8" spans="1:9">
      <c r="B8" s="86">
        <v>45540</v>
      </c>
      <c r="E8" t="s">
        <v>608</v>
      </c>
      <c r="F8" t="s">
        <v>614</v>
      </c>
      <c r="H8" s="2" t="s">
        <v>615</v>
      </c>
    </row>
    <row r="9" spans="1:9">
      <c r="B9" s="86">
        <v>45541</v>
      </c>
      <c r="E9" t="s">
        <v>616</v>
      </c>
      <c r="F9" t="s">
        <v>617</v>
      </c>
      <c r="G9" s="89"/>
      <c r="H9" s="2" t="s">
        <v>615</v>
      </c>
      <c r="I9" s="2" t="s">
        <v>618</v>
      </c>
    </row>
    <row r="10" spans="1:9">
      <c r="B10" s="86">
        <v>45541</v>
      </c>
      <c r="E10" t="s">
        <v>619</v>
      </c>
      <c r="F10" t="s">
        <v>617</v>
      </c>
      <c r="G10" s="89"/>
      <c r="H10" s="2" t="s">
        <v>615</v>
      </c>
      <c r="I10" s="2" t="s">
        <v>618</v>
      </c>
    </row>
    <row r="11" spans="1:9">
      <c r="B11" s="86">
        <v>45547</v>
      </c>
      <c r="E11" t="s">
        <v>53</v>
      </c>
      <c r="F11" t="s">
        <v>617</v>
      </c>
      <c r="G11" s="1"/>
    </row>
    <row r="13" spans="1:9">
      <c r="B13" s="86">
        <v>45551</v>
      </c>
      <c r="C13" s="2" t="s">
        <v>605</v>
      </c>
      <c r="D13" s="88"/>
      <c r="F13" t="s">
        <v>620</v>
      </c>
      <c r="G13" s="86">
        <v>45554</v>
      </c>
      <c r="H13" s="2" t="s">
        <v>615</v>
      </c>
    </row>
    <row r="14" spans="1:9">
      <c r="B14" s="86">
        <v>45551</v>
      </c>
      <c r="C14" s="2" t="s">
        <v>621</v>
      </c>
      <c r="D14" s="88"/>
      <c r="E14" t="s">
        <v>622</v>
      </c>
      <c r="F14" t="s">
        <v>623</v>
      </c>
      <c r="G14" s="86">
        <v>45551</v>
      </c>
      <c r="H14" s="2" t="s">
        <v>624</v>
      </c>
    </row>
    <row r="15" spans="1:9" ht="45">
      <c r="B15" s="86">
        <v>45551</v>
      </c>
      <c r="F15" s="90" t="s">
        <v>625</v>
      </c>
      <c r="H15" s="2" t="s">
        <v>612</v>
      </c>
    </row>
    <row r="16" spans="1:9">
      <c r="B16" s="86">
        <v>45551</v>
      </c>
      <c r="F16" t="s">
        <v>626</v>
      </c>
      <c r="H16" s="2" t="s">
        <v>612</v>
      </c>
    </row>
    <row r="17" spans="2:2">
      <c r="B17" s="86">
        <v>45551</v>
      </c>
    </row>
    <row r="18" spans="2:2">
      <c r="B18" s="86">
        <v>45551</v>
      </c>
    </row>
    <row r="19" spans="2:2">
      <c r="B19" s="86">
        <v>45551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R620"/>
  <sheetViews>
    <sheetView zoomScale="85" zoomScaleNormal="85" zoomScaleSheetLayoutView="100" workbookViewId="0">
      <pane ySplit="7" topLeftCell="A32" activePane="bottomLeft" state="frozen"/>
      <selection pane="bottomLeft" activeCell="D32" sqref="D32"/>
    </sheetView>
  </sheetViews>
  <sheetFormatPr defaultRowHeight="15"/>
  <cols>
    <col min="1" max="1" width="11.42578125" customWidth="1"/>
    <col min="2" max="2" width="15.42578125" bestFit="1" customWidth="1"/>
    <col min="3" max="3" width="19.5703125" customWidth="1"/>
    <col min="4" max="5" width="15.42578125" customWidth="1"/>
    <col min="6" max="7" width="17.5703125" style="44" customWidth="1"/>
    <col min="8" max="8" width="19.42578125" customWidth="1"/>
    <col min="9" max="9" width="13.42578125" style="44" customWidth="1"/>
    <col min="10" max="10" width="31" bestFit="1" customWidth="1"/>
    <col min="11" max="11" width="11.42578125" customWidth="1"/>
    <col min="12" max="12" width="10" customWidth="1"/>
    <col min="13" max="13" width="20.42578125" customWidth="1"/>
  </cols>
  <sheetData>
    <row r="1" spans="1:18">
      <c r="J1" s="377"/>
      <c r="K1" s="376" t="s">
        <v>627</v>
      </c>
      <c r="L1" s="376"/>
      <c r="M1" s="376"/>
      <c r="N1" s="378" t="s">
        <v>628</v>
      </c>
      <c r="O1" s="379"/>
    </row>
    <row r="2" spans="1:18">
      <c r="J2" s="377"/>
      <c r="K2" s="376"/>
      <c r="L2" s="376"/>
      <c r="M2" s="376"/>
      <c r="N2" s="379"/>
      <c r="O2" s="379"/>
    </row>
    <row r="3" spans="1:18">
      <c r="J3" s="377"/>
      <c r="K3" s="376"/>
      <c r="L3" s="376"/>
      <c r="M3" s="376"/>
      <c r="N3" s="379"/>
      <c r="O3" s="379"/>
    </row>
    <row r="6" spans="1:18" ht="4.5" customHeight="1"/>
    <row r="7" spans="1:18" ht="25.5" customHeight="1">
      <c r="A7" s="24" t="s">
        <v>629</v>
      </c>
      <c r="B7" s="24" t="s">
        <v>20</v>
      </c>
      <c r="C7" s="24" t="s">
        <v>630</v>
      </c>
      <c r="D7" s="24" t="s">
        <v>631</v>
      </c>
      <c r="E7" s="24" t="s">
        <v>632</v>
      </c>
      <c r="F7" s="43" t="s">
        <v>633</v>
      </c>
      <c r="G7" s="43" t="s">
        <v>634</v>
      </c>
      <c r="H7" s="24" t="s">
        <v>635</v>
      </c>
      <c r="I7" s="43"/>
      <c r="J7" s="24"/>
      <c r="K7" s="24"/>
      <c r="L7" s="24"/>
      <c r="M7" s="24"/>
      <c r="N7" s="23"/>
      <c r="O7" s="23"/>
      <c r="P7" s="23"/>
      <c r="Q7" s="23"/>
      <c r="R7" s="23"/>
    </row>
    <row r="8" spans="1:18" ht="30" customHeight="1">
      <c r="A8" s="27">
        <v>1</v>
      </c>
      <c r="B8" s="27" t="s">
        <v>636</v>
      </c>
      <c r="C8" s="27" t="s">
        <v>191</v>
      </c>
      <c r="D8" s="27" t="s">
        <v>637</v>
      </c>
      <c r="E8" s="27" t="s">
        <v>638</v>
      </c>
      <c r="F8" s="46" t="s">
        <v>639</v>
      </c>
      <c r="G8" s="46" t="s">
        <v>640</v>
      </c>
      <c r="H8" s="27" t="s">
        <v>641</v>
      </c>
      <c r="I8" s="45"/>
      <c r="J8" s="28"/>
      <c r="K8" s="27"/>
      <c r="L8" s="27"/>
      <c r="M8" s="28"/>
      <c r="N8" s="23"/>
      <c r="O8" s="23"/>
      <c r="P8" s="23"/>
      <c r="Q8" s="23"/>
      <c r="R8" s="23"/>
    </row>
    <row r="9" spans="1:18" ht="30" customHeight="1">
      <c r="A9" s="27">
        <v>2</v>
      </c>
      <c r="B9" s="27" t="s">
        <v>132</v>
      </c>
      <c r="C9" s="27">
        <v>557809</v>
      </c>
      <c r="D9" s="27" t="s">
        <v>642</v>
      </c>
      <c r="E9" s="27" t="s">
        <v>643</v>
      </c>
      <c r="F9" s="46" t="s">
        <v>644</v>
      </c>
      <c r="G9" s="46" t="s">
        <v>640</v>
      </c>
      <c r="H9" s="27" t="s">
        <v>645</v>
      </c>
      <c r="I9" s="45"/>
      <c r="J9" s="28"/>
      <c r="K9" s="27"/>
      <c r="L9" s="27"/>
      <c r="M9" s="28"/>
      <c r="N9" s="23"/>
      <c r="O9" s="23"/>
      <c r="P9" s="23"/>
      <c r="Q9" s="23"/>
      <c r="R9" s="23"/>
    </row>
    <row r="10" spans="1:18" ht="30" customHeight="1">
      <c r="A10" s="27">
        <v>3</v>
      </c>
      <c r="B10" s="27" t="s">
        <v>621</v>
      </c>
      <c r="C10" s="27" t="s">
        <v>46</v>
      </c>
      <c r="D10" s="27" t="s">
        <v>646</v>
      </c>
      <c r="E10" s="27" t="s">
        <v>647</v>
      </c>
      <c r="F10" s="46" t="s">
        <v>644</v>
      </c>
      <c r="G10" s="46" t="s">
        <v>648</v>
      </c>
      <c r="H10" s="27" t="s">
        <v>649</v>
      </c>
      <c r="I10" s="45"/>
      <c r="J10" s="28"/>
      <c r="K10" s="27"/>
      <c r="L10" s="27"/>
      <c r="M10" s="28"/>
      <c r="N10" s="23"/>
      <c r="O10" s="23"/>
      <c r="P10" s="23"/>
      <c r="Q10" s="23"/>
      <c r="R10" s="23"/>
    </row>
    <row r="11" spans="1:18" ht="30" customHeight="1">
      <c r="A11" s="27">
        <v>4</v>
      </c>
      <c r="B11" s="27" t="s">
        <v>621</v>
      </c>
      <c r="C11" s="27" t="s">
        <v>650</v>
      </c>
      <c r="D11" s="27" t="s">
        <v>646</v>
      </c>
      <c r="E11" s="27" t="s">
        <v>647</v>
      </c>
      <c r="F11" s="46" t="s">
        <v>644</v>
      </c>
      <c r="G11" s="46" t="s">
        <v>648</v>
      </c>
      <c r="H11" s="27" t="s">
        <v>649</v>
      </c>
      <c r="I11" s="45"/>
      <c r="J11" s="28"/>
      <c r="K11" s="27"/>
      <c r="L11" s="27"/>
      <c r="M11" s="28"/>
      <c r="N11" s="23"/>
      <c r="O11" s="23"/>
      <c r="P11" s="23"/>
      <c r="Q11" s="23"/>
      <c r="R11" s="23"/>
    </row>
    <row r="12" spans="1:18" ht="30" customHeight="1">
      <c r="A12" s="27">
        <v>5</v>
      </c>
      <c r="B12" s="27" t="s">
        <v>621</v>
      </c>
      <c r="C12" s="27" t="s">
        <v>397</v>
      </c>
      <c r="D12" s="27" t="s">
        <v>646</v>
      </c>
      <c r="E12" s="27" t="s">
        <v>647</v>
      </c>
      <c r="F12" s="46" t="s">
        <v>644</v>
      </c>
      <c r="G12" s="46" t="s">
        <v>648</v>
      </c>
      <c r="H12" s="27" t="s">
        <v>649</v>
      </c>
      <c r="I12" s="45"/>
      <c r="J12" s="28"/>
      <c r="K12" s="27"/>
      <c r="L12" s="27"/>
      <c r="M12" s="28"/>
      <c r="N12" s="23"/>
      <c r="O12" s="23"/>
      <c r="P12" s="23"/>
      <c r="Q12" s="23"/>
      <c r="R12" s="23"/>
    </row>
    <row r="13" spans="1:18" ht="30" customHeight="1">
      <c r="A13" s="27">
        <v>6</v>
      </c>
      <c r="B13" s="27" t="s">
        <v>621</v>
      </c>
      <c r="C13" s="27" t="s">
        <v>383</v>
      </c>
      <c r="D13" s="27" t="s">
        <v>646</v>
      </c>
      <c r="E13" s="27" t="s">
        <v>647</v>
      </c>
      <c r="F13" s="46" t="s">
        <v>644</v>
      </c>
      <c r="G13" s="46" t="s">
        <v>648</v>
      </c>
      <c r="H13" s="27" t="s">
        <v>649</v>
      </c>
      <c r="I13" s="46"/>
      <c r="J13" s="27"/>
      <c r="K13" s="27"/>
      <c r="L13" s="27"/>
      <c r="M13" s="27"/>
      <c r="N13" s="23"/>
      <c r="O13" s="23"/>
      <c r="P13" s="23"/>
      <c r="Q13" s="23"/>
      <c r="R13" s="23"/>
    </row>
    <row r="14" spans="1:18" ht="30" customHeight="1">
      <c r="A14" s="27">
        <v>7</v>
      </c>
      <c r="B14" s="27" t="s">
        <v>621</v>
      </c>
      <c r="C14" s="27" t="s">
        <v>398</v>
      </c>
      <c r="D14" s="27" t="s">
        <v>646</v>
      </c>
      <c r="E14" s="27" t="s">
        <v>647</v>
      </c>
      <c r="F14" s="46" t="s">
        <v>644</v>
      </c>
      <c r="G14" s="46" t="s">
        <v>648</v>
      </c>
      <c r="H14" s="27" t="s">
        <v>649</v>
      </c>
      <c r="I14" s="46"/>
      <c r="J14" s="27"/>
      <c r="K14" s="27"/>
      <c r="L14" s="27"/>
      <c r="M14" s="27"/>
      <c r="N14" s="23"/>
      <c r="O14" s="23"/>
      <c r="P14" s="23"/>
      <c r="Q14" s="23"/>
      <c r="R14" s="23"/>
    </row>
    <row r="15" spans="1:18" ht="30" customHeight="1">
      <c r="A15" s="27">
        <v>8</v>
      </c>
      <c r="B15" s="27" t="s">
        <v>621</v>
      </c>
      <c r="C15" s="27" t="s">
        <v>49</v>
      </c>
      <c r="D15" s="27" t="s">
        <v>646</v>
      </c>
      <c r="E15" s="27" t="s">
        <v>647</v>
      </c>
      <c r="F15" s="46" t="s">
        <v>644</v>
      </c>
      <c r="G15" s="46" t="s">
        <v>648</v>
      </c>
      <c r="H15" s="27" t="s">
        <v>649</v>
      </c>
      <c r="I15" s="46"/>
      <c r="J15" s="27"/>
      <c r="K15" s="27"/>
      <c r="L15" s="27"/>
      <c r="M15" s="27"/>
      <c r="N15" s="23"/>
      <c r="O15" s="23"/>
      <c r="P15" s="23"/>
      <c r="Q15" s="23"/>
      <c r="R15" s="23"/>
    </row>
    <row r="16" spans="1:18" ht="30" customHeight="1">
      <c r="A16" s="27">
        <v>9</v>
      </c>
      <c r="B16" s="27" t="s">
        <v>621</v>
      </c>
      <c r="C16" s="27" t="s">
        <v>651</v>
      </c>
      <c r="D16" s="27" t="s">
        <v>646</v>
      </c>
      <c r="E16" s="27" t="s">
        <v>647</v>
      </c>
      <c r="F16" s="46" t="s">
        <v>644</v>
      </c>
      <c r="G16" s="46" t="s">
        <v>648</v>
      </c>
      <c r="H16" s="27" t="s">
        <v>649</v>
      </c>
      <c r="I16" s="46"/>
      <c r="J16" s="27"/>
      <c r="K16" s="27"/>
      <c r="L16" s="27"/>
      <c r="M16" s="27"/>
      <c r="N16" s="23"/>
      <c r="O16" s="23"/>
      <c r="P16" s="23"/>
      <c r="Q16" s="23"/>
      <c r="R16" s="23"/>
    </row>
    <row r="17" spans="1:18" ht="30" customHeight="1">
      <c r="A17" s="27">
        <v>10</v>
      </c>
      <c r="B17" s="27" t="s">
        <v>652</v>
      </c>
      <c r="C17" s="27">
        <v>1813218050</v>
      </c>
      <c r="D17" s="27" t="s">
        <v>653</v>
      </c>
      <c r="E17" s="27" t="s">
        <v>654</v>
      </c>
      <c r="F17" s="46" t="s">
        <v>644</v>
      </c>
      <c r="G17" s="46" t="s">
        <v>640</v>
      </c>
      <c r="H17" s="27"/>
      <c r="I17" s="46"/>
      <c r="J17" s="27"/>
      <c r="K17" s="27"/>
      <c r="L17" s="27"/>
      <c r="M17" s="27"/>
      <c r="N17" s="23"/>
      <c r="O17" s="23"/>
      <c r="P17" s="23"/>
      <c r="Q17" s="23"/>
      <c r="R17" s="23"/>
    </row>
    <row r="18" spans="1:18" ht="30" customHeight="1">
      <c r="A18" s="27">
        <v>11</v>
      </c>
      <c r="B18" s="27" t="s">
        <v>655</v>
      </c>
      <c r="C18" s="27" t="s">
        <v>656</v>
      </c>
      <c r="D18" s="27" t="s">
        <v>657</v>
      </c>
      <c r="E18" s="27" t="s">
        <v>658</v>
      </c>
      <c r="F18" s="46" t="s">
        <v>659</v>
      </c>
      <c r="G18" s="46" t="s">
        <v>660</v>
      </c>
      <c r="H18" s="27"/>
      <c r="I18" s="46"/>
      <c r="J18" s="27"/>
      <c r="K18" s="27"/>
      <c r="L18" s="27"/>
      <c r="M18" s="27"/>
      <c r="N18" s="23"/>
      <c r="O18" s="23"/>
      <c r="P18" s="23"/>
      <c r="Q18" s="23"/>
      <c r="R18" s="23"/>
    </row>
    <row r="19" spans="1:18" ht="30" customHeight="1">
      <c r="A19" s="27">
        <v>12</v>
      </c>
      <c r="B19" s="27" t="s">
        <v>655</v>
      </c>
      <c r="C19" s="27" t="s">
        <v>656</v>
      </c>
      <c r="D19" s="27" t="s">
        <v>661</v>
      </c>
      <c r="E19" s="27" t="s">
        <v>662</v>
      </c>
      <c r="F19" s="46" t="s">
        <v>663</v>
      </c>
      <c r="G19" s="46" t="s">
        <v>640</v>
      </c>
      <c r="H19" s="27"/>
      <c r="I19" s="46"/>
      <c r="J19" s="27"/>
      <c r="K19" s="27"/>
      <c r="L19" s="27"/>
      <c r="M19" s="28"/>
      <c r="N19" s="23"/>
      <c r="O19" s="23"/>
      <c r="P19" s="23"/>
      <c r="Q19" s="23"/>
      <c r="R19" s="23"/>
    </row>
    <row r="20" spans="1:18" ht="30" customHeight="1">
      <c r="A20" s="27">
        <v>13</v>
      </c>
      <c r="B20" s="27" t="s">
        <v>621</v>
      </c>
      <c r="C20" s="27" t="s">
        <v>34</v>
      </c>
      <c r="D20" s="27" t="s">
        <v>664</v>
      </c>
      <c r="E20" s="27" t="s">
        <v>665</v>
      </c>
      <c r="F20" s="46" t="s">
        <v>644</v>
      </c>
      <c r="G20" s="66" t="s">
        <v>666</v>
      </c>
      <c r="H20" s="27" t="s">
        <v>667</v>
      </c>
      <c r="I20" s="46"/>
      <c r="J20" s="27"/>
      <c r="K20" s="27"/>
      <c r="L20" s="27"/>
      <c r="M20" s="28"/>
      <c r="N20" s="23"/>
      <c r="O20" s="23"/>
      <c r="P20" s="23"/>
      <c r="Q20" s="23"/>
      <c r="R20" s="23"/>
    </row>
    <row r="21" spans="1:18" ht="30" customHeight="1">
      <c r="A21" s="27">
        <v>14</v>
      </c>
      <c r="B21" s="27" t="s">
        <v>621</v>
      </c>
      <c r="C21" s="27" t="s">
        <v>48</v>
      </c>
      <c r="D21" s="27" t="s">
        <v>646</v>
      </c>
      <c r="E21" s="27" t="s">
        <v>647</v>
      </c>
      <c r="F21" s="46" t="s">
        <v>644</v>
      </c>
      <c r="G21" s="66" t="s">
        <v>666</v>
      </c>
      <c r="H21" s="27" t="s">
        <v>649</v>
      </c>
      <c r="I21" s="46"/>
      <c r="J21" s="27"/>
      <c r="K21" s="27"/>
      <c r="L21" s="27"/>
      <c r="M21" s="27"/>
      <c r="N21" s="23"/>
      <c r="O21" s="23"/>
      <c r="P21" s="23"/>
      <c r="Q21" s="23"/>
      <c r="R21" s="23"/>
    </row>
    <row r="22" spans="1:18" ht="30" customHeight="1">
      <c r="A22" s="27">
        <v>15</v>
      </c>
      <c r="B22" s="27" t="s">
        <v>621</v>
      </c>
      <c r="C22" s="27" t="s">
        <v>389</v>
      </c>
      <c r="D22" s="27" t="s">
        <v>664</v>
      </c>
      <c r="E22" s="27" t="s">
        <v>665</v>
      </c>
      <c r="F22" s="46" t="s">
        <v>644</v>
      </c>
      <c r="G22" s="66" t="s">
        <v>666</v>
      </c>
      <c r="H22" s="27" t="s">
        <v>667</v>
      </c>
      <c r="I22" s="46"/>
      <c r="J22" s="27"/>
      <c r="K22" s="27"/>
      <c r="L22" s="27"/>
      <c r="M22" s="27"/>
    </row>
    <row r="23" spans="1:18" ht="30" customHeight="1">
      <c r="A23" s="27">
        <v>16</v>
      </c>
      <c r="B23" s="27" t="s">
        <v>621</v>
      </c>
      <c r="C23" s="27" t="s">
        <v>35</v>
      </c>
      <c r="D23" s="27" t="s">
        <v>664</v>
      </c>
      <c r="E23" s="27" t="s">
        <v>665</v>
      </c>
      <c r="F23" s="46" t="s">
        <v>644</v>
      </c>
      <c r="G23" s="66" t="s">
        <v>666</v>
      </c>
      <c r="H23" s="27" t="s">
        <v>667</v>
      </c>
      <c r="I23" s="46"/>
      <c r="J23" s="27"/>
      <c r="K23" s="27"/>
      <c r="L23" s="27"/>
      <c r="M23" s="28"/>
    </row>
    <row r="24" spans="1:18" ht="30" customHeight="1">
      <c r="A24" s="27">
        <v>17</v>
      </c>
      <c r="B24" s="27" t="s">
        <v>621</v>
      </c>
      <c r="C24" s="27" t="s">
        <v>33</v>
      </c>
      <c r="D24" s="27" t="s">
        <v>664</v>
      </c>
      <c r="E24" s="27" t="s">
        <v>665</v>
      </c>
      <c r="F24" s="46" t="s">
        <v>644</v>
      </c>
      <c r="G24" s="66" t="s">
        <v>666</v>
      </c>
      <c r="H24" s="27" t="s">
        <v>667</v>
      </c>
      <c r="I24" s="46"/>
      <c r="J24" s="27"/>
      <c r="K24" s="27"/>
      <c r="L24" s="27"/>
      <c r="M24" s="28"/>
    </row>
    <row r="25" spans="1:18" ht="30" customHeight="1">
      <c r="A25" s="27">
        <v>18</v>
      </c>
      <c r="B25" s="27" t="s">
        <v>621</v>
      </c>
      <c r="C25" s="27" t="s">
        <v>179</v>
      </c>
      <c r="D25" s="27" t="s">
        <v>664</v>
      </c>
      <c r="E25" s="27" t="s">
        <v>665</v>
      </c>
      <c r="F25" s="46" t="s">
        <v>644</v>
      </c>
      <c r="G25" s="66" t="s">
        <v>666</v>
      </c>
      <c r="H25" s="27" t="s">
        <v>667</v>
      </c>
      <c r="I25" s="46"/>
      <c r="J25" s="27"/>
      <c r="K25" s="27"/>
      <c r="L25" s="27"/>
      <c r="M25" s="28"/>
    </row>
    <row r="26" spans="1:18" ht="30" customHeight="1">
      <c r="A26" s="27">
        <v>19</v>
      </c>
      <c r="B26" s="27" t="s">
        <v>621</v>
      </c>
      <c r="C26" s="27" t="s">
        <v>36</v>
      </c>
      <c r="D26" s="27" t="s">
        <v>664</v>
      </c>
      <c r="E26" s="27" t="s">
        <v>665</v>
      </c>
      <c r="F26" s="46" t="s">
        <v>644</v>
      </c>
      <c r="G26" s="66" t="s">
        <v>666</v>
      </c>
      <c r="H26" s="27" t="s">
        <v>667</v>
      </c>
      <c r="I26" s="46"/>
      <c r="J26" s="27"/>
      <c r="K26" s="27"/>
      <c r="L26" s="27"/>
      <c r="M26" s="28"/>
    </row>
    <row r="27" spans="1:18" ht="30" customHeight="1">
      <c r="A27" s="27">
        <v>20</v>
      </c>
      <c r="B27" s="27" t="s">
        <v>621</v>
      </c>
      <c r="C27" s="27" t="s">
        <v>51</v>
      </c>
      <c r="D27" s="27" t="s">
        <v>664</v>
      </c>
      <c r="E27" s="27" t="s">
        <v>665</v>
      </c>
      <c r="F27" s="46" t="s">
        <v>644</v>
      </c>
      <c r="G27" s="66" t="s">
        <v>666</v>
      </c>
      <c r="H27" s="27" t="s">
        <v>667</v>
      </c>
      <c r="I27" s="46"/>
      <c r="J27" s="27"/>
      <c r="K27" s="27"/>
      <c r="L27" s="27"/>
      <c r="M27" s="28"/>
    </row>
    <row r="28" spans="1:18" ht="30" customHeight="1">
      <c r="A28" s="27">
        <v>21</v>
      </c>
      <c r="B28" s="27" t="s">
        <v>621</v>
      </c>
      <c r="C28" s="27" t="s">
        <v>38</v>
      </c>
      <c r="D28" s="27" t="s">
        <v>664</v>
      </c>
      <c r="E28" s="27" t="s">
        <v>668</v>
      </c>
      <c r="F28" s="46" t="s">
        <v>644</v>
      </c>
      <c r="G28" s="66" t="s">
        <v>666</v>
      </c>
      <c r="H28" s="27" t="s">
        <v>669</v>
      </c>
      <c r="I28" s="46"/>
      <c r="J28" s="27"/>
      <c r="K28" s="27"/>
      <c r="L28" s="27"/>
      <c r="M28" s="28"/>
    </row>
    <row r="29" spans="1:18" ht="30" customHeight="1">
      <c r="A29" s="27">
        <v>22</v>
      </c>
      <c r="B29" s="27" t="s">
        <v>621</v>
      </c>
      <c r="C29" s="27" t="s">
        <v>40</v>
      </c>
      <c r="D29" s="27" t="s">
        <v>664</v>
      </c>
      <c r="E29" s="27" t="s">
        <v>668</v>
      </c>
      <c r="F29" s="46" t="s">
        <v>644</v>
      </c>
      <c r="G29" s="66" t="s">
        <v>666</v>
      </c>
      <c r="H29" s="27" t="s">
        <v>669</v>
      </c>
      <c r="I29" s="46"/>
      <c r="J29" s="27"/>
      <c r="K29" s="27"/>
      <c r="L29" s="27"/>
      <c r="M29" s="28"/>
    </row>
    <row r="30" spans="1:18" ht="30" customHeight="1">
      <c r="A30" s="27">
        <v>23</v>
      </c>
      <c r="B30" s="27" t="s">
        <v>621</v>
      </c>
      <c r="C30" s="27" t="s">
        <v>670</v>
      </c>
      <c r="D30" s="27" t="s">
        <v>664</v>
      </c>
      <c r="E30" s="27" t="s">
        <v>668</v>
      </c>
      <c r="F30" s="46" t="s">
        <v>644</v>
      </c>
      <c r="G30" s="66" t="s">
        <v>666</v>
      </c>
      <c r="H30" s="27" t="s">
        <v>669</v>
      </c>
      <c r="I30" s="46"/>
      <c r="J30" s="27"/>
      <c r="K30" s="27"/>
      <c r="L30" s="27"/>
      <c r="M30" s="28"/>
    </row>
    <row r="31" spans="1:18" ht="30" customHeight="1">
      <c r="A31" s="27">
        <v>24</v>
      </c>
      <c r="B31" s="41" t="s">
        <v>621</v>
      </c>
      <c r="C31" s="27" t="s">
        <v>41</v>
      </c>
      <c r="D31" s="27" t="s">
        <v>664</v>
      </c>
      <c r="E31" s="27" t="s">
        <v>668</v>
      </c>
      <c r="F31" s="46" t="s">
        <v>644</v>
      </c>
      <c r="G31" s="66" t="s">
        <v>666</v>
      </c>
      <c r="H31" s="27" t="s">
        <v>669</v>
      </c>
      <c r="I31" s="46"/>
      <c r="J31" s="27"/>
      <c r="K31" s="27"/>
      <c r="L31" s="27"/>
      <c r="M31" s="28"/>
    </row>
    <row r="32" spans="1:18" ht="30" customHeight="1">
      <c r="A32" s="27">
        <v>25</v>
      </c>
      <c r="B32" s="27" t="s">
        <v>621</v>
      </c>
      <c r="C32" s="27" t="s">
        <v>42</v>
      </c>
      <c r="D32" s="27" t="s">
        <v>664</v>
      </c>
      <c r="E32" s="27" t="s">
        <v>668</v>
      </c>
      <c r="F32" s="46" t="s">
        <v>644</v>
      </c>
      <c r="G32" s="66" t="s">
        <v>666</v>
      </c>
      <c r="H32" s="27" t="s">
        <v>669</v>
      </c>
      <c r="I32" s="46"/>
      <c r="J32" s="27"/>
      <c r="K32" s="27"/>
      <c r="L32" s="27"/>
      <c r="M32" s="27"/>
    </row>
    <row r="33" spans="1:13" ht="30" customHeight="1">
      <c r="A33" s="27">
        <v>26</v>
      </c>
      <c r="B33" s="41" t="s">
        <v>621</v>
      </c>
      <c r="C33" s="27" t="s">
        <v>388</v>
      </c>
      <c r="D33" s="27" t="s">
        <v>664</v>
      </c>
      <c r="E33" s="27" t="s">
        <v>668</v>
      </c>
      <c r="F33" s="46" t="s">
        <v>644</v>
      </c>
      <c r="G33" s="66" t="s">
        <v>666</v>
      </c>
      <c r="H33" s="27" t="s">
        <v>669</v>
      </c>
      <c r="I33" s="46"/>
      <c r="J33" s="27"/>
      <c r="K33" s="27"/>
      <c r="L33" s="27"/>
      <c r="M33" s="27"/>
    </row>
    <row r="34" spans="1:13" ht="30" customHeight="1">
      <c r="A34" s="27">
        <v>27</v>
      </c>
      <c r="B34" s="41" t="s">
        <v>621</v>
      </c>
      <c r="C34" s="27" t="s">
        <v>671</v>
      </c>
      <c r="D34" s="27" t="s">
        <v>664</v>
      </c>
      <c r="E34" s="27" t="s">
        <v>668</v>
      </c>
      <c r="F34" s="46" t="s">
        <v>644</v>
      </c>
      <c r="G34" s="66" t="s">
        <v>666</v>
      </c>
      <c r="H34" s="27" t="s">
        <v>669</v>
      </c>
      <c r="I34" s="46"/>
      <c r="J34" s="27"/>
      <c r="K34" s="27"/>
      <c r="L34" s="27"/>
      <c r="M34" s="27"/>
    </row>
    <row r="35" spans="1:13" ht="30" customHeight="1">
      <c r="A35" s="27">
        <v>28</v>
      </c>
      <c r="B35" s="41" t="s">
        <v>621</v>
      </c>
      <c r="C35" s="27" t="s">
        <v>43</v>
      </c>
      <c r="D35" s="27" t="s">
        <v>664</v>
      </c>
      <c r="E35" s="27" t="s">
        <v>668</v>
      </c>
      <c r="F35" s="46" t="s">
        <v>644</v>
      </c>
      <c r="G35" s="66" t="s">
        <v>666</v>
      </c>
      <c r="H35" s="27" t="s">
        <v>669</v>
      </c>
      <c r="I35" s="46"/>
      <c r="J35" s="27"/>
      <c r="K35" s="27"/>
      <c r="L35" s="27"/>
      <c r="M35" s="27"/>
    </row>
    <row r="36" spans="1:13" ht="30" customHeight="1">
      <c r="A36" s="27">
        <v>29</v>
      </c>
      <c r="B36" s="27" t="s">
        <v>655</v>
      </c>
      <c r="C36" s="27" t="s">
        <v>672</v>
      </c>
      <c r="D36" s="27" t="s">
        <v>673</v>
      </c>
      <c r="E36" s="27"/>
      <c r="F36" s="46"/>
      <c r="G36" s="46"/>
      <c r="H36" s="27"/>
      <c r="I36" s="45"/>
      <c r="J36" s="28"/>
      <c r="K36" s="27"/>
      <c r="L36" s="27"/>
      <c r="M36" s="28"/>
    </row>
    <row r="37" spans="1:13" ht="30" customHeight="1">
      <c r="A37" s="27">
        <v>30</v>
      </c>
      <c r="B37" s="28"/>
      <c r="C37" s="27"/>
      <c r="D37" s="27"/>
      <c r="E37" s="27"/>
      <c r="F37" s="46"/>
      <c r="G37" s="46"/>
      <c r="H37" s="27"/>
      <c r="I37" s="45"/>
      <c r="J37" s="28"/>
      <c r="K37" s="27"/>
      <c r="L37" s="27"/>
      <c r="M37" s="28"/>
    </row>
    <row r="38" spans="1:13" ht="30" customHeight="1">
      <c r="A38" s="27">
        <v>31</v>
      </c>
      <c r="B38" s="28"/>
      <c r="C38" s="27"/>
      <c r="D38" s="27"/>
      <c r="E38" s="27"/>
      <c r="F38" s="46"/>
      <c r="G38" s="46"/>
      <c r="H38" s="27"/>
      <c r="I38" s="45"/>
      <c r="J38" s="28"/>
      <c r="K38" s="27"/>
      <c r="L38" s="27"/>
      <c r="M38" s="28"/>
    </row>
    <row r="39" spans="1:13" ht="30" customHeight="1">
      <c r="A39" s="27">
        <v>32</v>
      </c>
      <c r="B39" s="28"/>
      <c r="C39" s="27"/>
      <c r="D39" s="27"/>
      <c r="E39" s="27"/>
      <c r="F39" s="46"/>
      <c r="G39" s="46"/>
      <c r="H39" s="27"/>
      <c r="I39" s="45"/>
      <c r="J39" s="28"/>
      <c r="K39" s="27"/>
      <c r="L39" s="27"/>
      <c r="M39" s="28"/>
    </row>
    <row r="40" spans="1:13" ht="30" customHeight="1">
      <c r="A40" s="27">
        <v>33</v>
      </c>
      <c r="B40" s="28"/>
      <c r="C40" s="27"/>
      <c r="D40" s="27"/>
      <c r="E40" s="27"/>
      <c r="F40" s="46"/>
      <c r="G40" s="46"/>
      <c r="H40" s="27"/>
      <c r="I40" s="45"/>
      <c r="J40" s="28"/>
      <c r="K40" s="27"/>
      <c r="L40" s="27"/>
      <c r="M40" s="28"/>
    </row>
    <row r="41" spans="1:13" ht="30" customHeight="1">
      <c r="A41" s="27">
        <v>34</v>
      </c>
      <c r="B41" s="28"/>
      <c r="C41" s="27"/>
      <c r="D41" s="27"/>
      <c r="E41" s="27"/>
      <c r="F41" s="46"/>
      <c r="G41" s="46"/>
      <c r="H41" s="27"/>
      <c r="I41" s="45"/>
      <c r="J41" s="28"/>
      <c r="K41" s="27"/>
      <c r="L41" s="27"/>
      <c r="M41" s="28"/>
    </row>
    <row r="42" spans="1:13" ht="30" customHeight="1">
      <c r="A42" s="27">
        <v>35</v>
      </c>
      <c r="B42" s="27"/>
      <c r="C42" s="27"/>
      <c r="D42" s="27"/>
      <c r="E42" s="27"/>
      <c r="F42" s="46"/>
      <c r="G42" s="46"/>
      <c r="H42" s="27"/>
      <c r="I42" s="45"/>
      <c r="J42" s="28"/>
      <c r="K42" s="27"/>
      <c r="L42" s="27"/>
      <c r="M42" s="28"/>
    </row>
    <row r="43" spans="1:13" ht="30" customHeight="1">
      <c r="A43" s="27">
        <v>36</v>
      </c>
      <c r="B43" s="27"/>
      <c r="C43" s="27"/>
      <c r="D43" s="27"/>
      <c r="E43" s="27"/>
      <c r="F43" s="46"/>
      <c r="G43" s="46"/>
      <c r="H43" s="27"/>
      <c r="I43" s="45"/>
      <c r="J43" s="28"/>
      <c r="K43" s="27"/>
      <c r="L43" s="27"/>
      <c r="M43" s="28"/>
    </row>
    <row r="44" spans="1:13" ht="30" customHeight="1">
      <c r="A44" s="27">
        <v>37</v>
      </c>
      <c r="B44" s="27"/>
      <c r="C44" s="27"/>
      <c r="D44" s="27"/>
      <c r="E44" s="27"/>
      <c r="F44" s="46"/>
      <c r="G44" s="46"/>
      <c r="H44" s="27"/>
      <c r="I44" s="45"/>
      <c r="J44" s="28"/>
      <c r="K44" s="27"/>
      <c r="L44" s="27"/>
      <c r="M44" s="28"/>
    </row>
    <row r="45" spans="1:13" ht="30" customHeight="1">
      <c r="A45" s="27">
        <v>38</v>
      </c>
      <c r="B45" s="27"/>
      <c r="C45" s="27"/>
      <c r="D45" s="27"/>
      <c r="E45" s="27"/>
      <c r="F45" s="46"/>
      <c r="G45" s="46"/>
      <c r="H45" s="27"/>
      <c r="I45" s="45"/>
      <c r="J45" s="28"/>
      <c r="K45" s="27"/>
      <c r="L45" s="27"/>
      <c r="M45" s="28"/>
    </row>
    <row r="46" spans="1:13" ht="30" customHeight="1">
      <c r="A46" s="27">
        <v>39</v>
      </c>
      <c r="B46" s="27"/>
      <c r="C46" s="27"/>
      <c r="D46" s="27"/>
      <c r="E46" s="27"/>
      <c r="F46" s="46"/>
      <c r="G46" s="46"/>
      <c r="H46" s="27"/>
      <c r="I46" s="45"/>
      <c r="J46" s="28"/>
      <c r="K46" s="27"/>
      <c r="L46" s="27"/>
      <c r="M46" s="28"/>
    </row>
    <row r="47" spans="1:13" ht="30" customHeight="1">
      <c r="A47" s="27">
        <v>40</v>
      </c>
      <c r="B47" s="27"/>
      <c r="C47" s="27"/>
      <c r="D47" s="27"/>
      <c r="E47" s="27"/>
      <c r="F47" s="46"/>
      <c r="G47" s="46"/>
      <c r="H47" s="27"/>
      <c r="I47" s="45"/>
      <c r="J47" s="28"/>
      <c r="K47" s="27"/>
      <c r="L47" s="27"/>
      <c r="M47" s="28"/>
    </row>
    <row r="48" spans="1:13" ht="30" customHeight="1">
      <c r="A48" s="27">
        <v>41</v>
      </c>
      <c r="B48" s="27"/>
      <c r="C48" s="27"/>
      <c r="D48" s="27"/>
      <c r="E48" s="27"/>
      <c r="F48" s="46"/>
      <c r="G48" s="46"/>
      <c r="H48" s="27"/>
      <c r="I48" s="45"/>
      <c r="J48" s="28"/>
      <c r="K48" s="27"/>
      <c r="L48" s="27"/>
      <c r="M48" s="28"/>
    </row>
    <row r="49" spans="1:13" ht="30" customHeight="1">
      <c r="A49" s="27">
        <v>42</v>
      </c>
      <c r="B49" s="27"/>
      <c r="C49" s="27"/>
      <c r="D49" s="27"/>
      <c r="E49" s="27"/>
      <c r="F49" s="46"/>
      <c r="G49" s="46"/>
      <c r="H49" s="27"/>
      <c r="I49" s="46"/>
      <c r="J49" s="27"/>
      <c r="K49" s="27"/>
      <c r="L49" s="27"/>
      <c r="M49" s="27"/>
    </row>
    <row r="50" spans="1:13" ht="30" customHeight="1">
      <c r="A50" s="27">
        <v>43</v>
      </c>
      <c r="B50" s="28"/>
      <c r="C50" s="27"/>
      <c r="D50" s="27"/>
      <c r="E50" s="27"/>
      <c r="F50" s="46"/>
      <c r="G50" s="46"/>
      <c r="H50" s="27"/>
      <c r="I50" s="46"/>
      <c r="J50" s="27"/>
      <c r="K50" s="27"/>
      <c r="L50" s="27"/>
      <c r="M50" s="27"/>
    </row>
    <row r="51" spans="1:13" ht="30" customHeight="1">
      <c r="A51" s="27">
        <v>44</v>
      </c>
      <c r="B51" s="28"/>
      <c r="C51" s="27"/>
      <c r="D51" s="27"/>
      <c r="E51" s="27"/>
      <c r="F51" s="46"/>
      <c r="G51" s="46"/>
      <c r="H51" s="27"/>
      <c r="I51" s="46"/>
      <c r="J51" s="27"/>
      <c r="K51" s="27"/>
      <c r="L51" s="27"/>
      <c r="M51" s="27"/>
    </row>
    <row r="52" spans="1:13" ht="30" customHeight="1">
      <c r="A52" s="27">
        <v>45</v>
      </c>
      <c r="B52" s="28"/>
      <c r="C52" s="27"/>
      <c r="D52" s="27"/>
      <c r="E52" s="27"/>
      <c r="F52" s="46"/>
      <c r="G52" s="46"/>
      <c r="H52" s="27"/>
      <c r="I52" s="46"/>
      <c r="J52" s="27"/>
      <c r="K52" s="27"/>
      <c r="L52" s="27"/>
      <c r="M52" s="27"/>
    </row>
    <row r="53" spans="1:13" ht="30" customHeight="1">
      <c r="A53" s="27">
        <v>46</v>
      </c>
      <c r="B53" s="28"/>
      <c r="C53" s="27"/>
      <c r="D53" s="27"/>
      <c r="E53" s="27"/>
      <c r="F53" s="46"/>
      <c r="G53" s="46"/>
      <c r="H53" s="27"/>
      <c r="I53" s="46"/>
      <c r="J53" s="27"/>
      <c r="K53" s="27"/>
      <c r="L53" s="27"/>
      <c r="M53" s="27"/>
    </row>
    <row r="54" spans="1:13" ht="30" customHeight="1">
      <c r="A54" s="27">
        <v>47</v>
      </c>
      <c r="B54" s="27"/>
      <c r="C54" s="27"/>
      <c r="D54" s="27"/>
      <c r="E54" s="27"/>
      <c r="F54" s="46"/>
      <c r="G54" s="46"/>
      <c r="H54" s="27"/>
      <c r="I54" s="46"/>
      <c r="J54" s="27"/>
      <c r="K54" s="27"/>
      <c r="L54" s="27"/>
      <c r="M54" s="27"/>
    </row>
    <row r="55" spans="1:13" ht="30" customHeight="1">
      <c r="A55" s="27">
        <v>48</v>
      </c>
      <c r="B55" s="27"/>
      <c r="C55" s="27"/>
      <c r="D55" s="27"/>
      <c r="E55" s="27"/>
      <c r="F55" s="46"/>
      <c r="G55" s="46"/>
      <c r="H55" s="27"/>
      <c r="I55" s="46"/>
      <c r="J55" s="27"/>
      <c r="K55" s="27"/>
      <c r="L55" s="27"/>
      <c r="M55" s="27"/>
    </row>
    <row r="56" spans="1:13" ht="30" customHeight="1">
      <c r="A56" s="27">
        <v>49</v>
      </c>
      <c r="B56" s="27"/>
      <c r="C56" s="27"/>
      <c r="D56" s="27"/>
      <c r="E56" s="27"/>
      <c r="F56" s="46"/>
      <c r="G56" s="46"/>
      <c r="H56" s="27"/>
      <c r="I56" s="46"/>
      <c r="J56" s="27"/>
      <c r="K56" s="27"/>
      <c r="L56" s="27"/>
      <c r="M56" s="27"/>
    </row>
    <row r="57" spans="1:13" ht="30" customHeight="1">
      <c r="A57" s="27">
        <v>50</v>
      </c>
      <c r="B57" s="27"/>
      <c r="C57" s="27"/>
      <c r="D57" s="27"/>
      <c r="E57" s="27"/>
      <c r="F57" s="46"/>
      <c r="G57" s="46"/>
      <c r="H57" s="27"/>
      <c r="I57" s="46"/>
      <c r="J57" s="27"/>
      <c r="K57" s="27"/>
      <c r="L57" s="27"/>
      <c r="M57" s="27"/>
    </row>
    <row r="58" spans="1:13" ht="30" customHeight="1">
      <c r="A58" s="27">
        <v>51</v>
      </c>
      <c r="B58" s="27"/>
      <c r="C58" s="27"/>
      <c r="D58" s="27"/>
      <c r="E58" s="27"/>
      <c r="F58" s="46"/>
      <c r="G58" s="46"/>
      <c r="H58" s="27"/>
      <c r="I58" s="46"/>
      <c r="J58" s="27"/>
      <c r="K58" s="27"/>
      <c r="L58" s="27"/>
      <c r="M58" s="27"/>
    </row>
    <row r="59" spans="1:13" ht="30" customHeight="1">
      <c r="A59" s="27">
        <v>52</v>
      </c>
      <c r="B59" s="27"/>
      <c r="C59" s="27"/>
      <c r="D59" s="27"/>
      <c r="E59" s="27"/>
      <c r="F59" s="46"/>
      <c r="G59" s="46"/>
      <c r="H59" s="27"/>
      <c r="I59" s="46"/>
      <c r="J59" s="27"/>
      <c r="K59" s="27"/>
      <c r="L59" s="27"/>
      <c r="M59" s="27"/>
    </row>
    <row r="60" spans="1:13" ht="30" customHeight="1">
      <c r="A60" s="27">
        <v>53</v>
      </c>
      <c r="B60" s="27"/>
      <c r="C60" s="27"/>
      <c r="D60" s="27"/>
      <c r="E60" s="27"/>
      <c r="F60" s="46"/>
      <c r="G60" s="46"/>
      <c r="H60" s="27"/>
      <c r="I60" s="46"/>
      <c r="J60" s="27"/>
      <c r="K60" s="27"/>
      <c r="L60" s="27"/>
      <c r="M60" s="27"/>
    </row>
    <row r="61" spans="1:13" ht="30" customHeight="1">
      <c r="A61" s="27">
        <v>54</v>
      </c>
      <c r="B61" s="27"/>
      <c r="C61" s="27"/>
      <c r="D61" s="27"/>
      <c r="E61" s="27"/>
      <c r="F61" s="46"/>
      <c r="G61" s="46"/>
      <c r="H61" s="27"/>
      <c r="I61" s="46"/>
      <c r="J61" s="27"/>
      <c r="K61" s="27"/>
      <c r="L61" s="27"/>
      <c r="M61" s="27"/>
    </row>
    <row r="62" spans="1:13" ht="30" customHeight="1">
      <c r="A62" s="27">
        <v>55</v>
      </c>
      <c r="B62" s="27"/>
      <c r="C62" s="27"/>
      <c r="D62" s="27"/>
      <c r="E62" s="27"/>
      <c r="F62" s="46"/>
      <c r="G62" s="46"/>
      <c r="H62" s="27"/>
      <c r="I62" s="46"/>
      <c r="J62" s="27"/>
      <c r="K62" s="27"/>
      <c r="L62" s="27"/>
      <c r="M62" s="27"/>
    </row>
    <row r="63" spans="1:13" ht="30" customHeight="1">
      <c r="A63" s="27">
        <v>56</v>
      </c>
      <c r="B63" s="27"/>
      <c r="C63" s="27"/>
      <c r="D63" s="27"/>
      <c r="E63" s="27"/>
      <c r="F63" s="46"/>
      <c r="G63" s="46"/>
      <c r="H63" s="27"/>
      <c r="I63" s="46"/>
      <c r="J63" s="27"/>
      <c r="K63" s="27"/>
      <c r="L63" s="27"/>
      <c r="M63" s="27"/>
    </row>
    <row r="64" spans="1:13" ht="30" customHeight="1">
      <c r="A64" s="27">
        <v>57</v>
      </c>
      <c r="B64" s="27"/>
      <c r="C64" s="27"/>
      <c r="D64" s="27"/>
      <c r="E64" s="27"/>
      <c r="F64" s="46"/>
      <c r="G64" s="46"/>
      <c r="H64" s="27"/>
      <c r="I64" s="46"/>
      <c r="J64" s="27"/>
      <c r="K64" s="27"/>
      <c r="L64" s="27"/>
      <c r="M64" s="27"/>
    </row>
    <row r="65" spans="1:13" ht="30" customHeight="1">
      <c r="A65" s="27">
        <v>58</v>
      </c>
      <c r="B65" s="27"/>
      <c r="C65" s="27"/>
      <c r="D65" s="27"/>
      <c r="E65" s="27"/>
      <c r="F65" s="46"/>
      <c r="G65" s="46"/>
      <c r="H65" s="27"/>
      <c r="I65" s="46"/>
      <c r="J65" s="27"/>
      <c r="K65" s="27"/>
      <c r="L65" s="27"/>
      <c r="M65" s="27"/>
    </row>
    <row r="66" spans="1:13" ht="30" customHeight="1">
      <c r="A66" s="27">
        <v>59</v>
      </c>
      <c r="B66" s="27"/>
      <c r="C66" s="27"/>
      <c r="D66" s="27"/>
      <c r="E66" s="27"/>
      <c r="F66" s="46"/>
      <c r="G66" s="46"/>
      <c r="H66" s="27"/>
      <c r="I66" s="46"/>
      <c r="J66" s="27"/>
      <c r="K66" s="27"/>
      <c r="L66" s="27"/>
      <c r="M66" s="27"/>
    </row>
    <row r="67" spans="1:13" ht="30" customHeight="1">
      <c r="A67" s="27">
        <v>60</v>
      </c>
      <c r="B67" s="27"/>
      <c r="C67" s="27"/>
      <c r="D67" s="27"/>
      <c r="E67" s="27"/>
      <c r="F67" s="46"/>
      <c r="G67" s="46"/>
      <c r="H67" s="27"/>
      <c r="I67" s="46"/>
      <c r="J67" s="27"/>
      <c r="K67" s="27"/>
      <c r="L67" s="27"/>
      <c r="M67" s="27"/>
    </row>
    <row r="68" spans="1:13" ht="30" customHeight="1">
      <c r="A68" s="27">
        <v>61</v>
      </c>
      <c r="B68" s="27"/>
      <c r="C68" s="27"/>
      <c r="D68" s="27"/>
      <c r="E68" s="27"/>
      <c r="F68" s="46"/>
      <c r="G68" s="46"/>
      <c r="H68" s="27"/>
      <c r="I68" s="46"/>
      <c r="J68" s="27"/>
      <c r="K68" s="27"/>
      <c r="L68" s="27"/>
      <c r="M68" s="27"/>
    </row>
    <row r="69" spans="1:13" ht="30" customHeight="1">
      <c r="A69" s="27">
        <v>62</v>
      </c>
      <c r="B69" s="27"/>
      <c r="C69" s="27"/>
      <c r="D69" s="27"/>
      <c r="E69" s="27"/>
      <c r="F69" s="46"/>
      <c r="G69" s="46"/>
      <c r="H69" s="27"/>
      <c r="I69" s="46"/>
      <c r="J69" s="27"/>
      <c r="K69" s="27"/>
      <c r="L69" s="27"/>
      <c r="M69" s="27"/>
    </row>
    <row r="70" spans="1:13" ht="30" customHeight="1">
      <c r="A70" s="27">
        <v>63</v>
      </c>
      <c r="B70" s="27"/>
      <c r="C70" s="27"/>
      <c r="D70" s="27"/>
      <c r="E70" s="27"/>
      <c r="F70" s="46"/>
      <c r="G70" s="46"/>
      <c r="H70" s="27"/>
      <c r="I70" s="46"/>
      <c r="J70" s="27"/>
      <c r="K70" s="27"/>
      <c r="L70" s="27"/>
      <c r="M70" s="27"/>
    </row>
    <row r="71" spans="1:13" ht="30" customHeight="1">
      <c r="A71" s="27">
        <v>64</v>
      </c>
      <c r="B71" s="28"/>
      <c r="C71" s="27"/>
      <c r="D71" s="27"/>
      <c r="E71" s="27"/>
      <c r="F71" s="46"/>
      <c r="G71" s="46"/>
      <c r="H71" s="27"/>
      <c r="I71" s="45"/>
      <c r="J71" s="28"/>
      <c r="K71" s="27"/>
      <c r="L71" s="27"/>
      <c r="M71" s="28"/>
    </row>
    <row r="72" spans="1:13" ht="30" customHeight="1">
      <c r="A72" s="27">
        <v>65</v>
      </c>
      <c r="B72" s="28"/>
      <c r="C72" s="27"/>
      <c r="D72" s="27"/>
      <c r="E72" s="27"/>
      <c r="F72" s="46"/>
      <c r="G72" s="46"/>
      <c r="H72" s="27"/>
      <c r="I72" s="45"/>
      <c r="J72" s="28"/>
      <c r="K72" s="27"/>
      <c r="L72" s="27"/>
      <c r="M72" s="28"/>
    </row>
    <row r="73" spans="1:13" ht="30" customHeight="1">
      <c r="A73" s="27">
        <v>66</v>
      </c>
      <c r="B73" s="28"/>
      <c r="C73" s="27"/>
      <c r="D73" s="27"/>
      <c r="E73" s="27"/>
      <c r="F73" s="46"/>
      <c r="G73" s="46"/>
      <c r="H73" s="27"/>
      <c r="I73" s="45"/>
      <c r="J73" s="28"/>
      <c r="K73" s="27"/>
      <c r="L73" s="27"/>
      <c r="M73" s="28"/>
    </row>
    <row r="74" spans="1:13" ht="30" customHeight="1">
      <c r="A74" s="27">
        <v>67</v>
      </c>
      <c r="B74" s="28"/>
      <c r="C74" s="27"/>
      <c r="D74" s="27"/>
      <c r="E74" s="27"/>
      <c r="F74" s="46"/>
      <c r="G74" s="46"/>
      <c r="H74" s="27"/>
      <c r="I74" s="45"/>
      <c r="J74" s="28"/>
      <c r="K74" s="27"/>
      <c r="L74" s="27"/>
      <c r="M74" s="28"/>
    </row>
    <row r="75" spans="1:13" ht="30" customHeight="1">
      <c r="A75" s="27">
        <v>68</v>
      </c>
      <c r="B75" s="28"/>
      <c r="C75" s="27"/>
      <c r="D75" s="27"/>
      <c r="E75" s="27"/>
      <c r="F75" s="46"/>
      <c r="G75" s="46"/>
      <c r="H75" s="27"/>
      <c r="I75" s="45"/>
      <c r="J75" s="28"/>
      <c r="K75" s="27"/>
      <c r="L75" s="27"/>
      <c r="M75" s="28"/>
    </row>
    <row r="76" spans="1:13" ht="30" customHeight="1">
      <c r="A76" s="27">
        <v>69</v>
      </c>
      <c r="B76" s="28"/>
      <c r="C76" s="27"/>
      <c r="D76" s="27"/>
      <c r="E76" s="27"/>
      <c r="F76" s="46"/>
      <c r="G76" s="46"/>
      <c r="H76" s="27"/>
      <c r="I76" s="45"/>
      <c r="J76" s="28"/>
      <c r="K76" s="27"/>
      <c r="L76" s="27"/>
      <c r="M76" s="28"/>
    </row>
    <row r="77" spans="1:13" ht="30" customHeight="1">
      <c r="A77" s="27">
        <v>70</v>
      </c>
      <c r="B77" s="28"/>
      <c r="C77" s="27"/>
      <c r="D77" s="27"/>
      <c r="E77" s="27"/>
      <c r="F77" s="46"/>
      <c r="G77" s="46"/>
      <c r="H77" s="27"/>
      <c r="I77" s="45"/>
      <c r="J77" s="28"/>
      <c r="K77" s="27"/>
      <c r="L77" s="27"/>
      <c r="M77" s="28"/>
    </row>
    <row r="78" spans="1:13" ht="30" customHeight="1">
      <c r="A78" s="27">
        <v>71</v>
      </c>
      <c r="B78" s="28"/>
      <c r="C78" s="27"/>
      <c r="D78" s="27"/>
      <c r="E78" s="27"/>
      <c r="F78" s="46"/>
      <c r="G78" s="46"/>
      <c r="H78" s="27"/>
      <c r="I78" s="45"/>
      <c r="J78" s="28"/>
      <c r="K78" s="27"/>
      <c r="L78" s="27"/>
      <c r="M78" s="28"/>
    </row>
    <row r="79" spans="1:13" ht="30" customHeight="1">
      <c r="A79" s="27">
        <v>72</v>
      </c>
      <c r="B79" s="28"/>
      <c r="C79" s="27"/>
      <c r="D79" s="27"/>
      <c r="E79" s="27"/>
      <c r="F79" s="46"/>
      <c r="G79" s="46"/>
      <c r="H79" s="27"/>
      <c r="I79" s="45"/>
      <c r="J79" s="28"/>
      <c r="K79" s="27"/>
      <c r="L79" s="27"/>
      <c r="M79" s="28"/>
    </row>
    <row r="80" spans="1:13" ht="30" customHeight="1">
      <c r="A80" s="27">
        <v>73</v>
      </c>
      <c r="B80" s="28"/>
      <c r="C80" s="27"/>
      <c r="D80" s="27"/>
      <c r="E80" s="27"/>
      <c r="F80" s="46"/>
      <c r="G80" s="46"/>
      <c r="H80" s="27"/>
      <c r="I80" s="45"/>
      <c r="J80" s="28"/>
      <c r="K80" s="27"/>
      <c r="L80" s="27"/>
      <c r="M80" s="28"/>
    </row>
    <row r="81" spans="1:13" ht="30" customHeight="1">
      <c r="A81" s="27">
        <v>74</v>
      </c>
      <c r="B81" s="28"/>
      <c r="C81" s="27"/>
      <c r="D81" s="27"/>
      <c r="E81" s="27"/>
      <c r="F81" s="46"/>
      <c r="G81" s="46"/>
      <c r="H81" s="27"/>
      <c r="I81" s="45"/>
      <c r="J81" s="28"/>
      <c r="K81" s="27"/>
      <c r="L81" s="27"/>
      <c r="M81" s="28"/>
    </row>
    <row r="82" spans="1:13" ht="30" customHeight="1">
      <c r="A82" s="27">
        <v>75</v>
      </c>
      <c r="B82" s="28"/>
      <c r="C82" s="27"/>
      <c r="D82" s="27"/>
      <c r="E82" s="27"/>
      <c r="F82" s="46"/>
      <c r="G82" s="46"/>
      <c r="H82" s="27"/>
      <c r="I82" s="45"/>
      <c r="J82" s="28"/>
      <c r="K82" s="27"/>
      <c r="L82" s="27"/>
      <c r="M82" s="28"/>
    </row>
    <row r="83" spans="1:13" ht="30" customHeight="1">
      <c r="A83" s="27">
        <v>76</v>
      </c>
      <c r="B83" s="28"/>
      <c r="C83" s="27"/>
      <c r="D83" s="27"/>
      <c r="E83" s="27"/>
      <c r="F83" s="46"/>
      <c r="G83" s="46"/>
      <c r="H83" s="27"/>
      <c r="I83" s="45"/>
      <c r="J83" s="28"/>
      <c r="K83" s="27"/>
      <c r="L83" s="27"/>
      <c r="M83" s="28"/>
    </row>
    <row r="84" spans="1:13" ht="30" customHeight="1">
      <c r="A84" s="27">
        <v>77</v>
      </c>
      <c r="B84" s="27"/>
      <c r="C84" s="27"/>
      <c r="D84" s="27"/>
      <c r="E84" s="27"/>
      <c r="F84" s="46"/>
      <c r="G84" s="46"/>
      <c r="H84" s="27"/>
      <c r="I84" s="46"/>
      <c r="J84" s="27"/>
      <c r="K84" s="27"/>
      <c r="L84" s="27"/>
      <c r="M84" s="27"/>
    </row>
    <row r="85" spans="1:13" ht="30" customHeight="1">
      <c r="A85" s="27">
        <v>78</v>
      </c>
      <c r="B85" s="27"/>
      <c r="C85" s="27"/>
      <c r="D85" s="27"/>
      <c r="E85" s="27"/>
      <c r="F85" s="46"/>
      <c r="G85" s="46"/>
      <c r="H85" s="27"/>
      <c r="I85" s="46"/>
      <c r="J85" s="27"/>
      <c r="K85" s="27"/>
      <c r="L85" s="27"/>
      <c r="M85" s="27"/>
    </row>
    <row r="86" spans="1:13" ht="30" customHeight="1">
      <c r="A86" s="27">
        <v>79</v>
      </c>
      <c r="B86" s="27"/>
      <c r="C86" s="27"/>
      <c r="D86" s="27"/>
      <c r="E86" s="27"/>
      <c r="F86" s="46"/>
      <c r="G86" s="46"/>
      <c r="H86" s="27"/>
      <c r="I86" s="46"/>
      <c r="J86" s="27"/>
      <c r="K86" s="27"/>
      <c r="L86" s="27"/>
      <c r="M86" s="27"/>
    </row>
    <row r="87" spans="1:13" ht="30" customHeight="1">
      <c r="A87" s="27">
        <v>80</v>
      </c>
      <c r="B87" s="27"/>
      <c r="C87" s="27"/>
      <c r="D87" s="27"/>
      <c r="E87" s="27"/>
      <c r="F87" s="46"/>
      <c r="G87" s="46"/>
      <c r="H87" s="27"/>
      <c r="I87" s="46"/>
      <c r="J87" s="27"/>
      <c r="K87" s="27"/>
      <c r="L87" s="27"/>
      <c r="M87" s="27"/>
    </row>
    <row r="88" spans="1:13" ht="30" customHeight="1">
      <c r="A88" s="27">
        <v>81</v>
      </c>
      <c r="B88" s="27"/>
      <c r="C88" s="27"/>
      <c r="D88" s="27"/>
      <c r="E88" s="27"/>
      <c r="F88" s="46"/>
      <c r="G88" s="46"/>
      <c r="H88" s="27"/>
      <c r="I88" s="46"/>
      <c r="J88" s="27"/>
      <c r="K88" s="27"/>
      <c r="L88" s="27"/>
      <c r="M88" s="27"/>
    </row>
    <row r="89" spans="1:13" ht="30" customHeight="1">
      <c r="A89" s="27">
        <v>82</v>
      </c>
      <c r="B89" s="27"/>
      <c r="C89" s="27"/>
      <c r="D89" s="27"/>
      <c r="E89" s="27"/>
      <c r="F89" s="46"/>
      <c r="G89" s="46"/>
      <c r="H89" s="27"/>
      <c r="I89" s="46"/>
      <c r="J89" s="27"/>
      <c r="K89" s="27"/>
      <c r="L89" s="27"/>
      <c r="M89" s="27"/>
    </row>
    <row r="90" spans="1:13" ht="30" customHeight="1">
      <c r="A90" s="27">
        <v>83</v>
      </c>
      <c r="B90" s="27"/>
      <c r="C90" s="27"/>
      <c r="D90" s="27"/>
      <c r="E90" s="27"/>
      <c r="F90" s="46"/>
      <c r="G90" s="46"/>
      <c r="H90" s="27"/>
      <c r="I90" s="46"/>
      <c r="J90" s="27"/>
      <c r="K90" s="27"/>
      <c r="L90" s="27"/>
      <c r="M90" s="27"/>
    </row>
    <row r="91" spans="1:13" ht="30" customHeight="1">
      <c r="A91" s="27">
        <v>84</v>
      </c>
      <c r="B91" s="27"/>
      <c r="C91" s="27"/>
      <c r="D91" s="27"/>
      <c r="E91" s="27"/>
      <c r="F91" s="46"/>
      <c r="G91" s="46"/>
      <c r="H91" s="27"/>
      <c r="I91" s="46"/>
      <c r="J91" s="27"/>
      <c r="K91" s="27"/>
      <c r="L91" s="27"/>
      <c r="M91" s="27"/>
    </row>
    <row r="92" spans="1:13" ht="30" customHeight="1">
      <c r="A92" s="27">
        <v>85</v>
      </c>
      <c r="B92" s="27"/>
      <c r="C92" s="27"/>
      <c r="D92" s="27"/>
      <c r="E92" s="27"/>
      <c r="F92" s="46"/>
      <c r="G92" s="46"/>
      <c r="H92" s="27"/>
      <c r="I92" s="46"/>
      <c r="J92" s="29"/>
      <c r="K92" s="27"/>
      <c r="L92" s="27"/>
      <c r="M92" s="27"/>
    </row>
    <row r="93" spans="1:13" ht="30" customHeight="1">
      <c r="A93" s="27">
        <v>86</v>
      </c>
      <c r="B93" s="27"/>
      <c r="C93" s="27"/>
      <c r="D93" s="27"/>
      <c r="E93" s="27"/>
      <c r="F93" s="46"/>
      <c r="G93" s="46"/>
      <c r="H93" s="27"/>
      <c r="I93" s="46"/>
      <c r="J93" s="29"/>
      <c r="K93" s="27"/>
      <c r="L93" s="27"/>
      <c r="M93" s="27"/>
    </row>
    <row r="94" spans="1:13" ht="30" customHeight="1">
      <c r="A94" s="41">
        <v>87</v>
      </c>
      <c r="B94" s="28"/>
      <c r="C94" s="28"/>
      <c r="D94" s="28"/>
      <c r="E94" s="28"/>
      <c r="F94" s="45"/>
      <c r="G94" s="45"/>
      <c r="H94" s="28"/>
      <c r="I94" s="45"/>
      <c r="J94" s="30"/>
      <c r="K94" s="28"/>
      <c r="L94" s="28"/>
      <c r="M94" s="28"/>
    </row>
    <row r="95" spans="1:13" ht="30" customHeight="1">
      <c r="A95" s="41">
        <v>88</v>
      </c>
      <c r="B95" s="28"/>
      <c r="C95" s="28"/>
      <c r="D95" s="28"/>
      <c r="E95" s="28"/>
      <c r="F95" s="45"/>
      <c r="G95" s="45"/>
      <c r="H95" s="28"/>
      <c r="I95" s="45"/>
      <c r="J95" s="30"/>
      <c r="K95" s="28"/>
      <c r="L95" s="28"/>
      <c r="M95" s="28"/>
    </row>
    <row r="96" spans="1:13" ht="30" customHeight="1">
      <c r="A96" s="41">
        <v>89</v>
      </c>
      <c r="B96" s="28"/>
      <c r="C96" s="28"/>
      <c r="D96" s="28"/>
      <c r="E96" s="28"/>
      <c r="F96" s="45"/>
      <c r="G96" s="45"/>
      <c r="H96" s="28"/>
      <c r="I96" s="45"/>
      <c r="J96" s="30"/>
      <c r="K96" s="28"/>
      <c r="L96" s="28"/>
      <c r="M96" s="28"/>
    </row>
    <row r="97" spans="1:13" ht="30" customHeight="1">
      <c r="A97" s="41">
        <v>90</v>
      </c>
      <c r="B97" s="28"/>
      <c r="C97" s="28"/>
      <c r="D97" s="28"/>
      <c r="E97" s="28"/>
      <c r="F97" s="45"/>
      <c r="G97" s="45"/>
      <c r="H97" s="28"/>
      <c r="I97" s="45"/>
      <c r="J97" s="30"/>
      <c r="K97" s="28"/>
      <c r="L97" s="28"/>
      <c r="M97" s="28"/>
    </row>
    <row r="98" spans="1:13" ht="30" customHeight="1">
      <c r="A98" s="41">
        <v>91</v>
      </c>
      <c r="B98" s="28"/>
      <c r="C98" s="28"/>
      <c r="D98" s="28"/>
      <c r="E98" s="28"/>
      <c r="F98" s="45"/>
      <c r="G98" s="45"/>
      <c r="H98" s="28"/>
      <c r="I98" s="45"/>
      <c r="J98" s="30"/>
      <c r="K98" s="28"/>
      <c r="L98" s="28"/>
      <c r="M98" s="28"/>
    </row>
    <row r="99" spans="1:13" ht="30" customHeight="1">
      <c r="A99" s="41">
        <v>92</v>
      </c>
      <c r="B99" s="28"/>
      <c r="C99" s="28"/>
      <c r="D99" s="28"/>
      <c r="E99" s="28"/>
      <c r="F99" s="45"/>
      <c r="G99" s="45"/>
      <c r="H99" s="28"/>
      <c r="I99" s="45"/>
      <c r="J99" s="30"/>
      <c r="K99" s="28"/>
      <c r="L99" s="28"/>
      <c r="M99" s="28"/>
    </row>
    <row r="100" spans="1:13" ht="30" customHeight="1">
      <c r="A100" s="41">
        <v>93</v>
      </c>
      <c r="B100" s="28"/>
      <c r="C100" s="28"/>
      <c r="D100" s="28"/>
      <c r="E100" s="28"/>
      <c r="F100" s="45"/>
      <c r="G100" s="45"/>
      <c r="H100" s="28"/>
      <c r="I100" s="45"/>
      <c r="J100" s="30"/>
      <c r="K100" s="28"/>
      <c r="L100" s="28"/>
      <c r="M100" s="28"/>
    </row>
    <row r="101" spans="1:13" ht="30" customHeight="1">
      <c r="A101" s="41">
        <v>94</v>
      </c>
      <c r="B101" s="28"/>
      <c r="C101" s="28"/>
      <c r="D101" s="28"/>
      <c r="E101" s="28"/>
      <c r="F101" s="45"/>
      <c r="G101" s="45"/>
      <c r="H101" s="28"/>
      <c r="I101" s="45"/>
      <c r="J101" s="30"/>
      <c r="K101" s="28"/>
      <c r="L101" s="28"/>
      <c r="M101" s="28"/>
    </row>
    <row r="102" spans="1:13" ht="30" customHeight="1">
      <c r="A102" s="41">
        <v>95</v>
      </c>
      <c r="B102" s="28"/>
      <c r="C102" s="28"/>
      <c r="D102" s="28"/>
      <c r="E102" s="28"/>
      <c r="F102" s="45"/>
      <c r="G102" s="45"/>
      <c r="H102" s="28"/>
      <c r="I102" s="45"/>
      <c r="J102" s="30"/>
      <c r="K102" s="28"/>
      <c r="L102" s="28"/>
      <c r="M102" s="28"/>
    </row>
    <row r="103" spans="1:13" ht="30" customHeight="1">
      <c r="A103" s="41">
        <v>96</v>
      </c>
      <c r="B103" s="28"/>
      <c r="C103" s="28"/>
      <c r="D103" s="28"/>
      <c r="E103" s="28"/>
      <c r="F103" s="45"/>
      <c r="G103" s="45"/>
      <c r="H103" s="28"/>
      <c r="I103" s="45"/>
      <c r="J103" s="30"/>
      <c r="K103" s="28"/>
      <c r="L103" s="28"/>
      <c r="M103" s="28"/>
    </row>
    <row r="104" spans="1:13" ht="30" customHeight="1">
      <c r="A104" s="41">
        <v>97</v>
      </c>
      <c r="B104" s="28"/>
      <c r="C104" s="28"/>
      <c r="D104" s="28"/>
      <c r="E104" s="28"/>
      <c r="F104" s="45"/>
      <c r="G104" s="45"/>
      <c r="H104" s="28"/>
      <c r="I104" s="45"/>
      <c r="J104" s="30"/>
      <c r="K104" s="28"/>
      <c r="L104" s="28"/>
      <c r="M104" s="28"/>
    </row>
    <row r="105" spans="1:13" ht="30" customHeight="1">
      <c r="A105" s="41">
        <v>98</v>
      </c>
      <c r="B105" s="28"/>
      <c r="C105" s="28"/>
      <c r="D105" s="28"/>
      <c r="E105" s="28"/>
      <c r="F105" s="45"/>
      <c r="G105" s="45"/>
      <c r="H105" s="28"/>
      <c r="I105" s="45"/>
      <c r="J105" s="30"/>
      <c r="K105" s="28"/>
      <c r="L105" s="28"/>
      <c r="M105" s="28"/>
    </row>
    <row r="106" spans="1:13" ht="30" customHeight="1">
      <c r="A106" s="41">
        <v>99</v>
      </c>
      <c r="B106" s="28"/>
      <c r="C106" s="28"/>
      <c r="D106" s="28"/>
      <c r="E106" s="28"/>
      <c r="F106" s="45"/>
      <c r="G106" s="45"/>
      <c r="H106" s="28"/>
      <c r="I106" s="45"/>
      <c r="J106" s="30"/>
      <c r="K106" s="28"/>
      <c r="L106" s="28"/>
      <c r="M106" s="28"/>
    </row>
    <row r="107" spans="1:13" ht="30" customHeight="1">
      <c r="A107" s="41">
        <v>100</v>
      </c>
      <c r="B107" s="28"/>
      <c r="C107" s="28"/>
      <c r="D107" s="28"/>
      <c r="E107" s="28"/>
      <c r="F107" s="45"/>
      <c r="G107" s="45"/>
      <c r="H107" s="28"/>
      <c r="I107" s="45"/>
      <c r="J107" s="30"/>
      <c r="K107" s="28"/>
      <c r="L107" s="28"/>
      <c r="M107" s="28"/>
    </row>
    <row r="108" spans="1:13" ht="30" customHeight="1">
      <c r="A108" s="41">
        <v>101</v>
      </c>
      <c r="B108" s="28"/>
      <c r="C108" s="28"/>
      <c r="D108" s="28"/>
      <c r="E108" s="28"/>
      <c r="F108" s="45"/>
      <c r="G108" s="45"/>
      <c r="H108" s="28"/>
      <c r="I108" s="45"/>
      <c r="J108" s="30"/>
      <c r="K108" s="28"/>
      <c r="L108" s="28"/>
      <c r="M108" s="28"/>
    </row>
    <row r="109" spans="1:13" ht="30" customHeight="1">
      <c r="A109" s="41">
        <v>102</v>
      </c>
      <c r="B109" s="28"/>
      <c r="C109" s="28"/>
      <c r="D109" s="28"/>
      <c r="E109" s="28"/>
      <c r="F109" s="45"/>
      <c r="G109" s="45"/>
      <c r="H109" s="28"/>
      <c r="I109" s="45"/>
      <c r="J109" s="30"/>
      <c r="K109" s="28"/>
      <c r="L109" s="28"/>
      <c r="M109" s="28"/>
    </row>
    <row r="110" spans="1:13" ht="30" customHeight="1">
      <c r="A110" s="41">
        <v>103</v>
      </c>
      <c r="B110" s="28"/>
      <c r="C110" s="28"/>
      <c r="D110" s="28"/>
      <c r="E110" s="28"/>
      <c r="F110" s="45"/>
      <c r="G110" s="45"/>
      <c r="H110" s="28"/>
      <c r="I110" s="45"/>
      <c r="J110" s="30"/>
      <c r="K110" s="28"/>
      <c r="L110" s="28"/>
      <c r="M110" s="28"/>
    </row>
    <row r="111" spans="1:13" ht="30" customHeight="1">
      <c r="A111" s="41">
        <v>104</v>
      </c>
      <c r="B111" s="28"/>
      <c r="C111" s="28"/>
      <c r="D111" s="28"/>
      <c r="E111" s="28"/>
      <c r="F111" s="45"/>
      <c r="G111" s="45"/>
      <c r="H111" s="28"/>
      <c r="I111" s="45"/>
      <c r="J111" s="30"/>
      <c r="K111" s="28"/>
      <c r="L111" s="28"/>
      <c r="M111" s="28"/>
    </row>
    <row r="112" spans="1:13" ht="30" customHeight="1">
      <c r="A112" s="41">
        <v>105</v>
      </c>
      <c r="B112" s="28"/>
      <c r="C112" s="28"/>
      <c r="D112" s="28"/>
      <c r="E112" s="28"/>
      <c r="F112" s="45"/>
      <c r="G112" s="45"/>
      <c r="H112" s="28"/>
      <c r="I112" s="45"/>
      <c r="J112" s="30"/>
      <c r="K112" s="28"/>
      <c r="L112" s="28"/>
      <c r="M112" s="28"/>
    </row>
    <row r="113" spans="1:13" ht="30" customHeight="1">
      <c r="A113" s="41">
        <v>106</v>
      </c>
      <c r="B113" s="28"/>
      <c r="C113" s="28"/>
      <c r="D113" s="28"/>
      <c r="E113" s="28"/>
      <c r="F113" s="45"/>
      <c r="G113" s="45"/>
      <c r="H113" s="28"/>
      <c r="I113" s="45"/>
      <c r="J113" s="30"/>
      <c r="K113" s="28"/>
      <c r="L113" s="28"/>
      <c r="M113" s="28"/>
    </row>
    <row r="114" spans="1:13" ht="30" customHeight="1">
      <c r="A114" s="41">
        <v>107</v>
      </c>
      <c r="B114" s="28"/>
      <c r="C114" s="28"/>
      <c r="D114" s="28"/>
      <c r="E114" s="28"/>
      <c r="F114" s="45"/>
      <c r="G114" s="45"/>
      <c r="H114" s="28"/>
      <c r="I114" s="45"/>
      <c r="J114" s="30"/>
      <c r="K114" s="28"/>
      <c r="L114" s="28"/>
      <c r="M114" s="28"/>
    </row>
    <row r="115" spans="1:13" ht="30" customHeight="1">
      <c r="A115" s="41">
        <v>108</v>
      </c>
      <c r="B115" s="28"/>
      <c r="C115" s="28"/>
      <c r="D115" s="28"/>
      <c r="E115" s="28"/>
      <c r="F115" s="45"/>
      <c r="G115" s="45"/>
      <c r="H115" s="28"/>
      <c r="I115" s="45"/>
      <c r="J115" s="30"/>
      <c r="K115" s="28"/>
      <c r="L115" s="28"/>
      <c r="M115" s="28"/>
    </row>
    <row r="116" spans="1:13" ht="30" customHeight="1">
      <c r="A116" s="41">
        <v>109</v>
      </c>
      <c r="B116" s="28"/>
      <c r="C116" s="28"/>
      <c r="D116" s="28"/>
      <c r="E116" s="28"/>
      <c r="F116" s="45"/>
      <c r="G116" s="45"/>
      <c r="H116" s="28"/>
      <c r="I116" s="45"/>
      <c r="J116" s="30"/>
      <c r="K116" s="28"/>
      <c r="L116" s="28"/>
      <c r="M116" s="28"/>
    </row>
    <row r="117" spans="1:13" ht="30" customHeight="1">
      <c r="A117" s="41">
        <v>110</v>
      </c>
      <c r="B117" s="28"/>
      <c r="C117" s="28"/>
      <c r="D117" s="28"/>
      <c r="E117" s="28"/>
      <c r="F117" s="45"/>
      <c r="G117" s="45"/>
      <c r="H117" s="28"/>
      <c r="I117" s="45"/>
      <c r="J117" s="30"/>
      <c r="K117" s="28"/>
      <c r="L117" s="28"/>
      <c r="M117" s="28"/>
    </row>
    <row r="118" spans="1:13" ht="30" customHeight="1">
      <c r="A118" s="41">
        <v>111</v>
      </c>
      <c r="B118" s="28"/>
      <c r="C118" s="28"/>
      <c r="D118" s="28"/>
      <c r="E118" s="28"/>
      <c r="F118" s="45"/>
      <c r="G118" s="45"/>
      <c r="H118" s="28"/>
      <c r="I118" s="45"/>
      <c r="J118" s="28"/>
      <c r="K118" s="28"/>
      <c r="L118" s="28"/>
      <c r="M118" s="28"/>
    </row>
    <row r="119" spans="1:13" ht="30" customHeight="1">
      <c r="A119" s="41">
        <v>112</v>
      </c>
      <c r="B119" s="28"/>
      <c r="C119" s="28"/>
      <c r="D119" s="28"/>
      <c r="E119" s="28"/>
      <c r="F119" s="45"/>
      <c r="G119" s="45"/>
      <c r="H119" s="28"/>
      <c r="I119" s="45"/>
      <c r="J119" s="28"/>
      <c r="K119" s="28"/>
      <c r="L119" s="28"/>
      <c r="M119" s="28"/>
    </row>
    <row r="120" spans="1:13" ht="30" customHeight="1">
      <c r="A120" s="41">
        <v>113</v>
      </c>
      <c r="B120" s="28"/>
      <c r="C120" s="28"/>
      <c r="D120" s="28"/>
      <c r="E120" s="28"/>
      <c r="F120" s="45"/>
      <c r="G120" s="45"/>
      <c r="H120" s="28"/>
      <c r="I120" s="45"/>
      <c r="J120" s="28"/>
      <c r="K120" s="28"/>
      <c r="L120" s="28"/>
      <c r="M120" s="28"/>
    </row>
    <row r="121" spans="1:13" ht="30" customHeight="1">
      <c r="A121" s="41">
        <v>114</v>
      </c>
      <c r="B121" s="28"/>
      <c r="C121" s="28"/>
      <c r="D121" s="28"/>
      <c r="E121" s="28"/>
      <c r="F121" s="45"/>
      <c r="G121" s="45"/>
      <c r="H121" s="28"/>
      <c r="I121" s="45"/>
      <c r="J121" s="28"/>
      <c r="K121" s="28"/>
      <c r="L121" s="28"/>
      <c r="M121" s="28"/>
    </row>
    <row r="122" spans="1:13" ht="30" customHeight="1">
      <c r="A122" s="41">
        <v>115</v>
      </c>
      <c r="B122" s="28"/>
      <c r="C122" s="28"/>
      <c r="D122" s="28"/>
      <c r="E122" s="28"/>
      <c r="F122" s="45"/>
      <c r="G122" s="45"/>
      <c r="H122" s="28"/>
      <c r="I122" s="45"/>
      <c r="J122" s="28"/>
      <c r="K122" s="28"/>
      <c r="L122" s="28"/>
      <c r="M122" s="28"/>
    </row>
    <row r="123" spans="1:13" ht="30" customHeight="1">
      <c r="A123" s="28"/>
      <c r="B123" s="28"/>
      <c r="C123" s="28"/>
      <c r="D123" s="28"/>
      <c r="E123" s="28"/>
      <c r="F123" s="45"/>
      <c r="G123" s="45"/>
      <c r="H123" s="28"/>
      <c r="I123" s="45"/>
      <c r="J123" s="28"/>
      <c r="K123" s="28"/>
      <c r="L123" s="28"/>
      <c r="M123" s="28"/>
    </row>
    <row r="124" spans="1:13" ht="30" customHeight="1">
      <c r="A124" s="28"/>
      <c r="B124" s="28"/>
      <c r="C124" s="28"/>
      <c r="D124" s="28"/>
      <c r="E124" s="28"/>
      <c r="F124" s="45"/>
      <c r="G124" s="45"/>
      <c r="H124" s="28"/>
      <c r="I124" s="45"/>
      <c r="J124" s="28"/>
      <c r="K124" s="28"/>
      <c r="L124" s="28"/>
      <c r="M124" s="28"/>
    </row>
    <row r="125" spans="1:13" ht="30" customHeight="1">
      <c r="A125" s="28"/>
      <c r="B125" s="28"/>
      <c r="C125" s="28"/>
      <c r="D125" s="28"/>
      <c r="E125" s="28"/>
      <c r="F125" s="45"/>
      <c r="G125" s="45"/>
      <c r="H125" s="28"/>
      <c r="I125" s="45"/>
      <c r="J125" s="28"/>
      <c r="K125" s="28"/>
      <c r="L125" s="28"/>
      <c r="M125" s="28"/>
    </row>
    <row r="126" spans="1:13" ht="30" customHeight="1">
      <c r="A126" s="28"/>
      <c r="B126" s="28"/>
      <c r="C126" s="28"/>
      <c r="D126" s="28"/>
      <c r="E126" s="28"/>
      <c r="F126" s="45"/>
      <c r="G126" s="45"/>
      <c r="H126" s="28"/>
      <c r="I126" s="45"/>
      <c r="J126" s="28"/>
      <c r="K126" s="28"/>
      <c r="L126" s="28"/>
      <c r="M126" s="28"/>
    </row>
    <row r="127" spans="1:13" ht="30" customHeight="1">
      <c r="A127" s="28"/>
      <c r="B127" s="28"/>
      <c r="C127" s="28"/>
      <c r="D127" s="28"/>
      <c r="E127" s="28"/>
      <c r="F127" s="45"/>
      <c r="G127" s="45"/>
      <c r="H127" s="28"/>
      <c r="I127" s="45"/>
      <c r="J127" s="28"/>
      <c r="K127" s="28"/>
      <c r="L127" s="28"/>
      <c r="M127" s="28"/>
    </row>
    <row r="128" spans="1:13" ht="30" customHeight="1">
      <c r="A128" s="28"/>
      <c r="B128" s="28"/>
      <c r="C128" s="28"/>
      <c r="D128" s="28"/>
      <c r="E128" s="28"/>
      <c r="F128" s="45"/>
      <c r="G128" s="45"/>
      <c r="H128" s="28"/>
      <c r="I128" s="45"/>
      <c r="J128" s="28"/>
      <c r="K128" s="28"/>
      <c r="L128" s="28"/>
      <c r="M128" s="28"/>
    </row>
    <row r="129" spans="1:13" ht="30" customHeight="1">
      <c r="A129" s="28"/>
      <c r="B129" s="28"/>
      <c r="C129" s="28"/>
      <c r="D129" s="28"/>
      <c r="E129" s="28"/>
      <c r="F129" s="45"/>
      <c r="G129" s="45"/>
      <c r="H129" s="28"/>
      <c r="I129" s="45"/>
      <c r="J129" s="28"/>
      <c r="K129" s="28"/>
      <c r="L129" s="28"/>
      <c r="M129" s="28"/>
    </row>
    <row r="130" spans="1:13" ht="30" customHeight="1">
      <c r="A130" s="28"/>
      <c r="B130" s="28"/>
      <c r="C130" s="28"/>
      <c r="D130" s="28"/>
      <c r="E130" s="28"/>
      <c r="F130" s="45"/>
      <c r="G130" s="45"/>
      <c r="H130" s="28"/>
      <c r="I130" s="45"/>
      <c r="J130" s="28"/>
      <c r="K130" s="28"/>
      <c r="L130" s="28"/>
      <c r="M130" s="28"/>
    </row>
    <row r="131" spans="1:13" ht="30" customHeight="1">
      <c r="A131" s="28"/>
      <c r="B131" s="28"/>
      <c r="C131" s="28"/>
      <c r="D131" s="28"/>
      <c r="E131" s="28"/>
      <c r="F131" s="45"/>
      <c r="G131" s="45"/>
      <c r="H131" s="28"/>
      <c r="I131" s="45"/>
      <c r="J131" s="28"/>
      <c r="K131" s="28"/>
      <c r="L131" s="28"/>
      <c r="M131" s="28"/>
    </row>
    <row r="132" spans="1:13" ht="30" customHeight="1">
      <c r="A132" s="28"/>
      <c r="B132" s="28"/>
      <c r="C132" s="28"/>
      <c r="D132" s="28"/>
      <c r="E132" s="28"/>
      <c r="F132" s="45"/>
      <c r="G132" s="45"/>
      <c r="H132" s="28"/>
      <c r="I132" s="45"/>
      <c r="J132" s="28"/>
      <c r="K132" s="28"/>
      <c r="L132" s="28"/>
      <c r="M132" s="28"/>
    </row>
    <row r="133" spans="1:13" ht="30" customHeight="1">
      <c r="A133" s="28"/>
      <c r="B133" s="28"/>
      <c r="C133" s="28"/>
      <c r="D133" s="28"/>
      <c r="E133" s="28"/>
      <c r="F133" s="45"/>
      <c r="G133" s="45"/>
      <c r="H133" s="28"/>
      <c r="I133" s="45"/>
      <c r="J133" s="28"/>
      <c r="K133" s="28"/>
      <c r="L133" s="28"/>
      <c r="M133" s="28"/>
    </row>
    <row r="134" spans="1:13" ht="30" customHeight="1">
      <c r="A134" s="28"/>
      <c r="B134" s="28"/>
      <c r="C134" s="28"/>
      <c r="D134" s="28"/>
      <c r="E134" s="28"/>
      <c r="F134" s="45"/>
      <c r="G134" s="45"/>
      <c r="H134" s="28"/>
      <c r="I134" s="45"/>
      <c r="J134" s="28"/>
      <c r="K134" s="28"/>
      <c r="L134" s="28"/>
      <c r="M134" s="28"/>
    </row>
    <row r="135" spans="1:13" ht="30" customHeight="1">
      <c r="A135" s="28"/>
      <c r="B135" s="28"/>
      <c r="C135" s="28"/>
      <c r="D135" s="28"/>
      <c r="E135" s="28"/>
      <c r="F135" s="45"/>
      <c r="G135" s="45"/>
      <c r="H135" s="28"/>
      <c r="I135" s="45"/>
      <c r="J135" s="28"/>
      <c r="K135" s="28"/>
      <c r="L135" s="28"/>
      <c r="M135" s="28"/>
    </row>
    <row r="136" spans="1:13" ht="30" customHeight="1">
      <c r="A136" s="28"/>
      <c r="B136" s="28"/>
      <c r="C136" s="28"/>
      <c r="D136" s="28"/>
      <c r="E136" s="28"/>
      <c r="F136" s="45"/>
      <c r="G136" s="45"/>
      <c r="H136" s="28"/>
      <c r="I136" s="45"/>
      <c r="J136" s="28"/>
      <c r="K136" s="28"/>
      <c r="L136" s="28"/>
      <c r="M136" s="28"/>
    </row>
    <row r="137" spans="1:13" ht="30" customHeight="1">
      <c r="A137" s="28"/>
      <c r="B137" s="28"/>
      <c r="C137" s="28"/>
      <c r="D137" s="28"/>
      <c r="E137" s="28"/>
      <c r="F137" s="45"/>
      <c r="G137" s="45"/>
      <c r="H137" s="28"/>
      <c r="I137" s="45"/>
      <c r="J137" s="28"/>
      <c r="K137" s="28"/>
      <c r="L137" s="28"/>
      <c r="M137" s="28"/>
    </row>
    <row r="138" spans="1:13" ht="30" customHeight="1">
      <c r="A138" s="28"/>
      <c r="B138" s="28"/>
      <c r="C138" s="28"/>
      <c r="D138" s="28"/>
      <c r="E138" s="28"/>
      <c r="F138" s="45"/>
      <c r="G138" s="45"/>
      <c r="H138" s="28"/>
      <c r="I138" s="45"/>
      <c r="J138" s="28"/>
      <c r="K138" s="28"/>
      <c r="L138" s="28"/>
      <c r="M138" s="28"/>
    </row>
    <row r="139" spans="1:13" ht="30" customHeight="1">
      <c r="A139" s="28"/>
      <c r="B139" s="28"/>
      <c r="C139" s="28"/>
      <c r="D139" s="28"/>
      <c r="E139" s="28"/>
      <c r="F139" s="45"/>
      <c r="G139" s="45"/>
      <c r="H139" s="28"/>
      <c r="I139" s="45"/>
      <c r="J139" s="28"/>
      <c r="K139" s="28"/>
      <c r="L139" s="28"/>
      <c r="M139" s="28"/>
    </row>
    <row r="140" spans="1:13" ht="30" customHeight="1">
      <c r="A140" s="28"/>
      <c r="B140" s="28"/>
      <c r="C140" s="28"/>
      <c r="D140" s="28"/>
      <c r="E140" s="28"/>
      <c r="F140" s="45"/>
      <c r="G140" s="45"/>
      <c r="H140" s="28"/>
      <c r="I140" s="45"/>
      <c r="J140" s="28"/>
      <c r="K140" s="28"/>
      <c r="L140" s="28"/>
      <c r="M140" s="28"/>
    </row>
    <row r="141" spans="1:13" ht="30" customHeight="1">
      <c r="A141" s="28"/>
      <c r="B141" s="28"/>
      <c r="C141" s="28"/>
      <c r="D141" s="28"/>
      <c r="E141" s="28"/>
      <c r="F141" s="45"/>
      <c r="G141" s="45"/>
      <c r="H141" s="28"/>
      <c r="I141" s="45"/>
      <c r="J141" s="28"/>
      <c r="K141" s="28"/>
      <c r="L141" s="28"/>
      <c r="M141" s="28"/>
    </row>
    <row r="142" spans="1:13" ht="30" customHeight="1">
      <c r="A142" s="28"/>
      <c r="B142" s="28"/>
      <c r="C142" s="28"/>
      <c r="D142" s="28"/>
      <c r="E142" s="28"/>
      <c r="F142" s="45"/>
      <c r="G142" s="45"/>
      <c r="H142" s="28"/>
      <c r="I142" s="45"/>
      <c r="J142" s="28"/>
      <c r="K142" s="28"/>
      <c r="L142" s="28"/>
      <c r="M142" s="28"/>
    </row>
    <row r="143" spans="1:13" ht="30" customHeight="1">
      <c r="A143" s="28"/>
      <c r="B143" s="28"/>
      <c r="C143" s="28"/>
      <c r="D143" s="28"/>
      <c r="E143" s="28"/>
      <c r="F143" s="45"/>
      <c r="G143" s="45"/>
      <c r="H143" s="28"/>
      <c r="I143" s="45"/>
      <c r="J143" s="28"/>
      <c r="K143" s="28"/>
      <c r="L143" s="28"/>
      <c r="M143" s="28"/>
    </row>
    <row r="144" spans="1:13" ht="30" customHeight="1">
      <c r="A144" s="28"/>
      <c r="B144" s="28"/>
      <c r="C144" s="28"/>
      <c r="D144" s="28"/>
      <c r="E144" s="28"/>
      <c r="F144" s="45"/>
      <c r="G144" s="45"/>
      <c r="H144" s="28"/>
      <c r="I144" s="45"/>
      <c r="J144" s="28"/>
      <c r="K144" s="28"/>
      <c r="L144" s="28"/>
      <c r="M144" s="28"/>
    </row>
    <row r="145" spans="1:13" ht="30" customHeight="1">
      <c r="A145" s="28"/>
      <c r="B145" s="28"/>
      <c r="C145" s="28"/>
      <c r="D145" s="28"/>
      <c r="E145" s="28"/>
      <c r="F145" s="45"/>
      <c r="G145" s="45"/>
      <c r="H145" s="28"/>
      <c r="I145" s="45"/>
      <c r="J145" s="28"/>
      <c r="K145" s="28"/>
      <c r="L145" s="28"/>
      <c r="M145" s="28"/>
    </row>
    <row r="146" spans="1:13" ht="30" customHeight="1">
      <c r="A146" s="28"/>
      <c r="B146" s="28"/>
      <c r="C146" s="28"/>
      <c r="D146" s="28"/>
      <c r="E146" s="28"/>
      <c r="F146" s="45"/>
      <c r="G146" s="45"/>
      <c r="H146" s="28"/>
      <c r="I146" s="45"/>
      <c r="J146" s="28"/>
      <c r="K146" s="28"/>
      <c r="L146" s="28"/>
      <c r="M146" s="28"/>
    </row>
    <row r="147" spans="1:13" ht="30" customHeight="1">
      <c r="A147" s="28"/>
      <c r="B147" s="28"/>
      <c r="C147" s="28"/>
      <c r="D147" s="28"/>
      <c r="E147" s="28"/>
      <c r="F147" s="45"/>
      <c r="G147" s="45"/>
      <c r="H147" s="28"/>
      <c r="I147" s="45"/>
      <c r="J147" s="28"/>
      <c r="K147" s="28"/>
      <c r="L147" s="28"/>
      <c r="M147" s="28"/>
    </row>
    <row r="148" spans="1:13" ht="30" customHeight="1">
      <c r="A148" s="28"/>
      <c r="B148" s="28"/>
      <c r="C148" s="28"/>
      <c r="D148" s="28"/>
      <c r="E148" s="28"/>
      <c r="F148" s="45"/>
      <c r="G148" s="45"/>
      <c r="H148" s="28"/>
      <c r="I148" s="45"/>
      <c r="J148" s="28"/>
      <c r="K148" s="28"/>
      <c r="L148" s="28"/>
      <c r="M148" s="28"/>
    </row>
    <row r="149" spans="1:13" ht="30" customHeight="1">
      <c r="A149" s="28"/>
      <c r="B149" s="28"/>
      <c r="C149" s="28"/>
      <c r="D149" s="28"/>
      <c r="E149" s="28"/>
      <c r="F149" s="45"/>
      <c r="G149" s="45"/>
      <c r="H149" s="28"/>
      <c r="I149" s="45"/>
      <c r="J149" s="28"/>
      <c r="K149" s="28"/>
      <c r="L149" s="28"/>
      <c r="M149" s="28"/>
    </row>
    <row r="150" spans="1:13" ht="30" customHeight="1">
      <c r="A150" s="28"/>
      <c r="B150" s="28"/>
      <c r="C150" s="28"/>
      <c r="D150" s="28"/>
      <c r="E150" s="28"/>
      <c r="F150" s="45"/>
      <c r="G150" s="45"/>
      <c r="H150" s="28"/>
      <c r="I150" s="45"/>
      <c r="J150" s="28"/>
      <c r="K150" s="28"/>
      <c r="L150" s="28"/>
      <c r="M150" s="28"/>
    </row>
    <row r="151" spans="1:13" ht="30" customHeight="1">
      <c r="A151" s="28"/>
      <c r="B151" s="28"/>
      <c r="C151" s="28"/>
      <c r="D151" s="28"/>
      <c r="E151" s="28"/>
      <c r="F151" s="45"/>
      <c r="G151" s="45"/>
      <c r="H151" s="28"/>
      <c r="I151" s="45"/>
      <c r="J151" s="28"/>
      <c r="K151" s="28"/>
      <c r="L151" s="28"/>
      <c r="M151" s="28"/>
    </row>
    <row r="152" spans="1:13" ht="30" customHeight="1">
      <c r="A152" s="28"/>
      <c r="B152" s="28"/>
      <c r="C152" s="28"/>
      <c r="D152" s="28"/>
      <c r="E152" s="28"/>
      <c r="F152" s="45"/>
      <c r="G152" s="45"/>
      <c r="H152" s="28"/>
      <c r="I152" s="45"/>
      <c r="J152" s="28"/>
      <c r="K152" s="28"/>
      <c r="L152" s="28"/>
      <c r="M152" s="28"/>
    </row>
    <row r="153" spans="1:13" ht="30" customHeight="1">
      <c r="A153" s="28"/>
      <c r="B153" s="28"/>
      <c r="C153" s="28"/>
      <c r="D153" s="28"/>
      <c r="E153" s="28"/>
      <c r="F153" s="45"/>
      <c r="G153" s="45"/>
      <c r="H153" s="28"/>
      <c r="I153" s="45"/>
      <c r="J153" s="28"/>
      <c r="K153" s="28"/>
      <c r="L153" s="28"/>
      <c r="M153" s="28"/>
    </row>
    <row r="154" spans="1:13" ht="30" customHeight="1">
      <c r="A154" s="28"/>
      <c r="B154" s="28"/>
      <c r="C154" s="28"/>
      <c r="D154" s="28"/>
      <c r="E154" s="28"/>
      <c r="F154" s="45"/>
      <c r="G154" s="45"/>
      <c r="H154" s="28"/>
      <c r="I154" s="45"/>
      <c r="J154" s="28"/>
      <c r="K154" s="28"/>
      <c r="L154" s="28"/>
      <c r="M154" s="28"/>
    </row>
    <row r="155" spans="1:13" ht="30" customHeight="1">
      <c r="A155" s="28"/>
      <c r="B155" s="28"/>
      <c r="C155" s="28"/>
      <c r="D155" s="28"/>
      <c r="E155" s="28"/>
      <c r="F155" s="45"/>
      <c r="G155" s="45"/>
      <c r="H155" s="28"/>
      <c r="I155" s="45"/>
      <c r="J155" s="28"/>
      <c r="K155" s="28"/>
      <c r="L155" s="28"/>
      <c r="M155" s="28"/>
    </row>
    <row r="156" spans="1:13" ht="30" customHeight="1">
      <c r="A156" s="28"/>
      <c r="B156" s="28"/>
      <c r="C156" s="28"/>
      <c r="D156" s="28"/>
      <c r="E156" s="28"/>
      <c r="F156" s="45"/>
      <c r="G156" s="45"/>
      <c r="H156" s="28"/>
      <c r="I156" s="45"/>
      <c r="J156" s="28"/>
      <c r="K156" s="28"/>
      <c r="L156" s="28"/>
      <c r="M156" s="28"/>
    </row>
    <row r="157" spans="1:13" ht="30" customHeight="1">
      <c r="A157" s="28"/>
      <c r="B157" s="28"/>
      <c r="C157" s="28"/>
      <c r="D157" s="28"/>
      <c r="E157" s="28"/>
      <c r="F157" s="45"/>
      <c r="G157" s="45"/>
      <c r="H157" s="28"/>
      <c r="I157" s="45"/>
      <c r="J157" s="28"/>
      <c r="K157" s="28"/>
      <c r="L157" s="28"/>
      <c r="M157" s="28"/>
    </row>
    <row r="158" spans="1:13" ht="30" customHeight="1">
      <c r="A158" s="28"/>
      <c r="B158" s="28"/>
      <c r="C158" s="28"/>
      <c r="D158" s="28"/>
      <c r="E158" s="28"/>
      <c r="F158" s="45"/>
      <c r="G158" s="45"/>
      <c r="H158" s="28"/>
      <c r="I158" s="45"/>
      <c r="J158" s="28"/>
      <c r="K158" s="28"/>
      <c r="L158" s="28"/>
      <c r="M158" s="28"/>
    </row>
    <row r="159" spans="1:13" ht="30" customHeight="1">
      <c r="A159" s="28"/>
      <c r="B159" s="28"/>
      <c r="C159" s="28"/>
      <c r="D159" s="28"/>
      <c r="E159" s="28"/>
      <c r="F159" s="45"/>
      <c r="G159" s="45"/>
      <c r="H159" s="28"/>
      <c r="I159" s="45"/>
      <c r="J159" s="28"/>
      <c r="K159" s="28"/>
      <c r="L159" s="28"/>
      <c r="M159" s="28"/>
    </row>
    <row r="160" spans="1:13" ht="30" customHeight="1">
      <c r="A160" s="28"/>
      <c r="B160" s="28"/>
      <c r="C160" s="28"/>
      <c r="D160" s="28"/>
      <c r="E160" s="28"/>
      <c r="F160" s="45"/>
      <c r="G160" s="45"/>
      <c r="H160" s="28"/>
      <c r="I160" s="45"/>
      <c r="J160" s="28"/>
      <c r="K160" s="28"/>
      <c r="L160" s="28"/>
      <c r="M160" s="28"/>
    </row>
    <row r="161" spans="1:13" ht="30" customHeight="1">
      <c r="A161" s="28"/>
      <c r="B161" s="28"/>
      <c r="C161" s="28"/>
      <c r="D161" s="28"/>
      <c r="E161" s="28"/>
      <c r="F161" s="45"/>
      <c r="G161" s="45"/>
      <c r="H161" s="28"/>
      <c r="I161" s="45"/>
      <c r="J161" s="28"/>
      <c r="K161" s="28"/>
      <c r="L161" s="28"/>
      <c r="M161" s="28"/>
    </row>
    <row r="162" spans="1:13" ht="30" customHeight="1">
      <c r="A162" s="28"/>
      <c r="B162" s="28"/>
      <c r="C162" s="28"/>
      <c r="D162" s="28"/>
      <c r="E162" s="28"/>
      <c r="F162" s="45"/>
      <c r="G162" s="45"/>
      <c r="H162" s="28"/>
      <c r="I162" s="45"/>
      <c r="J162" s="28"/>
      <c r="K162" s="28"/>
      <c r="L162" s="28"/>
      <c r="M162" s="28"/>
    </row>
    <row r="163" spans="1:13" ht="30" customHeight="1">
      <c r="A163" s="28"/>
      <c r="B163" s="28"/>
      <c r="C163" s="28"/>
      <c r="D163" s="28"/>
      <c r="E163" s="28"/>
      <c r="F163" s="45"/>
      <c r="G163" s="45"/>
      <c r="H163" s="28"/>
      <c r="I163" s="45"/>
      <c r="J163" s="28"/>
      <c r="K163" s="28"/>
      <c r="L163" s="28"/>
      <c r="M163" s="28"/>
    </row>
    <row r="164" spans="1:13" ht="30" customHeight="1">
      <c r="A164" s="28"/>
      <c r="B164" s="28"/>
      <c r="C164" s="28"/>
      <c r="D164" s="28"/>
      <c r="E164" s="28"/>
      <c r="F164" s="45"/>
      <c r="G164" s="45"/>
      <c r="H164" s="28"/>
      <c r="I164" s="45"/>
      <c r="J164" s="28"/>
      <c r="K164" s="28"/>
      <c r="L164" s="28"/>
      <c r="M164" s="28"/>
    </row>
    <row r="165" spans="1:13" ht="30" customHeight="1">
      <c r="A165" s="28"/>
      <c r="B165" s="28"/>
      <c r="C165" s="28"/>
      <c r="D165" s="28"/>
      <c r="E165" s="28"/>
      <c r="F165" s="45"/>
      <c r="G165" s="45"/>
      <c r="H165" s="28"/>
      <c r="I165" s="45"/>
      <c r="J165" s="28"/>
      <c r="K165" s="28"/>
      <c r="L165" s="28"/>
      <c r="M165" s="28"/>
    </row>
    <row r="166" spans="1:13" ht="30" customHeight="1">
      <c r="A166" s="28"/>
      <c r="B166" s="28"/>
      <c r="C166" s="28"/>
      <c r="D166" s="28"/>
      <c r="E166" s="28"/>
      <c r="F166" s="45"/>
      <c r="G166" s="45"/>
      <c r="H166" s="28"/>
      <c r="I166" s="45"/>
      <c r="J166" s="28"/>
      <c r="K166" s="28"/>
      <c r="L166" s="28"/>
      <c r="M166" s="28"/>
    </row>
    <row r="167" spans="1:13" ht="30" customHeight="1">
      <c r="A167" s="28"/>
      <c r="B167" s="28"/>
      <c r="C167" s="28"/>
      <c r="D167" s="28"/>
      <c r="E167" s="28"/>
      <c r="F167" s="45"/>
      <c r="G167" s="45"/>
      <c r="H167" s="28"/>
      <c r="I167" s="45"/>
      <c r="J167" s="28"/>
      <c r="K167" s="28"/>
      <c r="L167" s="28"/>
      <c r="M167" s="28"/>
    </row>
    <row r="168" spans="1:13" ht="30" customHeight="1">
      <c r="A168" s="28"/>
      <c r="B168" s="28"/>
      <c r="C168" s="28"/>
      <c r="D168" s="28"/>
      <c r="E168" s="28"/>
      <c r="F168" s="45"/>
      <c r="G168" s="45"/>
      <c r="H168" s="28"/>
      <c r="I168" s="45"/>
      <c r="J168" s="28"/>
      <c r="K168" s="28"/>
      <c r="L168" s="28"/>
      <c r="M168" s="28"/>
    </row>
    <row r="169" spans="1:13" ht="30" customHeight="1">
      <c r="A169" s="28"/>
      <c r="B169" s="28"/>
      <c r="C169" s="28"/>
      <c r="D169" s="28"/>
      <c r="E169" s="28"/>
      <c r="F169" s="45"/>
      <c r="G169" s="45"/>
      <c r="H169" s="28"/>
      <c r="I169" s="45"/>
      <c r="J169" s="28"/>
      <c r="K169" s="28"/>
      <c r="L169" s="28"/>
      <c r="M169" s="28"/>
    </row>
    <row r="170" spans="1:13" ht="30" customHeight="1">
      <c r="A170" s="28"/>
      <c r="B170" s="28"/>
      <c r="C170" s="28"/>
      <c r="D170" s="28"/>
      <c r="E170" s="28"/>
      <c r="F170" s="45"/>
      <c r="G170" s="45"/>
      <c r="H170" s="28"/>
      <c r="I170" s="45"/>
      <c r="J170" s="28"/>
      <c r="K170" s="28"/>
      <c r="L170" s="28"/>
      <c r="M170" s="28"/>
    </row>
    <row r="171" spans="1:13" ht="30" customHeight="1">
      <c r="A171" s="28"/>
      <c r="B171" s="28"/>
      <c r="C171" s="28"/>
      <c r="D171" s="28"/>
      <c r="E171" s="28"/>
      <c r="F171" s="45"/>
      <c r="G171" s="45"/>
      <c r="H171" s="28"/>
      <c r="I171" s="45"/>
      <c r="J171" s="28"/>
      <c r="K171" s="28"/>
      <c r="L171" s="28"/>
      <c r="M171" s="28"/>
    </row>
    <row r="172" spans="1:13" ht="30" customHeight="1">
      <c r="A172" s="28"/>
      <c r="B172" s="28"/>
      <c r="C172" s="28"/>
      <c r="D172" s="28"/>
      <c r="E172" s="28"/>
      <c r="F172" s="45"/>
      <c r="G172" s="45"/>
      <c r="H172" s="28"/>
      <c r="I172" s="45"/>
      <c r="J172" s="28"/>
      <c r="K172" s="28"/>
      <c r="L172" s="28"/>
      <c r="M172" s="28"/>
    </row>
    <row r="173" spans="1:13" ht="30" customHeight="1">
      <c r="A173" s="28"/>
      <c r="B173" s="28"/>
      <c r="C173" s="28"/>
      <c r="D173" s="28"/>
      <c r="E173" s="28"/>
      <c r="F173" s="45"/>
      <c r="G173" s="45"/>
      <c r="H173" s="28"/>
      <c r="I173" s="45"/>
      <c r="J173" s="28"/>
      <c r="K173" s="28"/>
      <c r="L173" s="28"/>
      <c r="M173" s="28"/>
    </row>
    <row r="174" spans="1:13" ht="30" customHeight="1">
      <c r="A174" s="28"/>
      <c r="B174" s="28"/>
      <c r="C174" s="28"/>
      <c r="D174" s="28"/>
      <c r="E174" s="28"/>
      <c r="F174" s="45"/>
      <c r="G174" s="45"/>
      <c r="H174" s="28"/>
      <c r="I174" s="45"/>
      <c r="J174" s="28"/>
      <c r="K174" s="28"/>
      <c r="L174" s="28"/>
      <c r="M174" s="28"/>
    </row>
    <row r="175" spans="1:13" ht="30" customHeight="1">
      <c r="A175" s="28"/>
      <c r="B175" s="28"/>
      <c r="C175" s="28"/>
      <c r="D175" s="28"/>
      <c r="E175" s="28"/>
      <c r="F175" s="45"/>
      <c r="G175" s="45"/>
      <c r="H175" s="28"/>
      <c r="I175" s="45"/>
      <c r="J175" s="28"/>
      <c r="K175" s="28"/>
      <c r="L175" s="28"/>
      <c r="M175" s="28"/>
    </row>
    <row r="176" spans="1:13" ht="30" customHeight="1">
      <c r="A176" s="28"/>
      <c r="B176" s="28"/>
      <c r="C176" s="28"/>
      <c r="D176" s="28"/>
      <c r="E176" s="28"/>
      <c r="F176" s="45"/>
      <c r="G176" s="45"/>
      <c r="H176" s="28"/>
      <c r="I176" s="45"/>
      <c r="J176" s="28"/>
      <c r="K176" s="28"/>
      <c r="L176" s="28"/>
      <c r="M176" s="28"/>
    </row>
    <row r="177" spans="1:13" ht="30" customHeight="1">
      <c r="A177" s="28"/>
      <c r="B177" s="28"/>
      <c r="C177" s="28"/>
      <c r="D177" s="28"/>
      <c r="E177" s="28"/>
      <c r="F177" s="45"/>
      <c r="G177" s="45"/>
      <c r="H177" s="28"/>
      <c r="I177" s="45"/>
      <c r="J177" s="28"/>
      <c r="K177" s="28"/>
      <c r="L177" s="28"/>
      <c r="M177" s="28"/>
    </row>
    <row r="178" spans="1:13" ht="30" customHeight="1">
      <c r="A178" s="28"/>
      <c r="B178" s="28"/>
      <c r="C178" s="28"/>
      <c r="D178" s="28"/>
      <c r="E178" s="28"/>
      <c r="F178" s="45"/>
      <c r="G178" s="45"/>
      <c r="H178" s="28"/>
      <c r="I178" s="45"/>
      <c r="J178" s="28"/>
      <c r="K178" s="28"/>
      <c r="L178" s="28"/>
      <c r="M178" s="28"/>
    </row>
    <row r="179" spans="1:13" ht="30" customHeight="1">
      <c r="A179" s="28"/>
      <c r="B179" s="28"/>
      <c r="C179" s="28"/>
      <c r="D179" s="28"/>
      <c r="E179" s="28"/>
      <c r="F179" s="45"/>
      <c r="G179" s="45"/>
      <c r="H179" s="28"/>
      <c r="I179" s="45"/>
      <c r="J179" s="28"/>
      <c r="K179" s="28"/>
      <c r="L179" s="28"/>
      <c r="M179" s="28"/>
    </row>
    <row r="180" spans="1:13" ht="30" customHeight="1">
      <c r="A180" s="28"/>
      <c r="B180" s="28"/>
      <c r="C180" s="28"/>
      <c r="D180" s="28"/>
      <c r="E180" s="28"/>
      <c r="F180" s="45"/>
      <c r="G180" s="45"/>
      <c r="H180" s="28"/>
      <c r="I180" s="45"/>
      <c r="J180" s="28"/>
      <c r="K180" s="28"/>
      <c r="L180" s="28"/>
      <c r="M180" s="28"/>
    </row>
    <row r="181" spans="1:13" ht="30" customHeight="1">
      <c r="A181" s="28"/>
      <c r="B181" s="28"/>
      <c r="C181" s="28"/>
      <c r="D181" s="28"/>
      <c r="E181" s="28"/>
      <c r="F181" s="45"/>
      <c r="G181" s="45"/>
      <c r="H181" s="28"/>
      <c r="I181" s="45"/>
      <c r="J181" s="28"/>
      <c r="K181" s="28"/>
      <c r="L181" s="28"/>
      <c r="M181" s="28"/>
    </row>
    <row r="182" spans="1:13" ht="30" customHeight="1">
      <c r="A182" s="28"/>
      <c r="B182" s="28"/>
      <c r="C182" s="28"/>
      <c r="D182" s="28"/>
      <c r="E182" s="28"/>
      <c r="F182" s="45"/>
      <c r="G182" s="45"/>
      <c r="H182" s="28"/>
      <c r="I182" s="45"/>
      <c r="J182" s="28"/>
      <c r="K182" s="28"/>
      <c r="L182" s="28"/>
      <c r="M182" s="28"/>
    </row>
    <row r="183" spans="1:13" ht="30" customHeight="1">
      <c r="A183" s="28"/>
      <c r="B183" s="28"/>
      <c r="C183" s="28"/>
      <c r="D183" s="28"/>
      <c r="E183" s="28"/>
      <c r="F183" s="45"/>
      <c r="G183" s="45"/>
      <c r="H183" s="28"/>
      <c r="I183" s="45"/>
      <c r="J183" s="28"/>
      <c r="K183" s="28"/>
      <c r="L183" s="28"/>
      <c r="M183" s="28"/>
    </row>
    <row r="184" spans="1:13" ht="30" customHeight="1">
      <c r="A184" s="28"/>
      <c r="B184" s="28"/>
      <c r="C184" s="28"/>
      <c r="D184" s="28"/>
      <c r="E184" s="28"/>
      <c r="F184" s="45"/>
      <c r="G184" s="45"/>
      <c r="H184" s="28"/>
      <c r="I184" s="45"/>
      <c r="J184" s="28"/>
      <c r="K184" s="28"/>
      <c r="L184" s="28"/>
      <c r="M184" s="28"/>
    </row>
    <row r="185" spans="1:13" ht="30" customHeight="1">
      <c r="A185" s="28"/>
      <c r="B185" s="28"/>
      <c r="C185" s="28"/>
      <c r="D185" s="28"/>
      <c r="E185" s="28"/>
      <c r="F185" s="45"/>
      <c r="G185" s="45"/>
      <c r="H185" s="28"/>
      <c r="I185" s="45"/>
      <c r="J185" s="28"/>
      <c r="K185" s="28"/>
      <c r="L185" s="28"/>
      <c r="M185" s="28"/>
    </row>
    <row r="186" spans="1:13" ht="30" customHeight="1">
      <c r="A186" s="28"/>
      <c r="B186" s="28"/>
      <c r="C186" s="28"/>
      <c r="D186" s="28"/>
      <c r="E186" s="28"/>
      <c r="F186" s="45"/>
      <c r="G186" s="45"/>
      <c r="H186" s="28"/>
      <c r="I186" s="45"/>
      <c r="J186" s="28"/>
      <c r="K186" s="28"/>
      <c r="L186" s="28"/>
      <c r="M186" s="28"/>
    </row>
    <row r="187" spans="1:13" ht="30" customHeight="1">
      <c r="A187" s="28"/>
      <c r="B187" s="28"/>
      <c r="C187" s="28"/>
      <c r="D187" s="28"/>
      <c r="E187" s="28"/>
      <c r="F187" s="45"/>
      <c r="G187" s="45"/>
      <c r="H187" s="28"/>
      <c r="I187" s="45"/>
      <c r="J187" s="28"/>
      <c r="K187" s="28"/>
      <c r="L187" s="28"/>
      <c r="M187" s="28"/>
    </row>
    <row r="188" spans="1:13" ht="30" customHeight="1">
      <c r="A188" s="28"/>
      <c r="B188" s="28"/>
      <c r="C188" s="32">
        <v>1</v>
      </c>
      <c r="D188" s="31"/>
      <c r="E188" s="31"/>
      <c r="F188" s="64"/>
      <c r="G188" s="64"/>
      <c r="H188" s="28"/>
      <c r="I188" s="45"/>
      <c r="J188" s="28"/>
      <c r="K188" s="28"/>
      <c r="L188" s="28"/>
      <c r="M188" s="28"/>
    </row>
    <row r="189" spans="1:13" ht="30" customHeight="1">
      <c r="A189" s="27"/>
      <c r="B189" s="27"/>
      <c r="C189" s="27"/>
      <c r="D189" s="33"/>
      <c r="E189" s="33"/>
      <c r="F189" s="65"/>
      <c r="G189" s="65"/>
      <c r="H189" s="27"/>
      <c r="I189" s="46"/>
      <c r="J189" s="27"/>
      <c r="K189" s="27"/>
      <c r="L189" s="27"/>
      <c r="M189" s="27"/>
    </row>
    <row r="190" spans="1:13" ht="30" customHeight="1">
      <c r="A190" s="27"/>
      <c r="B190" s="27"/>
      <c r="C190" s="27"/>
      <c r="D190" s="33"/>
      <c r="E190" s="33"/>
      <c r="F190" s="65"/>
      <c r="G190" s="65"/>
      <c r="H190" s="27"/>
      <c r="I190" s="46"/>
      <c r="J190" s="27"/>
      <c r="K190" s="27"/>
      <c r="L190" s="27"/>
      <c r="M190" s="27"/>
    </row>
    <row r="191" spans="1:13" ht="30" customHeight="1">
      <c r="A191" s="27"/>
      <c r="B191" s="27"/>
      <c r="C191" s="27"/>
      <c r="D191" s="33"/>
      <c r="E191" s="33"/>
      <c r="F191" s="65"/>
      <c r="G191" s="65"/>
      <c r="H191" s="27"/>
      <c r="I191" s="46"/>
      <c r="J191" s="27"/>
      <c r="K191" s="27"/>
      <c r="L191" s="27"/>
      <c r="M191" s="27"/>
    </row>
    <row r="192" spans="1:13" ht="30" customHeight="1">
      <c r="A192" s="27"/>
      <c r="B192" s="27"/>
      <c r="C192" s="27"/>
      <c r="D192" s="33"/>
      <c r="E192" s="33"/>
      <c r="F192" s="65"/>
      <c r="G192" s="65"/>
      <c r="H192" s="27"/>
      <c r="I192" s="46"/>
      <c r="J192" s="27"/>
      <c r="K192" s="27"/>
      <c r="L192" s="27"/>
      <c r="M192" s="27"/>
    </row>
    <row r="193" spans="1:13" ht="30" customHeight="1">
      <c r="A193" s="27"/>
      <c r="B193" s="27"/>
      <c r="C193" s="27"/>
      <c r="D193" s="33"/>
      <c r="E193" s="33"/>
      <c r="F193" s="65"/>
      <c r="G193" s="65"/>
      <c r="H193" s="27"/>
      <c r="I193" s="46"/>
      <c r="J193" s="27"/>
      <c r="K193" s="27"/>
      <c r="L193" s="27"/>
      <c r="M193" s="27"/>
    </row>
    <row r="194" spans="1:13" ht="30" customHeight="1">
      <c r="A194" s="27"/>
      <c r="B194" s="27"/>
      <c r="C194" s="34"/>
      <c r="D194" s="34"/>
      <c r="E194" s="34"/>
      <c r="F194" s="42"/>
      <c r="G194" s="42"/>
      <c r="H194" s="34"/>
      <c r="I194" s="42"/>
      <c r="J194" s="35"/>
      <c r="K194" s="27"/>
      <c r="L194" s="34"/>
      <c r="M194" s="34"/>
    </row>
    <row r="195" spans="1:13" ht="30" customHeight="1">
      <c r="A195" s="27"/>
      <c r="B195" s="27"/>
      <c r="C195" s="36"/>
      <c r="D195" s="34"/>
      <c r="E195" s="34"/>
      <c r="F195" s="42"/>
      <c r="G195" s="42"/>
      <c r="H195" s="34"/>
      <c r="I195" s="42"/>
      <c r="J195" s="35"/>
      <c r="K195" s="27"/>
      <c r="L195" s="34"/>
      <c r="M195" s="34"/>
    </row>
    <row r="196" spans="1:13" ht="30" customHeight="1">
      <c r="A196" s="27"/>
      <c r="B196" s="27"/>
      <c r="C196" s="36"/>
      <c r="D196" s="34"/>
      <c r="E196" s="34"/>
      <c r="F196" s="42"/>
      <c r="G196" s="42"/>
      <c r="H196" s="34"/>
      <c r="I196" s="42"/>
      <c r="J196" s="35"/>
      <c r="K196" s="27"/>
      <c r="L196" s="34"/>
      <c r="M196" s="34"/>
    </row>
    <row r="197" spans="1:13" ht="30" customHeight="1">
      <c r="A197" s="27"/>
      <c r="B197" s="27"/>
      <c r="C197" s="36"/>
      <c r="D197" s="34"/>
      <c r="E197" s="34"/>
      <c r="F197" s="42"/>
      <c r="G197" s="42"/>
      <c r="H197" s="34"/>
      <c r="I197" s="42"/>
      <c r="J197" s="35"/>
      <c r="K197" s="27"/>
      <c r="L197" s="34"/>
      <c r="M197" s="34"/>
    </row>
    <row r="198" spans="1:13" ht="30" customHeight="1">
      <c r="A198" s="27"/>
      <c r="B198" s="27"/>
      <c r="C198" s="36"/>
      <c r="D198" s="37"/>
      <c r="E198" s="37"/>
      <c r="F198" s="42"/>
      <c r="G198" s="42"/>
      <c r="H198" s="34"/>
      <c r="I198" s="42"/>
      <c r="J198" s="35"/>
      <c r="K198" s="27"/>
      <c r="L198" s="34"/>
      <c r="M198" s="34"/>
    </row>
    <row r="199" spans="1:13" ht="30" customHeight="1">
      <c r="A199" s="35"/>
      <c r="B199" s="27"/>
      <c r="C199" s="36"/>
      <c r="D199" s="34"/>
      <c r="E199" s="34"/>
      <c r="F199" s="42"/>
      <c r="G199" s="42"/>
      <c r="H199" s="34"/>
      <c r="I199" s="42"/>
      <c r="J199" s="35"/>
      <c r="K199" s="35"/>
      <c r="L199" s="34"/>
      <c r="M199" s="34"/>
    </row>
    <row r="200" spans="1:13" ht="30" customHeight="1">
      <c r="A200" s="27"/>
      <c r="B200" s="27"/>
      <c r="C200" s="36"/>
      <c r="D200" s="37"/>
      <c r="E200" s="37"/>
      <c r="F200" s="42"/>
      <c r="G200" s="42"/>
      <c r="H200" s="34"/>
      <c r="I200" s="42"/>
      <c r="J200" s="35"/>
      <c r="K200" s="27"/>
      <c r="L200" s="34"/>
      <c r="M200" s="34"/>
    </row>
    <row r="201" spans="1:13" ht="30" customHeight="1">
      <c r="A201" s="27"/>
      <c r="B201" s="27"/>
      <c r="C201" s="36"/>
      <c r="D201" s="37"/>
      <c r="E201" s="37"/>
      <c r="F201" s="42"/>
      <c r="G201" s="42"/>
      <c r="H201" s="34"/>
      <c r="I201" s="42"/>
      <c r="J201" s="35"/>
      <c r="K201" s="27"/>
      <c r="L201" s="34"/>
      <c r="M201" s="34"/>
    </row>
    <row r="202" spans="1:13" ht="30" customHeight="1">
      <c r="A202" s="27"/>
      <c r="B202" s="41"/>
      <c r="C202" s="36"/>
      <c r="D202" s="37"/>
      <c r="E202" s="37"/>
      <c r="F202" s="42"/>
      <c r="G202" s="42"/>
      <c r="H202" s="34"/>
      <c r="I202" s="42"/>
      <c r="J202" s="35"/>
      <c r="K202" s="27"/>
      <c r="L202" s="34"/>
      <c r="M202" s="34"/>
    </row>
    <row r="203" spans="1:13" ht="30" customHeight="1">
      <c r="A203" s="27"/>
      <c r="B203" s="41"/>
      <c r="C203" s="36"/>
      <c r="D203" s="37"/>
      <c r="E203" s="37"/>
      <c r="F203" s="42"/>
      <c r="G203" s="42"/>
      <c r="H203" s="34"/>
      <c r="I203" s="42"/>
      <c r="J203" s="35"/>
      <c r="K203" s="27"/>
      <c r="L203" s="34"/>
      <c r="M203" s="34"/>
    </row>
    <row r="204" spans="1:13" ht="30" customHeight="1">
      <c r="A204" s="27"/>
      <c r="B204" s="41"/>
      <c r="C204" s="36"/>
      <c r="D204" s="37"/>
      <c r="E204" s="37"/>
      <c r="F204" s="42"/>
      <c r="G204" s="42"/>
      <c r="H204" s="34"/>
      <c r="I204" s="42"/>
      <c r="J204" s="35"/>
      <c r="K204" s="27"/>
      <c r="L204" s="34"/>
      <c r="M204" s="34"/>
    </row>
    <row r="205" spans="1:13" ht="30" customHeight="1">
      <c r="A205" s="27"/>
      <c r="B205" s="41"/>
      <c r="C205" s="36"/>
      <c r="D205" s="37"/>
      <c r="E205" s="37"/>
      <c r="F205" s="42"/>
      <c r="G205" s="42"/>
      <c r="H205" s="34"/>
      <c r="I205" s="42"/>
      <c r="J205" s="35"/>
      <c r="K205" s="27"/>
      <c r="L205" s="34"/>
      <c r="M205" s="34"/>
    </row>
    <row r="206" spans="1:13" ht="30" customHeight="1">
      <c r="A206" s="27"/>
      <c r="B206" s="41"/>
      <c r="C206" s="36"/>
      <c r="D206" s="37"/>
      <c r="E206" s="37"/>
      <c r="F206" s="42"/>
      <c r="G206" s="42"/>
      <c r="H206" s="34"/>
      <c r="I206" s="42"/>
      <c r="J206" s="35"/>
      <c r="K206" s="27"/>
      <c r="L206" s="34"/>
      <c r="M206" s="34"/>
    </row>
    <row r="207" spans="1:13" ht="30" customHeight="1">
      <c r="A207" s="27"/>
      <c r="B207" s="41"/>
      <c r="C207" s="36"/>
      <c r="D207" s="37"/>
      <c r="E207" s="37"/>
      <c r="F207" s="42"/>
      <c r="G207" s="42"/>
      <c r="H207" s="34"/>
      <c r="I207" s="42"/>
      <c r="J207" s="35"/>
      <c r="K207" s="27"/>
      <c r="L207" s="34"/>
      <c r="M207" s="34"/>
    </row>
    <row r="208" spans="1:13" ht="30" customHeight="1">
      <c r="A208" s="27"/>
      <c r="B208" s="41"/>
      <c r="C208" s="36"/>
      <c r="D208" s="37"/>
      <c r="E208" s="37"/>
      <c r="F208" s="42"/>
      <c r="G208" s="42"/>
      <c r="H208" s="34"/>
      <c r="I208" s="42"/>
      <c r="J208" s="35"/>
      <c r="K208" s="27"/>
      <c r="L208" s="34"/>
      <c r="M208" s="34"/>
    </row>
    <row r="209" spans="1:13" ht="30" customHeight="1">
      <c r="A209" s="27"/>
      <c r="B209" s="41"/>
      <c r="C209" s="36"/>
      <c r="D209" s="37"/>
      <c r="E209" s="37"/>
      <c r="F209" s="42"/>
      <c r="G209" s="42"/>
      <c r="H209" s="34"/>
      <c r="I209" s="42"/>
      <c r="J209" s="35"/>
      <c r="K209" s="27"/>
      <c r="L209" s="34"/>
      <c r="M209" s="34"/>
    </row>
    <row r="210" spans="1:13" ht="30" customHeight="1">
      <c r="A210" s="27"/>
      <c r="B210" s="41"/>
      <c r="C210" s="36"/>
      <c r="D210" s="37"/>
      <c r="E210" s="37"/>
      <c r="F210" s="42"/>
      <c r="G210" s="42"/>
      <c r="H210" s="34"/>
      <c r="I210" s="42"/>
      <c r="J210" s="35"/>
      <c r="K210" s="27"/>
      <c r="L210" s="34"/>
      <c r="M210" s="34"/>
    </row>
    <row r="211" spans="1:13" ht="30" customHeight="1">
      <c r="A211" s="27"/>
      <c r="B211" s="41"/>
      <c r="C211" s="36"/>
      <c r="D211" s="37"/>
      <c r="E211" s="37"/>
      <c r="F211" s="42"/>
      <c r="G211" s="42"/>
      <c r="H211" s="34"/>
      <c r="I211" s="42"/>
      <c r="J211" s="35"/>
      <c r="K211" s="27"/>
      <c r="L211" s="34"/>
      <c r="M211" s="34"/>
    </row>
    <row r="212" spans="1:13" ht="30" customHeight="1">
      <c r="A212" s="27"/>
      <c r="B212" s="41"/>
      <c r="C212" s="36"/>
      <c r="D212" s="37"/>
      <c r="E212" s="37"/>
      <c r="F212" s="42"/>
      <c r="G212" s="42"/>
      <c r="H212" s="34"/>
      <c r="I212" s="42"/>
      <c r="J212" s="35"/>
      <c r="K212" s="27"/>
      <c r="L212" s="34"/>
      <c r="M212" s="34"/>
    </row>
    <row r="213" spans="1:13" ht="30" customHeight="1">
      <c r="A213" s="27"/>
      <c r="B213" s="41"/>
      <c r="C213" s="36"/>
      <c r="D213" s="37"/>
      <c r="E213" s="37"/>
      <c r="F213" s="42"/>
      <c r="G213" s="42"/>
      <c r="H213" s="34"/>
      <c r="I213" s="42"/>
      <c r="J213" s="35"/>
      <c r="K213" s="27"/>
      <c r="L213" s="34"/>
      <c r="M213" s="34"/>
    </row>
    <row r="214" spans="1:13" ht="30" customHeight="1">
      <c r="A214" s="27"/>
      <c r="B214" s="41"/>
      <c r="C214" s="36"/>
      <c r="D214" s="37"/>
      <c r="E214" s="37"/>
      <c r="F214" s="42"/>
      <c r="G214" s="42"/>
      <c r="H214" s="34"/>
      <c r="I214" s="42"/>
      <c r="J214" s="35"/>
      <c r="K214" s="27"/>
      <c r="L214" s="34"/>
      <c r="M214" s="34"/>
    </row>
    <row r="215" spans="1:13" ht="30" customHeight="1">
      <c r="A215" s="27"/>
      <c r="B215" s="41"/>
      <c r="C215" s="36"/>
      <c r="D215" s="37"/>
      <c r="E215" s="37"/>
      <c r="F215" s="42"/>
      <c r="G215" s="42"/>
      <c r="H215" s="34"/>
      <c r="I215" s="42"/>
      <c r="J215" s="35"/>
      <c r="K215" s="27"/>
      <c r="L215" s="34"/>
      <c r="M215" s="34"/>
    </row>
    <row r="216" spans="1:13" ht="30" customHeight="1">
      <c r="A216" s="27"/>
      <c r="B216" s="41"/>
      <c r="C216" s="36"/>
      <c r="D216" s="37"/>
      <c r="E216" s="37"/>
      <c r="F216" s="42"/>
      <c r="G216" s="42"/>
      <c r="H216" s="34"/>
      <c r="I216" s="42"/>
      <c r="J216" s="35"/>
      <c r="K216" s="27"/>
      <c r="L216" s="34"/>
      <c r="M216" s="34"/>
    </row>
    <row r="217" spans="1:13" ht="30" customHeight="1">
      <c r="A217" s="27"/>
      <c r="B217" s="41"/>
      <c r="C217" s="36"/>
      <c r="D217" s="37"/>
      <c r="E217" s="37"/>
      <c r="F217" s="42"/>
      <c r="G217" s="42"/>
      <c r="H217" s="34"/>
      <c r="I217" s="42"/>
      <c r="J217" s="35"/>
      <c r="K217" s="27"/>
      <c r="L217" s="34"/>
      <c r="M217" s="34"/>
    </row>
    <row r="218" spans="1:13" ht="30" customHeight="1">
      <c r="A218" s="27"/>
      <c r="B218" s="41"/>
      <c r="C218" s="36"/>
      <c r="D218" s="37"/>
      <c r="E218" s="37"/>
      <c r="F218" s="42"/>
      <c r="G218" s="42"/>
      <c r="H218" s="34"/>
      <c r="I218" s="42"/>
      <c r="J218" s="35"/>
      <c r="K218" s="27"/>
      <c r="L218" s="34"/>
      <c r="M218" s="34"/>
    </row>
    <row r="219" spans="1:13" ht="30" customHeight="1">
      <c r="A219" s="27"/>
      <c r="B219" s="41"/>
      <c r="C219" s="36"/>
      <c r="D219" s="37"/>
      <c r="E219" s="37"/>
      <c r="F219" s="42"/>
      <c r="G219" s="42"/>
      <c r="H219" s="34"/>
      <c r="I219" s="42"/>
      <c r="J219" s="35"/>
      <c r="K219" s="27"/>
      <c r="L219" s="34"/>
      <c r="M219" s="34"/>
    </row>
    <row r="220" spans="1:13" ht="30" customHeight="1">
      <c r="A220" s="27"/>
      <c r="B220" s="41"/>
      <c r="C220" s="36"/>
      <c r="D220" s="37"/>
      <c r="E220" s="37"/>
      <c r="F220" s="42"/>
      <c r="G220" s="42"/>
      <c r="H220" s="34"/>
      <c r="I220" s="42"/>
      <c r="J220" s="35"/>
      <c r="K220" s="27"/>
      <c r="L220" s="34"/>
      <c r="M220" s="34"/>
    </row>
    <row r="221" spans="1:13" ht="30" customHeight="1">
      <c r="A221" s="27"/>
      <c r="B221" s="41"/>
      <c r="C221" s="36"/>
      <c r="D221" s="37"/>
      <c r="E221" s="37"/>
      <c r="F221" s="42"/>
      <c r="G221" s="42"/>
      <c r="H221" s="34"/>
      <c r="I221" s="42"/>
      <c r="J221" s="35"/>
      <c r="K221" s="27"/>
      <c r="L221" s="34"/>
      <c r="M221" s="34"/>
    </row>
    <row r="222" spans="1:13" ht="30" customHeight="1">
      <c r="A222" s="27"/>
      <c r="B222" s="41"/>
      <c r="C222" s="36"/>
      <c r="D222" s="37"/>
      <c r="E222" s="37"/>
      <c r="F222" s="42"/>
      <c r="G222" s="42"/>
      <c r="H222" s="34"/>
      <c r="I222" s="42"/>
      <c r="J222" s="35"/>
      <c r="K222" s="27"/>
      <c r="L222" s="34"/>
      <c r="M222" s="34"/>
    </row>
    <row r="223" spans="1:13" ht="30" customHeight="1">
      <c r="A223" s="27"/>
      <c r="B223" s="41"/>
      <c r="C223" s="36"/>
      <c r="D223" s="37"/>
      <c r="E223" s="37"/>
      <c r="F223" s="42"/>
      <c r="G223" s="42"/>
      <c r="H223" s="34"/>
      <c r="I223" s="42"/>
      <c r="J223" s="35"/>
      <c r="K223" s="27"/>
      <c r="L223" s="34"/>
      <c r="M223" s="34"/>
    </row>
    <row r="224" spans="1:13" ht="30" customHeight="1">
      <c r="A224" s="27"/>
      <c r="B224" s="41"/>
      <c r="C224" s="36"/>
      <c r="D224" s="37"/>
      <c r="E224" s="37"/>
      <c r="F224" s="42"/>
      <c r="G224" s="42"/>
      <c r="H224" s="34"/>
      <c r="I224" s="42"/>
      <c r="J224" s="35"/>
      <c r="K224" s="27"/>
      <c r="L224" s="34"/>
      <c r="M224" s="34"/>
    </row>
    <row r="225" spans="1:13" ht="30" customHeight="1">
      <c r="A225" s="41"/>
      <c r="B225" s="41"/>
      <c r="C225" s="36"/>
      <c r="D225" s="37"/>
      <c r="E225" s="37"/>
      <c r="F225" s="42"/>
      <c r="G225" s="42"/>
      <c r="H225" s="34"/>
      <c r="I225" s="42"/>
      <c r="J225" s="35"/>
      <c r="K225" s="41"/>
      <c r="L225" s="34"/>
      <c r="M225" s="34"/>
    </row>
    <row r="226" spans="1:13" ht="30" customHeight="1">
      <c r="A226" s="27"/>
      <c r="B226" s="41"/>
      <c r="C226" s="36"/>
      <c r="D226" s="37"/>
      <c r="E226" s="37"/>
      <c r="F226" s="42"/>
      <c r="G226" s="42"/>
      <c r="H226" s="34"/>
      <c r="I226" s="42"/>
      <c r="J226" s="35"/>
      <c r="K226" s="27"/>
      <c r="L226" s="34"/>
      <c r="M226" s="34"/>
    </row>
    <row r="227" spans="1:13" ht="30" customHeight="1">
      <c r="A227" s="27"/>
      <c r="B227" s="27"/>
      <c r="C227" s="36"/>
      <c r="D227" s="37"/>
      <c r="E227" s="37"/>
      <c r="F227" s="42"/>
      <c r="G227" s="42"/>
      <c r="H227" s="34"/>
      <c r="I227" s="42"/>
      <c r="J227" s="35"/>
      <c r="K227" s="27"/>
      <c r="L227" s="34"/>
      <c r="M227" s="34"/>
    </row>
    <row r="228" spans="1:13" ht="30" customHeight="1">
      <c r="A228" s="27"/>
      <c r="B228" s="27"/>
      <c r="C228" s="36"/>
      <c r="D228" s="37"/>
      <c r="E228" s="37"/>
      <c r="F228" s="42"/>
      <c r="G228" s="42"/>
      <c r="H228" s="34"/>
      <c r="I228" s="42"/>
      <c r="J228" s="35"/>
      <c r="K228" s="27"/>
      <c r="L228" s="34"/>
      <c r="M228" s="34"/>
    </row>
    <row r="229" spans="1:13" ht="30" customHeight="1">
      <c r="A229" s="27"/>
      <c r="B229" s="27"/>
      <c r="C229" s="36"/>
      <c r="D229" s="37"/>
      <c r="E229" s="37"/>
      <c r="F229" s="42"/>
      <c r="G229" s="42"/>
      <c r="H229" s="34"/>
      <c r="I229" s="42"/>
      <c r="J229" s="35"/>
      <c r="K229" s="27"/>
      <c r="L229" s="34"/>
      <c r="M229" s="34"/>
    </row>
    <row r="230" spans="1:13" ht="30" customHeight="1">
      <c r="A230" s="27"/>
      <c r="B230" s="27"/>
      <c r="C230" s="36"/>
      <c r="D230" s="37"/>
      <c r="E230" s="37"/>
      <c r="F230" s="42"/>
      <c r="G230" s="42"/>
      <c r="H230" s="34"/>
      <c r="I230" s="42"/>
      <c r="J230" s="35"/>
      <c r="K230" s="27"/>
      <c r="L230" s="34"/>
      <c r="M230" s="34"/>
    </row>
    <row r="231" spans="1:13" ht="30" customHeight="1">
      <c r="A231" s="27"/>
      <c r="B231" s="27"/>
      <c r="C231" s="36"/>
      <c r="D231" s="37"/>
      <c r="E231" s="37"/>
      <c r="F231" s="42"/>
      <c r="G231" s="42"/>
      <c r="H231" s="34"/>
      <c r="I231" s="42"/>
      <c r="J231" s="35"/>
      <c r="K231" s="27"/>
      <c r="L231" s="34"/>
      <c r="M231" s="34"/>
    </row>
    <row r="232" spans="1:13" ht="30" customHeight="1">
      <c r="A232" s="27"/>
      <c r="B232" s="27"/>
      <c r="C232" s="36"/>
      <c r="D232" s="37"/>
      <c r="E232" s="37"/>
      <c r="F232" s="42"/>
      <c r="G232" s="42"/>
      <c r="H232" s="34"/>
      <c r="I232" s="42"/>
      <c r="J232" s="35"/>
      <c r="K232" s="27"/>
      <c r="L232" s="34"/>
      <c r="M232" s="34"/>
    </row>
    <row r="233" spans="1:13" ht="30" customHeight="1">
      <c r="A233" s="27"/>
      <c r="B233" s="27"/>
      <c r="C233" s="36"/>
      <c r="D233" s="37"/>
      <c r="E233" s="37"/>
      <c r="F233" s="42"/>
      <c r="G233" s="42"/>
      <c r="H233" s="34"/>
      <c r="I233" s="42"/>
      <c r="J233" s="35"/>
      <c r="K233" s="27"/>
      <c r="L233" s="34"/>
      <c r="M233" s="34"/>
    </row>
    <row r="234" spans="1:13" ht="30" customHeight="1">
      <c r="A234" s="27"/>
      <c r="B234" s="27"/>
      <c r="C234" s="36"/>
      <c r="D234" s="37"/>
      <c r="E234" s="37"/>
      <c r="F234" s="42"/>
      <c r="G234" s="42"/>
      <c r="H234" s="34"/>
      <c r="I234" s="42"/>
      <c r="J234" s="35"/>
      <c r="K234" s="27"/>
      <c r="L234" s="34"/>
      <c r="M234" s="34"/>
    </row>
    <row r="235" spans="1:13" ht="30" customHeight="1">
      <c r="A235" s="27"/>
      <c r="B235" s="27"/>
      <c r="C235" s="36"/>
      <c r="D235" s="37"/>
      <c r="E235" s="37"/>
      <c r="F235" s="42"/>
      <c r="G235" s="42"/>
      <c r="H235" s="34"/>
      <c r="I235" s="42"/>
      <c r="J235" s="35"/>
      <c r="K235" s="27"/>
      <c r="L235" s="34"/>
      <c r="M235" s="34"/>
    </row>
    <row r="236" spans="1:13" ht="30" customHeight="1">
      <c r="A236" s="27"/>
      <c r="B236" s="27"/>
      <c r="C236" s="36"/>
      <c r="D236" s="37"/>
      <c r="E236" s="37"/>
      <c r="F236" s="42"/>
      <c r="G236" s="42"/>
      <c r="H236" s="34"/>
      <c r="I236" s="42"/>
      <c r="J236" s="35"/>
      <c r="K236" s="27"/>
      <c r="L236" s="34"/>
      <c r="M236" s="34"/>
    </row>
    <row r="237" spans="1:13" ht="30" customHeight="1">
      <c r="A237" s="27"/>
      <c r="B237" s="27"/>
      <c r="C237" s="36"/>
      <c r="D237" s="37"/>
      <c r="E237" s="37"/>
      <c r="F237" s="42"/>
      <c r="G237" s="42"/>
      <c r="H237" s="34"/>
      <c r="I237" s="42"/>
      <c r="J237" s="35"/>
      <c r="K237" s="27"/>
      <c r="L237" s="34"/>
      <c r="M237" s="34"/>
    </row>
    <row r="238" spans="1:13" ht="30" customHeight="1">
      <c r="A238" s="27"/>
      <c r="B238" s="27"/>
      <c r="C238" s="36"/>
      <c r="D238" s="37"/>
      <c r="E238" s="37"/>
      <c r="F238" s="42"/>
      <c r="G238" s="42"/>
      <c r="H238" s="34"/>
      <c r="I238" s="42"/>
      <c r="J238" s="35"/>
      <c r="K238" s="27"/>
      <c r="L238" s="34"/>
      <c r="M238" s="34"/>
    </row>
    <row r="239" spans="1:13" ht="30" customHeight="1">
      <c r="A239" s="27"/>
      <c r="B239" s="27"/>
      <c r="C239" s="36"/>
      <c r="D239" s="37"/>
      <c r="E239" s="37"/>
      <c r="F239" s="42"/>
      <c r="G239" s="42"/>
      <c r="H239" s="34"/>
      <c r="I239" s="42"/>
      <c r="J239" s="35"/>
      <c r="K239" s="27"/>
      <c r="L239" s="34"/>
      <c r="M239" s="34"/>
    </row>
    <row r="240" spans="1:13" ht="30" customHeight="1">
      <c r="A240" s="27"/>
      <c r="B240" s="27"/>
      <c r="C240" s="36"/>
      <c r="D240" s="37"/>
      <c r="E240" s="37"/>
      <c r="F240" s="42"/>
      <c r="G240" s="42"/>
      <c r="H240" s="34"/>
      <c r="I240" s="42"/>
      <c r="J240" s="35"/>
      <c r="K240" s="27"/>
      <c r="L240" s="34"/>
      <c r="M240" s="34"/>
    </row>
    <row r="241" spans="1:13" ht="30" customHeight="1">
      <c r="A241" s="27"/>
      <c r="B241" s="27"/>
      <c r="C241" s="36"/>
      <c r="D241" s="37"/>
      <c r="E241" s="37"/>
      <c r="F241" s="42"/>
      <c r="G241" s="42"/>
      <c r="H241" s="34"/>
      <c r="I241" s="42"/>
      <c r="J241" s="35"/>
      <c r="K241" s="27"/>
      <c r="L241" s="34"/>
      <c r="M241" s="34"/>
    </row>
    <row r="242" spans="1:13" ht="30" customHeight="1">
      <c r="A242" s="27"/>
      <c r="B242" s="27"/>
      <c r="C242" s="36"/>
      <c r="D242" s="37"/>
      <c r="E242" s="37"/>
      <c r="F242" s="42"/>
      <c r="G242" s="42"/>
      <c r="H242" s="34"/>
      <c r="I242" s="42"/>
      <c r="J242" s="35"/>
      <c r="K242" s="27"/>
      <c r="L242" s="34"/>
      <c r="M242" s="34"/>
    </row>
    <row r="243" spans="1:13" ht="30" customHeight="1">
      <c r="A243" s="27"/>
      <c r="B243" s="27"/>
      <c r="C243" s="36"/>
      <c r="D243" s="37"/>
      <c r="E243" s="37"/>
      <c r="F243" s="42"/>
      <c r="G243" s="42"/>
      <c r="H243" s="34"/>
      <c r="I243" s="42"/>
      <c r="J243" s="35"/>
      <c r="K243" s="27"/>
      <c r="L243" s="34"/>
      <c r="M243" s="34"/>
    </row>
    <row r="244" spans="1:13" ht="30" customHeight="1">
      <c r="A244" s="27"/>
      <c r="B244" s="27"/>
      <c r="C244" s="36"/>
      <c r="D244" s="37"/>
      <c r="E244" s="37"/>
      <c r="F244" s="42"/>
      <c r="G244" s="42"/>
      <c r="H244" s="34"/>
      <c r="I244" s="42"/>
      <c r="J244" s="35"/>
      <c r="K244" s="27"/>
      <c r="L244" s="34"/>
      <c r="M244" s="34"/>
    </row>
    <row r="245" spans="1:13" ht="30" customHeight="1">
      <c r="A245" s="27"/>
      <c r="B245" s="27"/>
      <c r="C245" s="36"/>
      <c r="D245" s="37"/>
      <c r="E245" s="37"/>
      <c r="F245" s="42"/>
      <c r="G245" s="42"/>
      <c r="H245" s="34"/>
      <c r="I245" s="42"/>
      <c r="J245" s="35"/>
      <c r="K245" s="27"/>
      <c r="L245" s="34"/>
      <c r="M245" s="34"/>
    </row>
    <row r="246" spans="1:13" ht="30" customHeight="1">
      <c r="A246" s="27"/>
      <c r="B246" s="27"/>
      <c r="C246" s="36"/>
      <c r="D246" s="37"/>
      <c r="E246" s="37"/>
      <c r="F246" s="42"/>
      <c r="G246" s="42"/>
      <c r="H246" s="34"/>
      <c r="I246" s="42"/>
      <c r="J246" s="35"/>
      <c r="K246" s="27"/>
      <c r="L246" s="34"/>
      <c r="M246" s="34"/>
    </row>
    <row r="247" spans="1:13" ht="30" customHeight="1">
      <c r="A247" s="27"/>
      <c r="B247" s="27"/>
      <c r="C247" s="36"/>
      <c r="D247" s="37"/>
      <c r="E247" s="37"/>
      <c r="F247" s="42"/>
      <c r="G247" s="42"/>
      <c r="H247" s="34"/>
      <c r="I247" s="42"/>
      <c r="J247" s="35"/>
      <c r="K247" s="27"/>
      <c r="L247" s="34"/>
      <c r="M247" s="34"/>
    </row>
    <row r="248" spans="1:13" ht="30" customHeight="1">
      <c r="A248" s="27"/>
      <c r="B248" s="27"/>
      <c r="C248" s="36"/>
      <c r="D248" s="37"/>
      <c r="E248" s="37"/>
      <c r="F248" s="42"/>
      <c r="G248" s="42"/>
      <c r="H248" s="34"/>
      <c r="I248" s="42"/>
      <c r="J248" s="35"/>
      <c r="K248" s="27"/>
      <c r="L248" s="34"/>
      <c r="M248" s="34"/>
    </row>
    <row r="249" spans="1:13" ht="30" customHeight="1">
      <c r="A249" s="27"/>
      <c r="B249" s="27"/>
      <c r="C249" s="36"/>
      <c r="D249" s="37"/>
      <c r="E249" s="37"/>
      <c r="F249" s="42"/>
      <c r="G249" s="42"/>
      <c r="H249" s="34"/>
      <c r="I249" s="42"/>
      <c r="J249" s="35"/>
      <c r="K249" s="27"/>
      <c r="L249" s="34"/>
      <c r="M249" s="34"/>
    </row>
    <row r="250" spans="1:13" ht="30" customHeight="1">
      <c r="A250" s="27"/>
      <c r="B250" s="27"/>
      <c r="C250" s="36"/>
      <c r="D250" s="37"/>
      <c r="E250" s="37"/>
      <c r="F250" s="42"/>
      <c r="G250" s="42"/>
      <c r="H250" s="34"/>
      <c r="I250" s="42"/>
      <c r="J250" s="35"/>
      <c r="K250" s="27"/>
      <c r="L250" s="34"/>
      <c r="M250" s="34"/>
    </row>
    <row r="251" spans="1:13" ht="30" customHeight="1">
      <c r="A251" s="27"/>
      <c r="B251" s="27"/>
      <c r="C251" s="36"/>
      <c r="D251" s="37"/>
      <c r="E251" s="37"/>
      <c r="F251" s="42"/>
      <c r="G251" s="42"/>
      <c r="H251" s="34"/>
      <c r="I251" s="42"/>
      <c r="J251" s="35"/>
      <c r="K251" s="27"/>
      <c r="L251" s="34"/>
      <c r="M251" s="34"/>
    </row>
    <row r="252" spans="1:13" ht="30" customHeight="1">
      <c r="A252" s="27"/>
      <c r="B252" s="27"/>
      <c r="C252" s="36"/>
      <c r="D252" s="37"/>
      <c r="E252" s="37"/>
      <c r="F252" s="42"/>
      <c r="G252" s="42"/>
      <c r="H252" s="34"/>
      <c r="I252" s="42"/>
      <c r="J252" s="35"/>
      <c r="K252" s="27"/>
      <c r="L252" s="34"/>
      <c r="M252" s="34"/>
    </row>
    <row r="253" spans="1:13" ht="30" customHeight="1">
      <c r="A253" s="27"/>
      <c r="B253" s="27"/>
      <c r="C253" s="36"/>
      <c r="D253" s="37"/>
      <c r="E253" s="37"/>
      <c r="F253" s="42"/>
      <c r="G253" s="42"/>
      <c r="H253" s="34"/>
      <c r="I253" s="42"/>
      <c r="J253" s="35"/>
      <c r="K253" s="27"/>
      <c r="L253" s="34"/>
      <c r="M253" s="34"/>
    </row>
    <row r="254" spans="1:13" ht="30" customHeight="1">
      <c r="A254" s="27"/>
      <c r="B254" s="27"/>
      <c r="C254" s="36"/>
      <c r="D254" s="37"/>
      <c r="E254" s="37"/>
      <c r="F254" s="42"/>
      <c r="G254" s="42"/>
      <c r="H254" s="34"/>
      <c r="I254" s="42"/>
      <c r="J254" s="35"/>
      <c r="K254" s="27"/>
      <c r="L254" s="34"/>
      <c r="M254" s="34"/>
    </row>
    <row r="255" spans="1:13" ht="30" customHeight="1">
      <c r="A255" s="27"/>
      <c r="B255" s="27"/>
      <c r="C255" s="36"/>
      <c r="D255" s="37"/>
      <c r="E255" s="37"/>
      <c r="F255" s="42"/>
      <c r="G255" s="42"/>
      <c r="H255" s="34"/>
      <c r="I255" s="42"/>
      <c r="J255" s="35"/>
      <c r="K255" s="27"/>
      <c r="L255" s="34"/>
      <c r="M255" s="34"/>
    </row>
    <row r="256" spans="1:13" ht="30" customHeight="1">
      <c r="A256" s="27"/>
      <c r="B256" s="27"/>
      <c r="C256" s="36"/>
      <c r="D256" s="37"/>
      <c r="E256" s="37"/>
      <c r="F256" s="42"/>
      <c r="G256" s="42"/>
      <c r="H256" s="34"/>
      <c r="I256" s="42"/>
      <c r="J256" s="35"/>
      <c r="K256" s="27"/>
      <c r="L256" s="34"/>
      <c r="M256" s="34"/>
    </row>
    <row r="257" spans="1:13" ht="30" customHeight="1">
      <c r="A257" s="27"/>
      <c r="B257" s="27"/>
      <c r="C257" s="36"/>
      <c r="D257" s="37"/>
      <c r="E257" s="37"/>
      <c r="F257" s="42"/>
      <c r="G257" s="42"/>
      <c r="H257" s="34"/>
      <c r="I257" s="42"/>
      <c r="J257" s="35"/>
      <c r="K257" s="27"/>
      <c r="L257" s="34"/>
      <c r="M257" s="34"/>
    </row>
    <row r="258" spans="1:13" ht="30" customHeight="1">
      <c r="A258" s="27"/>
      <c r="B258" s="27"/>
      <c r="C258" s="36"/>
      <c r="D258" s="37"/>
      <c r="E258" s="37"/>
      <c r="F258" s="42"/>
      <c r="G258" s="42"/>
      <c r="H258" s="34"/>
      <c r="I258" s="42"/>
      <c r="J258" s="35"/>
      <c r="K258" s="27"/>
      <c r="L258" s="34"/>
      <c r="M258" s="34"/>
    </row>
    <row r="259" spans="1:13" ht="30" customHeight="1">
      <c r="A259" s="27"/>
      <c r="B259" s="27"/>
      <c r="C259" s="36"/>
      <c r="D259" s="37"/>
      <c r="E259" s="37"/>
      <c r="F259" s="42"/>
      <c r="G259" s="42"/>
      <c r="H259" s="34"/>
      <c r="I259" s="42"/>
      <c r="J259" s="35"/>
      <c r="K259" s="27"/>
      <c r="L259" s="34"/>
      <c r="M259" s="34"/>
    </row>
    <row r="260" spans="1:13" ht="30" customHeight="1">
      <c r="A260" s="27"/>
      <c r="B260" s="27"/>
      <c r="C260" s="36"/>
      <c r="D260" s="37"/>
      <c r="E260" s="37"/>
      <c r="F260" s="42"/>
      <c r="G260" s="42"/>
      <c r="H260" s="34"/>
      <c r="I260" s="42"/>
      <c r="J260" s="35"/>
      <c r="K260" s="27"/>
      <c r="L260" s="34"/>
      <c r="M260" s="34"/>
    </row>
    <row r="261" spans="1:13" ht="30" customHeight="1">
      <c r="A261" s="27"/>
      <c r="B261" s="27"/>
      <c r="C261" s="36"/>
      <c r="D261" s="37"/>
      <c r="E261" s="37"/>
      <c r="F261" s="42"/>
      <c r="G261" s="42"/>
      <c r="H261" s="34"/>
      <c r="I261" s="42"/>
      <c r="J261" s="35"/>
      <c r="K261" s="27"/>
      <c r="L261" s="34"/>
      <c r="M261" s="34"/>
    </row>
    <row r="262" spans="1:13" ht="30" customHeight="1">
      <c r="A262" s="27"/>
      <c r="B262" s="27"/>
      <c r="C262" s="36"/>
      <c r="D262" s="37"/>
      <c r="E262" s="37"/>
      <c r="F262" s="42"/>
      <c r="G262" s="42"/>
      <c r="H262" s="34"/>
      <c r="I262" s="42"/>
      <c r="J262" s="35"/>
      <c r="K262" s="27"/>
      <c r="L262" s="34"/>
      <c r="M262" s="34"/>
    </row>
    <row r="263" spans="1:13" ht="30" customHeight="1">
      <c r="A263" s="27"/>
      <c r="B263" s="27"/>
      <c r="C263" s="36"/>
      <c r="D263" s="37"/>
      <c r="E263" s="37"/>
      <c r="F263" s="42"/>
      <c r="G263" s="42"/>
      <c r="H263" s="34"/>
      <c r="I263" s="42"/>
      <c r="J263" s="35"/>
      <c r="K263" s="27"/>
      <c r="L263" s="34"/>
      <c r="M263" s="34"/>
    </row>
    <row r="264" spans="1:13" ht="30" customHeight="1">
      <c r="A264" s="27"/>
      <c r="B264" s="27"/>
      <c r="C264" s="36"/>
      <c r="D264" s="37"/>
      <c r="E264" s="37"/>
      <c r="F264" s="42"/>
      <c r="G264" s="42"/>
      <c r="H264" s="34"/>
      <c r="I264" s="42"/>
      <c r="J264" s="35"/>
      <c r="K264" s="27"/>
      <c r="L264" s="34"/>
      <c r="M264" s="34"/>
    </row>
    <row r="265" spans="1:13" ht="30" customHeight="1">
      <c r="A265" s="27"/>
      <c r="B265" s="27"/>
      <c r="C265" s="36"/>
      <c r="D265" s="37"/>
      <c r="E265" s="37"/>
      <c r="F265" s="42"/>
      <c r="G265" s="42"/>
      <c r="H265" s="34"/>
      <c r="I265" s="42"/>
      <c r="J265" s="35"/>
      <c r="K265" s="27"/>
      <c r="L265" s="34"/>
      <c r="M265" s="34"/>
    </row>
    <row r="266" spans="1:13" ht="30" customHeight="1">
      <c r="A266" s="27"/>
      <c r="B266" s="27"/>
      <c r="C266" s="36"/>
      <c r="D266" s="37"/>
      <c r="E266" s="37"/>
      <c r="F266" s="42"/>
      <c r="G266" s="42"/>
      <c r="H266" s="34"/>
      <c r="I266" s="42"/>
      <c r="J266" s="35"/>
      <c r="K266" s="27"/>
      <c r="L266" s="34"/>
      <c r="M266" s="34"/>
    </row>
    <row r="267" spans="1:13" ht="30" customHeight="1">
      <c r="A267" s="27"/>
      <c r="B267" s="27"/>
      <c r="C267" s="36"/>
      <c r="D267" s="37"/>
      <c r="E267" s="37"/>
      <c r="F267" s="42"/>
      <c r="G267" s="42"/>
      <c r="H267" s="34"/>
      <c r="I267" s="42"/>
      <c r="J267" s="35"/>
      <c r="K267" s="27"/>
      <c r="L267" s="34"/>
      <c r="M267" s="34"/>
    </row>
    <row r="268" spans="1:13" ht="30" customHeight="1">
      <c r="A268" s="27"/>
      <c r="B268" s="27"/>
      <c r="C268" s="36"/>
      <c r="D268" s="37"/>
      <c r="E268" s="37"/>
      <c r="F268" s="42"/>
      <c r="G268" s="42"/>
      <c r="H268" s="34"/>
      <c r="I268" s="42"/>
      <c r="J268" s="35"/>
      <c r="K268" s="27"/>
      <c r="L268" s="34"/>
      <c r="M268" s="34"/>
    </row>
    <row r="269" spans="1:13" ht="30" customHeight="1">
      <c r="A269" s="27"/>
      <c r="B269" s="27"/>
      <c r="C269" s="36"/>
      <c r="D269" s="37"/>
      <c r="E269" s="37"/>
      <c r="F269" s="42"/>
      <c r="G269" s="42"/>
      <c r="H269" s="34"/>
      <c r="J269" s="34"/>
      <c r="K269" s="27"/>
      <c r="L269" s="34"/>
      <c r="M269" s="34"/>
    </row>
    <row r="270" spans="1:13" ht="30" customHeight="1">
      <c r="A270" s="27"/>
      <c r="B270" s="27"/>
      <c r="C270" s="36"/>
      <c r="D270" s="37"/>
      <c r="E270" s="37"/>
      <c r="F270" s="42"/>
      <c r="G270" s="42"/>
      <c r="H270" s="34"/>
      <c r="J270" s="42"/>
      <c r="K270" s="27"/>
      <c r="L270" s="34"/>
      <c r="M270" s="34"/>
    </row>
    <row r="271" spans="1:13" ht="30" customHeight="1">
      <c r="A271" s="27"/>
      <c r="B271" s="27"/>
      <c r="C271" s="36"/>
      <c r="D271" s="37"/>
      <c r="E271" s="37"/>
      <c r="F271" s="42"/>
      <c r="G271" s="42"/>
      <c r="H271" s="34"/>
      <c r="I271" s="42"/>
      <c r="J271" s="35"/>
      <c r="K271" s="27"/>
      <c r="L271" s="34"/>
      <c r="M271" s="34"/>
    </row>
    <row r="272" spans="1:13" ht="30" customHeight="1">
      <c r="A272" s="27"/>
      <c r="B272" s="27"/>
      <c r="C272" s="36"/>
      <c r="D272" s="37"/>
      <c r="E272" s="37"/>
      <c r="F272" s="42"/>
      <c r="G272" s="42"/>
      <c r="H272" s="34"/>
      <c r="I272" s="42"/>
      <c r="J272" s="35"/>
      <c r="K272" s="27"/>
      <c r="L272" s="34"/>
      <c r="M272" s="34"/>
    </row>
    <row r="273" spans="1:13" ht="30" customHeight="1">
      <c r="A273" s="27"/>
      <c r="B273" s="27"/>
      <c r="C273" s="36"/>
      <c r="D273" s="37"/>
      <c r="E273" s="37"/>
      <c r="F273" s="42"/>
      <c r="G273" s="42"/>
      <c r="H273" s="34"/>
      <c r="I273" s="42"/>
      <c r="J273" s="35"/>
      <c r="K273" s="27"/>
      <c r="L273" s="34"/>
      <c r="M273" s="34"/>
    </row>
    <row r="274" spans="1:13" ht="30" customHeight="1">
      <c r="A274" s="27"/>
      <c r="B274" s="27"/>
      <c r="C274" s="36"/>
      <c r="D274" s="37"/>
      <c r="E274" s="37"/>
      <c r="F274" s="42"/>
      <c r="G274" s="42"/>
      <c r="H274" s="34"/>
      <c r="I274" s="42"/>
      <c r="J274" s="35"/>
      <c r="K274" s="27"/>
      <c r="L274" s="34"/>
      <c r="M274" s="34"/>
    </row>
    <row r="275" spans="1:13" ht="30" customHeight="1">
      <c r="A275" s="27"/>
      <c r="B275" s="27"/>
      <c r="C275" s="36"/>
      <c r="D275" s="37"/>
      <c r="E275" s="37"/>
      <c r="F275" s="42"/>
      <c r="G275" s="42"/>
      <c r="H275" s="34"/>
      <c r="I275" s="42"/>
      <c r="J275" s="35"/>
      <c r="K275" s="27"/>
      <c r="L275" s="34"/>
      <c r="M275" s="34"/>
    </row>
    <row r="276" spans="1:13" ht="30" customHeight="1">
      <c r="A276" s="27"/>
      <c r="B276" s="27"/>
      <c r="C276" s="36"/>
      <c r="D276" s="37"/>
      <c r="E276" s="37"/>
      <c r="F276" s="42"/>
      <c r="G276" s="42"/>
      <c r="H276" s="34"/>
      <c r="I276" s="42"/>
      <c r="J276" s="35"/>
      <c r="K276" s="27"/>
      <c r="L276" s="34"/>
      <c r="M276" s="34"/>
    </row>
    <row r="277" spans="1:13" ht="30" customHeight="1">
      <c r="A277" s="27"/>
      <c r="B277" s="27"/>
      <c r="C277" s="36"/>
      <c r="D277" s="37"/>
      <c r="E277" s="37"/>
      <c r="F277" s="42"/>
      <c r="G277" s="42"/>
      <c r="H277" s="34"/>
      <c r="I277" s="42"/>
      <c r="J277" s="35"/>
      <c r="K277" s="27"/>
      <c r="L277" s="34"/>
      <c r="M277" s="34"/>
    </row>
    <row r="278" spans="1:13" ht="30" customHeight="1">
      <c r="A278" s="27"/>
      <c r="B278" s="27"/>
      <c r="C278" s="36"/>
      <c r="D278" s="37"/>
      <c r="E278" s="37"/>
      <c r="F278" s="42"/>
      <c r="G278" s="42"/>
      <c r="H278" s="34"/>
      <c r="I278" s="42"/>
      <c r="J278" s="35"/>
      <c r="K278" s="27"/>
      <c r="L278" s="34"/>
      <c r="M278" s="34"/>
    </row>
    <row r="279" spans="1:13" ht="30" customHeight="1">
      <c r="A279" s="27"/>
      <c r="B279" s="27"/>
      <c r="C279" s="36"/>
      <c r="D279" s="37"/>
      <c r="E279" s="37"/>
      <c r="F279" s="42"/>
      <c r="G279" s="42"/>
      <c r="H279" s="34"/>
      <c r="I279" s="42"/>
      <c r="J279" s="35"/>
      <c r="K279" s="27"/>
      <c r="L279" s="34"/>
      <c r="M279" s="34"/>
    </row>
    <row r="280" spans="1:13" ht="30" customHeight="1">
      <c r="A280" s="27"/>
      <c r="B280" s="27"/>
      <c r="C280" s="36"/>
      <c r="D280" s="37"/>
      <c r="E280" s="37"/>
      <c r="F280" s="42"/>
      <c r="G280" s="42"/>
      <c r="H280" s="34"/>
      <c r="I280" s="42"/>
      <c r="J280" s="35"/>
      <c r="K280" s="27"/>
      <c r="L280" s="34"/>
      <c r="M280" s="34"/>
    </row>
    <row r="281" spans="1:13" ht="30" customHeight="1">
      <c r="A281" s="27"/>
      <c r="B281" s="27"/>
      <c r="C281" s="36"/>
      <c r="D281" s="37"/>
      <c r="E281" s="37"/>
      <c r="F281" s="42"/>
      <c r="G281" s="42"/>
      <c r="H281" s="34"/>
      <c r="I281" s="42"/>
      <c r="J281" s="35"/>
      <c r="K281" s="27"/>
      <c r="L281" s="34"/>
      <c r="M281" s="34"/>
    </row>
    <row r="282" spans="1:13" ht="30" customHeight="1">
      <c r="A282" s="27"/>
      <c r="B282" s="27"/>
      <c r="C282" s="36"/>
      <c r="D282" s="37"/>
      <c r="E282" s="37"/>
      <c r="F282" s="42"/>
      <c r="G282" s="42"/>
      <c r="H282" s="34"/>
      <c r="I282" s="42"/>
      <c r="J282" s="35"/>
      <c r="K282" s="27"/>
      <c r="L282" s="34"/>
      <c r="M282" s="34"/>
    </row>
    <row r="283" spans="1:13" ht="30" customHeight="1">
      <c r="A283" s="27"/>
      <c r="B283" s="27"/>
      <c r="C283" s="36"/>
      <c r="D283" s="37"/>
      <c r="E283" s="37"/>
      <c r="F283" s="42"/>
      <c r="G283" s="42"/>
      <c r="H283" s="34"/>
      <c r="I283" s="42"/>
      <c r="J283" s="35"/>
      <c r="K283" s="27"/>
      <c r="L283" s="34"/>
      <c r="M283" s="34"/>
    </row>
    <row r="284" spans="1:13" ht="30" customHeight="1">
      <c r="A284" s="27"/>
      <c r="B284" s="27"/>
      <c r="C284" s="36"/>
      <c r="D284" s="37"/>
      <c r="E284" s="37"/>
      <c r="F284" s="42"/>
      <c r="G284" s="42"/>
      <c r="H284" s="34"/>
      <c r="I284" s="42"/>
      <c r="J284" s="35"/>
      <c r="K284" s="27"/>
      <c r="L284" s="34"/>
      <c r="M284" s="34"/>
    </row>
    <row r="285" spans="1:13" ht="30" customHeight="1">
      <c r="A285" s="27"/>
      <c r="B285" s="27"/>
      <c r="C285" s="36"/>
      <c r="D285" s="37"/>
      <c r="E285" s="37"/>
      <c r="F285" s="42"/>
      <c r="G285" s="42"/>
      <c r="H285" s="34"/>
      <c r="I285" s="42"/>
      <c r="J285" s="35"/>
      <c r="K285" s="27"/>
      <c r="L285" s="34"/>
      <c r="M285" s="34"/>
    </row>
    <row r="286" spans="1:13" ht="30" customHeight="1">
      <c r="A286" s="27"/>
      <c r="B286" s="27"/>
      <c r="C286" s="36"/>
      <c r="D286" s="37"/>
      <c r="E286" s="37"/>
      <c r="F286" s="42"/>
      <c r="G286" s="42"/>
      <c r="H286" s="34"/>
      <c r="I286" s="42"/>
      <c r="J286" s="35"/>
      <c r="K286" s="27"/>
      <c r="L286" s="34"/>
      <c r="M286" s="34"/>
    </row>
    <row r="287" spans="1:13" ht="30" customHeight="1">
      <c r="A287" s="27"/>
      <c r="B287" s="27"/>
      <c r="C287" s="36"/>
      <c r="D287" s="37"/>
      <c r="E287" s="37"/>
      <c r="F287" s="42"/>
      <c r="G287" s="42"/>
      <c r="H287" s="34"/>
      <c r="I287" s="42"/>
      <c r="J287" s="35"/>
      <c r="K287" s="27"/>
      <c r="L287" s="34"/>
      <c r="M287" s="34"/>
    </row>
    <row r="288" spans="1:13" ht="30" customHeight="1">
      <c r="A288" s="27"/>
      <c r="B288" s="27"/>
      <c r="C288" s="36"/>
      <c r="D288" s="37"/>
      <c r="E288" s="37"/>
      <c r="F288" s="42"/>
      <c r="G288" s="42"/>
      <c r="H288" s="34"/>
      <c r="I288" s="42"/>
      <c r="J288" s="35"/>
      <c r="K288" s="27"/>
      <c r="L288" s="34"/>
      <c r="M288" s="34"/>
    </row>
    <row r="289" spans="1:13" ht="30" customHeight="1">
      <c r="A289" s="27"/>
      <c r="B289" s="27"/>
      <c r="C289" s="36"/>
      <c r="D289" s="37"/>
      <c r="E289" s="37"/>
      <c r="F289" s="42"/>
      <c r="G289" s="42"/>
      <c r="H289" s="34"/>
      <c r="I289" s="42"/>
      <c r="J289" s="35"/>
      <c r="K289" s="27"/>
      <c r="L289" s="34"/>
      <c r="M289" s="34"/>
    </row>
    <row r="290" spans="1:13" ht="30" customHeight="1">
      <c r="A290" s="27"/>
      <c r="B290" s="27"/>
      <c r="C290" s="36"/>
      <c r="D290" s="37"/>
      <c r="E290" s="37"/>
      <c r="F290" s="42"/>
      <c r="G290" s="42"/>
      <c r="H290" s="34"/>
      <c r="I290" s="42"/>
      <c r="J290" s="35"/>
      <c r="K290" s="27"/>
      <c r="L290" s="34"/>
      <c r="M290" s="34"/>
    </row>
    <row r="291" spans="1:13" ht="30" customHeight="1">
      <c r="A291" s="27"/>
      <c r="B291" s="27"/>
      <c r="C291" s="36"/>
      <c r="D291" s="37"/>
      <c r="E291" s="37"/>
      <c r="F291" s="42"/>
      <c r="G291" s="42"/>
      <c r="H291" s="34"/>
      <c r="I291" s="42"/>
      <c r="J291" s="35"/>
      <c r="K291" s="27"/>
      <c r="L291" s="34"/>
      <c r="M291" s="34"/>
    </row>
    <row r="292" spans="1:13" ht="30" customHeight="1">
      <c r="A292" s="27"/>
      <c r="B292" s="27"/>
      <c r="C292" s="36"/>
      <c r="D292" s="37"/>
      <c r="E292" s="37"/>
      <c r="F292" s="42"/>
      <c r="G292" s="42"/>
      <c r="H292" s="34"/>
      <c r="I292" s="42"/>
      <c r="J292" s="35"/>
      <c r="K292" s="27"/>
      <c r="L292" s="34"/>
      <c r="M292" s="34"/>
    </row>
    <row r="293" spans="1:13" ht="30" customHeight="1">
      <c r="A293" s="27"/>
      <c r="B293" s="27"/>
      <c r="C293" s="36"/>
      <c r="D293" s="37"/>
      <c r="E293" s="37"/>
      <c r="F293" s="42"/>
      <c r="G293" s="42"/>
      <c r="H293" s="34"/>
      <c r="I293" s="42"/>
      <c r="J293" s="35"/>
      <c r="K293" s="27"/>
      <c r="L293" s="34"/>
      <c r="M293" s="34"/>
    </row>
    <row r="294" spans="1:13" ht="30" customHeight="1">
      <c r="A294" s="27"/>
      <c r="B294" s="27"/>
      <c r="C294" s="36"/>
      <c r="D294" s="37"/>
      <c r="E294" s="37"/>
      <c r="F294" s="42"/>
      <c r="G294" s="42"/>
      <c r="H294" s="34"/>
      <c r="I294" s="42"/>
      <c r="J294" s="35"/>
      <c r="K294" s="27"/>
      <c r="L294" s="34"/>
      <c r="M294" s="34"/>
    </row>
    <row r="295" spans="1:13" ht="30" customHeight="1">
      <c r="A295" s="27"/>
      <c r="B295" s="27"/>
      <c r="C295" s="36"/>
      <c r="D295" s="37"/>
      <c r="E295" s="37"/>
      <c r="F295" s="42"/>
      <c r="G295" s="42"/>
      <c r="H295" s="34"/>
      <c r="I295" s="42"/>
      <c r="J295" s="35"/>
      <c r="K295" s="27"/>
      <c r="L295" s="34"/>
      <c r="M295" s="34"/>
    </row>
    <row r="296" spans="1:13" ht="30" customHeight="1">
      <c r="A296" s="27"/>
      <c r="B296" s="27"/>
      <c r="C296" s="36"/>
      <c r="D296" s="37"/>
      <c r="E296" s="37"/>
      <c r="F296" s="42"/>
      <c r="G296" s="42"/>
      <c r="H296" s="34"/>
      <c r="I296" s="42"/>
      <c r="J296" s="35"/>
      <c r="K296" s="27"/>
      <c r="L296" s="34"/>
      <c r="M296" s="34"/>
    </row>
    <row r="297" spans="1:13" ht="30" customHeight="1">
      <c r="A297" s="27"/>
      <c r="B297" s="27"/>
      <c r="C297" s="36"/>
      <c r="D297" s="37"/>
      <c r="E297" s="37"/>
      <c r="F297" s="42"/>
      <c r="G297" s="42"/>
      <c r="H297" s="34"/>
      <c r="I297" s="42"/>
      <c r="J297" s="35"/>
      <c r="K297" s="27"/>
      <c r="L297" s="34"/>
      <c r="M297" s="34"/>
    </row>
    <row r="298" spans="1:13" ht="30" customHeight="1">
      <c r="A298" s="27"/>
      <c r="B298" s="27"/>
      <c r="C298" s="36"/>
      <c r="D298" s="37"/>
      <c r="E298" s="37"/>
      <c r="F298" s="42"/>
      <c r="G298" s="42"/>
      <c r="H298" s="34"/>
      <c r="I298" s="42"/>
      <c r="J298" s="35"/>
      <c r="K298" s="27"/>
      <c r="L298" s="34"/>
      <c r="M298" s="34"/>
    </row>
    <row r="299" spans="1:13" ht="30" customHeight="1">
      <c r="A299" s="27"/>
      <c r="B299" s="27"/>
      <c r="C299" s="36"/>
      <c r="D299" s="37"/>
      <c r="E299" s="37"/>
      <c r="F299" s="42"/>
      <c r="G299" s="42"/>
      <c r="H299" s="34"/>
      <c r="I299" s="42"/>
      <c r="J299" s="35"/>
      <c r="K299" s="27"/>
      <c r="L299" s="34"/>
      <c r="M299" s="34"/>
    </row>
    <row r="300" spans="1:13" ht="30" customHeight="1">
      <c r="A300" s="27"/>
      <c r="B300" s="27"/>
      <c r="C300" s="36"/>
      <c r="D300" s="37"/>
      <c r="E300" s="37"/>
      <c r="F300" s="42"/>
      <c r="G300" s="42"/>
      <c r="H300" s="34"/>
      <c r="I300" s="42"/>
      <c r="J300" s="35"/>
      <c r="K300" s="27"/>
      <c r="L300" s="34"/>
      <c r="M300" s="34"/>
    </row>
    <row r="301" spans="1:13" ht="30" customHeight="1">
      <c r="A301" s="27"/>
      <c r="B301" s="27"/>
      <c r="C301" s="36"/>
      <c r="D301" s="37"/>
      <c r="E301" s="37"/>
      <c r="F301" s="42"/>
      <c r="G301" s="42"/>
      <c r="H301" s="34"/>
      <c r="I301" s="42"/>
      <c r="J301" s="35"/>
      <c r="K301" s="27"/>
      <c r="L301" s="34"/>
      <c r="M301" s="34"/>
    </row>
    <row r="302" spans="1:13" ht="30" customHeight="1">
      <c r="A302" s="27"/>
      <c r="B302" s="27"/>
      <c r="C302" s="36"/>
      <c r="D302" s="37"/>
      <c r="E302" s="37"/>
      <c r="F302" s="42"/>
      <c r="G302" s="42"/>
      <c r="H302" s="34"/>
      <c r="I302" s="42"/>
      <c r="J302" s="35"/>
      <c r="K302" s="27"/>
      <c r="L302" s="34"/>
      <c r="M302" s="34"/>
    </row>
    <row r="303" spans="1:13" ht="30" customHeight="1">
      <c r="A303" s="27"/>
      <c r="B303" s="27"/>
      <c r="C303" s="36"/>
      <c r="D303" s="37"/>
      <c r="E303" s="37"/>
      <c r="F303" s="42"/>
      <c r="G303" s="42"/>
      <c r="H303" s="34"/>
      <c r="I303" s="42"/>
      <c r="J303" s="35"/>
      <c r="K303" s="27"/>
      <c r="L303" s="34"/>
      <c r="M303" s="34"/>
    </row>
    <row r="304" spans="1:13" ht="30" customHeight="1">
      <c r="A304" s="27"/>
      <c r="B304" s="27"/>
      <c r="C304" s="36"/>
      <c r="D304" s="37"/>
      <c r="E304" s="37"/>
      <c r="F304" s="42"/>
      <c r="G304" s="42"/>
      <c r="H304" s="34"/>
      <c r="I304" s="42"/>
      <c r="J304" s="35"/>
      <c r="K304" s="27"/>
      <c r="L304" s="34"/>
      <c r="M304" s="34"/>
    </row>
    <row r="305" spans="1:13" ht="30" customHeight="1">
      <c r="A305" s="27"/>
      <c r="B305" s="27"/>
      <c r="C305" s="36"/>
      <c r="D305" s="37"/>
      <c r="E305" s="37"/>
      <c r="F305" s="42"/>
      <c r="G305" s="42"/>
      <c r="H305" s="34"/>
      <c r="I305" s="42"/>
      <c r="J305" s="35"/>
      <c r="K305" s="27"/>
      <c r="L305" s="34"/>
      <c r="M305" s="34"/>
    </row>
    <row r="306" spans="1:13" ht="30" customHeight="1">
      <c r="A306" s="27"/>
      <c r="B306" s="27"/>
      <c r="C306" s="36"/>
      <c r="D306" s="37"/>
      <c r="E306" s="37"/>
      <c r="F306" s="42"/>
      <c r="G306" s="42"/>
      <c r="H306" s="34"/>
      <c r="I306" s="42"/>
      <c r="J306" s="35"/>
      <c r="K306" s="27"/>
      <c r="L306" s="34"/>
      <c r="M306" s="34"/>
    </row>
    <row r="307" spans="1:13" ht="30" customHeight="1">
      <c r="A307" s="27"/>
      <c r="B307" s="27"/>
      <c r="C307" s="36"/>
      <c r="D307" s="37"/>
      <c r="E307" s="37"/>
      <c r="F307" s="42"/>
      <c r="G307" s="42"/>
      <c r="H307" s="34"/>
      <c r="I307" s="42"/>
      <c r="J307" s="35"/>
      <c r="K307" s="27"/>
      <c r="L307" s="34"/>
      <c r="M307" s="34"/>
    </row>
    <row r="308" spans="1:13" ht="30" customHeight="1">
      <c r="A308" s="27"/>
      <c r="B308" s="27"/>
      <c r="C308" s="36"/>
      <c r="D308" s="37"/>
      <c r="E308" s="37"/>
      <c r="F308" s="42"/>
      <c r="G308" s="42"/>
      <c r="H308" s="34"/>
      <c r="I308" s="42"/>
      <c r="J308" s="35"/>
      <c r="K308" s="27"/>
      <c r="L308" s="34"/>
      <c r="M308" s="34"/>
    </row>
    <row r="309" spans="1:13" ht="30" customHeight="1">
      <c r="A309" s="27"/>
      <c r="B309" s="27"/>
      <c r="C309" s="36"/>
      <c r="D309" s="37"/>
      <c r="E309" s="37"/>
      <c r="F309" s="42"/>
      <c r="G309" s="42"/>
      <c r="H309" s="34"/>
      <c r="I309" s="42"/>
      <c r="J309" s="35"/>
      <c r="K309" s="27"/>
      <c r="L309" s="34"/>
      <c r="M309" s="34"/>
    </row>
    <row r="310" spans="1:13" ht="30" customHeight="1">
      <c r="A310" s="27"/>
      <c r="B310" s="27"/>
      <c r="C310" s="36"/>
      <c r="D310" s="37"/>
      <c r="E310" s="37"/>
      <c r="F310" s="42"/>
      <c r="G310" s="42"/>
      <c r="H310" s="34"/>
      <c r="I310" s="42"/>
      <c r="J310" s="35"/>
      <c r="K310" s="27"/>
      <c r="L310" s="34"/>
      <c r="M310" s="34"/>
    </row>
    <row r="311" spans="1:13" ht="30" customHeight="1">
      <c r="A311" s="27"/>
      <c r="B311" s="27"/>
      <c r="C311" s="36"/>
      <c r="D311" s="37"/>
      <c r="E311" s="37"/>
      <c r="F311" s="42"/>
      <c r="G311" s="42"/>
      <c r="H311" s="34"/>
      <c r="I311" s="42"/>
      <c r="J311" s="35"/>
      <c r="K311" s="27"/>
      <c r="L311" s="34"/>
      <c r="M311" s="34"/>
    </row>
    <row r="312" spans="1:13" ht="30" customHeight="1">
      <c r="A312" s="27"/>
      <c r="B312" s="27"/>
      <c r="C312" s="36"/>
      <c r="D312" s="37"/>
      <c r="E312" s="37"/>
      <c r="F312" s="42"/>
      <c r="G312" s="42"/>
      <c r="H312" s="34"/>
      <c r="I312" s="42"/>
      <c r="J312" s="35"/>
      <c r="K312" s="27"/>
      <c r="L312" s="34"/>
      <c r="M312" s="34"/>
    </row>
    <row r="313" spans="1:13" ht="30" customHeight="1">
      <c r="A313" s="27"/>
      <c r="B313" s="27"/>
      <c r="C313" s="36"/>
      <c r="D313" s="37"/>
      <c r="E313" s="37"/>
      <c r="F313" s="42"/>
      <c r="G313" s="42"/>
      <c r="H313" s="34"/>
      <c r="I313" s="42"/>
      <c r="J313" s="35"/>
      <c r="K313" s="27"/>
      <c r="L313" s="34"/>
      <c r="M313" s="34"/>
    </row>
    <row r="314" spans="1:13" ht="30" customHeight="1">
      <c r="A314" s="27"/>
      <c r="B314" s="27"/>
      <c r="C314" s="36"/>
      <c r="D314" s="37"/>
      <c r="E314" s="37"/>
      <c r="F314" s="42"/>
      <c r="G314" s="42"/>
      <c r="H314" s="34"/>
      <c r="I314" s="42"/>
      <c r="J314" s="35"/>
      <c r="K314" s="27"/>
      <c r="L314" s="34"/>
      <c r="M314" s="34"/>
    </row>
    <row r="315" spans="1:13" ht="30" customHeight="1">
      <c r="A315" s="27"/>
      <c r="B315" s="27"/>
      <c r="C315" s="36"/>
      <c r="D315" s="37"/>
      <c r="E315" s="37"/>
      <c r="F315" s="42"/>
      <c r="G315" s="42"/>
      <c r="H315" s="34"/>
      <c r="I315" s="42"/>
      <c r="J315" s="35"/>
      <c r="K315" s="27"/>
      <c r="L315" s="34"/>
      <c r="M315" s="34"/>
    </row>
    <row r="316" spans="1:13" ht="30" customHeight="1">
      <c r="A316" s="27"/>
      <c r="B316" s="27"/>
      <c r="C316" s="36"/>
      <c r="D316" s="37"/>
      <c r="E316" s="37"/>
      <c r="F316" s="42"/>
      <c r="G316" s="42"/>
      <c r="H316" s="34"/>
      <c r="I316" s="42"/>
      <c r="J316" s="35"/>
      <c r="K316" s="27"/>
      <c r="L316" s="34"/>
      <c r="M316" s="34"/>
    </row>
    <row r="317" spans="1:13" ht="30" customHeight="1">
      <c r="A317" s="27"/>
      <c r="B317" s="27"/>
      <c r="C317" s="36"/>
      <c r="D317" s="37"/>
      <c r="E317" s="37"/>
      <c r="F317" s="42"/>
      <c r="G317" s="42"/>
      <c r="H317" s="34"/>
      <c r="I317" s="42"/>
      <c r="J317" s="35"/>
      <c r="K317" s="27"/>
      <c r="L317" s="34"/>
      <c r="M317" s="34"/>
    </row>
    <row r="318" spans="1:13" ht="30" customHeight="1">
      <c r="A318" s="27"/>
      <c r="B318" s="27"/>
      <c r="C318" s="36"/>
      <c r="D318" s="37"/>
      <c r="E318" s="37"/>
      <c r="F318" s="42"/>
      <c r="G318" s="42"/>
      <c r="H318" s="34"/>
      <c r="I318" s="42"/>
      <c r="J318" s="35"/>
      <c r="K318" s="27"/>
      <c r="L318" s="34"/>
      <c r="M318" s="34"/>
    </row>
    <row r="319" spans="1:13" ht="30" customHeight="1">
      <c r="A319" s="27"/>
      <c r="B319" s="27"/>
      <c r="C319" s="36"/>
      <c r="D319" s="37"/>
      <c r="E319" s="37"/>
      <c r="F319" s="42"/>
      <c r="G319" s="42"/>
      <c r="H319" s="34"/>
      <c r="I319" s="42"/>
      <c r="J319" s="35"/>
      <c r="K319" s="27"/>
      <c r="L319" s="34"/>
      <c r="M319" s="34"/>
    </row>
    <row r="320" spans="1:13" ht="30" customHeight="1">
      <c r="A320" s="27"/>
      <c r="B320" s="27"/>
      <c r="C320" s="36"/>
      <c r="D320" s="37"/>
      <c r="E320" s="37"/>
      <c r="F320" s="42"/>
      <c r="G320" s="42"/>
      <c r="H320" s="34"/>
      <c r="I320" s="42"/>
      <c r="J320" s="35"/>
      <c r="K320" s="27"/>
      <c r="L320" s="34"/>
      <c r="M320" s="34"/>
    </row>
    <row r="321" spans="1:13" ht="30" customHeight="1">
      <c r="A321" s="27"/>
      <c r="B321" s="27"/>
      <c r="C321" s="36"/>
      <c r="D321" s="37"/>
      <c r="E321" s="37"/>
      <c r="F321" s="42"/>
      <c r="G321" s="42"/>
      <c r="H321" s="34"/>
      <c r="I321" s="42"/>
      <c r="J321" s="35"/>
      <c r="K321" s="27"/>
      <c r="L321" s="34"/>
      <c r="M321" s="34"/>
    </row>
    <row r="322" spans="1:13" ht="30" customHeight="1">
      <c r="A322" s="27"/>
      <c r="B322" s="27"/>
      <c r="C322" s="36"/>
      <c r="D322" s="37"/>
      <c r="E322" s="37"/>
      <c r="F322" s="42"/>
      <c r="G322" s="42"/>
      <c r="H322" s="34"/>
      <c r="I322" s="42"/>
      <c r="J322" s="35"/>
      <c r="K322" s="27"/>
      <c r="L322" s="34"/>
      <c r="M322" s="34"/>
    </row>
    <row r="323" spans="1:13" ht="30" customHeight="1">
      <c r="A323" s="27"/>
      <c r="B323" s="27"/>
      <c r="C323" s="36"/>
      <c r="D323" s="37"/>
      <c r="E323" s="37"/>
      <c r="F323" s="42"/>
      <c r="G323" s="42"/>
      <c r="H323" s="34"/>
      <c r="I323" s="42"/>
      <c r="J323" s="35"/>
      <c r="K323" s="27"/>
      <c r="L323" s="34"/>
      <c r="M323" s="34"/>
    </row>
    <row r="324" spans="1:13" ht="30" customHeight="1">
      <c r="A324" s="27"/>
      <c r="B324" s="27"/>
      <c r="C324" s="36"/>
      <c r="D324" s="37"/>
      <c r="E324" s="37"/>
      <c r="F324" s="42"/>
      <c r="G324" s="42"/>
      <c r="H324" s="34"/>
      <c r="I324" s="42"/>
      <c r="J324" s="35"/>
      <c r="K324" s="27"/>
      <c r="L324" s="34"/>
      <c r="M324" s="34"/>
    </row>
    <row r="325" spans="1:13" ht="30" customHeight="1">
      <c r="A325" s="27"/>
      <c r="B325" s="27"/>
      <c r="C325" s="36"/>
      <c r="D325" s="37"/>
      <c r="E325" s="37"/>
      <c r="F325" s="42"/>
      <c r="G325" s="42"/>
      <c r="H325" s="34"/>
      <c r="I325" s="42"/>
      <c r="J325" s="35"/>
      <c r="K325" s="27"/>
      <c r="L325" s="34"/>
      <c r="M325" s="34"/>
    </row>
    <row r="326" spans="1:13" ht="30" customHeight="1">
      <c r="A326" s="27"/>
      <c r="B326" s="27"/>
      <c r="C326" s="36"/>
      <c r="D326" s="37"/>
      <c r="E326" s="37"/>
      <c r="F326" s="42"/>
      <c r="G326" s="42"/>
      <c r="H326" s="34"/>
      <c r="I326" s="42"/>
      <c r="J326" s="35"/>
      <c r="K326" s="27"/>
      <c r="L326" s="34"/>
      <c r="M326" s="34"/>
    </row>
    <row r="327" spans="1:13" ht="30" customHeight="1">
      <c r="A327" s="27"/>
      <c r="B327" s="27"/>
      <c r="C327" s="36"/>
      <c r="D327" s="37"/>
      <c r="E327" s="37"/>
      <c r="F327" s="42"/>
      <c r="G327" s="42"/>
      <c r="H327" s="34"/>
      <c r="I327" s="42"/>
      <c r="J327" s="35"/>
      <c r="K327" s="27"/>
      <c r="L327" s="34"/>
      <c r="M327" s="34"/>
    </row>
    <row r="328" spans="1:13" ht="30" customHeight="1">
      <c r="A328" s="27"/>
      <c r="B328" s="27"/>
      <c r="C328" s="36"/>
      <c r="D328" s="37"/>
      <c r="E328" s="37"/>
      <c r="F328" s="42"/>
      <c r="G328" s="42"/>
      <c r="H328" s="34"/>
      <c r="I328" s="42"/>
      <c r="J328" s="35"/>
      <c r="K328" s="27"/>
      <c r="L328" s="34"/>
      <c r="M328" s="34"/>
    </row>
    <row r="329" spans="1:13" ht="30" customHeight="1">
      <c r="A329" s="27"/>
      <c r="B329" s="27"/>
      <c r="C329" s="36"/>
      <c r="D329" s="37"/>
      <c r="E329" s="37"/>
      <c r="F329" s="42"/>
      <c r="G329" s="42"/>
      <c r="H329" s="34"/>
      <c r="I329" s="42"/>
      <c r="J329" s="35"/>
      <c r="K329" s="27"/>
      <c r="L329" s="34"/>
      <c r="M329" s="34"/>
    </row>
    <row r="330" spans="1:13" ht="30" customHeight="1">
      <c r="A330" s="27"/>
      <c r="B330" s="27"/>
      <c r="C330" s="36"/>
      <c r="D330" s="37"/>
      <c r="E330" s="37"/>
      <c r="F330" s="42"/>
      <c r="G330" s="42"/>
      <c r="H330" s="34"/>
      <c r="I330" s="42"/>
      <c r="J330" s="35"/>
      <c r="K330" s="27"/>
      <c r="L330" s="34"/>
      <c r="M330" s="34"/>
    </row>
    <row r="331" spans="1:13" ht="30" customHeight="1">
      <c r="A331" s="27"/>
      <c r="B331" s="27"/>
      <c r="C331" s="36"/>
      <c r="D331" s="37"/>
      <c r="E331" s="37"/>
      <c r="F331" s="42"/>
      <c r="G331" s="42"/>
      <c r="H331" s="34"/>
      <c r="I331" s="42"/>
      <c r="J331" s="35"/>
      <c r="K331" s="27"/>
      <c r="L331" s="34"/>
      <c r="M331" s="34"/>
    </row>
    <row r="332" spans="1:13" ht="30" customHeight="1">
      <c r="A332" s="27"/>
      <c r="B332" s="27"/>
      <c r="C332" s="36"/>
      <c r="D332" s="37"/>
      <c r="E332" s="37"/>
      <c r="F332" s="42"/>
      <c r="G332" s="42"/>
      <c r="H332" s="34"/>
      <c r="I332" s="42"/>
      <c r="J332" s="35"/>
      <c r="K332" s="27"/>
      <c r="L332" s="34"/>
      <c r="M332" s="34"/>
    </row>
    <row r="333" spans="1:13" ht="30" customHeight="1">
      <c r="A333" s="27"/>
      <c r="B333" s="27"/>
      <c r="C333" s="36"/>
      <c r="D333" s="37"/>
      <c r="E333" s="37"/>
      <c r="F333" s="42"/>
      <c r="G333" s="42"/>
      <c r="H333" s="34"/>
      <c r="I333" s="42"/>
      <c r="J333" s="35"/>
      <c r="K333" s="27"/>
      <c r="L333" s="34"/>
      <c r="M333" s="34"/>
    </row>
    <row r="334" spans="1:13" ht="30" customHeight="1">
      <c r="A334" s="27"/>
      <c r="B334" s="27"/>
      <c r="C334" s="36"/>
      <c r="D334" s="37"/>
      <c r="E334" s="37"/>
      <c r="F334" s="42"/>
      <c r="G334" s="42"/>
      <c r="H334" s="34"/>
      <c r="I334" s="42"/>
      <c r="J334" s="35"/>
      <c r="K334" s="27"/>
      <c r="L334" s="34"/>
      <c r="M334" s="34"/>
    </row>
    <row r="335" spans="1:13" ht="30" customHeight="1">
      <c r="A335" s="27"/>
      <c r="B335" s="27"/>
      <c r="C335" s="36"/>
      <c r="D335" s="37"/>
      <c r="E335" s="37"/>
      <c r="F335" s="42"/>
      <c r="G335" s="42"/>
      <c r="H335" s="34"/>
      <c r="I335" s="42"/>
      <c r="J335" s="35"/>
      <c r="K335" s="27"/>
      <c r="L335" s="34"/>
      <c r="M335" s="34"/>
    </row>
    <row r="336" spans="1:13" ht="30" customHeight="1">
      <c r="A336" s="27"/>
      <c r="B336" s="27"/>
      <c r="C336" s="36"/>
      <c r="D336" s="37"/>
      <c r="E336" s="37"/>
      <c r="F336" s="42"/>
      <c r="G336" s="42"/>
      <c r="H336" s="34"/>
      <c r="I336" s="42"/>
      <c r="J336" s="35"/>
      <c r="K336" s="27"/>
      <c r="L336" s="34"/>
      <c r="M336" s="34"/>
    </row>
    <row r="337" spans="1:13" ht="30" customHeight="1">
      <c r="A337" s="27"/>
      <c r="B337" s="27"/>
      <c r="C337" s="36"/>
      <c r="D337" s="37"/>
      <c r="E337" s="37"/>
      <c r="F337" s="42"/>
      <c r="G337" s="42"/>
      <c r="H337" s="34"/>
      <c r="I337" s="42"/>
      <c r="J337" s="35"/>
      <c r="K337" s="27"/>
      <c r="L337" s="34"/>
      <c r="M337" s="34"/>
    </row>
    <row r="338" spans="1:13" ht="30" customHeight="1">
      <c r="A338" s="27"/>
      <c r="B338" s="27"/>
      <c r="C338" s="36"/>
      <c r="D338" s="37"/>
      <c r="E338" s="37"/>
      <c r="F338" s="42"/>
      <c r="G338" s="42"/>
      <c r="H338" s="34"/>
      <c r="I338" s="42"/>
      <c r="J338" s="35"/>
      <c r="K338" s="27"/>
      <c r="L338" s="34"/>
      <c r="M338" s="34"/>
    </row>
    <row r="339" spans="1:13" ht="30" customHeight="1">
      <c r="A339" s="27"/>
      <c r="B339" s="27"/>
      <c r="C339" s="36"/>
      <c r="D339" s="37"/>
      <c r="E339" s="37"/>
      <c r="F339" s="42"/>
      <c r="G339" s="42"/>
      <c r="H339" s="34"/>
      <c r="I339" s="42"/>
      <c r="J339" s="35"/>
      <c r="K339" s="27"/>
      <c r="L339" s="34"/>
      <c r="M339" s="34"/>
    </row>
    <row r="340" spans="1:13" ht="30" customHeight="1">
      <c r="A340" s="27"/>
      <c r="B340" s="27"/>
      <c r="C340" s="36"/>
      <c r="D340" s="37"/>
      <c r="E340" s="37"/>
      <c r="F340" s="42"/>
      <c r="G340" s="42"/>
      <c r="H340" s="42"/>
      <c r="J340" s="35"/>
      <c r="K340" s="27"/>
      <c r="L340" s="34"/>
      <c r="M340" s="34"/>
    </row>
    <row r="341" spans="1:13" ht="30" customHeight="1">
      <c r="A341" s="27"/>
      <c r="B341" s="27"/>
      <c r="C341" s="36"/>
      <c r="D341" s="37"/>
      <c r="E341" s="37"/>
      <c r="F341" s="42"/>
      <c r="G341" s="42"/>
      <c r="H341" s="34"/>
      <c r="I341" s="42"/>
      <c r="J341" s="35"/>
      <c r="K341" s="27"/>
      <c r="L341" s="34"/>
      <c r="M341" s="34"/>
    </row>
    <row r="342" spans="1:13" ht="30" customHeight="1">
      <c r="A342" s="27"/>
      <c r="B342" s="27"/>
      <c r="C342" s="36"/>
      <c r="D342" s="37"/>
      <c r="E342" s="37"/>
      <c r="F342" s="42"/>
      <c r="G342" s="42"/>
      <c r="H342" s="34"/>
      <c r="I342" s="42"/>
      <c r="J342" s="35"/>
      <c r="K342" s="27"/>
      <c r="L342" s="34"/>
      <c r="M342" s="34"/>
    </row>
    <row r="343" spans="1:13" ht="30" customHeight="1">
      <c r="A343" s="27"/>
      <c r="B343" s="27"/>
      <c r="C343" s="36"/>
      <c r="D343" s="37"/>
      <c r="E343" s="37"/>
      <c r="F343" s="42"/>
      <c r="G343" s="42"/>
      <c r="H343" s="34"/>
      <c r="I343" s="42"/>
      <c r="J343" s="35"/>
      <c r="K343" s="27"/>
      <c r="L343" s="34"/>
      <c r="M343" s="34"/>
    </row>
    <row r="344" spans="1:13" ht="30" customHeight="1">
      <c r="A344" s="27"/>
      <c r="B344" s="27"/>
      <c r="C344" s="36"/>
      <c r="D344" s="37"/>
      <c r="E344" s="37"/>
      <c r="F344" s="42"/>
      <c r="G344" s="42"/>
      <c r="H344" s="34"/>
      <c r="I344" s="42"/>
      <c r="J344" s="35"/>
      <c r="K344" s="27"/>
      <c r="L344" s="34"/>
      <c r="M344" s="34"/>
    </row>
    <row r="345" spans="1:13" ht="30" customHeight="1">
      <c r="A345" s="27"/>
      <c r="B345" s="27"/>
      <c r="C345" s="36"/>
      <c r="D345" s="37"/>
      <c r="E345" s="37"/>
      <c r="F345" s="42"/>
      <c r="G345" s="42"/>
      <c r="H345" s="34"/>
      <c r="I345" s="42"/>
      <c r="J345" s="35"/>
      <c r="K345" s="27"/>
      <c r="L345" s="34"/>
      <c r="M345" s="34"/>
    </row>
    <row r="346" spans="1:13" ht="30" customHeight="1">
      <c r="A346" s="27"/>
      <c r="B346" s="27"/>
      <c r="C346" s="36"/>
      <c r="D346" s="37"/>
      <c r="E346" s="37"/>
      <c r="F346" s="42"/>
      <c r="G346" s="42"/>
      <c r="H346" s="34"/>
      <c r="I346" s="42"/>
      <c r="J346" s="35"/>
      <c r="K346" s="27"/>
      <c r="L346" s="34"/>
      <c r="M346" s="34"/>
    </row>
    <row r="347" spans="1:13" ht="30" customHeight="1">
      <c r="A347" s="27"/>
      <c r="B347" s="27"/>
      <c r="C347" s="36"/>
      <c r="D347" s="37"/>
      <c r="E347" s="37"/>
      <c r="F347" s="42"/>
      <c r="G347" s="42"/>
      <c r="H347" s="34"/>
      <c r="I347" s="42"/>
      <c r="J347" s="35"/>
      <c r="K347" s="27"/>
      <c r="L347" s="34"/>
      <c r="M347" s="34"/>
    </row>
    <row r="348" spans="1:13" ht="30" customHeight="1">
      <c r="A348" s="27"/>
      <c r="B348" s="27"/>
      <c r="C348" s="36"/>
      <c r="D348" s="37"/>
      <c r="E348" s="37"/>
      <c r="F348" s="42"/>
      <c r="G348" s="42"/>
      <c r="H348" s="34"/>
      <c r="I348" s="42"/>
      <c r="J348" s="35"/>
      <c r="K348" s="27"/>
      <c r="L348" s="34"/>
      <c r="M348" s="34"/>
    </row>
    <row r="349" spans="1:13" ht="30" customHeight="1">
      <c r="A349" s="27"/>
      <c r="B349" s="27"/>
      <c r="C349" s="36"/>
      <c r="D349" s="37"/>
      <c r="E349" s="37"/>
      <c r="F349" s="42"/>
      <c r="G349" s="42"/>
      <c r="H349" s="34"/>
      <c r="I349" s="42"/>
      <c r="J349" s="35"/>
      <c r="K349" s="27"/>
      <c r="L349" s="34"/>
      <c r="M349" s="34"/>
    </row>
    <row r="350" spans="1:13" ht="30" customHeight="1">
      <c r="A350" s="27"/>
      <c r="B350" s="27"/>
      <c r="C350" s="36"/>
      <c r="D350" s="37"/>
      <c r="E350" s="37"/>
      <c r="F350" s="42"/>
      <c r="G350" s="42"/>
      <c r="H350" s="34"/>
      <c r="I350" s="42"/>
      <c r="J350" s="35"/>
      <c r="K350" s="27"/>
      <c r="L350" s="34"/>
      <c r="M350" s="34"/>
    </row>
    <row r="351" spans="1:13" ht="30" customHeight="1">
      <c r="A351" s="27"/>
      <c r="B351" s="27"/>
      <c r="C351" s="36"/>
      <c r="D351" s="37"/>
      <c r="E351" s="37"/>
      <c r="F351" s="42"/>
      <c r="G351" s="42"/>
      <c r="H351" s="34"/>
      <c r="I351" s="42"/>
      <c r="J351" s="35"/>
      <c r="K351" s="27"/>
      <c r="L351" s="34"/>
      <c r="M351" s="34"/>
    </row>
    <row r="352" spans="1:13" ht="30" customHeight="1">
      <c r="A352" s="27"/>
      <c r="B352" s="27"/>
      <c r="C352" s="36"/>
      <c r="D352" s="37"/>
      <c r="E352" s="37"/>
      <c r="F352" s="42"/>
      <c r="G352" s="42"/>
      <c r="H352" s="34"/>
      <c r="I352" s="42"/>
      <c r="J352" s="35"/>
      <c r="K352" s="27"/>
      <c r="L352" s="34"/>
      <c r="M352" s="34"/>
    </row>
    <row r="353" spans="1:13" ht="30" customHeight="1">
      <c r="A353" s="27"/>
      <c r="B353" s="27"/>
      <c r="C353" s="36"/>
      <c r="D353" s="37"/>
      <c r="E353" s="37"/>
      <c r="F353" s="42"/>
      <c r="G353" s="42"/>
      <c r="H353" s="34"/>
      <c r="I353" s="42"/>
      <c r="J353" s="35"/>
      <c r="K353" s="27"/>
      <c r="L353" s="34"/>
      <c r="M353" s="34"/>
    </row>
    <row r="354" spans="1:13" ht="30" customHeight="1">
      <c r="A354" s="27"/>
      <c r="B354" s="27"/>
      <c r="C354" s="36"/>
      <c r="D354" s="37"/>
      <c r="E354" s="37"/>
      <c r="F354" s="42"/>
      <c r="G354" s="42"/>
      <c r="H354" s="34"/>
      <c r="I354" s="42"/>
      <c r="J354" s="35"/>
      <c r="K354" s="27"/>
      <c r="L354" s="34"/>
      <c r="M354" s="34"/>
    </row>
    <row r="355" spans="1:13" ht="30" customHeight="1">
      <c r="A355" s="27"/>
      <c r="B355" s="27"/>
      <c r="C355" s="36"/>
      <c r="D355" s="37"/>
      <c r="E355" s="37"/>
      <c r="F355" s="42"/>
      <c r="G355" s="42"/>
      <c r="H355" s="34"/>
      <c r="I355" s="42"/>
      <c r="J355" s="35"/>
      <c r="K355" s="27"/>
      <c r="L355" s="34"/>
      <c r="M355" s="34"/>
    </row>
    <row r="356" spans="1:13" ht="30" customHeight="1">
      <c r="A356" s="27"/>
      <c r="B356" s="27"/>
      <c r="C356" s="36"/>
      <c r="D356" s="37"/>
      <c r="E356" s="37"/>
      <c r="F356" s="42"/>
      <c r="G356" s="42"/>
      <c r="H356" s="34"/>
      <c r="I356" s="42"/>
      <c r="J356" s="35"/>
      <c r="K356" s="27"/>
      <c r="L356" s="34"/>
      <c r="M356" s="34"/>
    </row>
    <row r="357" spans="1:13" ht="30" customHeight="1">
      <c r="A357" s="27"/>
      <c r="B357" s="27"/>
      <c r="C357" s="36"/>
      <c r="D357" s="37"/>
      <c r="E357" s="37"/>
      <c r="F357" s="42"/>
      <c r="G357" s="42"/>
      <c r="H357" s="34"/>
      <c r="I357" s="42"/>
      <c r="J357" s="35"/>
      <c r="K357" s="27"/>
      <c r="L357" s="34"/>
      <c r="M357" s="34"/>
    </row>
    <row r="358" spans="1:13" ht="30" customHeight="1">
      <c r="A358" s="27"/>
      <c r="B358" s="27"/>
      <c r="C358" s="36"/>
      <c r="D358" s="37"/>
      <c r="E358" s="37"/>
      <c r="F358" s="42"/>
      <c r="G358" s="42"/>
      <c r="H358" s="34"/>
      <c r="I358" s="42"/>
      <c r="J358" s="35"/>
      <c r="K358" s="27"/>
      <c r="L358" s="34"/>
      <c r="M358" s="34"/>
    </row>
    <row r="359" spans="1:13" ht="30" customHeight="1">
      <c r="A359" s="27"/>
      <c r="B359" s="27"/>
      <c r="C359" s="36"/>
      <c r="D359" s="37"/>
      <c r="E359" s="37"/>
      <c r="F359" s="42"/>
      <c r="G359" s="42"/>
      <c r="H359" s="34"/>
      <c r="I359" s="42"/>
      <c r="J359" s="35"/>
      <c r="K359" s="27"/>
      <c r="L359" s="34"/>
      <c r="M359" s="34"/>
    </row>
    <row r="360" spans="1:13" ht="30" customHeight="1">
      <c r="A360" s="27"/>
      <c r="B360" s="27"/>
      <c r="C360" s="36"/>
      <c r="D360" s="37"/>
      <c r="E360" s="37"/>
      <c r="F360" s="42"/>
      <c r="G360" s="42"/>
      <c r="H360" s="34"/>
      <c r="I360" s="42"/>
      <c r="J360" s="35"/>
      <c r="K360" s="27"/>
      <c r="L360" s="34"/>
      <c r="M360" s="34"/>
    </row>
    <row r="361" spans="1:13" ht="30" customHeight="1">
      <c r="A361" s="27"/>
      <c r="B361" s="27"/>
      <c r="C361" s="36"/>
      <c r="D361" s="37"/>
      <c r="E361" s="37"/>
      <c r="F361" s="42"/>
      <c r="G361" s="42"/>
      <c r="H361" s="34"/>
      <c r="I361" s="42"/>
      <c r="J361" s="35"/>
      <c r="K361" s="27"/>
      <c r="L361" s="34"/>
      <c r="M361" s="34"/>
    </row>
    <row r="362" spans="1:13" ht="30" customHeight="1">
      <c r="A362" s="27"/>
      <c r="B362" s="27"/>
      <c r="C362" s="36"/>
      <c r="D362" s="37"/>
      <c r="E362" s="37"/>
      <c r="F362" s="42"/>
      <c r="G362" s="42"/>
      <c r="H362" s="34"/>
      <c r="I362" s="42"/>
      <c r="J362" s="35"/>
      <c r="K362" s="27"/>
      <c r="L362" s="34"/>
      <c r="M362" s="34"/>
    </row>
    <row r="363" spans="1:13" ht="30" customHeight="1">
      <c r="A363" s="27"/>
      <c r="B363" s="27"/>
      <c r="C363" s="36"/>
      <c r="D363" s="37"/>
      <c r="E363" s="37"/>
      <c r="F363" s="42"/>
      <c r="G363" s="42"/>
      <c r="H363" s="34"/>
      <c r="I363" s="42"/>
      <c r="J363" s="35"/>
      <c r="K363" s="27"/>
      <c r="L363" s="34"/>
      <c r="M363" s="34"/>
    </row>
    <row r="364" spans="1:13" ht="30" customHeight="1">
      <c r="A364" s="27"/>
      <c r="B364" s="27"/>
      <c r="C364" s="36"/>
      <c r="D364" s="37"/>
      <c r="E364" s="37"/>
      <c r="F364" s="42"/>
      <c r="G364" s="42"/>
      <c r="H364" s="34"/>
      <c r="I364" s="42"/>
      <c r="J364" s="35"/>
      <c r="K364" s="27"/>
      <c r="L364" s="34"/>
      <c r="M364" s="34"/>
    </row>
    <row r="365" spans="1:13" ht="30" customHeight="1">
      <c r="A365" s="27"/>
      <c r="B365" s="27"/>
      <c r="C365" s="36"/>
      <c r="D365" s="37"/>
      <c r="E365" s="37"/>
      <c r="F365" s="42"/>
      <c r="G365" s="42"/>
      <c r="H365" s="34"/>
      <c r="I365" s="42"/>
      <c r="J365" s="35"/>
      <c r="K365" s="27"/>
      <c r="L365" s="34"/>
      <c r="M365" s="34"/>
    </row>
    <row r="366" spans="1:13" ht="30" customHeight="1">
      <c r="A366" s="27"/>
      <c r="B366" s="27"/>
      <c r="C366" s="36"/>
      <c r="D366" s="37"/>
      <c r="E366" s="37"/>
      <c r="F366" s="42"/>
      <c r="G366" s="42"/>
      <c r="H366" s="34"/>
      <c r="I366" s="42"/>
      <c r="J366" s="35"/>
      <c r="K366" s="27"/>
      <c r="L366" s="34"/>
      <c r="M366" s="34"/>
    </row>
    <row r="367" spans="1:13" ht="30" customHeight="1">
      <c r="A367" s="27"/>
      <c r="B367" s="27"/>
      <c r="C367" s="36"/>
      <c r="D367" s="37"/>
      <c r="E367" s="37"/>
      <c r="F367" s="42"/>
      <c r="G367" s="42"/>
      <c r="H367" s="34"/>
      <c r="I367" s="42"/>
      <c r="J367" s="35"/>
      <c r="K367" s="27"/>
      <c r="L367" s="34"/>
      <c r="M367" s="34"/>
    </row>
    <row r="368" spans="1:13" ht="30" customHeight="1">
      <c r="A368" s="27"/>
      <c r="B368" s="27"/>
      <c r="C368" s="36"/>
      <c r="D368" s="37"/>
      <c r="E368" s="37"/>
      <c r="F368" s="42"/>
      <c r="G368" s="42"/>
      <c r="H368" s="34"/>
      <c r="I368" s="42"/>
      <c r="J368" s="35"/>
      <c r="K368" s="27"/>
      <c r="L368" s="34"/>
      <c r="M368" s="34"/>
    </row>
    <row r="369" spans="1:13" ht="30" customHeight="1">
      <c r="A369" s="27"/>
      <c r="B369" s="27"/>
      <c r="C369" s="36"/>
      <c r="D369" s="37"/>
      <c r="E369" s="37"/>
      <c r="F369" s="42"/>
      <c r="G369" s="42"/>
      <c r="H369" s="34"/>
      <c r="I369" s="42"/>
      <c r="J369" s="35"/>
      <c r="K369" s="27"/>
      <c r="L369" s="34"/>
      <c r="M369" s="34"/>
    </row>
    <row r="370" spans="1:13" ht="30" customHeight="1">
      <c r="A370" s="27"/>
      <c r="B370" s="27"/>
      <c r="C370" s="36"/>
      <c r="D370" s="37"/>
      <c r="E370" s="37"/>
      <c r="F370" s="42"/>
      <c r="G370" s="42"/>
      <c r="H370" s="34"/>
      <c r="I370" s="42"/>
      <c r="J370" s="35"/>
      <c r="K370" s="27"/>
      <c r="L370" s="34"/>
      <c r="M370" s="34"/>
    </row>
    <row r="371" spans="1:13" ht="30" customHeight="1">
      <c r="A371" s="27"/>
      <c r="B371" s="27"/>
      <c r="C371" s="36"/>
      <c r="D371" s="37"/>
      <c r="E371" s="37"/>
      <c r="F371" s="42"/>
      <c r="G371" s="42"/>
      <c r="H371" s="34"/>
      <c r="I371" s="42"/>
      <c r="J371" s="35"/>
      <c r="K371" s="27"/>
      <c r="L371" s="34"/>
      <c r="M371" s="34"/>
    </row>
    <row r="372" spans="1:13" ht="30" customHeight="1">
      <c r="A372" s="27"/>
      <c r="B372" s="27"/>
      <c r="C372" s="36"/>
      <c r="D372" s="37"/>
      <c r="E372" s="37"/>
      <c r="F372" s="42"/>
      <c r="G372" s="42"/>
      <c r="H372" s="34"/>
      <c r="I372" s="42"/>
      <c r="J372" s="35"/>
      <c r="K372" s="27"/>
      <c r="L372" s="34"/>
      <c r="M372" s="34"/>
    </row>
    <row r="373" spans="1:13" ht="30" customHeight="1">
      <c r="A373" s="27"/>
      <c r="B373" s="27"/>
      <c r="C373" s="36"/>
      <c r="D373" s="37"/>
      <c r="E373" s="37"/>
      <c r="F373" s="42"/>
      <c r="G373" s="42"/>
      <c r="H373" s="34"/>
      <c r="I373" s="42"/>
      <c r="J373" s="35"/>
      <c r="K373" s="27"/>
      <c r="L373" s="34"/>
      <c r="M373" s="34"/>
    </row>
    <row r="374" spans="1:13" ht="30" customHeight="1">
      <c r="A374" s="27"/>
      <c r="B374" s="27"/>
      <c r="C374" s="36"/>
      <c r="D374" s="37"/>
      <c r="E374" s="37"/>
      <c r="F374" s="42"/>
      <c r="G374" s="42"/>
      <c r="H374" s="34"/>
      <c r="I374" s="42"/>
      <c r="J374" s="35"/>
      <c r="K374" s="27"/>
      <c r="L374" s="34"/>
      <c r="M374" s="34"/>
    </row>
    <row r="375" spans="1:13" ht="30" customHeight="1">
      <c r="A375" s="27"/>
      <c r="B375" s="27"/>
      <c r="C375" s="36"/>
      <c r="D375" s="37"/>
      <c r="E375" s="37"/>
      <c r="F375" s="42"/>
      <c r="G375" s="42"/>
      <c r="H375" s="34"/>
      <c r="I375" s="42"/>
      <c r="J375" s="35"/>
      <c r="K375" s="27"/>
      <c r="L375" s="34"/>
      <c r="M375" s="34"/>
    </row>
    <row r="376" spans="1:13" ht="30" customHeight="1">
      <c r="A376" s="27"/>
      <c r="B376" s="27"/>
      <c r="C376" s="36"/>
      <c r="D376" s="37"/>
      <c r="E376" s="37"/>
      <c r="F376" s="42"/>
      <c r="G376" s="42"/>
      <c r="H376" s="34"/>
      <c r="I376" s="42"/>
      <c r="J376" s="35"/>
      <c r="K376" s="27"/>
      <c r="L376" s="34"/>
      <c r="M376" s="34"/>
    </row>
    <row r="377" spans="1:13" ht="30" customHeight="1">
      <c r="A377" s="27"/>
      <c r="B377" s="27"/>
      <c r="C377" s="36"/>
      <c r="D377" s="37"/>
      <c r="E377" s="37"/>
      <c r="F377" s="42"/>
      <c r="G377" s="42"/>
      <c r="H377" s="34"/>
      <c r="I377" s="42"/>
      <c r="J377" s="35"/>
      <c r="K377" s="27"/>
      <c r="L377" s="34"/>
      <c r="M377" s="34"/>
    </row>
    <row r="378" spans="1:13" ht="30" customHeight="1">
      <c r="A378" s="27"/>
      <c r="B378" s="27"/>
      <c r="C378" s="36"/>
      <c r="D378" s="37"/>
      <c r="E378" s="37"/>
      <c r="F378" s="42"/>
      <c r="G378" s="42"/>
      <c r="H378" s="34"/>
      <c r="I378" s="42"/>
      <c r="J378" s="35"/>
      <c r="K378" s="27"/>
      <c r="L378" s="34"/>
      <c r="M378" s="34"/>
    </row>
    <row r="379" spans="1:13" ht="30" customHeight="1">
      <c r="A379" s="27"/>
      <c r="B379" s="27"/>
      <c r="C379" s="36"/>
      <c r="D379" s="37"/>
      <c r="E379" s="37"/>
      <c r="F379" s="42"/>
      <c r="G379" s="42"/>
      <c r="H379" s="34"/>
      <c r="I379" s="42"/>
      <c r="J379" s="35"/>
      <c r="K379" s="27"/>
      <c r="L379" s="34"/>
      <c r="M379" s="34"/>
    </row>
    <row r="380" spans="1:13" ht="30" customHeight="1">
      <c r="A380" s="27"/>
      <c r="B380" s="27"/>
      <c r="C380" s="36"/>
      <c r="D380" s="37"/>
      <c r="E380" s="37"/>
      <c r="F380" s="42"/>
      <c r="G380" s="42"/>
      <c r="H380" s="34"/>
      <c r="I380" s="42"/>
      <c r="J380" s="35"/>
      <c r="K380" s="27"/>
      <c r="L380" s="34"/>
      <c r="M380" s="34"/>
    </row>
    <row r="381" spans="1:13" ht="30" customHeight="1">
      <c r="A381" s="27"/>
      <c r="B381" s="27"/>
      <c r="C381" s="36"/>
      <c r="D381" s="37"/>
      <c r="E381" s="37"/>
      <c r="F381" s="42"/>
      <c r="G381" s="42"/>
      <c r="H381" s="34"/>
      <c r="I381" s="42"/>
      <c r="J381" s="35"/>
      <c r="K381" s="27"/>
      <c r="L381" s="34"/>
      <c r="M381" s="34"/>
    </row>
    <row r="382" spans="1:13" ht="30" customHeight="1">
      <c r="A382" s="27"/>
      <c r="B382" s="27"/>
      <c r="C382" s="36"/>
      <c r="D382" s="37"/>
      <c r="E382" s="37"/>
      <c r="F382" s="42"/>
      <c r="G382" s="42"/>
      <c r="H382" s="34"/>
      <c r="I382" s="42"/>
      <c r="J382" s="35"/>
      <c r="K382" s="27"/>
      <c r="L382" s="34"/>
      <c r="M382" s="34"/>
    </row>
    <row r="383" spans="1:13" ht="30" customHeight="1">
      <c r="A383" s="27"/>
      <c r="B383" s="27"/>
      <c r="C383" s="36"/>
      <c r="D383" s="37"/>
      <c r="E383" s="37"/>
      <c r="F383" s="42"/>
      <c r="G383" s="42"/>
      <c r="H383" s="34"/>
      <c r="I383" s="42"/>
      <c r="J383" s="35"/>
      <c r="K383" s="27"/>
      <c r="L383" s="34"/>
      <c r="M383" s="34"/>
    </row>
    <row r="384" spans="1:13" ht="30" customHeight="1">
      <c r="A384" s="27"/>
      <c r="B384" s="27"/>
      <c r="C384" s="36"/>
      <c r="D384" s="37"/>
      <c r="E384" s="37"/>
      <c r="F384" s="42"/>
      <c r="G384" s="42"/>
      <c r="H384" s="34"/>
      <c r="I384" s="42"/>
      <c r="J384" s="35"/>
      <c r="K384" s="27"/>
      <c r="L384" s="34"/>
      <c r="M384" s="34"/>
    </row>
    <row r="385" spans="1:13" ht="30" customHeight="1">
      <c r="A385" s="27"/>
      <c r="B385" s="27"/>
      <c r="C385" s="36"/>
      <c r="D385" s="37"/>
      <c r="E385" s="37"/>
      <c r="F385" s="42"/>
      <c r="G385" s="42"/>
      <c r="H385" s="34"/>
      <c r="I385" s="42"/>
      <c r="J385" s="35"/>
      <c r="K385" s="27"/>
      <c r="L385" s="34"/>
      <c r="M385" s="34"/>
    </row>
    <row r="386" spans="1:13" ht="30" customHeight="1">
      <c r="A386" s="27"/>
      <c r="B386" s="27"/>
      <c r="C386" s="36"/>
      <c r="D386" s="37"/>
      <c r="E386" s="37"/>
      <c r="F386" s="42"/>
      <c r="G386" s="42"/>
      <c r="H386" s="34"/>
      <c r="I386" s="42"/>
      <c r="J386" s="35"/>
      <c r="K386" s="27"/>
      <c r="L386" s="34"/>
      <c r="M386" s="34"/>
    </row>
    <row r="387" spans="1:13" ht="30" customHeight="1">
      <c r="A387" s="27"/>
      <c r="B387" s="27"/>
      <c r="C387" s="36"/>
      <c r="D387" s="37"/>
      <c r="E387" s="37"/>
      <c r="F387" s="42"/>
      <c r="G387" s="42"/>
      <c r="H387" s="34"/>
      <c r="I387" s="42"/>
      <c r="J387" s="35"/>
      <c r="K387" s="27"/>
      <c r="L387" s="34"/>
      <c r="M387" s="34"/>
    </row>
    <row r="388" spans="1:13" ht="30" customHeight="1">
      <c r="A388" s="27"/>
      <c r="B388" s="27"/>
      <c r="C388" s="36"/>
      <c r="D388" s="37"/>
      <c r="E388" s="37"/>
      <c r="F388" s="42"/>
      <c r="G388" s="42"/>
      <c r="H388" s="34"/>
      <c r="I388" s="42"/>
      <c r="J388" s="35"/>
      <c r="K388" s="27"/>
      <c r="L388" s="34"/>
      <c r="M388" s="34"/>
    </row>
    <row r="389" spans="1:13" ht="30" customHeight="1">
      <c r="A389" s="27"/>
      <c r="B389" s="27"/>
      <c r="C389" s="36"/>
      <c r="D389" s="37"/>
      <c r="E389" s="37"/>
      <c r="F389" s="42"/>
      <c r="G389" s="42"/>
      <c r="H389" s="34"/>
      <c r="I389" s="42"/>
      <c r="J389" s="35"/>
      <c r="K389" s="27"/>
      <c r="L389" s="34"/>
      <c r="M389" s="34"/>
    </row>
    <row r="390" spans="1:13" ht="30" customHeight="1">
      <c r="A390" s="27"/>
      <c r="B390" s="27"/>
      <c r="C390" s="36"/>
      <c r="D390" s="37"/>
      <c r="E390" s="37"/>
      <c r="F390" s="42"/>
      <c r="G390" s="42"/>
      <c r="H390" s="34"/>
      <c r="I390" s="42"/>
      <c r="J390" s="35"/>
      <c r="K390" s="27"/>
      <c r="L390" s="34"/>
      <c r="M390" s="34"/>
    </row>
    <row r="391" spans="1:13" ht="30" customHeight="1">
      <c r="A391" s="27"/>
      <c r="B391" s="27"/>
      <c r="C391" s="36"/>
      <c r="D391" s="37"/>
      <c r="E391" s="37"/>
      <c r="F391" s="42"/>
      <c r="G391" s="42"/>
      <c r="H391" s="34"/>
      <c r="I391" s="42"/>
      <c r="J391" s="35"/>
      <c r="K391" s="27"/>
      <c r="L391" s="34"/>
      <c r="M391" s="34"/>
    </row>
    <row r="392" spans="1:13" ht="30" customHeight="1">
      <c r="A392" s="27"/>
      <c r="B392" s="27"/>
      <c r="C392" s="36"/>
      <c r="D392" s="37"/>
      <c r="E392" s="37"/>
      <c r="F392" s="42"/>
      <c r="G392" s="42"/>
      <c r="H392" s="34"/>
      <c r="I392" s="42"/>
      <c r="J392" s="35"/>
      <c r="K392" s="27"/>
      <c r="L392" s="34"/>
      <c r="M392" s="34"/>
    </row>
    <row r="393" spans="1:13" ht="30" customHeight="1">
      <c r="A393" s="27"/>
      <c r="B393" s="27"/>
      <c r="C393" s="36"/>
      <c r="D393" s="37"/>
      <c r="E393" s="37"/>
      <c r="F393" s="42"/>
      <c r="G393" s="42"/>
      <c r="H393" s="34"/>
      <c r="I393" s="42"/>
      <c r="J393" s="35"/>
      <c r="K393" s="27"/>
      <c r="L393" s="34"/>
      <c r="M393" s="34"/>
    </row>
    <row r="394" spans="1:13" ht="30" customHeight="1">
      <c r="A394" s="27"/>
      <c r="B394" s="27"/>
      <c r="C394" s="36"/>
      <c r="D394" s="37"/>
      <c r="E394" s="37"/>
      <c r="F394" s="42"/>
      <c r="G394" s="42"/>
      <c r="H394" s="34"/>
      <c r="I394" s="42"/>
      <c r="J394" s="35"/>
      <c r="K394" s="27"/>
      <c r="L394" s="34"/>
      <c r="M394" s="34"/>
    </row>
    <row r="395" spans="1:13" ht="30" customHeight="1">
      <c r="A395" s="27"/>
      <c r="B395" s="27"/>
      <c r="C395" s="36"/>
      <c r="D395" s="37"/>
      <c r="E395" s="37"/>
      <c r="F395" s="42"/>
      <c r="G395" s="42"/>
      <c r="H395" s="34"/>
      <c r="I395" s="42"/>
      <c r="J395" s="35"/>
      <c r="K395" s="27"/>
      <c r="L395" s="34"/>
      <c r="M395" s="34"/>
    </row>
    <row r="396" spans="1:13" ht="30" customHeight="1">
      <c r="A396" s="27"/>
      <c r="B396" s="27"/>
      <c r="C396" s="36"/>
      <c r="D396" s="37"/>
      <c r="E396" s="37"/>
      <c r="F396" s="42"/>
      <c r="G396" s="42"/>
      <c r="H396" s="34"/>
      <c r="I396" s="42"/>
      <c r="J396" s="35"/>
      <c r="K396" s="27"/>
      <c r="L396" s="34"/>
      <c r="M396" s="34"/>
    </row>
    <row r="397" spans="1:13" ht="30" customHeight="1">
      <c r="A397" s="27"/>
      <c r="B397" s="27"/>
      <c r="C397" s="36"/>
      <c r="D397" s="37"/>
      <c r="E397" s="37"/>
      <c r="F397" s="42"/>
      <c r="G397" s="42"/>
      <c r="H397" s="34"/>
      <c r="I397" s="42"/>
      <c r="J397" s="35"/>
      <c r="K397" s="27"/>
      <c r="L397" s="34"/>
      <c r="M397" s="34"/>
    </row>
    <row r="398" spans="1:13" ht="30" customHeight="1">
      <c r="A398" s="27"/>
      <c r="B398" s="27"/>
      <c r="C398" s="36"/>
      <c r="D398" s="37"/>
      <c r="E398" s="37"/>
      <c r="F398" s="42"/>
      <c r="G398" s="42"/>
      <c r="H398" s="34"/>
      <c r="I398" s="42"/>
      <c r="J398" s="35"/>
      <c r="K398" s="27"/>
      <c r="L398" s="34"/>
      <c r="M398" s="34"/>
    </row>
    <row r="399" spans="1:13" ht="30" customHeight="1">
      <c r="A399" s="27"/>
      <c r="B399" s="27"/>
      <c r="C399" s="36"/>
      <c r="D399" s="37"/>
      <c r="E399" s="37"/>
      <c r="F399" s="42"/>
      <c r="G399" s="42"/>
      <c r="H399" s="34"/>
      <c r="I399" s="42"/>
      <c r="J399" s="35"/>
      <c r="K399" s="27"/>
      <c r="L399" s="34"/>
      <c r="M399" s="34"/>
    </row>
    <row r="400" spans="1:13" ht="30" customHeight="1">
      <c r="A400" s="27"/>
      <c r="B400" s="27"/>
      <c r="C400" s="36"/>
      <c r="D400" s="37"/>
      <c r="E400" s="37"/>
      <c r="F400" s="42"/>
      <c r="G400" s="42"/>
      <c r="H400" s="34"/>
      <c r="I400" s="42"/>
      <c r="J400" s="35"/>
      <c r="K400" s="27"/>
      <c r="L400" s="34"/>
      <c r="M400" s="34"/>
    </row>
    <row r="401" spans="1:13" ht="30" customHeight="1">
      <c r="A401" s="27"/>
      <c r="B401" s="27"/>
      <c r="C401" s="36"/>
      <c r="D401" s="37"/>
      <c r="E401" s="37"/>
      <c r="F401" s="42"/>
      <c r="G401" s="42"/>
      <c r="H401" s="34"/>
      <c r="I401" s="42"/>
      <c r="J401" s="35"/>
      <c r="K401" s="27"/>
      <c r="L401" s="34"/>
      <c r="M401" s="34"/>
    </row>
    <row r="402" spans="1:13" ht="30" customHeight="1">
      <c r="A402" s="27"/>
      <c r="B402" s="27"/>
      <c r="C402" s="36"/>
      <c r="D402" s="37"/>
      <c r="E402" s="37"/>
      <c r="F402" s="42"/>
      <c r="G402" s="42"/>
      <c r="H402" s="34"/>
      <c r="I402" s="42"/>
      <c r="J402" s="35"/>
      <c r="K402" s="27"/>
      <c r="L402" s="34"/>
      <c r="M402" s="34"/>
    </row>
    <row r="403" spans="1:13" ht="30" customHeight="1">
      <c r="A403" s="27"/>
      <c r="B403" s="27"/>
      <c r="C403" s="36"/>
      <c r="D403" s="37"/>
      <c r="E403" s="37"/>
      <c r="F403" s="42"/>
      <c r="G403" s="42"/>
      <c r="H403" s="34"/>
      <c r="I403" s="42"/>
      <c r="J403" s="35"/>
      <c r="K403" s="27"/>
      <c r="L403" s="34"/>
      <c r="M403" s="34"/>
    </row>
    <row r="404" spans="1:13" ht="30" customHeight="1">
      <c r="A404" s="27"/>
      <c r="B404" s="27"/>
      <c r="C404" s="36"/>
      <c r="D404" s="37"/>
      <c r="E404" s="37"/>
      <c r="F404" s="42"/>
      <c r="G404" s="42"/>
      <c r="H404" s="34"/>
      <c r="I404" s="42"/>
      <c r="J404" s="35"/>
      <c r="K404" s="27"/>
      <c r="L404" s="34"/>
      <c r="M404" s="34"/>
    </row>
    <row r="405" spans="1:13" ht="30" customHeight="1">
      <c r="A405" s="27"/>
      <c r="B405" s="27"/>
      <c r="C405" s="36"/>
      <c r="D405" s="37"/>
      <c r="E405" s="37"/>
      <c r="F405" s="42"/>
      <c r="G405" s="42"/>
      <c r="H405" s="34"/>
      <c r="I405" s="42"/>
      <c r="J405" s="35"/>
      <c r="K405" s="27"/>
      <c r="L405" s="34"/>
      <c r="M405" s="34"/>
    </row>
    <row r="406" spans="1:13" ht="30" customHeight="1">
      <c r="A406" s="27"/>
      <c r="B406" s="27"/>
      <c r="C406" s="36"/>
      <c r="D406" s="37"/>
      <c r="E406" s="37"/>
      <c r="F406" s="42"/>
      <c r="G406" s="42"/>
      <c r="H406" s="34"/>
      <c r="I406" s="42"/>
      <c r="J406" s="35"/>
      <c r="K406" s="27"/>
      <c r="L406" s="34"/>
      <c r="M406" s="34"/>
    </row>
    <row r="407" spans="1:13" ht="30" customHeight="1">
      <c r="A407" s="27"/>
      <c r="B407" s="27"/>
      <c r="C407" s="36"/>
      <c r="D407" s="37"/>
      <c r="E407" s="37"/>
      <c r="F407" s="42"/>
      <c r="G407" s="42"/>
      <c r="H407" s="34"/>
      <c r="I407" s="42"/>
      <c r="J407" s="35"/>
      <c r="K407" s="27"/>
      <c r="L407" s="34"/>
      <c r="M407" s="34"/>
    </row>
    <row r="408" spans="1:13" ht="30" customHeight="1">
      <c r="A408" s="27"/>
      <c r="B408" s="27"/>
      <c r="C408" s="36"/>
      <c r="D408" s="37"/>
      <c r="E408" s="37"/>
      <c r="F408" s="42"/>
      <c r="G408" s="42"/>
      <c r="H408" s="34"/>
      <c r="I408" s="42"/>
      <c r="J408" s="35"/>
      <c r="K408" s="27"/>
      <c r="L408" s="34"/>
      <c r="M408" s="34"/>
    </row>
    <row r="409" spans="1:13" ht="30" customHeight="1">
      <c r="A409" s="27"/>
      <c r="B409" s="27"/>
      <c r="C409" s="36"/>
      <c r="D409" s="37"/>
      <c r="E409" s="37"/>
      <c r="F409" s="42"/>
      <c r="G409" s="42"/>
      <c r="H409" s="34"/>
      <c r="I409" s="42"/>
      <c r="J409" s="35"/>
      <c r="K409" s="27"/>
      <c r="L409" s="34"/>
      <c r="M409" s="34"/>
    </row>
    <row r="410" spans="1:13" ht="30" customHeight="1">
      <c r="A410" s="27"/>
      <c r="B410" s="27"/>
      <c r="C410" s="36"/>
      <c r="D410" s="37"/>
      <c r="E410" s="37"/>
      <c r="F410" s="42"/>
      <c r="G410" s="42"/>
      <c r="H410" s="34"/>
      <c r="I410" s="42"/>
      <c r="J410" s="35"/>
      <c r="K410" s="27"/>
      <c r="L410" s="34"/>
      <c r="M410" s="34"/>
    </row>
    <row r="411" spans="1:13" ht="30" customHeight="1">
      <c r="A411" s="27"/>
      <c r="B411" s="27"/>
      <c r="C411" s="36"/>
      <c r="D411" s="37"/>
      <c r="E411" s="37"/>
      <c r="F411" s="42"/>
      <c r="G411" s="42"/>
      <c r="H411" s="34"/>
      <c r="I411" s="42"/>
      <c r="J411" s="35"/>
      <c r="K411" s="27"/>
      <c r="L411" s="34"/>
      <c r="M411" s="34"/>
    </row>
    <row r="412" spans="1:13" ht="30" customHeight="1">
      <c r="A412" s="27"/>
      <c r="B412" s="27"/>
      <c r="C412" s="36"/>
      <c r="D412" s="37"/>
      <c r="E412" s="37"/>
      <c r="F412" s="42"/>
      <c r="G412" s="42"/>
      <c r="H412" s="34"/>
      <c r="I412" s="42"/>
      <c r="J412" s="35"/>
      <c r="K412" s="27"/>
      <c r="L412" s="34"/>
      <c r="M412" s="34"/>
    </row>
    <row r="413" spans="1:13" ht="30" customHeight="1">
      <c r="A413" s="27"/>
      <c r="B413" s="27"/>
      <c r="C413" s="36"/>
      <c r="D413" s="37"/>
      <c r="E413" s="37"/>
      <c r="F413" s="42"/>
      <c r="G413" s="42"/>
      <c r="H413" s="34"/>
      <c r="I413" s="42"/>
      <c r="J413" s="35"/>
      <c r="K413" s="27"/>
      <c r="L413" s="34"/>
      <c r="M413" s="34"/>
    </row>
    <row r="414" spans="1:13" ht="30" customHeight="1">
      <c r="A414" s="27"/>
      <c r="B414" s="27"/>
      <c r="C414" s="36"/>
      <c r="D414" s="37"/>
      <c r="E414" s="37"/>
      <c r="F414" s="42"/>
      <c r="G414" s="42"/>
      <c r="H414" s="34"/>
      <c r="I414" s="42"/>
      <c r="J414" s="35"/>
      <c r="K414" s="27"/>
      <c r="L414" s="34"/>
      <c r="M414" s="34"/>
    </row>
    <row r="415" spans="1:13" ht="30" customHeight="1">
      <c r="A415" s="27"/>
      <c r="B415" s="27"/>
      <c r="C415" s="36"/>
      <c r="D415" s="37"/>
      <c r="E415" s="37"/>
      <c r="F415" s="42"/>
      <c r="G415" s="42"/>
      <c r="H415" s="34"/>
      <c r="I415" s="42"/>
      <c r="J415" s="35"/>
      <c r="K415" s="27"/>
      <c r="L415" s="34"/>
      <c r="M415" s="34"/>
    </row>
    <row r="416" spans="1:13" ht="30" customHeight="1">
      <c r="A416" s="27"/>
      <c r="B416" s="27"/>
      <c r="C416" s="36"/>
      <c r="D416" s="37"/>
      <c r="E416" s="37"/>
      <c r="F416" s="42"/>
      <c r="G416" s="42"/>
      <c r="H416" s="34"/>
      <c r="I416" s="42"/>
      <c r="J416" s="35"/>
      <c r="K416" s="27"/>
      <c r="L416" s="34"/>
      <c r="M416" s="34"/>
    </row>
    <row r="417" spans="1:13" ht="30" customHeight="1">
      <c r="A417" s="27"/>
      <c r="B417" s="27"/>
      <c r="C417" s="36"/>
      <c r="D417" s="37"/>
      <c r="E417" s="37"/>
      <c r="F417" s="42"/>
      <c r="G417" s="42"/>
      <c r="H417" s="34"/>
      <c r="I417" s="42"/>
      <c r="J417" s="35"/>
      <c r="K417" s="27"/>
      <c r="L417" s="34"/>
      <c r="M417" s="34"/>
    </row>
    <row r="418" spans="1:13" ht="30" customHeight="1">
      <c r="A418" s="27"/>
      <c r="B418" s="27"/>
      <c r="C418" s="36"/>
      <c r="D418" s="37"/>
      <c r="E418" s="37"/>
      <c r="F418" s="42"/>
      <c r="G418" s="42"/>
      <c r="H418" s="34"/>
      <c r="I418" s="42"/>
      <c r="J418" s="35"/>
      <c r="K418" s="27"/>
      <c r="L418" s="34"/>
      <c r="M418" s="34"/>
    </row>
    <row r="419" spans="1:13" ht="30" customHeight="1">
      <c r="A419" s="27"/>
      <c r="B419" s="27"/>
      <c r="C419" s="36"/>
      <c r="D419" s="37"/>
      <c r="E419" s="37"/>
      <c r="F419" s="42"/>
      <c r="G419" s="42"/>
      <c r="H419" s="34"/>
      <c r="I419" s="42"/>
      <c r="J419" s="35"/>
      <c r="K419" s="27"/>
      <c r="L419" s="34"/>
      <c r="M419" s="34"/>
    </row>
    <row r="420" spans="1:13" ht="30" customHeight="1">
      <c r="A420" s="27"/>
      <c r="B420" s="27"/>
      <c r="C420" s="36"/>
      <c r="D420" s="37"/>
      <c r="E420" s="37"/>
      <c r="F420" s="42"/>
      <c r="G420" s="42"/>
      <c r="H420" s="34"/>
      <c r="I420" s="42"/>
      <c r="J420" s="35"/>
      <c r="K420" s="27"/>
      <c r="L420" s="34"/>
      <c r="M420" s="34"/>
    </row>
    <row r="421" spans="1:13" ht="30" customHeight="1">
      <c r="A421" s="27"/>
      <c r="B421" s="27"/>
      <c r="C421" s="36"/>
      <c r="D421" s="37"/>
      <c r="E421" s="37"/>
      <c r="F421" s="42"/>
      <c r="G421" s="42"/>
      <c r="H421" s="34"/>
      <c r="I421" s="42"/>
      <c r="J421" s="35"/>
      <c r="K421" s="27"/>
      <c r="L421" s="34"/>
      <c r="M421" s="34"/>
    </row>
    <row r="422" spans="1:13" ht="30" customHeight="1">
      <c r="A422" s="27"/>
      <c r="B422" s="27"/>
      <c r="C422" s="36"/>
      <c r="D422" s="37"/>
      <c r="E422" s="37"/>
      <c r="F422" s="42"/>
      <c r="G422" s="42"/>
      <c r="H422" s="34"/>
      <c r="I422" s="42"/>
      <c r="J422" s="35"/>
      <c r="K422" s="27"/>
      <c r="L422" s="34"/>
      <c r="M422" s="34"/>
    </row>
    <row r="423" spans="1:13" ht="30" customHeight="1">
      <c r="A423" s="27"/>
      <c r="B423" s="27"/>
      <c r="C423" s="36"/>
      <c r="D423" s="37"/>
      <c r="E423" s="37"/>
      <c r="F423" s="42"/>
      <c r="G423" s="42"/>
      <c r="H423" s="34"/>
      <c r="I423" s="42"/>
      <c r="J423" s="35"/>
      <c r="K423" s="27"/>
      <c r="L423" s="34"/>
      <c r="M423" s="34"/>
    </row>
    <row r="424" spans="1:13" ht="30" customHeight="1">
      <c r="A424" s="27"/>
      <c r="B424" s="27"/>
      <c r="C424" s="36"/>
      <c r="D424" s="37"/>
      <c r="E424" s="37"/>
      <c r="F424" s="42"/>
      <c r="G424" s="42"/>
      <c r="H424" s="34"/>
      <c r="I424" s="42"/>
      <c r="J424" s="35"/>
      <c r="K424" s="27"/>
      <c r="L424" s="34"/>
      <c r="M424" s="34"/>
    </row>
    <row r="425" spans="1:13" ht="30" customHeight="1">
      <c r="A425" s="27"/>
      <c r="B425" s="27"/>
      <c r="C425" s="36"/>
      <c r="D425" s="37"/>
      <c r="E425" s="37"/>
      <c r="F425" s="42"/>
      <c r="G425" s="42"/>
      <c r="H425" s="34"/>
      <c r="I425" s="42"/>
      <c r="J425" s="35"/>
      <c r="K425" s="27"/>
      <c r="L425" s="34"/>
      <c r="M425" s="34"/>
    </row>
    <row r="426" spans="1:13" ht="30" customHeight="1">
      <c r="A426" s="27"/>
      <c r="B426" s="27"/>
      <c r="C426" s="36"/>
      <c r="D426" s="37"/>
      <c r="E426" s="37"/>
      <c r="F426" s="42"/>
      <c r="G426" s="42"/>
      <c r="H426" s="34"/>
      <c r="I426" s="42"/>
      <c r="J426" s="35"/>
      <c r="K426" s="27"/>
      <c r="L426" s="34"/>
      <c r="M426" s="34"/>
    </row>
    <row r="427" spans="1:13" ht="30" customHeight="1">
      <c r="A427" s="27"/>
      <c r="B427" s="27"/>
      <c r="C427" s="36"/>
      <c r="D427" s="37"/>
      <c r="E427" s="37"/>
      <c r="F427" s="42"/>
      <c r="G427" s="42"/>
      <c r="H427" s="34"/>
      <c r="I427" s="42"/>
      <c r="J427" s="35"/>
      <c r="K427" s="27"/>
      <c r="L427" s="34"/>
      <c r="M427" s="34"/>
    </row>
    <row r="428" spans="1:13" ht="30" customHeight="1">
      <c r="A428" s="27"/>
      <c r="B428" s="27"/>
      <c r="C428" s="36"/>
      <c r="D428" s="37"/>
      <c r="E428" s="37"/>
      <c r="F428" s="42"/>
      <c r="G428" s="42"/>
      <c r="H428" s="34"/>
      <c r="I428" s="42"/>
      <c r="J428" s="35"/>
      <c r="K428" s="27"/>
      <c r="L428" s="34"/>
      <c r="M428" s="34"/>
    </row>
    <row r="429" spans="1:13" ht="30" customHeight="1">
      <c r="A429" s="27"/>
      <c r="B429" s="27"/>
      <c r="C429" s="36"/>
      <c r="D429" s="37"/>
      <c r="E429" s="37"/>
      <c r="F429" s="42"/>
      <c r="G429" s="42"/>
      <c r="H429" s="34"/>
      <c r="I429" s="42"/>
      <c r="J429" s="35"/>
      <c r="K429" s="27"/>
      <c r="L429" s="34"/>
      <c r="M429" s="34"/>
    </row>
    <row r="430" spans="1:13" ht="30" customHeight="1">
      <c r="A430" s="27"/>
      <c r="B430" s="27"/>
      <c r="C430" s="36"/>
      <c r="D430" s="37"/>
      <c r="E430" s="37"/>
      <c r="F430" s="42"/>
      <c r="G430" s="42"/>
      <c r="H430" s="34"/>
      <c r="I430" s="42"/>
      <c r="J430" s="35"/>
      <c r="K430" s="27"/>
      <c r="L430" s="34"/>
      <c r="M430" s="34"/>
    </row>
    <row r="431" spans="1:13" ht="30" customHeight="1">
      <c r="A431" s="27"/>
      <c r="B431" s="27"/>
      <c r="C431" s="36"/>
      <c r="D431" s="37"/>
      <c r="E431" s="37"/>
      <c r="F431" s="42"/>
      <c r="G431" s="42"/>
      <c r="H431" s="34"/>
      <c r="I431" s="42"/>
      <c r="J431" s="35"/>
      <c r="K431" s="27"/>
      <c r="L431" s="34"/>
      <c r="M431" s="34"/>
    </row>
    <row r="432" spans="1:13" ht="30" customHeight="1">
      <c r="A432" s="27"/>
      <c r="B432" s="27"/>
      <c r="C432" s="36"/>
      <c r="D432" s="37"/>
      <c r="E432" s="37"/>
      <c r="F432" s="42"/>
      <c r="G432" s="42"/>
      <c r="H432" s="34"/>
      <c r="I432" s="42"/>
      <c r="J432" s="35"/>
      <c r="K432" s="27"/>
      <c r="L432" s="34"/>
      <c r="M432" s="34"/>
    </row>
    <row r="433" spans="1:13" ht="30" customHeight="1">
      <c r="A433" s="27"/>
      <c r="B433" s="27"/>
      <c r="C433" s="36"/>
      <c r="D433" s="37"/>
      <c r="E433" s="37"/>
      <c r="F433" s="42"/>
      <c r="G433" s="42"/>
      <c r="H433" s="34"/>
      <c r="I433" s="42"/>
      <c r="J433" s="35"/>
      <c r="K433" s="27"/>
      <c r="L433" s="34"/>
      <c r="M433" s="34"/>
    </row>
    <row r="434" spans="1:13" ht="30" customHeight="1">
      <c r="A434" s="27"/>
      <c r="B434" s="27"/>
      <c r="C434" s="36"/>
      <c r="D434" s="37"/>
      <c r="E434" s="37"/>
      <c r="F434" s="42"/>
      <c r="G434" s="42"/>
      <c r="H434" s="34"/>
      <c r="I434" s="42"/>
      <c r="J434" s="35"/>
      <c r="K434" s="27"/>
      <c r="L434" s="34"/>
      <c r="M434" s="34"/>
    </row>
    <row r="435" spans="1:13" ht="30" customHeight="1">
      <c r="A435" s="27"/>
      <c r="B435" s="27"/>
      <c r="C435" s="36"/>
      <c r="D435" s="37"/>
      <c r="E435" s="37"/>
      <c r="F435" s="42"/>
      <c r="G435" s="42"/>
      <c r="H435" s="34"/>
      <c r="I435" s="42"/>
      <c r="J435" s="35"/>
      <c r="K435" s="27"/>
      <c r="L435" s="34"/>
      <c r="M435" s="34"/>
    </row>
    <row r="436" spans="1:13" ht="30" customHeight="1">
      <c r="A436" s="27"/>
      <c r="B436" s="27"/>
      <c r="C436" s="36"/>
      <c r="D436" s="37"/>
      <c r="E436" s="37"/>
      <c r="F436" s="42"/>
      <c r="G436" s="42"/>
      <c r="H436" s="34"/>
      <c r="I436" s="42"/>
      <c r="J436" s="35"/>
      <c r="K436" s="27"/>
      <c r="L436" s="34"/>
      <c r="M436" s="34"/>
    </row>
    <row r="437" spans="1:13" ht="30" customHeight="1">
      <c r="A437" s="27"/>
      <c r="B437" s="27"/>
      <c r="C437" s="36"/>
      <c r="D437" s="37"/>
      <c r="E437" s="37"/>
      <c r="F437" s="42"/>
      <c r="G437" s="42"/>
      <c r="H437" s="34"/>
      <c r="I437" s="42"/>
      <c r="J437" s="35"/>
      <c r="K437" s="27"/>
      <c r="L437" s="34"/>
      <c r="M437" s="34"/>
    </row>
    <row r="438" spans="1:13" ht="30" customHeight="1">
      <c r="A438" s="27"/>
      <c r="B438" s="27"/>
      <c r="C438" s="36"/>
      <c r="D438" s="37"/>
      <c r="E438" s="37"/>
      <c r="F438" s="42"/>
      <c r="G438" s="42"/>
      <c r="H438" s="34"/>
      <c r="I438" s="42"/>
      <c r="J438" s="35"/>
      <c r="K438" s="27"/>
      <c r="L438" s="34"/>
      <c r="M438" s="34"/>
    </row>
    <row r="439" spans="1:13" ht="30" customHeight="1">
      <c r="A439" s="27"/>
      <c r="B439" s="27"/>
      <c r="C439" s="36"/>
      <c r="D439" s="37"/>
      <c r="E439" s="37"/>
      <c r="F439" s="42"/>
      <c r="G439" s="42"/>
      <c r="H439" s="34"/>
      <c r="I439" s="42"/>
      <c r="J439" s="35"/>
      <c r="K439" s="27"/>
      <c r="L439" s="34"/>
      <c r="M439" s="34"/>
    </row>
    <row r="440" spans="1:13" ht="30" customHeight="1">
      <c r="A440" s="27"/>
      <c r="B440" s="27"/>
      <c r="C440" s="36"/>
      <c r="D440" s="37"/>
      <c r="E440" s="37"/>
      <c r="F440" s="42"/>
      <c r="G440" s="42"/>
      <c r="H440" s="34"/>
      <c r="I440" s="42"/>
      <c r="J440" s="35"/>
      <c r="K440" s="27"/>
      <c r="L440" s="34"/>
      <c r="M440" s="34"/>
    </row>
    <row r="441" spans="1:13" ht="30" customHeight="1">
      <c r="A441" s="27"/>
      <c r="B441" s="27"/>
      <c r="C441" s="36"/>
      <c r="D441" s="37"/>
      <c r="E441" s="37"/>
      <c r="F441" s="42"/>
      <c r="G441" s="42"/>
      <c r="H441" s="34"/>
      <c r="I441" s="42"/>
      <c r="J441" s="35"/>
      <c r="K441" s="27"/>
      <c r="L441" s="34"/>
      <c r="M441" s="34"/>
    </row>
    <row r="442" spans="1:13" ht="30" customHeight="1">
      <c r="A442" s="27"/>
      <c r="B442" s="27"/>
      <c r="C442" s="36"/>
      <c r="D442" s="37"/>
      <c r="E442" s="37"/>
      <c r="F442" s="42"/>
      <c r="G442" s="42"/>
      <c r="H442" s="34"/>
      <c r="I442" s="42"/>
      <c r="J442" s="35"/>
      <c r="K442" s="27"/>
      <c r="L442" s="34"/>
      <c r="M442" s="34"/>
    </row>
    <row r="443" spans="1:13" ht="30" customHeight="1">
      <c r="A443" s="27"/>
      <c r="B443" s="27"/>
      <c r="C443" s="36"/>
      <c r="D443" s="37"/>
      <c r="E443" s="37"/>
      <c r="F443" s="42"/>
      <c r="G443" s="42"/>
      <c r="H443" s="34"/>
      <c r="I443" s="42"/>
      <c r="J443" s="35"/>
      <c r="K443" s="27"/>
      <c r="L443" s="34"/>
      <c r="M443" s="34"/>
    </row>
    <row r="444" spans="1:13" ht="30" customHeight="1">
      <c r="A444" s="27"/>
      <c r="B444" s="27"/>
      <c r="C444" s="36"/>
      <c r="D444" s="37"/>
      <c r="E444" s="37"/>
      <c r="F444" s="42"/>
      <c r="G444" s="42"/>
      <c r="H444" s="34"/>
      <c r="I444" s="42"/>
      <c r="J444" s="35"/>
      <c r="K444" s="27"/>
      <c r="L444" s="34"/>
      <c r="M444" s="34"/>
    </row>
    <row r="445" spans="1:13" ht="30" customHeight="1">
      <c r="A445" s="27"/>
      <c r="B445" s="27"/>
      <c r="C445" s="36"/>
      <c r="D445" s="37"/>
      <c r="E445" s="37"/>
      <c r="F445" s="42"/>
      <c r="G445" s="42"/>
      <c r="H445" s="34"/>
      <c r="I445" s="42"/>
      <c r="J445" s="35"/>
      <c r="K445" s="27"/>
      <c r="L445" s="34"/>
      <c r="M445" s="34"/>
    </row>
    <row r="446" spans="1:13" ht="30" customHeight="1">
      <c r="A446" s="27"/>
      <c r="B446" s="27"/>
      <c r="C446" s="36"/>
      <c r="D446" s="37"/>
      <c r="E446" s="37"/>
      <c r="F446" s="42"/>
      <c r="G446" s="42"/>
      <c r="H446" s="34"/>
      <c r="I446" s="42"/>
      <c r="J446" s="35"/>
      <c r="K446" s="27"/>
      <c r="L446" s="34"/>
      <c r="M446" s="34"/>
    </row>
    <row r="447" spans="1:13" ht="30" customHeight="1">
      <c r="A447" s="27"/>
      <c r="B447" s="27"/>
      <c r="C447" s="36"/>
      <c r="D447" s="37"/>
      <c r="E447" s="37"/>
      <c r="F447" s="42"/>
      <c r="G447" s="42"/>
      <c r="H447" s="34"/>
      <c r="I447" s="42"/>
      <c r="J447" s="35"/>
      <c r="K447" s="27"/>
      <c r="L447" s="34"/>
      <c r="M447" s="34"/>
    </row>
    <row r="448" spans="1:13" ht="30" customHeight="1">
      <c r="A448" s="27"/>
      <c r="B448" s="27"/>
      <c r="C448" s="36"/>
      <c r="D448" s="37"/>
      <c r="E448" s="37"/>
      <c r="F448" s="42"/>
      <c r="G448" s="42"/>
      <c r="H448" s="34"/>
      <c r="I448" s="42"/>
      <c r="J448" s="35"/>
      <c r="K448" s="27"/>
      <c r="L448" s="34"/>
      <c r="M448" s="34"/>
    </row>
    <row r="449" spans="1:13" ht="30" customHeight="1">
      <c r="A449" s="27"/>
      <c r="B449" s="27"/>
      <c r="C449" s="36"/>
      <c r="D449" s="37"/>
      <c r="E449" s="37"/>
      <c r="F449" s="42"/>
      <c r="G449" s="42"/>
      <c r="H449" s="34"/>
      <c r="I449" s="42"/>
      <c r="J449" s="35"/>
      <c r="K449" s="27"/>
      <c r="L449" s="34"/>
      <c r="M449" s="34"/>
    </row>
    <row r="450" spans="1:13" ht="30" customHeight="1">
      <c r="A450" s="27"/>
      <c r="B450" s="27"/>
      <c r="C450" s="36"/>
      <c r="D450" s="37"/>
      <c r="E450" s="37"/>
      <c r="F450" s="42"/>
      <c r="G450" s="42"/>
      <c r="H450" s="34"/>
      <c r="I450" s="42"/>
      <c r="J450" s="35"/>
      <c r="K450" s="27"/>
      <c r="L450" s="34"/>
      <c r="M450" s="34"/>
    </row>
    <row r="451" spans="1:13" ht="30" customHeight="1">
      <c r="A451" s="27"/>
      <c r="B451" s="27"/>
      <c r="C451" s="36"/>
      <c r="D451" s="37"/>
      <c r="E451" s="37"/>
      <c r="F451" s="42"/>
      <c r="G451" s="42"/>
      <c r="H451" s="34"/>
      <c r="I451" s="42"/>
      <c r="J451" s="35"/>
      <c r="K451" s="27"/>
      <c r="L451" s="34"/>
      <c r="M451" s="34"/>
    </row>
    <row r="452" spans="1:13" ht="30" customHeight="1">
      <c r="A452" s="27"/>
      <c r="B452" s="27"/>
      <c r="C452" s="36"/>
      <c r="D452" s="37"/>
      <c r="E452" s="37"/>
      <c r="F452" s="42"/>
      <c r="G452" s="42"/>
      <c r="H452" s="34"/>
      <c r="I452" s="42"/>
      <c r="J452" s="35"/>
      <c r="K452" s="27"/>
      <c r="L452" s="34"/>
      <c r="M452" s="34"/>
    </row>
    <row r="453" spans="1:13" ht="30" customHeight="1">
      <c r="A453" s="27"/>
      <c r="B453" s="27"/>
      <c r="C453" s="36"/>
      <c r="D453" s="37"/>
      <c r="E453" s="37"/>
      <c r="F453" s="42"/>
      <c r="G453" s="42"/>
      <c r="H453" s="34"/>
      <c r="I453" s="42"/>
      <c r="J453" s="35"/>
      <c r="K453" s="27"/>
      <c r="L453" s="34"/>
      <c r="M453" s="34"/>
    </row>
    <row r="454" spans="1:13" ht="30" customHeight="1">
      <c r="A454" s="27"/>
      <c r="B454" s="27"/>
      <c r="C454" s="36"/>
      <c r="D454" s="37"/>
      <c r="E454" s="37"/>
      <c r="F454" s="42"/>
      <c r="G454" s="42"/>
      <c r="H454" s="34"/>
      <c r="I454" s="42"/>
      <c r="J454" s="35"/>
      <c r="K454" s="27"/>
      <c r="L454" s="34"/>
      <c r="M454" s="34"/>
    </row>
    <row r="455" spans="1:13" ht="30" customHeight="1">
      <c r="A455" s="27"/>
      <c r="B455" s="27"/>
      <c r="C455" s="36"/>
      <c r="D455" s="37"/>
      <c r="E455" s="37"/>
      <c r="F455" s="42"/>
      <c r="G455" s="42"/>
      <c r="H455" s="34"/>
      <c r="I455" s="42"/>
      <c r="J455" s="35"/>
      <c r="K455" s="27"/>
      <c r="L455" s="34"/>
      <c r="M455" s="34"/>
    </row>
    <row r="456" spans="1:13" ht="30" customHeight="1">
      <c r="A456" s="27"/>
      <c r="B456" s="27"/>
      <c r="C456" s="36"/>
      <c r="D456" s="37"/>
      <c r="E456" s="37"/>
      <c r="F456" s="42"/>
      <c r="G456" s="42"/>
      <c r="H456" s="34"/>
      <c r="I456" s="42"/>
      <c r="J456" s="35"/>
      <c r="K456" s="27"/>
      <c r="L456" s="34"/>
      <c r="M456" s="34"/>
    </row>
    <row r="457" spans="1:13" ht="30" customHeight="1">
      <c r="A457" s="27"/>
      <c r="B457" s="27"/>
      <c r="C457" s="36"/>
      <c r="D457" s="37"/>
      <c r="E457" s="37"/>
      <c r="F457" s="42"/>
      <c r="G457" s="42"/>
      <c r="H457" s="34"/>
      <c r="I457" s="42"/>
      <c r="J457" s="35"/>
      <c r="K457" s="27"/>
      <c r="L457" s="34"/>
      <c r="M457" s="34"/>
    </row>
    <row r="458" spans="1:13" ht="30" customHeight="1">
      <c r="A458" s="27"/>
      <c r="B458" s="27"/>
      <c r="C458" s="36"/>
      <c r="D458" s="37"/>
      <c r="E458" s="37"/>
      <c r="F458" s="42"/>
      <c r="G458" s="42"/>
      <c r="H458" s="34"/>
      <c r="I458" s="42"/>
      <c r="J458" s="35"/>
      <c r="K458" s="27"/>
      <c r="L458" s="34"/>
      <c r="M458" s="34"/>
    </row>
    <row r="459" spans="1:13" ht="30" customHeight="1">
      <c r="A459" s="27"/>
      <c r="B459" s="27"/>
      <c r="C459" s="36"/>
      <c r="D459" s="37"/>
      <c r="E459" s="37"/>
      <c r="F459" s="42"/>
      <c r="G459" s="42"/>
      <c r="H459" s="34"/>
      <c r="I459" s="42"/>
      <c r="J459" s="35"/>
      <c r="K459" s="27"/>
      <c r="L459" s="34"/>
      <c r="M459" s="34"/>
    </row>
    <row r="460" spans="1:13" ht="30" customHeight="1">
      <c r="A460" s="27"/>
      <c r="B460" s="27"/>
      <c r="C460" s="36"/>
      <c r="D460" s="37"/>
      <c r="E460" s="37"/>
      <c r="F460" s="42"/>
      <c r="G460" s="42"/>
      <c r="H460" s="34"/>
      <c r="I460" s="42"/>
      <c r="J460" s="35"/>
      <c r="K460" s="27"/>
      <c r="L460" s="34"/>
      <c r="M460" s="34"/>
    </row>
    <row r="461" spans="1:13" ht="30" customHeight="1">
      <c r="A461" s="27"/>
      <c r="B461" s="27"/>
      <c r="C461" s="36"/>
      <c r="D461" s="37"/>
      <c r="E461" s="37"/>
      <c r="F461" s="42"/>
      <c r="G461" s="42"/>
      <c r="H461" s="34"/>
      <c r="I461" s="42"/>
      <c r="J461" s="35"/>
      <c r="K461" s="27"/>
      <c r="L461" s="34"/>
      <c r="M461" s="34"/>
    </row>
    <row r="462" spans="1:13" ht="30" customHeight="1">
      <c r="A462" s="27"/>
      <c r="B462" s="27"/>
      <c r="C462" s="36"/>
      <c r="D462" s="37"/>
      <c r="E462" s="37"/>
      <c r="F462" s="42"/>
      <c r="G462" s="42"/>
      <c r="H462" s="34"/>
      <c r="I462" s="42"/>
      <c r="J462" s="35"/>
      <c r="K462" s="27"/>
      <c r="L462" s="34"/>
      <c r="M462" s="34"/>
    </row>
    <row r="463" spans="1:13" ht="30" customHeight="1">
      <c r="A463" s="27"/>
      <c r="B463" s="27"/>
      <c r="C463" s="36"/>
      <c r="D463" s="37"/>
      <c r="E463" s="37"/>
      <c r="F463" s="42"/>
      <c r="G463" s="42"/>
      <c r="H463" s="34"/>
      <c r="I463" s="42"/>
      <c r="J463" s="35"/>
      <c r="K463" s="27"/>
      <c r="L463" s="34"/>
      <c r="M463" s="34"/>
    </row>
    <row r="464" spans="1:13" ht="30" customHeight="1">
      <c r="A464" s="27"/>
      <c r="B464" s="27"/>
      <c r="C464" s="36"/>
      <c r="D464" s="37"/>
      <c r="E464" s="37"/>
      <c r="F464" s="42"/>
      <c r="G464" s="42"/>
      <c r="H464" s="34"/>
      <c r="I464" s="42"/>
      <c r="J464" s="35"/>
      <c r="K464" s="27"/>
      <c r="L464" s="34"/>
      <c r="M464" s="34"/>
    </row>
    <row r="465" spans="1:13" ht="30" customHeight="1">
      <c r="A465" s="27"/>
      <c r="B465" s="27"/>
      <c r="C465" s="36"/>
      <c r="D465" s="37"/>
      <c r="E465" s="37"/>
      <c r="F465" s="42"/>
      <c r="G465" s="42"/>
      <c r="H465" s="34"/>
      <c r="I465" s="42"/>
      <c r="J465" s="35"/>
      <c r="K465" s="27"/>
      <c r="L465" s="34"/>
      <c r="M465" s="34"/>
    </row>
    <row r="466" spans="1:13" ht="30" customHeight="1">
      <c r="A466" s="27"/>
      <c r="B466" s="27"/>
      <c r="C466" s="36"/>
      <c r="D466" s="37"/>
      <c r="E466" s="37"/>
      <c r="F466" s="42"/>
      <c r="G466" s="42"/>
      <c r="H466" s="34"/>
      <c r="I466" s="42"/>
      <c r="J466" s="35"/>
      <c r="K466" s="27"/>
      <c r="L466" s="34"/>
      <c r="M466" s="34"/>
    </row>
    <row r="467" spans="1:13" ht="30" customHeight="1">
      <c r="A467" s="27"/>
      <c r="B467" s="27"/>
      <c r="C467" s="36"/>
      <c r="D467" s="37"/>
      <c r="E467" s="37"/>
      <c r="F467" s="42"/>
      <c r="G467" s="42"/>
      <c r="H467" s="34"/>
      <c r="I467" s="42"/>
      <c r="J467" s="35"/>
      <c r="K467" s="27"/>
      <c r="L467" s="34"/>
      <c r="M467" s="34"/>
    </row>
    <row r="468" spans="1:13" ht="30" customHeight="1">
      <c r="A468" s="27"/>
      <c r="B468" s="27"/>
      <c r="C468" s="36"/>
      <c r="D468" s="37"/>
      <c r="E468" s="37"/>
      <c r="F468" s="42"/>
      <c r="G468" s="42"/>
      <c r="H468" s="34"/>
      <c r="I468" s="42"/>
      <c r="J468" s="35"/>
      <c r="K468" s="27"/>
      <c r="L468" s="34"/>
      <c r="M468" s="34"/>
    </row>
    <row r="469" spans="1:13" ht="30" customHeight="1">
      <c r="A469" s="27"/>
      <c r="B469" s="27"/>
      <c r="C469" s="36"/>
      <c r="D469" s="37"/>
      <c r="E469" s="37"/>
      <c r="F469" s="42"/>
      <c r="G469" s="42"/>
      <c r="H469" s="34"/>
      <c r="I469" s="42"/>
      <c r="J469" s="35"/>
      <c r="K469" s="27"/>
      <c r="L469" s="34"/>
      <c r="M469" s="34"/>
    </row>
    <row r="470" spans="1:13" ht="30" customHeight="1">
      <c r="A470" s="27"/>
      <c r="B470" s="27"/>
      <c r="C470" s="36"/>
      <c r="D470" s="37"/>
      <c r="E470" s="37"/>
      <c r="F470" s="42"/>
      <c r="G470" s="42"/>
      <c r="H470" s="34"/>
      <c r="I470" s="42"/>
      <c r="J470" s="35"/>
      <c r="K470" s="27"/>
      <c r="L470" s="34"/>
      <c r="M470" s="34"/>
    </row>
    <row r="471" spans="1:13" ht="30" customHeight="1">
      <c r="A471" s="27"/>
      <c r="B471" s="27"/>
      <c r="C471" s="36"/>
      <c r="D471" s="37"/>
      <c r="E471" s="37"/>
      <c r="F471" s="42"/>
      <c r="G471" s="42"/>
      <c r="H471" s="34"/>
      <c r="I471" s="42"/>
      <c r="J471" s="35"/>
      <c r="K471" s="27"/>
      <c r="L471" s="34"/>
      <c r="M471" s="34"/>
    </row>
    <row r="472" spans="1:13" ht="30" customHeight="1">
      <c r="A472" s="27"/>
      <c r="B472" s="27"/>
      <c r="C472" s="36"/>
      <c r="D472" s="37"/>
      <c r="E472" s="37"/>
      <c r="F472" s="42"/>
      <c r="G472" s="42"/>
      <c r="H472" s="34"/>
      <c r="I472" s="42"/>
      <c r="J472" s="35"/>
      <c r="K472" s="27"/>
      <c r="L472" s="34"/>
      <c r="M472" s="34"/>
    </row>
    <row r="473" spans="1:13" ht="30" customHeight="1">
      <c r="A473" s="27"/>
      <c r="B473" s="27"/>
      <c r="C473" s="36"/>
      <c r="D473" s="37"/>
      <c r="E473" s="37"/>
      <c r="F473" s="42"/>
      <c r="G473" s="42"/>
      <c r="H473" s="34"/>
      <c r="I473" s="42"/>
      <c r="J473" s="35"/>
      <c r="K473" s="27"/>
      <c r="L473" s="34"/>
      <c r="M473" s="34"/>
    </row>
    <row r="474" spans="1:13" ht="30" customHeight="1">
      <c r="A474" s="27"/>
      <c r="B474" s="27"/>
      <c r="C474" s="36"/>
      <c r="D474" s="37"/>
      <c r="E474" s="37"/>
      <c r="F474" s="42"/>
      <c r="G474" s="42"/>
      <c r="H474" s="34"/>
      <c r="I474" s="42"/>
      <c r="J474" s="35"/>
      <c r="K474" s="27"/>
      <c r="L474" s="34"/>
      <c r="M474" s="34"/>
    </row>
    <row r="475" spans="1:13" ht="30" customHeight="1">
      <c r="A475" s="27"/>
      <c r="B475" s="27"/>
      <c r="C475" s="36"/>
      <c r="D475" s="37"/>
      <c r="E475" s="37"/>
      <c r="F475" s="42"/>
      <c r="G475" s="42"/>
      <c r="H475" s="34"/>
      <c r="I475" s="42"/>
      <c r="J475" s="35"/>
      <c r="K475" s="27"/>
      <c r="L475" s="34"/>
      <c r="M475" s="34"/>
    </row>
    <row r="476" spans="1:13" ht="30" customHeight="1">
      <c r="A476" s="27"/>
      <c r="B476" s="27"/>
      <c r="C476" s="36"/>
      <c r="D476" s="37"/>
      <c r="E476" s="37"/>
      <c r="F476" s="42"/>
      <c r="G476" s="42"/>
      <c r="H476" s="34"/>
      <c r="I476" s="42"/>
      <c r="J476" s="35"/>
      <c r="K476" s="27"/>
      <c r="L476" s="34"/>
      <c r="M476" s="34"/>
    </row>
    <row r="477" spans="1:13" ht="30" customHeight="1">
      <c r="A477" s="27"/>
      <c r="B477" s="27"/>
      <c r="C477" s="36"/>
      <c r="D477" s="37"/>
      <c r="E477" s="37"/>
      <c r="F477" s="42"/>
      <c r="G477" s="42"/>
      <c r="H477" s="34"/>
      <c r="I477" s="42"/>
      <c r="J477" s="35"/>
      <c r="K477" s="27"/>
      <c r="L477" s="34"/>
      <c r="M477" s="34"/>
    </row>
    <row r="478" spans="1:13" ht="30" customHeight="1">
      <c r="A478" s="27"/>
      <c r="B478" s="27"/>
      <c r="C478" s="36"/>
      <c r="D478" s="37"/>
      <c r="E478" s="37"/>
      <c r="F478" s="42"/>
      <c r="G478" s="42"/>
      <c r="H478" s="34"/>
      <c r="I478" s="42"/>
      <c r="J478" s="35"/>
      <c r="K478" s="27"/>
      <c r="L478" s="34"/>
      <c r="M478" s="34"/>
    </row>
    <row r="479" spans="1:13" ht="30" customHeight="1">
      <c r="A479" s="27"/>
      <c r="B479" s="27"/>
      <c r="C479" s="36"/>
      <c r="D479" s="37"/>
      <c r="E479" s="37"/>
      <c r="F479" s="42"/>
      <c r="G479" s="42"/>
      <c r="H479" s="34"/>
      <c r="I479" s="42"/>
      <c r="J479" s="35"/>
      <c r="K479" s="27"/>
      <c r="L479" s="34"/>
      <c r="M479" s="34"/>
    </row>
    <row r="480" spans="1:13" ht="30" customHeight="1">
      <c r="A480" s="27"/>
      <c r="B480" s="27"/>
      <c r="C480" s="36"/>
      <c r="D480" s="37"/>
      <c r="E480" s="37"/>
      <c r="F480" s="42"/>
      <c r="G480" s="42"/>
      <c r="H480" s="34"/>
      <c r="I480" s="42"/>
      <c r="J480" s="35"/>
      <c r="K480" s="27"/>
      <c r="L480" s="34"/>
      <c r="M480" s="34"/>
    </row>
    <row r="481" spans="1:13" ht="30" customHeight="1">
      <c r="A481" s="27"/>
      <c r="B481" s="27"/>
      <c r="C481" s="36"/>
      <c r="D481" s="37"/>
      <c r="E481" s="37"/>
      <c r="F481" s="42"/>
      <c r="G481" s="42"/>
      <c r="H481" s="34"/>
      <c r="I481" s="42"/>
      <c r="J481" s="35"/>
      <c r="K481" s="27"/>
      <c r="L481" s="34"/>
      <c r="M481" s="34"/>
    </row>
    <row r="482" spans="1:13" ht="30" customHeight="1">
      <c r="A482" s="27"/>
      <c r="B482" s="27"/>
      <c r="C482" s="36"/>
      <c r="D482" s="37"/>
      <c r="E482" s="37"/>
      <c r="F482" s="42"/>
      <c r="G482" s="42"/>
      <c r="H482" s="34"/>
      <c r="I482" s="42"/>
      <c r="J482" s="35"/>
      <c r="K482" s="27"/>
      <c r="L482" s="34"/>
      <c r="M482" s="34"/>
    </row>
    <row r="483" spans="1:13" ht="30" customHeight="1">
      <c r="A483" s="27"/>
      <c r="B483" s="27"/>
      <c r="C483" s="36"/>
      <c r="D483" s="37"/>
      <c r="E483" s="37"/>
      <c r="F483" s="42"/>
      <c r="G483" s="42"/>
      <c r="H483" s="34"/>
      <c r="I483" s="42"/>
      <c r="J483" s="35"/>
      <c r="K483" s="27"/>
      <c r="L483" s="34"/>
      <c r="M483" s="34"/>
    </row>
    <row r="484" spans="1:13" ht="30" customHeight="1">
      <c r="A484" s="27"/>
      <c r="B484" s="27"/>
      <c r="C484" s="36"/>
      <c r="D484" s="37"/>
      <c r="E484" s="37"/>
      <c r="F484" s="42"/>
      <c r="G484" s="42"/>
      <c r="H484" s="34"/>
      <c r="I484" s="42"/>
      <c r="J484" s="35"/>
      <c r="K484" s="27"/>
      <c r="L484" s="34"/>
      <c r="M484" s="34"/>
    </row>
    <row r="485" spans="1:13" ht="30" customHeight="1">
      <c r="A485" s="27"/>
      <c r="B485" s="27"/>
      <c r="C485" s="36"/>
      <c r="D485" s="37"/>
      <c r="E485" s="37"/>
      <c r="F485" s="42"/>
      <c r="G485" s="42"/>
      <c r="H485" s="34"/>
      <c r="I485" s="42"/>
      <c r="J485" s="35"/>
      <c r="K485" s="27"/>
      <c r="L485" s="34"/>
      <c r="M485" s="34"/>
    </row>
    <row r="486" spans="1:13" ht="30" customHeight="1">
      <c r="A486" s="27"/>
      <c r="B486" s="27"/>
      <c r="C486" s="36"/>
      <c r="D486" s="37"/>
      <c r="E486" s="37"/>
      <c r="F486" s="42"/>
      <c r="G486" s="42"/>
      <c r="H486" s="34"/>
      <c r="I486" s="42"/>
      <c r="J486" s="35"/>
      <c r="K486" s="27"/>
      <c r="L486" s="34"/>
      <c r="M486" s="34"/>
    </row>
    <row r="487" spans="1:13" ht="30" customHeight="1">
      <c r="A487" s="27"/>
      <c r="B487" s="27"/>
      <c r="C487" s="36"/>
      <c r="D487" s="37"/>
      <c r="E487" s="37"/>
      <c r="F487" s="42"/>
      <c r="G487" s="42"/>
      <c r="H487" s="34"/>
      <c r="I487" s="42"/>
      <c r="J487" s="35"/>
      <c r="K487" s="27"/>
      <c r="L487" s="34"/>
      <c r="M487" s="34"/>
    </row>
    <row r="488" spans="1:13" ht="30" customHeight="1">
      <c r="A488" s="27"/>
      <c r="B488" s="27"/>
      <c r="C488" s="36"/>
      <c r="D488" s="37"/>
      <c r="E488" s="37"/>
      <c r="F488" s="42"/>
      <c r="G488" s="42"/>
      <c r="H488" s="34"/>
      <c r="I488" s="42"/>
      <c r="J488" s="35"/>
      <c r="K488" s="27"/>
      <c r="L488" s="34"/>
      <c r="M488" s="34"/>
    </row>
    <row r="489" spans="1:13" ht="30" customHeight="1">
      <c r="A489" s="27"/>
      <c r="B489" s="27"/>
      <c r="C489" s="36"/>
      <c r="D489" s="37"/>
      <c r="E489" s="37"/>
      <c r="F489" s="42"/>
      <c r="G489" s="42"/>
      <c r="H489" s="34"/>
      <c r="I489" s="42"/>
      <c r="J489" s="35"/>
      <c r="K489" s="27"/>
      <c r="L489" s="34"/>
      <c r="M489" s="34"/>
    </row>
    <row r="490" spans="1:13" ht="30" customHeight="1">
      <c r="A490" s="27"/>
      <c r="B490" s="27"/>
      <c r="C490" s="36"/>
      <c r="D490" s="37"/>
      <c r="E490" s="37"/>
      <c r="F490" s="42"/>
      <c r="G490" s="42"/>
      <c r="H490" s="34"/>
      <c r="I490" s="42"/>
      <c r="J490" s="35"/>
      <c r="K490" s="27"/>
      <c r="L490" s="34"/>
      <c r="M490" s="34"/>
    </row>
    <row r="491" spans="1:13" ht="30" customHeight="1">
      <c r="A491" s="27"/>
      <c r="B491" s="27"/>
      <c r="C491" s="36"/>
      <c r="D491" s="37"/>
      <c r="E491" s="37"/>
      <c r="F491" s="42"/>
      <c r="G491" s="42"/>
      <c r="H491" s="34"/>
      <c r="I491" s="42"/>
      <c r="J491" s="35"/>
      <c r="K491" s="27"/>
      <c r="L491" s="34"/>
      <c r="M491" s="34"/>
    </row>
    <row r="492" spans="1:13" ht="30" customHeight="1">
      <c r="A492" s="27"/>
      <c r="B492" s="27"/>
      <c r="C492" s="36"/>
      <c r="D492" s="37"/>
      <c r="E492" s="37"/>
      <c r="F492" s="42"/>
      <c r="G492" s="42"/>
      <c r="H492" s="34"/>
      <c r="I492" s="42"/>
      <c r="J492" s="35"/>
      <c r="K492" s="27"/>
      <c r="L492" s="34"/>
      <c r="M492" s="34"/>
    </row>
    <row r="493" spans="1:13" ht="30" customHeight="1">
      <c r="A493" s="27"/>
      <c r="B493" s="27"/>
      <c r="C493" s="36"/>
      <c r="D493" s="37"/>
      <c r="E493" s="37"/>
      <c r="F493" s="42"/>
      <c r="G493" s="42"/>
      <c r="H493" s="34"/>
      <c r="I493" s="42"/>
      <c r="J493" s="35"/>
      <c r="K493" s="27"/>
      <c r="L493" s="34"/>
      <c r="M493" s="34"/>
    </row>
    <row r="494" spans="1:13" ht="30" customHeight="1">
      <c r="A494" s="27"/>
      <c r="B494" s="27"/>
      <c r="C494" s="36"/>
      <c r="D494" s="37"/>
      <c r="E494" s="37"/>
      <c r="F494" s="42"/>
      <c r="G494" s="42"/>
      <c r="H494" s="34"/>
      <c r="I494" s="42"/>
      <c r="J494" s="35"/>
      <c r="K494" s="27"/>
      <c r="L494" s="34"/>
      <c r="M494" s="34"/>
    </row>
    <row r="495" spans="1:13" ht="30" customHeight="1">
      <c r="A495" s="27"/>
      <c r="B495" s="27"/>
      <c r="C495" s="36"/>
      <c r="D495" s="37"/>
      <c r="E495" s="37"/>
      <c r="F495" s="42"/>
      <c r="G495" s="42"/>
      <c r="H495" s="34"/>
      <c r="I495" s="42"/>
      <c r="J495" s="35"/>
      <c r="K495" s="27"/>
      <c r="L495" s="34"/>
      <c r="M495" s="34"/>
    </row>
    <row r="496" spans="1:13" ht="30" customHeight="1">
      <c r="A496" s="27"/>
      <c r="B496" s="27"/>
      <c r="C496" s="36"/>
      <c r="D496" s="37"/>
      <c r="E496" s="37"/>
      <c r="F496" s="42"/>
      <c r="G496" s="42"/>
      <c r="H496" s="34"/>
      <c r="I496" s="42"/>
      <c r="J496" s="35"/>
      <c r="K496" s="27"/>
      <c r="L496" s="34"/>
      <c r="M496" s="34"/>
    </row>
    <row r="497" spans="1:13" ht="30" customHeight="1">
      <c r="A497" s="27"/>
      <c r="B497" s="27"/>
      <c r="C497" s="36"/>
      <c r="D497" s="37"/>
      <c r="E497" s="37"/>
      <c r="F497" s="42"/>
      <c r="G497" s="42"/>
      <c r="H497" s="34"/>
      <c r="I497" s="42"/>
      <c r="J497" s="35"/>
      <c r="K497" s="27"/>
      <c r="L497" s="34"/>
      <c r="M497" s="34"/>
    </row>
    <row r="498" spans="1:13" ht="30" customHeight="1">
      <c r="A498" s="27"/>
      <c r="B498" s="27"/>
      <c r="C498" s="36"/>
      <c r="D498" s="37"/>
      <c r="E498" s="37"/>
      <c r="F498" s="42"/>
      <c r="G498" s="42"/>
      <c r="H498" s="34"/>
      <c r="I498" s="42"/>
      <c r="J498" s="35"/>
      <c r="K498" s="27"/>
      <c r="L498" s="34"/>
      <c r="M498" s="34"/>
    </row>
    <row r="499" spans="1:13" ht="30" customHeight="1">
      <c r="A499" s="27"/>
      <c r="B499" s="27"/>
      <c r="C499" s="36"/>
      <c r="D499" s="37"/>
      <c r="E499" s="37"/>
      <c r="F499" s="42"/>
      <c r="G499" s="42"/>
      <c r="H499" s="34"/>
      <c r="I499" s="42"/>
      <c r="J499" s="35"/>
      <c r="K499" s="27"/>
      <c r="L499" s="34"/>
      <c r="M499" s="34"/>
    </row>
    <row r="500" spans="1:13" ht="30" customHeight="1">
      <c r="A500" s="27"/>
      <c r="B500" s="27"/>
      <c r="C500" s="36"/>
      <c r="D500" s="37"/>
      <c r="E500" s="37"/>
      <c r="F500" s="42"/>
      <c r="G500" s="42"/>
      <c r="H500" s="34"/>
      <c r="I500" s="42"/>
      <c r="J500" s="35"/>
      <c r="K500" s="27"/>
      <c r="L500" s="34"/>
      <c r="M500" s="34"/>
    </row>
    <row r="501" spans="1:13" ht="30" customHeight="1">
      <c r="A501" s="27"/>
      <c r="B501" s="27"/>
      <c r="C501" s="36"/>
      <c r="D501" s="37"/>
      <c r="E501" s="37"/>
      <c r="F501" s="42"/>
      <c r="G501" s="42"/>
      <c r="H501" s="34"/>
      <c r="I501" s="42"/>
      <c r="J501" s="35"/>
      <c r="K501" s="27"/>
      <c r="L501" s="34"/>
      <c r="M501" s="34"/>
    </row>
    <row r="502" spans="1:13" ht="30" customHeight="1">
      <c r="A502" s="27"/>
      <c r="B502" s="27"/>
      <c r="C502" s="36"/>
      <c r="D502" s="37"/>
      <c r="E502" s="37"/>
      <c r="F502" s="42"/>
      <c r="G502" s="42"/>
      <c r="H502" s="34"/>
      <c r="I502" s="42"/>
      <c r="J502" s="35"/>
      <c r="K502" s="27"/>
      <c r="L502" s="34"/>
      <c r="M502" s="34"/>
    </row>
    <row r="503" spans="1:13" ht="30" customHeight="1">
      <c r="A503" s="27"/>
      <c r="B503" s="27"/>
      <c r="C503" s="36"/>
      <c r="D503" s="37"/>
      <c r="E503" s="37"/>
      <c r="F503" s="42"/>
      <c r="G503" s="42"/>
      <c r="H503" s="34"/>
      <c r="I503" s="42"/>
      <c r="J503" s="35"/>
      <c r="K503" s="27"/>
      <c r="L503" s="34"/>
      <c r="M503" s="34"/>
    </row>
    <row r="504" spans="1:13" ht="30" customHeight="1">
      <c r="A504" s="27"/>
      <c r="B504" s="27"/>
      <c r="C504" s="36"/>
      <c r="D504" s="37"/>
      <c r="E504" s="37"/>
      <c r="F504" s="42"/>
      <c r="G504" s="42"/>
      <c r="H504" s="34"/>
      <c r="I504" s="42"/>
      <c r="J504" s="35"/>
      <c r="K504" s="27"/>
      <c r="L504" s="34"/>
      <c r="M504" s="34"/>
    </row>
    <row r="505" spans="1:13" ht="30" customHeight="1">
      <c r="A505" s="27"/>
      <c r="B505" s="27"/>
      <c r="C505" s="36"/>
      <c r="D505" s="37"/>
      <c r="E505" s="37"/>
      <c r="F505" s="42"/>
      <c r="G505" s="42"/>
      <c r="H505" s="34"/>
      <c r="I505" s="42"/>
      <c r="J505" s="35"/>
      <c r="K505" s="27"/>
      <c r="L505" s="34"/>
      <c r="M505" s="34"/>
    </row>
    <row r="506" spans="1:13" ht="30" customHeight="1">
      <c r="A506" s="27"/>
      <c r="B506" s="27"/>
      <c r="C506" s="36"/>
      <c r="D506" s="37"/>
      <c r="E506" s="37"/>
      <c r="F506" s="42"/>
      <c r="G506" s="42"/>
      <c r="H506" s="34"/>
      <c r="I506" s="42"/>
      <c r="J506" s="35"/>
      <c r="K506" s="27"/>
      <c r="L506" s="34"/>
      <c r="M506" s="34"/>
    </row>
    <row r="507" spans="1:13" ht="30" customHeight="1">
      <c r="A507" s="27"/>
      <c r="B507" s="27"/>
      <c r="C507" s="36"/>
      <c r="D507" s="37"/>
      <c r="E507" s="37"/>
      <c r="F507" s="42"/>
      <c r="G507" s="42"/>
      <c r="H507" s="34"/>
      <c r="I507" s="42"/>
      <c r="J507" s="35"/>
      <c r="K507" s="27"/>
      <c r="L507" s="34"/>
      <c r="M507" s="34"/>
    </row>
    <row r="508" spans="1:13" ht="30" customHeight="1">
      <c r="A508" s="27"/>
      <c r="B508" s="27"/>
      <c r="C508" s="36"/>
      <c r="D508" s="37"/>
      <c r="E508" s="37"/>
      <c r="F508" s="42"/>
      <c r="G508" s="42"/>
      <c r="H508" s="34"/>
      <c r="I508" s="42"/>
      <c r="J508" s="35"/>
      <c r="K508" s="27"/>
      <c r="L508" s="34"/>
      <c r="M508" s="34"/>
    </row>
    <row r="509" spans="1:13" ht="30" customHeight="1">
      <c r="A509" s="27"/>
      <c r="B509" s="27"/>
      <c r="C509" s="36"/>
      <c r="D509" s="37"/>
      <c r="E509" s="37"/>
      <c r="F509" s="42"/>
      <c r="G509" s="42"/>
      <c r="H509" s="34"/>
      <c r="I509" s="42"/>
      <c r="J509" s="35"/>
      <c r="K509" s="27"/>
      <c r="L509" s="34"/>
      <c r="M509" s="34"/>
    </row>
    <row r="510" spans="1:13" ht="30" customHeight="1">
      <c r="A510" s="27"/>
      <c r="B510" s="27"/>
      <c r="C510" s="36"/>
      <c r="D510" s="37"/>
      <c r="E510" s="37"/>
      <c r="F510" s="42"/>
      <c r="G510" s="42"/>
      <c r="H510" s="34"/>
      <c r="I510" s="42"/>
      <c r="J510" s="35"/>
      <c r="K510" s="27"/>
      <c r="L510" s="34"/>
      <c r="M510" s="34"/>
    </row>
    <row r="511" spans="1:13" ht="30" customHeight="1">
      <c r="A511" s="27"/>
      <c r="B511" s="27"/>
      <c r="C511" s="36"/>
      <c r="D511" s="37"/>
      <c r="E511" s="37"/>
      <c r="F511" s="42"/>
      <c r="G511" s="42"/>
      <c r="H511" s="34"/>
      <c r="I511" s="42"/>
      <c r="J511" s="35"/>
      <c r="K511" s="27"/>
      <c r="L511" s="34"/>
      <c r="M511" s="34"/>
    </row>
    <row r="512" spans="1:13" ht="30" customHeight="1">
      <c r="A512" s="27"/>
      <c r="B512" s="27"/>
      <c r="C512" s="36"/>
      <c r="D512" s="37"/>
      <c r="E512" s="37"/>
      <c r="F512" s="42"/>
      <c r="G512" s="42"/>
      <c r="H512" s="34"/>
      <c r="I512" s="42"/>
      <c r="J512" s="35"/>
      <c r="K512" s="27"/>
      <c r="L512" s="34"/>
      <c r="M512" s="34"/>
    </row>
    <row r="513" spans="1:13" ht="30" customHeight="1">
      <c r="A513" s="27"/>
      <c r="B513" s="27"/>
      <c r="C513" s="36"/>
      <c r="D513" s="37"/>
      <c r="E513" s="37"/>
      <c r="F513" s="42"/>
      <c r="G513" s="42"/>
      <c r="H513" s="34"/>
      <c r="I513" s="42"/>
      <c r="J513" s="35"/>
      <c r="K513" s="27"/>
      <c r="L513" s="34"/>
      <c r="M513" s="34"/>
    </row>
    <row r="514" spans="1:13" ht="30" customHeight="1">
      <c r="A514" s="27"/>
      <c r="B514" s="27"/>
      <c r="C514" s="36"/>
      <c r="D514" s="37"/>
      <c r="E514" s="37"/>
      <c r="F514" s="42"/>
      <c r="G514" s="42"/>
      <c r="H514" s="34"/>
      <c r="I514" s="42"/>
      <c r="J514" s="35"/>
      <c r="K514" s="27"/>
      <c r="L514" s="34"/>
      <c r="M514" s="34"/>
    </row>
    <row r="515" spans="1:13" ht="30" customHeight="1">
      <c r="A515" s="27"/>
      <c r="B515" s="27"/>
      <c r="C515" s="36"/>
      <c r="D515" s="37"/>
      <c r="E515" s="37"/>
      <c r="F515" s="42"/>
      <c r="G515" s="42"/>
      <c r="H515" s="34"/>
      <c r="I515" s="42"/>
      <c r="J515" s="35"/>
      <c r="K515" s="27"/>
      <c r="L515" s="34"/>
      <c r="M515" s="34"/>
    </row>
    <row r="516" spans="1:13" ht="30" customHeight="1">
      <c r="A516" s="27"/>
      <c r="B516" s="27"/>
      <c r="C516" s="36"/>
      <c r="D516" s="37"/>
      <c r="E516" s="37"/>
      <c r="F516" s="42"/>
      <c r="G516" s="42"/>
      <c r="H516" s="34"/>
      <c r="I516" s="42"/>
      <c r="J516" s="35"/>
      <c r="K516" s="27"/>
      <c r="L516" s="34"/>
      <c r="M516" s="34"/>
    </row>
    <row r="517" spans="1:13" ht="30" customHeight="1">
      <c r="A517" s="27"/>
      <c r="B517" s="27"/>
      <c r="C517" s="36"/>
      <c r="D517" s="37"/>
      <c r="E517" s="37"/>
      <c r="F517" s="42"/>
      <c r="G517" s="42"/>
      <c r="H517" s="34"/>
      <c r="I517" s="42"/>
      <c r="J517" s="35"/>
      <c r="K517" s="27"/>
      <c r="L517" s="34"/>
      <c r="M517" s="34"/>
    </row>
    <row r="518" spans="1:13" ht="30" customHeight="1">
      <c r="A518" s="27"/>
      <c r="B518" s="27"/>
      <c r="C518" s="36"/>
      <c r="D518" s="37"/>
      <c r="E518" s="37"/>
      <c r="F518" s="42"/>
      <c r="G518" s="42"/>
      <c r="H518" s="34"/>
      <c r="I518" s="42"/>
      <c r="J518" s="35"/>
      <c r="K518" s="27"/>
      <c r="L518" s="34"/>
      <c r="M518" s="34"/>
    </row>
    <row r="519" spans="1:13" ht="30" customHeight="1">
      <c r="A519" s="27"/>
      <c r="B519" s="27"/>
      <c r="C519" s="36"/>
      <c r="D519" s="37"/>
      <c r="E519" s="37"/>
      <c r="F519" s="42"/>
      <c r="G519" s="42"/>
      <c r="H519" s="34"/>
      <c r="I519" s="42"/>
      <c r="J519" s="35"/>
      <c r="K519" s="27"/>
      <c r="L519" s="34"/>
      <c r="M519" s="34"/>
    </row>
    <row r="520" spans="1:13" ht="30" customHeight="1">
      <c r="A520" s="27"/>
      <c r="B520" s="27"/>
      <c r="C520" s="36"/>
      <c r="D520" s="37"/>
      <c r="E520" s="37"/>
      <c r="F520" s="42"/>
      <c r="G520" s="42"/>
      <c r="H520" s="34"/>
      <c r="I520" s="42"/>
      <c r="J520" s="35"/>
      <c r="K520" s="27"/>
      <c r="L520" s="34"/>
      <c r="M520" s="34"/>
    </row>
    <row r="521" spans="1:13" ht="30" customHeight="1">
      <c r="A521" s="27"/>
      <c r="B521" s="27"/>
      <c r="C521" s="36"/>
      <c r="D521" s="37"/>
      <c r="E521" s="37"/>
      <c r="F521" s="42"/>
      <c r="G521" s="42"/>
      <c r="H521" s="34"/>
      <c r="I521" s="42"/>
      <c r="J521" s="35"/>
      <c r="K521" s="27"/>
      <c r="L521" s="34"/>
      <c r="M521" s="34"/>
    </row>
    <row r="522" spans="1:13" ht="30" customHeight="1">
      <c r="A522" s="27"/>
      <c r="B522" s="27"/>
      <c r="C522" s="36"/>
      <c r="D522" s="37"/>
      <c r="E522" s="37"/>
      <c r="F522" s="42"/>
      <c r="G522" s="42"/>
      <c r="H522" s="34"/>
      <c r="I522" s="42"/>
      <c r="J522" s="35"/>
      <c r="K522" s="27"/>
      <c r="L522" s="34"/>
      <c r="M522" s="34"/>
    </row>
    <row r="523" spans="1:13" ht="30" customHeight="1">
      <c r="A523" s="27"/>
      <c r="B523" s="27"/>
      <c r="C523" s="36"/>
      <c r="D523" s="37"/>
      <c r="E523" s="37"/>
      <c r="F523" s="42"/>
      <c r="G523" s="42"/>
      <c r="H523" s="34"/>
      <c r="I523" s="42"/>
      <c r="J523" s="35"/>
      <c r="K523" s="27"/>
      <c r="L523" s="34"/>
      <c r="M523" s="34"/>
    </row>
    <row r="524" spans="1:13" ht="30" customHeight="1">
      <c r="A524" s="27"/>
      <c r="B524" s="27"/>
      <c r="C524" s="36"/>
      <c r="D524" s="37"/>
      <c r="E524" s="37"/>
      <c r="F524" s="42"/>
      <c r="G524" s="42"/>
      <c r="H524" s="34"/>
      <c r="I524" s="42"/>
      <c r="J524" s="35"/>
      <c r="K524" s="27"/>
      <c r="L524" s="34"/>
      <c r="M524" s="34"/>
    </row>
    <row r="525" spans="1:13" ht="30" customHeight="1">
      <c r="A525" s="27"/>
      <c r="B525" s="27"/>
      <c r="C525" s="36"/>
      <c r="D525" s="37"/>
      <c r="E525" s="37"/>
      <c r="F525" s="42"/>
      <c r="G525" s="42"/>
      <c r="H525" s="34"/>
      <c r="I525" s="42"/>
      <c r="J525" s="35"/>
      <c r="K525" s="27"/>
      <c r="L525" s="34"/>
      <c r="M525" s="34"/>
    </row>
    <row r="526" spans="1:13" ht="30" customHeight="1">
      <c r="A526" s="27"/>
      <c r="B526" s="27"/>
      <c r="C526" s="36"/>
      <c r="D526" s="37"/>
      <c r="E526" s="37"/>
      <c r="F526" s="42"/>
      <c r="G526" s="42"/>
      <c r="H526" s="34"/>
      <c r="I526" s="42"/>
      <c r="J526" s="35"/>
      <c r="K526" s="27"/>
      <c r="L526" s="34"/>
      <c r="M526" s="34"/>
    </row>
    <row r="527" spans="1:13" ht="30" customHeight="1">
      <c r="A527" s="27"/>
      <c r="B527" s="27"/>
      <c r="C527" s="36"/>
      <c r="D527" s="37"/>
      <c r="E527" s="37"/>
      <c r="F527" s="42"/>
      <c r="G527" s="42"/>
      <c r="H527" s="34"/>
      <c r="I527" s="42"/>
      <c r="J527" s="35"/>
      <c r="K527" s="27"/>
      <c r="L527" s="34"/>
      <c r="M527" s="34"/>
    </row>
    <row r="528" spans="1:13" ht="30" customHeight="1">
      <c r="A528" s="27"/>
      <c r="B528" s="27"/>
      <c r="C528" s="36"/>
      <c r="D528" s="37"/>
      <c r="E528" s="37"/>
      <c r="F528" s="42"/>
      <c r="G528" s="42"/>
      <c r="H528" s="34"/>
      <c r="I528" s="42"/>
      <c r="J528" s="35"/>
      <c r="K528" s="27"/>
      <c r="L528" s="34"/>
      <c r="M528" s="34"/>
    </row>
    <row r="529" spans="1:13" ht="30" customHeight="1">
      <c r="A529" s="27"/>
      <c r="B529" s="27"/>
      <c r="C529" s="36"/>
      <c r="D529" s="37"/>
      <c r="E529" s="37"/>
      <c r="F529" s="42"/>
      <c r="G529" s="42"/>
      <c r="H529" s="34"/>
      <c r="I529" s="42"/>
      <c r="J529" s="35"/>
      <c r="K529" s="27"/>
      <c r="L529" s="34"/>
      <c r="M529" s="34"/>
    </row>
    <row r="530" spans="1:13" ht="30" customHeight="1">
      <c r="A530" s="27"/>
      <c r="B530" s="27"/>
      <c r="C530" s="36"/>
      <c r="D530" s="37"/>
      <c r="E530" s="37"/>
      <c r="F530" s="42"/>
      <c r="G530" s="42"/>
      <c r="H530" s="34"/>
      <c r="I530" s="42"/>
      <c r="J530" s="35"/>
      <c r="K530" s="27"/>
      <c r="L530" s="34"/>
      <c r="M530" s="34"/>
    </row>
    <row r="531" spans="1:13" ht="30" customHeight="1">
      <c r="A531" s="27"/>
      <c r="B531" s="27"/>
      <c r="C531" s="36"/>
      <c r="D531" s="37"/>
      <c r="E531" s="37"/>
      <c r="F531" s="42"/>
      <c r="G531" s="42"/>
      <c r="H531" s="34"/>
      <c r="I531" s="42"/>
      <c r="J531" s="35"/>
      <c r="K531" s="27"/>
      <c r="L531" s="34"/>
      <c r="M531" s="34"/>
    </row>
    <row r="532" spans="1:13" ht="30" customHeight="1">
      <c r="A532" s="27"/>
      <c r="B532" s="27"/>
      <c r="C532" s="36"/>
      <c r="D532" s="37"/>
      <c r="E532" s="37"/>
      <c r="F532" s="42"/>
      <c r="G532" s="42"/>
      <c r="H532" s="34"/>
      <c r="I532" s="42"/>
      <c r="J532" s="35"/>
      <c r="K532" s="27"/>
      <c r="L532" s="34"/>
      <c r="M532" s="34"/>
    </row>
    <row r="533" spans="1:13" ht="30" customHeight="1">
      <c r="A533" s="27"/>
      <c r="B533" s="27"/>
      <c r="C533" s="36"/>
      <c r="D533" s="37"/>
      <c r="E533" s="37"/>
      <c r="F533" s="42"/>
      <c r="G533" s="42"/>
      <c r="H533" s="34"/>
      <c r="I533" s="42"/>
      <c r="J533" s="35"/>
      <c r="K533" s="27"/>
      <c r="L533" s="34"/>
      <c r="M533" s="34"/>
    </row>
    <row r="534" spans="1:13" ht="30" customHeight="1">
      <c r="A534" s="27"/>
      <c r="B534" s="27"/>
      <c r="C534" s="36"/>
      <c r="D534" s="37"/>
      <c r="E534" s="37"/>
      <c r="F534" s="42"/>
      <c r="G534" s="42"/>
      <c r="H534" s="34"/>
      <c r="I534" s="42"/>
      <c r="J534" s="35"/>
      <c r="K534" s="27"/>
      <c r="L534" s="34"/>
      <c r="M534" s="34"/>
    </row>
    <row r="535" spans="1:13" ht="30" customHeight="1">
      <c r="A535" s="27"/>
      <c r="B535" s="27"/>
      <c r="C535" s="36"/>
      <c r="D535" s="37"/>
      <c r="E535" s="37"/>
      <c r="F535" s="42"/>
      <c r="G535" s="42"/>
      <c r="H535" s="34"/>
      <c r="I535" s="42"/>
      <c r="J535" s="35"/>
      <c r="K535" s="27"/>
      <c r="L535" s="34"/>
      <c r="M535" s="34"/>
    </row>
    <row r="536" spans="1:13" ht="30" customHeight="1">
      <c r="A536" s="27"/>
      <c r="B536" s="27"/>
      <c r="C536" s="36"/>
      <c r="D536" s="37"/>
      <c r="E536" s="37"/>
      <c r="F536" s="42"/>
      <c r="G536" s="42"/>
      <c r="H536" s="34"/>
      <c r="I536" s="42"/>
      <c r="J536" s="35"/>
      <c r="K536" s="27"/>
      <c r="L536" s="34"/>
      <c r="M536" s="34"/>
    </row>
    <row r="537" spans="1:13" ht="30" customHeight="1">
      <c r="A537" s="27"/>
      <c r="B537" s="27"/>
      <c r="C537" s="36"/>
      <c r="D537" s="37"/>
      <c r="E537" s="37"/>
      <c r="F537" s="42"/>
      <c r="G537" s="42"/>
      <c r="H537" s="34"/>
      <c r="I537" s="42"/>
      <c r="J537" s="35"/>
      <c r="K537" s="27"/>
      <c r="L537" s="34"/>
      <c r="M537" s="34"/>
    </row>
    <row r="538" spans="1:13" ht="30" customHeight="1">
      <c r="A538" s="27"/>
      <c r="B538" s="27"/>
      <c r="C538" s="36"/>
      <c r="D538" s="37"/>
      <c r="E538" s="37"/>
      <c r="F538" s="42"/>
      <c r="G538" s="42"/>
      <c r="H538" s="34"/>
      <c r="I538" s="42"/>
      <c r="J538" s="35"/>
      <c r="K538" s="27"/>
      <c r="L538" s="34"/>
      <c r="M538" s="34"/>
    </row>
    <row r="539" spans="1:13" ht="30" customHeight="1">
      <c r="A539" s="27"/>
      <c r="B539" s="27"/>
      <c r="C539" s="36"/>
      <c r="D539" s="37"/>
      <c r="E539" s="37"/>
      <c r="F539" s="42"/>
      <c r="G539" s="42"/>
      <c r="H539" s="34"/>
      <c r="I539" s="42"/>
      <c r="J539" s="35"/>
      <c r="K539" s="27"/>
      <c r="L539" s="34"/>
      <c r="M539" s="34"/>
    </row>
    <row r="540" spans="1:13" ht="30" customHeight="1">
      <c r="A540" s="27"/>
      <c r="B540" s="27"/>
      <c r="C540" s="36"/>
      <c r="D540" s="37"/>
      <c r="E540" s="37"/>
      <c r="F540" s="42"/>
      <c r="G540" s="42"/>
      <c r="H540" s="34"/>
      <c r="I540" s="42"/>
      <c r="J540" s="35"/>
      <c r="K540" s="27"/>
      <c r="L540" s="34"/>
      <c r="M540" s="34"/>
    </row>
    <row r="541" spans="1:13" ht="30" customHeight="1">
      <c r="A541" s="27"/>
      <c r="B541" s="27"/>
      <c r="C541" s="36"/>
      <c r="D541" s="37"/>
      <c r="E541" s="37"/>
      <c r="F541" s="42"/>
      <c r="G541" s="42"/>
      <c r="H541" s="34"/>
      <c r="I541" s="42"/>
      <c r="J541" s="35"/>
      <c r="K541" s="27"/>
      <c r="L541" s="34"/>
      <c r="M541" s="34"/>
    </row>
    <row r="542" spans="1:13" ht="30" customHeight="1">
      <c r="A542" s="27"/>
      <c r="B542" s="27"/>
      <c r="C542" s="36"/>
      <c r="D542" s="37"/>
      <c r="E542" s="37"/>
      <c r="F542" s="42"/>
      <c r="G542" s="42"/>
      <c r="H542" s="34"/>
      <c r="I542" s="42"/>
      <c r="J542" s="35"/>
      <c r="K542" s="27"/>
      <c r="L542" s="34"/>
      <c r="M542" s="34"/>
    </row>
    <row r="543" spans="1:13" ht="30" customHeight="1">
      <c r="A543" s="27"/>
      <c r="B543" s="27"/>
      <c r="C543" s="36"/>
      <c r="D543" s="37"/>
      <c r="E543" s="37"/>
      <c r="F543" s="42"/>
      <c r="G543" s="42"/>
      <c r="H543" s="34"/>
      <c r="I543" s="42"/>
      <c r="J543" s="35"/>
      <c r="K543" s="27"/>
      <c r="L543" s="34"/>
      <c r="M543" s="34"/>
    </row>
    <row r="544" spans="1:13" ht="30" customHeight="1">
      <c r="A544" s="27"/>
      <c r="B544" s="27"/>
      <c r="C544" s="36"/>
      <c r="D544" s="37"/>
      <c r="E544" s="37"/>
      <c r="F544" s="42"/>
      <c r="G544" s="42"/>
      <c r="H544" s="34"/>
      <c r="I544" s="42"/>
      <c r="J544" s="35"/>
      <c r="K544" s="27"/>
      <c r="L544" s="34"/>
      <c r="M544" s="34"/>
    </row>
    <row r="545" spans="1:13" ht="30" customHeight="1">
      <c r="A545" s="27"/>
      <c r="B545" s="27"/>
      <c r="C545" s="36"/>
      <c r="D545" s="37"/>
      <c r="E545" s="37"/>
      <c r="F545" s="42"/>
      <c r="G545" s="42"/>
      <c r="H545" s="34"/>
      <c r="I545" s="42"/>
      <c r="J545" s="35"/>
      <c r="K545" s="27"/>
      <c r="L545" s="34"/>
      <c r="M545" s="34"/>
    </row>
    <row r="546" spans="1:13" ht="30" customHeight="1">
      <c r="A546" s="27"/>
      <c r="B546" s="27"/>
      <c r="C546" s="36"/>
      <c r="D546" s="37"/>
      <c r="E546" s="37"/>
      <c r="F546" s="42"/>
      <c r="G546" s="42"/>
      <c r="H546" s="34"/>
      <c r="I546" s="42"/>
      <c r="J546" s="35"/>
      <c r="K546" s="27"/>
      <c r="L546" s="34"/>
      <c r="M546" s="34"/>
    </row>
    <row r="547" spans="1:13" ht="30" customHeight="1">
      <c r="A547" s="27"/>
      <c r="B547" s="27"/>
      <c r="C547" s="36"/>
      <c r="D547" s="37"/>
      <c r="E547" s="37"/>
      <c r="F547" s="42"/>
      <c r="G547" s="42"/>
      <c r="H547" s="34"/>
      <c r="I547" s="42"/>
      <c r="J547" s="35"/>
      <c r="K547" s="27"/>
      <c r="L547" s="34"/>
      <c r="M547" s="34"/>
    </row>
    <row r="548" spans="1:13" ht="30" customHeight="1">
      <c r="A548" s="27"/>
      <c r="B548" s="27"/>
      <c r="C548" s="36"/>
      <c r="D548" s="37"/>
      <c r="E548" s="37"/>
      <c r="F548" s="42"/>
      <c r="G548" s="42"/>
      <c r="H548" s="34"/>
      <c r="I548" s="42"/>
      <c r="J548" s="35"/>
      <c r="K548" s="27"/>
      <c r="L548" s="34"/>
      <c r="M548" s="34"/>
    </row>
    <row r="549" spans="1:13" ht="30" customHeight="1">
      <c r="A549" s="27"/>
      <c r="B549" s="27"/>
      <c r="C549" s="36"/>
      <c r="D549" s="37"/>
      <c r="E549" s="37"/>
      <c r="F549" s="42"/>
      <c r="G549" s="42"/>
      <c r="H549" s="34"/>
      <c r="I549" s="42"/>
      <c r="J549" s="35"/>
      <c r="K549" s="27"/>
      <c r="L549" s="34"/>
      <c r="M549" s="34"/>
    </row>
    <row r="550" spans="1:13" ht="30" customHeight="1">
      <c r="A550" s="27"/>
      <c r="B550" s="27"/>
      <c r="C550" s="36"/>
      <c r="D550" s="37"/>
      <c r="E550" s="37"/>
      <c r="F550" s="42"/>
      <c r="G550" s="42"/>
      <c r="H550" s="34"/>
      <c r="I550" s="42"/>
      <c r="J550" s="35"/>
      <c r="K550" s="27"/>
      <c r="L550" s="34"/>
      <c r="M550" s="34"/>
    </row>
    <row r="551" spans="1:13" ht="30" customHeight="1">
      <c r="A551" s="27"/>
      <c r="B551" s="27"/>
      <c r="C551" s="36"/>
      <c r="D551" s="37"/>
      <c r="E551" s="37"/>
      <c r="F551" s="42"/>
      <c r="G551" s="42"/>
      <c r="H551" s="34"/>
      <c r="I551" s="42"/>
      <c r="J551" s="35"/>
      <c r="K551" s="27"/>
      <c r="L551" s="34"/>
      <c r="M551" s="34"/>
    </row>
    <row r="552" spans="1:13" ht="30" customHeight="1">
      <c r="A552" s="27"/>
      <c r="B552" s="27"/>
      <c r="C552" s="36"/>
      <c r="D552" s="37"/>
      <c r="E552" s="37"/>
      <c r="F552" s="42"/>
      <c r="G552" s="42"/>
      <c r="H552" s="34"/>
      <c r="I552" s="42"/>
      <c r="J552" s="35"/>
      <c r="K552" s="27"/>
      <c r="L552" s="34"/>
      <c r="M552" s="34"/>
    </row>
    <row r="553" spans="1:13" ht="30" customHeight="1">
      <c r="A553" s="27"/>
      <c r="B553" s="27"/>
      <c r="C553" s="36"/>
      <c r="D553" s="37"/>
      <c r="E553" s="37"/>
      <c r="F553" s="42"/>
      <c r="G553" s="42"/>
      <c r="H553" s="34"/>
      <c r="I553" s="42"/>
      <c r="J553" s="35"/>
      <c r="K553" s="27"/>
      <c r="L553" s="34"/>
      <c r="M553" s="34"/>
    </row>
    <row r="554" spans="1:13" ht="30" customHeight="1">
      <c r="A554" s="27"/>
      <c r="B554" s="27"/>
      <c r="C554" s="36"/>
      <c r="D554" s="37"/>
      <c r="E554" s="37"/>
      <c r="F554" s="42"/>
      <c r="G554" s="42"/>
      <c r="H554" s="34"/>
      <c r="I554" s="42"/>
      <c r="J554" s="35"/>
      <c r="K554" s="27"/>
      <c r="L554" s="34"/>
      <c r="M554" s="34"/>
    </row>
    <row r="555" spans="1:13" ht="30" customHeight="1">
      <c r="A555" s="27"/>
      <c r="B555" s="27"/>
      <c r="C555" s="36"/>
      <c r="D555" s="37"/>
      <c r="E555" s="37"/>
      <c r="F555" s="42"/>
      <c r="G555" s="42"/>
      <c r="H555" s="34"/>
      <c r="I555" s="42"/>
      <c r="J555" s="35"/>
      <c r="K555" s="27"/>
      <c r="L555" s="34"/>
      <c r="M555" s="34"/>
    </row>
    <row r="556" spans="1:13" ht="30" customHeight="1">
      <c r="A556" s="27"/>
      <c r="B556" s="27"/>
      <c r="C556" s="36"/>
      <c r="D556" s="37"/>
      <c r="E556" s="37"/>
      <c r="F556" s="42"/>
      <c r="G556" s="42"/>
      <c r="H556" s="34"/>
      <c r="I556" s="42"/>
      <c r="J556" s="35"/>
      <c r="K556" s="27"/>
      <c r="L556" s="34"/>
      <c r="M556" s="34"/>
    </row>
    <row r="557" spans="1:13" ht="30" customHeight="1">
      <c r="A557" s="27"/>
      <c r="B557" s="27"/>
      <c r="C557" s="36"/>
      <c r="D557" s="37"/>
      <c r="E557" s="37"/>
      <c r="F557" s="42"/>
      <c r="G557" s="42"/>
      <c r="H557" s="34"/>
      <c r="I557" s="42"/>
      <c r="J557" s="35"/>
      <c r="K557" s="27"/>
      <c r="L557" s="34"/>
      <c r="M557" s="34"/>
    </row>
    <row r="558" spans="1:13" ht="30" customHeight="1">
      <c r="A558" s="27"/>
      <c r="B558" s="27"/>
      <c r="C558" s="36"/>
      <c r="D558" s="37"/>
      <c r="E558" s="37"/>
      <c r="F558" s="42"/>
      <c r="G558" s="42"/>
      <c r="H558" s="34"/>
      <c r="I558" s="42"/>
      <c r="J558" s="35"/>
      <c r="K558" s="27"/>
      <c r="L558" s="34"/>
      <c r="M558" s="34"/>
    </row>
    <row r="559" spans="1:13" ht="30" customHeight="1">
      <c r="A559" s="27"/>
      <c r="B559" s="27"/>
      <c r="C559" s="36"/>
      <c r="D559" s="37"/>
      <c r="E559" s="37"/>
      <c r="F559" s="42"/>
      <c r="G559" s="42"/>
      <c r="H559" s="34"/>
      <c r="I559" s="42"/>
      <c r="J559" s="35"/>
      <c r="K559" s="27"/>
      <c r="L559" s="34"/>
      <c r="M559" s="34"/>
    </row>
    <row r="560" spans="1:13" ht="30" customHeight="1">
      <c r="A560" s="27"/>
      <c r="B560" s="27"/>
      <c r="C560" s="36"/>
      <c r="D560" s="37"/>
      <c r="E560" s="37"/>
      <c r="F560" s="42"/>
      <c r="G560" s="42"/>
      <c r="H560" s="34"/>
      <c r="I560" s="42"/>
      <c r="J560" s="35"/>
      <c r="K560" s="27"/>
      <c r="L560" s="34"/>
      <c r="M560" s="34"/>
    </row>
    <row r="561" spans="1:13" ht="30" customHeight="1">
      <c r="A561" s="27"/>
      <c r="B561" s="27"/>
      <c r="C561" s="36"/>
      <c r="D561" s="37"/>
      <c r="E561" s="37"/>
      <c r="F561" s="42"/>
      <c r="G561" s="42"/>
      <c r="H561" s="34"/>
      <c r="I561" s="42"/>
      <c r="J561" s="35"/>
      <c r="K561" s="27"/>
      <c r="L561" s="34"/>
      <c r="M561" s="34"/>
    </row>
    <row r="562" spans="1:13" ht="30" customHeight="1">
      <c r="A562" s="27"/>
      <c r="B562" s="27"/>
      <c r="C562" s="36"/>
      <c r="D562" s="37"/>
      <c r="E562" s="37"/>
      <c r="F562" s="42"/>
      <c r="G562" s="42"/>
      <c r="H562" s="34"/>
      <c r="I562" s="42"/>
      <c r="J562" s="35"/>
      <c r="K562" s="27"/>
      <c r="L562" s="34"/>
      <c r="M562" s="34"/>
    </row>
    <row r="563" spans="1:13" ht="30" customHeight="1">
      <c r="A563" s="27"/>
      <c r="B563" s="27"/>
      <c r="C563" s="36"/>
      <c r="D563" s="37"/>
      <c r="E563" s="37"/>
      <c r="F563" s="42"/>
      <c r="G563" s="42"/>
      <c r="H563" s="34"/>
      <c r="I563" s="42"/>
      <c r="J563" s="35"/>
      <c r="K563" s="27"/>
      <c r="L563" s="34"/>
      <c r="M563" s="34"/>
    </row>
    <row r="564" spans="1:13" ht="30" customHeight="1">
      <c r="A564" s="27"/>
      <c r="B564" s="27"/>
      <c r="C564" s="36"/>
      <c r="D564" s="37"/>
      <c r="E564" s="37"/>
      <c r="F564" s="42"/>
      <c r="G564" s="42"/>
      <c r="H564" s="34"/>
      <c r="I564" s="42"/>
      <c r="J564" s="35"/>
      <c r="K564" s="27"/>
      <c r="L564" s="34"/>
      <c r="M564" s="34"/>
    </row>
    <row r="565" spans="1:13" ht="30" customHeight="1">
      <c r="A565" s="27"/>
      <c r="B565" s="27"/>
      <c r="C565" s="36"/>
      <c r="D565" s="37"/>
      <c r="E565" s="37"/>
      <c r="F565" s="42"/>
      <c r="G565" s="42"/>
      <c r="H565" s="34"/>
      <c r="I565" s="42"/>
      <c r="J565" s="35"/>
      <c r="K565" s="27"/>
      <c r="L565" s="34"/>
      <c r="M565" s="34"/>
    </row>
    <row r="566" spans="1:13" ht="30" customHeight="1">
      <c r="A566" s="27"/>
      <c r="B566" s="27"/>
      <c r="C566" s="36"/>
      <c r="D566" s="37"/>
      <c r="E566" s="37"/>
      <c r="F566" s="42"/>
      <c r="G566" s="42"/>
      <c r="H566" s="34"/>
      <c r="I566" s="42"/>
      <c r="J566" s="35"/>
      <c r="K566" s="27"/>
      <c r="L566" s="34"/>
      <c r="M566" s="34"/>
    </row>
    <row r="567" spans="1:13" ht="30" customHeight="1">
      <c r="A567" s="27"/>
      <c r="B567" s="27"/>
      <c r="C567" s="36"/>
      <c r="D567" s="37"/>
      <c r="E567" s="37"/>
      <c r="F567" s="42"/>
      <c r="G567" s="42"/>
      <c r="H567" s="34"/>
      <c r="I567" s="42"/>
      <c r="J567" s="35"/>
      <c r="K567" s="27"/>
      <c r="L567" s="34"/>
      <c r="M567" s="34"/>
    </row>
    <row r="568" spans="1:13" ht="30" customHeight="1">
      <c r="A568" s="27"/>
      <c r="B568" s="27"/>
      <c r="C568" s="36"/>
      <c r="D568" s="37"/>
      <c r="E568" s="37"/>
      <c r="F568" s="42"/>
      <c r="G568" s="42"/>
      <c r="H568" s="34"/>
      <c r="I568" s="42"/>
      <c r="J568" s="35"/>
      <c r="K568" s="27"/>
      <c r="L568" s="34"/>
      <c r="M568" s="34"/>
    </row>
    <row r="569" spans="1:13" ht="30" customHeight="1">
      <c r="A569" s="27"/>
      <c r="B569" s="27"/>
      <c r="C569" s="36"/>
      <c r="D569" s="37"/>
      <c r="E569" s="37"/>
      <c r="F569" s="42"/>
      <c r="G569" s="42"/>
      <c r="H569" s="34"/>
      <c r="I569" s="42"/>
      <c r="J569" s="35"/>
      <c r="K569" s="27"/>
      <c r="L569" s="34"/>
      <c r="M569" s="34"/>
    </row>
    <row r="570" spans="1:13" ht="30" customHeight="1">
      <c r="A570" s="27"/>
      <c r="B570" s="27"/>
      <c r="C570" s="36"/>
      <c r="D570" s="37"/>
      <c r="E570" s="37"/>
      <c r="F570" s="42"/>
      <c r="G570" s="42"/>
      <c r="H570" s="34"/>
      <c r="I570" s="42"/>
      <c r="J570" s="35"/>
      <c r="K570" s="27"/>
      <c r="L570" s="34"/>
      <c r="M570" s="34"/>
    </row>
    <row r="571" spans="1:13" ht="30" customHeight="1">
      <c r="A571" s="27"/>
      <c r="B571" s="27"/>
      <c r="C571" s="36"/>
      <c r="D571" s="37"/>
      <c r="E571" s="37"/>
      <c r="F571" s="42"/>
      <c r="G571" s="42"/>
      <c r="H571" s="34"/>
      <c r="I571" s="42"/>
      <c r="J571" s="35"/>
      <c r="K571" s="27"/>
      <c r="L571" s="34"/>
      <c r="M571" s="34"/>
    </row>
    <row r="572" spans="1:13" ht="30" customHeight="1">
      <c r="A572" s="27"/>
      <c r="B572" s="27"/>
      <c r="C572" s="36"/>
      <c r="D572" s="37"/>
      <c r="E572" s="37"/>
      <c r="F572" s="42"/>
      <c r="G572" s="42"/>
      <c r="H572" s="34"/>
      <c r="I572" s="42"/>
      <c r="J572" s="35"/>
      <c r="K572" s="27"/>
      <c r="L572" s="34"/>
      <c r="M572" s="34"/>
    </row>
    <row r="573" spans="1:13" ht="30" customHeight="1">
      <c r="A573" s="27"/>
      <c r="B573" s="27"/>
      <c r="C573" s="36"/>
      <c r="D573" s="37"/>
      <c r="E573" s="37"/>
      <c r="F573" s="42"/>
      <c r="G573" s="42"/>
      <c r="H573" s="34"/>
      <c r="I573" s="42"/>
      <c r="J573" s="35"/>
      <c r="K573" s="27"/>
      <c r="L573" s="34"/>
      <c r="M573" s="34"/>
    </row>
    <row r="574" spans="1:13" ht="30" customHeight="1">
      <c r="A574" s="27"/>
      <c r="B574" s="27"/>
      <c r="C574" s="36"/>
      <c r="D574" s="37"/>
      <c r="E574" s="37"/>
      <c r="F574" s="42"/>
      <c r="G574" s="42"/>
      <c r="H574" s="34"/>
      <c r="I574" s="42"/>
      <c r="J574" s="35"/>
      <c r="K574" s="27"/>
      <c r="L574" s="34"/>
      <c r="M574" s="34"/>
    </row>
    <row r="575" spans="1:13" ht="30" customHeight="1">
      <c r="A575" s="27"/>
      <c r="B575" s="27"/>
      <c r="C575" s="36"/>
      <c r="D575" s="37"/>
      <c r="E575" s="37"/>
      <c r="F575" s="42"/>
      <c r="G575" s="42"/>
      <c r="H575" s="34"/>
      <c r="I575" s="42"/>
      <c r="J575" s="35"/>
      <c r="K575" s="27"/>
      <c r="L575" s="34"/>
      <c r="M575" s="34"/>
    </row>
    <row r="576" spans="1:13" ht="30" customHeight="1">
      <c r="A576" s="27"/>
      <c r="B576" s="27"/>
      <c r="C576" s="36"/>
      <c r="D576" s="37"/>
      <c r="E576" s="37"/>
      <c r="F576" s="42"/>
      <c r="G576" s="42"/>
      <c r="H576" s="34"/>
      <c r="I576" s="42"/>
      <c r="J576" s="35"/>
      <c r="K576" s="27"/>
      <c r="L576" s="34"/>
      <c r="M576" s="34"/>
    </row>
    <row r="577" spans="1:13" ht="30" customHeight="1">
      <c r="A577" s="27"/>
      <c r="B577" s="27"/>
      <c r="C577" s="36"/>
      <c r="D577" s="37"/>
      <c r="E577" s="37"/>
      <c r="F577" s="42"/>
      <c r="G577" s="42"/>
      <c r="H577" s="34"/>
      <c r="I577" s="42"/>
      <c r="J577" s="35"/>
      <c r="K577" s="27"/>
      <c r="L577" s="34"/>
      <c r="M577" s="34"/>
    </row>
    <row r="578" spans="1:13" ht="30" customHeight="1">
      <c r="A578" s="27"/>
      <c r="B578" s="27"/>
      <c r="C578" s="36"/>
      <c r="D578" s="37"/>
      <c r="E578" s="37"/>
      <c r="F578" s="42"/>
      <c r="G578" s="42"/>
      <c r="H578" s="34"/>
      <c r="I578" s="42"/>
      <c r="J578" s="35"/>
      <c r="K578" s="27"/>
      <c r="L578" s="34"/>
      <c r="M578" s="34"/>
    </row>
    <row r="579" spans="1:13" ht="30" customHeight="1">
      <c r="A579" s="27"/>
      <c r="B579" s="27"/>
      <c r="C579" s="36"/>
      <c r="D579" s="37"/>
      <c r="E579" s="37"/>
      <c r="F579" s="42"/>
      <c r="G579" s="42"/>
      <c r="H579" s="34"/>
      <c r="I579" s="42"/>
      <c r="J579" s="35"/>
      <c r="K579" s="27"/>
      <c r="L579" s="34"/>
      <c r="M579" s="34"/>
    </row>
    <row r="580" spans="1:13" ht="30" customHeight="1">
      <c r="A580" s="27"/>
      <c r="B580" s="27"/>
      <c r="C580" s="36"/>
      <c r="D580" s="37"/>
      <c r="E580" s="37"/>
      <c r="F580" s="42"/>
      <c r="G580" s="42"/>
      <c r="H580" s="34"/>
      <c r="I580" s="42"/>
      <c r="J580" s="35"/>
      <c r="K580" s="27"/>
      <c r="L580" s="34"/>
      <c r="M580" s="34"/>
    </row>
    <row r="581" spans="1:13" ht="30" customHeight="1">
      <c r="A581" s="27"/>
      <c r="B581" s="27"/>
      <c r="C581" s="36"/>
      <c r="D581" s="37"/>
      <c r="E581" s="37"/>
      <c r="F581" s="42"/>
      <c r="G581" s="42"/>
      <c r="H581" s="34"/>
      <c r="I581" s="42"/>
      <c r="J581" s="35"/>
      <c r="K581" s="27"/>
      <c r="L581" s="34"/>
      <c r="M581" s="34"/>
    </row>
    <row r="582" spans="1:13" ht="30" customHeight="1">
      <c r="A582" s="27"/>
      <c r="B582" s="27"/>
      <c r="C582" s="36"/>
      <c r="D582" s="37"/>
      <c r="E582" s="37"/>
      <c r="F582" s="42"/>
      <c r="G582" s="42"/>
      <c r="H582" s="34"/>
      <c r="I582" s="42"/>
      <c r="J582" s="35"/>
      <c r="K582" s="27"/>
      <c r="L582" s="34"/>
      <c r="M582" s="34"/>
    </row>
    <row r="583" spans="1:13" ht="30" customHeight="1">
      <c r="A583" s="27"/>
      <c r="B583" s="27"/>
      <c r="C583" s="36"/>
      <c r="D583" s="37"/>
      <c r="E583" s="37"/>
      <c r="F583" s="42"/>
      <c r="G583" s="42"/>
      <c r="H583" s="34"/>
      <c r="I583" s="42"/>
      <c r="J583" s="35"/>
      <c r="K583" s="27"/>
      <c r="L583" s="34"/>
      <c r="M583" s="34"/>
    </row>
    <row r="584" spans="1:13" ht="30" customHeight="1">
      <c r="A584" s="27"/>
      <c r="B584" s="27"/>
      <c r="C584" s="36"/>
      <c r="D584" s="37"/>
      <c r="E584" s="37"/>
      <c r="F584" s="42"/>
      <c r="G584" s="42"/>
      <c r="H584" s="34"/>
      <c r="I584" s="42"/>
      <c r="J584" s="35"/>
      <c r="K584" s="27"/>
      <c r="L584" s="34"/>
      <c r="M584" s="34"/>
    </row>
    <row r="585" spans="1:13" ht="30" customHeight="1">
      <c r="A585" s="27"/>
      <c r="B585" s="27"/>
      <c r="C585" s="36"/>
      <c r="D585" s="37"/>
      <c r="E585" s="37"/>
      <c r="F585" s="42"/>
      <c r="G585" s="42"/>
      <c r="H585" s="34"/>
      <c r="I585" s="42"/>
      <c r="J585" s="35"/>
      <c r="K585" s="27"/>
      <c r="L585" s="34"/>
      <c r="M585" s="34"/>
    </row>
    <row r="586" spans="1:13" ht="30" customHeight="1">
      <c r="A586" s="27"/>
      <c r="B586" s="27"/>
      <c r="C586" s="36"/>
      <c r="D586" s="37"/>
      <c r="E586" s="37"/>
      <c r="F586" s="42"/>
      <c r="G586" s="42"/>
      <c r="H586" s="34"/>
      <c r="I586" s="42"/>
      <c r="J586" s="35"/>
      <c r="K586" s="27"/>
      <c r="L586" s="34"/>
      <c r="M586" s="34"/>
    </row>
    <row r="587" spans="1:13" ht="30" customHeight="1">
      <c r="A587" s="27"/>
      <c r="B587" s="27"/>
      <c r="C587" s="36"/>
      <c r="D587" s="37"/>
      <c r="E587" s="37"/>
      <c r="F587" s="42"/>
      <c r="G587" s="42"/>
      <c r="H587" s="34"/>
      <c r="I587" s="42"/>
      <c r="J587" s="35"/>
      <c r="K587" s="27"/>
      <c r="L587" s="34"/>
      <c r="M587" s="34"/>
    </row>
    <row r="588" spans="1:13" ht="30" customHeight="1">
      <c r="A588" s="27"/>
      <c r="B588" s="27"/>
      <c r="C588" s="36"/>
      <c r="D588" s="37"/>
      <c r="E588" s="37"/>
      <c r="F588" s="42"/>
      <c r="G588" s="42"/>
      <c r="H588" s="34"/>
      <c r="I588" s="42"/>
      <c r="J588" s="35"/>
      <c r="K588" s="27"/>
      <c r="L588" s="34"/>
      <c r="M588" s="34"/>
    </row>
    <row r="589" spans="1:13" ht="30" customHeight="1">
      <c r="A589" s="27"/>
      <c r="B589" s="27"/>
      <c r="C589" s="36"/>
      <c r="D589" s="37"/>
      <c r="E589" s="37"/>
      <c r="F589" s="42"/>
      <c r="G589" s="42"/>
      <c r="H589" s="34"/>
      <c r="I589" s="42"/>
      <c r="J589" s="35"/>
      <c r="K589" s="27"/>
      <c r="L589" s="34"/>
      <c r="M589" s="34"/>
    </row>
    <row r="590" spans="1:13" ht="30" customHeight="1">
      <c r="A590" s="27"/>
      <c r="B590" s="27"/>
      <c r="C590" s="36"/>
      <c r="D590" s="37"/>
      <c r="E590" s="37"/>
      <c r="F590" s="42"/>
      <c r="G590" s="42"/>
      <c r="H590" s="34"/>
      <c r="I590" s="42"/>
      <c r="J590" s="35"/>
      <c r="K590" s="27"/>
      <c r="L590" s="34"/>
      <c r="M590" s="34"/>
    </row>
    <row r="591" spans="1:13" ht="30" customHeight="1">
      <c r="A591" s="27"/>
      <c r="B591" s="27"/>
      <c r="C591" s="36"/>
      <c r="D591" s="37"/>
      <c r="E591" s="37"/>
      <c r="F591" s="42"/>
      <c r="G591" s="42"/>
      <c r="H591" s="34"/>
      <c r="I591" s="42"/>
      <c r="J591" s="35"/>
      <c r="K591" s="27"/>
      <c r="L591" s="34"/>
      <c r="M591" s="34"/>
    </row>
    <row r="592" spans="1:13" ht="30" customHeight="1">
      <c r="A592" s="27"/>
      <c r="B592" s="27"/>
      <c r="C592" s="36"/>
      <c r="D592" s="37"/>
      <c r="E592" s="37"/>
      <c r="F592" s="42"/>
      <c r="G592" s="42"/>
      <c r="H592" s="34"/>
      <c r="I592" s="42"/>
      <c r="J592" s="35"/>
      <c r="K592" s="27"/>
      <c r="L592" s="34"/>
      <c r="M592" s="34"/>
    </row>
    <row r="593" spans="1:13" ht="30" customHeight="1">
      <c r="A593" s="27"/>
      <c r="B593" s="27"/>
      <c r="C593" s="36"/>
      <c r="D593" s="37"/>
      <c r="E593" s="37"/>
      <c r="F593" s="42"/>
      <c r="G593" s="42"/>
      <c r="H593" s="34"/>
      <c r="I593" s="42"/>
      <c r="J593" s="35"/>
      <c r="K593" s="27"/>
      <c r="L593" s="34"/>
      <c r="M593" s="34"/>
    </row>
    <row r="594" spans="1:13" ht="30" customHeight="1">
      <c r="A594" s="27"/>
      <c r="B594" s="27"/>
      <c r="C594" s="36"/>
      <c r="D594" s="37"/>
      <c r="E594" s="37"/>
      <c r="F594" s="42"/>
      <c r="G594" s="42"/>
      <c r="H594" s="34"/>
      <c r="I594" s="42"/>
      <c r="J594" s="35"/>
      <c r="K594" s="27"/>
      <c r="L594" s="34"/>
      <c r="M594" s="34"/>
    </row>
    <row r="595" spans="1:13" ht="30" customHeight="1">
      <c r="A595" s="27"/>
      <c r="B595" s="27"/>
      <c r="C595" s="36"/>
      <c r="D595" s="37"/>
      <c r="E595" s="37"/>
      <c r="F595" s="42"/>
      <c r="G595" s="42"/>
      <c r="H595" s="34"/>
      <c r="I595" s="42"/>
      <c r="J595" s="35"/>
      <c r="K595" s="27"/>
      <c r="L595" s="34"/>
      <c r="M595" s="34"/>
    </row>
    <row r="596" spans="1:13" ht="30" customHeight="1">
      <c r="A596" s="27"/>
      <c r="B596" s="27"/>
      <c r="C596" s="36"/>
      <c r="D596" s="37"/>
      <c r="E596" s="37"/>
      <c r="F596" s="42"/>
      <c r="G596" s="42"/>
      <c r="H596" s="34"/>
      <c r="I596" s="42"/>
      <c r="J596" s="35"/>
      <c r="K596" s="27"/>
      <c r="L596" s="34"/>
      <c r="M596" s="34"/>
    </row>
    <row r="597" spans="1:13" ht="30" customHeight="1">
      <c r="A597" s="27"/>
      <c r="B597" s="27"/>
      <c r="C597" s="36"/>
      <c r="D597" s="37"/>
      <c r="E597" s="37"/>
      <c r="F597" s="42"/>
      <c r="G597" s="42"/>
      <c r="H597" s="34"/>
      <c r="I597" s="42"/>
      <c r="J597" s="35"/>
      <c r="K597" s="27"/>
      <c r="L597" s="34"/>
      <c r="M597" s="34"/>
    </row>
    <row r="598" spans="1:13" ht="30" customHeight="1">
      <c r="A598" s="27"/>
      <c r="B598" s="27"/>
      <c r="C598" s="36"/>
      <c r="D598" s="37"/>
      <c r="E598" s="37"/>
      <c r="F598" s="42"/>
      <c r="G598" s="42"/>
      <c r="H598" s="34"/>
      <c r="I598" s="42"/>
      <c r="J598" s="35"/>
      <c r="K598" s="27"/>
      <c r="L598" s="34"/>
      <c r="M598" s="34"/>
    </row>
    <row r="599" spans="1:13" ht="30" customHeight="1">
      <c r="A599" s="27"/>
      <c r="B599" s="27"/>
      <c r="C599" s="36"/>
      <c r="D599" s="37"/>
      <c r="E599" s="37"/>
      <c r="F599" s="42"/>
      <c r="G599" s="42"/>
      <c r="H599" s="34"/>
      <c r="I599" s="42"/>
      <c r="J599" s="35"/>
      <c r="K599" s="27"/>
      <c r="L599" s="34"/>
      <c r="M599" s="34"/>
    </row>
    <row r="600" spans="1:13" ht="30" customHeight="1">
      <c r="A600" s="27"/>
      <c r="B600" s="27"/>
      <c r="C600" s="36"/>
      <c r="D600" s="37"/>
      <c r="E600" s="37"/>
      <c r="F600" s="42"/>
      <c r="G600" s="42"/>
      <c r="H600" s="34"/>
      <c r="I600" s="42"/>
      <c r="J600" s="35"/>
      <c r="K600" s="27"/>
      <c r="L600" s="34"/>
      <c r="M600" s="34"/>
    </row>
    <row r="601" spans="1:13" ht="30" customHeight="1">
      <c r="A601" s="27"/>
      <c r="B601" s="27"/>
      <c r="C601" s="36"/>
      <c r="D601" s="37"/>
      <c r="E601" s="37"/>
      <c r="F601" s="42"/>
      <c r="G601" s="42"/>
      <c r="H601" s="34"/>
      <c r="I601" s="42"/>
      <c r="J601" s="35"/>
      <c r="K601" s="27"/>
      <c r="L601" s="34"/>
      <c r="M601" s="34"/>
    </row>
    <row r="602" spans="1:13" ht="30" customHeight="1">
      <c r="A602" s="27"/>
      <c r="B602" s="27"/>
      <c r="C602" s="36"/>
      <c r="D602" s="37"/>
      <c r="E602" s="37"/>
      <c r="F602" s="42"/>
      <c r="G602" s="42"/>
      <c r="H602" s="34"/>
      <c r="I602" s="42"/>
      <c r="J602" s="35"/>
      <c r="K602" s="27"/>
      <c r="L602" s="34"/>
      <c r="M602" s="34"/>
    </row>
    <row r="603" spans="1:13" ht="30" customHeight="1">
      <c r="A603" s="27"/>
      <c r="B603" s="27"/>
      <c r="C603" s="36"/>
      <c r="D603" s="37"/>
      <c r="E603" s="37"/>
      <c r="F603" s="42"/>
      <c r="G603" s="42"/>
      <c r="H603" s="34"/>
      <c r="I603" s="42"/>
      <c r="J603" s="35"/>
      <c r="K603" s="27"/>
      <c r="L603" s="34"/>
      <c r="M603" s="34"/>
    </row>
    <row r="604" spans="1:13" ht="30" customHeight="1">
      <c r="A604" s="27"/>
      <c r="B604" s="27"/>
      <c r="C604" s="36"/>
      <c r="D604" s="37"/>
      <c r="E604" s="37"/>
      <c r="F604" s="42"/>
      <c r="G604" s="42"/>
      <c r="H604" s="34"/>
      <c r="I604" s="42"/>
      <c r="J604" s="35"/>
      <c r="K604" s="27"/>
      <c r="L604" s="34"/>
      <c r="M604" s="34"/>
    </row>
    <row r="605" spans="1:13" ht="30" customHeight="1">
      <c r="A605" s="27"/>
      <c r="B605" s="27"/>
      <c r="C605" s="36"/>
      <c r="D605" s="37"/>
      <c r="E605" s="37"/>
      <c r="F605" s="42"/>
      <c r="G605" s="42"/>
      <c r="H605" s="34"/>
      <c r="I605" s="42"/>
      <c r="J605" s="35"/>
      <c r="K605" s="27"/>
      <c r="L605" s="34"/>
      <c r="M605" s="34"/>
    </row>
    <row r="606" spans="1:13" ht="30" customHeight="1">
      <c r="A606" s="27"/>
      <c r="B606" s="27"/>
      <c r="C606" s="36"/>
      <c r="D606" s="37"/>
      <c r="E606" s="37"/>
      <c r="F606" s="42"/>
      <c r="G606" s="42"/>
      <c r="H606" s="34"/>
      <c r="I606" s="42"/>
      <c r="J606" s="35"/>
      <c r="K606" s="27"/>
      <c r="L606" s="34"/>
      <c r="M606" s="34"/>
    </row>
    <row r="607" spans="1:13" ht="30" customHeight="1">
      <c r="A607" s="27"/>
      <c r="B607" s="27"/>
      <c r="C607" s="36"/>
      <c r="D607" s="37"/>
      <c r="E607" s="37"/>
      <c r="F607" s="42"/>
      <c r="G607" s="42"/>
      <c r="H607" s="34"/>
      <c r="I607" s="42"/>
      <c r="J607" s="35"/>
      <c r="K607" s="27"/>
      <c r="L607" s="34"/>
      <c r="M607" s="34"/>
    </row>
    <row r="608" spans="1:13" ht="30" customHeight="1">
      <c r="A608" s="27"/>
      <c r="B608" s="27"/>
      <c r="C608" s="36"/>
      <c r="D608" s="37"/>
      <c r="E608" s="37"/>
      <c r="F608" s="42"/>
      <c r="G608" s="42"/>
      <c r="H608" s="34"/>
      <c r="I608" s="42"/>
      <c r="J608" s="35"/>
      <c r="K608" s="27"/>
      <c r="L608" s="34"/>
      <c r="M608" s="34"/>
    </row>
    <row r="609" spans="1:13" ht="30" customHeight="1">
      <c r="A609" s="27"/>
      <c r="B609" s="27"/>
      <c r="C609" s="36"/>
      <c r="D609" s="37"/>
      <c r="E609" s="37"/>
      <c r="F609" s="42"/>
      <c r="G609" s="42"/>
      <c r="H609" s="34"/>
      <c r="I609" s="42"/>
      <c r="J609" s="35"/>
      <c r="K609" s="27"/>
      <c r="L609" s="34"/>
      <c r="M609" s="34"/>
    </row>
    <row r="610" spans="1:13" ht="30" customHeight="1">
      <c r="A610" s="27"/>
      <c r="B610" s="27"/>
      <c r="C610" s="36"/>
      <c r="D610" s="37"/>
      <c r="E610" s="37"/>
      <c r="F610" s="42"/>
      <c r="G610" s="42"/>
      <c r="H610" s="34"/>
      <c r="I610" s="42"/>
      <c r="J610" s="35"/>
      <c r="K610" s="27"/>
      <c r="L610" s="34"/>
      <c r="M610" s="34"/>
    </row>
    <row r="611" spans="1:13" ht="30" customHeight="1">
      <c r="A611" s="40"/>
      <c r="B611" s="40"/>
      <c r="D611" s="39"/>
      <c r="E611" s="39"/>
      <c r="F611" s="47"/>
      <c r="G611" s="47"/>
      <c r="H611" s="38"/>
      <c r="I611" s="47"/>
      <c r="J611" s="23"/>
      <c r="K611" s="40"/>
      <c r="L611" s="38"/>
      <c r="M611" s="38"/>
    </row>
    <row r="612" spans="1:13" ht="30" customHeight="1">
      <c r="A612" s="40"/>
      <c r="B612" s="40"/>
      <c r="D612" s="39"/>
      <c r="E612" s="39"/>
      <c r="F612" s="47"/>
      <c r="G612" s="47"/>
      <c r="H612" s="38"/>
      <c r="I612" s="47"/>
      <c r="J612" s="23"/>
      <c r="K612" s="40"/>
      <c r="L612" s="38"/>
      <c r="M612" s="38"/>
    </row>
    <row r="613" spans="1:13" ht="30" customHeight="1">
      <c r="A613" s="40"/>
      <c r="B613" s="40"/>
      <c r="D613" s="39"/>
      <c r="E613" s="39"/>
      <c r="F613" s="47"/>
      <c r="G613" s="47"/>
      <c r="H613" s="38"/>
      <c r="I613" s="47"/>
      <c r="J613" s="23"/>
      <c r="K613" s="40"/>
      <c r="L613" s="38"/>
      <c r="M613" s="38"/>
    </row>
    <row r="614" spans="1:13" ht="30" customHeight="1">
      <c r="A614" s="40"/>
      <c r="B614" s="40"/>
      <c r="D614" s="39"/>
      <c r="E614" s="39"/>
      <c r="F614" s="47"/>
      <c r="G614" s="47"/>
      <c r="H614" s="38"/>
      <c r="I614" s="47"/>
      <c r="J614" s="23"/>
      <c r="K614" s="40"/>
      <c r="L614" s="38"/>
      <c r="M614" s="38"/>
    </row>
    <row r="615" spans="1:13" ht="30" customHeight="1">
      <c r="A615" s="40"/>
      <c r="B615" s="40"/>
      <c r="D615" s="39"/>
      <c r="E615" s="39"/>
      <c r="F615" s="47"/>
      <c r="G615" s="47"/>
      <c r="H615" s="38"/>
      <c r="I615" s="47"/>
      <c r="J615" s="23"/>
      <c r="K615" s="40"/>
      <c r="L615" s="38"/>
      <c r="M615" s="38"/>
    </row>
    <row r="616" spans="1:13" ht="30" customHeight="1">
      <c r="A616" s="40"/>
      <c r="B616" s="40"/>
      <c r="D616" s="39"/>
      <c r="E616" s="39"/>
      <c r="F616" s="47"/>
      <c r="G616" s="47"/>
      <c r="H616" s="38"/>
      <c r="I616" s="47"/>
      <c r="J616" s="23"/>
      <c r="K616" s="40"/>
      <c r="L616" s="38"/>
      <c r="M616" s="38"/>
    </row>
    <row r="617" spans="1:13" ht="30" customHeight="1">
      <c r="A617" s="40"/>
      <c r="B617" s="40"/>
      <c r="D617" s="39"/>
      <c r="E617" s="39"/>
      <c r="F617" s="47"/>
      <c r="G617" s="47"/>
      <c r="H617" s="38"/>
      <c r="I617" s="47"/>
      <c r="J617" s="23"/>
      <c r="K617" s="40"/>
      <c r="L617" s="38"/>
      <c r="M617" s="38"/>
    </row>
    <row r="618" spans="1:13" ht="30" customHeight="1">
      <c r="A618" s="40"/>
      <c r="B618" s="40"/>
      <c r="D618" s="39"/>
      <c r="E618" s="39"/>
      <c r="F618" s="47"/>
      <c r="G618" s="47"/>
      <c r="H618" s="38"/>
      <c r="I618" s="47"/>
      <c r="J618" s="23"/>
      <c r="K618" s="40"/>
      <c r="L618" s="38"/>
      <c r="M618" s="38"/>
    </row>
    <row r="619" spans="1:13" ht="30" customHeight="1">
      <c r="A619" s="40"/>
      <c r="B619" s="40"/>
      <c r="D619" s="39"/>
      <c r="E619" s="39"/>
      <c r="F619" s="47"/>
      <c r="G619" s="47"/>
      <c r="H619" s="38"/>
      <c r="I619" s="47"/>
      <c r="J619" s="23"/>
      <c r="K619" s="40"/>
      <c r="L619" s="38"/>
      <c r="M619" s="38"/>
    </row>
    <row r="620" spans="1:13" ht="30" customHeight="1">
      <c r="A620" s="40"/>
      <c r="B620" s="40"/>
      <c r="D620" s="39"/>
      <c r="E620" s="39"/>
      <c r="F620" s="47"/>
      <c r="G620" s="47"/>
      <c r="H620" s="38"/>
      <c r="I620" s="47"/>
      <c r="J620" s="23"/>
      <c r="K620" s="40"/>
      <c r="L620" s="38"/>
      <c r="M620" s="38"/>
    </row>
  </sheetData>
  <autoFilter ref="A7:M7" xr:uid="{00000000-0001-0000-0100-000000000000}"/>
  <mergeCells count="3">
    <mergeCell ref="K1:M3"/>
    <mergeCell ref="J1:J3"/>
    <mergeCell ref="N1:O3"/>
  </mergeCells>
  <pageMargins left="0.7" right="0.7" top="0.75" bottom="0.75" header="0.3" footer="0.3"/>
  <pageSetup paperSize="9" scale="87" orientation="landscape" r:id="rId1"/>
  <headerFooter>
    <oddFooter>&amp;LOLSTRAL HPT&amp;CCode: R-L-01 Edition/ Revision: 0/0&amp;R&amp;P/&amp;P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C6B90-04C8-4306-866A-612929D49AC6}">
  <sheetPr codeName="Sheet5"/>
  <dimension ref="A1:G15"/>
  <sheetViews>
    <sheetView workbookViewId="0">
      <selection activeCell="A15" sqref="A15"/>
    </sheetView>
  </sheetViews>
  <sheetFormatPr defaultRowHeight="15"/>
  <cols>
    <col min="1" max="1" width="15.5703125" bestFit="1" customWidth="1"/>
    <col min="5" max="5" width="13.5703125" bestFit="1" customWidth="1"/>
  </cols>
  <sheetData>
    <row r="1" spans="1:7">
      <c r="A1" s="56" t="s">
        <v>674</v>
      </c>
      <c r="E1" t="s">
        <v>675</v>
      </c>
      <c r="G1" t="s">
        <v>676</v>
      </c>
    </row>
    <row r="2" spans="1:7">
      <c r="A2" t="s">
        <v>83</v>
      </c>
      <c r="E2" t="s">
        <v>677</v>
      </c>
      <c r="G2" t="s">
        <v>678</v>
      </c>
    </row>
    <row r="3" spans="1:7">
      <c r="A3" t="s">
        <v>82</v>
      </c>
      <c r="E3" t="s">
        <v>679</v>
      </c>
      <c r="G3" t="s">
        <v>680</v>
      </c>
    </row>
    <row r="4" spans="1:7">
      <c r="A4" t="s">
        <v>26</v>
      </c>
    </row>
    <row r="5" spans="1:7">
      <c r="A5" t="s">
        <v>27</v>
      </c>
    </row>
    <row r="6" spans="1:7">
      <c r="A6" t="s">
        <v>25</v>
      </c>
    </row>
    <row r="7" spans="1:7">
      <c r="A7" t="s">
        <v>58</v>
      </c>
    </row>
    <row r="8" spans="1:7">
      <c r="A8" t="s">
        <v>131</v>
      </c>
    </row>
    <row r="9" spans="1:7">
      <c r="A9" t="s">
        <v>636</v>
      </c>
    </row>
    <row r="10" spans="1:7">
      <c r="A10" t="s">
        <v>132</v>
      </c>
    </row>
    <row r="11" spans="1:7">
      <c r="A11" t="s">
        <v>133</v>
      </c>
    </row>
    <row r="12" spans="1:7">
      <c r="A12" t="s">
        <v>681</v>
      </c>
    </row>
    <row r="13" spans="1:7">
      <c r="A13" t="s">
        <v>57</v>
      </c>
    </row>
    <row r="14" spans="1:7">
      <c r="A14" t="s">
        <v>59</v>
      </c>
    </row>
    <row r="15" spans="1:7">
      <c r="A15" s="358" t="s">
        <v>4382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0E1BA-91C3-4FA2-B036-91EDA23EDDE8}">
  <sheetPr codeName="Sheet21"/>
  <dimension ref="A1:G276"/>
  <sheetViews>
    <sheetView topLeftCell="B71" zoomScaleNormal="100" workbookViewId="0">
      <selection activeCell="B94" sqref="B94"/>
    </sheetView>
  </sheetViews>
  <sheetFormatPr defaultColWidth="9.42578125" defaultRowHeight="15"/>
  <cols>
    <col min="1" max="1" width="57.42578125" style="57" customWidth="1"/>
    <col min="2" max="2" width="98.5703125" style="57" customWidth="1"/>
    <col min="3" max="3" width="47.5703125" style="57" customWidth="1"/>
    <col min="4" max="4" width="20.42578125" style="57" customWidth="1"/>
    <col min="5" max="16384" width="9.42578125" style="57"/>
  </cols>
  <sheetData>
    <row r="1" spans="1:7">
      <c r="A1" s="61" t="s">
        <v>682</v>
      </c>
      <c r="B1" s="60"/>
    </row>
    <row r="2" spans="1:7">
      <c r="A2" s="57" t="s">
        <v>683</v>
      </c>
      <c r="B2" s="57" t="s">
        <v>684</v>
      </c>
      <c r="C2" s="57" t="s">
        <v>598</v>
      </c>
      <c r="D2" s="57" t="s">
        <v>685</v>
      </c>
      <c r="E2" s="57" t="s">
        <v>686</v>
      </c>
    </row>
    <row r="3" spans="1:7">
      <c r="A3" s="58"/>
      <c r="B3" s="58"/>
    </row>
    <row r="4" spans="1:7">
      <c r="A4" s="58" t="s">
        <v>687</v>
      </c>
      <c r="B4" s="59" t="s">
        <v>688</v>
      </c>
      <c r="C4" s="57" t="s">
        <v>689</v>
      </c>
    </row>
    <row r="5" spans="1:7">
      <c r="A5" s="58" t="s">
        <v>690</v>
      </c>
      <c r="B5" s="58" t="s">
        <v>691</v>
      </c>
      <c r="C5" s="57" t="s">
        <v>689</v>
      </c>
    </row>
    <row r="6" spans="1:7">
      <c r="A6" s="58" t="s">
        <v>692</v>
      </c>
      <c r="B6" s="58" t="s">
        <v>693</v>
      </c>
      <c r="C6" s="57" t="s">
        <v>689</v>
      </c>
    </row>
    <row r="7" spans="1:7">
      <c r="A7" s="58" t="s">
        <v>694</v>
      </c>
      <c r="B7" s="62" t="s">
        <v>695</v>
      </c>
      <c r="C7" s="57" t="s">
        <v>689</v>
      </c>
    </row>
    <row r="8" spans="1:7">
      <c r="A8" s="58" t="s">
        <v>682</v>
      </c>
      <c r="B8" s="58" t="s">
        <v>696</v>
      </c>
      <c r="C8" s="57" t="s">
        <v>689</v>
      </c>
    </row>
    <row r="9" spans="1:7">
      <c r="A9" s="58" t="s">
        <v>697</v>
      </c>
      <c r="B9" s="58" t="s">
        <v>698</v>
      </c>
      <c r="C9" s="57" t="s">
        <v>689</v>
      </c>
    </row>
    <row r="10" spans="1:7">
      <c r="A10" s="58" t="s">
        <v>699</v>
      </c>
      <c r="B10" s="59" t="s">
        <v>700</v>
      </c>
      <c r="C10" s="57" t="s">
        <v>689</v>
      </c>
    </row>
    <row r="11" spans="1:7">
      <c r="A11" s="58" t="s">
        <v>87</v>
      </c>
      <c r="B11" s="58" t="s">
        <v>701</v>
      </c>
      <c r="C11" s="57" t="s">
        <v>689</v>
      </c>
      <c r="D11" s="57" t="s">
        <v>702</v>
      </c>
    </row>
    <row r="12" spans="1:7">
      <c r="A12" s="58"/>
      <c r="B12" s="58"/>
    </row>
    <row r="13" spans="1:7">
      <c r="A13" s="58" t="s">
        <v>703</v>
      </c>
      <c r="B13" s="58" t="s">
        <v>704</v>
      </c>
      <c r="C13" s="57" t="s">
        <v>689</v>
      </c>
    </row>
    <row r="14" spans="1:7" ht="14.85" customHeight="1">
      <c r="A14" s="58" t="s">
        <v>705</v>
      </c>
      <c r="B14" s="58" t="s">
        <v>706</v>
      </c>
      <c r="C14" s="57" t="s">
        <v>689</v>
      </c>
      <c r="F14" s="380" t="s">
        <v>707</v>
      </c>
      <c r="G14" s="380"/>
    </row>
    <row r="15" spans="1:7">
      <c r="A15" s="58" t="s">
        <v>708</v>
      </c>
      <c r="B15" s="58" t="s">
        <v>709</v>
      </c>
      <c r="C15" s="57" t="s">
        <v>689</v>
      </c>
      <c r="D15" s="57" t="s">
        <v>702</v>
      </c>
      <c r="F15" s="380" t="s">
        <v>345</v>
      </c>
      <c r="G15" s="380"/>
    </row>
    <row r="16" spans="1:7">
      <c r="A16" s="58" t="s">
        <v>88</v>
      </c>
      <c r="B16" s="58" t="s">
        <v>710</v>
      </c>
      <c r="C16" s="57" t="s">
        <v>689</v>
      </c>
      <c r="F16" s="380" t="s">
        <v>346</v>
      </c>
      <c r="G16" s="380"/>
    </row>
    <row r="17" spans="1:7">
      <c r="A17" s="58" t="s">
        <v>86</v>
      </c>
      <c r="B17" s="58" t="s">
        <v>711</v>
      </c>
      <c r="C17" s="57" t="s">
        <v>689</v>
      </c>
      <c r="D17" s="57" t="s">
        <v>702</v>
      </c>
      <c r="F17" s="380" t="s">
        <v>712</v>
      </c>
      <c r="G17" s="380"/>
    </row>
    <row r="18" spans="1:7">
      <c r="A18" s="58" t="s">
        <v>713</v>
      </c>
      <c r="B18" s="58" t="s">
        <v>714</v>
      </c>
      <c r="C18" s="57" t="s">
        <v>689</v>
      </c>
    </row>
    <row r="19" spans="1:7">
      <c r="A19" s="58" t="s">
        <v>715</v>
      </c>
      <c r="B19" s="58" t="s">
        <v>716</v>
      </c>
      <c r="C19" s="57" t="s">
        <v>689</v>
      </c>
    </row>
    <row r="20" spans="1:7">
      <c r="A20" s="58" t="s">
        <v>717</v>
      </c>
      <c r="B20" s="58" t="s">
        <v>718</v>
      </c>
      <c r="C20" s="57" t="s">
        <v>689</v>
      </c>
    </row>
    <row r="21" spans="1:7">
      <c r="A21" s="58" t="s">
        <v>719</v>
      </c>
      <c r="B21" s="58" t="s">
        <v>720</v>
      </c>
      <c r="C21" s="57" t="s">
        <v>689</v>
      </c>
    </row>
    <row r="22" spans="1:7">
      <c r="A22" s="58" t="s">
        <v>721</v>
      </c>
      <c r="B22" s="58" t="s">
        <v>722</v>
      </c>
      <c r="C22" s="57" t="s">
        <v>689</v>
      </c>
    </row>
    <row r="23" spans="1:7">
      <c r="A23" s="58" t="s">
        <v>723</v>
      </c>
      <c r="B23" s="58" t="s">
        <v>724</v>
      </c>
      <c r="C23" s="57" t="s">
        <v>689</v>
      </c>
    </row>
    <row r="24" spans="1:7">
      <c r="A24" s="58" t="s">
        <v>725</v>
      </c>
      <c r="B24" s="62" t="s">
        <v>726</v>
      </c>
      <c r="C24" s="57" t="s">
        <v>689</v>
      </c>
    </row>
    <row r="25" spans="1:7">
      <c r="A25" s="58" t="s">
        <v>727</v>
      </c>
      <c r="B25" s="58" t="s">
        <v>728</v>
      </c>
      <c r="C25" s="57" t="s">
        <v>689</v>
      </c>
    </row>
    <row r="26" spans="1:7">
      <c r="A26" s="58" t="s">
        <v>729</v>
      </c>
      <c r="B26" s="58" t="s">
        <v>730</v>
      </c>
      <c r="C26" s="57" t="s">
        <v>689</v>
      </c>
    </row>
    <row r="27" spans="1:7">
      <c r="A27" s="58" t="s">
        <v>731</v>
      </c>
      <c r="B27" s="58" t="s">
        <v>732</v>
      </c>
      <c r="C27" s="57" t="s">
        <v>689</v>
      </c>
    </row>
    <row r="28" spans="1:7">
      <c r="A28" s="58" t="s">
        <v>733</v>
      </c>
      <c r="B28" s="58" t="s">
        <v>734</v>
      </c>
      <c r="C28" s="57" t="s">
        <v>689</v>
      </c>
    </row>
    <row r="29" spans="1:7">
      <c r="A29" s="58" t="s">
        <v>735</v>
      </c>
      <c r="B29" s="58" t="s">
        <v>736</v>
      </c>
      <c r="C29" s="57" t="s">
        <v>689</v>
      </c>
      <c r="D29" s="57" t="s">
        <v>702</v>
      </c>
    </row>
    <row r="30" spans="1:7">
      <c r="A30" s="58" t="s">
        <v>737</v>
      </c>
      <c r="B30" s="58" t="s">
        <v>738</v>
      </c>
      <c r="C30" s="57" t="s">
        <v>689</v>
      </c>
    </row>
    <row r="31" spans="1:7">
      <c r="A31" s="58" t="s">
        <v>739</v>
      </c>
      <c r="B31" s="58" t="s">
        <v>740</v>
      </c>
      <c r="C31" s="57" t="s">
        <v>689</v>
      </c>
    </row>
    <row r="32" spans="1:7">
      <c r="A32" s="58" t="s">
        <v>741</v>
      </c>
      <c r="B32" s="58" t="s">
        <v>742</v>
      </c>
      <c r="C32" s="57" t="s">
        <v>689</v>
      </c>
    </row>
    <row r="33" spans="1:4">
      <c r="A33" s="58" t="s">
        <v>743</v>
      </c>
      <c r="B33" s="58" t="s">
        <v>744</v>
      </c>
      <c r="C33" s="57" t="s">
        <v>689</v>
      </c>
    </row>
    <row r="34" spans="1:4">
      <c r="A34" s="58" t="s">
        <v>745</v>
      </c>
      <c r="B34" s="58" t="s">
        <v>746</v>
      </c>
      <c r="C34" s="57" t="s">
        <v>689</v>
      </c>
      <c r="D34" s="57" t="s">
        <v>702</v>
      </c>
    </row>
    <row r="35" spans="1:4">
      <c r="A35" s="58" t="s">
        <v>747</v>
      </c>
      <c r="B35" s="58" t="s">
        <v>748</v>
      </c>
      <c r="C35" s="57" t="s">
        <v>689</v>
      </c>
      <c r="D35" s="57" t="s">
        <v>702</v>
      </c>
    </row>
    <row r="36" spans="1:4">
      <c r="A36" s="58" t="s">
        <v>749</v>
      </c>
      <c r="B36" s="58" t="s">
        <v>750</v>
      </c>
      <c r="C36" s="57" t="s">
        <v>689</v>
      </c>
      <c r="D36" s="57" t="s">
        <v>702</v>
      </c>
    </row>
    <row r="37" spans="1:4">
      <c r="A37" s="58" t="s">
        <v>751</v>
      </c>
      <c r="B37" s="58" t="s">
        <v>752</v>
      </c>
      <c r="C37" s="57" t="s">
        <v>689</v>
      </c>
      <c r="D37" s="57" t="s">
        <v>702</v>
      </c>
    </row>
    <row r="38" spans="1:4">
      <c r="A38" s="58" t="s">
        <v>753</v>
      </c>
      <c r="B38" s="58" t="s">
        <v>754</v>
      </c>
      <c r="C38" s="57" t="s">
        <v>689</v>
      </c>
      <c r="D38" s="57" t="s">
        <v>702</v>
      </c>
    </row>
    <row r="39" spans="1:4">
      <c r="A39" s="58" t="s">
        <v>161</v>
      </c>
      <c r="B39" s="58" t="s">
        <v>755</v>
      </c>
      <c r="C39" s="57" t="s">
        <v>689</v>
      </c>
      <c r="D39" s="57" t="s">
        <v>702</v>
      </c>
    </row>
    <row r="40" spans="1:4">
      <c r="A40" s="58" t="s">
        <v>756</v>
      </c>
      <c r="B40" s="58" t="s">
        <v>757</v>
      </c>
      <c r="C40" s="57" t="s">
        <v>689</v>
      </c>
    </row>
    <row r="41" spans="1:4">
      <c r="A41" s="58" t="s">
        <v>758</v>
      </c>
      <c r="B41" s="58" t="s">
        <v>759</v>
      </c>
      <c r="C41" s="57" t="s">
        <v>689</v>
      </c>
    </row>
    <row r="42" spans="1:4">
      <c r="A42" s="58" t="s">
        <v>760</v>
      </c>
      <c r="B42" s="58" t="s">
        <v>761</v>
      </c>
      <c r="C42" s="57" t="s">
        <v>689</v>
      </c>
    </row>
    <row r="43" spans="1:4">
      <c r="A43" s="58" t="s">
        <v>762</v>
      </c>
      <c r="B43" s="58" t="s">
        <v>763</v>
      </c>
      <c r="C43" s="57" t="s">
        <v>689</v>
      </c>
    </row>
    <row r="44" spans="1:4">
      <c r="A44" s="58" t="s">
        <v>764</v>
      </c>
      <c r="B44" s="58" t="s">
        <v>765</v>
      </c>
      <c r="C44" s="57" t="s">
        <v>689</v>
      </c>
    </row>
    <row r="45" spans="1:4">
      <c r="A45" s="58" t="s">
        <v>766</v>
      </c>
      <c r="B45" s="58" t="s">
        <v>767</v>
      </c>
      <c r="C45" s="57" t="s">
        <v>689</v>
      </c>
    </row>
    <row r="46" spans="1:4">
      <c r="A46" s="58" t="s">
        <v>768</v>
      </c>
      <c r="B46" s="58" t="s">
        <v>769</v>
      </c>
      <c r="C46" s="57" t="s">
        <v>689</v>
      </c>
    </row>
    <row r="47" spans="1:4">
      <c r="A47" s="58" t="s">
        <v>770</v>
      </c>
      <c r="B47" s="58" t="s">
        <v>771</v>
      </c>
      <c r="C47" s="57" t="s">
        <v>689</v>
      </c>
    </row>
    <row r="48" spans="1:4">
      <c r="A48" s="58" t="s">
        <v>772</v>
      </c>
      <c r="B48" s="58" t="s">
        <v>773</v>
      </c>
      <c r="C48" s="57" t="s">
        <v>689</v>
      </c>
    </row>
    <row r="49" spans="1:7">
      <c r="A49" s="58" t="s">
        <v>774</v>
      </c>
      <c r="B49" s="58" t="s">
        <v>775</v>
      </c>
      <c r="C49" s="57" t="s">
        <v>689</v>
      </c>
    </row>
    <row r="50" spans="1:7">
      <c r="A50" s="58" t="s">
        <v>776</v>
      </c>
      <c r="B50" s="58" t="s">
        <v>777</v>
      </c>
      <c r="C50" s="57" t="s">
        <v>689</v>
      </c>
      <c r="D50" s="57" t="s">
        <v>702</v>
      </c>
      <c r="F50" s="68">
        <v>204</v>
      </c>
      <c r="G50" s="67">
        <v>205</v>
      </c>
    </row>
    <row r="51" spans="1:7">
      <c r="A51" s="58" t="s">
        <v>778</v>
      </c>
      <c r="B51" s="58" t="s">
        <v>779</v>
      </c>
      <c r="C51" s="57" t="s">
        <v>689</v>
      </c>
      <c r="D51" s="57" t="s">
        <v>702</v>
      </c>
      <c r="F51" s="71">
        <v>204</v>
      </c>
    </row>
    <row r="52" spans="1:7">
      <c r="A52" s="58" t="s">
        <v>780</v>
      </c>
      <c r="B52" s="58" t="s">
        <v>781</v>
      </c>
      <c r="C52" s="57" t="s">
        <v>689</v>
      </c>
    </row>
    <row r="53" spans="1:7">
      <c r="A53" s="58" t="s">
        <v>782</v>
      </c>
      <c r="B53" s="58" t="s">
        <v>783</v>
      </c>
      <c r="C53" s="57" t="s">
        <v>689</v>
      </c>
    </row>
    <row r="54" spans="1:7">
      <c r="A54" s="58" t="s">
        <v>784</v>
      </c>
      <c r="B54" s="59" t="s">
        <v>785</v>
      </c>
      <c r="C54" s="57" t="s">
        <v>689</v>
      </c>
      <c r="D54" s="57" t="s">
        <v>702</v>
      </c>
    </row>
    <row r="55" spans="1:7">
      <c r="A55" s="58" t="s">
        <v>786</v>
      </c>
      <c r="B55" s="58" t="s">
        <v>787</v>
      </c>
      <c r="C55" s="57" t="s">
        <v>689</v>
      </c>
    </row>
    <row r="56" spans="1:7">
      <c r="A56" s="58" t="s">
        <v>788</v>
      </c>
      <c r="B56" s="58" t="s">
        <v>789</v>
      </c>
      <c r="C56" s="57" t="s">
        <v>689</v>
      </c>
      <c r="D56" s="57" t="s">
        <v>702</v>
      </c>
    </row>
    <row r="57" spans="1:7">
      <c r="A57" s="58" t="s">
        <v>790</v>
      </c>
      <c r="B57" s="58" t="s">
        <v>791</v>
      </c>
      <c r="C57" s="57" t="s">
        <v>689</v>
      </c>
    </row>
    <row r="58" spans="1:7">
      <c r="A58" s="58" t="s">
        <v>792</v>
      </c>
      <c r="B58" s="58" t="s">
        <v>793</v>
      </c>
      <c r="C58" s="57" t="s">
        <v>689</v>
      </c>
      <c r="D58" s="57" t="s">
        <v>702</v>
      </c>
      <c r="F58" s="67" t="s">
        <v>794</v>
      </c>
    </row>
    <row r="59" spans="1:7">
      <c r="A59" s="58" t="s">
        <v>102</v>
      </c>
      <c r="B59" s="58" t="s">
        <v>795</v>
      </c>
      <c r="C59" s="57" t="s">
        <v>689</v>
      </c>
      <c r="D59" s="57" t="s">
        <v>702</v>
      </c>
    </row>
    <row r="60" spans="1:7">
      <c r="A60" s="58" t="s">
        <v>103</v>
      </c>
      <c r="B60" s="58" t="s">
        <v>796</v>
      </c>
      <c r="C60" s="57" t="s">
        <v>689</v>
      </c>
      <c r="D60" s="57" t="s">
        <v>702</v>
      </c>
    </row>
    <row r="61" spans="1:7">
      <c r="A61" s="58" t="s">
        <v>797</v>
      </c>
      <c r="B61" s="58" t="s">
        <v>798</v>
      </c>
      <c r="C61" s="57" t="s">
        <v>689</v>
      </c>
      <c r="D61" s="57" t="s">
        <v>702</v>
      </c>
    </row>
    <row r="62" spans="1:7">
      <c r="A62" s="58" t="s">
        <v>799</v>
      </c>
      <c r="B62" s="58" t="s">
        <v>800</v>
      </c>
      <c r="C62" s="57" t="s">
        <v>689</v>
      </c>
    </row>
    <row r="63" spans="1:7">
      <c r="A63" s="58" t="s">
        <v>801</v>
      </c>
      <c r="B63" s="58" t="s">
        <v>802</v>
      </c>
      <c r="C63" s="57" t="s">
        <v>689</v>
      </c>
    </row>
    <row r="64" spans="1:7">
      <c r="A64" s="58" t="s">
        <v>803</v>
      </c>
      <c r="B64" s="58" t="s">
        <v>804</v>
      </c>
      <c r="C64" s="57" t="s">
        <v>689</v>
      </c>
    </row>
    <row r="65" spans="1:4">
      <c r="A65" s="58" t="s">
        <v>805</v>
      </c>
      <c r="B65" s="58" t="s">
        <v>806</v>
      </c>
      <c r="C65" s="57" t="s">
        <v>689</v>
      </c>
      <c r="D65" s="57" t="s">
        <v>702</v>
      </c>
    </row>
    <row r="66" spans="1:4">
      <c r="A66" s="58" t="s">
        <v>807</v>
      </c>
      <c r="B66" s="58" t="s">
        <v>808</v>
      </c>
      <c r="C66" s="57" t="s">
        <v>689</v>
      </c>
    </row>
    <row r="67" spans="1:4">
      <c r="A67" s="58" t="s">
        <v>809</v>
      </c>
      <c r="B67" s="58" t="s">
        <v>810</v>
      </c>
      <c r="C67" s="57" t="s">
        <v>689</v>
      </c>
    </row>
    <row r="68" spans="1:4">
      <c r="A68" s="58" t="s">
        <v>811</v>
      </c>
      <c r="B68" s="58" t="s">
        <v>812</v>
      </c>
      <c r="C68" s="57" t="s">
        <v>689</v>
      </c>
    </row>
    <row r="69" spans="1:4">
      <c r="A69" s="58" t="s">
        <v>813</v>
      </c>
      <c r="B69" s="58" t="s">
        <v>814</v>
      </c>
      <c r="C69" s="57" t="s">
        <v>689</v>
      </c>
    </row>
    <row r="70" spans="1:4">
      <c r="A70" s="58" t="s">
        <v>815</v>
      </c>
      <c r="B70" s="58" t="s">
        <v>816</v>
      </c>
      <c r="C70" s="57" t="s">
        <v>689</v>
      </c>
    </row>
    <row r="71" spans="1:4">
      <c r="A71" s="58" t="s">
        <v>384</v>
      </c>
      <c r="B71" s="58" t="s">
        <v>817</v>
      </c>
      <c r="C71" s="57" t="s">
        <v>689</v>
      </c>
    </row>
    <row r="72" spans="1:4">
      <c r="A72" s="58" t="s">
        <v>818</v>
      </c>
      <c r="B72" s="58" t="s">
        <v>819</v>
      </c>
      <c r="C72" s="57" t="s">
        <v>689</v>
      </c>
    </row>
    <row r="73" spans="1:4">
      <c r="A73" s="58" t="s">
        <v>820</v>
      </c>
      <c r="B73" s="58" t="s">
        <v>821</v>
      </c>
      <c r="C73" s="57" t="s">
        <v>689</v>
      </c>
    </row>
    <row r="74" spans="1:4">
      <c r="A74" s="58" t="s">
        <v>822</v>
      </c>
      <c r="B74" s="58" t="s">
        <v>823</v>
      </c>
      <c r="C74" s="57" t="s">
        <v>689</v>
      </c>
    </row>
    <row r="75" spans="1:4" ht="12.75" customHeight="1">
      <c r="A75" s="58" t="s">
        <v>824</v>
      </c>
      <c r="B75" s="58" t="s">
        <v>825</v>
      </c>
      <c r="C75" s="57" t="s">
        <v>689</v>
      </c>
    </row>
    <row r="76" spans="1:4">
      <c r="A76" s="58" t="s">
        <v>826</v>
      </c>
      <c r="B76" s="58" t="s">
        <v>827</v>
      </c>
      <c r="C76" s="57" t="s">
        <v>689</v>
      </c>
    </row>
    <row r="77" spans="1:4">
      <c r="A77" s="58" t="s">
        <v>828</v>
      </c>
      <c r="B77" s="58" t="s">
        <v>829</v>
      </c>
      <c r="C77" s="57" t="s">
        <v>689</v>
      </c>
    </row>
    <row r="78" spans="1:4">
      <c r="A78" s="58" t="s">
        <v>830</v>
      </c>
      <c r="B78" s="58" t="s">
        <v>831</v>
      </c>
      <c r="C78" s="57" t="s">
        <v>689</v>
      </c>
    </row>
    <row r="79" spans="1:4">
      <c r="A79" s="58" t="s">
        <v>832</v>
      </c>
      <c r="B79" s="58" t="s">
        <v>833</v>
      </c>
      <c r="C79" s="57" t="s">
        <v>689</v>
      </c>
    </row>
    <row r="80" spans="1:4">
      <c r="A80" s="58" t="s">
        <v>834</v>
      </c>
      <c r="B80" s="58" t="s">
        <v>835</v>
      </c>
      <c r="C80" s="57" t="s">
        <v>689</v>
      </c>
    </row>
    <row r="81" spans="1:6">
      <c r="A81" s="58" t="s">
        <v>836</v>
      </c>
      <c r="B81" s="58" t="s">
        <v>837</v>
      </c>
      <c r="C81" s="57" t="s">
        <v>689</v>
      </c>
    </row>
    <row r="82" spans="1:6">
      <c r="A82" s="58" t="s">
        <v>838</v>
      </c>
      <c r="B82" s="58" t="s">
        <v>839</v>
      </c>
      <c r="C82" s="57" t="s">
        <v>689</v>
      </c>
      <c r="D82" s="67"/>
    </row>
    <row r="83" spans="1:6">
      <c r="A83" s="58" t="s">
        <v>379</v>
      </c>
      <c r="B83" s="58" t="s">
        <v>840</v>
      </c>
      <c r="C83" s="57" t="s">
        <v>689</v>
      </c>
      <c r="D83" s="67"/>
    </row>
    <row r="84" spans="1:6">
      <c r="A84" s="58" t="s">
        <v>841</v>
      </c>
      <c r="B84" s="58" t="s">
        <v>842</v>
      </c>
      <c r="C84" s="57" t="s">
        <v>689</v>
      </c>
    </row>
    <row r="85" spans="1:6">
      <c r="A85" s="58" t="s">
        <v>843</v>
      </c>
      <c r="B85" s="58" t="s">
        <v>844</v>
      </c>
      <c r="C85" s="57" t="s">
        <v>689</v>
      </c>
    </row>
    <row r="86" spans="1:6">
      <c r="A86" s="58" t="s">
        <v>845</v>
      </c>
      <c r="B86" s="58" t="s">
        <v>846</v>
      </c>
      <c r="C86" s="57" t="s">
        <v>689</v>
      </c>
    </row>
    <row r="87" spans="1:6">
      <c r="A87" s="58" t="s">
        <v>847</v>
      </c>
      <c r="B87" s="58" t="s">
        <v>848</v>
      </c>
      <c r="C87" s="57" t="s">
        <v>689</v>
      </c>
    </row>
    <row r="88" spans="1:6">
      <c r="A88" s="58" t="s">
        <v>314</v>
      </c>
      <c r="B88" s="58" t="s">
        <v>849</v>
      </c>
      <c r="C88" s="57" t="s">
        <v>689</v>
      </c>
      <c r="D88" s="57" t="s">
        <v>702</v>
      </c>
    </row>
    <row r="89" spans="1:6">
      <c r="A89" s="58" t="s">
        <v>274</v>
      </c>
      <c r="B89" s="58" t="s">
        <v>850</v>
      </c>
      <c r="C89" s="57" t="s">
        <v>689</v>
      </c>
      <c r="D89" s="57" t="s">
        <v>702</v>
      </c>
    </row>
    <row r="90" spans="1:6">
      <c r="A90" s="58" t="s">
        <v>851</v>
      </c>
      <c r="B90" s="58" t="s">
        <v>852</v>
      </c>
      <c r="C90" s="57" t="s">
        <v>689</v>
      </c>
      <c r="D90" s="67"/>
    </row>
    <row r="91" spans="1:6">
      <c r="A91" s="58" t="s">
        <v>106</v>
      </c>
      <c r="B91" s="58" t="s">
        <v>853</v>
      </c>
      <c r="C91" s="57" t="s">
        <v>689</v>
      </c>
      <c r="D91" s="57" t="s">
        <v>702</v>
      </c>
    </row>
    <row r="92" spans="1:6">
      <c r="A92" s="58" t="s">
        <v>854</v>
      </c>
      <c r="B92" s="58" t="s">
        <v>855</v>
      </c>
      <c r="C92" s="57" t="s">
        <v>689</v>
      </c>
      <c r="D92" s="57" t="s">
        <v>702</v>
      </c>
    </row>
    <row r="93" spans="1:6">
      <c r="A93" s="58" t="s">
        <v>471</v>
      </c>
      <c r="B93" s="58" t="s">
        <v>856</v>
      </c>
      <c r="C93" s="57" t="s">
        <v>689</v>
      </c>
    </row>
    <row r="94" spans="1:6">
      <c r="A94" s="58" t="s">
        <v>347</v>
      </c>
      <c r="B94" s="59" t="s">
        <v>857</v>
      </c>
      <c r="C94" s="57" t="s">
        <v>689</v>
      </c>
      <c r="D94" s="57" t="s">
        <v>702</v>
      </c>
      <c r="F94" s="67" t="s">
        <v>858</v>
      </c>
    </row>
    <row r="95" spans="1:6">
      <c r="A95" s="58" t="s">
        <v>859</v>
      </c>
      <c r="B95" s="58" t="s">
        <v>860</v>
      </c>
      <c r="C95" s="57" t="s">
        <v>689</v>
      </c>
    </row>
    <row r="96" spans="1:6">
      <c r="A96" s="58" t="s">
        <v>402</v>
      </c>
      <c r="B96" s="58" t="s">
        <v>861</v>
      </c>
      <c r="C96" s="57" t="s">
        <v>689</v>
      </c>
      <c r="D96" s="57" t="s">
        <v>702</v>
      </c>
    </row>
    <row r="97" spans="1:4">
      <c r="A97" s="58" t="s">
        <v>336</v>
      </c>
      <c r="B97" s="58" t="s">
        <v>862</v>
      </c>
      <c r="C97" s="57" t="s">
        <v>689</v>
      </c>
      <c r="D97" s="57" t="s">
        <v>702</v>
      </c>
    </row>
    <row r="98" spans="1:4">
      <c r="A98" s="58" t="s">
        <v>339</v>
      </c>
      <c r="B98" s="58" t="s">
        <v>863</v>
      </c>
      <c r="C98" s="57" t="s">
        <v>689</v>
      </c>
      <c r="D98" s="57" t="s">
        <v>702</v>
      </c>
    </row>
    <row r="99" spans="1:4">
      <c r="A99" s="58" t="s">
        <v>864</v>
      </c>
      <c r="B99" s="59" t="s">
        <v>865</v>
      </c>
      <c r="C99" s="57" t="s">
        <v>689</v>
      </c>
    </row>
    <row r="100" spans="1:4">
      <c r="A100" s="58" t="s">
        <v>326</v>
      </c>
      <c r="B100" s="58" t="s">
        <v>866</v>
      </c>
      <c r="C100" s="57" t="s">
        <v>689</v>
      </c>
    </row>
    <row r="101" spans="1:4">
      <c r="A101" s="58" t="s">
        <v>403</v>
      </c>
      <c r="B101" s="58" t="s">
        <v>867</v>
      </c>
      <c r="C101" s="57" t="s">
        <v>689</v>
      </c>
    </row>
    <row r="102" spans="1:4">
      <c r="A102" s="58" t="s">
        <v>868</v>
      </c>
      <c r="B102" s="59" t="s">
        <v>869</v>
      </c>
      <c r="C102" s="57" t="s">
        <v>689</v>
      </c>
    </row>
    <row r="103" spans="1:4">
      <c r="A103" s="58">
        <v>1535100044</v>
      </c>
      <c r="B103" s="58" t="s">
        <v>870</v>
      </c>
      <c r="C103" s="57" t="s">
        <v>871</v>
      </c>
    </row>
    <row r="104" spans="1:4">
      <c r="A104" s="58">
        <v>1535100045</v>
      </c>
      <c r="B104" s="58" t="s">
        <v>872</v>
      </c>
      <c r="C104" s="57" t="s">
        <v>871</v>
      </c>
    </row>
    <row r="105" spans="1:4">
      <c r="A105" s="58">
        <v>1535100046</v>
      </c>
      <c r="B105" s="58" t="s">
        <v>873</v>
      </c>
      <c r="C105" s="57" t="s">
        <v>871</v>
      </c>
    </row>
    <row r="106" spans="1:4">
      <c r="A106" s="58">
        <v>1810326006</v>
      </c>
      <c r="B106" s="58" t="s">
        <v>874</v>
      </c>
      <c r="C106" s="57" t="s">
        <v>871</v>
      </c>
    </row>
    <row r="107" spans="1:4">
      <c r="A107" s="58">
        <v>1813218040</v>
      </c>
      <c r="B107" s="58" t="s">
        <v>875</v>
      </c>
      <c r="C107" s="57" t="s">
        <v>871</v>
      </c>
    </row>
    <row r="108" spans="1:4">
      <c r="A108" s="58">
        <v>1813218042</v>
      </c>
      <c r="B108" s="58" t="s">
        <v>876</v>
      </c>
      <c r="C108" s="57" t="s">
        <v>871</v>
      </c>
    </row>
    <row r="109" spans="1:4">
      <c r="A109" s="58">
        <v>1813218044</v>
      </c>
      <c r="B109" s="58" t="s">
        <v>877</v>
      </c>
      <c r="C109" s="57" t="s">
        <v>871</v>
      </c>
    </row>
    <row r="110" spans="1:4">
      <c r="A110" s="58">
        <v>1813218046</v>
      </c>
      <c r="B110" s="58" t="s">
        <v>878</v>
      </c>
      <c r="C110" s="57" t="s">
        <v>871</v>
      </c>
    </row>
    <row r="111" spans="1:4">
      <c r="A111" s="58">
        <v>1813218050</v>
      </c>
      <c r="B111" s="58" t="s">
        <v>879</v>
      </c>
      <c r="C111" s="57" t="s">
        <v>871</v>
      </c>
    </row>
    <row r="112" spans="1:4">
      <c r="A112" s="58">
        <v>1813218081</v>
      </c>
      <c r="B112" s="58" t="s">
        <v>880</v>
      </c>
      <c r="C112" s="57" t="s">
        <v>871</v>
      </c>
    </row>
    <row r="113" spans="1:3">
      <c r="A113" s="58">
        <v>1818509087</v>
      </c>
      <c r="B113" s="58" t="s">
        <v>881</v>
      </c>
      <c r="C113" s="57" t="s">
        <v>871</v>
      </c>
    </row>
    <row r="114" spans="1:3">
      <c r="A114" s="58">
        <v>1818509091</v>
      </c>
      <c r="B114" s="58" t="s">
        <v>882</v>
      </c>
      <c r="C114" s="57" t="s">
        <v>871</v>
      </c>
    </row>
    <row r="115" spans="1:3">
      <c r="A115" s="58">
        <v>1818509133</v>
      </c>
      <c r="B115" s="58" t="s">
        <v>883</v>
      </c>
      <c r="C115" s="57" t="s">
        <v>871</v>
      </c>
    </row>
    <row r="116" spans="1:3">
      <c r="A116" s="58">
        <v>1818509138</v>
      </c>
      <c r="B116" s="58" t="s">
        <v>884</v>
      </c>
      <c r="C116" s="57" t="s">
        <v>871</v>
      </c>
    </row>
    <row r="117" spans="1:3">
      <c r="A117" s="58">
        <v>1818509164</v>
      </c>
      <c r="B117" s="58" t="s">
        <v>885</v>
      </c>
      <c r="C117" s="57" t="s">
        <v>871</v>
      </c>
    </row>
    <row r="118" spans="1:3">
      <c r="A118" s="58">
        <v>1818509172</v>
      </c>
      <c r="B118" s="58" t="s">
        <v>886</v>
      </c>
      <c r="C118" s="57" t="s">
        <v>871</v>
      </c>
    </row>
    <row r="119" spans="1:3">
      <c r="A119" s="58">
        <v>1818509193</v>
      </c>
      <c r="B119" s="59" t="s">
        <v>887</v>
      </c>
      <c r="C119" s="57" t="s">
        <v>871</v>
      </c>
    </row>
    <row r="120" spans="1:3">
      <c r="A120" s="58">
        <v>1818509251</v>
      </c>
      <c r="B120" s="58" t="s">
        <v>888</v>
      </c>
      <c r="C120" s="57" t="s">
        <v>871</v>
      </c>
    </row>
    <row r="121" spans="1:3">
      <c r="A121" s="58">
        <v>1818509259</v>
      </c>
      <c r="B121" s="59" t="s">
        <v>889</v>
      </c>
      <c r="C121" s="57" t="s">
        <v>871</v>
      </c>
    </row>
    <row r="122" spans="1:3">
      <c r="A122" s="58">
        <v>1818509265</v>
      </c>
      <c r="B122" s="58" t="s">
        <v>890</v>
      </c>
      <c r="C122" s="57" t="s">
        <v>871</v>
      </c>
    </row>
    <row r="123" spans="1:3">
      <c r="A123" s="58">
        <v>1818509276</v>
      </c>
      <c r="B123" s="58" t="s">
        <v>891</v>
      </c>
      <c r="C123" s="57" t="s">
        <v>871</v>
      </c>
    </row>
    <row r="124" spans="1:3">
      <c r="A124" s="58">
        <v>1818509284</v>
      </c>
      <c r="B124" s="58" t="s">
        <v>892</v>
      </c>
      <c r="C124" s="57" t="s">
        <v>871</v>
      </c>
    </row>
    <row r="125" spans="1:3">
      <c r="A125" s="58">
        <v>1818509289</v>
      </c>
      <c r="B125" s="58" t="s">
        <v>893</v>
      </c>
      <c r="C125" s="57" t="s">
        <v>871</v>
      </c>
    </row>
    <row r="126" spans="1:3">
      <c r="A126" s="58">
        <v>1818509439</v>
      </c>
      <c r="B126" s="58" t="s">
        <v>894</v>
      </c>
      <c r="C126" s="57" t="s">
        <v>871</v>
      </c>
    </row>
    <row r="127" spans="1:3">
      <c r="A127" s="58">
        <v>1818509497</v>
      </c>
      <c r="B127" s="58" t="s">
        <v>895</v>
      </c>
      <c r="C127" s="57" t="s">
        <v>871</v>
      </c>
    </row>
    <row r="128" spans="1:3">
      <c r="A128" s="58">
        <v>1818509503</v>
      </c>
      <c r="B128" s="58" t="s">
        <v>896</v>
      </c>
      <c r="C128" s="57" t="s">
        <v>871</v>
      </c>
    </row>
    <row r="129" spans="1:3">
      <c r="A129" s="58">
        <v>1818509508</v>
      </c>
      <c r="B129" s="58" t="s">
        <v>897</v>
      </c>
      <c r="C129" s="57" t="s">
        <v>871</v>
      </c>
    </row>
    <row r="130" spans="1:3">
      <c r="A130" s="58">
        <v>1818509512</v>
      </c>
      <c r="B130" s="58" t="s">
        <v>898</v>
      </c>
      <c r="C130" s="57" t="s">
        <v>871</v>
      </c>
    </row>
    <row r="131" spans="1:3">
      <c r="A131" s="58">
        <v>1818509516</v>
      </c>
      <c r="B131" s="58" t="s">
        <v>899</v>
      </c>
      <c r="C131" s="57" t="s">
        <v>871</v>
      </c>
    </row>
    <row r="132" spans="1:3">
      <c r="A132" s="58">
        <v>1818509519</v>
      </c>
      <c r="B132" s="58" t="s">
        <v>900</v>
      </c>
      <c r="C132" s="57" t="s">
        <v>871</v>
      </c>
    </row>
    <row r="133" spans="1:3">
      <c r="A133" s="58">
        <v>1818509554</v>
      </c>
      <c r="B133" s="58" t="s">
        <v>901</v>
      </c>
      <c r="C133" s="57" t="s">
        <v>871</v>
      </c>
    </row>
    <row r="134" spans="1:3">
      <c r="A134" s="58">
        <v>1818509555</v>
      </c>
      <c r="B134" s="58" t="s">
        <v>902</v>
      </c>
      <c r="C134" s="57" t="s">
        <v>871</v>
      </c>
    </row>
    <row r="135" spans="1:3">
      <c r="A135" s="58">
        <v>1818509563</v>
      </c>
      <c r="B135" s="58" t="s">
        <v>903</v>
      </c>
      <c r="C135" s="57" t="s">
        <v>871</v>
      </c>
    </row>
    <row r="136" spans="1:3">
      <c r="A136" s="58">
        <v>1818509618</v>
      </c>
      <c r="B136" s="58" t="s">
        <v>904</v>
      </c>
      <c r="C136" s="57" t="s">
        <v>871</v>
      </c>
    </row>
    <row r="137" spans="1:3">
      <c r="A137" s="58">
        <v>1818509634</v>
      </c>
      <c r="B137" s="58" t="s">
        <v>905</v>
      </c>
      <c r="C137" s="57" t="s">
        <v>871</v>
      </c>
    </row>
    <row r="138" spans="1:3">
      <c r="A138" s="58">
        <v>1818509661</v>
      </c>
      <c r="B138" s="58" t="s">
        <v>906</v>
      </c>
      <c r="C138" s="57" t="s">
        <v>871</v>
      </c>
    </row>
    <row r="139" spans="1:3">
      <c r="A139" s="58">
        <v>1818509665</v>
      </c>
      <c r="B139" s="58" t="s">
        <v>907</v>
      </c>
      <c r="C139" s="57" t="s">
        <v>871</v>
      </c>
    </row>
    <row r="140" spans="1:3">
      <c r="A140" s="58">
        <v>1818509670</v>
      </c>
      <c r="B140" s="58" t="s">
        <v>908</v>
      </c>
      <c r="C140" s="57" t="s">
        <v>871</v>
      </c>
    </row>
    <row r="141" spans="1:3">
      <c r="A141" s="58">
        <v>1818509704</v>
      </c>
      <c r="B141" s="58" t="s">
        <v>909</v>
      </c>
      <c r="C141" s="57" t="s">
        <v>871</v>
      </c>
    </row>
    <row r="142" spans="1:3">
      <c r="A142" s="58">
        <v>1818509725</v>
      </c>
      <c r="B142" s="58" t="s">
        <v>910</v>
      </c>
      <c r="C142" s="57" t="s">
        <v>871</v>
      </c>
    </row>
    <row r="143" spans="1:3">
      <c r="A143" s="58">
        <v>1818509748</v>
      </c>
      <c r="B143" s="58" t="s">
        <v>911</v>
      </c>
      <c r="C143" s="57" t="s">
        <v>871</v>
      </c>
    </row>
    <row r="144" spans="1:3">
      <c r="A144" s="58">
        <v>3842528304</v>
      </c>
      <c r="B144" s="58" t="s">
        <v>912</v>
      </c>
      <c r="C144" s="57" t="s">
        <v>871</v>
      </c>
    </row>
    <row r="145" spans="1:4">
      <c r="A145" s="58" t="s">
        <v>913</v>
      </c>
      <c r="B145" s="58" t="s">
        <v>914</v>
      </c>
      <c r="C145" s="57" t="s">
        <v>871</v>
      </c>
    </row>
    <row r="146" spans="1:4">
      <c r="A146" s="58" t="s">
        <v>53</v>
      </c>
      <c r="B146" s="58" t="s">
        <v>915</v>
      </c>
      <c r="C146" s="57" t="s">
        <v>871</v>
      </c>
    </row>
    <row r="147" spans="1:4">
      <c r="A147" s="58" t="s">
        <v>916</v>
      </c>
      <c r="B147" s="58" t="s">
        <v>917</v>
      </c>
      <c r="C147" s="57" t="s">
        <v>871</v>
      </c>
    </row>
    <row r="148" spans="1:4">
      <c r="A148" s="58" t="s">
        <v>918</v>
      </c>
      <c r="B148" s="58" t="s">
        <v>919</v>
      </c>
      <c r="C148" s="57" t="s">
        <v>871</v>
      </c>
    </row>
    <row r="149" spans="1:4">
      <c r="A149" s="58" t="s">
        <v>920</v>
      </c>
      <c r="B149" s="58" t="s">
        <v>921</v>
      </c>
      <c r="C149" s="57" t="s">
        <v>871</v>
      </c>
    </row>
    <row r="150" spans="1:4">
      <c r="A150" s="58" t="s">
        <v>922</v>
      </c>
      <c r="B150" s="58" t="s">
        <v>923</v>
      </c>
      <c r="C150" s="57" t="s">
        <v>871</v>
      </c>
    </row>
    <row r="151" spans="1:4">
      <c r="A151" s="58" t="s">
        <v>51</v>
      </c>
      <c r="B151" s="58" t="s">
        <v>924</v>
      </c>
      <c r="C151" s="57" t="s">
        <v>871</v>
      </c>
      <c r="D151" s="57" t="s">
        <v>702</v>
      </c>
    </row>
    <row r="152" spans="1:4">
      <c r="A152" s="58" t="s">
        <v>33</v>
      </c>
      <c r="B152" s="58" t="s">
        <v>925</v>
      </c>
      <c r="C152" s="57" t="s">
        <v>871</v>
      </c>
      <c r="D152" s="67"/>
    </row>
    <row r="153" spans="1:4">
      <c r="A153" s="58" t="s">
        <v>34</v>
      </c>
      <c r="B153" s="58" t="s">
        <v>926</v>
      </c>
      <c r="C153" s="57" t="s">
        <v>871</v>
      </c>
    </row>
    <row r="154" spans="1:4">
      <c r="A154" s="58" t="s">
        <v>179</v>
      </c>
      <c r="B154" s="58" t="s">
        <v>927</v>
      </c>
      <c r="C154" s="57" t="s">
        <v>871</v>
      </c>
      <c r="D154" s="67"/>
    </row>
    <row r="155" spans="1:4">
      <c r="A155" s="58" t="s">
        <v>38</v>
      </c>
      <c r="B155" s="58" t="s">
        <v>928</v>
      </c>
      <c r="C155" s="57" t="s">
        <v>871</v>
      </c>
    </row>
    <row r="156" spans="1:4">
      <c r="A156" s="58" t="s">
        <v>40</v>
      </c>
      <c r="B156" s="58" t="s">
        <v>929</v>
      </c>
      <c r="C156" s="57" t="s">
        <v>871</v>
      </c>
      <c r="D156" s="57" t="s">
        <v>702</v>
      </c>
    </row>
    <row r="157" spans="1:4">
      <c r="A157" s="58" t="s">
        <v>670</v>
      </c>
      <c r="B157" s="58" t="s">
        <v>930</v>
      </c>
      <c r="C157" s="57" t="s">
        <v>871</v>
      </c>
    </row>
    <row r="158" spans="1:4" ht="15" customHeight="1">
      <c r="A158" s="58" t="s">
        <v>41</v>
      </c>
      <c r="B158" s="58" t="s">
        <v>931</v>
      </c>
      <c r="C158" s="57" t="s">
        <v>871</v>
      </c>
      <c r="D158" s="67"/>
    </row>
    <row r="159" spans="1:4">
      <c r="A159" s="58" t="s">
        <v>46</v>
      </c>
      <c r="B159" s="58" t="s">
        <v>932</v>
      </c>
      <c r="C159" s="57" t="s">
        <v>871</v>
      </c>
      <c r="D159" s="57" t="s">
        <v>702</v>
      </c>
    </row>
    <row r="160" spans="1:4">
      <c r="A160" s="58" t="s">
        <v>650</v>
      </c>
      <c r="B160" s="58" t="s">
        <v>933</v>
      </c>
      <c r="C160" s="57" t="s">
        <v>871</v>
      </c>
    </row>
    <row r="161" spans="1:4">
      <c r="A161" s="58" t="s">
        <v>48</v>
      </c>
      <c r="B161" s="58" t="s">
        <v>934</v>
      </c>
      <c r="C161" s="57" t="s">
        <v>871</v>
      </c>
    </row>
    <row r="162" spans="1:4">
      <c r="A162" s="58" t="s">
        <v>397</v>
      </c>
      <c r="B162" s="58" t="s">
        <v>935</v>
      </c>
      <c r="C162" s="57" t="s">
        <v>871</v>
      </c>
    </row>
    <row r="163" spans="1:4">
      <c r="A163" s="58" t="s">
        <v>936</v>
      </c>
      <c r="B163" s="58" t="s">
        <v>937</v>
      </c>
      <c r="C163" s="57" t="s">
        <v>871</v>
      </c>
      <c r="D163" s="67"/>
    </row>
    <row r="164" spans="1:4">
      <c r="A164" s="58" t="s">
        <v>42</v>
      </c>
      <c r="B164" s="58" t="s">
        <v>938</v>
      </c>
      <c r="C164" s="57" t="s">
        <v>871</v>
      </c>
      <c r="D164" s="57" t="s">
        <v>702</v>
      </c>
    </row>
    <row r="165" spans="1:4">
      <c r="A165" s="58" t="s">
        <v>939</v>
      </c>
      <c r="B165" s="58" t="s">
        <v>940</v>
      </c>
      <c r="C165" s="57" t="s">
        <v>871</v>
      </c>
    </row>
    <row r="166" spans="1:4">
      <c r="A166" s="58" t="s">
        <v>388</v>
      </c>
      <c r="B166" s="58" t="s">
        <v>941</v>
      </c>
      <c r="C166" s="57" t="s">
        <v>871</v>
      </c>
      <c r="D166" s="67"/>
    </row>
    <row r="167" spans="1:4">
      <c r="A167" s="58" t="s">
        <v>671</v>
      </c>
      <c r="B167" s="58" t="s">
        <v>942</v>
      </c>
      <c r="C167" s="57" t="s">
        <v>871</v>
      </c>
      <c r="D167" s="67"/>
    </row>
    <row r="168" spans="1:4">
      <c r="A168" s="58" t="s">
        <v>943</v>
      </c>
      <c r="B168" s="58" t="s">
        <v>944</v>
      </c>
      <c r="C168" s="57" t="s">
        <v>871</v>
      </c>
    </row>
    <row r="169" spans="1:4">
      <c r="A169" s="58" t="s">
        <v>945</v>
      </c>
      <c r="B169" s="58" t="s">
        <v>946</v>
      </c>
      <c r="C169" s="57" t="s">
        <v>871</v>
      </c>
    </row>
    <row r="170" spans="1:4">
      <c r="A170" s="58" t="s">
        <v>350</v>
      </c>
      <c r="B170" s="58" t="s">
        <v>947</v>
      </c>
      <c r="C170" s="57" t="s">
        <v>871</v>
      </c>
      <c r="D170" s="57" t="s">
        <v>702</v>
      </c>
    </row>
    <row r="171" spans="1:4">
      <c r="A171" s="58" t="s">
        <v>242</v>
      </c>
      <c r="B171" s="58" t="s">
        <v>948</v>
      </c>
      <c r="C171" s="57" t="s">
        <v>871</v>
      </c>
      <c r="D171" s="57" t="s">
        <v>702</v>
      </c>
    </row>
    <row r="172" spans="1:4">
      <c r="A172" s="58" t="s">
        <v>54</v>
      </c>
      <c r="B172" s="58" t="s">
        <v>949</v>
      </c>
      <c r="C172" s="57" t="s">
        <v>871</v>
      </c>
    </row>
    <row r="173" spans="1:4">
      <c r="A173" s="58" t="s">
        <v>29</v>
      </c>
      <c r="B173" s="58" t="s">
        <v>950</v>
      </c>
      <c r="C173" s="57" t="s">
        <v>871</v>
      </c>
    </row>
    <row r="174" spans="1:4">
      <c r="A174" s="58" t="s">
        <v>951</v>
      </c>
      <c r="B174" s="58" t="s">
        <v>952</v>
      </c>
      <c r="C174" s="57" t="s">
        <v>871</v>
      </c>
    </row>
    <row r="175" spans="1:4">
      <c r="A175" s="58" t="s">
        <v>953</v>
      </c>
      <c r="B175" s="58" t="s">
        <v>954</v>
      </c>
      <c r="C175" s="57" t="s">
        <v>871</v>
      </c>
    </row>
    <row r="176" spans="1:4">
      <c r="A176" s="58" t="s">
        <v>955</v>
      </c>
      <c r="B176" s="58" t="s">
        <v>956</v>
      </c>
      <c r="C176" s="57" t="s">
        <v>871</v>
      </c>
    </row>
    <row r="177" spans="1:4">
      <c r="A177" s="58" t="s">
        <v>957</v>
      </c>
      <c r="B177" s="58" t="s">
        <v>958</v>
      </c>
      <c r="C177" s="57" t="s">
        <v>871</v>
      </c>
    </row>
    <row r="178" spans="1:4">
      <c r="A178" s="58" t="s">
        <v>959</v>
      </c>
      <c r="B178" s="58" t="s">
        <v>960</v>
      </c>
      <c r="C178" s="57" t="s">
        <v>871</v>
      </c>
    </row>
    <row r="179" spans="1:4">
      <c r="A179" s="58" t="s">
        <v>961</v>
      </c>
      <c r="B179" s="58" t="s">
        <v>962</v>
      </c>
      <c r="C179" s="57" t="s">
        <v>871</v>
      </c>
    </row>
    <row r="180" spans="1:4">
      <c r="A180" s="58" t="s">
        <v>963</v>
      </c>
      <c r="B180" s="58" t="s">
        <v>964</v>
      </c>
      <c r="C180" s="57" t="s">
        <v>871</v>
      </c>
    </row>
    <row r="181" spans="1:4">
      <c r="A181" s="58" t="s">
        <v>49</v>
      </c>
      <c r="B181" s="58" t="s">
        <v>965</v>
      </c>
      <c r="C181" s="57" t="s">
        <v>871</v>
      </c>
    </row>
    <row r="182" spans="1:4">
      <c r="A182" s="58" t="s">
        <v>383</v>
      </c>
      <c r="B182" s="58" t="s">
        <v>966</v>
      </c>
      <c r="C182" s="57" t="s">
        <v>871</v>
      </c>
      <c r="D182" s="57" t="s">
        <v>702</v>
      </c>
    </row>
    <row r="183" spans="1:4">
      <c r="A183" s="58" t="s">
        <v>967</v>
      </c>
      <c r="B183" s="58" t="s">
        <v>968</v>
      </c>
      <c r="C183" s="57" t="s">
        <v>871</v>
      </c>
    </row>
    <row r="184" spans="1:4">
      <c r="A184" s="58" t="s">
        <v>969</v>
      </c>
      <c r="B184" s="58" t="s">
        <v>970</v>
      </c>
      <c r="C184" s="57" t="s">
        <v>871</v>
      </c>
    </row>
    <row r="185" spans="1:4">
      <c r="A185" s="58" t="s">
        <v>971</v>
      </c>
      <c r="B185" s="58" t="s">
        <v>972</v>
      </c>
      <c r="C185" s="57" t="s">
        <v>871</v>
      </c>
    </row>
    <row r="186" spans="1:4">
      <c r="A186" s="58" t="s">
        <v>389</v>
      </c>
      <c r="B186" s="58" t="s">
        <v>973</v>
      </c>
      <c r="C186" s="57" t="s">
        <v>871</v>
      </c>
    </row>
    <row r="187" spans="1:4">
      <c r="A187" s="58" t="s">
        <v>35</v>
      </c>
      <c r="B187" s="58" t="s">
        <v>974</v>
      </c>
      <c r="C187" s="57" t="s">
        <v>871</v>
      </c>
    </row>
    <row r="188" spans="1:4">
      <c r="A188" s="58" t="s">
        <v>975</v>
      </c>
      <c r="B188" s="58" t="s">
        <v>976</v>
      </c>
      <c r="C188" s="57" t="s">
        <v>871</v>
      </c>
    </row>
    <row r="189" spans="1:4">
      <c r="A189" s="58" t="s">
        <v>31</v>
      </c>
      <c r="B189" s="58" t="s">
        <v>977</v>
      </c>
      <c r="C189" s="57" t="s">
        <v>871</v>
      </c>
    </row>
    <row r="190" spans="1:4">
      <c r="A190" s="58" t="s">
        <v>978</v>
      </c>
      <c r="B190" s="58" t="s">
        <v>979</v>
      </c>
      <c r="C190" s="57" t="s">
        <v>871</v>
      </c>
    </row>
    <row r="191" spans="1:4">
      <c r="A191" s="58" t="s">
        <v>980</v>
      </c>
      <c r="B191" s="58" t="s">
        <v>981</v>
      </c>
      <c r="C191" s="57" t="s">
        <v>871</v>
      </c>
    </row>
    <row r="192" spans="1:4">
      <c r="A192" s="58" t="s">
        <v>55</v>
      </c>
      <c r="B192" s="58" t="s">
        <v>982</v>
      </c>
      <c r="C192" s="57" t="s">
        <v>871</v>
      </c>
    </row>
    <row r="193" spans="1:4">
      <c r="A193" s="58" t="s">
        <v>56</v>
      </c>
      <c r="B193" s="58" t="s">
        <v>983</v>
      </c>
      <c r="C193" s="57" t="s">
        <v>871</v>
      </c>
    </row>
    <row r="194" spans="1:4">
      <c r="A194" s="58" t="s">
        <v>984</v>
      </c>
      <c r="B194" s="58" t="s">
        <v>985</v>
      </c>
      <c r="C194" s="57" t="s">
        <v>871</v>
      </c>
    </row>
    <row r="195" spans="1:4">
      <c r="A195" s="58" t="s">
        <v>986</v>
      </c>
      <c r="B195" s="58" t="s">
        <v>987</v>
      </c>
      <c r="C195" s="57" t="s">
        <v>871</v>
      </c>
    </row>
    <row r="196" spans="1:4">
      <c r="A196" s="58" t="s">
        <v>988</v>
      </c>
      <c r="B196" s="58" t="s">
        <v>989</v>
      </c>
      <c r="C196" s="57" t="s">
        <v>871</v>
      </c>
    </row>
    <row r="197" spans="1:4">
      <c r="A197" s="58" t="s">
        <v>990</v>
      </c>
      <c r="B197" s="58" t="s">
        <v>991</v>
      </c>
      <c r="C197" s="57" t="s">
        <v>871</v>
      </c>
    </row>
    <row r="198" spans="1:4">
      <c r="A198" s="58" t="s">
        <v>992</v>
      </c>
      <c r="B198" s="58" t="s">
        <v>993</v>
      </c>
      <c r="C198" s="57" t="s">
        <v>871</v>
      </c>
    </row>
    <row r="199" spans="1:4">
      <c r="A199" s="58" t="s">
        <v>994</v>
      </c>
      <c r="B199" s="58" t="s">
        <v>995</v>
      </c>
      <c r="C199" s="57" t="s">
        <v>871</v>
      </c>
    </row>
    <row r="200" spans="1:4">
      <c r="A200" s="58" t="s">
        <v>996</v>
      </c>
      <c r="B200" s="58" t="s">
        <v>997</v>
      </c>
      <c r="C200" s="57" t="s">
        <v>871</v>
      </c>
    </row>
    <row r="201" spans="1:4">
      <c r="A201" s="58" t="s">
        <v>998</v>
      </c>
      <c r="B201" s="58" t="s">
        <v>999</v>
      </c>
      <c r="C201" s="57" t="s">
        <v>871</v>
      </c>
    </row>
    <row r="202" spans="1:4">
      <c r="A202" s="58" t="s">
        <v>1000</v>
      </c>
      <c r="B202" s="58" t="s">
        <v>1001</v>
      </c>
      <c r="C202" s="57" t="s">
        <v>871</v>
      </c>
    </row>
    <row r="203" spans="1:4">
      <c r="A203" s="58" t="s">
        <v>1002</v>
      </c>
      <c r="B203" s="58" t="s">
        <v>1003</v>
      </c>
      <c r="C203" s="57" t="s">
        <v>871</v>
      </c>
    </row>
    <row r="204" spans="1:4">
      <c r="A204" s="58" t="s">
        <v>1004</v>
      </c>
      <c r="B204" s="58" t="s">
        <v>1005</v>
      </c>
      <c r="C204" s="57" t="s">
        <v>871</v>
      </c>
    </row>
    <row r="205" spans="1:4">
      <c r="A205" s="58" t="s">
        <v>36</v>
      </c>
      <c r="B205" s="58" t="s">
        <v>1006</v>
      </c>
      <c r="C205" s="57" t="s">
        <v>871</v>
      </c>
      <c r="D205" s="67"/>
    </row>
    <row r="206" spans="1:4">
      <c r="A206" s="58" t="s">
        <v>1007</v>
      </c>
      <c r="B206" s="58" t="s">
        <v>1008</v>
      </c>
      <c r="C206" s="57" t="s">
        <v>871</v>
      </c>
    </row>
    <row r="207" spans="1:4">
      <c r="A207" s="58" t="s">
        <v>43</v>
      </c>
      <c r="B207" s="58" t="s">
        <v>1009</v>
      </c>
      <c r="C207" s="57" t="s">
        <v>871</v>
      </c>
      <c r="D207" s="57" t="s">
        <v>702</v>
      </c>
    </row>
    <row r="208" spans="1:4">
      <c r="A208" s="58" t="s">
        <v>44</v>
      </c>
      <c r="B208" s="58" t="s">
        <v>1010</v>
      </c>
      <c r="C208" s="57" t="s">
        <v>871</v>
      </c>
      <c r="D208" s="57" t="s">
        <v>702</v>
      </c>
    </row>
    <row r="209" spans="1:4">
      <c r="A209" s="58" t="s">
        <v>1011</v>
      </c>
      <c r="B209" s="58" t="s">
        <v>1012</v>
      </c>
      <c r="C209" s="57" t="s">
        <v>871</v>
      </c>
    </row>
    <row r="210" spans="1:4">
      <c r="A210" s="58" t="s">
        <v>1013</v>
      </c>
      <c r="B210" s="58" t="s">
        <v>1014</v>
      </c>
      <c r="C210" s="57" t="s">
        <v>871</v>
      </c>
    </row>
    <row r="211" spans="1:4">
      <c r="A211" s="58" t="s">
        <v>651</v>
      </c>
      <c r="B211" s="58" t="s">
        <v>1015</v>
      </c>
      <c r="C211" s="57" t="s">
        <v>871</v>
      </c>
    </row>
    <row r="212" spans="1:4">
      <c r="A212" s="58" t="s">
        <v>398</v>
      </c>
      <c r="B212" s="58" t="s">
        <v>1016</v>
      </c>
      <c r="C212" s="57" t="s">
        <v>871</v>
      </c>
    </row>
    <row r="213" spans="1:4">
      <c r="A213" s="58" t="s">
        <v>1017</v>
      </c>
      <c r="B213" s="58" t="s">
        <v>1018</v>
      </c>
      <c r="C213" s="57" t="s">
        <v>871</v>
      </c>
    </row>
    <row r="214" spans="1:4">
      <c r="A214" s="58" t="s">
        <v>1019</v>
      </c>
      <c r="B214" s="58" t="s">
        <v>1020</v>
      </c>
      <c r="C214" s="57" t="s">
        <v>871</v>
      </c>
    </row>
    <row r="215" spans="1:4">
      <c r="A215" s="58" t="s">
        <v>1021</v>
      </c>
      <c r="B215" s="59" t="s">
        <v>1022</v>
      </c>
      <c r="C215" s="57" t="s">
        <v>1023</v>
      </c>
    </row>
    <row r="216" spans="1:4">
      <c r="A216" s="58" t="s">
        <v>175</v>
      </c>
      <c r="B216" s="58" t="s">
        <v>1024</v>
      </c>
      <c r="C216" s="57" t="s">
        <v>1023</v>
      </c>
    </row>
    <row r="217" spans="1:4">
      <c r="A217" s="58" t="s">
        <v>1025</v>
      </c>
      <c r="B217" s="58" t="s">
        <v>1026</v>
      </c>
      <c r="C217" s="57" t="s">
        <v>1023</v>
      </c>
    </row>
    <row r="218" spans="1:4">
      <c r="A218" s="58" t="s">
        <v>220</v>
      </c>
      <c r="B218" s="58" t="s">
        <v>1027</v>
      </c>
      <c r="C218" s="57" t="s">
        <v>1023</v>
      </c>
    </row>
    <row r="219" spans="1:4">
      <c r="A219" s="58" t="s">
        <v>1028</v>
      </c>
      <c r="B219" s="58" t="s">
        <v>1029</v>
      </c>
      <c r="C219" s="57" t="s">
        <v>1023</v>
      </c>
    </row>
    <row r="220" spans="1:4">
      <c r="A220" s="58" t="s">
        <v>1030</v>
      </c>
      <c r="B220" s="58" t="s">
        <v>1031</v>
      </c>
      <c r="C220" s="57" t="s">
        <v>1023</v>
      </c>
    </row>
    <row r="221" spans="1:4">
      <c r="A221" s="58" t="s">
        <v>1032</v>
      </c>
      <c r="B221" s="58" t="s">
        <v>1033</v>
      </c>
      <c r="C221" s="57" t="s">
        <v>1023</v>
      </c>
    </row>
    <row r="222" spans="1:4">
      <c r="A222" s="58" t="s">
        <v>1034</v>
      </c>
      <c r="B222" s="58" t="s">
        <v>1035</v>
      </c>
      <c r="C222" s="57" t="s">
        <v>1023</v>
      </c>
    </row>
    <row r="223" spans="1:4">
      <c r="A223" s="58" t="s">
        <v>228</v>
      </c>
      <c r="B223" s="58" t="s">
        <v>1036</v>
      </c>
      <c r="C223" s="57" t="s">
        <v>1023</v>
      </c>
      <c r="D223" s="57" t="s">
        <v>702</v>
      </c>
    </row>
    <row r="224" spans="1:4">
      <c r="A224" s="58" t="s">
        <v>1037</v>
      </c>
      <c r="B224" s="58" t="s">
        <v>1038</v>
      </c>
      <c r="C224" s="57" t="s">
        <v>1023</v>
      </c>
    </row>
    <row r="225" spans="1:4">
      <c r="A225" s="58" t="s">
        <v>1039</v>
      </c>
      <c r="B225" s="58" t="s">
        <v>1040</v>
      </c>
      <c r="C225" s="57" t="s">
        <v>1023</v>
      </c>
    </row>
    <row r="226" spans="1:4">
      <c r="A226" s="58" t="s">
        <v>1041</v>
      </c>
      <c r="B226" s="58" t="s">
        <v>1042</v>
      </c>
      <c r="C226" s="57" t="s">
        <v>1023</v>
      </c>
    </row>
    <row r="227" spans="1:4">
      <c r="A227" s="58" t="s">
        <v>428</v>
      </c>
      <c r="B227" s="58" t="s">
        <v>1043</v>
      </c>
      <c r="C227" s="57" t="s">
        <v>1023</v>
      </c>
    </row>
    <row r="228" spans="1:4">
      <c r="A228" s="58" t="s">
        <v>1044</v>
      </c>
      <c r="B228" s="58" t="s">
        <v>1045</v>
      </c>
      <c r="C228" s="57" t="s">
        <v>1023</v>
      </c>
    </row>
    <row r="229" spans="1:4">
      <c r="A229" s="58" t="s">
        <v>361</v>
      </c>
      <c r="B229" s="59" t="s">
        <v>1046</v>
      </c>
      <c r="C229" s="57" t="s">
        <v>1023</v>
      </c>
      <c r="D229" s="57" t="s">
        <v>702</v>
      </c>
    </row>
    <row r="230" spans="1:4">
      <c r="A230" s="58" t="s">
        <v>1047</v>
      </c>
      <c r="B230" s="58" t="s">
        <v>1048</v>
      </c>
      <c r="C230" s="57" t="s">
        <v>1023</v>
      </c>
      <c r="D230" s="57" t="s">
        <v>702</v>
      </c>
    </row>
    <row r="231" spans="1:4">
      <c r="A231" s="58" t="s">
        <v>1049</v>
      </c>
      <c r="B231" s="58" t="s">
        <v>1050</v>
      </c>
      <c r="C231" s="57" t="s">
        <v>1023</v>
      </c>
    </row>
    <row r="232" spans="1:4">
      <c r="A232" s="58" t="s">
        <v>1051</v>
      </c>
      <c r="B232" s="58" t="s">
        <v>1052</v>
      </c>
      <c r="C232" s="57" t="s">
        <v>1023</v>
      </c>
    </row>
    <row r="233" spans="1:4">
      <c r="A233" s="58" t="s">
        <v>1053</v>
      </c>
      <c r="B233" s="58" t="s">
        <v>1054</v>
      </c>
      <c r="C233" s="57" t="s">
        <v>1023</v>
      </c>
    </row>
    <row r="234" spans="1:4">
      <c r="A234" s="58" t="s">
        <v>1055</v>
      </c>
      <c r="B234" s="58" t="s">
        <v>1056</v>
      </c>
      <c r="C234" s="57" t="s">
        <v>1023</v>
      </c>
    </row>
    <row r="235" spans="1:4">
      <c r="A235" s="58" t="s">
        <v>484</v>
      </c>
      <c r="B235" s="58" t="s">
        <v>1057</v>
      </c>
      <c r="C235" s="57" t="s">
        <v>1023</v>
      </c>
    </row>
    <row r="236" spans="1:4">
      <c r="A236" s="58" t="s">
        <v>1058</v>
      </c>
      <c r="B236" s="58" t="s">
        <v>1059</v>
      </c>
      <c r="C236" s="57" t="s">
        <v>1023</v>
      </c>
    </row>
    <row r="237" spans="1:4">
      <c r="A237" s="58" t="s">
        <v>1060</v>
      </c>
      <c r="B237" s="58" t="s">
        <v>1061</v>
      </c>
      <c r="C237" s="57" t="s">
        <v>1023</v>
      </c>
    </row>
    <row r="238" spans="1:4">
      <c r="A238" s="58" t="s">
        <v>1062</v>
      </c>
      <c r="B238" s="58" t="s">
        <v>1063</v>
      </c>
      <c r="C238" s="57" t="s">
        <v>1023</v>
      </c>
    </row>
    <row r="239" spans="1:4">
      <c r="A239" s="58" t="s">
        <v>1064</v>
      </c>
      <c r="B239" s="58" t="s">
        <v>1065</v>
      </c>
      <c r="C239" s="57" t="s">
        <v>1023</v>
      </c>
    </row>
    <row r="240" spans="1:4">
      <c r="A240" s="58" t="s">
        <v>320</v>
      </c>
      <c r="B240" s="58" t="s">
        <v>1066</v>
      </c>
      <c r="C240" s="57" t="s">
        <v>1023</v>
      </c>
    </row>
    <row r="241" spans="1:4">
      <c r="A241" s="58" t="s">
        <v>1067</v>
      </c>
      <c r="B241" s="58" t="s">
        <v>1068</v>
      </c>
      <c r="C241" s="57" t="s">
        <v>1023</v>
      </c>
    </row>
    <row r="242" spans="1:4">
      <c r="A242" s="58" t="s">
        <v>1069</v>
      </c>
      <c r="B242" s="58" t="s">
        <v>1070</v>
      </c>
      <c r="C242" s="57" t="s">
        <v>1023</v>
      </c>
    </row>
    <row r="243" spans="1:4">
      <c r="A243" s="58" t="s">
        <v>1071</v>
      </c>
      <c r="B243" s="58" t="s">
        <v>1072</v>
      </c>
      <c r="C243" s="57" t="s">
        <v>1023</v>
      </c>
    </row>
    <row r="244" spans="1:4">
      <c r="A244" s="58">
        <v>1092327401</v>
      </c>
      <c r="B244" s="58" t="s">
        <v>1073</v>
      </c>
    </row>
    <row r="245" spans="1:4">
      <c r="A245" s="58">
        <v>1092519100</v>
      </c>
      <c r="B245" s="58" t="s">
        <v>1074</v>
      </c>
    </row>
    <row r="246" spans="1:4">
      <c r="A246" s="58">
        <v>1604738603</v>
      </c>
      <c r="B246" s="58" t="s">
        <v>1075</v>
      </c>
    </row>
    <row r="247" spans="1:4">
      <c r="A247" s="58">
        <v>1626027403</v>
      </c>
      <c r="B247" s="58" t="s">
        <v>1076</v>
      </c>
    </row>
    <row r="248" spans="1:4">
      <c r="A248" s="58">
        <v>1638215901</v>
      </c>
      <c r="B248" s="58" t="s">
        <v>1077</v>
      </c>
    </row>
    <row r="249" spans="1:4">
      <c r="A249" s="58">
        <v>1650135120</v>
      </c>
      <c r="B249" s="58" t="s">
        <v>1078</v>
      </c>
    </row>
    <row r="250" spans="1:4">
      <c r="A250" s="58">
        <v>28043501</v>
      </c>
      <c r="B250" s="58" t="s">
        <v>1079</v>
      </c>
    </row>
    <row r="251" spans="1:4">
      <c r="A251" s="58">
        <v>28443501</v>
      </c>
      <c r="B251" s="58" t="s">
        <v>1080</v>
      </c>
    </row>
    <row r="252" spans="1:4">
      <c r="A252" s="58">
        <v>32340009</v>
      </c>
      <c r="B252" s="58" t="s">
        <v>1081</v>
      </c>
    </row>
    <row r="253" spans="1:4">
      <c r="A253" s="58">
        <v>32643530</v>
      </c>
      <c r="B253" s="58" t="s">
        <v>1082</v>
      </c>
    </row>
    <row r="254" spans="1:4">
      <c r="A254" s="58" t="s">
        <v>1083</v>
      </c>
      <c r="B254" s="58" t="s">
        <v>1084</v>
      </c>
      <c r="D254" s="57" t="s">
        <v>702</v>
      </c>
    </row>
    <row r="255" spans="1:4">
      <c r="A255" s="58">
        <v>67763193</v>
      </c>
      <c r="B255" s="58" t="s">
        <v>1085</v>
      </c>
    </row>
    <row r="256" spans="1:4">
      <c r="A256" s="58" t="s">
        <v>1086</v>
      </c>
      <c r="B256" s="58" t="s">
        <v>1087</v>
      </c>
    </row>
    <row r="257" spans="1:2">
      <c r="A257" s="58" t="s">
        <v>1088</v>
      </c>
      <c r="B257" s="58" t="s">
        <v>1089</v>
      </c>
    </row>
    <row r="258" spans="1:2">
      <c r="A258" s="58" t="s">
        <v>1090</v>
      </c>
      <c r="B258" s="58" t="s">
        <v>1091</v>
      </c>
    </row>
    <row r="259" spans="1:2">
      <c r="A259" s="58" t="s">
        <v>1092</v>
      </c>
      <c r="B259" s="58" t="s">
        <v>1093</v>
      </c>
    </row>
    <row r="260" spans="1:2">
      <c r="A260" s="58" t="s">
        <v>1094</v>
      </c>
      <c r="B260" s="58" t="s">
        <v>1095</v>
      </c>
    </row>
    <row r="261" spans="1:2">
      <c r="A261" s="58" t="s">
        <v>1096</v>
      </c>
      <c r="B261" s="58" t="s">
        <v>1097</v>
      </c>
    </row>
    <row r="262" spans="1:2">
      <c r="A262" s="58" t="s">
        <v>1098</v>
      </c>
      <c r="B262" s="58" t="s">
        <v>1099</v>
      </c>
    </row>
    <row r="263" spans="1:2">
      <c r="A263" s="58" t="s">
        <v>1100</v>
      </c>
      <c r="B263" s="58" t="s">
        <v>1101</v>
      </c>
    </row>
    <row r="264" spans="1:2">
      <c r="A264" s="58" t="s">
        <v>1102</v>
      </c>
      <c r="B264" s="58" t="s">
        <v>1103</v>
      </c>
    </row>
    <row r="265" spans="1:2">
      <c r="A265" s="58" t="s">
        <v>1104</v>
      </c>
      <c r="B265" s="58" t="s">
        <v>1105</v>
      </c>
    </row>
    <row r="266" spans="1:2">
      <c r="A266" s="58" t="s">
        <v>1106</v>
      </c>
      <c r="B266" s="58" t="s">
        <v>1107</v>
      </c>
    </row>
    <row r="267" spans="1:2">
      <c r="A267" s="58" t="s">
        <v>1108</v>
      </c>
      <c r="B267" s="58" t="s">
        <v>1109</v>
      </c>
    </row>
    <row r="268" spans="1:2">
      <c r="A268" s="58" t="s">
        <v>1110</v>
      </c>
      <c r="B268" s="58" t="s">
        <v>1111</v>
      </c>
    </row>
    <row r="269" spans="1:2">
      <c r="A269" s="58" t="s">
        <v>1112</v>
      </c>
      <c r="B269" s="58" t="s">
        <v>1113</v>
      </c>
    </row>
    <row r="270" spans="1:2">
      <c r="A270" s="58" t="s">
        <v>1114</v>
      </c>
      <c r="B270" s="58" t="s">
        <v>1115</v>
      </c>
    </row>
    <row r="271" spans="1:2">
      <c r="A271" s="58" t="s">
        <v>1116</v>
      </c>
      <c r="B271" s="58" t="s">
        <v>1117</v>
      </c>
    </row>
    <row r="272" spans="1:2">
      <c r="A272" s="58" t="s">
        <v>1118</v>
      </c>
      <c r="B272" s="58" t="s">
        <v>1119</v>
      </c>
    </row>
    <row r="273" spans="1:2">
      <c r="A273" s="58" t="s">
        <v>1120</v>
      </c>
      <c r="B273" s="58" t="s">
        <v>1121</v>
      </c>
    </row>
    <row r="274" spans="1:2">
      <c r="A274" s="58" t="s">
        <v>1122</v>
      </c>
      <c r="B274" s="58" t="s">
        <v>1123</v>
      </c>
    </row>
    <row r="275" spans="1:2">
      <c r="A275" s="58" t="s">
        <v>1124</v>
      </c>
      <c r="B275" s="58" t="s">
        <v>1125</v>
      </c>
    </row>
    <row r="276" spans="1:2">
      <c r="A276" s="58" t="s">
        <v>1126</v>
      </c>
      <c r="B276" s="58" t="s">
        <v>1127</v>
      </c>
    </row>
  </sheetData>
  <mergeCells count="4">
    <mergeCell ref="F14:G14"/>
    <mergeCell ref="F15:G15"/>
    <mergeCell ref="F16:G16"/>
    <mergeCell ref="F17:G17"/>
  </mergeCells>
  <dataValidations count="2">
    <dataValidation type="list" allowBlank="1" showInputMessage="1" showErrorMessage="1" sqref="A1" xr:uid="{3E25B499-BA64-4C7A-850E-DEA6ACFE6C42}">
      <formula1>$A$4:$A$401</formula1>
    </dataValidation>
    <dataValidation type="list" allowBlank="1" showInputMessage="1" showErrorMessage="1" sqref="D4:D276" xr:uid="{FAB548D6-896B-4D2F-A1BA-5304259877CB}">
      <formula1>"OK,NOK"</formula1>
    </dataValidation>
  </dataValidations>
  <hyperlinks>
    <hyperlink ref="B4" r:id="rId1" xr:uid="{4C55F8EC-3135-41BD-BCFB-F82C0A872D60}"/>
    <hyperlink ref="B54" r:id="rId2" xr:uid="{4125B133-D21D-4903-95A8-67DDB1AB7F35}"/>
    <hyperlink ref="B94" r:id="rId3" xr:uid="{94CC2132-4250-43CE-86D0-A699448B53EF}"/>
    <hyperlink ref="B99" r:id="rId4" xr:uid="{4B18BE6A-5F02-46F0-8D8F-9ADECE9CC5B8}"/>
    <hyperlink ref="B102" r:id="rId5" xr:uid="{3DD1C2B4-AF61-4026-8B5D-A0615818E255}"/>
    <hyperlink ref="B215" r:id="rId6" xr:uid="{699EED50-8A0D-4342-89AE-B26D20C92EF7}"/>
    <hyperlink ref="B229" r:id="rId7" xr:uid="{C1804121-C1DA-4BA9-99A6-111C9D983827}"/>
    <hyperlink ref="B119" r:id="rId8" xr:uid="{7F390A9C-F640-4071-A2BF-9D9BE56C9993}"/>
    <hyperlink ref="B121" r:id="rId9" xr:uid="{6FCC5243-A143-47BD-A391-FAE376A7D160}"/>
    <hyperlink ref="B10" r:id="rId10" xr:uid="{9C18881C-5D65-4AA9-AA45-5D7ED9B74B2E}"/>
    <hyperlink ref="B7" r:id="rId11" xr:uid="{5AD9EEEC-FBD4-49F6-B6D7-AB4C036EC4B7}"/>
    <hyperlink ref="B24" r:id="rId12" xr:uid="{66A2264C-2C89-4CAC-A0EA-063205AC0488}"/>
  </hyperlinks>
  <pageMargins left="0.7" right="0.7" top="0.75" bottom="0.75" header="0.3" footer="0.3"/>
  <tableParts count="1">
    <tablePart r:id="rId1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9C4D6-028E-4422-85AF-5970030EB1EE}">
  <sheetPr>
    <pageSetUpPr fitToPage="1"/>
  </sheetPr>
  <dimension ref="B9:L188"/>
  <sheetViews>
    <sheetView zoomScale="70" zoomScaleNormal="70" workbookViewId="0">
      <pane ySplit="15" topLeftCell="A16" activePane="bottomLeft" state="frozen"/>
      <selection pane="bottomLeft" activeCell="D23" sqref="D23"/>
    </sheetView>
  </sheetViews>
  <sheetFormatPr defaultRowHeight="15"/>
  <cols>
    <col min="2" max="2" width="39.7109375" bestFit="1" customWidth="1"/>
    <col min="3" max="3" width="50.28515625" bestFit="1" customWidth="1"/>
    <col min="4" max="4" width="21.85546875" bestFit="1" customWidth="1"/>
    <col min="5" max="5" width="23.85546875" style="70" bestFit="1" customWidth="1"/>
    <col min="6" max="6" width="9.28515625" bestFit="1" customWidth="1"/>
    <col min="7" max="7" width="11.42578125" bestFit="1" customWidth="1"/>
    <col min="8" max="10" width="7.85546875" bestFit="1" customWidth="1"/>
    <col min="11" max="11" width="10" bestFit="1" customWidth="1"/>
    <col min="12" max="12" width="11.28515625" bestFit="1" customWidth="1"/>
    <col min="13" max="19" width="12.28515625" bestFit="1" customWidth="1"/>
    <col min="20" max="20" width="6.85546875" bestFit="1" customWidth="1"/>
    <col min="21" max="21" width="10.5703125" bestFit="1" customWidth="1"/>
    <col min="22" max="22" width="11.42578125" bestFit="1" customWidth="1"/>
    <col min="23" max="23" width="11.28515625" bestFit="1" customWidth="1"/>
    <col min="24" max="24" width="6.85546875" bestFit="1" customWidth="1"/>
    <col min="25" max="25" width="9.85546875" bestFit="1" customWidth="1"/>
    <col min="26" max="26" width="11.28515625" bestFit="1" customWidth="1"/>
    <col min="27" max="27" width="11.85546875" bestFit="1" customWidth="1"/>
    <col min="28" max="28" width="6.85546875" bestFit="1" customWidth="1"/>
    <col min="29" max="29" width="10" bestFit="1" customWidth="1"/>
    <col min="30" max="31" width="11.28515625" bestFit="1" customWidth="1"/>
    <col min="32" max="32" width="10.28515625" bestFit="1" customWidth="1"/>
    <col min="33" max="33" width="11.42578125" bestFit="1" customWidth="1"/>
    <col min="34" max="34" width="11.28515625" bestFit="1" customWidth="1"/>
    <col min="35" max="35" width="6.28515625" bestFit="1" customWidth="1"/>
    <col min="36" max="36" width="6.140625" bestFit="1" customWidth="1"/>
    <col min="37" max="37" width="5.85546875" bestFit="1" customWidth="1"/>
    <col min="38" max="38" width="6.42578125" bestFit="1" customWidth="1"/>
    <col min="39" max="39" width="10" bestFit="1" customWidth="1"/>
    <col min="40" max="40" width="11.28515625" bestFit="1" customWidth="1"/>
    <col min="41" max="41" width="6.140625" bestFit="1" customWidth="1"/>
    <col min="42" max="47" width="10.140625" bestFit="1" customWidth="1"/>
    <col min="48" max="48" width="6" bestFit="1" customWidth="1"/>
    <col min="49" max="49" width="6.7109375" bestFit="1" customWidth="1"/>
    <col min="50" max="50" width="5.85546875" bestFit="1" customWidth="1"/>
    <col min="51" max="51" width="5.42578125" bestFit="1" customWidth="1"/>
    <col min="52" max="52" width="6.28515625" bestFit="1" customWidth="1"/>
    <col min="53" max="53" width="6.140625" bestFit="1" customWidth="1"/>
    <col min="54" max="54" width="5.85546875" bestFit="1" customWidth="1"/>
    <col min="55" max="55" width="6.42578125" bestFit="1" customWidth="1"/>
    <col min="56" max="56" width="10" bestFit="1" customWidth="1"/>
    <col min="57" max="57" width="11.28515625" bestFit="1" customWidth="1"/>
    <col min="58" max="58" width="6.140625" bestFit="1" customWidth="1"/>
    <col min="59" max="64" width="10.140625" bestFit="1" customWidth="1"/>
    <col min="65" max="65" width="6" bestFit="1" customWidth="1"/>
    <col min="66" max="66" width="6.7109375" bestFit="1" customWidth="1"/>
    <col min="67" max="67" width="5.85546875" bestFit="1" customWidth="1"/>
    <col min="68" max="68" width="5.42578125" bestFit="1" customWidth="1"/>
    <col min="69" max="69" width="6.28515625" bestFit="1" customWidth="1"/>
    <col min="70" max="73" width="10.140625" bestFit="1" customWidth="1"/>
    <col min="74" max="74" width="5.85546875" bestFit="1" customWidth="1"/>
    <col min="75" max="75" width="6.42578125" bestFit="1" customWidth="1"/>
    <col min="76" max="76" width="10" bestFit="1" customWidth="1"/>
    <col min="77" max="77" width="11.28515625" bestFit="1" customWidth="1"/>
    <col min="78" max="87" width="9.7109375" bestFit="1" customWidth="1"/>
    <col min="88" max="93" width="8.7109375" bestFit="1" customWidth="1"/>
    <col min="94" max="98" width="9.7109375" bestFit="1" customWidth="1"/>
    <col min="99" max="104" width="8.7109375" bestFit="1" customWidth="1"/>
    <col min="105" max="113" width="9.7109375" bestFit="1" customWidth="1"/>
    <col min="114" max="116" width="8.7109375" bestFit="1" customWidth="1"/>
    <col min="117" max="122" width="9.7109375" bestFit="1" customWidth="1"/>
    <col min="123" max="125" width="8.7109375" bestFit="1" customWidth="1"/>
    <col min="126" max="135" width="9.7109375" bestFit="1" customWidth="1"/>
    <col min="136" max="144" width="10.7109375" bestFit="1" customWidth="1"/>
    <col min="145" max="148" width="9.7109375" bestFit="1" customWidth="1"/>
    <col min="149" max="153" width="10.7109375" bestFit="1" customWidth="1"/>
    <col min="154" max="157" width="9.7109375" bestFit="1" customWidth="1"/>
    <col min="158" max="159" width="10.7109375" bestFit="1" customWidth="1"/>
    <col min="160" max="161" width="8.7109375" bestFit="1" customWidth="1"/>
    <col min="162" max="164" width="9.7109375" bestFit="1" customWidth="1"/>
    <col min="165" max="165" width="8.7109375" bestFit="1" customWidth="1"/>
    <col min="166" max="168" width="9.7109375" bestFit="1" customWidth="1"/>
    <col min="169" max="169" width="8.7109375" bestFit="1" customWidth="1"/>
    <col min="170" max="177" width="9.7109375" bestFit="1" customWidth="1"/>
    <col min="178" max="179" width="8.7109375" bestFit="1" customWidth="1"/>
    <col min="180" max="182" width="9.7109375" bestFit="1" customWidth="1"/>
    <col min="183" max="183" width="8.7109375" bestFit="1" customWidth="1"/>
    <col min="184" max="188" width="9.7109375" bestFit="1" customWidth="1"/>
    <col min="189" max="189" width="8.7109375" bestFit="1" customWidth="1"/>
    <col min="190" max="190" width="9.7109375" bestFit="1" customWidth="1"/>
    <col min="191" max="191" width="10.7109375" bestFit="1" customWidth="1"/>
    <col min="192" max="192" width="7.28515625" bestFit="1" customWidth="1"/>
    <col min="193" max="193" width="12.140625" bestFit="1" customWidth="1"/>
    <col min="194" max="194" width="11.28515625" bestFit="1" customWidth="1"/>
  </cols>
  <sheetData>
    <row r="9" spans="2:12">
      <c r="B9" s="48" t="s">
        <v>0</v>
      </c>
      <c r="C9" t="s">
        <v>1</v>
      </c>
    </row>
    <row r="10" spans="2:12">
      <c r="B10" s="48" t="s">
        <v>2</v>
      </c>
      <c r="C10" t="s">
        <v>3</v>
      </c>
    </row>
    <row r="11" spans="2:12">
      <c r="B11" s="48" t="s">
        <v>4</v>
      </c>
      <c r="C11" t="s">
        <v>1</v>
      </c>
    </row>
    <row r="13" spans="2:12">
      <c r="B13" s="48" t="s">
        <v>112</v>
      </c>
      <c r="E13"/>
      <c r="F13" s="48" t="s">
        <v>5</v>
      </c>
      <c r="G13" s="48" t="s">
        <v>6</v>
      </c>
      <c r="H13" s="48" t="s">
        <v>7</v>
      </c>
    </row>
    <row r="14" spans="2:12">
      <c r="E14"/>
      <c r="F14" t="s">
        <v>10</v>
      </c>
      <c r="G14" t="s">
        <v>120</v>
      </c>
      <c r="H14" t="s">
        <v>3842</v>
      </c>
      <c r="K14" t="s">
        <v>4454</v>
      </c>
      <c r="L14" t="s">
        <v>111</v>
      </c>
    </row>
    <row r="15" spans="2:12">
      <c r="E15"/>
      <c r="F15" t="s">
        <v>19</v>
      </c>
      <c r="H15" t="s">
        <v>4397</v>
      </c>
      <c r="I15" t="s">
        <v>13</v>
      </c>
      <c r="J15" t="s">
        <v>117</v>
      </c>
    </row>
    <row r="16" spans="2:12">
      <c r="B16" s="48" t="s">
        <v>20</v>
      </c>
      <c r="C16" s="48" t="s">
        <v>21</v>
      </c>
      <c r="D16" s="48" t="s">
        <v>113</v>
      </c>
      <c r="E16" s="48" t="s">
        <v>22</v>
      </c>
    </row>
    <row r="17" spans="2:12">
      <c r="B17" t="s">
        <v>82</v>
      </c>
      <c r="C17">
        <v>0</v>
      </c>
      <c r="D17">
        <v>50589962</v>
      </c>
      <c r="E17" t="s">
        <v>370</v>
      </c>
      <c r="J17">
        <v>30</v>
      </c>
      <c r="K17">
        <v>30</v>
      </c>
      <c r="L17">
        <v>30</v>
      </c>
    </row>
    <row r="18" spans="2:12">
      <c r="C18" t="s">
        <v>4489</v>
      </c>
      <c r="E18"/>
      <c r="J18">
        <v>30</v>
      </c>
      <c r="K18">
        <v>30</v>
      </c>
      <c r="L18">
        <v>30</v>
      </c>
    </row>
    <row r="19" spans="2:12">
      <c r="C19" t="s">
        <v>4265</v>
      </c>
      <c r="D19">
        <v>6049234</v>
      </c>
      <c r="E19" t="s">
        <v>1429</v>
      </c>
      <c r="I19">
        <v>260</v>
      </c>
      <c r="K19">
        <v>260</v>
      </c>
      <c r="L19">
        <v>260</v>
      </c>
    </row>
    <row r="20" spans="2:12">
      <c r="D20">
        <v>50483888</v>
      </c>
      <c r="E20" t="s">
        <v>1429</v>
      </c>
      <c r="H20" s="404">
        <v>148</v>
      </c>
      <c r="K20">
        <v>148</v>
      </c>
      <c r="L20">
        <v>148</v>
      </c>
    </row>
    <row r="21" spans="2:12">
      <c r="C21" t="s">
        <v>4468</v>
      </c>
      <c r="E21"/>
      <c r="H21">
        <v>148</v>
      </c>
      <c r="I21">
        <v>260</v>
      </c>
      <c r="K21">
        <v>408</v>
      </c>
      <c r="L21">
        <v>408</v>
      </c>
    </row>
    <row r="22" spans="2:12">
      <c r="C22" t="s">
        <v>30</v>
      </c>
      <c r="D22">
        <v>6049233</v>
      </c>
      <c r="E22" t="s">
        <v>1441</v>
      </c>
      <c r="I22">
        <v>148</v>
      </c>
      <c r="K22">
        <v>148</v>
      </c>
      <c r="L22">
        <v>148</v>
      </c>
    </row>
    <row r="23" spans="2:12">
      <c r="D23">
        <v>50483896</v>
      </c>
      <c r="E23" t="s">
        <v>1441</v>
      </c>
      <c r="H23" s="404">
        <v>146</v>
      </c>
      <c r="K23">
        <v>146</v>
      </c>
      <c r="L23">
        <v>146</v>
      </c>
    </row>
    <row r="24" spans="2:12">
      <c r="C24" t="s">
        <v>4455</v>
      </c>
      <c r="E24"/>
      <c r="H24">
        <v>146</v>
      </c>
      <c r="I24">
        <v>148</v>
      </c>
      <c r="K24">
        <v>294</v>
      </c>
      <c r="L24">
        <v>294</v>
      </c>
    </row>
    <row r="25" spans="2:12">
      <c r="C25" t="s">
        <v>4268</v>
      </c>
      <c r="D25">
        <v>6049236</v>
      </c>
      <c r="E25" t="s">
        <v>1437</v>
      </c>
      <c r="I25">
        <v>143</v>
      </c>
      <c r="K25">
        <v>143</v>
      </c>
      <c r="L25">
        <v>143</v>
      </c>
    </row>
    <row r="26" spans="2:12">
      <c r="D26">
        <v>50483858</v>
      </c>
      <c r="E26" t="s">
        <v>1437</v>
      </c>
      <c r="F26" s="404">
        <v>143</v>
      </c>
      <c r="G26">
        <v>143</v>
      </c>
      <c r="L26">
        <v>143</v>
      </c>
    </row>
    <row r="27" spans="2:12">
      <c r="C27" t="s">
        <v>4469</v>
      </c>
      <c r="E27"/>
      <c r="F27">
        <v>143</v>
      </c>
      <c r="G27">
        <v>143</v>
      </c>
      <c r="I27">
        <v>143</v>
      </c>
      <c r="K27">
        <v>143</v>
      </c>
      <c r="L27">
        <v>286</v>
      </c>
    </row>
    <row r="28" spans="2:12">
      <c r="C28" t="s">
        <v>4267</v>
      </c>
      <c r="D28">
        <v>6049232</v>
      </c>
      <c r="E28" t="s">
        <v>619</v>
      </c>
      <c r="I28">
        <v>145</v>
      </c>
      <c r="K28">
        <v>145</v>
      </c>
      <c r="L28">
        <v>145</v>
      </c>
    </row>
    <row r="29" spans="2:12">
      <c r="C29" t="s">
        <v>4470</v>
      </c>
      <c r="E29"/>
      <c r="I29">
        <v>145</v>
      </c>
      <c r="K29">
        <v>145</v>
      </c>
      <c r="L29">
        <v>145</v>
      </c>
    </row>
    <row r="30" spans="2:12">
      <c r="C30" t="s">
        <v>4223</v>
      </c>
      <c r="D30">
        <v>6049235</v>
      </c>
      <c r="E30" t="s">
        <v>616</v>
      </c>
      <c r="I30">
        <v>260</v>
      </c>
      <c r="K30">
        <v>260</v>
      </c>
      <c r="L30">
        <v>260</v>
      </c>
    </row>
    <row r="31" spans="2:12">
      <c r="D31">
        <v>50483907</v>
      </c>
      <c r="E31" t="s">
        <v>616</v>
      </c>
      <c r="H31">
        <v>143</v>
      </c>
      <c r="K31">
        <v>143</v>
      </c>
      <c r="L31">
        <v>143</v>
      </c>
    </row>
    <row r="32" spans="2:12">
      <c r="C32" t="s">
        <v>4471</v>
      </c>
      <c r="E32"/>
      <c r="H32">
        <v>143</v>
      </c>
      <c r="I32">
        <v>260</v>
      </c>
      <c r="K32">
        <v>403</v>
      </c>
      <c r="L32">
        <v>403</v>
      </c>
    </row>
    <row r="33" spans="2:12">
      <c r="B33" t="s">
        <v>4472</v>
      </c>
      <c r="E33"/>
      <c r="F33">
        <v>143</v>
      </c>
      <c r="G33">
        <v>143</v>
      </c>
      <c r="H33">
        <v>437</v>
      </c>
      <c r="I33">
        <v>956</v>
      </c>
      <c r="J33">
        <v>30</v>
      </c>
      <c r="K33">
        <v>1423</v>
      </c>
      <c r="L33">
        <v>1566</v>
      </c>
    </row>
    <row r="34" spans="2:12">
      <c r="B34" t="s">
        <v>111</v>
      </c>
      <c r="E34"/>
      <c r="F34">
        <v>143</v>
      </c>
      <c r="G34">
        <v>143</v>
      </c>
      <c r="H34">
        <v>437</v>
      </c>
      <c r="I34">
        <v>956</v>
      </c>
      <c r="J34">
        <v>30</v>
      </c>
      <c r="K34">
        <v>1423</v>
      </c>
      <c r="L34">
        <v>1566</v>
      </c>
    </row>
    <row r="35" spans="2:12">
      <c r="E35"/>
    </row>
    <row r="36" spans="2:12">
      <c r="E36"/>
    </row>
    <row r="37" spans="2:12">
      <c r="E37"/>
    </row>
    <row r="38" spans="2:12">
      <c r="E38"/>
    </row>
    <row r="39" spans="2:12">
      <c r="E39"/>
    </row>
    <row r="40" spans="2:12">
      <c r="E40"/>
    </row>
    <row r="41" spans="2:12">
      <c r="E41"/>
    </row>
    <row r="42" spans="2:12">
      <c r="E42"/>
    </row>
    <row r="43" spans="2:12">
      <c r="E43"/>
    </row>
    <row r="44" spans="2:12">
      <c r="E44"/>
    </row>
    <row r="45" spans="2:12">
      <c r="E45"/>
    </row>
    <row r="46" spans="2:12">
      <c r="E46"/>
    </row>
    <row r="47" spans="2:12">
      <c r="E47"/>
    </row>
    <row r="48" spans="2:12">
      <c r="E48"/>
    </row>
    <row r="49" spans="5:5">
      <c r="E49"/>
    </row>
    <row r="50" spans="5:5">
      <c r="E50"/>
    </row>
    <row r="51" spans="5:5">
      <c r="E51"/>
    </row>
    <row r="52" spans="5:5">
      <c r="E52"/>
    </row>
    <row r="53" spans="5:5">
      <c r="E53"/>
    </row>
    <row r="54" spans="5:5">
      <c r="E54"/>
    </row>
    <row r="55" spans="5:5">
      <c r="E55"/>
    </row>
    <row r="56" spans="5:5">
      <c r="E56"/>
    </row>
    <row r="57" spans="5:5">
      <c r="E57"/>
    </row>
    <row r="58" spans="5:5">
      <c r="E58"/>
    </row>
    <row r="59" spans="5:5">
      <c r="E59"/>
    </row>
    <row r="60" spans="5:5">
      <c r="E60"/>
    </row>
    <row r="61" spans="5:5">
      <c r="E61"/>
    </row>
    <row r="62" spans="5:5">
      <c r="E62"/>
    </row>
    <row r="63" spans="5:5">
      <c r="E63"/>
    </row>
    <row r="64" spans="5:5">
      <c r="E64"/>
    </row>
    <row r="65" spans="5:5">
      <c r="E65"/>
    </row>
    <row r="66" spans="5:5">
      <c r="E66"/>
    </row>
    <row r="67" spans="5:5">
      <c r="E67"/>
    </row>
    <row r="68" spans="5:5">
      <c r="E68"/>
    </row>
    <row r="69" spans="5:5">
      <c r="E69"/>
    </row>
    <row r="70" spans="5:5">
      <c r="E70"/>
    </row>
    <row r="71" spans="5:5">
      <c r="E71"/>
    </row>
    <row r="72" spans="5:5">
      <c r="E72"/>
    </row>
    <row r="73" spans="5:5">
      <c r="E73"/>
    </row>
    <row r="74" spans="5:5">
      <c r="E74"/>
    </row>
    <row r="75" spans="5:5">
      <c r="E75"/>
    </row>
    <row r="76" spans="5:5">
      <c r="E76"/>
    </row>
    <row r="77" spans="5:5">
      <c r="E77"/>
    </row>
    <row r="78" spans="5:5">
      <c r="E78"/>
    </row>
    <row r="79" spans="5:5">
      <c r="E79"/>
    </row>
    <row r="80" spans="5:5">
      <c r="E80"/>
    </row>
    <row r="81" spans="5:5">
      <c r="E81"/>
    </row>
    <row r="82" spans="5:5">
      <c r="E82"/>
    </row>
    <row r="83" spans="5:5">
      <c r="E83"/>
    </row>
    <row r="84" spans="5:5">
      <c r="E84"/>
    </row>
    <row r="85" spans="5:5">
      <c r="E85"/>
    </row>
    <row r="86" spans="5:5">
      <c r="E86"/>
    </row>
    <row r="87" spans="5:5">
      <c r="E87"/>
    </row>
    <row r="88" spans="5:5">
      <c r="E88"/>
    </row>
    <row r="89" spans="5:5">
      <c r="E89"/>
    </row>
    <row r="90" spans="5:5">
      <c r="E90"/>
    </row>
    <row r="91" spans="5:5">
      <c r="E91"/>
    </row>
    <row r="92" spans="5:5">
      <c r="E92"/>
    </row>
    <row r="93" spans="5:5">
      <c r="E93"/>
    </row>
    <row r="94" spans="5:5">
      <c r="E94"/>
    </row>
    <row r="95" spans="5:5">
      <c r="E95"/>
    </row>
    <row r="96" spans="5:5">
      <c r="E96"/>
    </row>
    <row r="97" spans="5:5">
      <c r="E97"/>
    </row>
    <row r="98" spans="5:5">
      <c r="E98"/>
    </row>
    <row r="99" spans="5:5">
      <c r="E99"/>
    </row>
    <row r="100" spans="5:5">
      <c r="E100"/>
    </row>
    <row r="101" spans="5:5">
      <c r="E101"/>
    </row>
    <row r="102" spans="5:5">
      <c r="E102"/>
    </row>
    <row r="103" spans="5:5">
      <c r="E103"/>
    </row>
    <row r="104" spans="5:5">
      <c r="E104"/>
    </row>
    <row r="105" spans="5:5">
      <c r="E105"/>
    </row>
    <row r="106" spans="5:5">
      <c r="E106"/>
    </row>
    <row r="107" spans="5:5">
      <c r="E107"/>
    </row>
    <row r="108" spans="5:5">
      <c r="E108"/>
    </row>
    <row r="109" spans="5:5">
      <c r="E109"/>
    </row>
    <row r="110" spans="5:5">
      <c r="E110"/>
    </row>
    <row r="111" spans="5:5">
      <c r="E111"/>
    </row>
    <row r="112" spans="5:5">
      <c r="E112"/>
    </row>
    <row r="113" spans="5:5">
      <c r="E113"/>
    </row>
    <row r="114" spans="5:5">
      <c r="E114"/>
    </row>
    <row r="115" spans="5:5">
      <c r="E115"/>
    </row>
    <row r="116" spans="5:5">
      <c r="E116"/>
    </row>
    <row r="117" spans="5:5">
      <c r="E117"/>
    </row>
    <row r="118" spans="5:5">
      <c r="E118"/>
    </row>
    <row r="119" spans="5:5">
      <c r="E119"/>
    </row>
    <row r="120" spans="5:5">
      <c r="E120"/>
    </row>
    <row r="121" spans="5:5">
      <c r="E121"/>
    </row>
    <row r="122" spans="5:5">
      <c r="E122"/>
    </row>
    <row r="123" spans="5:5">
      <c r="E123"/>
    </row>
    <row r="124" spans="5:5">
      <c r="E124"/>
    </row>
    <row r="125" spans="5:5">
      <c r="E125"/>
    </row>
    <row r="126" spans="5:5">
      <c r="E126"/>
    </row>
    <row r="127" spans="5:5">
      <c r="E127"/>
    </row>
    <row r="128" spans="5:5">
      <c r="E128"/>
    </row>
    <row r="129" spans="5:5">
      <c r="E129"/>
    </row>
    <row r="130" spans="5:5">
      <c r="E130"/>
    </row>
    <row r="131" spans="5:5">
      <c r="E131"/>
    </row>
    <row r="132" spans="5:5">
      <c r="E132"/>
    </row>
    <row r="133" spans="5:5">
      <c r="E133"/>
    </row>
    <row r="134" spans="5:5">
      <c r="E134"/>
    </row>
    <row r="135" spans="5:5">
      <c r="E135"/>
    </row>
    <row r="136" spans="5:5">
      <c r="E136"/>
    </row>
    <row r="137" spans="5:5">
      <c r="E137"/>
    </row>
    <row r="138" spans="5:5">
      <c r="E138"/>
    </row>
    <row r="139" spans="5:5">
      <c r="E139"/>
    </row>
    <row r="140" spans="5:5">
      <c r="E140"/>
    </row>
    <row r="141" spans="5:5">
      <c r="E141"/>
    </row>
    <row r="142" spans="5:5">
      <c r="E142"/>
    </row>
    <row r="143" spans="5:5">
      <c r="E143"/>
    </row>
    <row r="144" spans="5:5">
      <c r="E144"/>
    </row>
    <row r="145" spans="5:5">
      <c r="E145"/>
    </row>
    <row r="146" spans="5:5">
      <c r="E146"/>
    </row>
    <row r="147" spans="5:5">
      <c r="E147"/>
    </row>
    <row r="148" spans="5:5">
      <c r="E148"/>
    </row>
    <row r="149" spans="5:5">
      <c r="E149"/>
    </row>
    <row r="150" spans="5:5">
      <c r="E150"/>
    </row>
    <row r="151" spans="5:5">
      <c r="E151"/>
    </row>
    <row r="152" spans="5:5">
      <c r="E152"/>
    </row>
    <row r="153" spans="5:5">
      <c r="E153"/>
    </row>
    <row r="154" spans="5:5">
      <c r="E154"/>
    </row>
    <row r="155" spans="5:5">
      <c r="E155"/>
    </row>
    <row r="156" spans="5:5">
      <c r="E156"/>
    </row>
    <row r="157" spans="5:5">
      <c r="E157"/>
    </row>
    <row r="158" spans="5:5">
      <c r="E158"/>
    </row>
    <row r="159" spans="5:5">
      <c r="E159"/>
    </row>
    <row r="160" spans="5:5">
      <c r="E160"/>
    </row>
    <row r="161" spans="5:5">
      <c r="E161"/>
    </row>
    <row r="162" spans="5:5">
      <c r="E162"/>
    </row>
    <row r="163" spans="5:5">
      <c r="E163"/>
    </row>
    <row r="164" spans="5:5">
      <c r="E164"/>
    </row>
    <row r="165" spans="5:5">
      <c r="E165"/>
    </row>
    <row r="166" spans="5:5">
      <c r="E166"/>
    </row>
    <row r="167" spans="5:5">
      <c r="E167"/>
    </row>
    <row r="168" spans="5:5">
      <c r="E168"/>
    </row>
    <row r="169" spans="5:5">
      <c r="E169"/>
    </row>
    <row r="170" spans="5:5">
      <c r="E170"/>
    </row>
    <row r="171" spans="5:5">
      <c r="E171"/>
    </row>
    <row r="172" spans="5:5">
      <c r="E172"/>
    </row>
    <row r="173" spans="5:5">
      <c r="E173"/>
    </row>
    <row r="174" spans="5:5">
      <c r="E174"/>
    </row>
    <row r="175" spans="5:5">
      <c r="E175"/>
    </row>
    <row r="176" spans="5:5">
      <c r="E176"/>
    </row>
    <row r="177" spans="5:5">
      <c r="E177"/>
    </row>
    <row r="178" spans="5:5">
      <c r="E178"/>
    </row>
    <row r="179" spans="5:5">
      <c r="E179"/>
    </row>
    <row r="180" spans="5:5">
      <c r="E180"/>
    </row>
    <row r="181" spans="5:5">
      <c r="E181"/>
    </row>
    <row r="182" spans="5:5">
      <c r="E182"/>
    </row>
    <row r="183" spans="5:5">
      <c r="E183"/>
    </row>
    <row r="184" spans="5:5">
      <c r="E184"/>
    </row>
    <row r="185" spans="5:5">
      <c r="E185"/>
    </row>
    <row r="186" spans="5:5">
      <c r="E186"/>
    </row>
    <row r="187" spans="5:5">
      <c r="E187"/>
    </row>
    <row r="188" spans="5:5">
      <c r="E188"/>
    </row>
  </sheetData>
  <pageMargins left="0.25" right="0.25" top="0.75" bottom="0.75" header="0.3" footer="0.3"/>
  <pageSetup paperSize="8" scale="27" orientation="landscape" r:id="rId2"/>
  <rowBreaks count="3" manualBreakCount="3">
    <brk id="65" min="1" max="26" man="1"/>
    <brk id="99" min="1" max="26" man="1"/>
    <brk id="129" min="1" max="26" man="1"/>
  </rowBreaks>
  <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AN2655"/>
  <sheetViews>
    <sheetView zoomScale="70" zoomScaleNormal="70" workbookViewId="0">
      <pane ySplit="9" topLeftCell="A288" activePane="bottomLeft" state="frozen"/>
      <selection activeCell="I2420" sqref="I2420"/>
      <selection pane="bottomLeft" activeCell="I311" sqref="I311"/>
    </sheetView>
  </sheetViews>
  <sheetFormatPr defaultColWidth="9.42578125" defaultRowHeight="15" customHeight="1"/>
  <cols>
    <col min="1" max="1" width="16.7109375" customWidth="1"/>
    <col min="2" max="2" width="15.42578125" customWidth="1"/>
    <col min="3" max="3" width="14.7109375" style="70" customWidth="1"/>
    <col min="4" max="4" width="15.42578125" style="163" customWidth="1"/>
    <col min="5" max="5" width="37.5703125" style="70" bestFit="1" customWidth="1"/>
    <col min="6" max="6" width="29.28515625" customWidth="1"/>
    <col min="7" max="7" width="12.5703125" customWidth="1"/>
    <col min="8" max="8" width="11.85546875" style="2" customWidth="1"/>
    <col min="9" max="9" width="9.7109375" customWidth="1"/>
    <col min="10" max="10" width="16.5703125" customWidth="1"/>
    <col min="11" max="11" width="15.5703125" customWidth="1"/>
    <col min="12" max="12" width="9.42578125" customWidth="1"/>
    <col min="13" max="13" width="11.5703125" customWidth="1"/>
    <col min="14" max="14" width="6.28515625" customWidth="1"/>
    <col min="15" max="15" width="22.5703125" customWidth="1"/>
    <col min="16" max="16" width="6.42578125" customWidth="1"/>
    <col min="17" max="17" width="8" customWidth="1"/>
    <col min="18" max="18" width="15.5703125" customWidth="1"/>
    <col min="19" max="19" width="9.7109375" hidden="1" customWidth="1"/>
    <col min="20" max="20" width="9.42578125" hidden="1" customWidth="1"/>
    <col min="21" max="21" width="12.28515625" hidden="1" customWidth="1"/>
    <col min="22" max="22" width="5.7109375" hidden="1" customWidth="1"/>
    <col min="23" max="23" width="7" hidden="1" customWidth="1"/>
    <col min="24" max="24" width="5.7109375" hidden="1" customWidth="1"/>
    <col min="25" max="25" width="11.28515625" hidden="1" customWidth="1"/>
    <col min="26" max="26" width="11.42578125" hidden="1" customWidth="1"/>
    <col min="27" max="27" width="11" customWidth="1"/>
    <col min="28" max="28" width="12.140625" style="163" bestFit="1" customWidth="1"/>
    <col min="29" max="29" width="10.85546875" style="72" customWidth="1"/>
    <col min="30" max="30" width="12.5703125" customWidth="1"/>
    <col min="31" max="31" width="29.7109375" customWidth="1"/>
    <col min="32" max="32" width="10.140625" customWidth="1"/>
    <col min="33" max="33" width="14.85546875" style="116" customWidth="1"/>
    <col min="34" max="34" width="11.140625" customWidth="1"/>
    <col min="35" max="35" width="25.28515625" customWidth="1"/>
    <col min="36" max="36" width="70.85546875" bestFit="1" customWidth="1"/>
    <col min="37" max="37" width="22.5703125" customWidth="1"/>
    <col min="38" max="38" width="12.42578125" customWidth="1"/>
  </cols>
  <sheetData>
    <row r="1" spans="1:40">
      <c r="E1"/>
      <c r="Z1" t="s">
        <v>1129</v>
      </c>
      <c r="AC1" s="72" t="s">
        <v>1130</v>
      </c>
    </row>
    <row r="2" spans="1:40" ht="15" customHeight="1">
      <c r="E2"/>
      <c r="AL2">
        <f ca="1">TODAY()</f>
        <v>45967</v>
      </c>
    </row>
    <row r="3" spans="1:40" ht="15" customHeight="1">
      <c r="E3"/>
    </row>
    <row r="4" spans="1:40" ht="15" customHeight="1">
      <c r="E4"/>
    </row>
    <row r="5" spans="1:40" ht="15" customHeight="1">
      <c r="E5"/>
    </row>
    <row r="6" spans="1:40" ht="15" customHeight="1">
      <c r="E6"/>
    </row>
    <row r="7" spans="1:40" ht="15.75" thickBot="1">
      <c r="E7"/>
    </row>
    <row r="8" spans="1:40" ht="15.75" thickBot="1">
      <c r="A8" s="381" t="s">
        <v>1131</v>
      </c>
      <c r="B8" s="381"/>
      <c r="C8" s="381"/>
      <c r="D8" s="381"/>
      <c r="E8" s="381"/>
      <c r="F8" s="381"/>
      <c r="G8" s="381"/>
      <c r="H8" s="381"/>
      <c r="I8" s="381"/>
      <c r="J8" s="144" t="s">
        <v>1132</v>
      </c>
      <c r="K8" s="382" t="s">
        <v>1133</v>
      </c>
      <c r="L8" s="382"/>
      <c r="M8" s="382"/>
      <c r="N8" s="382"/>
      <c r="O8" s="382"/>
      <c r="P8" s="382"/>
      <c r="Q8" s="382"/>
      <c r="R8" s="382"/>
      <c r="S8" s="383" t="s">
        <v>1132</v>
      </c>
      <c r="T8" s="383"/>
      <c r="U8" s="383"/>
      <c r="V8" s="383"/>
      <c r="W8" s="383"/>
      <c r="X8" s="383"/>
      <c r="Y8" s="383"/>
      <c r="Z8" s="383"/>
      <c r="AA8" s="383"/>
      <c r="AB8" s="384" t="s">
        <v>1134</v>
      </c>
      <c r="AC8" s="384"/>
      <c r="AD8" s="384"/>
      <c r="AE8" s="384"/>
      <c r="AF8" s="384"/>
      <c r="AG8" s="384"/>
      <c r="AH8" s="384"/>
      <c r="AI8" s="384"/>
      <c r="AJ8" s="385" t="s">
        <v>1135</v>
      </c>
      <c r="AK8" s="385"/>
      <c r="AL8" s="385"/>
      <c r="AM8" s="385"/>
    </row>
    <row r="9" spans="1:40" s="115" customFormat="1" ht="147.75" thickBot="1">
      <c r="A9" s="145" t="s">
        <v>20</v>
      </c>
      <c r="B9" s="146" t="s">
        <v>0</v>
      </c>
      <c r="C9" s="147" t="s">
        <v>113</v>
      </c>
      <c r="D9" s="164" t="s">
        <v>1136</v>
      </c>
      <c r="E9" s="147" t="s">
        <v>22</v>
      </c>
      <c r="F9" s="146" t="s">
        <v>1137</v>
      </c>
      <c r="G9" s="146" t="s">
        <v>1138</v>
      </c>
      <c r="H9" s="148" t="s">
        <v>1139</v>
      </c>
      <c r="I9" s="146" t="s">
        <v>1140</v>
      </c>
      <c r="J9" s="149" t="s">
        <v>1141</v>
      </c>
      <c r="K9" s="249" t="s">
        <v>1142</v>
      </c>
      <c r="L9" s="134" t="s">
        <v>1143</v>
      </c>
      <c r="M9" s="134" t="s">
        <v>1144</v>
      </c>
      <c r="N9" s="134" t="s">
        <v>1145</v>
      </c>
      <c r="O9" s="134" t="s">
        <v>21</v>
      </c>
      <c r="P9" s="134" t="s">
        <v>1146</v>
      </c>
      <c r="Q9" s="134" t="s">
        <v>1147</v>
      </c>
      <c r="R9" s="135" t="s">
        <v>1148</v>
      </c>
      <c r="S9" s="136" t="s">
        <v>1149</v>
      </c>
      <c r="T9" s="137" t="s">
        <v>1150</v>
      </c>
      <c r="U9" s="137" t="s">
        <v>1151</v>
      </c>
      <c r="V9" s="137" t="s">
        <v>1152</v>
      </c>
      <c r="W9" s="137" t="s">
        <v>1153</v>
      </c>
      <c r="X9" s="137" t="s">
        <v>1154</v>
      </c>
      <c r="Y9" s="137" t="s">
        <v>1155</v>
      </c>
      <c r="Z9" s="137" t="s">
        <v>1156</v>
      </c>
      <c r="AA9" s="138" t="s">
        <v>1157</v>
      </c>
      <c r="AB9" s="170" t="s">
        <v>1158</v>
      </c>
      <c r="AC9" s="139" t="s">
        <v>1159</v>
      </c>
      <c r="AD9" s="140" t="s">
        <v>1160</v>
      </c>
      <c r="AE9" s="140" t="s">
        <v>1161</v>
      </c>
      <c r="AF9" s="265" t="s">
        <v>702</v>
      </c>
      <c r="AG9" s="141" t="s">
        <v>1162</v>
      </c>
      <c r="AH9" s="140" t="s">
        <v>1163</v>
      </c>
      <c r="AI9" s="265" t="s">
        <v>1164</v>
      </c>
      <c r="AJ9" s="142" t="s">
        <v>1165</v>
      </c>
      <c r="AK9" s="142" t="s">
        <v>1166</v>
      </c>
      <c r="AL9" s="142" t="s">
        <v>1167</v>
      </c>
      <c r="AM9" s="143" t="s">
        <v>1168</v>
      </c>
      <c r="AN9" s="266" t="s">
        <v>1169</v>
      </c>
    </row>
    <row r="10" spans="1:40" hidden="1">
      <c r="A10" s="36" t="s">
        <v>83</v>
      </c>
      <c r="B10" s="36" t="s">
        <v>1170</v>
      </c>
      <c r="C10" s="222">
        <v>7000971923</v>
      </c>
      <c r="D10" s="165">
        <v>45833</v>
      </c>
      <c r="E10" s="117">
        <v>154805.12100000001</v>
      </c>
      <c r="F10" s="36" t="str">
        <f>IFERROR(VLOOKUP(Table1[[#This Row],[Part Number]],DATABASE_FG!$C$6:D9999,2,FALSE)," ")</f>
        <v>bucsa</v>
      </c>
      <c r="G10" s="117">
        <f>IFERROR(_xlfn.XLOOKUP(Table1[[#This Row],[Part Number]],Table3[Part number],Table3[Drawing
 Revision]),"")</f>
        <v>0</v>
      </c>
      <c r="H10" s="118" cm="1">
        <f t="array" ref="H10">IFERROR(INDEX(PDB!$C:$AT,MATCH(E10,PDB!$B:$B,0),MATCH(YEAR(K10),0+PDB!$C$1:$AT$1,0)),"")</f>
        <v>5.32</v>
      </c>
      <c r="I10" s="36">
        <v>5</v>
      </c>
      <c r="J10" s="36">
        <f>IFERROR(Table1[[#This Row],[Quantity]]*Table1[[#This Row],[Price/Unit
EUR]]," ")</f>
        <v>26.6</v>
      </c>
      <c r="K10" s="130">
        <v>45838</v>
      </c>
      <c r="L10" s="129">
        <f>WEEKNUM(Table1[[#This Row],[ETA
As requested
dd.mm.yyyy]])</f>
        <v>27</v>
      </c>
      <c r="M10" s="129">
        <f>YEAR(Table1[[#This Row],[ETA
As requested
dd.mm.yyyy]])</f>
        <v>2025</v>
      </c>
      <c r="N10" s="129">
        <f>IFERROR(INDEX(DATABASE_FG!$H$5:$H$367, MATCH(E10, DATABASE_FG!$C$5:$C$367, 0)), " ")</f>
        <v>0</v>
      </c>
      <c r="O10" s="129" t="str">
        <f>IF(E10&lt;&gt;"", _xlfn.XLOOKUP(E10, DATABASE_FG!C:C, DATABASE_FG!F:F), " ")</f>
        <v>Strunjire moale</v>
      </c>
      <c r="P10" s="129">
        <f>IFERROR(INDEX(DATABASE_FG!$G$5:$G$367, MATCH(E10, DATABASE_FG!$C$5:$C$367, 0)), "Not Found")</f>
        <v>0</v>
      </c>
      <c r="Q10" s="129"/>
      <c r="R10" s="131" t="s">
        <v>678</v>
      </c>
      <c r="S10" s="132">
        <f>IFERROR(INDEX(DATABASE_FG!$L$5:$L$367, MATCH(E10, DATABASE_FG!$C$5:$C$367, 0)), " ")</f>
        <v>0</v>
      </c>
      <c r="T10" s="129" t="s">
        <v>679</v>
      </c>
      <c r="U10" s="129"/>
      <c r="V10" s="129"/>
      <c r="W10" s="129"/>
      <c r="X10" s="129"/>
      <c r="Y10" s="129"/>
      <c r="Z10" s="129"/>
      <c r="AA10" s="131" t="s">
        <v>121</v>
      </c>
      <c r="AB10" s="171">
        <v>45835</v>
      </c>
      <c r="AC10" s="151">
        <v>26000</v>
      </c>
      <c r="AD10" s="152">
        <f t="shared" ref="AD10:AD41" si="0">IF(NOT(ISBLANK(AC10)), C10, "")</f>
        <v>7000971923</v>
      </c>
      <c r="AE10" s="152">
        <f t="shared" ref="AE10:AE41" si="1">IF(NOT(ISBLANK(AC10)), E10, "")</f>
        <v>154805.12100000001</v>
      </c>
      <c r="AF10" s="36">
        <v>5</v>
      </c>
      <c r="AG10" s="153">
        <f t="shared" ref="AG10:AG41" si="2">AF10*H10</f>
        <v>26.6</v>
      </c>
      <c r="AH10" s="152"/>
      <c r="AI10" s="36"/>
      <c r="AJ10" s="150" t="s">
        <v>3368</v>
      </c>
      <c r="AK10" s="129" t="str">
        <f t="shared" ref="AK10:AK41" ca="1" si="3">IF(AB10="", IF(K10 &lt; TODAY(), "Late", ""), IF(AB10 &lt;= K10 + 2, "On Time", "Late"))</f>
        <v>On Time</v>
      </c>
      <c r="AL10" s="268" t="str">
        <f t="shared" ref="AL10:AL73" si="4">TEXT(K10,"mmmm")</f>
        <v>June</v>
      </c>
      <c r="AM10" s="133">
        <f>YEAR(Table1[[#This Row],[ETA
As requested
dd.mm.yyyy]])</f>
        <v>2025</v>
      </c>
    </row>
    <row r="11" spans="1:40" hidden="1">
      <c r="A11" s="36" t="s">
        <v>83</v>
      </c>
      <c r="B11" s="36" t="s">
        <v>1170</v>
      </c>
      <c r="C11" s="222">
        <v>7000971923</v>
      </c>
      <c r="D11" s="165">
        <v>45833</v>
      </c>
      <c r="E11" s="117">
        <v>154805.12100000001</v>
      </c>
      <c r="F11" s="36" t="str">
        <f>IFERROR(VLOOKUP(Table1[[#This Row],[Part Number]],DATABASE_FG!$C$6:D10000,2,FALSE)," ")</f>
        <v>bucsa</v>
      </c>
      <c r="G11" s="117">
        <f>IFERROR(_xlfn.XLOOKUP(Table1[[#This Row],[Part Number]],Table3[Part number],Table3[Drawing
 Revision]),"")</f>
        <v>0</v>
      </c>
      <c r="H11" s="118" cm="1">
        <f t="array" ref="H11">IFERROR(INDEX(PDB!$C:$AT,MATCH(E11,PDB!$B:$B,0),MATCH(YEAR(K11),0+PDB!$C$1:$AT$1,0)),"")</f>
        <v>5.32</v>
      </c>
      <c r="I11" s="36">
        <v>500</v>
      </c>
      <c r="J11" s="36">
        <f>IFERROR(Table1[[#This Row],[Quantity]]*Table1[[#This Row],[Price/Unit
EUR]]," ")</f>
        <v>2660</v>
      </c>
      <c r="K11" s="130">
        <v>45838</v>
      </c>
      <c r="L11" s="129">
        <f>WEEKNUM(Table1[[#This Row],[ETA
As requested
dd.mm.yyyy]])</f>
        <v>27</v>
      </c>
      <c r="M11" s="129">
        <f>YEAR(Table1[[#This Row],[ETA
As requested
dd.mm.yyyy]])</f>
        <v>2025</v>
      </c>
      <c r="N11" s="129">
        <f>IFERROR(INDEX(DATABASE_FG!$H$5:$H$367, MATCH(E11, DATABASE_FG!$C$5:$C$367, 0)), " ")</f>
        <v>0</v>
      </c>
      <c r="O11" s="129" t="str">
        <f>IF(E11&lt;&gt;"", _xlfn.XLOOKUP(E11, DATABASE_FG!C:C, DATABASE_FG!F:F), " ")</f>
        <v>Strunjire moale</v>
      </c>
      <c r="P11" s="129">
        <f>IFERROR(INDEX(DATABASE_FG!$G$5:$G$367, MATCH(E11, DATABASE_FG!$C$5:$C$367, 0)), "Not Found")</f>
        <v>0</v>
      </c>
      <c r="Q11" s="129"/>
      <c r="R11" s="131" t="s">
        <v>678</v>
      </c>
      <c r="S11" s="132">
        <f>IFERROR(INDEX(DATABASE_FG!$L$5:$L$367, MATCH(E11, DATABASE_FG!$C$5:$C$367, 0)), " ")</f>
        <v>0</v>
      </c>
      <c r="T11" s="129" t="s">
        <v>679</v>
      </c>
      <c r="U11" s="129"/>
      <c r="V11" s="129"/>
      <c r="W11" s="129"/>
      <c r="X11" s="129"/>
      <c r="Y11" s="129"/>
      <c r="Z11" s="129"/>
      <c r="AA11" s="131" t="s">
        <v>121</v>
      </c>
      <c r="AB11" s="172">
        <v>45835</v>
      </c>
      <c r="AC11" s="161">
        <v>260002</v>
      </c>
      <c r="AD11" s="129">
        <f t="shared" si="0"/>
        <v>7000971923</v>
      </c>
      <c r="AE11" s="129">
        <f t="shared" si="1"/>
        <v>154805.12100000001</v>
      </c>
      <c r="AF11" s="36">
        <v>500</v>
      </c>
      <c r="AG11" s="162">
        <f t="shared" si="2"/>
        <v>2660</v>
      </c>
      <c r="AH11" s="129"/>
      <c r="AI11" s="36"/>
      <c r="AJ11" s="150" t="s">
        <v>3369</v>
      </c>
      <c r="AK11" s="129" t="str">
        <f t="shared" ca="1" si="3"/>
        <v>On Time</v>
      </c>
      <c r="AL11" s="268" t="str">
        <f t="shared" si="4"/>
        <v>June</v>
      </c>
      <c r="AM11" s="133">
        <f>YEAR(Table1[[#This Row],[ETA
As requested
dd.mm.yyyy]])</f>
        <v>2025</v>
      </c>
    </row>
    <row r="12" spans="1:40" hidden="1">
      <c r="A12" s="36" t="s">
        <v>132</v>
      </c>
      <c r="B12" s="36" t="s">
        <v>1170</v>
      </c>
      <c r="C12" s="117">
        <v>5500000781</v>
      </c>
      <c r="D12" s="165">
        <v>45320</v>
      </c>
      <c r="E12" s="117">
        <v>557809</v>
      </c>
      <c r="F12" s="36" t="str">
        <f>IFERROR(VLOOKUP(Table1[[#This Row],[Part Number]],DATABASE_FG!$C$6:D10001,2,FALSE)," ")</f>
        <v>ANLAUFSCHEIBE</v>
      </c>
      <c r="G12" s="117" t="str">
        <f>IFERROR(_xlfn.XLOOKUP(Table1[[#This Row],[Part Number]],Table3[Part number],Table3[Drawing
 Revision]),"")</f>
        <v>e</v>
      </c>
      <c r="H12" s="118" cm="1">
        <f t="array" ref="H12">IFERROR(INDEX(PDB!$C:$AT,MATCH(E12,PDB!$B:$B,0),MATCH(YEAR(K12),0+PDB!$C$1:$AT$1,0)),"")</f>
        <v>10.79</v>
      </c>
      <c r="I12" s="36">
        <v>100</v>
      </c>
      <c r="J12" s="36">
        <f>IFERROR(Table1[[#This Row],[Quantity]]*Table1[[#This Row],[Price/Unit
EUR]]," ")</f>
        <v>1079</v>
      </c>
      <c r="K12" s="130">
        <v>45392</v>
      </c>
      <c r="L12" s="129">
        <f>WEEKNUM(Table1[[#This Row],[ETA
As requested
dd.mm.yyyy]])</f>
        <v>15</v>
      </c>
      <c r="M12" s="129">
        <f>YEAR(Table1[[#This Row],[ETA
As requested
dd.mm.yyyy]])</f>
        <v>2024</v>
      </c>
      <c r="N12" s="129">
        <f>IFERROR(INDEX(DATABASE_FG!$H$5:$H$367, MATCH(E12, DATABASE_FG!$C$5:$C$367, 0)), " ")</f>
        <v>0</v>
      </c>
      <c r="O12" s="129">
        <f>IF(E12&lt;&gt;"", _xlfn.XLOOKUP(E12, DATABASE_FG!C:C, DATABASE_FG!F:F), " ")</f>
        <v>0</v>
      </c>
      <c r="P12" s="129">
        <f>IFERROR(INDEX(DATABASE_FG!$G$5:$G$367, MATCH(E12, DATABASE_FG!$C$5:$C$367, 0)), "Not Found")</f>
        <v>200</v>
      </c>
      <c r="Q12" s="129"/>
      <c r="R12" s="131" t="s">
        <v>678</v>
      </c>
      <c r="S12" s="132">
        <f>IFERROR(INDEX(DATABASE_FG!$L$5:$L$367, MATCH(E12, DATABASE_FG!$C$5:$C$367, 0)), " ")</f>
        <v>56</v>
      </c>
      <c r="T12" s="129" t="s">
        <v>677</v>
      </c>
      <c r="U12" s="129"/>
      <c r="V12" s="129"/>
      <c r="W12" s="129"/>
      <c r="X12" s="129"/>
      <c r="Y12" s="129"/>
      <c r="Z12" s="129" t="s">
        <v>1304</v>
      </c>
      <c r="AA12" s="131" t="s">
        <v>121</v>
      </c>
      <c r="AB12" s="172">
        <v>45404</v>
      </c>
      <c r="AC12" s="161">
        <v>2024387</v>
      </c>
      <c r="AD12" s="129">
        <f t="shared" si="0"/>
        <v>5500000781</v>
      </c>
      <c r="AE12" s="129">
        <f t="shared" si="1"/>
        <v>557809</v>
      </c>
      <c r="AF12" s="36">
        <v>100</v>
      </c>
      <c r="AG12" s="162">
        <f t="shared" si="2"/>
        <v>1079</v>
      </c>
      <c r="AH12" s="129"/>
      <c r="AI12" s="36"/>
      <c r="AJ12" s="150" t="s">
        <v>1305</v>
      </c>
      <c r="AK12" s="129" t="str">
        <f t="shared" ca="1" si="3"/>
        <v>Late</v>
      </c>
      <c r="AL12" s="268" t="str">
        <f t="shared" si="4"/>
        <v>April</v>
      </c>
      <c r="AM12" s="133">
        <f>YEAR(Table1[[#This Row],[ETA
As requested
dd.mm.yyyy]])</f>
        <v>2024</v>
      </c>
    </row>
    <row r="13" spans="1:40" hidden="1">
      <c r="A13" s="36" t="s">
        <v>132</v>
      </c>
      <c r="B13" s="36" t="s">
        <v>1170</v>
      </c>
      <c r="C13" s="117">
        <v>5500000781</v>
      </c>
      <c r="D13" s="165">
        <v>45320</v>
      </c>
      <c r="E13" s="117">
        <v>557809</v>
      </c>
      <c r="F13" s="36" t="str">
        <f>IFERROR(VLOOKUP(Table1[[#This Row],[Part Number]],DATABASE_FG!$C$6:D10002,2,FALSE)," ")</f>
        <v>ANLAUFSCHEIBE</v>
      </c>
      <c r="G13" s="117" t="str">
        <f>IFERROR(_xlfn.XLOOKUP(Table1[[#This Row],[Part Number]],Table3[Part number],Table3[Drawing
 Revision]),"")</f>
        <v>e</v>
      </c>
      <c r="H13" s="118" cm="1">
        <f t="array" ref="H13">IFERROR(INDEX(PDB!$C:$AT,MATCH(E13,PDB!$B:$B,0),MATCH(YEAR(K13),0+PDB!$C$1:$AT$1,0)),"")</f>
        <v>10.79</v>
      </c>
      <c r="I13" s="36">
        <v>100</v>
      </c>
      <c r="J13" s="36">
        <f>IFERROR(Table1[[#This Row],[Quantity]]*Table1[[#This Row],[Price/Unit
EUR]]," ")</f>
        <v>1079</v>
      </c>
      <c r="K13" s="121">
        <v>45406</v>
      </c>
      <c r="L13" s="36">
        <f>WEEKNUM(Table1[[#This Row],[ETA
As requested
dd.mm.yyyy]])</f>
        <v>17</v>
      </c>
      <c r="M13" s="36">
        <f>YEAR(Table1[[#This Row],[ETA
As requested
dd.mm.yyyy]])</f>
        <v>2024</v>
      </c>
      <c r="N13" s="36">
        <f>IFERROR(INDEX(DATABASE_FG!$H$5:$H$367, MATCH(E13, DATABASE_FG!$C$5:$C$367, 0)), " ")</f>
        <v>0</v>
      </c>
      <c r="O13" s="129">
        <f>IF(E13&lt;&gt;"", _xlfn.XLOOKUP(E13, DATABASE_FG!C:C, DATABASE_FG!F:F), " ")</f>
        <v>0</v>
      </c>
      <c r="P13" s="129">
        <f>IFERROR(INDEX(DATABASE_FG!$G$5:$G$367, MATCH(E13, DATABASE_FG!$C$5:$C$367, 0)), "Not Found")</f>
        <v>200</v>
      </c>
      <c r="Q13" s="36"/>
      <c r="R13" s="125" t="s">
        <v>678</v>
      </c>
      <c r="S13" s="123">
        <f>IFERROR(INDEX(DATABASE_FG!$L$5:$L$367, MATCH(E13, DATABASE_FG!$C$5:$C$367, 0)), " ")</f>
        <v>56</v>
      </c>
      <c r="T13" s="36" t="s">
        <v>677</v>
      </c>
      <c r="U13" s="36"/>
      <c r="V13" s="36"/>
      <c r="W13" s="129"/>
      <c r="X13" s="36"/>
      <c r="Y13" s="36"/>
      <c r="Z13" s="36" t="s">
        <v>1304</v>
      </c>
      <c r="AA13" s="131" t="s">
        <v>121</v>
      </c>
      <c r="AB13" s="173">
        <v>45404</v>
      </c>
      <c r="AC13" s="119">
        <v>2024387</v>
      </c>
      <c r="AD13" s="36">
        <f t="shared" si="0"/>
        <v>5500000781</v>
      </c>
      <c r="AE13" s="36">
        <f t="shared" si="1"/>
        <v>557809</v>
      </c>
      <c r="AF13" s="36">
        <v>100</v>
      </c>
      <c r="AG13" s="120">
        <f t="shared" si="2"/>
        <v>1079</v>
      </c>
      <c r="AH13" s="36"/>
      <c r="AI13" s="36"/>
      <c r="AJ13" s="122" t="s">
        <v>1305</v>
      </c>
      <c r="AK13" s="129" t="str">
        <f t="shared" ca="1" si="3"/>
        <v>On Time</v>
      </c>
      <c r="AL13" s="268" t="str">
        <f t="shared" si="4"/>
        <v>April</v>
      </c>
      <c r="AM13" s="133">
        <f>YEAR(Table1[[#This Row],[ETA
As requested
dd.mm.yyyy]])</f>
        <v>2024</v>
      </c>
    </row>
    <row r="14" spans="1:40" hidden="1">
      <c r="A14" s="36" t="s">
        <v>132</v>
      </c>
      <c r="B14" s="36" t="s">
        <v>1170</v>
      </c>
      <c r="C14" s="117">
        <v>5500000781</v>
      </c>
      <c r="D14" s="165">
        <v>45320</v>
      </c>
      <c r="E14" s="117">
        <v>557809</v>
      </c>
      <c r="F14" s="36" t="str">
        <f>IFERROR(VLOOKUP(Table1[[#This Row],[Part Number]],DATABASE_FG!$C$6:D10003,2,FALSE)," ")</f>
        <v>ANLAUFSCHEIBE</v>
      </c>
      <c r="G14" s="117" t="str">
        <f>IFERROR(_xlfn.XLOOKUP(Table1[[#This Row],[Part Number]],Table3[Part number],Table3[Drawing
 Revision]),"")</f>
        <v>e</v>
      </c>
      <c r="H14" s="118" cm="1">
        <f t="array" ref="H14">IFERROR(INDEX(PDB!$C:$AT,MATCH(E14,PDB!$B:$B,0),MATCH(YEAR(K14),0+PDB!$C$1:$AT$1,0)),"")</f>
        <v>10.79</v>
      </c>
      <c r="I14" s="36">
        <v>100</v>
      </c>
      <c r="J14" s="36">
        <f>IFERROR(Table1[[#This Row],[Quantity]]*Table1[[#This Row],[Price/Unit
EUR]]," ")</f>
        <v>1079</v>
      </c>
      <c r="K14" s="121">
        <v>45427</v>
      </c>
      <c r="L14" s="36">
        <f>WEEKNUM(Table1[[#This Row],[ETA
As requested
dd.mm.yyyy]])</f>
        <v>20</v>
      </c>
      <c r="M14" s="36">
        <f>YEAR(Table1[[#This Row],[ETA
As requested
dd.mm.yyyy]])</f>
        <v>2024</v>
      </c>
      <c r="N14" s="36">
        <f>IFERROR(INDEX(DATABASE_FG!$H$5:$H$367, MATCH(E14, DATABASE_FG!$C$5:$C$367, 0)), " ")</f>
        <v>0</v>
      </c>
      <c r="O14" s="129">
        <f>IF(E14&lt;&gt;"", _xlfn.XLOOKUP(E14, DATABASE_FG!C:C, DATABASE_FG!F:F), " ")</f>
        <v>0</v>
      </c>
      <c r="P14" s="129">
        <f>IFERROR(INDEX(DATABASE_FG!$G$5:$G$367, MATCH(E14, DATABASE_FG!$C$5:$C$367, 0)), "Not Found")</f>
        <v>200</v>
      </c>
      <c r="Q14" s="36"/>
      <c r="R14" s="125" t="s">
        <v>678</v>
      </c>
      <c r="S14" s="123">
        <f>IFERROR(INDEX(DATABASE_FG!$L$5:$L$367, MATCH(E14, DATABASE_FG!$C$5:$C$367, 0)), " ")</f>
        <v>56</v>
      </c>
      <c r="T14" s="36" t="s">
        <v>677</v>
      </c>
      <c r="U14" s="36"/>
      <c r="V14" s="36"/>
      <c r="W14" s="129"/>
      <c r="X14" s="36"/>
      <c r="Y14" s="36"/>
      <c r="Z14" s="36" t="s">
        <v>1304</v>
      </c>
      <c r="AA14" s="131" t="s">
        <v>121</v>
      </c>
      <c r="AB14" s="173">
        <v>45404</v>
      </c>
      <c r="AC14" s="119">
        <v>2024387</v>
      </c>
      <c r="AD14" s="36">
        <f t="shared" si="0"/>
        <v>5500000781</v>
      </c>
      <c r="AE14" s="36">
        <f t="shared" si="1"/>
        <v>557809</v>
      </c>
      <c r="AF14" s="36">
        <v>100</v>
      </c>
      <c r="AG14" s="120">
        <f t="shared" si="2"/>
        <v>1079</v>
      </c>
      <c r="AH14" s="36"/>
      <c r="AI14" s="36"/>
      <c r="AJ14" s="122" t="s">
        <v>1305</v>
      </c>
      <c r="AK14" s="129" t="str">
        <f t="shared" ca="1" si="3"/>
        <v>On Time</v>
      </c>
      <c r="AL14" s="268" t="str">
        <f t="shared" si="4"/>
        <v>May</v>
      </c>
      <c r="AM14" s="133">
        <f>YEAR(Table1[[#This Row],[ETA
As requested
dd.mm.yyyy]])</f>
        <v>2024</v>
      </c>
    </row>
    <row r="15" spans="1:40" hidden="1">
      <c r="A15" s="36" t="s">
        <v>132</v>
      </c>
      <c r="B15" s="36" t="s">
        <v>1170</v>
      </c>
      <c r="C15" s="117">
        <v>5500000781</v>
      </c>
      <c r="D15" s="165">
        <v>45320</v>
      </c>
      <c r="E15" s="117">
        <v>557809</v>
      </c>
      <c r="F15" s="36" t="str">
        <f>IFERROR(VLOOKUP(Table1[[#This Row],[Part Number]],DATABASE_FG!$C$6:D10004,2,FALSE)," ")</f>
        <v>ANLAUFSCHEIBE</v>
      </c>
      <c r="G15" s="117" t="str">
        <f>IFERROR(_xlfn.XLOOKUP(Table1[[#This Row],[Part Number]],Table3[Part number],Table3[Drawing
 Revision]),"")</f>
        <v>e</v>
      </c>
      <c r="H15" s="118" cm="1">
        <f t="array" ref="H15">IFERROR(INDEX(PDB!$C:$AT,MATCH(E15,PDB!$B:$B,0),MATCH(YEAR(K15),0+PDB!$C$1:$AT$1,0)),"")</f>
        <v>10.79</v>
      </c>
      <c r="I15" s="36">
        <v>100</v>
      </c>
      <c r="J15" s="36">
        <f>IFERROR(Table1[[#This Row],[Quantity]]*Table1[[#This Row],[Price/Unit
EUR]]," ")</f>
        <v>1079</v>
      </c>
      <c r="K15" s="121">
        <v>45434</v>
      </c>
      <c r="L15" s="36">
        <f>WEEKNUM(Table1[[#This Row],[ETA
As requested
dd.mm.yyyy]])</f>
        <v>21</v>
      </c>
      <c r="M15" s="36">
        <f>YEAR(Table1[[#This Row],[ETA
As requested
dd.mm.yyyy]])</f>
        <v>2024</v>
      </c>
      <c r="N15" s="36">
        <f>IFERROR(INDEX(DATABASE_FG!$H$5:$H$367, MATCH(E15, DATABASE_FG!$C$5:$C$367, 0)), " ")</f>
        <v>0</v>
      </c>
      <c r="O15" s="129">
        <f>IF(E15&lt;&gt;"", _xlfn.XLOOKUP(E15, DATABASE_FG!C:C, DATABASE_FG!F:F), " ")</f>
        <v>0</v>
      </c>
      <c r="P15" s="129">
        <f>IFERROR(INDEX(DATABASE_FG!$G$5:$G$367, MATCH(E15, DATABASE_FG!$C$5:$C$367, 0)), "Not Found")</f>
        <v>200</v>
      </c>
      <c r="Q15" s="36"/>
      <c r="R15" s="125" t="s">
        <v>678</v>
      </c>
      <c r="S15" s="123">
        <f>IFERROR(INDEX(DATABASE_FG!$L$5:$L$367, MATCH(E15, DATABASE_FG!$C$5:$C$367, 0)), " ")</f>
        <v>56</v>
      </c>
      <c r="T15" s="36" t="s">
        <v>677</v>
      </c>
      <c r="U15" s="36"/>
      <c r="V15" s="36"/>
      <c r="W15" s="129"/>
      <c r="X15" s="36"/>
      <c r="Y15" s="36"/>
      <c r="Z15" s="36" t="s">
        <v>1304</v>
      </c>
      <c r="AA15" s="131" t="s">
        <v>121</v>
      </c>
      <c r="AB15" s="173">
        <v>45404</v>
      </c>
      <c r="AC15" s="119">
        <v>2024387</v>
      </c>
      <c r="AD15" s="36">
        <f t="shared" si="0"/>
        <v>5500000781</v>
      </c>
      <c r="AE15" s="36">
        <f t="shared" si="1"/>
        <v>557809</v>
      </c>
      <c r="AF15" s="36">
        <v>100</v>
      </c>
      <c r="AG15" s="120">
        <f t="shared" si="2"/>
        <v>1079</v>
      </c>
      <c r="AH15" s="36"/>
      <c r="AI15" s="36"/>
      <c r="AJ15" s="122" t="s">
        <v>1305</v>
      </c>
      <c r="AK15" s="129" t="str">
        <f t="shared" ca="1" si="3"/>
        <v>On Time</v>
      </c>
      <c r="AL15" s="268" t="str">
        <f t="shared" si="4"/>
        <v>May</v>
      </c>
      <c r="AM15" s="133">
        <f>YEAR(Table1[[#This Row],[ETA
As requested
dd.mm.yyyy]])</f>
        <v>2024</v>
      </c>
    </row>
    <row r="16" spans="1:40" hidden="1">
      <c r="A16" s="36" t="s">
        <v>132</v>
      </c>
      <c r="B16" s="36" t="s">
        <v>1170</v>
      </c>
      <c r="C16" s="117">
        <v>5500000781</v>
      </c>
      <c r="D16" s="165">
        <v>45320</v>
      </c>
      <c r="E16" s="117">
        <v>557809</v>
      </c>
      <c r="F16" s="36" t="str">
        <f>IFERROR(VLOOKUP(Table1[[#This Row],[Part Number]],DATABASE_FG!$C$6:D10005,2,FALSE)," ")</f>
        <v>ANLAUFSCHEIBE</v>
      </c>
      <c r="G16" s="117" t="str">
        <f>IFERROR(_xlfn.XLOOKUP(Table1[[#This Row],[Part Number]],Table3[Part number],Table3[Drawing
 Revision]),"")</f>
        <v>e</v>
      </c>
      <c r="H16" s="118" cm="1">
        <f t="array" ref="H16">IFERROR(INDEX(PDB!$C:$AT,MATCH(E16,PDB!$B:$B,0),MATCH(YEAR(K16),0+PDB!$C$1:$AT$1,0)),"")</f>
        <v>10.79</v>
      </c>
      <c r="I16" s="36">
        <v>100</v>
      </c>
      <c r="J16" s="36">
        <f>IFERROR(Table1[[#This Row],[Quantity]]*Table1[[#This Row],[Price/Unit
EUR]]," ")</f>
        <v>1079</v>
      </c>
      <c r="K16" s="121">
        <v>45771</v>
      </c>
      <c r="L16" s="36">
        <f>WEEKNUM(Table1[[#This Row],[ETA
As requested
dd.mm.yyyy]])</f>
        <v>17</v>
      </c>
      <c r="M16" s="36">
        <f>YEAR(Table1[[#This Row],[ETA
As requested
dd.mm.yyyy]])</f>
        <v>2025</v>
      </c>
      <c r="N16" s="36">
        <f>IFERROR(INDEX(DATABASE_FG!$H$5:$H$367, MATCH(E16, DATABASE_FG!$C$5:$C$367, 0)), " ")</f>
        <v>0</v>
      </c>
      <c r="O16" s="129"/>
      <c r="P16" s="129">
        <f>IFERROR(INDEX(DATABASE_FG!$G$5:$G$367, MATCH(E16, DATABASE_FG!$C$5:$C$367, 0)), "Not Found")</f>
        <v>200</v>
      </c>
      <c r="Q16" s="36"/>
      <c r="R16" s="125"/>
      <c r="S16" s="123">
        <f>Table1[[#This Row],[Quantity]]/48</f>
        <v>2.0833333333333335</v>
      </c>
      <c r="T16" s="36" t="s">
        <v>677</v>
      </c>
      <c r="U16" s="36"/>
      <c r="V16" s="36"/>
      <c r="W16" s="129"/>
      <c r="X16" s="36"/>
      <c r="Y16" s="36"/>
      <c r="Z16" s="36"/>
      <c r="AA16" s="131" t="s">
        <v>121</v>
      </c>
      <c r="AB16" s="173">
        <v>45776</v>
      </c>
      <c r="AC16" s="119">
        <v>25687</v>
      </c>
      <c r="AD16" s="36">
        <f t="shared" si="0"/>
        <v>5500000781</v>
      </c>
      <c r="AE16" s="36">
        <f t="shared" si="1"/>
        <v>557809</v>
      </c>
      <c r="AF16" s="36">
        <v>100</v>
      </c>
      <c r="AG16" s="120">
        <f t="shared" si="2"/>
        <v>1079</v>
      </c>
      <c r="AH16" s="36"/>
      <c r="AI16" s="36"/>
      <c r="AJ16" s="122" t="s">
        <v>3126</v>
      </c>
      <c r="AK16" s="129" t="str">
        <f t="shared" ca="1" si="3"/>
        <v>Late</v>
      </c>
      <c r="AL16" s="268" t="str">
        <f t="shared" si="4"/>
        <v>April</v>
      </c>
      <c r="AM16" s="133">
        <f>YEAR(Table1[[#This Row],[ETA
As requested
dd.mm.yyyy]])</f>
        <v>2025</v>
      </c>
    </row>
    <row r="17" spans="1:40" hidden="1">
      <c r="A17" s="36" t="s">
        <v>636</v>
      </c>
      <c r="B17" s="36" t="s">
        <v>1170</v>
      </c>
      <c r="C17" s="117">
        <v>7018632237</v>
      </c>
      <c r="D17" s="165">
        <v>45125</v>
      </c>
      <c r="E17" s="117">
        <v>32166161</v>
      </c>
      <c r="F17" s="36" t="str">
        <f>IFERROR(VLOOKUP(Table1[[#This Row],[Part Number]],DATABASE_FG!$C$6:D10006,2,FALSE)," ")</f>
        <v>HV-ROTOR D8B PRE-MACHINED (6524466)</v>
      </c>
      <c r="G17" s="117" t="str">
        <f>IFERROR(_xlfn.XLOOKUP(Table1[[#This Row],[Part Number]],Table3[Part number],Table3[Drawing
 Revision]),"")</f>
        <v>A1</v>
      </c>
      <c r="H17" s="118" t="str" cm="1">
        <f t="array" ref="H17">IFERROR(INDEX(PDB!$C:$AT,MATCH(E17,PDB!$B:$B,0),MATCH(YEAR(K17),0+PDB!$C$1:$AT$1,0)),"")</f>
        <v/>
      </c>
      <c r="I17" s="36">
        <v>50</v>
      </c>
      <c r="J17" s="36" t="str">
        <f>IFERROR(Table1[[#This Row],[Quantity]]*Table1[[#This Row],[Price/Unit
EUR]]," ")</f>
        <v xml:space="preserve"> </v>
      </c>
      <c r="K17" s="121">
        <v>45261</v>
      </c>
      <c r="L17" s="36">
        <f>WEEKNUM(Table1[[#This Row],[ETA
As requested
dd.mm.yyyy]])</f>
        <v>48</v>
      </c>
      <c r="M17" s="36">
        <f>YEAR(Table1[[#This Row],[ETA
As requested
dd.mm.yyyy]])</f>
        <v>2023</v>
      </c>
      <c r="N17" s="36">
        <f>IFERROR(INDEX(DATABASE_FG!$H$5:$H$367, MATCH(E17, DATABASE_FG!$C$5:$C$367, 0)), " ")</f>
        <v>0</v>
      </c>
      <c r="O17" s="129" t="str">
        <f>IF(E17&lt;&gt;"", _xlfn.XLOOKUP(E17, DATABASE_FG!C:C, DATABASE_FG!F:F), " ")</f>
        <v>Rotor</v>
      </c>
      <c r="P17" s="129">
        <f>IFERROR(INDEX(DATABASE_FG!$G$5:$G$367, MATCH(E17, DATABASE_FG!$C$5:$C$367, 0)), "Not Found")</f>
        <v>50</v>
      </c>
      <c r="Q17" s="36"/>
      <c r="R17" s="125" t="s">
        <v>680</v>
      </c>
      <c r="S17" s="123">
        <f>IFERROR(INDEX(DATABASE_FG!$L$5:$L$367, MATCH(E17, DATABASE_FG!$C$5:$C$367, 0)), " ")</f>
        <v>56</v>
      </c>
      <c r="T17" s="36" t="s">
        <v>677</v>
      </c>
      <c r="U17" s="36"/>
      <c r="V17" s="36"/>
      <c r="W17" s="129"/>
      <c r="X17" s="36"/>
      <c r="Y17" s="36"/>
      <c r="Z17" s="36"/>
      <c r="AA17" s="131" t="s">
        <v>121</v>
      </c>
      <c r="AB17" s="173"/>
      <c r="AC17" s="119"/>
      <c r="AD17" s="36" t="str">
        <f t="shared" si="0"/>
        <v/>
      </c>
      <c r="AE17" s="36" t="str">
        <f t="shared" si="1"/>
        <v/>
      </c>
      <c r="AF17" s="36"/>
      <c r="AG17" s="120" t="e">
        <f t="shared" si="2"/>
        <v>#VALUE!</v>
      </c>
      <c r="AH17" s="36"/>
      <c r="AI17" s="36" t="s">
        <v>1171</v>
      </c>
      <c r="AJ17" s="122"/>
      <c r="AK17" s="129" t="str">
        <f t="shared" ca="1" si="3"/>
        <v>Late</v>
      </c>
      <c r="AL17" s="268" t="str">
        <f t="shared" si="4"/>
        <v>December</v>
      </c>
      <c r="AM17" s="133">
        <f>YEAR(Table1[[#This Row],[ETA
As requested
dd.mm.yyyy]])</f>
        <v>2023</v>
      </c>
    </row>
    <row r="18" spans="1:40" hidden="1">
      <c r="A18" s="36" t="s">
        <v>636</v>
      </c>
      <c r="B18" s="36" t="s">
        <v>1170</v>
      </c>
      <c r="C18" s="117">
        <v>7018632237</v>
      </c>
      <c r="D18" s="165">
        <v>45125</v>
      </c>
      <c r="E18" s="117">
        <v>32166162</v>
      </c>
      <c r="F18" s="36" t="str">
        <f>IFERROR(VLOOKUP(Table1[[#This Row],[Part Number]],DATABASE_FG!$C$6:D10007,2,FALSE)," ")</f>
        <v>HV-ROTOR D16B PRE-MACHINED (6524201)</v>
      </c>
      <c r="G18" s="117" t="str">
        <f>IFERROR(_xlfn.XLOOKUP(Table1[[#This Row],[Part Number]],Table3[Part number],Table3[Drawing
 Revision]),"")</f>
        <v>A0</v>
      </c>
      <c r="H18" s="118" t="str" cm="1">
        <f t="array" ref="H18">IFERROR(INDEX(PDB!$C:$AT,MATCH(E18,PDB!$B:$B,0),MATCH(YEAR(K18),0+PDB!$C$1:$AT$1,0)),"")</f>
        <v/>
      </c>
      <c r="I18" s="36">
        <v>50</v>
      </c>
      <c r="J18" s="36" t="str">
        <f>IFERROR(Table1[[#This Row],[Quantity]]*Table1[[#This Row],[Price/Unit
EUR]]," ")</f>
        <v xml:space="preserve"> </v>
      </c>
      <c r="K18" s="121">
        <v>45261</v>
      </c>
      <c r="L18" s="36">
        <f>WEEKNUM(Table1[[#This Row],[ETA
As requested
dd.mm.yyyy]])</f>
        <v>48</v>
      </c>
      <c r="M18" s="36">
        <f>YEAR(Table1[[#This Row],[ETA
As requested
dd.mm.yyyy]])</f>
        <v>2023</v>
      </c>
      <c r="N18" s="36">
        <f>IFERROR(INDEX(DATABASE_FG!$H$5:$H$367, MATCH(E18, DATABASE_FG!$C$5:$C$367, 0)), " ")</f>
        <v>0</v>
      </c>
      <c r="O18" s="129" t="str">
        <f>IF(E18&lt;&gt;"", _xlfn.XLOOKUP(E18, DATABASE_FG!C:C, DATABASE_FG!F:F), " ")</f>
        <v>Rotor</v>
      </c>
      <c r="P18" s="129">
        <f>IFERROR(INDEX(DATABASE_FG!$G$5:$G$367, MATCH(E18, DATABASE_FG!$C$5:$C$367, 0)), "Not Found")</f>
        <v>50</v>
      </c>
      <c r="Q18" s="36"/>
      <c r="R18" s="125" t="s">
        <v>680</v>
      </c>
      <c r="S18" s="123">
        <f>IFERROR(INDEX(DATABASE_FG!$L$5:$L$367, MATCH(E18, DATABASE_FG!$C$5:$C$367, 0)), " ")</f>
        <v>56</v>
      </c>
      <c r="T18" s="36" t="s">
        <v>677</v>
      </c>
      <c r="U18" s="36"/>
      <c r="V18" s="36"/>
      <c r="W18" s="129"/>
      <c r="X18" s="36"/>
      <c r="Y18" s="36"/>
      <c r="Z18" s="36"/>
      <c r="AA18" s="131" t="s">
        <v>121</v>
      </c>
      <c r="AB18" s="173"/>
      <c r="AC18" s="119"/>
      <c r="AD18" s="36" t="str">
        <f t="shared" si="0"/>
        <v/>
      </c>
      <c r="AE18" s="36" t="str">
        <f t="shared" si="1"/>
        <v/>
      </c>
      <c r="AF18" s="36"/>
      <c r="AG18" s="120" t="e">
        <f t="shared" si="2"/>
        <v>#VALUE!</v>
      </c>
      <c r="AH18" s="36"/>
      <c r="AI18" s="36" t="s">
        <v>1171</v>
      </c>
      <c r="AJ18" s="122"/>
      <c r="AK18" s="129" t="str">
        <f t="shared" ca="1" si="3"/>
        <v>Late</v>
      </c>
      <c r="AL18" s="268" t="str">
        <f t="shared" si="4"/>
        <v>December</v>
      </c>
      <c r="AM18" s="133">
        <f>YEAR(Table1[[#This Row],[ETA
As requested
dd.mm.yyyy]])</f>
        <v>2023</v>
      </c>
    </row>
    <row r="19" spans="1:40" hidden="1">
      <c r="A19" s="36" t="s">
        <v>26</v>
      </c>
      <c r="B19" s="36" t="s">
        <v>1170</v>
      </c>
      <c r="C19" s="117">
        <v>4509573576</v>
      </c>
      <c r="D19" s="165">
        <v>45369</v>
      </c>
      <c r="E19" s="117">
        <v>1535100044</v>
      </c>
      <c r="F19" s="36" t="str">
        <f>IFERROR(VLOOKUP(Table1[[#This Row],[Part Number]],DATABASE_FG!$C$6:D10008,2,FALSE)," ")</f>
        <v>VALVE BODY         .</v>
      </c>
      <c r="G19" s="117" t="str">
        <f>IFERROR(_xlfn.XLOOKUP(Table1[[#This Row],[Part Number]],Table3[Part number],Table3[Drawing
 Revision]),"")</f>
        <v>AB</v>
      </c>
      <c r="H19" s="118" cm="1">
        <f t="array" ref="H19">IFERROR(INDEX(PDB!$C:$AT,MATCH(E19,PDB!$B:$B,0),MATCH(YEAR(K19),0+PDB!$C$1:$AT$1,0)),"")</f>
        <v>8.25</v>
      </c>
      <c r="I19" s="36">
        <v>509</v>
      </c>
      <c r="J19" s="36">
        <f>H19*I19</f>
        <v>4199.25</v>
      </c>
      <c r="K19" s="121">
        <v>45238</v>
      </c>
      <c r="L19" s="36">
        <f>WEEKNUM(Table1[[#This Row],[ETA
As requested
dd.mm.yyyy]])</f>
        <v>45</v>
      </c>
      <c r="M19" s="36">
        <f>YEAR(Table1[[#This Row],[ETA
As requested
dd.mm.yyyy]])</f>
        <v>2023</v>
      </c>
      <c r="N19" s="36">
        <f>IFERROR(INDEX(DATABASE_FG!$H$5:$H$367, MATCH(E19, DATABASE_FG!$C$5:$C$367, 0)), " ")</f>
        <v>0</v>
      </c>
      <c r="O19" s="129" t="str">
        <f>IF(E19&lt;&gt;"", _xlfn.XLOOKUP(E19, DATABASE_FG!C:C, DATABASE_FG!F:F), " ")</f>
        <v>Ventilkoerper</v>
      </c>
      <c r="P19" s="129">
        <f>IFERROR(INDEX(DATABASE_FG!$G$5:$G$367, MATCH(E19, DATABASE_FG!$C$5:$C$367, 0)), "Not Found")</f>
        <v>550</v>
      </c>
      <c r="Q19" s="36">
        <v>60</v>
      </c>
      <c r="R19" s="125" t="s">
        <v>678</v>
      </c>
      <c r="S19" s="123">
        <f>IFERROR(INDEX(DATABASE_FG!$L$5:$L$367, MATCH(E19, DATABASE_FG!$C$5:$C$367, 0)), " ")</f>
        <v>56</v>
      </c>
      <c r="T19" s="36" t="s">
        <v>677</v>
      </c>
      <c r="U19" s="36"/>
      <c r="V19" s="36"/>
      <c r="W19" s="129"/>
      <c r="X19" s="36"/>
      <c r="Y19" s="36"/>
      <c r="Z19" s="36"/>
      <c r="AA19" s="131" t="s">
        <v>121</v>
      </c>
      <c r="AB19" s="173">
        <v>45393</v>
      </c>
      <c r="AC19" s="119">
        <v>2024332</v>
      </c>
      <c r="AD19" s="36">
        <f t="shared" si="0"/>
        <v>4509573576</v>
      </c>
      <c r="AE19" s="36">
        <f t="shared" si="1"/>
        <v>1535100044</v>
      </c>
      <c r="AF19" s="36">
        <v>90</v>
      </c>
      <c r="AG19" s="120">
        <f t="shared" si="2"/>
        <v>742.5</v>
      </c>
      <c r="AH19" s="36"/>
      <c r="AI19" s="36" t="s">
        <v>1180</v>
      </c>
      <c r="AJ19" s="122"/>
      <c r="AK19" s="129" t="str">
        <f t="shared" ca="1" si="3"/>
        <v>Late</v>
      </c>
      <c r="AL19" s="268" t="str">
        <f t="shared" si="4"/>
        <v>November</v>
      </c>
      <c r="AM19" s="133">
        <f>YEAR(Table1[[#This Row],[ETA
As requested
dd.mm.yyyy]])</f>
        <v>2023</v>
      </c>
    </row>
    <row r="20" spans="1:40" hidden="1">
      <c r="A20" s="36" t="s">
        <v>26</v>
      </c>
      <c r="B20" s="36" t="s">
        <v>1170</v>
      </c>
      <c r="C20" s="117">
        <v>5500495155</v>
      </c>
      <c r="D20" s="165">
        <v>45491</v>
      </c>
      <c r="E20" s="117">
        <v>1535100044</v>
      </c>
      <c r="F20" s="36" t="str">
        <f>IFERROR(VLOOKUP(Table1[[#This Row],[Part Number]],DATABASE_FG!$C$6:D10009,2,FALSE)," ")</f>
        <v>VALVE BODY         .</v>
      </c>
      <c r="G20" s="117" t="str">
        <f>IFERROR(_xlfn.XLOOKUP(Table1[[#This Row],[Part Number]],Table3[Part number],Table3[Drawing
 Revision]),"")</f>
        <v>AB</v>
      </c>
      <c r="H20" s="118" cm="1">
        <f t="array" ref="H20">IFERROR(INDEX(PDB!$C:$AT,MATCH(E20,PDB!$B:$B,0),MATCH(YEAR(K20),0+PDB!$C$1:$AT$1,0)),"")</f>
        <v>8.25</v>
      </c>
      <c r="I20" s="36">
        <v>5</v>
      </c>
      <c r="J20" s="36">
        <f>H20*I20</f>
        <v>41.25</v>
      </c>
      <c r="K20" s="121">
        <v>45403</v>
      </c>
      <c r="L20" s="36">
        <f>WEEKNUM(Table1[[#This Row],[ETA
As requested
dd.mm.yyyy]])</f>
        <v>17</v>
      </c>
      <c r="M20" s="36">
        <f>YEAR(Table1[[#This Row],[ETA
As requested
dd.mm.yyyy]])</f>
        <v>2024</v>
      </c>
      <c r="N20" s="36">
        <f>IFERROR(INDEX(DATABASE_FG!$H$5:$H$367, MATCH(E20, DATABASE_FG!$C$5:$C$367, 0)), " ")</f>
        <v>0</v>
      </c>
      <c r="O20" s="129" t="str">
        <f>IF(E20&lt;&gt;"", _xlfn.XLOOKUP(E20, DATABASE_FG!C:C, DATABASE_FG!F:F), " ")</f>
        <v>Ventilkoerper</v>
      </c>
      <c r="P20" s="129">
        <f>IFERROR(INDEX(DATABASE_FG!$G$5:$G$367, MATCH(E20, DATABASE_FG!$C$5:$C$367, 0)), "Not Found")</f>
        <v>550</v>
      </c>
      <c r="Q20" s="36">
        <v>60</v>
      </c>
      <c r="R20" s="125" t="s">
        <v>678</v>
      </c>
      <c r="S20" s="123">
        <f>IFERROR(INDEX(DATABASE_FG!$L$5:$L$367, MATCH(E20, DATABASE_FG!$C$5:$C$367, 0)), " ")</f>
        <v>56</v>
      </c>
      <c r="T20" s="36" t="s">
        <v>677</v>
      </c>
      <c r="U20" s="36"/>
      <c r="V20" s="36"/>
      <c r="W20" s="129"/>
      <c r="X20" s="36"/>
      <c r="Y20" s="36"/>
      <c r="Z20" s="36">
        <v>241307</v>
      </c>
      <c r="AA20" s="131" t="s">
        <v>121</v>
      </c>
      <c r="AB20" s="173">
        <v>45394</v>
      </c>
      <c r="AC20" s="119">
        <v>2024338</v>
      </c>
      <c r="AD20" s="36">
        <f t="shared" si="0"/>
        <v>5500495155</v>
      </c>
      <c r="AE20" s="36">
        <f t="shared" si="1"/>
        <v>1535100044</v>
      </c>
      <c r="AF20" s="36">
        <v>5</v>
      </c>
      <c r="AG20" s="120">
        <f t="shared" si="2"/>
        <v>41.25</v>
      </c>
      <c r="AH20" s="36"/>
      <c r="AI20" s="36"/>
      <c r="AJ20" s="122"/>
      <c r="AK20" s="129" t="str">
        <f t="shared" ca="1" si="3"/>
        <v>On Time</v>
      </c>
      <c r="AL20" s="268" t="str">
        <f t="shared" si="4"/>
        <v>April</v>
      </c>
      <c r="AM20" s="133">
        <f>YEAR(Table1[[#This Row],[ETA
As requested
dd.mm.yyyy]])</f>
        <v>2024</v>
      </c>
    </row>
    <row r="21" spans="1:40" hidden="1">
      <c r="A21" s="36" t="s">
        <v>26</v>
      </c>
      <c r="B21" s="36" t="s">
        <v>1170</v>
      </c>
      <c r="C21" s="117">
        <v>5500495155</v>
      </c>
      <c r="D21" s="165">
        <v>45491</v>
      </c>
      <c r="E21" s="117">
        <v>1535100044</v>
      </c>
      <c r="F21" s="36" t="str">
        <f>IFERROR(VLOOKUP(Table1[[#This Row],[Part Number]],DATABASE_FG!$C$6:D10010,2,FALSE)," ")</f>
        <v>VALVE BODY         .</v>
      </c>
      <c r="G21" s="117" t="str">
        <f>IFERROR(_xlfn.XLOOKUP(Table1[[#This Row],[Part Number]],Table3[Part number],Table3[Drawing
 Revision]),"")</f>
        <v>AB</v>
      </c>
      <c r="H21" s="118" cm="1">
        <f t="array" ref="H21">IFERROR(INDEX(PDB!$C:$AT,MATCH(E21,PDB!$B:$B,0),MATCH(YEAR(K21),0+PDB!$C$1:$AT$1,0)),"")</f>
        <v>8.25</v>
      </c>
      <c r="I21" s="36">
        <v>4</v>
      </c>
      <c r="J21" s="36">
        <f>H21*I21</f>
        <v>33</v>
      </c>
      <c r="K21" s="121">
        <v>45741</v>
      </c>
      <c r="L21" s="36">
        <f>WEEKNUM(Table1[[#This Row],[ETA
As requested
dd.mm.yyyy]])</f>
        <v>13</v>
      </c>
      <c r="M21" s="36">
        <f>YEAR(Table1[[#This Row],[ETA
As requested
dd.mm.yyyy]])</f>
        <v>2025</v>
      </c>
      <c r="N21" s="36">
        <f>IFERROR(INDEX(DATABASE_FG!$H$5:$H$367, MATCH(E21, DATABASE_FG!$C$5:$C$367, 0)), " ")</f>
        <v>0</v>
      </c>
      <c r="O21" s="129" t="str">
        <f>IF(E21&lt;&gt;"", _xlfn.XLOOKUP(E21, DATABASE_FG!C:C, DATABASE_FG!F:F), " ")</f>
        <v>Ventilkoerper</v>
      </c>
      <c r="P21" s="129">
        <f>IFERROR(INDEX(DATABASE_FG!$G$5:$G$367, MATCH(E21, DATABASE_FG!$C$5:$C$367, 0)), "Not Found")</f>
        <v>550</v>
      </c>
      <c r="Q21" s="36">
        <v>60</v>
      </c>
      <c r="R21" s="125" t="s">
        <v>678</v>
      </c>
      <c r="S21" s="123">
        <f>IFERROR(INDEX(DATABASE_FG!$L$5:$L$367, MATCH(E21, DATABASE_FG!$C$5:$C$367, 0)), " ")</f>
        <v>56</v>
      </c>
      <c r="T21" s="36" t="s">
        <v>677</v>
      </c>
      <c r="U21" s="36"/>
      <c r="V21" s="36"/>
      <c r="W21" s="129"/>
      <c r="X21" s="36"/>
      <c r="Y21" s="36"/>
      <c r="Z21" s="36"/>
      <c r="AA21" s="125" t="s">
        <v>121</v>
      </c>
      <c r="AB21" s="173">
        <v>45394</v>
      </c>
      <c r="AC21" s="119">
        <v>2024338</v>
      </c>
      <c r="AD21" s="36">
        <f t="shared" si="0"/>
        <v>5500495155</v>
      </c>
      <c r="AE21" s="36">
        <f t="shared" si="1"/>
        <v>1535100044</v>
      </c>
      <c r="AF21" s="36">
        <v>4</v>
      </c>
      <c r="AG21" s="120">
        <f t="shared" si="2"/>
        <v>33</v>
      </c>
      <c r="AH21" s="36"/>
      <c r="AI21" s="36"/>
      <c r="AJ21" s="122"/>
      <c r="AK21" s="129" t="str">
        <f t="shared" ca="1" si="3"/>
        <v>On Time</v>
      </c>
      <c r="AL21" s="268" t="str">
        <f t="shared" si="4"/>
        <v>March</v>
      </c>
      <c r="AM21" s="133">
        <f>YEAR(Table1[[#This Row],[ETA
As requested
dd.mm.yyyy]])</f>
        <v>2025</v>
      </c>
    </row>
    <row r="22" spans="1:40" hidden="1">
      <c r="A22" s="36" t="s">
        <v>26</v>
      </c>
      <c r="B22" s="36" t="s">
        <v>1170</v>
      </c>
      <c r="C22" s="117">
        <v>5500495155</v>
      </c>
      <c r="D22" s="165">
        <v>45749</v>
      </c>
      <c r="E22" s="117">
        <v>1535100044</v>
      </c>
      <c r="F22" s="36" t="str">
        <f>IFERROR(VLOOKUP(Table1[[#This Row],[Part Number]],DATABASE_FG!$C$6:D10011,2,FALSE)," ")</f>
        <v>VALVE BODY         .</v>
      </c>
      <c r="G22" s="117" t="str">
        <f>IFERROR(_xlfn.XLOOKUP(Table1[[#This Row],[Part Number]],Table3[Part number],Table3[Drawing
 Revision]),"")</f>
        <v>AB</v>
      </c>
      <c r="H22" s="118" cm="1">
        <f t="array" ref="H22">IFERROR(INDEX(PDB!$C:$AT,MATCH(E22,PDB!$B:$B,0),MATCH(YEAR(K22),0+PDB!$C$1:$AT$1,0)),"")</f>
        <v>8.25</v>
      </c>
      <c r="I22" s="36">
        <v>85</v>
      </c>
      <c r="J22" s="36">
        <f>IFERROR(Table1[[#This Row],[Quantity]]*Table1[[#This Row],[Price/Unit
EUR]]," ")</f>
        <v>701.25</v>
      </c>
      <c r="K22" s="121">
        <v>45789</v>
      </c>
      <c r="L22" s="36">
        <f>WEEKNUM(Table1[[#This Row],[ETA
As requested
dd.mm.yyyy]])</f>
        <v>20</v>
      </c>
      <c r="M22" s="36">
        <f>YEAR(Table1[[#This Row],[ETA
As requested
dd.mm.yyyy]])</f>
        <v>2025</v>
      </c>
      <c r="N22" s="36">
        <f>IFERROR(INDEX(DATABASE_FG!$H$5:$H$367, MATCH(E22, DATABASE_FG!$C$5:$C$367, 0)), " ")</f>
        <v>0</v>
      </c>
      <c r="O22" s="129" t="str">
        <f>IF(E22&lt;&gt;"", _xlfn.XLOOKUP(E22, DATABASE_FG!C:C, DATABASE_FG!F:F), " ")</f>
        <v>Ventilkoerper</v>
      </c>
      <c r="P22" s="129">
        <f>IFERROR(INDEX(DATABASE_FG!$G$5:$G$367, MATCH(E22, DATABASE_FG!$C$5:$C$367, 0)), "Not Found")</f>
        <v>550</v>
      </c>
      <c r="Q22" s="36">
        <v>56</v>
      </c>
      <c r="R22" s="125" t="s">
        <v>678</v>
      </c>
      <c r="S22" s="123">
        <f>IFERROR(INDEX(DATABASE_FG!$L$5:$L$367, MATCH(E22, DATABASE_FG!$C$5:$C$367, 0)), " ")</f>
        <v>56</v>
      </c>
      <c r="T22" s="36" t="s">
        <v>677</v>
      </c>
      <c r="U22" s="36"/>
      <c r="V22" s="36"/>
      <c r="W22" s="129" t="s">
        <v>677</v>
      </c>
      <c r="X22" s="36"/>
      <c r="Y22" s="36" t="s">
        <v>3182</v>
      </c>
      <c r="Z22" s="36"/>
      <c r="AA22" s="125" t="s">
        <v>121</v>
      </c>
      <c r="AB22" s="173">
        <v>45811</v>
      </c>
      <c r="AC22" s="119">
        <v>25868</v>
      </c>
      <c r="AD22" s="36">
        <f t="shared" si="0"/>
        <v>5500495155</v>
      </c>
      <c r="AE22" s="36">
        <f t="shared" si="1"/>
        <v>1535100044</v>
      </c>
      <c r="AF22" s="36">
        <v>85</v>
      </c>
      <c r="AG22" s="120">
        <f t="shared" si="2"/>
        <v>701.25</v>
      </c>
      <c r="AH22" s="36"/>
      <c r="AI22" s="36"/>
      <c r="AJ22" s="122" t="s">
        <v>3183</v>
      </c>
      <c r="AK22" s="129" t="str">
        <f t="shared" ca="1" si="3"/>
        <v>Late</v>
      </c>
      <c r="AL22" s="268" t="str">
        <f t="shared" si="4"/>
        <v>May</v>
      </c>
      <c r="AM22" s="133">
        <f>YEAR(Table1[[#This Row],[ETA
As requested
dd.mm.yyyy]])</f>
        <v>2025</v>
      </c>
    </row>
    <row r="23" spans="1:40" hidden="1">
      <c r="A23" s="36" t="s">
        <v>26</v>
      </c>
      <c r="B23" s="36" t="s">
        <v>1170</v>
      </c>
      <c r="C23" s="117">
        <v>5500495155</v>
      </c>
      <c r="D23" s="165">
        <v>45749</v>
      </c>
      <c r="E23" s="117">
        <v>1535100044</v>
      </c>
      <c r="F23" s="36" t="str">
        <f>IFERROR(VLOOKUP(Table1[[#This Row],[Part Number]],DATABASE_FG!$C$6:D10012,2,FALSE)," ")</f>
        <v>VALVE BODY         .</v>
      </c>
      <c r="G23" s="117" t="str">
        <f>IFERROR(_xlfn.XLOOKUP(Table1[[#This Row],[Part Number]],Table3[Part number],Table3[Drawing
 Revision]),"")</f>
        <v>AB</v>
      </c>
      <c r="H23" s="118" cm="1">
        <f t="array" ref="H23">IFERROR(INDEX(PDB!$C:$AT,MATCH(E23,PDB!$B:$B,0),MATCH(YEAR(K23),0+PDB!$C$1:$AT$1,0)),"")</f>
        <v>8.25</v>
      </c>
      <c r="I23" s="36">
        <f>165+9</f>
        <v>174</v>
      </c>
      <c r="J23" s="36">
        <f>IFERROR(Table1[[#This Row],[Quantity]]*Table1[[#This Row],[Price/Unit
EUR]]," ")</f>
        <v>1435.5</v>
      </c>
      <c r="K23" s="121">
        <v>46006</v>
      </c>
      <c r="L23" s="36">
        <f>WEEKNUM(Table1[[#This Row],[ETA
As requested
dd.mm.yyyy]])</f>
        <v>51</v>
      </c>
      <c r="M23" s="36">
        <f>YEAR(Table1[[#This Row],[ETA
As requested
dd.mm.yyyy]])</f>
        <v>2025</v>
      </c>
      <c r="N23" s="36">
        <f>IFERROR(INDEX(DATABASE_FG!$H$5:$H$367, MATCH(E23, DATABASE_FG!$C$5:$C$367, 0)), " ")</f>
        <v>0</v>
      </c>
      <c r="O23" s="129" t="str">
        <f>IF(E23&lt;&gt;"", _xlfn.XLOOKUP(E23, DATABASE_FG!C:C, DATABASE_FG!F:F), " ")</f>
        <v>Ventilkoerper</v>
      </c>
      <c r="P23" s="129">
        <f>IFERROR(INDEX(DATABASE_FG!$G$5:$G$367, MATCH(E23, DATABASE_FG!$C$5:$C$367, 0)), "Not Found")</f>
        <v>550</v>
      </c>
      <c r="Q23" s="36">
        <v>56</v>
      </c>
      <c r="R23" s="125" t="s">
        <v>678</v>
      </c>
      <c r="S23" s="123">
        <f>IFERROR(INDEX(DATABASE_FG!$L$5:$L$367, MATCH(E23, DATABASE_FG!$C$5:$C$367, 0)), " ")</f>
        <v>56</v>
      </c>
      <c r="T23" s="36" t="s">
        <v>677</v>
      </c>
      <c r="U23" s="36"/>
      <c r="V23" s="36"/>
      <c r="W23" s="129"/>
      <c r="X23" s="36"/>
      <c r="Y23" s="36"/>
      <c r="Z23" s="36"/>
      <c r="AA23" s="125" t="s">
        <v>121</v>
      </c>
      <c r="AB23" s="173">
        <v>45859</v>
      </c>
      <c r="AC23" s="119">
        <v>251082</v>
      </c>
      <c r="AD23" s="36">
        <f t="shared" si="0"/>
        <v>5500495155</v>
      </c>
      <c r="AE23" s="36">
        <f t="shared" si="1"/>
        <v>1535100044</v>
      </c>
      <c r="AF23" s="36">
        <v>174</v>
      </c>
      <c r="AG23" s="120">
        <f t="shared" si="2"/>
        <v>1435.5</v>
      </c>
      <c r="AH23" s="36"/>
      <c r="AI23" s="36"/>
      <c r="AJ23" s="122" t="s">
        <v>3832</v>
      </c>
      <c r="AK23" s="129" t="str">
        <f t="shared" ca="1" si="3"/>
        <v>On Time</v>
      </c>
      <c r="AL23" s="268" t="str">
        <f t="shared" si="4"/>
        <v>December</v>
      </c>
      <c r="AM23" s="133">
        <f>YEAR(Table1[[#This Row],[ETA
As requested
dd.mm.yyyy]])</f>
        <v>2025</v>
      </c>
    </row>
    <row r="24" spans="1:40" hidden="1">
      <c r="A24" s="36" t="s">
        <v>26</v>
      </c>
      <c r="B24" s="36" t="s">
        <v>2464</v>
      </c>
      <c r="C24" s="117">
        <v>5500495155</v>
      </c>
      <c r="D24" s="165">
        <v>45749</v>
      </c>
      <c r="E24" s="117">
        <v>1535100044</v>
      </c>
      <c r="F24" s="36" t="str">
        <f>IFERROR(VLOOKUP(Table1[[#This Row],[Part Number]],DATABASE_FG!$C$6:D10013,2,FALSE)," ")</f>
        <v>VALVE BODY         .</v>
      </c>
      <c r="G24" s="117" t="str">
        <f>IFERROR(_xlfn.XLOOKUP(Table1[[#This Row],[Part Number]],Table3[Part number],Table3[Drawing
 Revision]),"")</f>
        <v>AB</v>
      </c>
      <c r="H24" s="118" cm="1">
        <f t="array" ref="H24">IFERROR(INDEX(PDB!$C:$AT,MATCH(E24,PDB!$B:$B,0),MATCH(YEAR(K24),0+PDB!$C$1:$AT$1,0)),"")</f>
        <v>0</v>
      </c>
      <c r="I24" s="36">
        <f>25-9</f>
        <v>16</v>
      </c>
      <c r="J24" s="36">
        <f>IFERROR(Table1[[#This Row],[Quantity]]*Table1[[#This Row],[Price/Unit
EUR]]," ")</f>
        <v>0</v>
      </c>
      <c r="K24" s="121">
        <v>46048</v>
      </c>
      <c r="L24" s="36">
        <f>WEEKNUM(Table1[[#This Row],[ETA
As requested
dd.mm.yyyy]])</f>
        <v>5</v>
      </c>
      <c r="M24" s="36">
        <f>YEAR(Table1[[#This Row],[ETA
As requested
dd.mm.yyyy]])</f>
        <v>2026</v>
      </c>
      <c r="N24" s="36">
        <f>IFERROR(INDEX(DATABASE_FG!$H$5:$H$367, MATCH(E24, DATABASE_FG!$C$5:$C$367, 0)), " ")</f>
        <v>0</v>
      </c>
      <c r="O24" s="129" t="str">
        <f>IF(E24&lt;&gt;"", _xlfn.XLOOKUP(E24, DATABASE_FG!C:C, DATABASE_FG!F:F), " ")</f>
        <v>Ventilkoerper</v>
      </c>
      <c r="P24" s="129">
        <f>IFERROR(INDEX(DATABASE_FG!$G$5:$G$367, MATCH(E24, DATABASE_FG!$C$5:$C$367, 0)), "Not Found")</f>
        <v>550</v>
      </c>
      <c r="Q24" s="36">
        <v>56</v>
      </c>
      <c r="R24" s="125" t="s">
        <v>678</v>
      </c>
      <c r="S24" s="123">
        <f>IFERROR(INDEX(DATABASE_FG!$L$5:$L$367, MATCH(E24, DATABASE_FG!$C$5:$C$367, 0)), " ")</f>
        <v>56</v>
      </c>
      <c r="T24" s="36" t="s">
        <v>677</v>
      </c>
      <c r="U24" s="36"/>
      <c r="V24" s="36"/>
      <c r="W24" s="129"/>
      <c r="X24" s="36"/>
      <c r="Y24" s="36"/>
      <c r="Z24" s="36"/>
      <c r="AA24" s="125" t="s">
        <v>3</v>
      </c>
      <c r="AB24" s="173"/>
      <c r="AC24" s="119"/>
      <c r="AD24" s="36" t="str">
        <f t="shared" si="0"/>
        <v/>
      </c>
      <c r="AE24" s="36" t="str">
        <f t="shared" si="1"/>
        <v/>
      </c>
      <c r="AF24" s="36"/>
      <c r="AG24" s="120">
        <f t="shared" si="2"/>
        <v>0</v>
      </c>
      <c r="AH24" s="36"/>
      <c r="AI24" s="36"/>
      <c r="AJ24" s="122"/>
      <c r="AK24" s="129" t="str">
        <f t="shared" ca="1" si="3"/>
        <v/>
      </c>
      <c r="AL24" s="268" t="str">
        <f t="shared" si="4"/>
        <v>January</v>
      </c>
      <c r="AM24" s="133">
        <f>YEAR(Table1[[#This Row],[ETA
As requested
dd.mm.yyyy]])</f>
        <v>2026</v>
      </c>
    </row>
    <row r="25" spans="1:40" hidden="1">
      <c r="A25" s="36" t="s">
        <v>26</v>
      </c>
      <c r="B25" s="36" t="s">
        <v>2464</v>
      </c>
      <c r="C25" s="117">
        <v>5500495155</v>
      </c>
      <c r="D25" s="165">
        <v>45749</v>
      </c>
      <c r="E25" s="117">
        <v>1535100044</v>
      </c>
      <c r="F25" s="36" t="str">
        <f>IFERROR(VLOOKUP(Table1[[#This Row],[Part Number]],DATABASE_FG!$C$6:D10014,2,FALSE)," ")</f>
        <v>VALVE BODY         .</v>
      </c>
      <c r="G25" s="117" t="str">
        <f>IFERROR(_xlfn.XLOOKUP(Table1[[#This Row],[Part Number]],Table3[Part number],Table3[Drawing
 Revision]),"")</f>
        <v>AB</v>
      </c>
      <c r="H25" s="118" cm="1">
        <f t="array" ref="H25">IFERROR(INDEX(PDB!$C:$AT,MATCH(E25,PDB!$B:$B,0),MATCH(YEAR(K25),0+PDB!$C$1:$AT$1,0)),"")</f>
        <v>0</v>
      </c>
      <c r="I25" s="36">
        <v>15</v>
      </c>
      <c r="J25" s="36">
        <f>IFERROR(Table1[[#This Row],[Quantity]]*Table1[[#This Row],[Price/Unit
EUR]]," ")</f>
        <v>0</v>
      </c>
      <c r="K25" s="121">
        <v>46076</v>
      </c>
      <c r="L25" s="36">
        <f>WEEKNUM(Table1[[#This Row],[ETA
As requested
dd.mm.yyyy]])</f>
        <v>9</v>
      </c>
      <c r="M25" s="36">
        <f>YEAR(Table1[[#This Row],[ETA
As requested
dd.mm.yyyy]])</f>
        <v>2026</v>
      </c>
      <c r="N25" s="36">
        <f>IFERROR(INDEX(DATABASE_FG!$H$5:$H$367, MATCH(E25, DATABASE_FG!$C$5:$C$367, 0)), " ")</f>
        <v>0</v>
      </c>
      <c r="O25" s="129" t="str">
        <f>IF(E25&lt;&gt;"", _xlfn.XLOOKUP(E25, DATABASE_FG!C:C, DATABASE_FG!F:F), " ")</f>
        <v>Ventilkoerper</v>
      </c>
      <c r="P25" s="129">
        <f>IFERROR(INDEX(DATABASE_FG!$G$5:$G$367, MATCH(E25, DATABASE_FG!$C$5:$C$367, 0)), "Not Found")</f>
        <v>550</v>
      </c>
      <c r="Q25" s="36">
        <v>56</v>
      </c>
      <c r="R25" s="125" t="s">
        <v>678</v>
      </c>
      <c r="S25" s="123">
        <f>IFERROR(INDEX(DATABASE_FG!$L$5:$L$367, MATCH(E25, DATABASE_FG!$C$5:$C$367, 0)), " ")</f>
        <v>56</v>
      </c>
      <c r="T25" s="36" t="s">
        <v>677</v>
      </c>
      <c r="U25" s="36"/>
      <c r="V25" s="36"/>
      <c r="W25" s="129"/>
      <c r="X25" s="36"/>
      <c r="Y25" s="36"/>
      <c r="Z25" s="36"/>
      <c r="AA25" s="125" t="s">
        <v>3</v>
      </c>
      <c r="AB25" s="173"/>
      <c r="AC25" s="119"/>
      <c r="AD25" s="36" t="str">
        <f t="shared" si="0"/>
        <v/>
      </c>
      <c r="AE25" s="36" t="str">
        <f t="shared" si="1"/>
        <v/>
      </c>
      <c r="AF25" s="36"/>
      <c r="AG25" s="120">
        <f t="shared" si="2"/>
        <v>0</v>
      </c>
      <c r="AH25" s="36"/>
      <c r="AI25" s="36"/>
      <c r="AJ25" s="122"/>
      <c r="AK25" s="129" t="str">
        <f t="shared" ca="1" si="3"/>
        <v/>
      </c>
      <c r="AL25" s="268" t="str">
        <f t="shared" si="4"/>
        <v>February</v>
      </c>
      <c r="AM25" s="133">
        <f>YEAR(Table1[[#This Row],[ETA
As requested
dd.mm.yyyy]])</f>
        <v>2026</v>
      </c>
    </row>
    <row r="26" spans="1:40" hidden="1">
      <c r="A26" s="36" t="s">
        <v>26</v>
      </c>
      <c r="B26" s="36" t="s">
        <v>2464</v>
      </c>
      <c r="C26" s="117">
        <v>5500495155</v>
      </c>
      <c r="D26" s="165">
        <v>45749</v>
      </c>
      <c r="E26" s="117">
        <v>1535100044</v>
      </c>
      <c r="F26" s="36" t="str">
        <f>IFERROR(VLOOKUP(Table1[[#This Row],[Part Number]],DATABASE_FG!$C$6:D10015,2,FALSE)," ")</f>
        <v>VALVE BODY         .</v>
      </c>
      <c r="G26" s="117" t="str">
        <f>IFERROR(_xlfn.XLOOKUP(Table1[[#This Row],[Part Number]],Table3[Part number],Table3[Drawing
 Revision]),"")</f>
        <v>AB</v>
      </c>
      <c r="H26" s="118" cm="1">
        <f t="array" ref="H26">IFERROR(INDEX(PDB!$C:$AT,MATCH(E26,PDB!$B:$B,0),MATCH(YEAR(K26),0+PDB!$C$1:$AT$1,0)),"")</f>
        <v>0</v>
      </c>
      <c r="I26" s="36">
        <v>45</v>
      </c>
      <c r="J26" s="36">
        <f>IFERROR(Table1[[#This Row],[Quantity]]*Table1[[#This Row],[Price/Unit
EUR]]," ")</f>
        <v>0</v>
      </c>
      <c r="K26" s="121">
        <v>46106</v>
      </c>
      <c r="L26" s="36">
        <f>WEEKNUM(Table1[[#This Row],[ETA
As requested
dd.mm.yyyy]])</f>
        <v>13</v>
      </c>
      <c r="M26" s="36">
        <f>YEAR(Table1[[#This Row],[ETA
As requested
dd.mm.yyyy]])</f>
        <v>2026</v>
      </c>
      <c r="N26" s="36">
        <f>IFERROR(INDEX(DATABASE_FG!$H$5:$H$367, MATCH(E26, DATABASE_FG!$C$5:$C$367, 0)), " ")</f>
        <v>0</v>
      </c>
      <c r="O26" s="129" t="str">
        <f>IF(E26&lt;&gt;"", _xlfn.XLOOKUP(E26, DATABASE_FG!C:C, DATABASE_FG!F:F), " ")</f>
        <v>Ventilkoerper</v>
      </c>
      <c r="P26" s="129">
        <f>IFERROR(INDEX(DATABASE_FG!$G$5:$G$367, MATCH(E26, DATABASE_FG!$C$5:$C$367, 0)), "Not Found")</f>
        <v>550</v>
      </c>
      <c r="Q26" s="36">
        <v>56</v>
      </c>
      <c r="R26" s="125" t="s">
        <v>678</v>
      </c>
      <c r="S26" s="123">
        <f>IFERROR(INDEX(DATABASE_FG!$L$5:$L$367, MATCH(E26, DATABASE_FG!$C$5:$C$367, 0)), " ")</f>
        <v>56</v>
      </c>
      <c r="T26" s="36" t="s">
        <v>677</v>
      </c>
      <c r="U26" s="36"/>
      <c r="V26" s="36"/>
      <c r="W26" s="129"/>
      <c r="X26" s="36"/>
      <c r="Y26" s="36"/>
      <c r="Z26" s="36"/>
      <c r="AA26" s="125" t="s">
        <v>3</v>
      </c>
      <c r="AB26" s="173"/>
      <c r="AC26" s="119"/>
      <c r="AD26" s="36" t="str">
        <f t="shared" si="0"/>
        <v/>
      </c>
      <c r="AE26" s="36" t="str">
        <f t="shared" si="1"/>
        <v/>
      </c>
      <c r="AF26" s="36"/>
      <c r="AG26" s="120">
        <f t="shared" si="2"/>
        <v>0</v>
      </c>
      <c r="AH26" s="36"/>
      <c r="AI26" s="36"/>
      <c r="AJ26" s="122"/>
      <c r="AK26" s="129" t="str">
        <f t="shared" ca="1" si="3"/>
        <v/>
      </c>
      <c r="AL26" s="268" t="str">
        <f t="shared" si="4"/>
        <v>March</v>
      </c>
      <c r="AM26" s="133">
        <f>YEAR(Table1[[#This Row],[ETA
As requested
dd.mm.yyyy]])</f>
        <v>2026</v>
      </c>
    </row>
    <row r="27" spans="1:40" hidden="1">
      <c r="A27" s="36" t="s">
        <v>26</v>
      </c>
      <c r="B27" s="36" t="s">
        <v>2464</v>
      </c>
      <c r="C27" s="117">
        <v>5500495155</v>
      </c>
      <c r="D27" s="165">
        <v>45749</v>
      </c>
      <c r="E27" s="117">
        <v>1535100044</v>
      </c>
      <c r="F27" s="36" t="str">
        <f>IFERROR(VLOOKUP(Table1[[#This Row],[Part Number]],DATABASE_FG!$C$6:D10016,2,FALSE)," ")</f>
        <v>VALVE BODY         .</v>
      </c>
      <c r="G27" s="117" t="str">
        <f>IFERROR(_xlfn.XLOOKUP(Table1[[#This Row],[Part Number]],Table3[Part number],Table3[Drawing
 Revision]),"")</f>
        <v>AB</v>
      </c>
      <c r="H27" s="118" cm="1">
        <f t="array" ref="H27">IFERROR(INDEX(PDB!$C:$AT,MATCH(E27,PDB!$B:$B,0),MATCH(YEAR(K27),0+PDB!$C$1:$AT$1,0)),"")</f>
        <v>0</v>
      </c>
      <c r="I27" s="36">
        <v>30</v>
      </c>
      <c r="J27" s="36">
        <f>IFERROR(Table1[[#This Row],[Quantity]]*Table1[[#This Row],[Price/Unit
EUR]]," ")</f>
        <v>0</v>
      </c>
      <c r="K27" s="121">
        <v>46136</v>
      </c>
      <c r="L27" s="36">
        <f>WEEKNUM(Table1[[#This Row],[ETA
As requested
dd.mm.yyyy]])</f>
        <v>17</v>
      </c>
      <c r="M27" s="36">
        <f>YEAR(Table1[[#This Row],[ETA
As requested
dd.mm.yyyy]])</f>
        <v>2026</v>
      </c>
      <c r="N27" s="36">
        <f>IFERROR(INDEX(DATABASE_FG!$H$5:$H$367, MATCH(E27, DATABASE_FG!$C$5:$C$367, 0)), " ")</f>
        <v>0</v>
      </c>
      <c r="O27" s="129" t="str">
        <f>IF(E27&lt;&gt;"", _xlfn.XLOOKUP(E27, DATABASE_FG!C:C, DATABASE_FG!F:F), " ")</f>
        <v>Ventilkoerper</v>
      </c>
      <c r="P27" s="129">
        <f>IFERROR(INDEX(DATABASE_FG!$G$5:$G$367, MATCH(E27, DATABASE_FG!$C$5:$C$367, 0)), "Not Found")</f>
        <v>550</v>
      </c>
      <c r="Q27" s="36">
        <v>56</v>
      </c>
      <c r="R27" s="125" t="s">
        <v>678</v>
      </c>
      <c r="S27" s="123">
        <f>IFERROR(INDEX(DATABASE_FG!$L$5:$L$367, MATCH(E27, DATABASE_FG!$C$5:$C$367, 0)), " ")</f>
        <v>56</v>
      </c>
      <c r="T27" s="36" t="s">
        <v>677</v>
      </c>
      <c r="U27" s="36"/>
      <c r="V27" s="36"/>
      <c r="W27" s="129"/>
      <c r="X27" s="36"/>
      <c r="Y27" s="36"/>
      <c r="Z27" s="36"/>
      <c r="AA27" s="125" t="s">
        <v>3</v>
      </c>
      <c r="AB27" s="173"/>
      <c r="AC27" s="119"/>
      <c r="AD27" s="36" t="str">
        <f t="shared" si="0"/>
        <v/>
      </c>
      <c r="AE27" s="36" t="str">
        <f t="shared" si="1"/>
        <v/>
      </c>
      <c r="AF27" s="36"/>
      <c r="AG27" s="120">
        <f t="shared" si="2"/>
        <v>0</v>
      </c>
      <c r="AH27" s="36"/>
      <c r="AI27" s="36"/>
      <c r="AJ27" s="122"/>
      <c r="AK27" s="129" t="str">
        <f t="shared" ca="1" si="3"/>
        <v/>
      </c>
      <c r="AL27" s="268" t="str">
        <f t="shared" si="4"/>
        <v>April</v>
      </c>
      <c r="AM27" s="133">
        <f>YEAR(Table1[[#This Row],[ETA
As requested
dd.mm.yyyy]])</f>
        <v>2026</v>
      </c>
    </row>
    <row r="28" spans="1:40" hidden="1">
      <c r="A28" s="36" t="s">
        <v>26</v>
      </c>
      <c r="B28" s="36" t="s">
        <v>2464</v>
      </c>
      <c r="C28" s="117">
        <v>5500495155</v>
      </c>
      <c r="D28" s="165">
        <v>45749</v>
      </c>
      <c r="E28" s="117">
        <v>1535100044</v>
      </c>
      <c r="F28" s="36" t="str">
        <f>IFERROR(VLOOKUP(Table1[[#This Row],[Part Number]],DATABASE_FG!$C$6:D10017,2,FALSE)," ")</f>
        <v>VALVE BODY         .</v>
      </c>
      <c r="G28" s="117" t="str">
        <f>IFERROR(_xlfn.XLOOKUP(Table1[[#This Row],[Part Number]],Table3[Part number],Table3[Drawing
 Revision]),"")</f>
        <v>AB</v>
      </c>
      <c r="H28" s="118" cm="1">
        <f t="array" ref="H28">IFERROR(INDEX(PDB!$C:$AT,MATCH(E28,PDB!$B:$B,0),MATCH(YEAR(K28),0+PDB!$C$1:$AT$1,0)),"")</f>
        <v>0</v>
      </c>
      <c r="I28" s="36">
        <v>35</v>
      </c>
      <c r="J28" s="36">
        <f>IFERROR(Table1[[#This Row],[Quantity]]*Table1[[#This Row],[Price/Unit
EUR]]," ")</f>
        <v>0</v>
      </c>
      <c r="K28" s="121">
        <v>46164</v>
      </c>
      <c r="L28" s="36">
        <f>WEEKNUM(Table1[[#This Row],[ETA
As requested
dd.mm.yyyy]])</f>
        <v>21</v>
      </c>
      <c r="M28" s="36">
        <f>YEAR(Table1[[#This Row],[ETA
As requested
dd.mm.yyyy]])</f>
        <v>2026</v>
      </c>
      <c r="N28" s="36">
        <f>IFERROR(INDEX(DATABASE_FG!$H$5:$H$367, MATCH(E28, DATABASE_FG!$C$5:$C$367, 0)), " ")</f>
        <v>0</v>
      </c>
      <c r="O28" s="129" t="str">
        <f>IF(E28&lt;&gt;"", _xlfn.XLOOKUP(E28, DATABASE_FG!C:C, DATABASE_FG!F:F), " ")</f>
        <v>Ventilkoerper</v>
      </c>
      <c r="P28" s="129">
        <f>IFERROR(INDEX(DATABASE_FG!$G$5:$G$367, MATCH(E28, DATABASE_FG!$C$5:$C$367, 0)), "Not Found")</f>
        <v>550</v>
      </c>
      <c r="Q28" s="36">
        <v>56</v>
      </c>
      <c r="R28" s="125" t="s">
        <v>678</v>
      </c>
      <c r="S28" s="123">
        <f>IFERROR(INDEX(DATABASE_FG!$L$5:$L$367, MATCH(E28, DATABASE_FG!$C$5:$C$367, 0)), " ")</f>
        <v>56</v>
      </c>
      <c r="T28" s="36" t="s">
        <v>677</v>
      </c>
      <c r="U28" s="36"/>
      <c r="V28" s="36"/>
      <c r="W28" s="129"/>
      <c r="X28" s="36"/>
      <c r="Y28" s="36"/>
      <c r="Z28" s="36"/>
      <c r="AA28" s="125" t="s">
        <v>3</v>
      </c>
      <c r="AB28" s="173"/>
      <c r="AC28" s="119"/>
      <c r="AD28" s="36" t="str">
        <f t="shared" si="0"/>
        <v/>
      </c>
      <c r="AE28" s="36" t="str">
        <f t="shared" si="1"/>
        <v/>
      </c>
      <c r="AF28" s="36"/>
      <c r="AG28" s="120">
        <f t="shared" si="2"/>
        <v>0</v>
      </c>
      <c r="AH28" s="36"/>
      <c r="AI28" s="36"/>
      <c r="AJ28" s="122"/>
      <c r="AK28" s="129" t="str">
        <f t="shared" ca="1" si="3"/>
        <v/>
      </c>
      <c r="AL28" s="268" t="str">
        <f t="shared" si="4"/>
        <v>May</v>
      </c>
      <c r="AM28" s="133">
        <f>YEAR(Table1[[#This Row],[ETA
As requested
dd.mm.yyyy]])</f>
        <v>2026</v>
      </c>
    </row>
    <row r="29" spans="1:40" hidden="1">
      <c r="A29" s="36" t="s">
        <v>26</v>
      </c>
      <c r="B29" s="36" t="s">
        <v>2464</v>
      </c>
      <c r="C29" s="117">
        <v>5500495155</v>
      </c>
      <c r="D29" s="165">
        <v>45749</v>
      </c>
      <c r="E29" s="117">
        <v>1535100044</v>
      </c>
      <c r="F29" s="36" t="str">
        <f>IFERROR(VLOOKUP(Table1[[#This Row],[Part Number]],DATABASE_FG!$C$6:D10018,2,FALSE)," ")</f>
        <v>VALVE BODY         .</v>
      </c>
      <c r="G29" s="117" t="str">
        <f>IFERROR(_xlfn.XLOOKUP(Table1[[#This Row],[Part Number]],Table3[Part number],Table3[Drawing
 Revision]),"")</f>
        <v>AB</v>
      </c>
      <c r="H29" s="118" cm="1">
        <f t="array" ref="H29">IFERROR(INDEX(PDB!$C:$AT,MATCH(E29,PDB!$B:$B,0),MATCH(YEAR(K29),0+PDB!$C$1:$AT$1,0)),"")</f>
        <v>0</v>
      </c>
      <c r="I29" s="36">
        <v>15</v>
      </c>
      <c r="J29" s="36">
        <f>IFERROR(Table1[[#This Row],[Quantity]]*Table1[[#This Row],[Price/Unit
EUR]]," ")</f>
        <v>0</v>
      </c>
      <c r="K29" s="121">
        <v>46197</v>
      </c>
      <c r="L29" s="36">
        <f>WEEKNUM(Table1[[#This Row],[ETA
As requested
dd.mm.yyyy]])</f>
        <v>26</v>
      </c>
      <c r="M29" s="36">
        <f>YEAR(Table1[[#This Row],[ETA
As requested
dd.mm.yyyy]])</f>
        <v>2026</v>
      </c>
      <c r="N29" s="36">
        <f>IFERROR(INDEX(DATABASE_FG!$H$5:$H$367, MATCH(E29, DATABASE_FG!$C$5:$C$367, 0)), " ")</f>
        <v>0</v>
      </c>
      <c r="O29" s="129" t="str">
        <f>IF(E29&lt;&gt;"", _xlfn.XLOOKUP(E29, DATABASE_FG!C:C, DATABASE_FG!F:F), " ")</f>
        <v>Ventilkoerper</v>
      </c>
      <c r="P29" s="129">
        <f>IFERROR(INDEX(DATABASE_FG!$G$5:$G$367, MATCH(E29, DATABASE_FG!$C$5:$C$367, 0)), "Not Found")</f>
        <v>550</v>
      </c>
      <c r="Q29" s="36">
        <v>56</v>
      </c>
      <c r="R29" s="125" t="s">
        <v>678</v>
      </c>
      <c r="S29" s="123">
        <f>IFERROR(INDEX(DATABASE_FG!$L$5:$L$367, MATCH(E29, DATABASE_FG!$C$5:$C$367, 0)), " ")</f>
        <v>56</v>
      </c>
      <c r="T29" s="36" t="s">
        <v>677</v>
      </c>
      <c r="U29" s="36"/>
      <c r="V29" s="36"/>
      <c r="W29" s="129"/>
      <c r="X29" s="36"/>
      <c r="Y29" s="36"/>
      <c r="Z29" s="36"/>
      <c r="AA29" s="125" t="s">
        <v>3</v>
      </c>
      <c r="AB29" s="172"/>
      <c r="AC29" s="119"/>
      <c r="AD29" s="36" t="str">
        <f t="shared" si="0"/>
        <v/>
      </c>
      <c r="AE29" s="36" t="str">
        <f t="shared" si="1"/>
        <v/>
      </c>
      <c r="AF29" s="36"/>
      <c r="AG29" s="120">
        <f t="shared" si="2"/>
        <v>0</v>
      </c>
      <c r="AH29" s="36"/>
      <c r="AI29" s="36"/>
      <c r="AJ29" s="122"/>
      <c r="AK29" s="129" t="str">
        <f t="shared" ca="1" si="3"/>
        <v/>
      </c>
      <c r="AL29" s="268" t="str">
        <f t="shared" si="4"/>
        <v>June</v>
      </c>
      <c r="AM29" s="133">
        <f>YEAR(Table1[[#This Row],[ETA
As requested
dd.mm.yyyy]])</f>
        <v>2026</v>
      </c>
    </row>
    <row r="30" spans="1:40" hidden="1">
      <c r="A30" s="36" t="s">
        <v>26</v>
      </c>
      <c r="B30" s="36" t="s">
        <v>2464</v>
      </c>
      <c r="C30" s="117">
        <v>5500495155</v>
      </c>
      <c r="D30" s="165">
        <v>45749</v>
      </c>
      <c r="E30" s="117">
        <v>1535100044</v>
      </c>
      <c r="F30" s="36" t="str">
        <f>IFERROR(VLOOKUP(Table1[[#This Row],[Part Number]],DATABASE_FG!$C$6:D10019,2,FALSE)," ")</f>
        <v>VALVE BODY         .</v>
      </c>
      <c r="G30" s="117" t="str">
        <f>IFERROR(_xlfn.XLOOKUP(Table1[[#This Row],[Part Number]],Table3[Part number],Table3[Drawing
 Revision]),"")</f>
        <v>AB</v>
      </c>
      <c r="H30" s="118" cm="1">
        <f t="array" ref="H30">IFERROR(INDEX(PDB!$C:$AT,MATCH(E30,PDB!$B:$B,0),MATCH(YEAR(K30),0+PDB!$C$1:$AT$1,0)),"")</f>
        <v>0</v>
      </c>
      <c r="I30" s="36">
        <v>30</v>
      </c>
      <c r="J30" s="36">
        <f>IFERROR(Table1[[#This Row],[Quantity]]*Table1[[#This Row],[Price/Unit
EUR]]," ")</f>
        <v>0</v>
      </c>
      <c r="K30" s="121">
        <v>46230</v>
      </c>
      <c r="L30" s="36">
        <f>WEEKNUM(Table1[[#This Row],[ETA
As requested
dd.mm.yyyy]])</f>
        <v>31</v>
      </c>
      <c r="M30" s="36">
        <f>YEAR(Table1[[#This Row],[ETA
As requested
dd.mm.yyyy]])</f>
        <v>2026</v>
      </c>
      <c r="N30" s="36">
        <f>IFERROR(INDEX(DATABASE_FG!$H$5:$H$367, MATCH(E30, DATABASE_FG!$C$5:$C$367, 0)), " ")</f>
        <v>0</v>
      </c>
      <c r="O30" s="129" t="str">
        <f>IF(E30&lt;&gt;"", _xlfn.XLOOKUP(E30, DATABASE_FG!C:C, DATABASE_FG!F:F), " ")</f>
        <v>Ventilkoerper</v>
      </c>
      <c r="P30" s="129">
        <f>IFERROR(INDEX(DATABASE_FG!$G$5:$G$367, MATCH(E30, DATABASE_FG!$C$5:$C$367, 0)), "Not Found")</f>
        <v>550</v>
      </c>
      <c r="Q30" s="36">
        <v>56</v>
      </c>
      <c r="R30" s="125" t="s">
        <v>678</v>
      </c>
      <c r="S30" s="123">
        <f>IFERROR(INDEX(DATABASE_FG!$L$5:$L$367, MATCH(E30, DATABASE_FG!$C$5:$C$367, 0)), " ")</f>
        <v>56</v>
      </c>
      <c r="T30" s="36" t="s">
        <v>677</v>
      </c>
      <c r="U30" s="36"/>
      <c r="V30" s="36"/>
      <c r="W30" s="129"/>
      <c r="X30" s="36"/>
      <c r="Y30" s="36"/>
      <c r="Z30" s="36"/>
      <c r="AA30" s="125" t="s">
        <v>3</v>
      </c>
      <c r="AB30" s="172"/>
      <c r="AC30" s="119"/>
      <c r="AD30" s="36" t="str">
        <f t="shared" si="0"/>
        <v/>
      </c>
      <c r="AE30" s="36" t="str">
        <f t="shared" si="1"/>
        <v/>
      </c>
      <c r="AF30" s="36"/>
      <c r="AG30" s="120">
        <f t="shared" si="2"/>
        <v>0</v>
      </c>
      <c r="AH30" s="36"/>
      <c r="AI30" s="36"/>
      <c r="AJ30" s="122"/>
      <c r="AK30" s="129" t="str">
        <f t="shared" ca="1" si="3"/>
        <v/>
      </c>
      <c r="AL30" s="268" t="str">
        <f t="shared" si="4"/>
        <v>July</v>
      </c>
      <c r="AM30" s="133">
        <f>YEAR(Table1[[#This Row],[ETA
As requested
dd.mm.yyyy]])</f>
        <v>2026</v>
      </c>
    </row>
    <row r="31" spans="1:40" hidden="1">
      <c r="A31" s="36" t="s">
        <v>26</v>
      </c>
      <c r="B31" s="36" t="s">
        <v>2464</v>
      </c>
      <c r="C31" s="117">
        <v>5500495155</v>
      </c>
      <c r="D31" s="165">
        <v>45749</v>
      </c>
      <c r="E31" s="117">
        <v>1535100044</v>
      </c>
      <c r="F31" s="36" t="str">
        <f>IFERROR(VLOOKUP(Table1[[#This Row],[Part Number]],DATABASE_FG!$C$6:D10020,2,FALSE)," ")</f>
        <v>VALVE BODY         .</v>
      </c>
      <c r="G31" s="117" t="str">
        <f>IFERROR(_xlfn.XLOOKUP(Table1[[#This Row],[Part Number]],Table3[Part number],Table3[Drawing
 Revision]),"")</f>
        <v>AB</v>
      </c>
      <c r="H31" s="118" cm="1">
        <f t="array" ref="H31">IFERROR(INDEX(PDB!$C:$AT,MATCH(E31,PDB!$B:$B,0),MATCH(YEAR(K31),0+PDB!$C$1:$AT$1,0)),"")</f>
        <v>0</v>
      </c>
      <c r="I31" s="36">
        <v>30</v>
      </c>
      <c r="J31" s="36">
        <f>IFERROR(Table1[[#This Row],[Quantity]]*Table1[[#This Row],[Price/Unit
EUR]]," ")</f>
        <v>0</v>
      </c>
      <c r="K31" s="121">
        <v>46259</v>
      </c>
      <c r="L31" s="36">
        <f>WEEKNUM(Table1[[#This Row],[ETA
As requested
dd.mm.yyyy]])</f>
        <v>35</v>
      </c>
      <c r="M31" s="36">
        <f>YEAR(Table1[[#This Row],[ETA
As requested
dd.mm.yyyy]])</f>
        <v>2026</v>
      </c>
      <c r="N31" s="36">
        <f>IFERROR(INDEX(DATABASE_FG!$H$5:$H$367, MATCH(E31, DATABASE_FG!$C$5:$C$367, 0)), " ")</f>
        <v>0</v>
      </c>
      <c r="O31" s="129" t="str">
        <f>IF(E31&lt;&gt;"", _xlfn.XLOOKUP(E31, DATABASE_FG!C:C, DATABASE_FG!F:F), " ")</f>
        <v>Ventilkoerper</v>
      </c>
      <c r="P31" s="129">
        <f>IFERROR(INDEX(DATABASE_FG!$G$5:$G$367, MATCH(E31, DATABASE_FG!$C$5:$C$367, 0)), "Not Found")</f>
        <v>550</v>
      </c>
      <c r="Q31" s="36">
        <v>56</v>
      </c>
      <c r="R31" s="125" t="s">
        <v>678</v>
      </c>
      <c r="S31" s="123">
        <f>IFERROR(INDEX(DATABASE_FG!$L$5:$L$367, MATCH(E31, DATABASE_FG!$C$5:$C$367, 0)), " ")</f>
        <v>56</v>
      </c>
      <c r="T31" s="36" t="s">
        <v>677</v>
      </c>
      <c r="U31" s="36"/>
      <c r="V31" s="36"/>
      <c r="W31" s="129"/>
      <c r="X31" s="36"/>
      <c r="Y31" s="36"/>
      <c r="Z31" s="36"/>
      <c r="AA31" s="125" t="s">
        <v>3</v>
      </c>
      <c r="AB31" s="172"/>
      <c r="AC31" s="119"/>
      <c r="AD31" s="36" t="str">
        <f t="shared" si="0"/>
        <v/>
      </c>
      <c r="AE31" s="36" t="str">
        <f t="shared" si="1"/>
        <v/>
      </c>
      <c r="AF31" s="36"/>
      <c r="AG31" s="120">
        <f t="shared" si="2"/>
        <v>0</v>
      </c>
      <c r="AH31" s="36"/>
      <c r="AI31" s="36"/>
      <c r="AJ31" s="122"/>
      <c r="AK31" s="129" t="str">
        <f t="shared" ca="1" si="3"/>
        <v/>
      </c>
      <c r="AL31" s="268" t="str">
        <f t="shared" si="4"/>
        <v>August</v>
      </c>
      <c r="AM31" s="133">
        <f>YEAR(Table1[[#This Row],[ETA
As requested
dd.mm.yyyy]])</f>
        <v>2026</v>
      </c>
    </row>
    <row r="32" spans="1:40" hidden="1">
      <c r="A32" s="36" t="s">
        <v>26</v>
      </c>
      <c r="B32" s="36" t="s">
        <v>2464</v>
      </c>
      <c r="C32" s="117">
        <v>5500495155</v>
      </c>
      <c r="D32" s="165">
        <v>45749</v>
      </c>
      <c r="E32" s="117">
        <v>1535100044</v>
      </c>
      <c r="F32" s="36" t="str">
        <f>IFERROR(VLOOKUP(Table1[[#This Row],[Part Number]],DATABASE_FG!$C$6:D10021,2,FALSE)," ")</f>
        <v>VALVE BODY         .</v>
      </c>
      <c r="G32" s="117" t="str">
        <f>IFERROR(_xlfn.XLOOKUP(Table1[[#This Row],[Part Number]],Table3[Part number],Table3[Drawing
 Revision]),"")</f>
        <v>AB</v>
      </c>
      <c r="H32" s="118" cm="1">
        <f t="array" ref="H32">IFERROR(INDEX(PDB!$C:$AT,MATCH(E32,PDB!$B:$B,0),MATCH(YEAR(K32),0+PDB!$C$1:$AT$1,0)),"")</f>
        <v>0</v>
      </c>
      <c r="I32" s="36">
        <v>25</v>
      </c>
      <c r="J32" s="36">
        <f>IFERROR(Table1[[#This Row],[Quantity]]*Table1[[#This Row],[Price/Unit
EUR]]," ")</f>
        <v>0</v>
      </c>
      <c r="K32" s="121">
        <v>46289</v>
      </c>
      <c r="L32" s="36">
        <f>WEEKNUM(Table1[[#This Row],[ETA
As requested
dd.mm.yyyy]])</f>
        <v>39</v>
      </c>
      <c r="M32" s="36">
        <f>YEAR(Table1[[#This Row],[ETA
As requested
dd.mm.yyyy]])</f>
        <v>2026</v>
      </c>
      <c r="N32" s="36">
        <f>IFERROR(INDEX(DATABASE_FG!$H$5:$H$367, MATCH(E32, DATABASE_FG!$C$5:$C$367, 0)), " ")</f>
        <v>0</v>
      </c>
      <c r="O32" s="129" t="str">
        <f>IF(E32&lt;&gt;"", _xlfn.XLOOKUP(E32, DATABASE_FG!C:C, DATABASE_FG!F:F), " ")</f>
        <v>Ventilkoerper</v>
      </c>
      <c r="P32" s="129">
        <f>IFERROR(INDEX(DATABASE_FG!$G$5:$G$367, MATCH(E32, DATABASE_FG!$C$5:$C$367, 0)), "Not Found")</f>
        <v>550</v>
      </c>
      <c r="Q32" s="36">
        <v>56</v>
      </c>
      <c r="R32" s="125" t="s">
        <v>678</v>
      </c>
      <c r="S32" s="123">
        <f>IFERROR(INDEX(DATABASE_FG!$L$5:$L$367, MATCH(E32, DATABASE_FG!$C$5:$C$367, 0)), " ")</f>
        <v>56</v>
      </c>
      <c r="T32" s="36" t="s">
        <v>677</v>
      </c>
      <c r="U32" s="36"/>
      <c r="V32" s="36"/>
      <c r="W32" s="129"/>
      <c r="X32" s="36"/>
      <c r="Y32" s="36"/>
      <c r="Z32" s="36"/>
      <c r="AA32" s="125" t="s">
        <v>3</v>
      </c>
      <c r="AB32" s="172"/>
      <c r="AC32" s="119"/>
      <c r="AD32" s="36" t="str">
        <f t="shared" si="0"/>
        <v/>
      </c>
      <c r="AE32" s="36" t="str">
        <f t="shared" si="1"/>
        <v/>
      </c>
      <c r="AF32" s="36"/>
      <c r="AG32" s="120">
        <f t="shared" si="2"/>
        <v>0</v>
      </c>
      <c r="AH32" s="36"/>
      <c r="AI32" s="36"/>
      <c r="AJ32" s="122"/>
      <c r="AK32" s="129" t="str">
        <f t="shared" ca="1" si="3"/>
        <v/>
      </c>
      <c r="AL32" s="268" t="str">
        <f t="shared" si="4"/>
        <v>September</v>
      </c>
      <c r="AM32" s="133">
        <f>YEAR(Table1[[#This Row],[ETA
As requested
dd.mm.yyyy]])</f>
        <v>2026</v>
      </c>
      <c r="AN32" s="191"/>
    </row>
    <row r="33" spans="1:40" hidden="1">
      <c r="A33" s="36" t="s">
        <v>26</v>
      </c>
      <c r="B33" s="36" t="s">
        <v>2464</v>
      </c>
      <c r="C33" s="117">
        <v>5500495155</v>
      </c>
      <c r="D33" s="165">
        <v>45749</v>
      </c>
      <c r="E33" s="117">
        <v>1535100044</v>
      </c>
      <c r="F33" s="36" t="str">
        <f>IFERROR(VLOOKUP(Table1[[#This Row],[Part Number]],DATABASE_FG!$C$6:D10022,2,FALSE)," ")</f>
        <v>VALVE BODY         .</v>
      </c>
      <c r="G33" s="117" t="str">
        <f>IFERROR(_xlfn.XLOOKUP(Table1[[#This Row],[Part Number]],Table3[Part number],Table3[Drawing
 Revision]),"")</f>
        <v>AB</v>
      </c>
      <c r="H33" s="118" cm="1">
        <f t="array" ref="H33">IFERROR(INDEX(PDB!$C:$AT,MATCH(E33,PDB!$B:$B,0),MATCH(YEAR(K33),0+PDB!$C$1:$AT$1,0)),"")</f>
        <v>0</v>
      </c>
      <c r="I33" s="36">
        <v>30</v>
      </c>
      <c r="J33" s="36">
        <f>IFERROR(Table1[[#This Row],[Quantity]]*Table1[[#This Row],[Price/Unit
EUR]]," ")</f>
        <v>0</v>
      </c>
      <c r="K33" s="121">
        <v>46321</v>
      </c>
      <c r="L33" s="36">
        <f>WEEKNUM(Table1[[#This Row],[ETA
As requested
dd.mm.yyyy]])</f>
        <v>44</v>
      </c>
      <c r="M33" s="36">
        <f>YEAR(Table1[[#This Row],[ETA
As requested
dd.mm.yyyy]])</f>
        <v>2026</v>
      </c>
      <c r="N33" s="36">
        <f>IFERROR(INDEX(DATABASE_FG!$H$5:$H$367, MATCH(E33, DATABASE_FG!$C$5:$C$367, 0)), " ")</f>
        <v>0</v>
      </c>
      <c r="O33" s="129" t="str">
        <f>IF(E33&lt;&gt;"", _xlfn.XLOOKUP(E33, DATABASE_FG!C:C, DATABASE_FG!F:F), " ")</f>
        <v>Ventilkoerper</v>
      </c>
      <c r="P33" s="129">
        <f>IFERROR(INDEX(DATABASE_FG!$G$5:$G$367, MATCH(E33, DATABASE_FG!$C$5:$C$367, 0)), "Not Found")</f>
        <v>550</v>
      </c>
      <c r="Q33" s="36">
        <v>56</v>
      </c>
      <c r="R33" s="125" t="s">
        <v>678</v>
      </c>
      <c r="S33" s="123">
        <f>IFERROR(INDEX(DATABASE_FG!$L$5:$L$367, MATCH(E33, DATABASE_FG!$C$5:$C$367, 0)), " ")</f>
        <v>56</v>
      </c>
      <c r="T33" s="36" t="s">
        <v>677</v>
      </c>
      <c r="U33" s="36"/>
      <c r="V33" s="36"/>
      <c r="W33" s="129"/>
      <c r="X33" s="36"/>
      <c r="Y33" s="36"/>
      <c r="Z33" s="36"/>
      <c r="AA33" s="125" t="s">
        <v>3</v>
      </c>
      <c r="AB33" s="172"/>
      <c r="AC33" s="119"/>
      <c r="AD33" s="36" t="str">
        <f t="shared" si="0"/>
        <v/>
      </c>
      <c r="AE33" s="36" t="str">
        <f t="shared" si="1"/>
        <v/>
      </c>
      <c r="AF33" s="36"/>
      <c r="AG33" s="120">
        <f t="shared" si="2"/>
        <v>0</v>
      </c>
      <c r="AH33" s="36"/>
      <c r="AI33" s="36"/>
      <c r="AJ33" s="122"/>
      <c r="AK33" s="129" t="str">
        <f t="shared" ca="1" si="3"/>
        <v/>
      </c>
      <c r="AL33" s="268" t="str">
        <f t="shared" si="4"/>
        <v>October</v>
      </c>
      <c r="AM33" s="133">
        <f>YEAR(Table1[[#This Row],[ETA
As requested
dd.mm.yyyy]])</f>
        <v>2026</v>
      </c>
      <c r="AN33" s="191"/>
    </row>
    <row r="34" spans="1:40" ht="15.75" hidden="1">
      <c r="A34" s="36" t="s">
        <v>26</v>
      </c>
      <c r="B34" s="36" t="s">
        <v>1170</v>
      </c>
      <c r="C34" s="117">
        <v>5500495154</v>
      </c>
      <c r="D34" s="165">
        <v>45491</v>
      </c>
      <c r="E34" s="117">
        <v>1535100045</v>
      </c>
      <c r="F34" s="36" t="str">
        <f>IFERROR(VLOOKUP(Table1[[#This Row],[Part Number]],DATABASE_FG!$C$6:D10023,2,FALSE)," ")</f>
        <v>VALVE BODY</v>
      </c>
      <c r="G34" s="117">
        <f>IFERROR(_xlfn.XLOOKUP(Table1[[#This Row],[Part Number]],Table3[Part number],Table3[Drawing
 Revision]),"")</f>
        <v>1</v>
      </c>
      <c r="H34" s="118" cm="1">
        <f t="array" ref="H34">IFERROR(INDEX(PDB!$C:$AT,MATCH(E34,PDB!$B:$B,0),MATCH(YEAR(K34),0+PDB!$C$1:$AT$1,0)),"")</f>
        <v>0.97</v>
      </c>
      <c r="I34" s="36">
        <v>16</v>
      </c>
      <c r="J34" s="36">
        <f>IFERROR(Table1[[#This Row],[Quantity]]*Table1[[#This Row],[Price/Unit
EUR]]," ")</f>
        <v>15.52</v>
      </c>
      <c r="K34" s="121">
        <v>45534</v>
      </c>
      <c r="L34" s="36">
        <f>WEEKNUM(Table1[[#This Row],[ETA
As requested
dd.mm.yyyy]])</f>
        <v>35</v>
      </c>
      <c r="M34" s="36">
        <f>YEAR(Table1[[#This Row],[ETA
As requested
dd.mm.yyyy]])</f>
        <v>2024</v>
      </c>
      <c r="N34" s="36">
        <f>IFERROR(INDEX(DATABASE_FG!$H$5:$H$367, MATCH(E34, DATABASE_FG!$C$5:$C$367, 0)), " ")</f>
        <v>0</v>
      </c>
      <c r="O34" s="129" t="str">
        <f>IF(E34&lt;&gt;"", _xlfn.XLOOKUP(E34, DATABASE_FG!C:C, DATABASE_FG!F:F), " ")</f>
        <v>Ventilkoerper</v>
      </c>
      <c r="P34" s="129">
        <f>IFERROR(INDEX(DATABASE_FG!$G$5:$G$367, MATCH(E34, DATABASE_FG!$C$5:$C$367, 0)), "Not Found")</f>
        <v>16</v>
      </c>
      <c r="Q34" s="36"/>
      <c r="R34" s="125" t="s">
        <v>678</v>
      </c>
      <c r="S34" s="123">
        <f>IFERROR(INDEX(DATABASE_FG!$L$5:$L$367, MATCH(E34, DATABASE_FG!$C$5:$C$367, 0)), " ")</f>
        <v>42</v>
      </c>
      <c r="T34" s="36" t="s">
        <v>679</v>
      </c>
      <c r="U34" s="36"/>
      <c r="V34" s="36"/>
      <c r="W34" s="129"/>
      <c r="X34" s="36"/>
      <c r="Y34" s="36"/>
      <c r="Z34" s="36"/>
      <c r="AA34" s="125" t="s">
        <v>121</v>
      </c>
      <c r="AB34" s="172">
        <v>45581</v>
      </c>
      <c r="AC34" s="119">
        <v>202401244</v>
      </c>
      <c r="AD34" s="36">
        <f t="shared" si="0"/>
        <v>5500495154</v>
      </c>
      <c r="AE34" s="36">
        <f t="shared" si="1"/>
        <v>1535100045</v>
      </c>
      <c r="AF34" s="36">
        <f>16-16</f>
        <v>0</v>
      </c>
      <c r="AG34" s="120">
        <f t="shared" si="2"/>
        <v>0</v>
      </c>
      <c r="AH34" s="36"/>
      <c r="AI34" s="36" t="s">
        <v>2140</v>
      </c>
      <c r="AJ34" s="122" t="s">
        <v>2141</v>
      </c>
      <c r="AK34" s="129" t="str">
        <f t="shared" ca="1" si="3"/>
        <v>Late</v>
      </c>
      <c r="AL34" s="268" t="str">
        <f t="shared" si="4"/>
        <v>August</v>
      </c>
      <c r="AM34" s="133">
        <f>YEAR(Table1[[#This Row],[ETA
As requested
dd.mm.yyyy]])</f>
        <v>2024</v>
      </c>
    </row>
    <row r="35" spans="1:40" ht="15.75" hidden="1">
      <c r="A35" s="36" t="s">
        <v>26</v>
      </c>
      <c r="B35" s="36" t="s">
        <v>1170</v>
      </c>
      <c r="C35" s="117">
        <v>5500495154</v>
      </c>
      <c r="D35" s="165">
        <v>45491</v>
      </c>
      <c r="E35" s="117">
        <v>1535100045</v>
      </c>
      <c r="F35" s="36" t="str">
        <f>IFERROR(VLOOKUP(Table1[[#This Row],[Part Number]],DATABASE_FG!$C$6:D10024,2,FALSE)," ")</f>
        <v>VALVE BODY</v>
      </c>
      <c r="G35" s="117">
        <f>IFERROR(_xlfn.XLOOKUP(Table1[[#This Row],[Part Number]],Table3[Part number],Table3[Drawing
 Revision]),"")</f>
        <v>1</v>
      </c>
      <c r="H35" s="118" cm="1">
        <f t="array" ref="H35">IFERROR(INDEX(PDB!$C:$AT,MATCH(E35,PDB!$B:$B,0),MATCH(YEAR(K35),0+PDB!$C$1:$AT$1,0)),"")</f>
        <v>0.97</v>
      </c>
      <c r="I35" s="36">
        <v>100</v>
      </c>
      <c r="J35" s="36">
        <f>IFERROR(Table1[[#This Row],[Quantity]]*Table1[[#This Row],[Price/Unit
EUR]]," ")</f>
        <v>97</v>
      </c>
      <c r="K35" s="121">
        <v>45594</v>
      </c>
      <c r="L35" s="36">
        <f>WEEKNUM(Table1[[#This Row],[ETA
As requested
dd.mm.yyyy]])</f>
        <v>44</v>
      </c>
      <c r="M35" s="36">
        <f>YEAR(Table1[[#This Row],[ETA
As requested
dd.mm.yyyy]])</f>
        <v>2024</v>
      </c>
      <c r="N35" s="36">
        <f>IFERROR(INDEX(DATABASE_FG!$H$5:$H$367, MATCH(E35, DATABASE_FG!$C$5:$C$367, 0)), " ")</f>
        <v>0</v>
      </c>
      <c r="O35" s="129" t="str">
        <f>IF(E35&lt;&gt;"", _xlfn.XLOOKUP(E35, DATABASE_FG!C:C, DATABASE_FG!F:F), " ")</f>
        <v>Ventilkoerper</v>
      </c>
      <c r="P35" s="129">
        <f>IFERROR(INDEX(DATABASE_FG!$G$5:$G$367, MATCH(E35, DATABASE_FG!$C$5:$C$367, 0)), "Not Found")</f>
        <v>16</v>
      </c>
      <c r="Q35" s="36"/>
      <c r="R35" s="125"/>
      <c r="S35" s="123">
        <f>IFERROR(INDEX(DATABASE_FG!$L$5:$L$367, MATCH(E35, DATABASE_FG!$C$5:$C$367, 0)), " ")</f>
        <v>42</v>
      </c>
      <c r="T35" s="36"/>
      <c r="U35" s="36"/>
      <c r="V35" s="36"/>
      <c r="W35" s="129"/>
      <c r="X35" s="36"/>
      <c r="Y35" s="36"/>
      <c r="Z35" s="36"/>
      <c r="AA35" s="125" t="s">
        <v>121</v>
      </c>
      <c r="AB35" s="172">
        <v>45581</v>
      </c>
      <c r="AC35" s="119">
        <v>202401244</v>
      </c>
      <c r="AD35" s="36">
        <f t="shared" si="0"/>
        <v>5500495154</v>
      </c>
      <c r="AE35" s="36">
        <f t="shared" si="1"/>
        <v>1535100045</v>
      </c>
      <c r="AF35" s="36">
        <f>100-100</f>
        <v>0</v>
      </c>
      <c r="AG35" s="120">
        <f t="shared" si="2"/>
        <v>0</v>
      </c>
      <c r="AH35" s="36"/>
      <c r="AI35" s="124" t="s">
        <v>2140</v>
      </c>
      <c r="AJ35" s="122" t="s">
        <v>2141</v>
      </c>
      <c r="AK35" s="129" t="str">
        <f t="shared" ca="1" si="3"/>
        <v>On Time</v>
      </c>
      <c r="AL35" s="268" t="str">
        <f t="shared" si="4"/>
        <v>October</v>
      </c>
      <c r="AM35" s="133">
        <f>YEAR(Table1[[#This Row],[ETA
As requested
dd.mm.yyyy]])</f>
        <v>2024</v>
      </c>
    </row>
    <row r="36" spans="1:40" hidden="1">
      <c r="A36" s="36" t="s">
        <v>26</v>
      </c>
      <c r="B36" s="36" t="s">
        <v>1170</v>
      </c>
      <c r="C36" s="117">
        <v>5500495154</v>
      </c>
      <c r="D36" s="165">
        <v>45491</v>
      </c>
      <c r="E36" s="117">
        <v>1535100045</v>
      </c>
      <c r="F36" s="36" t="str">
        <f>IFERROR(VLOOKUP(Table1[[#This Row],[Part Number]],DATABASE_FG!$C$6:D10025,2,FALSE)," ")</f>
        <v>VALVE BODY</v>
      </c>
      <c r="G36" s="117">
        <f>IFERROR(_xlfn.XLOOKUP(Table1[[#This Row],[Part Number]],Table3[Part number],Table3[Drawing
 Revision]),"")</f>
        <v>1</v>
      </c>
      <c r="H36" s="118" cm="1">
        <f t="array" ref="H36">IFERROR(INDEX(PDB!$C:$AT,MATCH(E36,PDB!$B:$B,0),MATCH(YEAR(K36),0+PDB!$C$1:$AT$1,0)),"")</f>
        <v>0.97</v>
      </c>
      <c r="I36" s="36">
        <f>86+114+100+65</f>
        <v>365</v>
      </c>
      <c r="J36" s="36">
        <f>IFERROR(Table1[[#This Row],[Quantity]]*Table1[[#This Row],[Price/Unit
EUR]]," ")</f>
        <v>354.05</v>
      </c>
      <c r="K36" s="121">
        <v>45904</v>
      </c>
      <c r="L36" s="36">
        <f>WEEKNUM(Table1[[#This Row],[ETA
As requested
dd.mm.yyyy]])</f>
        <v>36</v>
      </c>
      <c r="M36" s="36">
        <f>YEAR(Table1[[#This Row],[ETA
As requested
dd.mm.yyyy]])</f>
        <v>2025</v>
      </c>
      <c r="N36" s="36">
        <f>IFERROR(INDEX(DATABASE_FG!$H$5:$H$367, MATCH(E36, DATABASE_FG!$C$5:$C$367, 0)), " ")</f>
        <v>0</v>
      </c>
      <c r="O36" s="129" t="str">
        <f>IF(E36&lt;&gt;"", _xlfn.XLOOKUP(E36, DATABASE_FG!C:C, DATABASE_FG!F:F), " ")</f>
        <v>Ventilkoerper</v>
      </c>
      <c r="P36" s="129">
        <f>IFERROR(INDEX(DATABASE_FG!$G$5:$G$367, MATCH(E36, DATABASE_FG!$C$5:$C$367, 0)), "Not Found")</f>
        <v>16</v>
      </c>
      <c r="Q36" s="36"/>
      <c r="R36" s="125"/>
      <c r="S36" s="123">
        <f>Table1[[#This Row],[Quantity]]/48</f>
        <v>7.604166666666667</v>
      </c>
      <c r="T36" s="36"/>
      <c r="U36" s="36" t="s">
        <v>3663</v>
      </c>
      <c r="V36" s="36"/>
      <c r="W36" s="129" t="s">
        <v>677</v>
      </c>
      <c r="X36" s="36"/>
      <c r="Y36" s="36" t="s">
        <v>3182</v>
      </c>
      <c r="Z36" s="36"/>
      <c r="AA36" s="125" t="s">
        <v>121</v>
      </c>
      <c r="AB36" s="172">
        <v>45859</v>
      </c>
      <c r="AC36" s="119">
        <v>251083</v>
      </c>
      <c r="AD36" s="36">
        <f t="shared" si="0"/>
        <v>5500495154</v>
      </c>
      <c r="AE36" s="36">
        <f t="shared" si="1"/>
        <v>1535100045</v>
      </c>
      <c r="AF36" s="36">
        <v>365</v>
      </c>
      <c r="AG36" s="120">
        <f t="shared" si="2"/>
        <v>354.05</v>
      </c>
      <c r="AH36" s="36"/>
      <c r="AI36" s="36"/>
      <c r="AJ36" s="122" t="s">
        <v>3664</v>
      </c>
      <c r="AK36" s="129" t="str">
        <f t="shared" ca="1" si="3"/>
        <v>On Time</v>
      </c>
      <c r="AL36" s="268" t="str">
        <f t="shared" si="4"/>
        <v>September</v>
      </c>
      <c r="AM36" s="133">
        <f>YEAR(Table1[[#This Row],[ETA
As requested
dd.mm.yyyy]])</f>
        <v>2025</v>
      </c>
    </row>
    <row r="37" spans="1:40" hidden="1">
      <c r="A37" s="36" t="s">
        <v>26</v>
      </c>
      <c r="B37" s="36" t="s">
        <v>2464</v>
      </c>
      <c r="C37" s="117">
        <v>5500495154</v>
      </c>
      <c r="D37" s="165">
        <v>45491</v>
      </c>
      <c r="E37" s="117">
        <v>1535100045</v>
      </c>
      <c r="F37" s="36" t="str">
        <f>IFERROR(VLOOKUP(Table1[[#This Row],[Part Number]],DATABASE_FG!$C$6:D10026,2,FALSE)," ")</f>
        <v>VALVE BODY</v>
      </c>
      <c r="G37" s="117">
        <f>IFERROR(_xlfn.XLOOKUP(Table1[[#This Row],[Part Number]],Table3[Part number],Table3[Drawing
 Revision]),"")</f>
        <v>1</v>
      </c>
      <c r="H37" s="118" cm="1">
        <f t="array" ref="H37">IFERROR(INDEX(PDB!$C:$AT,MATCH(E37,PDB!$B:$B,0),MATCH(YEAR(K37),0+PDB!$C$1:$AT$1,0)),"")</f>
        <v>0.97</v>
      </c>
      <c r="I37" s="36">
        <f>100-65</f>
        <v>35</v>
      </c>
      <c r="J37" s="36">
        <f>IFERROR(Table1[[#This Row],[Quantity]]*Table1[[#This Row],[Price/Unit
EUR]]," ")</f>
        <v>33.949999999999996</v>
      </c>
      <c r="K37" s="121">
        <v>45965</v>
      </c>
      <c r="L37" s="36">
        <f>WEEKNUM(Table1[[#This Row],[ETA
As requested
dd.mm.yyyy]])</f>
        <v>45</v>
      </c>
      <c r="M37" s="36">
        <f>YEAR(Table1[[#This Row],[ETA
As requested
dd.mm.yyyy]])</f>
        <v>2025</v>
      </c>
      <c r="N37" s="36">
        <f>IFERROR(INDEX(DATABASE_FG!$H$5:$H$367, MATCH(E37, DATABASE_FG!$C$5:$C$367, 0)), " ")</f>
        <v>0</v>
      </c>
      <c r="O37" s="129" t="str">
        <f>IF(E37&lt;&gt;"", _xlfn.XLOOKUP(E37, DATABASE_FG!C:C, DATABASE_FG!F:F), " ")</f>
        <v>Ventilkoerper</v>
      </c>
      <c r="P37" s="129">
        <f>IFERROR(INDEX(DATABASE_FG!$G$5:$G$367, MATCH(E37, DATABASE_FG!$C$5:$C$367, 0)), "Not Found")</f>
        <v>16</v>
      </c>
      <c r="Q37" s="36"/>
      <c r="R37" s="125" t="s">
        <v>678</v>
      </c>
      <c r="S37" s="123">
        <f>IFERROR(INDEX(DATABASE_FG!$L$5:$L$367, MATCH(E37, DATABASE_FG!$C$5:$C$367, 0)), " ")</f>
        <v>42</v>
      </c>
      <c r="T37" s="36" t="s">
        <v>679</v>
      </c>
      <c r="U37" s="36"/>
      <c r="V37" s="36"/>
      <c r="W37" s="129" t="s">
        <v>677</v>
      </c>
      <c r="X37" s="36"/>
      <c r="Y37" s="36" t="s">
        <v>3182</v>
      </c>
      <c r="Z37" s="36"/>
      <c r="AA37" s="125" t="s">
        <v>3</v>
      </c>
      <c r="AB37" s="172"/>
      <c r="AC37" s="119"/>
      <c r="AD37" s="36" t="str">
        <f t="shared" si="0"/>
        <v/>
      </c>
      <c r="AE37" s="36" t="str">
        <f t="shared" si="1"/>
        <v/>
      </c>
      <c r="AF37" s="36"/>
      <c r="AG37" s="120">
        <f t="shared" si="2"/>
        <v>0</v>
      </c>
      <c r="AH37" s="36"/>
      <c r="AI37" s="36"/>
      <c r="AJ37" s="122"/>
      <c r="AK37" s="129" t="str">
        <f t="shared" ca="1" si="3"/>
        <v>Late</v>
      </c>
      <c r="AL37" s="268" t="str">
        <f t="shared" si="4"/>
        <v>November</v>
      </c>
      <c r="AM37" s="133">
        <f>YEAR(Table1[[#This Row],[ETA
As requested
dd.mm.yyyy]])</f>
        <v>2025</v>
      </c>
    </row>
    <row r="38" spans="1:40" hidden="1">
      <c r="A38" s="36" t="s">
        <v>26</v>
      </c>
      <c r="B38" s="36" t="s">
        <v>1170</v>
      </c>
      <c r="C38" s="117">
        <v>5500495154</v>
      </c>
      <c r="D38" s="165">
        <v>45491</v>
      </c>
      <c r="E38" s="117">
        <v>1535100045</v>
      </c>
      <c r="F38" s="36" t="str">
        <f>IFERROR(VLOOKUP(Table1[[#This Row],[Part Number]],DATABASE_FG!$C$6:D10027,2,FALSE)," ")</f>
        <v>VALVE BODY</v>
      </c>
      <c r="G38" s="117">
        <f>IFERROR(_xlfn.XLOOKUP(Table1[[#This Row],[Part Number]],Table3[Part number],Table3[Drawing
 Revision]),"")</f>
        <v>1</v>
      </c>
      <c r="H38" s="118" cm="1">
        <f t="array" ref="H38">IFERROR(INDEX(PDB!$C:$AT,MATCH(E38,PDB!$B:$B,0),MATCH(YEAR(K38),0+PDB!$C$1:$AT$1,0)),"")</f>
        <v>0.97</v>
      </c>
      <c r="I38" s="36">
        <v>100</v>
      </c>
      <c r="J38" s="36">
        <f>IFERROR(Table1[[#This Row],[Quantity]]*Table1[[#This Row],[Price/Unit
EUR]]," ")</f>
        <v>97</v>
      </c>
      <c r="K38" s="121">
        <v>45999</v>
      </c>
      <c r="L38" s="36">
        <f>WEEKNUM(Table1[[#This Row],[ETA
As requested
dd.mm.yyyy]])</f>
        <v>50</v>
      </c>
      <c r="M38" s="36">
        <f>YEAR(Table1[[#This Row],[ETA
As requested
dd.mm.yyyy]])</f>
        <v>2025</v>
      </c>
      <c r="N38" s="36">
        <f>IFERROR(INDEX(DATABASE_FG!$H$5:$H$367, MATCH(E38, DATABASE_FG!$C$5:$C$367, 0)), " ")</f>
        <v>0</v>
      </c>
      <c r="O38" s="129" t="str">
        <f>IF(E38&lt;&gt;"", _xlfn.XLOOKUP(E38, DATABASE_FG!C:C, DATABASE_FG!F:F), " ")</f>
        <v>Ventilkoerper</v>
      </c>
      <c r="P38" s="129">
        <f>IFERROR(INDEX(DATABASE_FG!$G$5:$G$367, MATCH(E38, DATABASE_FG!$C$5:$C$367, 0)), "Not Found")</f>
        <v>16</v>
      </c>
      <c r="Q38" s="36"/>
      <c r="R38" s="125"/>
      <c r="S38" s="123">
        <f>Table1[[#This Row],[Quantity]]/48</f>
        <v>2.0833333333333335</v>
      </c>
      <c r="T38" s="36"/>
      <c r="U38" s="36"/>
      <c r="V38" s="36"/>
      <c r="W38" s="129"/>
      <c r="X38" s="36"/>
      <c r="Y38" s="36"/>
      <c r="Z38" s="36"/>
      <c r="AA38" s="125" t="s">
        <v>3</v>
      </c>
      <c r="AB38" s="172"/>
      <c r="AC38" s="119"/>
      <c r="AD38" s="36" t="str">
        <f t="shared" si="0"/>
        <v/>
      </c>
      <c r="AE38" s="36" t="str">
        <f t="shared" si="1"/>
        <v/>
      </c>
      <c r="AF38" s="36"/>
      <c r="AG38" s="120">
        <f t="shared" si="2"/>
        <v>0</v>
      </c>
      <c r="AH38" s="36"/>
      <c r="AI38" s="124"/>
      <c r="AJ38" s="122"/>
      <c r="AK38" s="129" t="str">
        <f t="shared" ca="1" si="3"/>
        <v/>
      </c>
      <c r="AL38" s="268" t="str">
        <f t="shared" si="4"/>
        <v>December</v>
      </c>
      <c r="AM38" s="133">
        <f>YEAR(Table1[[#This Row],[ETA
As requested
dd.mm.yyyy]])</f>
        <v>2025</v>
      </c>
    </row>
    <row r="39" spans="1:40" hidden="1">
      <c r="A39" s="36" t="s">
        <v>26</v>
      </c>
      <c r="B39" s="36" t="s">
        <v>2464</v>
      </c>
      <c r="C39" s="117">
        <v>5500495154</v>
      </c>
      <c r="D39" s="165">
        <v>45428</v>
      </c>
      <c r="E39" s="117">
        <v>1535100045</v>
      </c>
      <c r="F39" s="36" t="str">
        <f>IFERROR(VLOOKUP(Table1[[#This Row],[Part Number]],DATABASE_FG!$C$6:D10028,2,FALSE)," ")</f>
        <v>VALVE BODY</v>
      </c>
      <c r="G39" s="117">
        <f>IFERROR(_xlfn.XLOOKUP(Table1[[#This Row],[Part Number]],Table3[Part number],Table3[Drawing
 Revision]),"")</f>
        <v>1</v>
      </c>
      <c r="H39" s="118" cm="1">
        <f t="array" ref="H39">IFERROR(INDEX(PDB!$C:$AT,MATCH(E39,PDB!$B:$B,0),MATCH(YEAR(K39),0+PDB!$C$1:$AT$1,0)),"")</f>
        <v>0</v>
      </c>
      <c r="I39" s="36">
        <v>100</v>
      </c>
      <c r="J39" s="36">
        <f>IFERROR(Table1[[#This Row],[Quantity]]*Table1[[#This Row],[Price/Unit
EUR]]," ")</f>
        <v>0</v>
      </c>
      <c r="K39" s="121">
        <v>46048</v>
      </c>
      <c r="L39" s="36">
        <f>WEEKNUM(Table1[[#This Row],[ETA
As requested
dd.mm.yyyy]])</f>
        <v>5</v>
      </c>
      <c r="M39" s="36">
        <f>YEAR(Table1[[#This Row],[ETA
As requested
dd.mm.yyyy]])</f>
        <v>2026</v>
      </c>
      <c r="N39" s="36">
        <f>IFERROR(INDEX(DATABASE_FG!$H$5:$H$367, MATCH(E39, DATABASE_FG!$C$5:$C$367, 0)), " ")</f>
        <v>0</v>
      </c>
      <c r="O39" s="129" t="str">
        <f>IF(E39&lt;&gt;"", _xlfn.XLOOKUP(E39, DATABASE_FG!C:C, DATABASE_FG!F:F), " ")</f>
        <v>Ventilkoerper</v>
      </c>
      <c r="P39" s="129">
        <f>IFERROR(INDEX(DATABASE_FG!$G$5:$G$367, MATCH(E39, DATABASE_FG!$C$5:$C$367, 0)), "Not Found")</f>
        <v>16</v>
      </c>
      <c r="Q39" s="36">
        <v>60</v>
      </c>
      <c r="R39" s="125" t="s">
        <v>678</v>
      </c>
      <c r="S39" s="123">
        <f>IFERROR(INDEX(DATABASE_FG!$L$5:$L$367, MATCH(E39, DATABASE_FG!$C$5:$C$367, 0)), " ")</f>
        <v>42</v>
      </c>
      <c r="T39" s="36" t="s">
        <v>677</v>
      </c>
      <c r="U39" s="36"/>
      <c r="V39" s="36"/>
      <c r="W39" s="129"/>
      <c r="X39" s="36"/>
      <c r="Y39" s="36" t="s">
        <v>121</v>
      </c>
      <c r="Z39" s="36"/>
      <c r="AA39" s="125" t="s">
        <v>3</v>
      </c>
      <c r="AB39" s="173"/>
      <c r="AC39" s="119"/>
      <c r="AD39" s="36" t="str">
        <f t="shared" si="0"/>
        <v/>
      </c>
      <c r="AE39" s="36" t="str">
        <f t="shared" si="1"/>
        <v/>
      </c>
      <c r="AF39" s="36"/>
      <c r="AG39" s="120">
        <f t="shared" si="2"/>
        <v>0</v>
      </c>
      <c r="AH39" s="36"/>
      <c r="AI39" s="124"/>
      <c r="AJ39" s="122"/>
      <c r="AK39" s="129" t="str">
        <f t="shared" ca="1" si="3"/>
        <v/>
      </c>
      <c r="AL39" s="268" t="str">
        <f t="shared" si="4"/>
        <v>January</v>
      </c>
      <c r="AM39" s="133">
        <f>YEAR(Table1[[#This Row],[ETA
As requested
dd.mm.yyyy]])</f>
        <v>2026</v>
      </c>
    </row>
    <row r="40" spans="1:40" hidden="1">
      <c r="A40" s="36" t="s">
        <v>26</v>
      </c>
      <c r="B40" s="36" t="s">
        <v>2464</v>
      </c>
      <c r="C40" s="117">
        <v>5500495154</v>
      </c>
      <c r="D40" s="165">
        <v>45428</v>
      </c>
      <c r="E40" s="117">
        <v>1535100045</v>
      </c>
      <c r="F40" s="36" t="str">
        <f>IFERROR(VLOOKUP(Table1[[#This Row],[Part Number]],DATABASE_FG!$C$6:D10029,2,FALSE)," ")</f>
        <v>VALVE BODY</v>
      </c>
      <c r="G40" s="117">
        <f>IFERROR(_xlfn.XLOOKUP(Table1[[#This Row],[Part Number]],Table3[Part number],Table3[Drawing
 Revision]),"")</f>
        <v>1</v>
      </c>
      <c r="H40" s="118" cm="1">
        <f t="array" ref="H40">IFERROR(INDEX(PDB!$C:$AT,MATCH(E40,PDB!$B:$B,0),MATCH(YEAR(K40),0+PDB!$C$1:$AT$1,0)),"")</f>
        <v>0</v>
      </c>
      <c r="I40" s="36">
        <v>100</v>
      </c>
      <c r="J40" s="36">
        <f>IFERROR(Table1[[#This Row],[Quantity]]*Table1[[#This Row],[Price/Unit
EUR]]," ")</f>
        <v>0</v>
      </c>
      <c r="K40" s="121">
        <v>46083</v>
      </c>
      <c r="L40" s="36">
        <f>WEEKNUM(Table1[[#This Row],[ETA
As requested
dd.mm.yyyy]])</f>
        <v>10</v>
      </c>
      <c r="M40" s="36">
        <f>YEAR(Table1[[#This Row],[ETA
As requested
dd.mm.yyyy]])</f>
        <v>2026</v>
      </c>
      <c r="N40" s="36">
        <f>IFERROR(INDEX(DATABASE_FG!$H$5:$H$367, MATCH(E40, DATABASE_FG!$C$5:$C$367, 0)), " ")</f>
        <v>0</v>
      </c>
      <c r="O40" s="129" t="str">
        <f>IF(E40&lt;&gt;"", _xlfn.XLOOKUP(E40, DATABASE_FG!C:C, DATABASE_FG!F:F), " ")</f>
        <v>Ventilkoerper</v>
      </c>
      <c r="P40" s="129">
        <f>IFERROR(INDEX(DATABASE_FG!$G$5:$G$367, MATCH(E40, DATABASE_FG!$C$5:$C$367, 0)), "Not Found")</f>
        <v>16</v>
      </c>
      <c r="Q40" s="36">
        <v>60</v>
      </c>
      <c r="R40" s="125" t="s">
        <v>678</v>
      </c>
      <c r="S40" s="123">
        <f>IFERROR(INDEX(DATABASE_FG!$L$5:$L$367, MATCH(E40, DATABASE_FG!$C$5:$C$367, 0)), " ")</f>
        <v>42</v>
      </c>
      <c r="T40" s="36" t="s">
        <v>677</v>
      </c>
      <c r="U40" s="36"/>
      <c r="V40" s="36"/>
      <c r="W40" s="129"/>
      <c r="X40" s="36"/>
      <c r="Y40" s="36" t="s">
        <v>121</v>
      </c>
      <c r="Z40" s="36"/>
      <c r="AA40" s="125" t="s">
        <v>3</v>
      </c>
      <c r="AB40" s="173"/>
      <c r="AC40" s="119"/>
      <c r="AD40" s="36" t="str">
        <f t="shared" si="0"/>
        <v/>
      </c>
      <c r="AE40" s="36" t="str">
        <f t="shared" si="1"/>
        <v/>
      </c>
      <c r="AF40" s="36"/>
      <c r="AG40" s="120">
        <f t="shared" si="2"/>
        <v>0</v>
      </c>
      <c r="AH40" s="36"/>
      <c r="AI40" s="124"/>
      <c r="AJ40" s="122"/>
      <c r="AK40" s="129" t="str">
        <f t="shared" ca="1" si="3"/>
        <v/>
      </c>
      <c r="AL40" s="268" t="str">
        <f t="shared" si="4"/>
        <v>March</v>
      </c>
      <c r="AM40" s="133">
        <f>YEAR(Table1[[#This Row],[ETA
As requested
dd.mm.yyyy]])</f>
        <v>2026</v>
      </c>
    </row>
    <row r="41" spans="1:40" hidden="1">
      <c r="A41" s="36" t="s">
        <v>26</v>
      </c>
      <c r="B41" s="36" t="s">
        <v>2464</v>
      </c>
      <c r="C41" s="117">
        <v>5500495154</v>
      </c>
      <c r="D41" s="165">
        <v>45428</v>
      </c>
      <c r="E41" s="117">
        <v>1535100045</v>
      </c>
      <c r="F41" s="36" t="str">
        <f>IFERROR(VLOOKUP(Table1[[#This Row],[Part Number]],DATABASE_FG!$C$6:D10030,2,FALSE)," ")</f>
        <v>VALVE BODY</v>
      </c>
      <c r="G41" s="117">
        <f>IFERROR(_xlfn.XLOOKUP(Table1[[#This Row],[Part Number]],Table3[Part number],Table3[Drawing
 Revision]),"")</f>
        <v>1</v>
      </c>
      <c r="H41" s="118" cm="1">
        <f t="array" ref="H41">IFERROR(INDEX(PDB!$C:$AT,MATCH(E41,PDB!$B:$B,0),MATCH(YEAR(K41),0+PDB!$C$1:$AT$1,0)),"")</f>
        <v>0</v>
      </c>
      <c r="I41" s="36">
        <v>100</v>
      </c>
      <c r="J41" s="36">
        <f>IFERROR(Table1[[#This Row],[Quantity]]*Table1[[#This Row],[Price/Unit
EUR]]," ")</f>
        <v>0</v>
      </c>
      <c r="K41" s="121">
        <v>46091</v>
      </c>
      <c r="L41" s="36">
        <f>WEEKNUM(Table1[[#This Row],[ETA
As requested
dd.mm.yyyy]])</f>
        <v>11</v>
      </c>
      <c r="M41" s="36">
        <f>YEAR(Table1[[#This Row],[ETA
As requested
dd.mm.yyyy]])</f>
        <v>2026</v>
      </c>
      <c r="N41" s="36">
        <f>IFERROR(INDEX(DATABASE_FG!$H$5:$H$367, MATCH(E41, DATABASE_FG!$C$5:$C$367, 0)), " ")</f>
        <v>0</v>
      </c>
      <c r="O41" s="129" t="str">
        <f>IF(E41&lt;&gt;"", _xlfn.XLOOKUP(E41, DATABASE_FG!C:C, DATABASE_FG!F:F), " ")</f>
        <v>Ventilkoerper</v>
      </c>
      <c r="P41" s="129">
        <f>IFERROR(INDEX(DATABASE_FG!$G$5:$G$367, MATCH(E41, DATABASE_FG!$C$5:$C$367, 0)), "Not Found")</f>
        <v>16</v>
      </c>
      <c r="Q41" s="36">
        <v>60</v>
      </c>
      <c r="R41" s="125" t="s">
        <v>678</v>
      </c>
      <c r="S41" s="123">
        <f>IFERROR(INDEX(DATABASE_FG!$L$5:$L$367, MATCH(E41, DATABASE_FG!$C$5:$C$367, 0)), " ")</f>
        <v>42</v>
      </c>
      <c r="T41" s="36" t="s">
        <v>677</v>
      </c>
      <c r="U41" s="36"/>
      <c r="V41" s="36"/>
      <c r="W41" s="129"/>
      <c r="X41" s="36"/>
      <c r="Y41" s="36" t="s">
        <v>121</v>
      </c>
      <c r="Z41" s="36"/>
      <c r="AA41" s="125" t="s">
        <v>3</v>
      </c>
      <c r="AB41" s="173"/>
      <c r="AC41" s="119"/>
      <c r="AD41" s="36" t="str">
        <f t="shared" si="0"/>
        <v/>
      </c>
      <c r="AE41" s="36" t="str">
        <f t="shared" si="1"/>
        <v/>
      </c>
      <c r="AF41" s="36"/>
      <c r="AG41" s="120">
        <f t="shared" si="2"/>
        <v>0</v>
      </c>
      <c r="AH41" s="36"/>
      <c r="AI41" s="124"/>
      <c r="AJ41" s="122"/>
      <c r="AK41" s="129" t="str">
        <f t="shared" ca="1" si="3"/>
        <v/>
      </c>
      <c r="AL41" s="268" t="str">
        <f t="shared" si="4"/>
        <v>March</v>
      </c>
      <c r="AM41" s="133">
        <f>YEAR(Table1[[#This Row],[ETA
As requested
dd.mm.yyyy]])</f>
        <v>2026</v>
      </c>
    </row>
    <row r="42" spans="1:40" hidden="1">
      <c r="A42" s="36" t="s">
        <v>26</v>
      </c>
      <c r="B42" s="36" t="s">
        <v>2464</v>
      </c>
      <c r="C42" s="117">
        <v>5500495154</v>
      </c>
      <c r="D42" s="165">
        <v>45428</v>
      </c>
      <c r="E42" s="117">
        <v>1535100045</v>
      </c>
      <c r="F42" s="36" t="str">
        <f>IFERROR(VLOOKUP(Table1[[#This Row],[Part Number]],DATABASE_FG!$C$6:D10031,2,FALSE)," ")</f>
        <v>VALVE BODY</v>
      </c>
      <c r="G42" s="117">
        <f>IFERROR(_xlfn.XLOOKUP(Table1[[#This Row],[Part Number]],Table3[Part number],Table3[Drawing
 Revision]),"")</f>
        <v>1</v>
      </c>
      <c r="H42" s="118" cm="1">
        <f t="array" ref="H42">IFERROR(INDEX(PDB!$C:$AT,MATCH(E42,PDB!$B:$B,0),MATCH(YEAR(K42),0+PDB!$C$1:$AT$1,0)),"")</f>
        <v>0</v>
      </c>
      <c r="I42" s="36">
        <v>100</v>
      </c>
      <c r="J42" s="36">
        <f>IFERROR(Table1[[#This Row],[Quantity]]*Table1[[#This Row],[Price/Unit
EUR]]," ")</f>
        <v>0</v>
      </c>
      <c r="K42" s="121">
        <v>46135</v>
      </c>
      <c r="L42" s="36">
        <f>WEEKNUM(Table1[[#This Row],[ETA
As requested
dd.mm.yyyy]])</f>
        <v>17</v>
      </c>
      <c r="M42" s="36">
        <f>YEAR(Table1[[#This Row],[ETA
As requested
dd.mm.yyyy]])</f>
        <v>2026</v>
      </c>
      <c r="N42" s="36">
        <f>IFERROR(INDEX(DATABASE_FG!$H$5:$H$367, MATCH(E42, DATABASE_FG!$C$5:$C$367, 0)), " ")</f>
        <v>0</v>
      </c>
      <c r="O42" s="129" t="str">
        <f>IF(E42&lt;&gt;"", _xlfn.XLOOKUP(E42, DATABASE_FG!C:C, DATABASE_FG!F:F), " ")</f>
        <v>Ventilkoerper</v>
      </c>
      <c r="P42" s="129">
        <f>IFERROR(INDEX(DATABASE_FG!$G$5:$G$367, MATCH(E42, DATABASE_FG!$C$5:$C$367, 0)), "Not Found")</f>
        <v>16</v>
      </c>
      <c r="Q42" s="36">
        <v>60</v>
      </c>
      <c r="R42" s="125" t="s">
        <v>678</v>
      </c>
      <c r="S42" s="123">
        <f>IFERROR(INDEX(DATABASE_FG!$L$5:$L$367, MATCH(E42, DATABASE_FG!$C$5:$C$367, 0)), " ")</f>
        <v>42</v>
      </c>
      <c r="T42" s="36" t="s">
        <v>677</v>
      </c>
      <c r="U42" s="36"/>
      <c r="V42" s="36"/>
      <c r="W42" s="129"/>
      <c r="X42" s="36"/>
      <c r="Y42" s="36" t="s">
        <v>121</v>
      </c>
      <c r="Z42" s="36"/>
      <c r="AA42" s="125" t="s">
        <v>3</v>
      </c>
      <c r="AB42" s="173"/>
      <c r="AC42" s="119"/>
      <c r="AD42" s="36" t="str">
        <f t="shared" ref="AD42:AD73" si="5">IF(NOT(ISBLANK(AC42)), C42, "")</f>
        <v/>
      </c>
      <c r="AE42" s="36" t="str">
        <f t="shared" ref="AE42:AE73" si="6">IF(NOT(ISBLANK(AC42)), E42, "")</f>
        <v/>
      </c>
      <c r="AF42" s="36"/>
      <c r="AG42" s="120">
        <f t="shared" ref="AG42:AG73" si="7">AF42*H42</f>
        <v>0</v>
      </c>
      <c r="AH42" s="36"/>
      <c r="AI42" s="124"/>
      <c r="AJ42" s="122"/>
      <c r="AK42" s="129" t="str">
        <f t="shared" ref="AK42:AK73" ca="1" si="8">IF(AB42="", IF(K42 &lt; TODAY(), "Late", ""), IF(AB42 &lt;= K42 + 2, "On Time", "Late"))</f>
        <v/>
      </c>
      <c r="AL42" s="268" t="str">
        <f t="shared" si="4"/>
        <v>April</v>
      </c>
      <c r="AM42" s="133">
        <f>YEAR(Table1[[#This Row],[ETA
As requested
dd.mm.yyyy]])</f>
        <v>2026</v>
      </c>
    </row>
    <row r="43" spans="1:40" hidden="1">
      <c r="A43" s="36" t="s">
        <v>26</v>
      </c>
      <c r="B43" s="36" t="s">
        <v>2464</v>
      </c>
      <c r="C43" s="117">
        <v>5500495154</v>
      </c>
      <c r="D43" s="165">
        <v>45428</v>
      </c>
      <c r="E43" s="117">
        <v>1535100045</v>
      </c>
      <c r="F43" s="36" t="str">
        <f>IFERROR(VLOOKUP(Table1[[#This Row],[Part Number]],DATABASE_FG!$C$6:D10032,2,FALSE)," ")</f>
        <v>VALVE BODY</v>
      </c>
      <c r="G43" s="117">
        <f>IFERROR(_xlfn.XLOOKUP(Table1[[#This Row],[Part Number]],Table3[Part number],Table3[Drawing
 Revision]),"")</f>
        <v>1</v>
      </c>
      <c r="H43" s="118" cm="1">
        <f t="array" ref="H43">IFERROR(INDEX(PDB!$C:$AT,MATCH(E43,PDB!$B:$B,0),MATCH(YEAR(K43),0+PDB!$C$1:$AT$1,0)),"")</f>
        <v>0</v>
      </c>
      <c r="I43" s="36">
        <v>100</v>
      </c>
      <c r="J43" s="36">
        <f>IFERROR(Table1[[#This Row],[Quantity]]*Table1[[#This Row],[Price/Unit
EUR]]," ")</f>
        <v>0</v>
      </c>
      <c r="K43" s="121">
        <v>46184</v>
      </c>
      <c r="L43" s="36">
        <f>WEEKNUM(Table1[[#This Row],[ETA
As requested
dd.mm.yyyy]])</f>
        <v>24</v>
      </c>
      <c r="M43" s="36">
        <f>YEAR(Table1[[#This Row],[ETA
As requested
dd.mm.yyyy]])</f>
        <v>2026</v>
      </c>
      <c r="N43" s="36">
        <f>IFERROR(INDEX(DATABASE_FG!$H$5:$H$367, MATCH(E43, DATABASE_FG!$C$5:$C$367, 0)), " ")</f>
        <v>0</v>
      </c>
      <c r="O43" s="129" t="str">
        <f>IF(E43&lt;&gt;"", _xlfn.XLOOKUP(E43, DATABASE_FG!C:C, DATABASE_FG!F:F), " ")</f>
        <v>Ventilkoerper</v>
      </c>
      <c r="P43" s="129">
        <f>IFERROR(INDEX(DATABASE_FG!$G$5:$G$367, MATCH(E43, DATABASE_FG!$C$5:$C$367, 0)), "Not Found")</f>
        <v>16</v>
      </c>
      <c r="Q43" s="36">
        <v>60</v>
      </c>
      <c r="R43" s="125" t="s">
        <v>678</v>
      </c>
      <c r="S43" s="123">
        <f>IFERROR(INDEX(DATABASE_FG!$L$5:$L$367, MATCH(E43, DATABASE_FG!$C$5:$C$367, 0)), " ")</f>
        <v>42</v>
      </c>
      <c r="T43" s="36" t="s">
        <v>677</v>
      </c>
      <c r="U43" s="36"/>
      <c r="V43" s="36"/>
      <c r="W43" s="129"/>
      <c r="X43" s="36"/>
      <c r="Y43" s="36" t="s">
        <v>121</v>
      </c>
      <c r="Z43" s="36"/>
      <c r="AA43" s="125" t="s">
        <v>3</v>
      </c>
      <c r="AB43" s="173"/>
      <c r="AC43" s="119"/>
      <c r="AD43" s="36" t="str">
        <f t="shared" si="5"/>
        <v/>
      </c>
      <c r="AE43" s="36" t="str">
        <f t="shared" si="6"/>
        <v/>
      </c>
      <c r="AF43" s="36"/>
      <c r="AG43" s="120">
        <f t="shared" si="7"/>
        <v>0</v>
      </c>
      <c r="AH43" s="36"/>
      <c r="AI43" s="124"/>
      <c r="AJ43" s="122"/>
      <c r="AK43" s="129" t="str">
        <f t="shared" ca="1" si="8"/>
        <v/>
      </c>
      <c r="AL43" s="268" t="str">
        <f t="shared" si="4"/>
        <v>June</v>
      </c>
      <c r="AM43" s="133">
        <f>YEAR(Table1[[#This Row],[ETA
As requested
dd.mm.yyyy]])</f>
        <v>2026</v>
      </c>
    </row>
    <row r="44" spans="1:40" hidden="1">
      <c r="A44" s="36" t="s">
        <v>26</v>
      </c>
      <c r="B44" s="36" t="s">
        <v>2464</v>
      </c>
      <c r="C44" s="117">
        <v>5500495154</v>
      </c>
      <c r="D44" s="165">
        <v>45428</v>
      </c>
      <c r="E44" s="117">
        <v>1535100045</v>
      </c>
      <c r="F44" s="36" t="str">
        <f>IFERROR(VLOOKUP(Table1[[#This Row],[Part Number]],DATABASE_FG!$C$6:D10033,2,FALSE)," ")</f>
        <v>VALVE BODY</v>
      </c>
      <c r="G44" s="117">
        <f>IFERROR(_xlfn.XLOOKUP(Table1[[#This Row],[Part Number]],Table3[Part number],Table3[Drawing
 Revision]),"")</f>
        <v>1</v>
      </c>
      <c r="H44" s="118" cm="1">
        <f t="array" ref="H44">IFERROR(INDEX(PDB!$C:$AT,MATCH(E44,PDB!$B:$B,0),MATCH(YEAR(K44),0+PDB!$C$1:$AT$1,0)),"")</f>
        <v>0</v>
      </c>
      <c r="I44" s="36">
        <v>100</v>
      </c>
      <c r="J44" s="36">
        <f>IFERROR(Table1[[#This Row],[Quantity]]*Table1[[#This Row],[Price/Unit
EUR]]," ")</f>
        <v>0</v>
      </c>
      <c r="K44" s="121">
        <v>46239</v>
      </c>
      <c r="L44" s="36">
        <f>WEEKNUM(Table1[[#This Row],[ETA
As requested
dd.mm.yyyy]])</f>
        <v>32</v>
      </c>
      <c r="M44" s="36">
        <f>YEAR(Table1[[#This Row],[ETA
As requested
dd.mm.yyyy]])</f>
        <v>2026</v>
      </c>
      <c r="N44" s="36">
        <f>IFERROR(INDEX(DATABASE_FG!$H$5:$H$367, MATCH(E44, DATABASE_FG!$C$5:$C$367, 0)), " ")</f>
        <v>0</v>
      </c>
      <c r="O44" s="129" t="str">
        <f>IF(E44&lt;&gt;"", _xlfn.XLOOKUP(E44, DATABASE_FG!C:C, DATABASE_FG!F:F), " ")</f>
        <v>Ventilkoerper</v>
      </c>
      <c r="P44" s="129">
        <f>IFERROR(INDEX(DATABASE_FG!$G$5:$G$367, MATCH(E44, DATABASE_FG!$C$5:$C$367, 0)), "Not Found")</f>
        <v>16</v>
      </c>
      <c r="Q44" s="36">
        <v>60</v>
      </c>
      <c r="R44" s="125" t="s">
        <v>678</v>
      </c>
      <c r="S44" s="123">
        <f>IFERROR(INDEX(DATABASE_FG!$L$5:$L$367, MATCH(E44, DATABASE_FG!$C$5:$C$367, 0)), " ")</f>
        <v>42</v>
      </c>
      <c r="T44" s="36" t="s">
        <v>677</v>
      </c>
      <c r="U44" s="36"/>
      <c r="V44" s="36"/>
      <c r="W44" s="129"/>
      <c r="X44" s="36"/>
      <c r="Y44" s="36" t="s">
        <v>121</v>
      </c>
      <c r="Z44" s="36"/>
      <c r="AA44" s="125" t="s">
        <v>3</v>
      </c>
      <c r="AB44" s="172"/>
      <c r="AC44" s="119"/>
      <c r="AD44" s="36" t="str">
        <f t="shared" si="5"/>
        <v/>
      </c>
      <c r="AE44" s="36" t="str">
        <f t="shared" si="6"/>
        <v/>
      </c>
      <c r="AF44" s="36"/>
      <c r="AG44" s="120">
        <f t="shared" si="7"/>
        <v>0</v>
      </c>
      <c r="AH44" s="36"/>
      <c r="AI44" s="124"/>
      <c r="AJ44" s="122"/>
      <c r="AK44" s="129" t="str">
        <f t="shared" ca="1" si="8"/>
        <v/>
      </c>
      <c r="AL44" s="268" t="str">
        <f t="shared" si="4"/>
        <v>August</v>
      </c>
      <c r="AM44" s="133">
        <f>YEAR(Table1[[#This Row],[ETA
As requested
dd.mm.yyyy]])</f>
        <v>2026</v>
      </c>
    </row>
    <row r="45" spans="1:40" hidden="1">
      <c r="A45" s="36" t="s">
        <v>26</v>
      </c>
      <c r="B45" s="36" t="s">
        <v>2464</v>
      </c>
      <c r="C45" s="117">
        <v>5500495154</v>
      </c>
      <c r="D45" s="165">
        <v>45428</v>
      </c>
      <c r="E45" s="117">
        <v>1535100045</v>
      </c>
      <c r="F45" s="36" t="str">
        <f>IFERROR(VLOOKUP(Table1[[#This Row],[Part Number]],DATABASE_FG!$C$6:D10034,2,FALSE)," ")</f>
        <v>VALVE BODY</v>
      </c>
      <c r="G45" s="117">
        <f>IFERROR(_xlfn.XLOOKUP(Table1[[#This Row],[Part Number]],Table3[Part number],Table3[Drawing
 Revision]),"")</f>
        <v>1</v>
      </c>
      <c r="H45" s="118" cm="1">
        <f t="array" ref="H45">IFERROR(INDEX(PDB!$C:$AT,MATCH(E45,PDB!$B:$B,0),MATCH(YEAR(K45),0+PDB!$C$1:$AT$1,0)),"")</f>
        <v>0</v>
      </c>
      <c r="I45" s="36">
        <v>100</v>
      </c>
      <c r="J45" s="36">
        <f>IFERROR(Table1[[#This Row],[Quantity]]*Table1[[#This Row],[Price/Unit
EUR]]," ")</f>
        <v>0</v>
      </c>
      <c r="K45" s="121">
        <v>46274</v>
      </c>
      <c r="L45" s="36">
        <f>WEEKNUM(Table1[[#This Row],[ETA
As requested
dd.mm.yyyy]])</f>
        <v>37</v>
      </c>
      <c r="M45" s="36">
        <f>YEAR(Table1[[#This Row],[ETA
As requested
dd.mm.yyyy]])</f>
        <v>2026</v>
      </c>
      <c r="N45" s="36">
        <f>IFERROR(INDEX(DATABASE_FG!$H$5:$H$367, MATCH(E45, DATABASE_FG!$C$5:$C$367, 0)), " ")</f>
        <v>0</v>
      </c>
      <c r="O45" s="129" t="str">
        <f>IF(E45&lt;&gt;"", _xlfn.XLOOKUP(E45, DATABASE_FG!C:C, DATABASE_FG!F:F), " ")</f>
        <v>Ventilkoerper</v>
      </c>
      <c r="P45" s="129">
        <f>IFERROR(INDEX(DATABASE_FG!$G$5:$G$367, MATCH(E45, DATABASE_FG!$C$5:$C$367, 0)), "Not Found")</f>
        <v>16</v>
      </c>
      <c r="Q45" s="36">
        <v>60</v>
      </c>
      <c r="R45" s="125" t="s">
        <v>678</v>
      </c>
      <c r="S45" s="123">
        <f>IFERROR(INDEX(DATABASE_FG!$L$5:$L$367, MATCH(E45, DATABASE_FG!$C$5:$C$367, 0)), " ")</f>
        <v>42</v>
      </c>
      <c r="T45" s="36" t="s">
        <v>677</v>
      </c>
      <c r="U45" s="36"/>
      <c r="V45" s="36"/>
      <c r="W45" s="129"/>
      <c r="X45" s="36"/>
      <c r="Y45" s="36" t="s">
        <v>121</v>
      </c>
      <c r="Z45" s="36"/>
      <c r="AA45" s="125" t="s">
        <v>3</v>
      </c>
      <c r="AB45" s="172"/>
      <c r="AC45" s="119"/>
      <c r="AD45" s="36" t="str">
        <f t="shared" si="5"/>
        <v/>
      </c>
      <c r="AE45" s="36" t="str">
        <f t="shared" si="6"/>
        <v/>
      </c>
      <c r="AF45" s="36"/>
      <c r="AG45" s="120">
        <f t="shared" si="7"/>
        <v>0</v>
      </c>
      <c r="AH45" s="36"/>
      <c r="AI45" s="124"/>
      <c r="AJ45" s="122"/>
      <c r="AK45" s="129" t="str">
        <f t="shared" ca="1" si="8"/>
        <v/>
      </c>
      <c r="AL45" s="268" t="str">
        <f t="shared" si="4"/>
        <v>September</v>
      </c>
      <c r="AM45" s="133">
        <f>YEAR(Table1[[#This Row],[ETA
As requested
dd.mm.yyyy]])</f>
        <v>2026</v>
      </c>
    </row>
    <row r="46" spans="1:40" hidden="1">
      <c r="A46" s="36" t="s">
        <v>26</v>
      </c>
      <c r="B46" s="36" t="s">
        <v>2464</v>
      </c>
      <c r="C46" s="117">
        <v>5500495154</v>
      </c>
      <c r="D46" s="165">
        <v>45428</v>
      </c>
      <c r="E46" s="117">
        <v>1535100045</v>
      </c>
      <c r="F46" s="36" t="str">
        <f>IFERROR(VLOOKUP(Table1[[#This Row],[Part Number]],DATABASE_FG!$C$6:D10035,2,FALSE)," ")</f>
        <v>VALVE BODY</v>
      </c>
      <c r="G46" s="117">
        <f>IFERROR(_xlfn.XLOOKUP(Table1[[#This Row],[Part Number]],Table3[Part number],Table3[Drawing
 Revision]),"")</f>
        <v>1</v>
      </c>
      <c r="H46" s="118" cm="1">
        <f t="array" ref="H46">IFERROR(INDEX(PDB!$C:$AT,MATCH(E46,PDB!$B:$B,0),MATCH(YEAR(K46),0+PDB!$C$1:$AT$1,0)),"")</f>
        <v>0</v>
      </c>
      <c r="I46" s="36">
        <v>100</v>
      </c>
      <c r="J46" s="36">
        <f>IFERROR(Table1[[#This Row],[Quantity]]*Table1[[#This Row],[Price/Unit
EUR]]," ")</f>
        <v>0</v>
      </c>
      <c r="K46" s="121">
        <v>46309</v>
      </c>
      <c r="L46" s="36">
        <f>WEEKNUM(Table1[[#This Row],[ETA
As requested
dd.mm.yyyy]])</f>
        <v>42</v>
      </c>
      <c r="M46" s="36">
        <f>YEAR(Table1[[#This Row],[ETA
As requested
dd.mm.yyyy]])</f>
        <v>2026</v>
      </c>
      <c r="N46" s="36">
        <f>IFERROR(INDEX(DATABASE_FG!$H$5:$H$367, MATCH(E46, DATABASE_FG!$C$5:$C$367, 0)), " ")</f>
        <v>0</v>
      </c>
      <c r="O46" s="129" t="str">
        <f>IF(E46&lt;&gt;"", _xlfn.XLOOKUP(E46, DATABASE_FG!C:C, DATABASE_FG!F:F), " ")</f>
        <v>Ventilkoerper</v>
      </c>
      <c r="P46" s="129">
        <f>IFERROR(INDEX(DATABASE_FG!$G$5:$G$367, MATCH(E46, DATABASE_FG!$C$5:$C$367, 0)), "Not Found")</f>
        <v>16</v>
      </c>
      <c r="Q46" s="36">
        <v>60</v>
      </c>
      <c r="R46" s="125" t="s">
        <v>678</v>
      </c>
      <c r="S46" s="123">
        <f>IFERROR(INDEX(DATABASE_FG!$L$5:$L$367, MATCH(E46, DATABASE_FG!$C$5:$C$367, 0)), " ")</f>
        <v>42</v>
      </c>
      <c r="T46" s="36" t="s">
        <v>677</v>
      </c>
      <c r="U46" s="36"/>
      <c r="V46" s="36"/>
      <c r="W46" s="129"/>
      <c r="X46" s="36"/>
      <c r="Y46" s="36" t="s">
        <v>121</v>
      </c>
      <c r="Z46" s="36"/>
      <c r="AA46" s="125" t="s">
        <v>3</v>
      </c>
      <c r="AB46" s="172"/>
      <c r="AC46" s="119"/>
      <c r="AD46" s="36" t="str">
        <f t="shared" si="5"/>
        <v/>
      </c>
      <c r="AE46" s="36" t="str">
        <f t="shared" si="6"/>
        <v/>
      </c>
      <c r="AF46" s="36"/>
      <c r="AG46" s="120">
        <f t="shared" si="7"/>
        <v>0</v>
      </c>
      <c r="AH46" s="36"/>
      <c r="AI46" s="124"/>
      <c r="AJ46" s="122"/>
      <c r="AK46" s="129" t="str">
        <f t="shared" ca="1" si="8"/>
        <v/>
      </c>
      <c r="AL46" s="268" t="str">
        <f t="shared" si="4"/>
        <v>October</v>
      </c>
      <c r="AM46" s="133">
        <f>YEAR(Table1[[#This Row],[ETA
As requested
dd.mm.yyyy]])</f>
        <v>2026</v>
      </c>
      <c r="AN46" s="191"/>
    </row>
    <row r="47" spans="1:40" hidden="1">
      <c r="A47" s="36" t="s">
        <v>26</v>
      </c>
      <c r="B47" s="36" t="s">
        <v>1170</v>
      </c>
      <c r="C47" s="117">
        <v>5500495153</v>
      </c>
      <c r="D47" s="165">
        <v>45428</v>
      </c>
      <c r="E47" s="117">
        <v>1535100046</v>
      </c>
      <c r="F47" s="36" t="str">
        <f>IFERROR(VLOOKUP(Table1[[#This Row],[Part Number]],DATABASE_FG!$C$6:D10036,2,FALSE)," ")</f>
        <v xml:space="preserve">VALVE BODY        </v>
      </c>
      <c r="G47" s="117" t="str">
        <f>IFERROR(_xlfn.XLOOKUP(Table1[[#This Row],[Part Number]],Table3[Part number],Table3[Drawing
 Revision]),"")</f>
        <v>AB</v>
      </c>
      <c r="H47" s="118" cm="1">
        <f t="array" ref="H47">IFERROR(INDEX(PDB!$C:$AT,MATCH(E47,PDB!$B:$B,0),MATCH(YEAR(K47),0+PDB!$C$1:$AT$1,0)),"")</f>
        <v>5.31</v>
      </c>
      <c r="I47" s="36">
        <v>200</v>
      </c>
      <c r="J47" s="36">
        <f>IFERROR(Table1[[#This Row],[Quantity]]*Table1[[#This Row],[Price/Unit
EUR]]," ")</f>
        <v>1062</v>
      </c>
      <c r="K47" s="121">
        <v>45376</v>
      </c>
      <c r="L47" s="36">
        <f>WEEKNUM(Table1[[#This Row],[ETA
As requested
dd.mm.yyyy]])</f>
        <v>13</v>
      </c>
      <c r="M47" s="36">
        <f>YEAR(Table1[[#This Row],[ETA
As requested
dd.mm.yyyy]])</f>
        <v>2024</v>
      </c>
      <c r="N47" s="36">
        <f>IFERROR(INDEX(DATABASE_FG!$H$5:$H$367, MATCH(E47, DATABASE_FG!$C$5:$C$367, 0)), " ")</f>
        <v>0</v>
      </c>
      <c r="O47" s="129" t="str">
        <f>IF(E47&lt;&gt;"", _xlfn.XLOOKUP(E47, DATABASE_FG!C:C, DATABASE_FG!F:F), " ")</f>
        <v>Ventilkoerper</v>
      </c>
      <c r="P47" s="129">
        <f>IFERROR(INDEX(DATABASE_FG!$G$5:$G$367, MATCH(E47, DATABASE_FG!$C$5:$C$367, 0)), "Not Found")</f>
        <v>100</v>
      </c>
      <c r="Q47" s="36">
        <v>60</v>
      </c>
      <c r="R47" s="125" t="s">
        <v>678</v>
      </c>
      <c r="S47" s="123">
        <f>IFERROR(INDEX(DATABASE_FG!$L$5:$L$367, MATCH(E47, DATABASE_FG!$C$5:$C$367, 0)), " ")</f>
        <v>56</v>
      </c>
      <c r="T47" s="36" t="s">
        <v>677</v>
      </c>
      <c r="U47" s="36"/>
      <c r="V47" s="36"/>
      <c r="W47" s="129"/>
      <c r="X47" s="36"/>
      <c r="Y47" s="36"/>
      <c r="Z47" s="36" t="s">
        <v>1242</v>
      </c>
      <c r="AA47" s="125" t="s">
        <v>121</v>
      </c>
      <c r="AB47" s="173">
        <v>45477</v>
      </c>
      <c r="AC47" s="119">
        <v>2024777</v>
      </c>
      <c r="AD47" s="36">
        <f t="shared" si="5"/>
        <v>5500495153</v>
      </c>
      <c r="AE47" s="36">
        <f t="shared" si="6"/>
        <v>1535100046</v>
      </c>
      <c r="AF47" s="36">
        <v>104</v>
      </c>
      <c r="AG47" s="120">
        <f t="shared" si="7"/>
        <v>552.24</v>
      </c>
      <c r="AH47" s="36"/>
      <c r="AI47" s="124" t="s">
        <v>1243</v>
      </c>
      <c r="AJ47" s="122" t="s">
        <v>1244</v>
      </c>
      <c r="AK47" s="129" t="str">
        <f t="shared" ca="1" si="8"/>
        <v>Late</v>
      </c>
      <c r="AL47" s="268" t="str">
        <f t="shared" si="4"/>
        <v>March</v>
      </c>
      <c r="AM47" s="133">
        <f>YEAR(Table1[[#This Row],[ETA
As requested
dd.mm.yyyy]])</f>
        <v>2024</v>
      </c>
    </row>
    <row r="48" spans="1:40" hidden="1">
      <c r="A48" s="36" t="s">
        <v>26</v>
      </c>
      <c r="B48" s="36" t="s">
        <v>1170</v>
      </c>
      <c r="C48" s="117">
        <v>5500495153</v>
      </c>
      <c r="D48" s="165">
        <v>45428</v>
      </c>
      <c r="E48" s="117">
        <v>1535100046</v>
      </c>
      <c r="F48" s="36" t="str">
        <f>IFERROR(VLOOKUP(Table1[[#This Row],[Part Number]],DATABASE_FG!$C$6:D10037,2,FALSE)," ")</f>
        <v xml:space="preserve">VALVE BODY        </v>
      </c>
      <c r="G48" s="117" t="str">
        <f>IFERROR(_xlfn.XLOOKUP(Table1[[#This Row],[Part Number]],Table3[Part number],Table3[Drawing
 Revision]),"")</f>
        <v>AB</v>
      </c>
      <c r="H48" s="118" cm="1">
        <f t="array" ref="H48">IFERROR(INDEX(PDB!$C:$AT,MATCH(E48,PDB!$B:$B,0),MATCH(YEAR(K48),0+PDB!$C$1:$AT$1,0)),"")</f>
        <v>5.31</v>
      </c>
      <c r="I48" s="36">
        <v>0</v>
      </c>
      <c r="J48" s="36">
        <f>IFERROR(Table1[[#This Row],[Quantity]]*Table1[[#This Row],[Price/Unit
EUR]]," ")</f>
        <v>0</v>
      </c>
      <c r="K48" s="121">
        <v>45377</v>
      </c>
      <c r="L48" s="36">
        <f>WEEKNUM(Table1[[#This Row],[ETA
As requested
dd.mm.yyyy]])</f>
        <v>13</v>
      </c>
      <c r="M48" s="36">
        <f>YEAR(Table1[[#This Row],[ETA
As requested
dd.mm.yyyy]])</f>
        <v>2024</v>
      </c>
      <c r="N48" s="36">
        <f>IFERROR(INDEX(DATABASE_FG!$H$5:$H$367, MATCH(E48, DATABASE_FG!$C$5:$C$367, 0)), " ")</f>
        <v>0</v>
      </c>
      <c r="O48" s="129" t="str">
        <f>IF(E48&lt;&gt;"", _xlfn.XLOOKUP(E48, DATABASE_FG!C:C, DATABASE_FG!F:F), " ")</f>
        <v>Ventilkoerper</v>
      </c>
      <c r="P48" s="129">
        <f>IFERROR(INDEX(DATABASE_FG!$G$5:$G$367, MATCH(E48, DATABASE_FG!$C$5:$C$367, 0)), "Not Found")</f>
        <v>100</v>
      </c>
      <c r="Q48" s="36">
        <v>60</v>
      </c>
      <c r="R48" s="125" t="s">
        <v>678</v>
      </c>
      <c r="S48" s="123">
        <f>Table1[[#This Row],[Quantity]]/48</f>
        <v>0</v>
      </c>
      <c r="T48" s="36"/>
      <c r="U48" s="36"/>
      <c r="V48" s="36"/>
      <c r="W48" s="129"/>
      <c r="X48" s="36"/>
      <c r="Y48" s="36"/>
      <c r="Z48" s="36"/>
      <c r="AA48" s="125" t="s">
        <v>121</v>
      </c>
      <c r="AB48" s="173">
        <v>45504</v>
      </c>
      <c r="AC48" s="119">
        <v>2024946</v>
      </c>
      <c r="AD48" s="36">
        <f t="shared" si="5"/>
        <v>5500495153</v>
      </c>
      <c r="AE48" s="36">
        <f t="shared" si="6"/>
        <v>1535100046</v>
      </c>
      <c r="AF48" s="36">
        <v>96</v>
      </c>
      <c r="AG48" s="120">
        <f t="shared" si="7"/>
        <v>509.76</v>
      </c>
      <c r="AH48" s="36"/>
      <c r="AI48" s="124"/>
      <c r="AJ48" s="122" t="s">
        <v>1247</v>
      </c>
      <c r="AK48" s="129" t="str">
        <f t="shared" ca="1" si="8"/>
        <v>Late</v>
      </c>
      <c r="AL48" s="268" t="str">
        <f t="shared" si="4"/>
        <v>March</v>
      </c>
      <c r="AM48" s="133">
        <f>YEAR(Table1[[#This Row],[ETA
As requested
dd.mm.yyyy]])</f>
        <v>2024</v>
      </c>
    </row>
    <row r="49" spans="1:40" ht="15.75" hidden="1">
      <c r="A49" s="36" t="s">
        <v>26</v>
      </c>
      <c r="B49" s="36" t="s">
        <v>1170</v>
      </c>
      <c r="C49" s="117">
        <v>5500495153</v>
      </c>
      <c r="D49" s="165">
        <v>45428</v>
      </c>
      <c r="E49" s="117">
        <v>1535100046</v>
      </c>
      <c r="F49" s="36" t="str">
        <f>IFERROR(VLOOKUP(Table1[[#This Row],[Part Number]],DATABASE_FG!$C$6:D10038,2,FALSE)," ")</f>
        <v xml:space="preserve">VALVE BODY        </v>
      </c>
      <c r="G49" s="117" t="str">
        <f>IFERROR(_xlfn.XLOOKUP(Table1[[#This Row],[Part Number]],Table3[Part number],Table3[Drawing
 Revision]),"")</f>
        <v>AB</v>
      </c>
      <c r="H49" s="118" cm="1">
        <f t="array" ref="H49">IFERROR(INDEX(PDB!$C:$AT,MATCH(E49,PDB!$B:$B,0),MATCH(YEAR(K49),0+PDB!$C$1:$AT$1,0)),"")</f>
        <v>5.31</v>
      </c>
      <c r="I49" s="36">
        <v>0</v>
      </c>
      <c r="J49" s="36">
        <f>IFERROR(Table1[[#This Row],[Quantity]]*Table1[[#This Row],[Price/Unit
EUR]]," ")</f>
        <v>0</v>
      </c>
      <c r="K49" s="121">
        <v>45378</v>
      </c>
      <c r="L49" s="36">
        <f>WEEKNUM(Table1[[#This Row],[ETA
As requested
dd.mm.yyyy]])</f>
        <v>13</v>
      </c>
      <c r="M49" s="36">
        <f>YEAR(Table1[[#This Row],[ETA
As requested
dd.mm.yyyy]])</f>
        <v>2024</v>
      </c>
      <c r="N49" s="36">
        <f>IFERROR(INDEX(DATABASE_FG!$H$5:$H$367, MATCH(E49, DATABASE_FG!$C$5:$C$367, 0)), " ")</f>
        <v>0</v>
      </c>
      <c r="O49" s="129" t="str">
        <f>IF(E49&lt;&gt;"", _xlfn.XLOOKUP(E49, DATABASE_FG!C:C, DATABASE_FG!F:F), " ")</f>
        <v>Ventilkoerper</v>
      </c>
      <c r="P49" s="129">
        <f>IFERROR(INDEX(DATABASE_FG!$G$5:$G$367, MATCH(E49, DATABASE_FG!$C$5:$C$367, 0)), "Not Found")</f>
        <v>100</v>
      </c>
      <c r="Q49" s="36">
        <v>60</v>
      </c>
      <c r="R49" s="125" t="s">
        <v>678</v>
      </c>
      <c r="S49" s="123">
        <f>Table1[[#This Row],[Quantity]]/48</f>
        <v>0</v>
      </c>
      <c r="T49" s="36"/>
      <c r="U49" s="36"/>
      <c r="V49" s="36"/>
      <c r="W49" s="129"/>
      <c r="X49" s="36"/>
      <c r="Y49" s="36"/>
      <c r="Z49" s="36"/>
      <c r="AA49" s="125" t="s">
        <v>121</v>
      </c>
      <c r="AB49" s="173">
        <v>45504</v>
      </c>
      <c r="AC49" s="119">
        <v>2024947</v>
      </c>
      <c r="AD49" s="36">
        <f t="shared" si="5"/>
        <v>5500495153</v>
      </c>
      <c r="AE49" s="36">
        <f t="shared" si="6"/>
        <v>1535100046</v>
      </c>
      <c r="AF49" s="36">
        <v>56</v>
      </c>
      <c r="AG49" s="120">
        <f t="shared" si="7"/>
        <v>297.35999999999996</v>
      </c>
      <c r="AH49" s="36"/>
      <c r="AI49" s="124" t="s">
        <v>1248</v>
      </c>
      <c r="AJ49" s="122" t="s">
        <v>1249</v>
      </c>
      <c r="AK49" s="129" t="str">
        <f t="shared" ca="1" si="8"/>
        <v>Late</v>
      </c>
      <c r="AL49" s="268" t="str">
        <f t="shared" si="4"/>
        <v>March</v>
      </c>
      <c r="AM49" s="133">
        <f>YEAR(Table1[[#This Row],[ETA
As requested
dd.mm.yyyy]])</f>
        <v>2024</v>
      </c>
    </row>
    <row r="50" spans="1:40" ht="15.75" hidden="1">
      <c r="A50" s="36" t="s">
        <v>26</v>
      </c>
      <c r="B50" s="36" t="s">
        <v>1170</v>
      </c>
      <c r="C50" s="117">
        <v>5500495153</v>
      </c>
      <c r="D50" s="165">
        <v>45428</v>
      </c>
      <c r="E50" s="117">
        <v>1535100046</v>
      </c>
      <c r="F50" s="36" t="str">
        <f>IFERROR(VLOOKUP(Table1[[#This Row],[Part Number]],DATABASE_FG!$C$6:D10039,2,FALSE)," ")</f>
        <v xml:space="preserve">VALVE BODY        </v>
      </c>
      <c r="G50" s="117" t="str">
        <f>IFERROR(_xlfn.XLOOKUP(Table1[[#This Row],[Part Number]],Table3[Part number],Table3[Drawing
 Revision]),"")</f>
        <v>AB</v>
      </c>
      <c r="H50" s="118" cm="1">
        <f t="array" ref="H50">IFERROR(INDEX(PDB!$C:$AT,MATCH(E50,PDB!$B:$B,0),MATCH(YEAR(K50),0+PDB!$C$1:$AT$1,0)),"")</f>
        <v>5.31</v>
      </c>
      <c r="I50" s="36">
        <v>100</v>
      </c>
      <c r="J50" s="36">
        <f>IFERROR(Table1[[#This Row],[Quantity]]*Table1[[#This Row],[Price/Unit
EUR]]," ")</f>
        <v>531</v>
      </c>
      <c r="K50" s="121">
        <v>45583</v>
      </c>
      <c r="L50" s="36">
        <f>WEEKNUM(Table1[[#This Row],[ETA
As requested
dd.mm.yyyy]])</f>
        <v>42</v>
      </c>
      <c r="M50" s="36">
        <f>YEAR(Table1[[#This Row],[ETA
As requested
dd.mm.yyyy]])</f>
        <v>2024</v>
      </c>
      <c r="N50" s="36">
        <f>IFERROR(INDEX(DATABASE_FG!$H$5:$H$367, MATCH(E50, DATABASE_FG!$C$5:$C$367, 0)), " ")</f>
        <v>0</v>
      </c>
      <c r="O50" s="129" t="str">
        <f>IF(E50&lt;&gt;"", _xlfn.XLOOKUP(E50, DATABASE_FG!C:C, DATABASE_FG!F:F), " ")</f>
        <v>Ventilkoerper</v>
      </c>
      <c r="P50" s="129">
        <f>IFERROR(INDEX(DATABASE_FG!$G$5:$G$367, MATCH(E50, DATABASE_FG!$C$5:$C$367, 0)), "Not Found")</f>
        <v>100</v>
      </c>
      <c r="Q50" s="36">
        <v>60</v>
      </c>
      <c r="R50" s="125" t="s">
        <v>678</v>
      </c>
      <c r="S50" s="123">
        <f>IFERROR(INDEX(DATABASE_FG!$L$5:$L$367, MATCH(E50, DATABASE_FG!$C$5:$C$367, 0)), " ")</f>
        <v>56</v>
      </c>
      <c r="T50" s="36" t="s">
        <v>677</v>
      </c>
      <c r="U50" s="36"/>
      <c r="V50" s="36"/>
      <c r="W50" s="129"/>
      <c r="X50" s="36"/>
      <c r="Y50" s="36" t="s">
        <v>121</v>
      </c>
      <c r="Z50" s="36"/>
      <c r="AA50" s="125" t="s">
        <v>121</v>
      </c>
      <c r="AB50" s="173">
        <v>45709</v>
      </c>
      <c r="AC50" s="119">
        <v>25247</v>
      </c>
      <c r="AD50" s="36">
        <f t="shared" si="5"/>
        <v>5500495153</v>
      </c>
      <c r="AE50" s="36">
        <f t="shared" si="6"/>
        <v>1535100046</v>
      </c>
      <c r="AF50" s="36">
        <v>100</v>
      </c>
      <c r="AG50" s="120">
        <f t="shared" si="7"/>
        <v>531</v>
      </c>
      <c r="AH50" s="36"/>
      <c r="AI50" s="124"/>
      <c r="AJ50" s="122" t="s">
        <v>2485</v>
      </c>
      <c r="AK50" s="129" t="str">
        <f t="shared" ca="1" si="8"/>
        <v>Late</v>
      </c>
      <c r="AL50" s="268" t="str">
        <f t="shared" si="4"/>
        <v>October</v>
      </c>
      <c r="AM50" s="133">
        <f>YEAR(Table1[[#This Row],[ETA
As requested
dd.mm.yyyy]])</f>
        <v>2024</v>
      </c>
    </row>
    <row r="51" spans="1:40" hidden="1">
      <c r="A51" s="36" t="s">
        <v>26</v>
      </c>
      <c r="B51" s="36" t="s">
        <v>1170</v>
      </c>
      <c r="C51" s="117">
        <v>5500495153</v>
      </c>
      <c r="D51" s="165">
        <v>45428</v>
      </c>
      <c r="E51" s="117">
        <v>1535100046</v>
      </c>
      <c r="F51" s="36" t="str">
        <f>IFERROR(VLOOKUP(Table1[[#This Row],[Part Number]],DATABASE_FG!$C$6:D10040,2,FALSE)," ")</f>
        <v xml:space="preserve">VALVE BODY        </v>
      </c>
      <c r="G51" s="117" t="str">
        <f>IFERROR(_xlfn.XLOOKUP(Table1[[#This Row],[Part Number]],Table3[Part number],Table3[Drawing
 Revision]),"")</f>
        <v>AB</v>
      </c>
      <c r="H51" s="118" cm="1">
        <f t="array" ref="H51">IFERROR(INDEX(PDB!$C:$AT,MATCH(E51,PDB!$B:$B,0),MATCH(YEAR(K51),0+PDB!$C$1:$AT$1,0)),"")</f>
        <v>5.31</v>
      </c>
      <c r="I51" s="36">
        <v>84</v>
      </c>
      <c r="J51" s="36">
        <f>IFERROR(Table1[[#This Row],[Quantity]]*Table1[[#This Row],[Price/Unit
EUR]]," ")</f>
        <v>446.03999999999996</v>
      </c>
      <c r="K51" s="121">
        <v>45635</v>
      </c>
      <c r="L51" s="36">
        <f>WEEKNUM(Table1[[#This Row],[ETA
As requested
dd.mm.yyyy]])</f>
        <v>50</v>
      </c>
      <c r="M51" s="36">
        <f>YEAR(Table1[[#This Row],[ETA
As requested
dd.mm.yyyy]])</f>
        <v>2024</v>
      </c>
      <c r="N51" s="36">
        <f>IFERROR(INDEX(DATABASE_FG!$H$5:$H$367, MATCH(E51, DATABASE_FG!$C$5:$C$367, 0)), " ")</f>
        <v>0</v>
      </c>
      <c r="O51" s="129" t="str">
        <f>IF(E51&lt;&gt;"", _xlfn.XLOOKUP(E51, DATABASE_FG!C:C, DATABASE_FG!F:F), " ")</f>
        <v>Ventilkoerper</v>
      </c>
      <c r="P51" s="129">
        <f>IFERROR(INDEX(DATABASE_FG!$G$5:$G$367, MATCH(E51, DATABASE_FG!$C$5:$C$367, 0)), "Not Found")</f>
        <v>100</v>
      </c>
      <c r="Q51" s="36">
        <v>60</v>
      </c>
      <c r="R51" s="125" t="s">
        <v>678</v>
      </c>
      <c r="S51" s="123">
        <f>IFERROR(INDEX(DATABASE_FG!$L$5:$L$367, MATCH(E51, DATABASE_FG!$C$5:$C$367, 0)), " ")</f>
        <v>56</v>
      </c>
      <c r="T51" s="36" t="s">
        <v>677</v>
      </c>
      <c r="U51" s="36"/>
      <c r="V51" s="36"/>
      <c r="W51" s="129"/>
      <c r="X51" s="36"/>
      <c r="Y51" s="36" t="s">
        <v>121</v>
      </c>
      <c r="Z51" s="36"/>
      <c r="AA51" s="125" t="s">
        <v>121</v>
      </c>
      <c r="AB51" s="173">
        <v>45709</v>
      </c>
      <c r="AC51" s="119">
        <v>25247</v>
      </c>
      <c r="AD51" s="36">
        <f t="shared" si="5"/>
        <v>5500495153</v>
      </c>
      <c r="AE51" s="36">
        <f t="shared" si="6"/>
        <v>1535100046</v>
      </c>
      <c r="AF51" s="36">
        <v>84</v>
      </c>
      <c r="AG51" s="120">
        <f t="shared" si="7"/>
        <v>446.03999999999996</v>
      </c>
      <c r="AH51" s="36"/>
      <c r="AI51" s="124"/>
      <c r="AJ51" s="122"/>
      <c r="AK51" s="129" t="str">
        <f t="shared" ca="1" si="8"/>
        <v>Late</v>
      </c>
      <c r="AL51" s="268" t="str">
        <f t="shared" si="4"/>
        <v>December</v>
      </c>
      <c r="AM51" s="133">
        <f>YEAR(Table1[[#This Row],[ETA
As requested
dd.mm.yyyy]])</f>
        <v>2024</v>
      </c>
    </row>
    <row r="52" spans="1:40" hidden="1">
      <c r="A52" s="36" t="s">
        <v>26</v>
      </c>
      <c r="B52" s="36" t="s">
        <v>1170</v>
      </c>
      <c r="C52" s="117">
        <v>5500495153</v>
      </c>
      <c r="D52" s="165">
        <v>45428</v>
      </c>
      <c r="E52" s="117">
        <v>1535100046</v>
      </c>
      <c r="F52" s="36" t="str">
        <f>IFERROR(VLOOKUP(Table1[[#This Row],[Part Number]],DATABASE_FG!$C$6:D10041,2,FALSE)," ")</f>
        <v xml:space="preserve">VALVE BODY        </v>
      </c>
      <c r="G52" s="117" t="str">
        <f>IFERROR(_xlfn.XLOOKUP(Table1[[#This Row],[Part Number]],Table3[Part number],Table3[Drawing
 Revision]),"")</f>
        <v>AB</v>
      </c>
      <c r="H52" s="118" cm="1">
        <f t="array" ref="H52">IFERROR(INDEX(PDB!$C:$AT,MATCH(E52,PDB!$B:$B,0),MATCH(YEAR(K52),0+PDB!$C$1:$AT$1,0)),"")</f>
        <v>5.31</v>
      </c>
      <c r="I52" s="36">
        <f>100-84+43</f>
        <v>59</v>
      </c>
      <c r="J52" s="36">
        <f>IFERROR(Table1[[#This Row],[Quantity]]*Table1[[#This Row],[Price/Unit
EUR]]," ")</f>
        <v>313.28999999999996</v>
      </c>
      <c r="K52" s="121">
        <v>45635</v>
      </c>
      <c r="L52" s="36">
        <f>WEEKNUM(Table1[[#This Row],[ETA
As requested
dd.mm.yyyy]])</f>
        <v>50</v>
      </c>
      <c r="M52" s="36">
        <f>YEAR(Table1[[#This Row],[ETA
As requested
dd.mm.yyyy]])</f>
        <v>2024</v>
      </c>
      <c r="N52" s="36">
        <f>IFERROR(INDEX(DATABASE_FG!$H$5:$H$367, MATCH(E52, DATABASE_FG!$C$5:$C$367, 0)), " ")</f>
        <v>0</v>
      </c>
      <c r="O52" s="129" t="str">
        <f>IF(E52&lt;&gt;"", _xlfn.XLOOKUP(E52, DATABASE_FG!C:C, DATABASE_FG!F:F), " ")</f>
        <v>Ventilkoerper</v>
      </c>
      <c r="P52" s="129">
        <f>IFERROR(INDEX(DATABASE_FG!$G$5:$G$367, MATCH(E52, DATABASE_FG!$C$5:$C$367, 0)), "Not Found")</f>
        <v>100</v>
      </c>
      <c r="Q52" s="36">
        <v>60</v>
      </c>
      <c r="R52" s="125" t="s">
        <v>678</v>
      </c>
      <c r="S52" s="123">
        <f>IFERROR(INDEX(DATABASE_FG!$L$5:$L$367, MATCH(E52, DATABASE_FG!$C$5:$C$367, 0)), " ")</f>
        <v>56</v>
      </c>
      <c r="T52" s="36" t="s">
        <v>677</v>
      </c>
      <c r="U52" s="36"/>
      <c r="V52" s="36"/>
      <c r="W52" s="129"/>
      <c r="X52" s="36"/>
      <c r="Y52" s="36" t="s">
        <v>121</v>
      </c>
      <c r="Z52" s="36"/>
      <c r="AA52" s="125" t="s">
        <v>121</v>
      </c>
      <c r="AB52" s="173">
        <v>45838</v>
      </c>
      <c r="AC52" s="119">
        <v>260017</v>
      </c>
      <c r="AD52" s="36">
        <f t="shared" si="5"/>
        <v>5500495153</v>
      </c>
      <c r="AE52" s="117">
        <f t="shared" si="6"/>
        <v>1535100046</v>
      </c>
      <c r="AF52" s="36">
        <v>59</v>
      </c>
      <c r="AG52" s="120">
        <f t="shared" si="7"/>
        <v>313.28999999999996</v>
      </c>
      <c r="AH52" s="36"/>
      <c r="AI52" s="124"/>
      <c r="AJ52" s="122"/>
      <c r="AK52" s="129" t="str">
        <f t="shared" ca="1" si="8"/>
        <v>Late</v>
      </c>
      <c r="AL52" s="268" t="str">
        <f t="shared" si="4"/>
        <v>December</v>
      </c>
      <c r="AM52" s="133">
        <f>YEAR(Table1[[#This Row],[ETA
As requested
dd.mm.yyyy]])</f>
        <v>2024</v>
      </c>
    </row>
    <row r="53" spans="1:40" hidden="1">
      <c r="A53" s="36" t="s">
        <v>26</v>
      </c>
      <c r="B53" s="36" t="s">
        <v>1170</v>
      </c>
      <c r="C53" s="117">
        <v>5500495153</v>
      </c>
      <c r="D53" s="165">
        <v>45428</v>
      </c>
      <c r="E53" s="117">
        <v>1535100046</v>
      </c>
      <c r="F53" s="36" t="str">
        <f>IFERROR(VLOOKUP(Table1[[#This Row],[Part Number]],DATABASE_FG!$C$6:D10042,2,FALSE)," ")</f>
        <v xml:space="preserve">VALVE BODY        </v>
      </c>
      <c r="G53" s="117" t="str">
        <f>IFERROR(_xlfn.XLOOKUP(Table1[[#This Row],[Part Number]],Table3[Part number],Table3[Drawing
 Revision]),"")</f>
        <v>AB</v>
      </c>
      <c r="H53" s="118" cm="1">
        <f t="array" ref="H53">IFERROR(INDEX(PDB!$C:$AT,MATCH(E53,PDB!$B:$B,0),MATCH(YEAR(K53),0+PDB!$C$1:$AT$1,0)),"")</f>
        <v>5.31</v>
      </c>
      <c r="I53" s="36">
        <f>100-43+2</f>
        <v>59</v>
      </c>
      <c r="J53" s="36">
        <f>IFERROR(Table1[[#This Row],[Quantity]]*Table1[[#This Row],[Price/Unit
EUR]]," ")</f>
        <v>313.28999999999996</v>
      </c>
      <c r="K53" s="121">
        <v>45726</v>
      </c>
      <c r="L53" s="36">
        <f>WEEKNUM(Table1[[#This Row],[ETA
As requested
dd.mm.yyyy]])</f>
        <v>11</v>
      </c>
      <c r="M53" s="36">
        <f>YEAR(Table1[[#This Row],[ETA
As requested
dd.mm.yyyy]])</f>
        <v>2025</v>
      </c>
      <c r="N53" s="36">
        <f>IFERROR(INDEX(DATABASE_FG!$H$5:$H$367, MATCH(E53, DATABASE_FG!$C$5:$C$367, 0)), " ")</f>
        <v>0</v>
      </c>
      <c r="O53" s="129" t="str">
        <f>IF(E53&lt;&gt;"", _xlfn.XLOOKUP(E53, DATABASE_FG!C:C, DATABASE_FG!F:F), " ")</f>
        <v>Ventilkoerper</v>
      </c>
      <c r="P53" s="129">
        <f>IFERROR(INDEX(DATABASE_FG!$G$5:$G$367, MATCH(E53, DATABASE_FG!$C$5:$C$367, 0)), "Not Found")</f>
        <v>100</v>
      </c>
      <c r="Q53" s="36">
        <v>60</v>
      </c>
      <c r="R53" s="125" t="s">
        <v>678</v>
      </c>
      <c r="S53" s="123">
        <f>IFERROR(INDEX(DATABASE_FG!$L$5:$L$367, MATCH(E53, DATABASE_FG!$C$5:$C$367, 0)), " ")</f>
        <v>56</v>
      </c>
      <c r="T53" s="36" t="s">
        <v>677</v>
      </c>
      <c r="U53" s="36"/>
      <c r="V53" s="36"/>
      <c r="W53" s="129" t="s">
        <v>677</v>
      </c>
      <c r="X53" s="36"/>
      <c r="Y53" s="36" t="s">
        <v>121</v>
      </c>
      <c r="Z53" s="36"/>
      <c r="AA53" s="125" t="s">
        <v>121</v>
      </c>
      <c r="AB53" s="173">
        <v>45838</v>
      </c>
      <c r="AC53" s="119">
        <v>260017</v>
      </c>
      <c r="AD53" s="36">
        <f t="shared" si="5"/>
        <v>5500495153</v>
      </c>
      <c r="AE53" s="36">
        <f t="shared" si="6"/>
        <v>1535100046</v>
      </c>
      <c r="AF53" s="36">
        <v>59</v>
      </c>
      <c r="AG53" s="120">
        <f t="shared" si="7"/>
        <v>313.28999999999996</v>
      </c>
      <c r="AH53" s="36"/>
      <c r="AI53" s="124"/>
      <c r="AJ53" s="122" t="s">
        <v>4434</v>
      </c>
      <c r="AK53" s="129" t="str">
        <f t="shared" ca="1" si="8"/>
        <v>Late</v>
      </c>
      <c r="AL53" s="268" t="str">
        <f t="shared" si="4"/>
        <v>March</v>
      </c>
      <c r="AM53" s="133">
        <f>YEAR(Table1[[#This Row],[ETA
As requested
dd.mm.yyyy]])</f>
        <v>2025</v>
      </c>
    </row>
    <row r="54" spans="1:40" hidden="1">
      <c r="A54" s="123" t="s">
        <v>26</v>
      </c>
      <c r="B54" s="36" t="s">
        <v>1170</v>
      </c>
      <c r="C54" s="117">
        <v>5500495153</v>
      </c>
      <c r="D54" s="165">
        <v>45428</v>
      </c>
      <c r="E54" s="117">
        <v>1535100046</v>
      </c>
      <c r="F54" s="36" t="str">
        <f>IFERROR(VLOOKUP(Table1[[#This Row],[Part Number]],DATABASE_FG!$C$6:D10043,2,FALSE)," ")</f>
        <v xml:space="preserve">VALVE BODY        </v>
      </c>
      <c r="G54" s="117" t="str">
        <f>IFERROR(_xlfn.XLOOKUP(Table1[[#This Row],[Part Number]],Table3[Part number],Table3[Drawing
 Revision]),"")</f>
        <v>AB</v>
      </c>
      <c r="H54" s="118" cm="1">
        <f t="array" ref="H54">IFERROR(INDEX(PDB!$C:$AT,MATCH(E54,PDB!$B:$B,0),MATCH(YEAR(K54),0+PDB!$C$1:$AT$1,0)),"")</f>
        <v>5.31</v>
      </c>
      <c r="I54" s="36">
        <f>3*100+77</f>
        <v>377</v>
      </c>
      <c r="J54" s="125">
        <f>IFERROR(Table1[[#This Row],[Quantity]]*Table1[[#This Row],[Price/Unit
EUR]]," ")</f>
        <v>2001.87</v>
      </c>
      <c r="K54" s="126">
        <v>45899</v>
      </c>
      <c r="L54" s="36">
        <f>WEEKNUM(Table1[[#This Row],[ETA
As requested
dd.mm.yyyy]])</f>
        <v>35</v>
      </c>
      <c r="M54" s="36">
        <f>YEAR(Table1[[#This Row],[ETA
As requested
dd.mm.yyyy]])</f>
        <v>2025</v>
      </c>
      <c r="N54" s="36">
        <f>IFERROR(INDEX(DATABASE_FG!$H$5:$H$367, MATCH(E54, DATABASE_FG!$C$5:$C$367, 0)), " ")</f>
        <v>0</v>
      </c>
      <c r="O54" s="129" t="str">
        <f>IF(E54&lt;&gt;"", _xlfn.XLOOKUP(E54, DATABASE_FG!C:C, DATABASE_FG!F:F), " ")</f>
        <v>Ventilkoerper</v>
      </c>
      <c r="P54" s="129">
        <f>IFERROR(INDEX(DATABASE_FG!$G$5:$G$367, MATCH(E54, DATABASE_FG!$C$5:$C$367, 0)), "Not Found")</f>
        <v>100</v>
      </c>
      <c r="Q54" s="36">
        <v>60</v>
      </c>
      <c r="R54" s="125" t="s">
        <v>678</v>
      </c>
      <c r="S54" s="123">
        <f>IFERROR(INDEX(DATABASE_FG!$L$5:$L$367, MATCH(E54, DATABASE_FG!$C$5:$C$367, 0)), " ")</f>
        <v>56</v>
      </c>
      <c r="T54" s="36" t="s">
        <v>677</v>
      </c>
      <c r="U54" s="36"/>
      <c r="V54" s="36"/>
      <c r="W54" s="129"/>
      <c r="X54" s="36"/>
      <c r="Y54" s="36"/>
      <c r="Z54" s="36"/>
      <c r="AA54" s="125" t="s">
        <v>121</v>
      </c>
      <c r="AB54" s="173">
        <v>45859</v>
      </c>
      <c r="AC54" s="119">
        <v>251084</v>
      </c>
      <c r="AD54" s="36">
        <f t="shared" si="5"/>
        <v>5500495153</v>
      </c>
      <c r="AE54" s="36">
        <f t="shared" si="6"/>
        <v>1535100046</v>
      </c>
      <c r="AF54" s="36">
        <v>377</v>
      </c>
      <c r="AG54" s="120">
        <f t="shared" si="7"/>
        <v>2001.87</v>
      </c>
      <c r="AH54" s="36"/>
      <c r="AI54" s="124"/>
      <c r="AJ54" s="122" t="s">
        <v>3629</v>
      </c>
      <c r="AK54" s="129" t="str">
        <f t="shared" ca="1" si="8"/>
        <v>On Time</v>
      </c>
      <c r="AL54" s="268" t="str">
        <f t="shared" si="4"/>
        <v>August</v>
      </c>
      <c r="AM54" s="133">
        <f>YEAR(Table1[[#This Row],[ETA
As requested
dd.mm.yyyy]])</f>
        <v>2025</v>
      </c>
    </row>
    <row r="55" spans="1:40" hidden="1">
      <c r="A55" s="123" t="s">
        <v>26</v>
      </c>
      <c r="B55" s="36" t="s">
        <v>2464</v>
      </c>
      <c r="C55" s="117">
        <v>5500495153</v>
      </c>
      <c r="D55" s="165">
        <v>45939</v>
      </c>
      <c r="E55" s="117">
        <v>1535100046</v>
      </c>
      <c r="F55" s="36" t="str">
        <f>IFERROR(VLOOKUP(Table1[[#This Row],[Part Number]],DATABASE_FG!$C$6:D10044,2,FALSE)," ")</f>
        <v xml:space="preserve">VALVE BODY        </v>
      </c>
      <c r="G55" s="117" t="str">
        <f>IFERROR(_xlfn.XLOOKUP(Table1[[#This Row],[Part Number]],Table3[Part number],Table3[Drawing
 Revision]),"")</f>
        <v>AB</v>
      </c>
      <c r="H55" s="118" cm="1">
        <f t="array" ref="H55">IFERROR(INDEX(PDB!$C:$AT,MATCH(E55,PDB!$B:$B,0),MATCH(YEAR(K55),0+PDB!$C$1:$AT$1,0)),"")</f>
        <v>5.31</v>
      </c>
      <c r="I55" s="36">
        <f>100-77</f>
        <v>23</v>
      </c>
      <c r="J55" s="125">
        <f>IFERROR(Table1[[#This Row],[Quantity]]*Table1[[#This Row],[Price/Unit
EUR]]," ")</f>
        <v>122.13</v>
      </c>
      <c r="K55" s="126">
        <v>45953</v>
      </c>
      <c r="L55" s="36">
        <f>WEEKNUM(Table1[[#This Row],[ETA
As requested
dd.mm.yyyy]])</f>
        <v>43</v>
      </c>
      <c r="M55" s="36">
        <f>YEAR(Table1[[#This Row],[ETA
As requested
dd.mm.yyyy]])</f>
        <v>2025</v>
      </c>
      <c r="N55" s="36">
        <f>IFERROR(INDEX(DATABASE_FG!$H$5:$H$367, MATCH(E55, DATABASE_FG!$C$5:$C$367, 0)), " ")</f>
        <v>0</v>
      </c>
      <c r="O55" s="129" t="str">
        <f>IF(E55&lt;&gt;"", _xlfn.XLOOKUP(E55, DATABASE_FG!C:C, DATABASE_FG!F:F), " ")</f>
        <v>Ventilkoerper</v>
      </c>
      <c r="P55" s="129">
        <f>IFERROR(INDEX(DATABASE_FG!$G$5:$G$367, MATCH(E55, DATABASE_FG!$C$5:$C$367, 0)), "Not Found")</f>
        <v>100</v>
      </c>
      <c r="Q55" s="36">
        <v>60</v>
      </c>
      <c r="R55" s="125" t="s">
        <v>678</v>
      </c>
      <c r="S55" s="123">
        <f>IFERROR(INDEX(DATABASE_FG!$L$5:$L$367, MATCH(E55, DATABASE_FG!$C$5:$C$367, 0)), " ")</f>
        <v>56</v>
      </c>
      <c r="T55" s="36" t="s">
        <v>677</v>
      </c>
      <c r="U55" s="36"/>
      <c r="V55" s="36"/>
      <c r="W55" s="129" t="s">
        <v>677</v>
      </c>
      <c r="X55" s="36"/>
      <c r="Y55" s="36" t="s">
        <v>121</v>
      </c>
      <c r="Z55" s="36"/>
      <c r="AA55" s="125" t="s">
        <v>3</v>
      </c>
      <c r="AB55" s="173"/>
      <c r="AC55" s="119"/>
      <c r="AD55" s="36" t="str">
        <f t="shared" si="5"/>
        <v/>
      </c>
      <c r="AE55" s="36" t="str">
        <f t="shared" si="6"/>
        <v/>
      </c>
      <c r="AF55" s="36"/>
      <c r="AG55" s="120">
        <f t="shared" si="7"/>
        <v>0</v>
      </c>
      <c r="AH55" s="36"/>
      <c r="AI55" s="124"/>
      <c r="AJ55" s="122"/>
      <c r="AK55" s="129" t="str">
        <f t="shared" ca="1" si="8"/>
        <v>Late</v>
      </c>
      <c r="AL55" s="268" t="str">
        <f t="shared" si="4"/>
        <v>October</v>
      </c>
      <c r="AM55" s="133">
        <f>YEAR(Table1[[#This Row],[ETA
As requested
dd.mm.yyyy]])</f>
        <v>2025</v>
      </c>
    </row>
    <row r="56" spans="1:40" hidden="1">
      <c r="A56" s="123" t="s">
        <v>26</v>
      </c>
      <c r="B56" s="36" t="s">
        <v>2464</v>
      </c>
      <c r="C56" s="117">
        <v>5500495153</v>
      </c>
      <c r="D56" s="165">
        <v>45939</v>
      </c>
      <c r="E56" s="117">
        <v>1535100046</v>
      </c>
      <c r="F56" s="36" t="str">
        <f>IFERROR(VLOOKUP(Table1[[#This Row],[Part Number]],DATABASE_FG!$C$6:D10045,2,FALSE)," ")</f>
        <v xml:space="preserve">VALVE BODY        </v>
      </c>
      <c r="G56" s="117" t="str">
        <f>IFERROR(_xlfn.XLOOKUP(Table1[[#This Row],[Part Number]],Table3[Part number],Table3[Drawing
 Revision]),"")</f>
        <v>AB</v>
      </c>
      <c r="H56" s="118" cm="1">
        <f t="array" ref="H56">IFERROR(INDEX(PDB!$C:$AT,MATCH(E56,PDB!$B:$B,0),MATCH(YEAR(K56),0+PDB!$C$1:$AT$1,0)),"")</f>
        <v>5.31</v>
      </c>
      <c r="I56" s="36">
        <v>100</v>
      </c>
      <c r="J56" s="125">
        <f>IFERROR(Table1[[#This Row],[Quantity]]*Table1[[#This Row],[Price/Unit
EUR]]," ")</f>
        <v>531</v>
      </c>
      <c r="K56" s="126">
        <v>45988</v>
      </c>
      <c r="L56" s="36">
        <f>WEEKNUM(Table1[[#This Row],[ETA
As requested
dd.mm.yyyy]])</f>
        <v>48</v>
      </c>
      <c r="M56" s="36">
        <f>YEAR(Table1[[#This Row],[ETA
As requested
dd.mm.yyyy]])</f>
        <v>2025</v>
      </c>
      <c r="N56" s="36">
        <f>IFERROR(INDEX(DATABASE_FG!$H$5:$H$367, MATCH(E56, DATABASE_FG!$C$5:$C$367, 0)), " ")</f>
        <v>0</v>
      </c>
      <c r="O56" s="129" t="str">
        <f>IF(E56&lt;&gt;"", _xlfn.XLOOKUP(E56, DATABASE_FG!C:C, DATABASE_FG!F:F), " ")</f>
        <v>Ventilkoerper</v>
      </c>
      <c r="P56" s="129">
        <f>IFERROR(INDEX(DATABASE_FG!$G$5:$G$367, MATCH(E56, DATABASE_FG!$C$5:$C$367, 0)), "Not Found")</f>
        <v>100</v>
      </c>
      <c r="Q56" s="36">
        <v>60</v>
      </c>
      <c r="R56" s="125" t="s">
        <v>678</v>
      </c>
      <c r="S56" s="123">
        <f>Table1[[#This Row],[Quantity]]/48</f>
        <v>2.0833333333333335</v>
      </c>
      <c r="T56" s="36"/>
      <c r="U56" s="36"/>
      <c r="V56" s="36"/>
      <c r="W56" s="129"/>
      <c r="X56" s="36"/>
      <c r="Y56" s="36"/>
      <c r="Z56" s="36"/>
      <c r="AA56" s="125" t="s">
        <v>3</v>
      </c>
      <c r="AB56" s="173"/>
      <c r="AC56" s="119"/>
      <c r="AD56" s="36" t="str">
        <f t="shared" si="5"/>
        <v/>
      </c>
      <c r="AE56" s="36" t="str">
        <f t="shared" si="6"/>
        <v/>
      </c>
      <c r="AF56" s="36"/>
      <c r="AG56" s="120">
        <f t="shared" si="7"/>
        <v>0</v>
      </c>
      <c r="AH56" s="36"/>
      <c r="AI56" s="124"/>
      <c r="AJ56" s="122"/>
      <c r="AK56" s="129" t="str">
        <f t="shared" ca="1" si="8"/>
        <v/>
      </c>
      <c r="AL56" s="268" t="str">
        <f t="shared" si="4"/>
        <v>November</v>
      </c>
      <c r="AM56" s="133">
        <f>YEAR(Table1[[#This Row],[ETA
As requested
dd.mm.yyyy]])</f>
        <v>2025</v>
      </c>
      <c r="AN56" s="191"/>
    </row>
    <row r="57" spans="1:40" hidden="1">
      <c r="A57" s="123" t="s">
        <v>26</v>
      </c>
      <c r="B57" s="36" t="s">
        <v>2464</v>
      </c>
      <c r="C57" s="117">
        <v>5500495153</v>
      </c>
      <c r="D57" s="165">
        <v>45939</v>
      </c>
      <c r="E57" s="117">
        <v>1535100046</v>
      </c>
      <c r="F57" s="36" t="str">
        <f>IFERROR(VLOOKUP(Table1[[#This Row],[Part Number]],DATABASE_FG!$C$6:D10046,2,FALSE)," ")</f>
        <v xml:space="preserve">VALVE BODY        </v>
      </c>
      <c r="G57" s="117" t="str">
        <f>IFERROR(_xlfn.XLOOKUP(Table1[[#This Row],[Part Number]],Table3[Part number],Table3[Drawing
 Revision]),"")</f>
        <v>AB</v>
      </c>
      <c r="H57" s="118" cm="1">
        <f t="array" ref="H57">IFERROR(INDEX(PDB!$C:$AT,MATCH(E57,PDB!$B:$B,0),MATCH(YEAR(K57),0+PDB!$C$1:$AT$1,0)),"")</f>
        <v>0</v>
      </c>
      <c r="I57" s="36">
        <v>100</v>
      </c>
      <c r="J57" s="125">
        <f>IFERROR(Table1[[#This Row],[Quantity]]*Table1[[#This Row],[Price/Unit
EUR]]," ")</f>
        <v>0</v>
      </c>
      <c r="K57" s="126">
        <v>46044</v>
      </c>
      <c r="L57" s="36">
        <f>WEEKNUM(Table1[[#This Row],[ETA
As requested
dd.mm.yyyy]])</f>
        <v>4</v>
      </c>
      <c r="M57" s="36">
        <f>YEAR(Table1[[#This Row],[ETA
As requested
dd.mm.yyyy]])</f>
        <v>2026</v>
      </c>
      <c r="N57" s="36">
        <f>IFERROR(INDEX(DATABASE_FG!$H$5:$H$367, MATCH(E57, DATABASE_FG!$C$5:$C$367, 0)), " ")</f>
        <v>0</v>
      </c>
      <c r="O57" s="129" t="str">
        <f>IF(E57&lt;&gt;"", _xlfn.XLOOKUP(E57, DATABASE_FG!C:C, DATABASE_FG!F:F), " ")</f>
        <v>Ventilkoerper</v>
      </c>
      <c r="P57" s="129">
        <f>IFERROR(INDEX(DATABASE_FG!$G$5:$G$367, MATCH(E57, DATABASE_FG!$C$5:$C$367, 0)), "Not Found")</f>
        <v>100</v>
      </c>
      <c r="Q57" s="36">
        <v>60</v>
      </c>
      <c r="R57" s="125" t="s">
        <v>678</v>
      </c>
      <c r="S57" s="123">
        <f>Table1[[#This Row],[Quantity]]/48</f>
        <v>2.0833333333333335</v>
      </c>
      <c r="T57" s="36"/>
      <c r="U57" s="36"/>
      <c r="V57" s="36"/>
      <c r="W57" s="129"/>
      <c r="X57" s="36"/>
      <c r="Y57" s="36"/>
      <c r="Z57" s="36"/>
      <c r="AA57" s="125" t="s">
        <v>3</v>
      </c>
      <c r="AB57" s="173"/>
      <c r="AC57" s="119"/>
      <c r="AD57" s="36" t="str">
        <f t="shared" si="5"/>
        <v/>
      </c>
      <c r="AE57" s="36" t="str">
        <f t="shared" si="6"/>
        <v/>
      </c>
      <c r="AF57" s="36"/>
      <c r="AG57" s="120">
        <f t="shared" si="7"/>
        <v>0</v>
      </c>
      <c r="AH57" s="36"/>
      <c r="AI57" s="124"/>
      <c r="AJ57" s="122"/>
      <c r="AK57" s="129" t="str">
        <f t="shared" ca="1" si="8"/>
        <v/>
      </c>
      <c r="AL57" s="268" t="str">
        <f t="shared" si="4"/>
        <v>January</v>
      </c>
      <c r="AM57" s="133">
        <f>YEAR(Table1[[#This Row],[ETA
As requested
dd.mm.yyyy]])</f>
        <v>2026</v>
      </c>
      <c r="AN57" s="191"/>
    </row>
    <row r="58" spans="1:40" hidden="1">
      <c r="A58" s="123" t="s">
        <v>26</v>
      </c>
      <c r="B58" s="36" t="s">
        <v>2464</v>
      </c>
      <c r="C58" s="117">
        <v>5500495153</v>
      </c>
      <c r="D58" s="165">
        <v>45939</v>
      </c>
      <c r="E58" s="117">
        <v>1535100046</v>
      </c>
      <c r="F58" s="36" t="str">
        <f>IFERROR(VLOOKUP(Table1[[#This Row],[Part Number]],DATABASE_FG!$C$6:D10047,2,FALSE)," ")</f>
        <v xml:space="preserve">VALVE BODY        </v>
      </c>
      <c r="G58" s="117" t="str">
        <f>IFERROR(_xlfn.XLOOKUP(Table1[[#This Row],[Part Number]],Table3[Part number],Table3[Drawing
 Revision]),"")</f>
        <v>AB</v>
      </c>
      <c r="H58" s="118" cm="1">
        <f t="array" ref="H58">IFERROR(INDEX(PDB!$C:$AT,MATCH(E58,PDB!$B:$B,0),MATCH(YEAR(K58),0+PDB!$C$1:$AT$1,0)),"")</f>
        <v>0</v>
      </c>
      <c r="I58" s="36">
        <v>100</v>
      </c>
      <c r="J58" s="125">
        <f>IFERROR(Table1[[#This Row],[Quantity]]*Table1[[#This Row],[Price/Unit
EUR]]," ")</f>
        <v>0</v>
      </c>
      <c r="K58" s="126">
        <v>46108</v>
      </c>
      <c r="L58" s="36">
        <f>WEEKNUM(Table1[[#This Row],[ETA
As requested
dd.mm.yyyy]])</f>
        <v>13</v>
      </c>
      <c r="M58" s="36">
        <f>YEAR(Table1[[#This Row],[ETA
As requested
dd.mm.yyyy]])</f>
        <v>2026</v>
      </c>
      <c r="N58" s="36">
        <f>IFERROR(INDEX(DATABASE_FG!$H$5:$H$367, MATCH(E58, DATABASE_FG!$C$5:$C$367, 0)), " ")</f>
        <v>0</v>
      </c>
      <c r="O58" s="129" t="str">
        <f>IF(E58&lt;&gt;"", _xlfn.XLOOKUP(E58, DATABASE_FG!C:C, DATABASE_FG!F:F), " ")</f>
        <v>Ventilkoerper</v>
      </c>
      <c r="P58" s="129">
        <f>IFERROR(INDEX(DATABASE_FG!$G$5:$G$367, MATCH(E58, DATABASE_FG!$C$5:$C$367, 0)), "Not Found")</f>
        <v>100</v>
      </c>
      <c r="Q58" s="36">
        <v>60</v>
      </c>
      <c r="R58" s="125" t="s">
        <v>678</v>
      </c>
      <c r="S58" s="123">
        <f>Table1[[#This Row],[Quantity]]/48</f>
        <v>2.0833333333333335</v>
      </c>
      <c r="T58" s="36"/>
      <c r="U58" s="36"/>
      <c r="V58" s="36"/>
      <c r="W58" s="129"/>
      <c r="X58" s="36"/>
      <c r="Y58" s="36"/>
      <c r="Z58" s="36"/>
      <c r="AA58" s="125" t="s">
        <v>3</v>
      </c>
      <c r="AB58" s="172"/>
      <c r="AC58" s="119"/>
      <c r="AD58" s="36" t="str">
        <f t="shared" si="5"/>
        <v/>
      </c>
      <c r="AE58" s="36" t="str">
        <f t="shared" si="6"/>
        <v/>
      </c>
      <c r="AF58" s="36"/>
      <c r="AG58" s="120">
        <f t="shared" si="7"/>
        <v>0</v>
      </c>
      <c r="AH58" s="36"/>
      <c r="AI58" s="124"/>
      <c r="AJ58" s="122"/>
      <c r="AK58" s="129" t="str">
        <f t="shared" ca="1" si="8"/>
        <v/>
      </c>
      <c r="AL58" s="268" t="str">
        <f t="shared" si="4"/>
        <v>March</v>
      </c>
      <c r="AM58" s="133">
        <f>YEAR(Table1[[#This Row],[ETA
As requested
dd.mm.yyyy]])</f>
        <v>2026</v>
      </c>
      <c r="AN58" s="191"/>
    </row>
    <row r="59" spans="1:40" hidden="1">
      <c r="A59" s="123" t="s">
        <v>26</v>
      </c>
      <c r="B59" s="36" t="s">
        <v>2464</v>
      </c>
      <c r="C59" s="117">
        <v>5500495153</v>
      </c>
      <c r="D59" s="165">
        <v>45939</v>
      </c>
      <c r="E59" s="117">
        <v>1535100046</v>
      </c>
      <c r="F59" s="36" t="str">
        <f>IFERROR(VLOOKUP(Table1[[#This Row],[Part Number]],DATABASE_FG!$C$6:D10048,2,FALSE)," ")</f>
        <v xml:space="preserve">VALVE BODY        </v>
      </c>
      <c r="G59" s="117" t="str">
        <f>IFERROR(_xlfn.XLOOKUP(Table1[[#This Row],[Part Number]],Table3[Part number],Table3[Drawing
 Revision]),"")</f>
        <v>AB</v>
      </c>
      <c r="H59" s="118" cm="1">
        <f t="array" ref="H59">IFERROR(INDEX(PDB!$C:$AT,MATCH(E59,PDB!$B:$B,0),MATCH(YEAR(K59),0+PDB!$C$1:$AT$1,0)),"")</f>
        <v>0</v>
      </c>
      <c r="I59" s="36">
        <v>100</v>
      </c>
      <c r="J59" s="125">
        <f>IFERROR(Table1[[#This Row],[Quantity]]*Table1[[#This Row],[Price/Unit
EUR]]," ")</f>
        <v>0</v>
      </c>
      <c r="K59" s="126">
        <v>46163</v>
      </c>
      <c r="L59" s="36">
        <f>WEEKNUM(Table1[[#This Row],[ETA
As requested
dd.mm.yyyy]])</f>
        <v>21</v>
      </c>
      <c r="M59" s="36">
        <f>YEAR(Table1[[#This Row],[ETA
As requested
dd.mm.yyyy]])</f>
        <v>2026</v>
      </c>
      <c r="N59" s="36">
        <f>IFERROR(INDEX(DATABASE_FG!$H$5:$H$367, MATCH(E59, DATABASE_FG!$C$5:$C$367, 0)), " ")</f>
        <v>0</v>
      </c>
      <c r="O59" s="129" t="str">
        <f>IF(E59&lt;&gt;"", _xlfn.XLOOKUP(E59, DATABASE_FG!C:C, DATABASE_FG!F:F), " ")</f>
        <v>Ventilkoerper</v>
      </c>
      <c r="P59" s="129">
        <f>IFERROR(INDEX(DATABASE_FG!$G$5:$G$367, MATCH(E59, DATABASE_FG!$C$5:$C$367, 0)), "Not Found")</f>
        <v>100</v>
      </c>
      <c r="Q59" s="36">
        <v>60</v>
      </c>
      <c r="R59" s="125" t="s">
        <v>678</v>
      </c>
      <c r="S59" s="123">
        <f>Table1[[#This Row],[Quantity]]/48</f>
        <v>2.0833333333333335</v>
      </c>
      <c r="T59" s="36"/>
      <c r="U59" s="36"/>
      <c r="V59" s="36"/>
      <c r="W59" s="129"/>
      <c r="X59" s="36"/>
      <c r="Y59" s="36"/>
      <c r="Z59" s="36"/>
      <c r="AA59" s="125" t="s">
        <v>3</v>
      </c>
      <c r="AB59" s="172"/>
      <c r="AC59" s="119"/>
      <c r="AD59" s="36" t="str">
        <f t="shared" si="5"/>
        <v/>
      </c>
      <c r="AE59" s="36" t="str">
        <f t="shared" si="6"/>
        <v/>
      </c>
      <c r="AF59" s="36"/>
      <c r="AG59" s="120">
        <f t="shared" si="7"/>
        <v>0</v>
      </c>
      <c r="AH59" s="36"/>
      <c r="AI59" s="124"/>
      <c r="AJ59" s="122"/>
      <c r="AK59" s="129" t="str">
        <f t="shared" ca="1" si="8"/>
        <v/>
      </c>
      <c r="AL59" s="268" t="str">
        <f t="shared" si="4"/>
        <v>May</v>
      </c>
      <c r="AM59" s="133">
        <f>YEAR(Table1[[#This Row],[ETA
As requested
dd.mm.yyyy]])</f>
        <v>2026</v>
      </c>
      <c r="AN59" s="191"/>
    </row>
    <row r="60" spans="1:40" hidden="1">
      <c r="A60" s="123" t="s">
        <v>26</v>
      </c>
      <c r="B60" s="36" t="s">
        <v>2464</v>
      </c>
      <c r="C60" s="117">
        <v>5500495153</v>
      </c>
      <c r="D60" s="165">
        <v>45939</v>
      </c>
      <c r="E60" s="117">
        <v>1535100046</v>
      </c>
      <c r="F60" s="36" t="str">
        <f>IFERROR(VLOOKUP(Table1[[#This Row],[Part Number]],DATABASE_FG!$C$6:D10049,2,FALSE)," ")</f>
        <v xml:space="preserve">VALVE BODY        </v>
      </c>
      <c r="G60" s="117" t="str">
        <f>IFERROR(_xlfn.XLOOKUP(Table1[[#This Row],[Part Number]],Table3[Part number],Table3[Drawing
 Revision]),"")</f>
        <v>AB</v>
      </c>
      <c r="H60" s="118" cm="1">
        <f t="array" ref="H60">IFERROR(INDEX(PDB!$C:$AT,MATCH(E60,PDB!$B:$B,0),MATCH(YEAR(K60),0+PDB!$C$1:$AT$1,0)),"")</f>
        <v>0</v>
      </c>
      <c r="I60" s="36">
        <v>100</v>
      </c>
      <c r="J60" s="125">
        <f>IFERROR(Table1[[#This Row],[Quantity]]*Table1[[#This Row],[Price/Unit
EUR]]," ")</f>
        <v>0</v>
      </c>
      <c r="K60" s="126">
        <v>46245</v>
      </c>
      <c r="L60" s="36">
        <f>WEEKNUM(Table1[[#This Row],[ETA
As requested
dd.mm.yyyy]])</f>
        <v>33</v>
      </c>
      <c r="M60" s="36">
        <f>YEAR(Table1[[#This Row],[ETA
As requested
dd.mm.yyyy]])</f>
        <v>2026</v>
      </c>
      <c r="N60" s="36">
        <f>IFERROR(INDEX(DATABASE_FG!$H$5:$H$367, MATCH(E60, DATABASE_FG!$C$5:$C$367, 0)), " ")</f>
        <v>0</v>
      </c>
      <c r="O60" s="129" t="str">
        <f>IF(E60&lt;&gt;"", _xlfn.XLOOKUP(E60, DATABASE_FG!C:C, DATABASE_FG!F:F), " ")</f>
        <v>Ventilkoerper</v>
      </c>
      <c r="P60" s="129">
        <f>IFERROR(INDEX(DATABASE_FG!$G$5:$G$367, MATCH(E60, DATABASE_FG!$C$5:$C$367, 0)), "Not Found")</f>
        <v>100</v>
      </c>
      <c r="Q60" s="36">
        <v>60</v>
      </c>
      <c r="R60" s="125" t="s">
        <v>678</v>
      </c>
      <c r="S60" s="123">
        <f>Table1[[#This Row],[Quantity]]/48</f>
        <v>2.0833333333333335</v>
      </c>
      <c r="T60" s="36"/>
      <c r="U60" s="36"/>
      <c r="V60" s="36"/>
      <c r="W60" s="129"/>
      <c r="X60" s="36"/>
      <c r="Y60" s="36"/>
      <c r="Z60" s="36"/>
      <c r="AA60" s="125" t="s">
        <v>3</v>
      </c>
      <c r="AB60" s="172"/>
      <c r="AC60" s="119"/>
      <c r="AD60" s="36" t="str">
        <f t="shared" si="5"/>
        <v/>
      </c>
      <c r="AE60" s="36" t="str">
        <f t="shared" si="6"/>
        <v/>
      </c>
      <c r="AF60" s="36"/>
      <c r="AG60" s="120">
        <f t="shared" si="7"/>
        <v>0</v>
      </c>
      <c r="AH60" s="36"/>
      <c r="AI60" s="124"/>
      <c r="AJ60" s="122"/>
      <c r="AK60" s="129" t="str">
        <f t="shared" ca="1" si="8"/>
        <v/>
      </c>
      <c r="AL60" s="268" t="str">
        <f t="shared" si="4"/>
        <v>August</v>
      </c>
      <c r="AM60" s="133">
        <f>YEAR(Table1[[#This Row],[ETA
As requested
dd.mm.yyyy]])</f>
        <v>2026</v>
      </c>
      <c r="AN60" s="191"/>
    </row>
    <row r="61" spans="1:40" hidden="1">
      <c r="A61" s="123" t="s">
        <v>26</v>
      </c>
      <c r="B61" s="36" t="s">
        <v>2464</v>
      </c>
      <c r="C61" s="117">
        <v>5500495153</v>
      </c>
      <c r="D61" s="165">
        <v>45939</v>
      </c>
      <c r="E61" s="117">
        <v>1535100046</v>
      </c>
      <c r="F61" s="36" t="str">
        <f>IFERROR(VLOOKUP(Table1[[#This Row],[Part Number]],DATABASE_FG!$C$6:D10050,2,FALSE)," ")</f>
        <v xml:space="preserve">VALVE BODY        </v>
      </c>
      <c r="G61" s="117" t="str">
        <f>IFERROR(_xlfn.XLOOKUP(Table1[[#This Row],[Part Number]],Table3[Part number],Table3[Drawing
 Revision]),"")</f>
        <v>AB</v>
      </c>
      <c r="H61" s="118" cm="1">
        <f t="array" ref="H61">IFERROR(INDEX(PDB!$C:$AT,MATCH(E61,PDB!$B:$B,0),MATCH(YEAR(K61),0+PDB!$C$1:$AT$1,0)),"")</f>
        <v>0</v>
      </c>
      <c r="I61" s="36">
        <v>69</v>
      </c>
      <c r="J61" s="125">
        <f>IFERROR(Table1[[#This Row],[Quantity]]*Table1[[#This Row],[Price/Unit
EUR]]," ")</f>
        <v>0</v>
      </c>
      <c r="K61" s="126">
        <v>46328</v>
      </c>
      <c r="L61" s="36">
        <f>WEEKNUM(Table1[[#This Row],[ETA
As requested
dd.mm.yyyy]])</f>
        <v>45</v>
      </c>
      <c r="M61" s="36">
        <f>YEAR(Table1[[#This Row],[ETA
As requested
dd.mm.yyyy]])</f>
        <v>2026</v>
      </c>
      <c r="N61" s="36">
        <f>IFERROR(INDEX(DATABASE_FG!$H$5:$H$367, MATCH(E61, DATABASE_FG!$C$5:$C$367, 0)), " ")</f>
        <v>0</v>
      </c>
      <c r="O61" s="129" t="str">
        <f>IF(E61&lt;&gt;"", _xlfn.XLOOKUP(E61, DATABASE_FG!C:C, DATABASE_FG!F:F), " ")</f>
        <v>Ventilkoerper</v>
      </c>
      <c r="P61" s="129">
        <f>IFERROR(INDEX(DATABASE_FG!$G$5:$G$367, MATCH(E61, DATABASE_FG!$C$5:$C$367, 0)), "Not Found")</f>
        <v>100</v>
      </c>
      <c r="Q61" s="36">
        <v>60</v>
      </c>
      <c r="R61" s="125" t="s">
        <v>678</v>
      </c>
      <c r="S61" s="123">
        <f>IFERROR(INDEX(DATABASE_FG!$L$5:$L$367, MATCH(E61, DATABASE_FG!$C$5:$C$367, 0)), " ")</f>
        <v>56</v>
      </c>
      <c r="T61" s="36" t="s">
        <v>677</v>
      </c>
      <c r="U61" s="36"/>
      <c r="V61" s="36"/>
      <c r="W61" s="129" t="s">
        <v>677</v>
      </c>
      <c r="X61" s="36"/>
      <c r="Y61" s="36" t="s">
        <v>121</v>
      </c>
      <c r="Z61" s="36"/>
      <c r="AA61" s="125" t="s">
        <v>3</v>
      </c>
      <c r="AB61" s="172"/>
      <c r="AC61" s="119"/>
      <c r="AD61" s="36" t="str">
        <f t="shared" si="5"/>
        <v/>
      </c>
      <c r="AE61" s="36" t="str">
        <f t="shared" si="6"/>
        <v/>
      </c>
      <c r="AF61" s="36"/>
      <c r="AG61" s="120">
        <f t="shared" si="7"/>
        <v>0</v>
      </c>
      <c r="AH61" s="36"/>
      <c r="AI61" s="124"/>
      <c r="AJ61" s="122"/>
      <c r="AK61" s="129" t="str">
        <f t="shared" ca="1" si="8"/>
        <v/>
      </c>
      <c r="AL61" s="268" t="str">
        <f t="shared" si="4"/>
        <v>November</v>
      </c>
      <c r="AM61" s="133">
        <f>YEAR(Table1[[#This Row],[ETA
As requested
dd.mm.yyyy]])</f>
        <v>2026</v>
      </c>
    </row>
    <row r="62" spans="1:40" hidden="1">
      <c r="A62" s="123" t="s">
        <v>26</v>
      </c>
      <c r="B62" s="36" t="s">
        <v>1170</v>
      </c>
      <c r="C62" s="117">
        <v>4508756412</v>
      </c>
      <c r="D62" s="165"/>
      <c r="E62" s="117">
        <v>1813218040</v>
      </c>
      <c r="F62" s="36" t="str">
        <f>IFERROR(VLOOKUP(Table1[[#This Row],[Part Number]],DATABASE_FG!$C$6:D10051,2,FALSE)," ")</f>
        <v>valve body</v>
      </c>
      <c r="G62" s="117" t="str">
        <f>IFERROR(_xlfn.XLOOKUP(Table1[[#This Row],[Part Number]],Table3[Part number],Table3[Drawing
 Revision]),"")</f>
        <v>AB</v>
      </c>
      <c r="H62" s="118" cm="1">
        <f t="array" ref="H62">IFERROR(INDEX(PDB!$C:$AT,MATCH(E62,PDB!$B:$B,0),MATCH(YEAR(K62),0+PDB!$C$1:$AT$1,0)),"")</f>
        <v>9.3699999999999992</v>
      </c>
      <c r="I62" s="36">
        <v>5</v>
      </c>
      <c r="J62" s="125">
        <f>IFERROR(Table1[[#This Row],[Quantity]]*Table1[[#This Row],[Price/Unit
EUR]]," ")</f>
        <v>46.849999999999994</v>
      </c>
      <c r="K62" s="126">
        <v>44665</v>
      </c>
      <c r="L62" s="36">
        <f>WEEKNUM(Table1[[#This Row],[ETA
As requested
dd.mm.yyyy]])</f>
        <v>16</v>
      </c>
      <c r="M62" s="36">
        <f>YEAR(Table1[[#This Row],[ETA
As requested
dd.mm.yyyy]])</f>
        <v>2022</v>
      </c>
      <c r="N62" s="36">
        <f>IFERROR(INDEX(DATABASE_FG!$H$5:$H$367, MATCH(E62, DATABASE_FG!$C$5:$C$367, 0)), " ")</f>
        <v>0</v>
      </c>
      <c r="O62" s="129" t="str">
        <f>IF(E62&lt;&gt;"", _xlfn.XLOOKUP(E62, DATABASE_FG!C:C, DATABASE_FG!F:F), " ")</f>
        <v>Ventilkoerper</v>
      </c>
      <c r="P62" s="129">
        <f>IFERROR(INDEX(DATABASE_FG!$G$5:$G$367, MATCH(E62, DATABASE_FG!$C$5:$C$367, 0)), "Not Found")</f>
        <v>1</v>
      </c>
      <c r="Q62" s="36"/>
      <c r="R62" s="125" t="s">
        <v>680</v>
      </c>
      <c r="S62" s="123">
        <f>IFERROR(INDEX(DATABASE_FG!$L$5:$L$367, MATCH(E62, DATABASE_FG!$C$5:$C$367, 0)), " ")</f>
        <v>56</v>
      </c>
      <c r="T62" s="36" t="s">
        <v>677</v>
      </c>
      <c r="U62" s="36"/>
      <c r="V62" s="36"/>
      <c r="W62" s="129"/>
      <c r="X62" s="36"/>
      <c r="Y62" s="36"/>
      <c r="Z62" s="36"/>
      <c r="AA62" s="125" t="s">
        <v>121</v>
      </c>
      <c r="AB62" s="172"/>
      <c r="AC62" s="119"/>
      <c r="AD62" s="36" t="str">
        <f t="shared" si="5"/>
        <v/>
      </c>
      <c r="AE62" s="36" t="str">
        <f t="shared" si="6"/>
        <v/>
      </c>
      <c r="AF62" s="36">
        <v>0</v>
      </c>
      <c r="AG62" s="120">
        <f t="shared" si="7"/>
        <v>0</v>
      </c>
      <c r="AH62" s="36"/>
      <c r="AI62" s="124" t="s">
        <v>1171</v>
      </c>
      <c r="AJ62" s="122"/>
      <c r="AK62" s="129" t="str">
        <f t="shared" ca="1" si="8"/>
        <v>Late</v>
      </c>
      <c r="AL62" s="268" t="str">
        <f t="shared" si="4"/>
        <v>April</v>
      </c>
      <c r="AM62" s="133">
        <f>YEAR(Table1[[#This Row],[ETA
As requested
dd.mm.yyyy]])</f>
        <v>2022</v>
      </c>
    </row>
    <row r="63" spans="1:40" hidden="1">
      <c r="A63" s="123" t="s">
        <v>26</v>
      </c>
      <c r="B63" s="36" t="s">
        <v>1170</v>
      </c>
      <c r="C63" s="117">
        <v>4508756412</v>
      </c>
      <c r="D63" s="165"/>
      <c r="E63" s="117">
        <v>1813218042</v>
      </c>
      <c r="F63" s="36" t="str">
        <f>IFERROR(VLOOKUP(Table1[[#This Row],[Part Number]],DATABASE_FG!$C$6:D10052,2,FALSE)," ")</f>
        <v>VALVE BODY</v>
      </c>
      <c r="G63" s="117" t="str">
        <f>IFERROR(_xlfn.XLOOKUP(Table1[[#This Row],[Part Number]],Table3[Part number],Table3[Drawing
 Revision]),"")</f>
        <v>AB</v>
      </c>
      <c r="H63" s="118" cm="1">
        <f t="array" ref="H63">IFERROR(INDEX(PDB!$C:$AT,MATCH(E63,PDB!$B:$B,0),MATCH(YEAR(K63),0+PDB!$C$1:$AT$1,0)),"")</f>
        <v>8.4499999999999993</v>
      </c>
      <c r="I63" s="36">
        <v>5</v>
      </c>
      <c r="J63" s="125">
        <f>IFERROR(Table1[[#This Row],[Quantity]]*Table1[[#This Row],[Price/Unit
EUR]]," ")</f>
        <v>42.25</v>
      </c>
      <c r="K63" s="126">
        <v>45541</v>
      </c>
      <c r="L63" s="36">
        <f>WEEKNUM(Table1[[#This Row],[ETA
As requested
dd.mm.yyyy]])</f>
        <v>36</v>
      </c>
      <c r="M63" s="36">
        <f>YEAR(Table1[[#This Row],[ETA
As requested
dd.mm.yyyy]])</f>
        <v>2024</v>
      </c>
      <c r="N63" s="36">
        <f>IFERROR(INDEX(DATABASE_FG!$H$5:$H$367, MATCH(E63, DATABASE_FG!$C$5:$C$367, 0)), " ")</f>
        <v>0</v>
      </c>
      <c r="O63" s="129" t="str">
        <f>IF(E63&lt;&gt;"", _xlfn.XLOOKUP(E63, DATABASE_FG!C:C, DATABASE_FG!F:F), " ")</f>
        <v>Ventilkoerper</v>
      </c>
      <c r="P63" s="129">
        <f>IFERROR(INDEX(DATABASE_FG!$G$5:$G$367, MATCH(E63, DATABASE_FG!$C$5:$C$367, 0)), "Not Found")</f>
        <v>50</v>
      </c>
      <c r="Q63" s="36">
        <v>60</v>
      </c>
      <c r="R63" s="125" t="s">
        <v>680</v>
      </c>
      <c r="S63" s="123">
        <f>IFERROR(INDEX(DATABASE_FG!$L$5:$L$367, MATCH(E63, DATABASE_FG!$C$5:$C$367, 0)), " ")</f>
        <v>56</v>
      </c>
      <c r="T63" s="36" t="s">
        <v>677</v>
      </c>
      <c r="U63" s="36"/>
      <c r="V63" s="36"/>
      <c r="W63" s="129"/>
      <c r="X63" s="36"/>
      <c r="Y63" s="36" t="s">
        <v>680</v>
      </c>
      <c r="Z63" s="36" t="s">
        <v>2352</v>
      </c>
      <c r="AA63" s="125" t="s">
        <v>121</v>
      </c>
      <c r="AB63" s="172">
        <v>45583</v>
      </c>
      <c r="AC63" s="119">
        <v>202401258</v>
      </c>
      <c r="AD63" s="36">
        <f t="shared" si="5"/>
        <v>4508756412</v>
      </c>
      <c r="AE63" s="36">
        <f t="shared" si="6"/>
        <v>1813218042</v>
      </c>
      <c r="AF63" s="36">
        <v>5</v>
      </c>
      <c r="AG63" s="120">
        <f t="shared" si="7"/>
        <v>42.25</v>
      </c>
      <c r="AH63" s="36"/>
      <c r="AI63" s="124"/>
      <c r="AJ63" s="122" t="s">
        <v>2353</v>
      </c>
      <c r="AK63" s="129" t="str">
        <f t="shared" ca="1" si="8"/>
        <v>Late</v>
      </c>
      <c r="AL63" s="268" t="str">
        <f t="shared" si="4"/>
        <v>September</v>
      </c>
      <c r="AM63" s="133">
        <f>YEAR(Table1[[#This Row],[ETA
As requested
dd.mm.yyyy]])</f>
        <v>2024</v>
      </c>
    </row>
    <row r="64" spans="1:40" hidden="1">
      <c r="A64" s="123" t="s">
        <v>26</v>
      </c>
      <c r="B64" s="36" t="s">
        <v>1170</v>
      </c>
      <c r="C64" s="117">
        <v>4509910041</v>
      </c>
      <c r="D64" s="165">
        <v>45335</v>
      </c>
      <c r="E64" s="117">
        <v>1813218050</v>
      </c>
      <c r="F64" s="36" t="str">
        <f>IFERROR(VLOOKUP(Table1[[#This Row],[Part Number]],DATABASE_FG!$C$6:D10053,2,FALSE)," ")</f>
        <v>VALVE BODY         .</v>
      </c>
      <c r="G64" s="117" t="str">
        <f>IFERROR(_xlfn.XLOOKUP(Table1[[#This Row],[Part Number]],Table3[Part number],Table3[Drawing
 Revision]),"")</f>
        <v>AB</v>
      </c>
      <c r="H64" s="118" cm="1">
        <f t="array" ref="H64">IFERROR(INDEX(PDB!$C:$AT,MATCH(E64,PDB!$B:$B,0),MATCH(YEAR(K64),0+PDB!$C$1:$AT$1,0)),"")</f>
        <v>7.46</v>
      </c>
      <c r="I64" s="36">
        <v>5</v>
      </c>
      <c r="J64" s="125">
        <f>IFERROR(Table1[[#This Row],[Quantity]]*Table1[[#This Row],[Price/Unit
EUR]]," ")</f>
        <v>37.299999999999997</v>
      </c>
      <c r="K64" s="126">
        <v>45349</v>
      </c>
      <c r="L64" s="36">
        <f>WEEKNUM(Table1[[#This Row],[ETA
As requested
dd.mm.yyyy]])</f>
        <v>9</v>
      </c>
      <c r="M64" s="36">
        <f>YEAR(Table1[[#This Row],[ETA
As requested
dd.mm.yyyy]])</f>
        <v>2024</v>
      </c>
      <c r="N64" s="36">
        <f>IFERROR(INDEX(DATABASE_FG!$H$5:$H$367, MATCH(E64, DATABASE_FG!$C$5:$C$367, 0)), " ")</f>
        <v>0</v>
      </c>
      <c r="O64" s="129" t="str">
        <f>IF(E64&lt;&gt;"", _xlfn.XLOOKUP(E64, DATABASE_FG!C:C, DATABASE_FG!F:F), " ")</f>
        <v>Ventilkoerper</v>
      </c>
      <c r="P64" s="129">
        <f>IFERROR(INDEX(DATABASE_FG!$G$5:$G$367, MATCH(E64, DATABASE_FG!$C$5:$C$367, 0)), "Not Found")</f>
        <v>250</v>
      </c>
      <c r="Q64" s="36">
        <v>60</v>
      </c>
      <c r="R64" s="125" t="s">
        <v>680</v>
      </c>
      <c r="S64" s="123">
        <f>IFERROR(INDEX(DATABASE_FG!$L$5:$L$367, MATCH(E64, DATABASE_FG!$C$5:$C$367, 0)), " ")</f>
        <v>56</v>
      </c>
      <c r="T64" s="36" t="s">
        <v>677</v>
      </c>
      <c r="U64" s="36"/>
      <c r="V64" s="36"/>
      <c r="W64" s="129"/>
      <c r="X64" s="36"/>
      <c r="Y64" s="36"/>
      <c r="Z64" s="36">
        <v>240717</v>
      </c>
      <c r="AA64" s="125" t="s">
        <v>121</v>
      </c>
      <c r="AB64" s="173">
        <v>45408</v>
      </c>
      <c r="AC64" s="119">
        <v>2024413</v>
      </c>
      <c r="AD64" s="36">
        <f t="shared" si="5"/>
        <v>4509910041</v>
      </c>
      <c r="AE64" s="36">
        <f t="shared" si="6"/>
        <v>1813218050</v>
      </c>
      <c r="AF64" s="36">
        <v>5</v>
      </c>
      <c r="AG64" s="120">
        <f t="shared" si="7"/>
        <v>37.299999999999997</v>
      </c>
      <c r="AH64" s="36"/>
      <c r="AI64" s="124" t="s">
        <v>1201</v>
      </c>
      <c r="AJ64" s="122" t="s">
        <v>1202</v>
      </c>
      <c r="AK64" s="129" t="str">
        <f t="shared" ca="1" si="8"/>
        <v>Late</v>
      </c>
      <c r="AL64" s="268" t="str">
        <f t="shared" si="4"/>
        <v>February</v>
      </c>
      <c r="AM64" s="133">
        <f>YEAR(Table1[[#This Row],[ETA
As requested
dd.mm.yyyy]])</f>
        <v>2024</v>
      </c>
    </row>
    <row r="65" spans="1:39" ht="15.75" hidden="1">
      <c r="A65" s="123" t="s">
        <v>26</v>
      </c>
      <c r="B65" s="36" t="s">
        <v>1170</v>
      </c>
      <c r="C65" s="117">
        <v>5500500924</v>
      </c>
      <c r="D65" s="165">
        <v>45369</v>
      </c>
      <c r="E65" s="117">
        <v>1813218050</v>
      </c>
      <c r="F65" s="36" t="str">
        <f>IFERROR(VLOOKUP(Table1[[#This Row],[Part Number]],DATABASE_FG!$C$6:D10054,2,FALSE)," ")</f>
        <v>VALVE BODY         .</v>
      </c>
      <c r="G65" s="117" t="str">
        <f>IFERROR(_xlfn.XLOOKUP(Table1[[#This Row],[Part Number]],Table3[Part number],Table3[Drawing
 Revision]),"")</f>
        <v>AB</v>
      </c>
      <c r="H65" s="118" cm="1">
        <f t="array" ref="H65">IFERROR(INDEX(PDB!$C:$AT,MATCH(E65,PDB!$B:$B,0),MATCH(YEAR(K65),0+PDB!$C$1:$AT$1,0)),"")</f>
        <v>7.46</v>
      </c>
      <c r="I65" s="36">
        <v>600</v>
      </c>
      <c r="J65" s="125">
        <f>IFERROR(Table1[[#This Row],[Quantity]]*Table1[[#This Row],[Price/Unit
EUR]]," ")</f>
        <v>4476</v>
      </c>
      <c r="K65" s="126">
        <v>45366</v>
      </c>
      <c r="L65" s="36">
        <f>WEEKNUM(Table1[[#This Row],[ETA
As requested
dd.mm.yyyy]])</f>
        <v>11</v>
      </c>
      <c r="M65" s="36">
        <f>YEAR(Table1[[#This Row],[ETA
As requested
dd.mm.yyyy]])</f>
        <v>2024</v>
      </c>
      <c r="N65" s="36">
        <f>IFERROR(INDEX(DATABASE_FG!$H$5:$H$367, MATCH(E65, DATABASE_FG!$C$5:$C$367, 0)), " ")</f>
        <v>0</v>
      </c>
      <c r="O65" s="129" t="str">
        <f>IF(E65&lt;&gt;"", _xlfn.XLOOKUP(E65, DATABASE_FG!C:C, DATABASE_FG!F:F), " ")</f>
        <v>Ventilkoerper</v>
      </c>
      <c r="P65" s="129">
        <f>IFERROR(INDEX(DATABASE_FG!$G$5:$G$367, MATCH(E65, DATABASE_FG!$C$5:$C$367, 0)), "Not Found")</f>
        <v>250</v>
      </c>
      <c r="Q65" s="36">
        <v>60</v>
      </c>
      <c r="R65" s="125" t="s">
        <v>680</v>
      </c>
      <c r="S65" s="123">
        <f>IFERROR(INDEX(DATABASE_FG!$L$5:$L$367, MATCH(E65, DATABASE_FG!$C$5:$C$367, 0)), " ")</f>
        <v>56</v>
      </c>
      <c r="T65" s="36" t="s">
        <v>677</v>
      </c>
      <c r="U65" s="36"/>
      <c r="V65" s="36"/>
      <c r="W65" s="129"/>
      <c r="X65" s="36"/>
      <c r="Y65" s="36"/>
      <c r="Z65" s="36" t="s">
        <v>1223</v>
      </c>
      <c r="AA65" s="125" t="s">
        <v>121</v>
      </c>
      <c r="AB65" s="173">
        <v>45401</v>
      </c>
      <c r="AC65" s="119">
        <v>2024382</v>
      </c>
      <c r="AD65" s="36">
        <f t="shared" si="5"/>
        <v>5500500924</v>
      </c>
      <c r="AE65" s="36">
        <f t="shared" si="6"/>
        <v>1813218050</v>
      </c>
      <c r="AF65" s="36">
        <f>200-170</f>
        <v>30</v>
      </c>
      <c r="AG65" s="120">
        <f t="shared" si="7"/>
        <v>223.8</v>
      </c>
      <c r="AH65" s="36"/>
      <c r="AI65" s="124"/>
      <c r="AJ65" s="122" t="s">
        <v>1224</v>
      </c>
      <c r="AK65" s="129" t="str">
        <f t="shared" ca="1" si="8"/>
        <v>Late</v>
      </c>
      <c r="AL65" s="268" t="str">
        <f t="shared" si="4"/>
        <v>March</v>
      </c>
      <c r="AM65" s="133">
        <f>YEAR(Table1[[#This Row],[ETA
As requested
dd.mm.yyyy]])</f>
        <v>2024</v>
      </c>
    </row>
    <row r="66" spans="1:39" hidden="1">
      <c r="A66" s="123" t="s">
        <v>26</v>
      </c>
      <c r="B66" s="36" t="s">
        <v>1170</v>
      </c>
      <c r="C66" s="117">
        <v>5500500924</v>
      </c>
      <c r="D66" s="165">
        <v>45369</v>
      </c>
      <c r="E66" s="117">
        <v>1813218050</v>
      </c>
      <c r="F66" s="36" t="str">
        <f>IFERROR(VLOOKUP(Table1[[#This Row],[Part Number]],DATABASE_FG!$C$6:D10055,2,FALSE)," ")</f>
        <v>VALVE BODY         .</v>
      </c>
      <c r="G66" s="117" t="str">
        <f>IFERROR(_xlfn.XLOOKUP(Table1[[#This Row],[Part Number]],Table3[Part number],Table3[Drawing
 Revision]),"")</f>
        <v>AB</v>
      </c>
      <c r="H66" s="118" cm="1">
        <f t="array" ref="H66">IFERROR(INDEX(PDB!$C:$AT,MATCH(E66,PDB!$B:$B,0),MATCH(YEAR(K66),0+PDB!$C$1:$AT$1,0)),"")</f>
        <v>7.46</v>
      </c>
      <c r="I66" s="36">
        <v>0</v>
      </c>
      <c r="J66" s="125">
        <f>IFERROR(Table1[[#This Row],[Quantity]]*Table1[[#This Row],[Price/Unit
EUR]]," ")</f>
        <v>0</v>
      </c>
      <c r="K66" s="126">
        <v>45367</v>
      </c>
      <c r="L66" s="36">
        <f>WEEKNUM(Table1[[#This Row],[ETA
As requested
dd.mm.yyyy]])</f>
        <v>11</v>
      </c>
      <c r="M66" s="36">
        <f>YEAR(Table1[[#This Row],[ETA
As requested
dd.mm.yyyy]])</f>
        <v>2024</v>
      </c>
      <c r="N66" s="36">
        <f>IFERROR(INDEX(DATABASE_FG!$H$5:$H$367, MATCH(E66, DATABASE_FG!$C$5:$C$367, 0)), " ")</f>
        <v>0</v>
      </c>
      <c r="O66" s="129" t="str">
        <f>IF(E66&lt;&gt;"", _xlfn.XLOOKUP(E66, DATABASE_FG!C:C, DATABASE_FG!F:F), " ")</f>
        <v>Ventilkoerper</v>
      </c>
      <c r="P66" s="129">
        <f>IFERROR(INDEX(DATABASE_FG!$G$5:$G$367, MATCH(E66, DATABASE_FG!$C$5:$C$367, 0)), "Not Found")</f>
        <v>250</v>
      </c>
      <c r="Q66" s="36"/>
      <c r="R66" s="125"/>
      <c r="S66" s="123">
        <f>IFERROR(INDEX(DATABASE_FG!$L$5:$L$367, MATCH(E66, DATABASE_FG!$C$5:$C$367, 0)), " ")</f>
        <v>56</v>
      </c>
      <c r="T66" s="36"/>
      <c r="U66" s="36"/>
      <c r="V66" s="36"/>
      <c r="W66" s="129"/>
      <c r="X66" s="36"/>
      <c r="Y66" s="36"/>
      <c r="Z66" s="36"/>
      <c r="AA66" s="125" t="s">
        <v>121</v>
      </c>
      <c r="AB66" s="173">
        <v>45411</v>
      </c>
      <c r="AC66" s="119">
        <v>2024421</v>
      </c>
      <c r="AD66" s="36">
        <f t="shared" si="5"/>
        <v>5500500924</v>
      </c>
      <c r="AE66" s="36">
        <f t="shared" si="6"/>
        <v>1813218050</v>
      </c>
      <c r="AF66" s="36">
        <v>150</v>
      </c>
      <c r="AG66" s="120">
        <f t="shared" si="7"/>
        <v>1119</v>
      </c>
      <c r="AH66" s="36"/>
      <c r="AI66" s="124"/>
      <c r="AJ66" s="122" t="s">
        <v>1228</v>
      </c>
      <c r="AK66" s="129" t="str">
        <f t="shared" ca="1" si="8"/>
        <v>Late</v>
      </c>
      <c r="AL66" s="268" t="str">
        <f t="shared" si="4"/>
        <v>March</v>
      </c>
      <c r="AM66" s="133">
        <f>YEAR(Table1[[#This Row],[ETA
As requested
dd.mm.yyyy]])</f>
        <v>2024</v>
      </c>
    </row>
    <row r="67" spans="1:39" ht="15.75" hidden="1">
      <c r="A67" s="123" t="s">
        <v>26</v>
      </c>
      <c r="B67" s="36" t="s">
        <v>1170</v>
      </c>
      <c r="C67" s="117">
        <v>5500500924</v>
      </c>
      <c r="D67" s="165">
        <v>45369</v>
      </c>
      <c r="E67" s="117">
        <v>1813218050</v>
      </c>
      <c r="F67" s="36" t="str">
        <f>IFERROR(VLOOKUP(Table1[[#This Row],[Part Number]],DATABASE_FG!$C$6:D10056,2,FALSE)," ")</f>
        <v>VALVE BODY         .</v>
      </c>
      <c r="G67" s="117" t="str">
        <f>IFERROR(_xlfn.XLOOKUP(Table1[[#This Row],[Part Number]],Table3[Part number],Table3[Drawing
 Revision]),"")</f>
        <v>AB</v>
      </c>
      <c r="H67" s="118" cm="1">
        <f t="array" ref="H67">IFERROR(INDEX(PDB!$C:$AT,MATCH(E67,PDB!$B:$B,0),MATCH(YEAR(K67),0+PDB!$C$1:$AT$1,0)),"")</f>
        <v>7.46</v>
      </c>
      <c r="I67" s="36">
        <v>0</v>
      </c>
      <c r="J67" s="125">
        <f>IFERROR(Table1[[#This Row],[Quantity]]*Table1[[#This Row],[Price/Unit
EUR]]," ")</f>
        <v>0</v>
      </c>
      <c r="K67" s="126">
        <v>45368</v>
      </c>
      <c r="L67" s="36">
        <f>WEEKNUM(Table1[[#This Row],[ETA
As requested
dd.mm.yyyy]])</f>
        <v>12</v>
      </c>
      <c r="M67" s="36">
        <f>YEAR(Table1[[#This Row],[ETA
As requested
dd.mm.yyyy]])</f>
        <v>2024</v>
      </c>
      <c r="N67" s="36">
        <f>IFERROR(INDEX(DATABASE_FG!$H$5:$H$367, MATCH(E67, DATABASE_FG!$C$5:$C$367, 0)), " ")</f>
        <v>0</v>
      </c>
      <c r="O67" s="129" t="str">
        <f>IF(E67&lt;&gt;"", _xlfn.XLOOKUP(E67, DATABASE_FG!C:C, DATABASE_FG!F:F), " ")</f>
        <v>Ventilkoerper</v>
      </c>
      <c r="P67" s="129">
        <f>IFERROR(INDEX(DATABASE_FG!$G$5:$G$367, MATCH(E67, DATABASE_FG!$C$5:$C$367, 0)), "Not Found")</f>
        <v>250</v>
      </c>
      <c r="Q67" s="36"/>
      <c r="R67" s="125"/>
      <c r="S67" s="123">
        <f>IFERROR(INDEX(DATABASE_FG!$L$5:$L$367, MATCH(E67, DATABASE_FG!$C$5:$C$367, 0)), " ")</f>
        <v>56</v>
      </c>
      <c r="T67" s="36"/>
      <c r="U67" s="36"/>
      <c r="V67" s="36"/>
      <c r="W67" s="129"/>
      <c r="X67" s="36"/>
      <c r="Y67" s="36"/>
      <c r="Z67" s="36"/>
      <c r="AA67" s="125" t="s">
        <v>121</v>
      </c>
      <c r="AB67" s="173">
        <v>45440</v>
      </c>
      <c r="AC67" s="119">
        <v>2024548</v>
      </c>
      <c r="AD67" s="36">
        <f t="shared" si="5"/>
        <v>5500500924</v>
      </c>
      <c r="AE67" s="36">
        <f t="shared" si="6"/>
        <v>1813218050</v>
      </c>
      <c r="AF67" s="36">
        <f>250-250</f>
        <v>0</v>
      </c>
      <c r="AG67" s="120">
        <f t="shared" si="7"/>
        <v>0</v>
      </c>
      <c r="AH67" s="36"/>
      <c r="AI67" s="124"/>
      <c r="AJ67" s="122" t="s">
        <v>1229</v>
      </c>
      <c r="AK67" s="129" t="str">
        <f t="shared" ca="1" si="8"/>
        <v>Late</v>
      </c>
      <c r="AL67" s="268" t="str">
        <f t="shared" si="4"/>
        <v>March</v>
      </c>
      <c r="AM67" s="133">
        <f>YEAR(Table1[[#This Row],[ETA
As requested
dd.mm.yyyy]])</f>
        <v>2024</v>
      </c>
    </row>
    <row r="68" spans="1:39" hidden="1">
      <c r="A68" s="123" t="s">
        <v>26</v>
      </c>
      <c r="B68" s="36" t="s">
        <v>1170</v>
      </c>
      <c r="C68" s="117">
        <v>4508771389</v>
      </c>
      <c r="D68" s="165"/>
      <c r="E68" s="117">
        <v>1818509133</v>
      </c>
      <c r="F68" s="36" t="str">
        <f>IFERROR(VLOOKUP(Table1[[#This Row],[Part Number]],DATABASE_FG!$C$6:D10057,2,FALSE)," ")</f>
        <v>VALVE BODY</v>
      </c>
      <c r="G68" s="117">
        <f>IFERROR(_xlfn.XLOOKUP(Table1[[#This Row],[Part Number]],Table3[Part number],Table3[Drawing
 Revision]),"")</f>
        <v>1</v>
      </c>
      <c r="H68" s="118" cm="1">
        <f t="array" ref="H68">IFERROR(INDEX(PDB!$C:$AT,MATCH(E68,PDB!$B:$B,0),MATCH(YEAR(K68),0+PDB!$C$1:$AT$1,0)),"")</f>
        <v>4.55</v>
      </c>
      <c r="I68" s="36">
        <v>5</v>
      </c>
      <c r="J68" s="125">
        <f>IFERROR(Table1[[#This Row],[Quantity]]*Table1[[#This Row],[Price/Unit
EUR]]," ")</f>
        <v>22.75</v>
      </c>
      <c r="K68" s="126">
        <v>45541</v>
      </c>
      <c r="L68" s="36">
        <f>WEEKNUM(Table1[[#This Row],[ETA
As requested
dd.mm.yyyy]])</f>
        <v>36</v>
      </c>
      <c r="M68" s="36">
        <f>YEAR(Table1[[#This Row],[ETA
As requested
dd.mm.yyyy]])</f>
        <v>2024</v>
      </c>
      <c r="N68" s="36">
        <f>IFERROR(INDEX(DATABASE_FG!$H$5:$H$367, MATCH(E68, DATABASE_FG!$C$5:$C$367, 0)), " ")</f>
        <v>0</v>
      </c>
      <c r="O68" s="129" t="str">
        <f>IF(E68&lt;&gt;"", _xlfn.XLOOKUP(E68, DATABASE_FG!C:C, DATABASE_FG!F:F), " ")</f>
        <v>Ventilkoerper</v>
      </c>
      <c r="P68" s="129">
        <f>IFERROR(INDEX(DATABASE_FG!$G$5:$G$367, MATCH(E68, DATABASE_FG!$C$5:$C$367, 0)), "Not Found")</f>
        <v>216</v>
      </c>
      <c r="Q68" s="36">
        <v>60</v>
      </c>
      <c r="R68" s="125" t="s">
        <v>680</v>
      </c>
      <c r="S68" s="123">
        <f>IFERROR(INDEX(DATABASE_FG!$L$5:$L$367, MATCH(E68, DATABASE_FG!$C$5:$C$367, 0)), " ")</f>
        <v>56</v>
      </c>
      <c r="T68" s="36" t="s">
        <v>677</v>
      </c>
      <c r="U68" s="36"/>
      <c r="V68" s="36"/>
      <c r="W68" s="129"/>
      <c r="X68" s="36"/>
      <c r="Y68" s="36"/>
      <c r="Z68" s="36"/>
      <c r="AA68" s="125" t="s">
        <v>121</v>
      </c>
      <c r="AB68" s="173">
        <v>45496</v>
      </c>
      <c r="AC68" s="119">
        <v>2024895</v>
      </c>
      <c r="AD68" s="36">
        <f t="shared" si="5"/>
        <v>4508771389</v>
      </c>
      <c r="AE68" s="36">
        <f t="shared" si="6"/>
        <v>1818509133</v>
      </c>
      <c r="AF68" s="36">
        <v>5</v>
      </c>
      <c r="AG68" s="120">
        <f t="shared" si="7"/>
        <v>22.75</v>
      </c>
      <c r="AH68" s="36"/>
      <c r="AI68" s="124"/>
      <c r="AJ68" s="122" t="s">
        <v>2334</v>
      </c>
      <c r="AK68" s="129" t="str">
        <f t="shared" ca="1" si="8"/>
        <v>On Time</v>
      </c>
      <c r="AL68" s="268" t="str">
        <f t="shared" si="4"/>
        <v>September</v>
      </c>
      <c r="AM68" s="133">
        <f>YEAR(Table1[[#This Row],[ETA
As requested
dd.mm.yyyy]])</f>
        <v>2024</v>
      </c>
    </row>
    <row r="69" spans="1:39" hidden="1">
      <c r="A69" s="123" t="s">
        <v>26</v>
      </c>
      <c r="B69" s="36" t="s">
        <v>1170</v>
      </c>
      <c r="C69" s="117">
        <v>4508771389</v>
      </c>
      <c r="D69" s="165"/>
      <c r="E69" s="117">
        <v>1818509138</v>
      </c>
      <c r="F69" s="36" t="str">
        <f>IFERROR(VLOOKUP(Table1[[#This Row],[Part Number]],DATABASE_FG!$C$6:D10058,2,FALSE)," ")</f>
        <v>VALVE BODY</v>
      </c>
      <c r="G69" s="117" t="str">
        <f>IFERROR(_xlfn.XLOOKUP(Table1[[#This Row],[Part Number]],Table3[Part number],Table3[Drawing
 Revision]),"")</f>
        <v>AB</v>
      </c>
      <c r="H69" s="118" cm="1">
        <f t="array" ref="H69">IFERROR(INDEX(PDB!$C:$AT,MATCH(E69,PDB!$B:$B,0),MATCH(YEAR(K69),0+PDB!$C$1:$AT$1,0)),"")</f>
        <v>4.53</v>
      </c>
      <c r="I69" s="36">
        <v>5</v>
      </c>
      <c r="J69" s="125">
        <f>IFERROR(Table1[[#This Row],[Quantity]]*Table1[[#This Row],[Price/Unit
EUR]]," ")</f>
        <v>22.650000000000002</v>
      </c>
      <c r="K69" s="126">
        <v>45541</v>
      </c>
      <c r="L69" s="36">
        <f>WEEKNUM(Table1[[#This Row],[ETA
As requested
dd.mm.yyyy]])</f>
        <v>36</v>
      </c>
      <c r="M69" s="36">
        <f>YEAR(Table1[[#This Row],[ETA
As requested
dd.mm.yyyy]])</f>
        <v>2024</v>
      </c>
      <c r="N69" s="36">
        <f>IFERROR(INDEX(DATABASE_FG!$H$5:$H$367, MATCH(E69, DATABASE_FG!$C$5:$C$367, 0)), " ")</f>
        <v>0</v>
      </c>
      <c r="O69" s="129" t="str">
        <f>IF(E69&lt;&gt;"", _xlfn.XLOOKUP(E69, DATABASE_FG!C:C, DATABASE_FG!F:F), " ")</f>
        <v>Ventilkoerper</v>
      </c>
      <c r="P69" s="129">
        <f>IFERROR(INDEX(DATABASE_FG!$G$5:$G$367, MATCH(E69, DATABASE_FG!$C$5:$C$367, 0)), "Not Found")</f>
        <v>216</v>
      </c>
      <c r="Q69" s="36"/>
      <c r="R69" s="125" t="s">
        <v>680</v>
      </c>
      <c r="S69" s="123">
        <f>IFERROR(INDEX(DATABASE_FG!$L$5:$L$367, MATCH(E69, DATABASE_FG!$C$5:$C$367, 0)), " ")</f>
        <v>56</v>
      </c>
      <c r="T69" s="36" t="s">
        <v>677</v>
      </c>
      <c r="U69" s="36"/>
      <c r="V69" s="36"/>
      <c r="W69" s="129"/>
      <c r="X69" s="36"/>
      <c r="Y69" s="36"/>
      <c r="Z69" s="36" t="s">
        <v>2341</v>
      </c>
      <c r="AA69" s="125" t="s">
        <v>121</v>
      </c>
      <c r="AB69" s="172">
        <v>45527</v>
      </c>
      <c r="AC69" s="119">
        <v>202401056</v>
      </c>
      <c r="AD69" s="36">
        <f t="shared" si="5"/>
        <v>4508771389</v>
      </c>
      <c r="AE69" s="36">
        <f t="shared" si="6"/>
        <v>1818509138</v>
      </c>
      <c r="AF69" s="36">
        <v>5</v>
      </c>
      <c r="AG69" s="120">
        <f t="shared" si="7"/>
        <v>22.650000000000002</v>
      </c>
      <c r="AH69" s="36"/>
      <c r="AI69" s="124" t="s">
        <v>310</v>
      </c>
      <c r="AJ69" s="122" t="s">
        <v>2338</v>
      </c>
      <c r="AK69" s="129" t="str">
        <f t="shared" ca="1" si="8"/>
        <v>On Time</v>
      </c>
      <c r="AL69" s="268" t="str">
        <f t="shared" si="4"/>
        <v>September</v>
      </c>
      <c r="AM69" s="133">
        <f>YEAR(Table1[[#This Row],[ETA
As requested
dd.mm.yyyy]])</f>
        <v>2024</v>
      </c>
    </row>
    <row r="70" spans="1:39" hidden="1">
      <c r="A70" s="123" t="s">
        <v>26</v>
      </c>
      <c r="B70" s="36" t="s">
        <v>1170</v>
      </c>
      <c r="C70" s="117">
        <v>4508771389</v>
      </c>
      <c r="D70" s="165"/>
      <c r="E70" s="117">
        <v>1818509164</v>
      </c>
      <c r="F70" s="36" t="str">
        <f>IFERROR(VLOOKUP(Table1[[#This Row],[Part Number]],DATABASE_FG!$C$6:D10059,2,FALSE)," ")</f>
        <v>VALVE BODY</v>
      </c>
      <c r="G70" s="117">
        <f>IFERROR(_xlfn.XLOOKUP(Table1[[#This Row],[Part Number]],Table3[Part number],Table3[Drawing
 Revision]),"")</f>
        <v>1</v>
      </c>
      <c r="H70" s="118" cm="1">
        <f t="array" ref="H70">IFERROR(INDEX(PDB!$C:$AT,MATCH(E70,PDB!$B:$B,0),MATCH(YEAR(K70),0+PDB!$C$1:$AT$1,0)),"")</f>
        <v>6.4</v>
      </c>
      <c r="I70" s="36">
        <v>5</v>
      </c>
      <c r="J70" s="125">
        <f>IFERROR(Table1[[#This Row],[Quantity]]*Table1[[#This Row],[Price/Unit
EUR]]," ")</f>
        <v>32</v>
      </c>
      <c r="K70" s="126">
        <v>45541</v>
      </c>
      <c r="L70" s="36">
        <f>WEEKNUM(Table1[[#This Row],[ETA
As requested
dd.mm.yyyy]])</f>
        <v>36</v>
      </c>
      <c r="M70" s="36">
        <f>YEAR(Table1[[#This Row],[ETA
As requested
dd.mm.yyyy]])</f>
        <v>2024</v>
      </c>
      <c r="N70" s="36">
        <f>IFERROR(INDEX(DATABASE_FG!$H$5:$H$367, MATCH(E70, DATABASE_FG!$C$5:$C$367, 0)), " ")</f>
        <v>0</v>
      </c>
      <c r="O70" s="129" t="str">
        <f>IF(E70&lt;&gt;"", _xlfn.XLOOKUP(E70, DATABASE_FG!C:C, DATABASE_FG!F:F), " ")</f>
        <v>Ventilkoerper</v>
      </c>
      <c r="P70" s="129">
        <f>IFERROR(INDEX(DATABASE_FG!$G$5:$G$367, MATCH(E70, DATABASE_FG!$C$5:$C$367, 0)), "Not Found")</f>
        <v>50</v>
      </c>
      <c r="Q70" s="36">
        <v>60</v>
      </c>
      <c r="R70" s="125" t="s">
        <v>680</v>
      </c>
      <c r="S70" s="123">
        <f>IFERROR(INDEX(DATABASE_FG!$L$5:$L$367, MATCH(E70, DATABASE_FG!$C$5:$C$367, 0)), " ")</f>
        <v>56</v>
      </c>
      <c r="T70" s="36" t="s">
        <v>677</v>
      </c>
      <c r="U70" s="36"/>
      <c r="V70" s="36"/>
      <c r="W70" s="129"/>
      <c r="X70" s="36" t="s">
        <v>680</v>
      </c>
      <c r="Y70" s="36" t="s">
        <v>677</v>
      </c>
      <c r="Z70" s="36"/>
      <c r="AA70" s="125" t="s">
        <v>121</v>
      </c>
      <c r="AB70" s="173">
        <v>45930</v>
      </c>
      <c r="AC70" s="119">
        <v>251174</v>
      </c>
      <c r="AD70" s="36">
        <f t="shared" si="5"/>
        <v>4508771389</v>
      </c>
      <c r="AE70" s="36">
        <f t="shared" si="6"/>
        <v>1818509164</v>
      </c>
      <c r="AF70" s="36">
        <v>5</v>
      </c>
      <c r="AG70" s="120">
        <f t="shared" si="7"/>
        <v>32</v>
      </c>
      <c r="AH70" s="36"/>
      <c r="AI70" s="124"/>
      <c r="AJ70" s="122" t="s">
        <v>2360</v>
      </c>
      <c r="AK70" s="129" t="str">
        <f t="shared" ca="1" si="8"/>
        <v>Late</v>
      </c>
      <c r="AL70" s="268" t="str">
        <f t="shared" si="4"/>
        <v>September</v>
      </c>
      <c r="AM70" s="133">
        <f>YEAR(Table1[[#This Row],[ETA
As requested
dd.mm.yyyy]])</f>
        <v>2024</v>
      </c>
    </row>
    <row r="71" spans="1:39" hidden="1">
      <c r="A71" s="123" t="s">
        <v>26</v>
      </c>
      <c r="B71" s="36" t="s">
        <v>1170</v>
      </c>
      <c r="C71" s="117">
        <v>4508771389</v>
      </c>
      <c r="D71" s="165"/>
      <c r="E71" s="117">
        <v>1818509172</v>
      </c>
      <c r="F71" s="36" t="str">
        <f>IFERROR(VLOOKUP(Table1[[#This Row],[Part Number]],DATABASE_FG!$C$6:D10060,2,FALSE)," ")</f>
        <v>VALVE BODY</v>
      </c>
      <c r="G71" s="117">
        <f>IFERROR(_xlfn.XLOOKUP(Table1[[#This Row],[Part Number]],Table3[Part number],Table3[Drawing
 Revision]),"")</f>
        <v>1</v>
      </c>
      <c r="H71" s="118" cm="1">
        <f t="array" ref="H71">IFERROR(INDEX(PDB!$C:$AT,MATCH(E71,PDB!$B:$B,0),MATCH(YEAR(K71),0+PDB!$C$1:$AT$1,0)),"")</f>
        <v>4.05</v>
      </c>
      <c r="I71" s="36">
        <v>5</v>
      </c>
      <c r="J71" s="125">
        <f>IFERROR(Table1[[#This Row],[Quantity]]*Table1[[#This Row],[Price/Unit
EUR]]," ")</f>
        <v>20.25</v>
      </c>
      <c r="K71" s="126">
        <v>45541</v>
      </c>
      <c r="L71" s="36">
        <f>WEEKNUM(Table1[[#This Row],[ETA
As requested
dd.mm.yyyy]])</f>
        <v>36</v>
      </c>
      <c r="M71" s="36">
        <f>YEAR(Table1[[#This Row],[ETA
As requested
dd.mm.yyyy]])</f>
        <v>2024</v>
      </c>
      <c r="N71" s="36">
        <f>IFERROR(INDEX(DATABASE_FG!$H$5:$H$367, MATCH(E71, DATABASE_FG!$C$5:$C$367, 0)), " ")</f>
        <v>0</v>
      </c>
      <c r="O71" s="129" t="str">
        <f>IF(E71&lt;&gt;"", _xlfn.XLOOKUP(E71, DATABASE_FG!C:C, DATABASE_FG!F:F), " ")</f>
        <v>Ventilkoerper</v>
      </c>
      <c r="P71" s="129">
        <f>IFERROR(INDEX(DATABASE_FG!$G$5:$G$367, MATCH(E71, DATABASE_FG!$C$5:$C$367, 0)), "Not Found")</f>
        <v>1</v>
      </c>
      <c r="Q71" s="36">
        <v>60</v>
      </c>
      <c r="R71" s="125" t="s">
        <v>680</v>
      </c>
      <c r="S71" s="123">
        <f>IFERROR(INDEX(DATABASE_FG!$L$5:$L$367, MATCH(E71, DATABASE_FG!$C$5:$C$367, 0)), " ")</f>
        <v>56</v>
      </c>
      <c r="T71" s="36" t="s">
        <v>677</v>
      </c>
      <c r="U71" s="36"/>
      <c r="V71" s="36"/>
      <c r="W71" s="129"/>
      <c r="X71" s="36" t="s">
        <v>680</v>
      </c>
      <c r="Y71" s="36" t="s">
        <v>677</v>
      </c>
      <c r="Z71" s="36"/>
      <c r="AA71" s="125" t="s">
        <v>121</v>
      </c>
      <c r="AB71" s="173">
        <v>45930</v>
      </c>
      <c r="AC71" s="119">
        <v>251173</v>
      </c>
      <c r="AD71" s="36">
        <f t="shared" si="5"/>
        <v>4508771389</v>
      </c>
      <c r="AE71" s="36">
        <f t="shared" si="6"/>
        <v>1818509172</v>
      </c>
      <c r="AF71" s="36">
        <v>5</v>
      </c>
      <c r="AG71" s="120">
        <f t="shared" si="7"/>
        <v>20.25</v>
      </c>
      <c r="AH71" s="36"/>
      <c r="AI71" s="124" t="s">
        <v>310</v>
      </c>
      <c r="AJ71" s="122" t="s">
        <v>2359</v>
      </c>
      <c r="AK71" s="129" t="str">
        <f t="shared" ca="1" si="8"/>
        <v>Late</v>
      </c>
      <c r="AL71" s="268" t="str">
        <f t="shared" si="4"/>
        <v>September</v>
      </c>
      <c r="AM71" s="133">
        <f>YEAR(Table1[[#This Row],[ETA
As requested
dd.mm.yyyy]])</f>
        <v>2024</v>
      </c>
    </row>
    <row r="72" spans="1:39" hidden="1">
      <c r="A72" s="123" t="s">
        <v>26</v>
      </c>
      <c r="B72" s="36" t="s">
        <v>1170</v>
      </c>
      <c r="C72" s="117">
        <v>4508769328</v>
      </c>
      <c r="D72" s="165"/>
      <c r="E72" s="117">
        <v>1818509193</v>
      </c>
      <c r="F72" s="36" t="str">
        <f>IFERROR(VLOOKUP(Table1[[#This Row],[Part Number]],DATABASE_FG!$C$6:D10061,2,FALSE)," ")</f>
        <v>VALVE BODY</v>
      </c>
      <c r="G72" s="117">
        <f>IFERROR(_xlfn.XLOOKUP(Table1[[#This Row],[Part Number]],Table3[Part number],Table3[Drawing
 Revision]),"")</f>
        <v>1</v>
      </c>
      <c r="H72" s="118" cm="1">
        <f t="array" ref="H72">IFERROR(INDEX(PDB!$C:$AT,MATCH(E72,PDB!$B:$B,0),MATCH(YEAR(K72),0+PDB!$C$1:$AT$1,0)),"")</f>
        <v>3.27</v>
      </c>
      <c r="I72" s="36">
        <v>5</v>
      </c>
      <c r="J72" s="125">
        <f>IFERROR(Table1[[#This Row],[Quantity]]*Table1[[#This Row],[Price/Unit
EUR]]," ")</f>
        <v>16.350000000000001</v>
      </c>
      <c r="K72" s="126">
        <v>45541</v>
      </c>
      <c r="L72" s="36">
        <f>WEEKNUM(Table1[[#This Row],[ETA
As requested
dd.mm.yyyy]])</f>
        <v>36</v>
      </c>
      <c r="M72" s="36">
        <f>YEAR(Table1[[#This Row],[ETA
As requested
dd.mm.yyyy]])</f>
        <v>2024</v>
      </c>
      <c r="N72" s="36">
        <f>IFERROR(INDEX(DATABASE_FG!$H$5:$H$367, MATCH(E72, DATABASE_FG!$C$5:$C$367, 0)), " ")</f>
        <v>0</v>
      </c>
      <c r="O72" s="129" t="str">
        <f>IF(E72&lt;&gt;"", _xlfn.XLOOKUP(E72, DATABASE_FG!C:C, DATABASE_FG!F:F), " ")</f>
        <v>Ventilkoerper</v>
      </c>
      <c r="P72" s="129">
        <f>IFERROR(INDEX(DATABASE_FG!$G$5:$G$367, MATCH(E72, DATABASE_FG!$C$5:$C$367, 0)), "Not Found")</f>
        <v>300</v>
      </c>
      <c r="Q72" s="36"/>
      <c r="R72" s="125" t="s">
        <v>680</v>
      </c>
      <c r="S72" s="123">
        <f>IFERROR(INDEX(DATABASE_FG!$L$5:$L$367, MATCH(E72, DATABASE_FG!$C$5:$C$367, 0)), " ")</f>
        <v>56</v>
      </c>
      <c r="T72" s="36" t="s">
        <v>677</v>
      </c>
      <c r="U72" s="36"/>
      <c r="V72" s="36"/>
      <c r="W72" s="129"/>
      <c r="X72" s="36"/>
      <c r="Y72" s="36"/>
      <c r="Z72" s="36">
        <v>240813</v>
      </c>
      <c r="AA72" s="125" t="s">
        <v>121</v>
      </c>
      <c r="AB72" s="173">
        <v>45541</v>
      </c>
      <c r="AC72" s="119">
        <v>202401114</v>
      </c>
      <c r="AD72" s="36">
        <f t="shared" si="5"/>
        <v>4508769328</v>
      </c>
      <c r="AE72" s="36">
        <f t="shared" si="6"/>
        <v>1818509193</v>
      </c>
      <c r="AF72" s="36">
        <v>5</v>
      </c>
      <c r="AG72" s="120">
        <f t="shared" si="7"/>
        <v>16.350000000000001</v>
      </c>
      <c r="AH72" s="36"/>
      <c r="AI72" s="124" t="s">
        <v>310</v>
      </c>
      <c r="AJ72" s="122" t="s">
        <v>2345</v>
      </c>
      <c r="AK72" s="129" t="str">
        <f t="shared" ca="1" si="8"/>
        <v>On Time</v>
      </c>
      <c r="AL72" s="268" t="str">
        <f t="shared" si="4"/>
        <v>September</v>
      </c>
      <c r="AM72" s="133">
        <f>YEAR(Table1[[#This Row],[ETA
As requested
dd.mm.yyyy]])</f>
        <v>2024</v>
      </c>
    </row>
    <row r="73" spans="1:39" hidden="1">
      <c r="A73" s="123" t="s">
        <v>26</v>
      </c>
      <c r="B73" s="36" t="s">
        <v>1170</v>
      </c>
      <c r="C73" s="117">
        <v>4508756412</v>
      </c>
      <c r="D73" s="165"/>
      <c r="E73" s="117">
        <v>1818509251</v>
      </c>
      <c r="F73" s="36" t="str">
        <f>IFERROR(VLOOKUP(Table1[[#This Row],[Part Number]],DATABASE_FG!$C$6:D10062,2,FALSE)," ")</f>
        <v>VALVE BODY</v>
      </c>
      <c r="G73" s="117">
        <f>IFERROR(_xlfn.XLOOKUP(Table1[[#This Row],[Part Number]],Table3[Part number],Table3[Drawing
 Revision]),"")</f>
        <v>1</v>
      </c>
      <c r="H73" s="118" cm="1">
        <f t="array" ref="H73">IFERROR(INDEX(PDB!$C:$AT,MATCH(E73,PDB!$B:$B,0),MATCH(YEAR(K73),0+PDB!$C$1:$AT$1,0)),"")</f>
        <v>13.79</v>
      </c>
      <c r="I73" s="36">
        <v>5</v>
      </c>
      <c r="J73" s="125">
        <f>IFERROR(Table1[[#This Row],[Quantity]]*Table1[[#This Row],[Price/Unit
EUR]]," ")</f>
        <v>68.949999999999989</v>
      </c>
      <c r="K73" s="126">
        <v>45541</v>
      </c>
      <c r="L73" s="36">
        <f>WEEKNUM(Table1[[#This Row],[ETA
As requested
dd.mm.yyyy]])</f>
        <v>36</v>
      </c>
      <c r="M73" s="36">
        <f>YEAR(Table1[[#This Row],[ETA
As requested
dd.mm.yyyy]])</f>
        <v>2024</v>
      </c>
      <c r="N73" s="36">
        <f>IFERROR(INDEX(DATABASE_FG!$H$5:$H$367, MATCH(E73, DATABASE_FG!$C$5:$C$367, 0)), " ")</f>
        <v>0</v>
      </c>
      <c r="O73" s="129" t="str">
        <f>IF(E73&lt;&gt;"", _xlfn.XLOOKUP(E73, DATABASE_FG!C:C, DATABASE_FG!F:F), " ")</f>
        <v>Ventilkoerper</v>
      </c>
      <c r="P73" s="129">
        <f>IFERROR(INDEX(DATABASE_FG!$G$5:$G$367, MATCH(E73, DATABASE_FG!$C$5:$C$367, 0)), "Not Found")</f>
        <v>360</v>
      </c>
      <c r="Q73" s="36"/>
      <c r="R73" s="125" t="s">
        <v>680</v>
      </c>
      <c r="S73" s="123">
        <f>IFERROR(INDEX(DATABASE_FG!$L$5:$L$367, MATCH(E73, DATABASE_FG!$C$5:$C$367, 0)), " ")</f>
        <v>56</v>
      </c>
      <c r="T73" s="36" t="s">
        <v>677</v>
      </c>
      <c r="U73" s="36"/>
      <c r="V73" s="36"/>
      <c r="W73" s="129"/>
      <c r="X73" s="36"/>
      <c r="Y73" s="36"/>
      <c r="Z73" s="36">
        <v>241006</v>
      </c>
      <c r="AA73" s="125" t="s">
        <v>121</v>
      </c>
      <c r="AB73" s="173">
        <v>45426</v>
      </c>
      <c r="AC73" s="119">
        <v>2024470</v>
      </c>
      <c r="AD73" s="36">
        <f t="shared" si="5"/>
        <v>4508756412</v>
      </c>
      <c r="AE73" s="36">
        <f t="shared" si="6"/>
        <v>1818509251</v>
      </c>
      <c r="AF73" s="36">
        <v>5</v>
      </c>
      <c r="AG73" s="120">
        <f t="shared" si="7"/>
        <v>68.949999999999989</v>
      </c>
      <c r="AH73" s="36"/>
      <c r="AI73" s="124" t="s">
        <v>258</v>
      </c>
      <c r="AJ73" s="122" t="s">
        <v>2322</v>
      </c>
      <c r="AK73" s="129" t="str">
        <f t="shared" ca="1" si="8"/>
        <v>On Time</v>
      </c>
      <c r="AL73" s="268" t="str">
        <f t="shared" si="4"/>
        <v>September</v>
      </c>
      <c r="AM73" s="133">
        <f>YEAR(Table1[[#This Row],[ETA
As requested
dd.mm.yyyy]])</f>
        <v>2024</v>
      </c>
    </row>
    <row r="74" spans="1:39" hidden="1">
      <c r="A74" s="123" t="s">
        <v>26</v>
      </c>
      <c r="B74" s="36" t="s">
        <v>1170</v>
      </c>
      <c r="C74" s="117">
        <v>4508427493</v>
      </c>
      <c r="D74" s="165"/>
      <c r="E74" s="117">
        <v>1818509259</v>
      </c>
      <c r="F74" s="36" t="str">
        <f>IFERROR(VLOOKUP(Table1[[#This Row],[Part Number]],DATABASE_FG!$C$6:D10063,2,FALSE)," ")</f>
        <v>VALVE BODY</v>
      </c>
      <c r="G74" s="117">
        <f>IFERROR(_xlfn.XLOOKUP(Table1[[#This Row],[Part Number]],Table3[Part number],Table3[Drawing
 Revision]),"")</f>
        <v>1</v>
      </c>
      <c r="H74" s="118" cm="1">
        <f t="array" ref="H74">IFERROR(INDEX(PDB!$C:$AT,MATCH(E74,PDB!$B:$B,0),MATCH(YEAR(K74),0+PDB!$C$1:$AT$1,0)),"")</f>
        <v>13.47</v>
      </c>
      <c r="I74" s="36">
        <v>5</v>
      </c>
      <c r="J74" s="125">
        <f>IFERROR(Table1[[#This Row],[Quantity]]*Table1[[#This Row],[Price/Unit
EUR]]," ")</f>
        <v>67.350000000000009</v>
      </c>
      <c r="K74" s="126">
        <v>45541</v>
      </c>
      <c r="L74" s="36">
        <f>WEEKNUM(Table1[[#This Row],[ETA
As requested
dd.mm.yyyy]])</f>
        <v>36</v>
      </c>
      <c r="M74" s="36">
        <f>YEAR(Table1[[#This Row],[ETA
As requested
dd.mm.yyyy]])</f>
        <v>2024</v>
      </c>
      <c r="N74" s="36">
        <f>IFERROR(INDEX(DATABASE_FG!$H$5:$H$367, MATCH(E74, DATABASE_FG!$C$5:$C$367, 0)), " ")</f>
        <v>0</v>
      </c>
      <c r="O74" s="129" t="str">
        <f>IF(E74&lt;&gt;"", _xlfn.XLOOKUP(E74, DATABASE_FG!C:C, DATABASE_FG!F:F), " ")</f>
        <v>Ventilkoerper</v>
      </c>
      <c r="P74" s="129">
        <f>IFERROR(INDEX(DATABASE_FG!$G$5:$G$367, MATCH(E74, DATABASE_FG!$C$5:$C$367, 0)), "Not Found")</f>
        <v>30</v>
      </c>
      <c r="Q74" s="36">
        <v>60</v>
      </c>
      <c r="R74" s="125" t="s">
        <v>680</v>
      </c>
      <c r="S74" s="123">
        <f>IFERROR(INDEX(DATABASE_FG!$L$5:$L$367, MATCH(E74, DATABASE_FG!$C$5:$C$367, 0)), " ")</f>
        <v>56</v>
      </c>
      <c r="T74" s="36" t="s">
        <v>677</v>
      </c>
      <c r="U74" s="36"/>
      <c r="V74" s="36"/>
      <c r="W74" s="129"/>
      <c r="X74" s="36"/>
      <c r="Y74" s="36"/>
      <c r="Z74" s="36">
        <v>241109</v>
      </c>
      <c r="AA74" s="125" t="s">
        <v>121</v>
      </c>
      <c r="AB74" s="173">
        <v>45496</v>
      </c>
      <c r="AC74" s="119">
        <v>2024896</v>
      </c>
      <c r="AD74" s="36">
        <f t="shared" ref="AD74:AD105" si="9">IF(NOT(ISBLANK(AC74)), C74, "")</f>
        <v>4508427493</v>
      </c>
      <c r="AE74" s="36">
        <f t="shared" ref="AE74:AE105" si="10">IF(NOT(ISBLANK(AC74)), E74, "")</f>
        <v>1818509259</v>
      </c>
      <c r="AF74" s="36">
        <v>5</v>
      </c>
      <c r="AG74" s="120">
        <f t="shared" ref="AG74:AG105" si="11">AF74*H74</f>
        <v>67.350000000000009</v>
      </c>
      <c r="AH74" s="36"/>
      <c r="AI74" s="124"/>
      <c r="AJ74" s="122" t="s">
        <v>2336</v>
      </c>
      <c r="AK74" s="129" t="str">
        <f t="shared" ref="AK74:AK105" ca="1" si="12">IF(AB74="", IF(K74 &lt; TODAY(), "Late", ""), IF(AB74 &lt;= K74 + 2, "On Time", "Late"))</f>
        <v>On Time</v>
      </c>
      <c r="AL74" s="268" t="str">
        <f t="shared" ref="AL74:AL137" si="13">TEXT(K74,"mmmm")</f>
        <v>September</v>
      </c>
      <c r="AM74" s="133">
        <f>YEAR(Table1[[#This Row],[ETA
As requested
dd.mm.yyyy]])</f>
        <v>2024</v>
      </c>
    </row>
    <row r="75" spans="1:39" hidden="1">
      <c r="A75" s="123" t="s">
        <v>26</v>
      </c>
      <c r="B75" s="36" t="s">
        <v>1170</v>
      </c>
      <c r="C75" s="117">
        <v>4509031934</v>
      </c>
      <c r="D75" s="165"/>
      <c r="E75" s="117">
        <v>1818509259</v>
      </c>
      <c r="F75" s="36" t="str">
        <f>IFERROR(VLOOKUP(Table1[[#This Row],[Part Number]],DATABASE_FG!$C$6:D10064,2,FALSE)," ")</f>
        <v>VALVE BODY</v>
      </c>
      <c r="G75" s="117">
        <f>IFERROR(_xlfn.XLOOKUP(Table1[[#This Row],[Part Number]],Table3[Part number],Table3[Drawing
 Revision]),"")</f>
        <v>1</v>
      </c>
      <c r="H75" s="118" cm="1">
        <f t="array" ref="H75">IFERROR(INDEX(PDB!$C:$AT,MATCH(E75,PDB!$B:$B,0),MATCH(YEAR(K75),0+PDB!$C$1:$AT$1,0)),"")</f>
        <v>13.47</v>
      </c>
      <c r="I75" s="36">
        <v>90</v>
      </c>
      <c r="J75" s="125">
        <f>IFERROR(Table1[[#This Row],[Quantity]]*Table1[[#This Row],[Price/Unit
EUR]]," ")</f>
        <v>1212.3</v>
      </c>
      <c r="K75" s="126">
        <v>45541</v>
      </c>
      <c r="L75" s="36">
        <f>WEEKNUM(Table1[[#This Row],[ETA
As requested
dd.mm.yyyy]])</f>
        <v>36</v>
      </c>
      <c r="M75" s="36">
        <f>YEAR(Table1[[#This Row],[ETA
As requested
dd.mm.yyyy]])</f>
        <v>2024</v>
      </c>
      <c r="N75" s="36">
        <f>IFERROR(INDEX(DATABASE_FG!$H$5:$H$367, MATCH(E75, DATABASE_FG!$C$5:$C$367, 0)), " ")</f>
        <v>0</v>
      </c>
      <c r="O75" s="129" t="str">
        <f>IF(E75&lt;&gt;"", _xlfn.XLOOKUP(E75, DATABASE_FG!C:C, DATABASE_FG!F:F), " ")</f>
        <v>Ventilkoerper</v>
      </c>
      <c r="P75" s="129">
        <f>IFERROR(INDEX(DATABASE_FG!$G$5:$G$367, MATCH(E75, DATABASE_FG!$C$5:$C$367, 0)), "Not Found")</f>
        <v>30</v>
      </c>
      <c r="Q75" s="36">
        <v>60</v>
      </c>
      <c r="R75" s="125" t="s">
        <v>680</v>
      </c>
      <c r="S75" s="123">
        <f>IFERROR(INDEX(DATABASE_FG!$L$5:$L$367, MATCH(E75, DATABASE_FG!$C$5:$C$367, 0)), " ")</f>
        <v>56</v>
      </c>
      <c r="T75" s="36" t="s">
        <v>677</v>
      </c>
      <c r="U75" s="36"/>
      <c r="V75" s="36"/>
      <c r="W75" s="129"/>
      <c r="X75" s="36" t="s">
        <v>1957</v>
      </c>
      <c r="Y75" s="36"/>
      <c r="Z75" s="36"/>
      <c r="AA75" s="125" t="s">
        <v>121</v>
      </c>
      <c r="AB75" s="173">
        <v>45876</v>
      </c>
      <c r="AC75" s="119"/>
      <c r="AD75" s="36" t="str">
        <f t="shared" si="9"/>
        <v/>
      </c>
      <c r="AE75" s="36" t="str">
        <f t="shared" si="10"/>
        <v/>
      </c>
      <c r="AF75" s="36">
        <v>0</v>
      </c>
      <c r="AG75" s="120">
        <f t="shared" si="11"/>
        <v>0</v>
      </c>
      <c r="AH75" s="36"/>
      <c r="AI75" s="124"/>
      <c r="AJ75" s="122"/>
      <c r="AK75" s="129" t="str">
        <f t="shared" ca="1" si="12"/>
        <v>Late</v>
      </c>
      <c r="AL75" s="268" t="str">
        <f t="shared" si="13"/>
        <v>September</v>
      </c>
      <c r="AM75" s="133">
        <f>YEAR(Table1[[#This Row],[ETA
As requested
dd.mm.yyyy]])</f>
        <v>2024</v>
      </c>
    </row>
    <row r="76" spans="1:39" hidden="1">
      <c r="A76" s="123" t="s">
        <v>26</v>
      </c>
      <c r="B76" s="36" t="s">
        <v>1170</v>
      </c>
      <c r="C76" s="117">
        <v>4508756412</v>
      </c>
      <c r="D76" s="165"/>
      <c r="E76" s="117">
        <v>1818509265</v>
      </c>
      <c r="F76" s="36" t="str">
        <f>IFERROR(VLOOKUP(Table1[[#This Row],[Part Number]],DATABASE_FG!$C$6:D10065,2,FALSE)," ")</f>
        <v>VALVE BODY</v>
      </c>
      <c r="G76" s="117">
        <f>IFERROR(_xlfn.XLOOKUP(Table1[[#This Row],[Part Number]],Table3[Part number],Table3[Drawing
 Revision]),"")</f>
        <v>1</v>
      </c>
      <c r="H76" s="118" cm="1">
        <f t="array" ref="H76">IFERROR(INDEX(PDB!$C:$AT,MATCH(E76,PDB!$B:$B,0),MATCH(YEAR(K76),0+PDB!$C$1:$AT$1,0)),"")</f>
        <v>14.01</v>
      </c>
      <c r="I76" s="36">
        <v>5</v>
      </c>
      <c r="J76" s="125">
        <f>IFERROR(Table1[[#This Row],[Quantity]]*Table1[[#This Row],[Price/Unit
EUR]]," ")</f>
        <v>70.05</v>
      </c>
      <c r="K76" s="126">
        <v>45541</v>
      </c>
      <c r="L76" s="36">
        <f>WEEKNUM(Table1[[#This Row],[ETA
As requested
dd.mm.yyyy]])</f>
        <v>36</v>
      </c>
      <c r="M76" s="36">
        <f>YEAR(Table1[[#This Row],[ETA
As requested
dd.mm.yyyy]])</f>
        <v>2024</v>
      </c>
      <c r="N76" s="36">
        <f>IFERROR(INDEX(DATABASE_FG!$H$5:$H$367, MATCH(E76, DATABASE_FG!$C$5:$C$367, 0)), " ")</f>
        <v>0</v>
      </c>
      <c r="O76" s="129" t="str">
        <f>IF(E76&lt;&gt;"", _xlfn.XLOOKUP(E76, DATABASE_FG!C:C, DATABASE_FG!F:F), " ")</f>
        <v>Ventilkoerper</v>
      </c>
      <c r="P76" s="129">
        <f>IFERROR(INDEX(DATABASE_FG!$G$5:$G$367, MATCH(E76, DATABASE_FG!$C$5:$C$367, 0)), "Not Found")</f>
        <v>10</v>
      </c>
      <c r="Q76" s="36"/>
      <c r="R76" s="125" t="s">
        <v>680</v>
      </c>
      <c r="S76" s="123">
        <f>IFERROR(INDEX(DATABASE_FG!$L$5:$L$367, MATCH(E76, DATABASE_FG!$C$5:$C$367, 0)), " ")</f>
        <v>56</v>
      </c>
      <c r="T76" s="36" t="s">
        <v>677</v>
      </c>
      <c r="U76" s="36"/>
      <c r="V76" s="36"/>
      <c r="W76" s="129"/>
      <c r="X76" s="36"/>
      <c r="Y76" s="36"/>
      <c r="Z76" s="36">
        <v>241005</v>
      </c>
      <c r="AA76" s="125" t="s">
        <v>121</v>
      </c>
      <c r="AB76" s="173">
        <v>45558</v>
      </c>
      <c r="AC76" s="119">
        <v>202401159</v>
      </c>
      <c r="AD76" s="36">
        <f t="shared" si="9"/>
        <v>4508756412</v>
      </c>
      <c r="AE76" s="36">
        <f t="shared" si="10"/>
        <v>1818509265</v>
      </c>
      <c r="AF76" s="36">
        <v>5</v>
      </c>
      <c r="AG76" s="120">
        <f t="shared" si="11"/>
        <v>70.05</v>
      </c>
      <c r="AH76" s="36"/>
      <c r="AI76" s="124"/>
      <c r="AJ76" s="122" t="s">
        <v>2350</v>
      </c>
      <c r="AK76" s="129" t="str">
        <f t="shared" ca="1" si="12"/>
        <v>Late</v>
      </c>
      <c r="AL76" s="268" t="str">
        <f t="shared" si="13"/>
        <v>September</v>
      </c>
      <c r="AM76" s="133">
        <f>YEAR(Table1[[#This Row],[ETA
As requested
dd.mm.yyyy]])</f>
        <v>2024</v>
      </c>
    </row>
    <row r="77" spans="1:39" hidden="1">
      <c r="A77" s="123" t="s">
        <v>26</v>
      </c>
      <c r="B77" s="36" t="s">
        <v>1170</v>
      </c>
      <c r="C77" s="117">
        <v>4508771613</v>
      </c>
      <c r="D77" s="165"/>
      <c r="E77" s="117">
        <v>1818509284</v>
      </c>
      <c r="F77" s="36" t="str">
        <f>IFERROR(VLOOKUP(Table1[[#This Row],[Part Number]],DATABASE_FG!$C$6:D10066,2,FALSE)," ")</f>
        <v>VALVE BODY</v>
      </c>
      <c r="G77" s="117">
        <f>IFERROR(_xlfn.XLOOKUP(Table1[[#This Row],[Part Number]],Table3[Part number],Table3[Drawing
 Revision]),"")</f>
        <v>1</v>
      </c>
      <c r="H77" s="118" cm="1">
        <f t="array" ref="H77">IFERROR(INDEX(PDB!$C:$AT,MATCH(E77,PDB!$B:$B,0),MATCH(YEAR(K77),0+PDB!$C$1:$AT$1,0)),"")</f>
        <v>8.4499999999999993</v>
      </c>
      <c r="I77" s="36">
        <v>5</v>
      </c>
      <c r="J77" s="125">
        <f>IFERROR(Table1[[#This Row],[Quantity]]*Table1[[#This Row],[Price/Unit
EUR]]," ")</f>
        <v>42.25</v>
      </c>
      <c r="K77" s="126">
        <v>45541</v>
      </c>
      <c r="L77" s="36">
        <f>WEEKNUM(Table1[[#This Row],[ETA
As requested
dd.mm.yyyy]])</f>
        <v>36</v>
      </c>
      <c r="M77" s="36">
        <f>YEAR(Table1[[#This Row],[ETA
As requested
dd.mm.yyyy]])</f>
        <v>2024</v>
      </c>
      <c r="N77" s="36">
        <f>IFERROR(INDEX(DATABASE_FG!$H$5:$H$367, MATCH(E77, DATABASE_FG!$C$5:$C$367, 0)), " ")</f>
        <v>0</v>
      </c>
      <c r="O77" s="129" t="str">
        <f>IF(E77&lt;&gt;"", _xlfn.XLOOKUP(E77, DATABASE_FG!C:C, DATABASE_FG!F:F), " ")</f>
        <v>Ventilkoerper</v>
      </c>
      <c r="P77" s="129">
        <f>IFERROR(INDEX(DATABASE_FG!$G$5:$G$367, MATCH(E77, DATABASE_FG!$C$5:$C$367, 0)), "Not Found")</f>
        <v>117</v>
      </c>
      <c r="Q77" s="36">
        <v>60</v>
      </c>
      <c r="R77" s="125" t="s">
        <v>680</v>
      </c>
      <c r="S77" s="123">
        <f>IFERROR(INDEX(DATABASE_FG!$L$5:$L$367, MATCH(E77, DATABASE_FG!$C$5:$C$367, 0)), " ")</f>
        <v>56</v>
      </c>
      <c r="T77" s="36" t="s">
        <v>677</v>
      </c>
      <c r="U77" s="36"/>
      <c r="V77" s="36"/>
      <c r="W77" s="129"/>
      <c r="X77" s="36"/>
      <c r="Y77" s="36"/>
      <c r="Z77" s="36" t="s">
        <v>2330</v>
      </c>
      <c r="AA77" s="125" t="s">
        <v>121</v>
      </c>
      <c r="AB77" s="173">
        <v>45463</v>
      </c>
      <c r="AC77" s="119">
        <v>2024692</v>
      </c>
      <c r="AD77" s="36">
        <f t="shared" si="9"/>
        <v>4508771613</v>
      </c>
      <c r="AE77" s="36">
        <f t="shared" si="10"/>
        <v>1818509284</v>
      </c>
      <c r="AF77" s="36">
        <v>5</v>
      </c>
      <c r="AG77" s="120">
        <f t="shared" si="11"/>
        <v>42.25</v>
      </c>
      <c r="AH77" s="36"/>
      <c r="AI77" s="124" t="s">
        <v>258</v>
      </c>
      <c r="AJ77" s="122" t="s">
        <v>2331</v>
      </c>
      <c r="AK77" s="129" t="str">
        <f t="shared" ca="1" si="12"/>
        <v>On Time</v>
      </c>
      <c r="AL77" s="268" t="str">
        <f t="shared" si="13"/>
        <v>September</v>
      </c>
      <c r="AM77" s="133">
        <f>YEAR(Table1[[#This Row],[ETA
As requested
dd.mm.yyyy]])</f>
        <v>2024</v>
      </c>
    </row>
    <row r="78" spans="1:39" hidden="1">
      <c r="A78" s="123" t="s">
        <v>26</v>
      </c>
      <c r="B78" s="36" t="s">
        <v>1170</v>
      </c>
      <c r="C78" s="117">
        <v>5500552636</v>
      </c>
      <c r="D78" s="165">
        <v>45728</v>
      </c>
      <c r="E78" s="117">
        <v>1818509284</v>
      </c>
      <c r="F78" s="36" t="str">
        <f>IFERROR(VLOOKUP(Table1[[#This Row],[Part Number]],DATABASE_FG!$C$6:D10067,2,FALSE)," ")</f>
        <v>VALVE BODY</v>
      </c>
      <c r="G78" s="117">
        <f>IFERROR(_xlfn.XLOOKUP(Table1[[#This Row],[Part Number]],Table3[Part number],Table3[Drawing
 Revision]),"")</f>
        <v>1</v>
      </c>
      <c r="H78" s="118" cm="1">
        <f t="array" ref="H78">IFERROR(INDEX(PDB!$C:$AT,MATCH(E78,PDB!$B:$B,0),MATCH(YEAR(K78),0+PDB!$C$1:$AT$1,0)),"")</f>
        <v>8.2799999999999994</v>
      </c>
      <c r="I78" s="36">
        <v>195</v>
      </c>
      <c r="J78" s="125">
        <f>IFERROR(Table1[[#This Row],[Quantity]]*Table1[[#This Row],[Price/Unit
EUR]]," ")</f>
        <v>1614.6</v>
      </c>
      <c r="K78" s="126">
        <v>45777</v>
      </c>
      <c r="L78" s="36">
        <f>WEEKNUM(Table1[[#This Row],[ETA
As requested
dd.mm.yyyy]])</f>
        <v>18</v>
      </c>
      <c r="M78" s="36">
        <f>YEAR(Table1[[#This Row],[ETA
As requested
dd.mm.yyyy]])</f>
        <v>2025</v>
      </c>
      <c r="N78" s="36">
        <f>IFERROR(INDEX(DATABASE_FG!$H$5:$H$367, MATCH(E78, DATABASE_FG!$C$5:$C$367, 0)), " ")</f>
        <v>0</v>
      </c>
      <c r="O78" s="129" t="str">
        <f>IF(E78&lt;&gt;"", _xlfn.XLOOKUP(E78, DATABASE_FG!C:C, DATABASE_FG!F:F), " ")</f>
        <v>Ventilkoerper</v>
      </c>
      <c r="P78" s="129">
        <v>0</v>
      </c>
      <c r="Q78" s="36"/>
      <c r="R78" s="125" t="s">
        <v>678</v>
      </c>
      <c r="S78" s="123">
        <f>IFERROR(INDEX(DATABASE_FG!$L$5:$L$367, MATCH(E78, DATABASE_FG!$C$5:$C$367, 0)), " ")</f>
        <v>56</v>
      </c>
      <c r="T78" s="36" t="s">
        <v>677</v>
      </c>
      <c r="U78" s="36"/>
      <c r="V78" s="36"/>
      <c r="W78" s="129" t="s">
        <v>677</v>
      </c>
      <c r="X78" s="36"/>
      <c r="Y78" s="36"/>
      <c r="Z78" s="36"/>
      <c r="AA78" s="125" t="s">
        <v>121</v>
      </c>
      <c r="AB78" s="173">
        <v>45869</v>
      </c>
      <c r="AC78" s="119">
        <v>251105</v>
      </c>
      <c r="AD78" s="36">
        <f t="shared" si="9"/>
        <v>5500552636</v>
      </c>
      <c r="AE78" s="36">
        <f t="shared" si="10"/>
        <v>1818509284</v>
      </c>
      <c r="AF78" s="36">
        <v>195</v>
      </c>
      <c r="AG78" s="120">
        <f t="shared" si="11"/>
        <v>1614.6</v>
      </c>
      <c r="AH78" s="36"/>
      <c r="AI78" s="124" t="s">
        <v>3138</v>
      </c>
      <c r="AJ78" s="122" t="s">
        <v>4435</v>
      </c>
      <c r="AK78" s="129" t="str">
        <f t="shared" ca="1" si="12"/>
        <v>Late</v>
      </c>
      <c r="AL78" s="268" t="str">
        <f t="shared" si="13"/>
        <v>April</v>
      </c>
      <c r="AM78" s="133">
        <f>YEAR(Table1[[#This Row],[ETA
As requested
dd.mm.yyyy]])</f>
        <v>2025</v>
      </c>
    </row>
    <row r="79" spans="1:39" hidden="1">
      <c r="A79" s="123" t="s">
        <v>26</v>
      </c>
      <c r="B79" s="36" t="s">
        <v>1170</v>
      </c>
      <c r="C79" s="117">
        <v>5500552636</v>
      </c>
      <c r="D79" s="165">
        <v>45728</v>
      </c>
      <c r="E79" s="117">
        <v>1818509284</v>
      </c>
      <c r="F79" s="36" t="str">
        <f>IFERROR(VLOOKUP(Table1[[#This Row],[Part Number]],DATABASE_FG!$C$6:D10068,2,FALSE)," ")</f>
        <v>VALVE BODY</v>
      </c>
      <c r="G79" s="117">
        <f>IFERROR(_xlfn.XLOOKUP(Table1[[#This Row],[Part Number]],Table3[Part number],Table3[Drawing
 Revision]),"")</f>
        <v>1</v>
      </c>
      <c r="H79" s="118" cm="1">
        <f t="array" ref="H79">IFERROR(INDEX(PDB!$C:$AT,MATCH(E79,PDB!$B:$B,0),MATCH(YEAR(K79),0+PDB!$C$1:$AT$1,0)),"")</f>
        <v>8.2799999999999994</v>
      </c>
      <c r="I79" s="36">
        <v>234</v>
      </c>
      <c r="J79" s="125">
        <f>IFERROR(Table1[[#This Row],[Quantity]]*Table1[[#This Row],[Price/Unit
EUR]]," ")</f>
        <v>1937.5199999999998</v>
      </c>
      <c r="K79" s="126">
        <v>45791</v>
      </c>
      <c r="L79" s="36">
        <f>WEEKNUM(Table1[[#This Row],[ETA
As requested
dd.mm.yyyy]])</f>
        <v>20</v>
      </c>
      <c r="M79" s="36">
        <f>YEAR(Table1[[#This Row],[ETA
As requested
dd.mm.yyyy]])</f>
        <v>2025</v>
      </c>
      <c r="N79" s="36">
        <f>IFERROR(INDEX(DATABASE_FG!$H$5:$H$367, MATCH(E79, DATABASE_FG!$C$5:$C$367, 0)), " ")</f>
        <v>0</v>
      </c>
      <c r="O79" s="129" t="str">
        <f>IF(E79&lt;&gt;"", _xlfn.XLOOKUP(E79, DATABASE_FG!C:C, DATABASE_FG!F:F), " ")</f>
        <v>Ventilkoerper</v>
      </c>
      <c r="P79" s="129">
        <v>0</v>
      </c>
      <c r="Q79" s="36"/>
      <c r="R79" s="125" t="s">
        <v>678</v>
      </c>
      <c r="S79" s="123">
        <f>IFERROR(INDEX(DATABASE_FG!$L$5:$L$367, MATCH(E79, DATABASE_FG!$C$5:$C$367, 0)), " ")</f>
        <v>56</v>
      </c>
      <c r="T79" s="36" t="s">
        <v>677</v>
      </c>
      <c r="U79" s="36"/>
      <c r="V79" s="36"/>
      <c r="W79" s="129"/>
      <c r="X79" s="36"/>
      <c r="Y79" s="36"/>
      <c r="Z79" s="36"/>
      <c r="AA79" s="125" t="s">
        <v>121</v>
      </c>
      <c r="AB79" s="173">
        <v>45869</v>
      </c>
      <c r="AC79" s="119">
        <v>251105</v>
      </c>
      <c r="AD79" s="36">
        <f t="shared" si="9"/>
        <v>5500552636</v>
      </c>
      <c r="AE79" s="36">
        <f t="shared" si="10"/>
        <v>1818509284</v>
      </c>
      <c r="AF79" s="36">
        <v>234</v>
      </c>
      <c r="AG79" s="120">
        <f t="shared" si="11"/>
        <v>1937.5199999999998</v>
      </c>
      <c r="AH79" s="36"/>
      <c r="AI79" s="124" t="s">
        <v>3138</v>
      </c>
      <c r="AJ79" s="122" t="s">
        <v>3139</v>
      </c>
      <c r="AK79" s="129" t="str">
        <f t="shared" ca="1" si="12"/>
        <v>Late</v>
      </c>
      <c r="AL79" s="268" t="str">
        <f t="shared" si="13"/>
        <v>May</v>
      </c>
      <c r="AM79" s="133">
        <f>YEAR(Table1[[#This Row],[ETA
As requested
dd.mm.yyyy]])</f>
        <v>2025</v>
      </c>
    </row>
    <row r="80" spans="1:39" hidden="1">
      <c r="A80" s="123" t="s">
        <v>26</v>
      </c>
      <c r="B80" s="36" t="s">
        <v>1170</v>
      </c>
      <c r="C80" s="117">
        <v>4508771613</v>
      </c>
      <c r="D80" s="165"/>
      <c r="E80" s="117">
        <v>1818509289</v>
      </c>
      <c r="F80" s="36" t="str">
        <f>IFERROR(VLOOKUP(Table1[[#This Row],[Part Number]],DATABASE_FG!$C$6:D10069,2,FALSE)," ")</f>
        <v>VALVE BODY</v>
      </c>
      <c r="G80" s="117">
        <f>IFERROR(_xlfn.XLOOKUP(Table1[[#This Row],[Part Number]],Table3[Part number],Table3[Drawing
 Revision]),"")</f>
        <v>1</v>
      </c>
      <c r="H80" s="118" cm="1">
        <f t="array" ref="H80">IFERROR(INDEX(PDB!$C:$AT,MATCH(E80,PDB!$B:$B,0),MATCH(YEAR(K80),0+PDB!$C$1:$AT$1,0)),"")</f>
        <v>10.99</v>
      </c>
      <c r="I80" s="36">
        <v>5</v>
      </c>
      <c r="J80" s="125">
        <f>IFERROR(Table1[[#This Row],[Quantity]]*Table1[[#This Row],[Price/Unit
EUR]]," ")</f>
        <v>54.95</v>
      </c>
      <c r="K80" s="126">
        <v>45541</v>
      </c>
      <c r="L80" s="36">
        <f>WEEKNUM(Table1[[#This Row],[ETA
As requested
dd.mm.yyyy]])</f>
        <v>36</v>
      </c>
      <c r="M80" s="36">
        <f>YEAR(Table1[[#This Row],[ETA
As requested
dd.mm.yyyy]])</f>
        <v>2024</v>
      </c>
      <c r="N80" s="36">
        <f>IFERROR(INDEX(DATABASE_FG!$H$5:$H$367, MATCH(E80, DATABASE_FG!$C$5:$C$367, 0)), " ")</f>
        <v>0</v>
      </c>
      <c r="O80" s="129" t="str">
        <f>IF(E80&lt;&gt;"", _xlfn.XLOOKUP(E80, DATABASE_FG!C:C, DATABASE_FG!F:F), " ")</f>
        <v>Ventilkoerper</v>
      </c>
      <c r="P80" s="129">
        <f>IFERROR(INDEX(DATABASE_FG!$G$5:$G$367, MATCH(E80, DATABASE_FG!$C$5:$C$367, 0)), "Not Found")</f>
        <v>70</v>
      </c>
      <c r="Q80" s="36"/>
      <c r="R80" s="125" t="s">
        <v>680</v>
      </c>
      <c r="S80" s="123">
        <f>IFERROR(INDEX(DATABASE_FG!$L$5:$L$367, MATCH(E80, DATABASE_FG!$C$5:$C$367, 0)), " ")</f>
        <v>56</v>
      </c>
      <c r="T80" s="36" t="s">
        <v>677</v>
      </c>
      <c r="U80" s="36"/>
      <c r="V80" s="36"/>
      <c r="W80" s="129"/>
      <c r="X80" s="36"/>
      <c r="Y80" s="36"/>
      <c r="Z80" s="36">
        <v>240605</v>
      </c>
      <c r="AA80" s="125" t="s">
        <v>121</v>
      </c>
      <c r="AB80" s="173">
        <v>45471</v>
      </c>
      <c r="AC80" s="119">
        <v>2024741</v>
      </c>
      <c r="AD80" s="36">
        <f t="shared" si="9"/>
        <v>4508771613</v>
      </c>
      <c r="AE80" s="36">
        <f t="shared" si="10"/>
        <v>1818509289</v>
      </c>
      <c r="AF80" s="36">
        <v>5</v>
      </c>
      <c r="AG80" s="120">
        <f t="shared" si="11"/>
        <v>54.95</v>
      </c>
      <c r="AH80" s="36"/>
      <c r="AI80" s="124" t="s">
        <v>258</v>
      </c>
      <c r="AJ80" s="122" t="s">
        <v>2332</v>
      </c>
      <c r="AK80" s="129" t="str">
        <f t="shared" ca="1" si="12"/>
        <v>On Time</v>
      </c>
      <c r="AL80" s="268" t="str">
        <f t="shared" si="13"/>
        <v>September</v>
      </c>
      <c r="AM80" s="133">
        <f>YEAR(Table1[[#This Row],[ETA
As requested
dd.mm.yyyy]])</f>
        <v>2024</v>
      </c>
    </row>
    <row r="81" spans="1:40" hidden="1">
      <c r="A81" s="123" t="s">
        <v>26</v>
      </c>
      <c r="B81" s="36" t="s">
        <v>1170</v>
      </c>
      <c r="C81" s="117">
        <v>5500494575</v>
      </c>
      <c r="D81" s="165">
        <v>45588</v>
      </c>
      <c r="E81" s="117">
        <v>1818509439</v>
      </c>
      <c r="F81" s="36" t="str">
        <f>IFERROR(VLOOKUP(Table1[[#This Row],[Part Number]],DATABASE_FG!$C$6:D10070,2,FALSE)," ")</f>
        <v>VALVE BODY         .</v>
      </c>
      <c r="G81" s="117" t="str">
        <f>IFERROR(_xlfn.XLOOKUP(Table1[[#This Row],[Part Number]],Table3[Part number],Table3[Drawing
 Revision]),"")</f>
        <v>AA</v>
      </c>
      <c r="H81" s="118" cm="1">
        <f t="array" ref="H81">IFERROR(INDEX(PDB!$C:$AT,MATCH(E81,PDB!$B:$B,0),MATCH(YEAR(K81),0+PDB!$C$1:$AT$1,0)),"")</f>
        <v>0.74</v>
      </c>
      <c r="I81" s="36">
        <v>300</v>
      </c>
      <c r="J81" s="125">
        <f>IFERROR(Table1[[#This Row],[Quantity]]*Table1[[#This Row],[Price/Unit
EUR]]," ")</f>
        <v>222</v>
      </c>
      <c r="K81" s="126">
        <v>45701</v>
      </c>
      <c r="L81" s="36">
        <f>WEEKNUM(Table1[[#This Row],[ETA
As requested
dd.mm.yyyy]])</f>
        <v>7</v>
      </c>
      <c r="M81" s="36">
        <f>YEAR(Table1[[#This Row],[ETA
As requested
dd.mm.yyyy]])</f>
        <v>2025</v>
      </c>
      <c r="N81" s="36">
        <f>IFERROR(INDEX(DATABASE_FG!$H$5:$H$367, MATCH(E81, DATABASE_FG!$C$5:$C$367, 0)), " ")</f>
        <v>0</v>
      </c>
      <c r="O81" s="129" t="str">
        <f>IF(E81&lt;&gt;"", _xlfn.XLOOKUP(E81, DATABASE_FG!C:C, DATABASE_FG!F:F), " ")</f>
        <v>Ventilkoerper</v>
      </c>
      <c r="P81" s="129">
        <f>IFERROR(INDEX(DATABASE_FG!$G$5:$G$367, MATCH(E81, DATABASE_FG!$C$5:$C$367, 0)), "Not Found")</f>
        <v>10</v>
      </c>
      <c r="Q81" s="36">
        <v>60</v>
      </c>
      <c r="R81" s="125" t="s">
        <v>678</v>
      </c>
      <c r="S81" s="123">
        <f>IFERROR(INDEX(DATABASE_FG!$L$5:$L$367, MATCH(E81, DATABASE_FG!$C$5:$C$367, 0)), " ")</f>
        <v>42</v>
      </c>
      <c r="T81" s="36" t="s">
        <v>679</v>
      </c>
      <c r="U81" s="36"/>
      <c r="V81" s="36"/>
      <c r="W81" s="129"/>
      <c r="X81" s="36"/>
      <c r="Y81" s="36" t="s">
        <v>2813</v>
      </c>
      <c r="Z81" s="36"/>
      <c r="AA81" s="125" t="s">
        <v>121</v>
      </c>
      <c r="AB81" s="172">
        <v>45723</v>
      </c>
      <c r="AC81" s="119">
        <v>25341</v>
      </c>
      <c r="AD81" s="36">
        <f t="shared" si="9"/>
        <v>5500494575</v>
      </c>
      <c r="AE81" s="36">
        <f t="shared" si="10"/>
        <v>1818509439</v>
      </c>
      <c r="AF81" s="36">
        <v>300</v>
      </c>
      <c r="AG81" s="120">
        <f t="shared" si="11"/>
        <v>222</v>
      </c>
      <c r="AH81" s="36"/>
      <c r="AI81" s="124"/>
      <c r="AJ81" s="122" t="s">
        <v>2814</v>
      </c>
      <c r="AK81" s="129" t="str">
        <f t="shared" ca="1" si="12"/>
        <v>Late</v>
      </c>
      <c r="AL81" s="268" t="str">
        <f t="shared" si="13"/>
        <v>February</v>
      </c>
      <c r="AM81" s="133">
        <f>YEAR(Table1[[#This Row],[ETA
As requested
dd.mm.yyyy]])</f>
        <v>2025</v>
      </c>
    </row>
    <row r="82" spans="1:40" hidden="1">
      <c r="A82" s="123" t="s">
        <v>26</v>
      </c>
      <c r="B82" s="36" t="s">
        <v>1170</v>
      </c>
      <c r="C82" s="117">
        <v>5500494575</v>
      </c>
      <c r="D82" s="165">
        <v>45588</v>
      </c>
      <c r="E82" s="117">
        <v>1818509439</v>
      </c>
      <c r="F82" s="36" t="str">
        <f>IFERROR(VLOOKUP(Table1[[#This Row],[Part Number]],DATABASE_FG!$C$6:D10071,2,FALSE)," ")</f>
        <v>VALVE BODY         .</v>
      </c>
      <c r="G82" s="117" t="str">
        <f>IFERROR(_xlfn.XLOOKUP(Table1[[#This Row],[Part Number]],Table3[Part number],Table3[Drawing
 Revision]),"")</f>
        <v>AA</v>
      </c>
      <c r="H82" s="118" cm="1">
        <f t="array" ref="H82">IFERROR(INDEX(PDB!$C:$AT,MATCH(E82,PDB!$B:$B,0),MATCH(YEAR(K82),0+PDB!$C$1:$AT$1,0)),"")</f>
        <v>0.74</v>
      </c>
      <c r="I82" s="36">
        <v>608</v>
      </c>
      <c r="J82" s="125">
        <f>IFERROR(Table1[[#This Row],[Quantity]]*Table1[[#This Row],[Price/Unit
EUR]]," ")</f>
        <v>449.92</v>
      </c>
      <c r="K82" s="126">
        <v>45701</v>
      </c>
      <c r="L82" s="36">
        <f>WEEKNUM(Table1[[#This Row],[ETA
As requested
dd.mm.yyyy]])</f>
        <v>7</v>
      </c>
      <c r="M82" s="36">
        <f>YEAR(Table1[[#This Row],[ETA
As requested
dd.mm.yyyy]])</f>
        <v>2025</v>
      </c>
      <c r="N82" s="36">
        <f>IFERROR(INDEX(DATABASE_FG!$H$5:$H$367, MATCH(E82, DATABASE_FG!$C$5:$C$367, 0)), " ")</f>
        <v>0</v>
      </c>
      <c r="O82" s="129" t="str">
        <f>IF(E82&lt;&gt;"", _xlfn.XLOOKUP(E82, DATABASE_FG!C:C, DATABASE_FG!F:F), " ")</f>
        <v>Ventilkoerper</v>
      </c>
      <c r="P82" s="129">
        <f>IFERROR(INDEX(DATABASE_FG!$G$5:$G$367, MATCH(E82, DATABASE_FG!$C$5:$C$367, 0)), "Not Found")</f>
        <v>10</v>
      </c>
      <c r="Q82" s="36">
        <v>60</v>
      </c>
      <c r="R82" s="125" t="s">
        <v>678</v>
      </c>
      <c r="S82" s="123">
        <f>IFERROR(INDEX(DATABASE_FG!$L$5:$L$367, MATCH(E82, DATABASE_FG!$C$5:$C$367, 0)), " ")</f>
        <v>42</v>
      </c>
      <c r="T82" s="36" t="s">
        <v>679</v>
      </c>
      <c r="U82" s="36"/>
      <c r="V82" s="36"/>
      <c r="W82" s="129"/>
      <c r="X82" s="36"/>
      <c r="Y82" s="36" t="s">
        <v>2813</v>
      </c>
      <c r="Z82" s="36"/>
      <c r="AA82" s="125" t="s">
        <v>121</v>
      </c>
      <c r="AB82" s="172">
        <v>45727</v>
      </c>
      <c r="AC82" s="119">
        <v>25352</v>
      </c>
      <c r="AD82" s="36">
        <f t="shared" si="9"/>
        <v>5500494575</v>
      </c>
      <c r="AE82" s="36">
        <f t="shared" si="10"/>
        <v>1818509439</v>
      </c>
      <c r="AF82" s="36">
        <v>608</v>
      </c>
      <c r="AG82" s="120">
        <f t="shared" si="11"/>
        <v>449.92</v>
      </c>
      <c r="AH82" s="36"/>
      <c r="AI82" s="124"/>
      <c r="AJ82" s="122" t="s">
        <v>2817</v>
      </c>
      <c r="AK82" s="129" t="str">
        <f t="shared" ca="1" si="12"/>
        <v>Late</v>
      </c>
      <c r="AL82" s="268" t="str">
        <f t="shared" si="13"/>
        <v>February</v>
      </c>
      <c r="AM82" s="133">
        <f>YEAR(Table1[[#This Row],[ETA
As requested
dd.mm.yyyy]])</f>
        <v>2025</v>
      </c>
    </row>
    <row r="83" spans="1:40" hidden="1">
      <c r="A83" s="123" t="s">
        <v>26</v>
      </c>
      <c r="B83" s="36" t="s">
        <v>1170</v>
      </c>
      <c r="C83" s="117">
        <v>5500494575</v>
      </c>
      <c r="D83" s="165">
        <v>45588</v>
      </c>
      <c r="E83" s="117">
        <v>1818509439</v>
      </c>
      <c r="F83" s="36" t="str">
        <f>IFERROR(VLOOKUP(Table1[[#This Row],[Part Number]],DATABASE_FG!$C$6:D10072,2,FALSE)," ")</f>
        <v>VALVE BODY         .</v>
      </c>
      <c r="G83" s="117" t="str">
        <f>IFERROR(_xlfn.XLOOKUP(Table1[[#This Row],[Part Number]],Table3[Part number],Table3[Drawing
 Revision]),"")</f>
        <v>AA</v>
      </c>
      <c r="H83" s="118" cm="1">
        <f t="array" ref="H83">IFERROR(INDEX(PDB!$C:$AT,MATCH(E83,PDB!$B:$B,0),MATCH(YEAR(K83),0+PDB!$C$1:$AT$1,0)),"")</f>
        <v>0.74</v>
      </c>
      <c r="I83" s="36">
        <f>1000-300-608</f>
        <v>92</v>
      </c>
      <c r="J83" s="125">
        <f>IFERROR(Table1[[#This Row],[Quantity]]*Table1[[#This Row],[Price/Unit
EUR]]," ")</f>
        <v>68.08</v>
      </c>
      <c r="K83" s="126">
        <v>45701</v>
      </c>
      <c r="L83" s="36">
        <f>WEEKNUM(Table1[[#This Row],[ETA
As requested
dd.mm.yyyy]])</f>
        <v>7</v>
      </c>
      <c r="M83" s="36">
        <f>YEAR(Table1[[#This Row],[ETA
As requested
dd.mm.yyyy]])</f>
        <v>2025</v>
      </c>
      <c r="N83" s="36">
        <f>IFERROR(INDEX(DATABASE_FG!$H$5:$H$367, MATCH(E83, DATABASE_FG!$C$5:$C$367, 0)), " ")</f>
        <v>0</v>
      </c>
      <c r="O83" s="129" t="str">
        <f>IF(E83&lt;&gt;"", _xlfn.XLOOKUP(E83, DATABASE_FG!C:C, DATABASE_FG!F:F), " ")</f>
        <v>Ventilkoerper</v>
      </c>
      <c r="P83" s="129">
        <f>IFERROR(INDEX(DATABASE_FG!$G$5:$G$367, MATCH(E83, DATABASE_FG!$C$5:$C$367, 0)), "Not Found")</f>
        <v>10</v>
      </c>
      <c r="Q83" s="36">
        <v>60</v>
      </c>
      <c r="R83" s="125" t="s">
        <v>678</v>
      </c>
      <c r="S83" s="123">
        <f>IFERROR(INDEX(DATABASE_FG!$L$5:$L$367, MATCH(E83, DATABASE_FG!$C$5:$C$367, 0)), " ")</f>
        <v>42</v>
      </c>
      <c r="T83" s="36" t="s">
        <v>679</v>
      </c>
      <c r="U83" s="36"/>
      <c r="V83" s="36"/>
      <c r="W83" s="129"/>
      <c r="X83" s="36"/>
      <c r="Y83" s="36" t="s">
        <v>2813</v>
      </c>
      <c r="Z83" s="36"/>
      <c r="AA83" s="125" t="s">
        <v>121</v>
      </c>
      <c r="AB83" s="172">
        <v>45755</v>
      </c>
      <c r="AC83" s="119">
        <v>25560</v>
      </c>
      <c r="AD83" s="36">
        <f t="shared" si="9"/>
        <v>5500494575</v>
      </c>
      <c r="AE83" s="117">
        <f t="shared" si="10"/>
        <v>1818509439</v>
      </c>
      <c r="AF83" s="36">
        <v>92</v>
      </c>
      <c r="AG83" s="120">
        <f t="shared" si="11"/>
        <v>68.08</v>
      </c>
      <c r="AH83" s="36"/>
      <c r="AI83" s="124"/>
      <c r="AJ83" s="122" t="s">
        <v>2818</v>
      </c>
      <c r="AK83" s="129" t="str">
        <f t="shared" ca="1" si="12"/>
        <v>Late</v>
      </c>
      <c r="AL83" s="268" t="str">
        <f t="shared" si="13"/>
        <v>February</v>
      </c>
      <c r="AM83" s="133">
        <f>YEAR(Table1[[#This Row],[ETA
As requested
dd.mm.yyyy]])</f>
        <v>2025</v>
      </c>
    </row>
    <row r="84" spans="1:40" hidden="1">
      <c r="A84" s="123" t="s">
        <v>26</v>
      </c>
      <c r="B84" s="36" t="s">
        <v>2464</v>
      </c>
      <c r="C84" s="117">
        <v>5500494575</v>
      </c>
      <c r="D84" s="165">
        <v>45588</v>
      </c>
      <c r="E84" s="117">
        <v>1818509439</v>
      </c>
      <c r="F84" s="36" t="str">
        <f>IFERROR(VLOOKUP(Table1[[#This Row],[Part Number]],DATABASE_FG!$C$6:D10073,2,FALSE)," ")</f>
        <v>VALVE BODY         .</v>
      </c>
      <c r="G84" s="117" t="str">
        <f>IFERROR(_xlfn.XLOOKUP(Table1[[#This Row],[Part Number]],Table3[Part number],Table3[Drawing
 Revision]),"")</f>
        <v>AA</v>
      </c>
      <c r="H84" s="118" cm="1">
        <f t="array" ref="H84">IFERROR(INDEX(PDB!$C:$AT,MATCH(E84,PDB!$B:$B,0),MATCH(YEAR(K84),0+PDB!$C$1:$AT$1,0)),"")</f>
        <v>0.74</v>
      </c>
      <c r="I84" s="36">
        <v>45</v>
      </c>
      <c r="J84" s="125">
        <f>IFERROR(Table1[[#This Row],[Quantity]]*Table1[[#This Row],[Price/Unit
EUR]]," ")</f>
        <v>33.299999999999997</v>
      </c>
      <c r="K84" s="126">
        <v>45999</v>
      </c>
      <c r="L84" s="36">
        <f>WEEKNUM(Table1[[#This Row],[ETA
As requested
dd.mm.yyyy]])</f>
        <v>50</v>
      </c>
      <c r="M84" s="36">
        <f>YEAR(Table1[[#This Row],[ETA
As requested
dd.mm.yyyy]])</f>
        <v>2025</v>
      </c>
      <c r="N84" s="36">
        <f>IFERROR(INDEX(DATABASE_FG!$H$5:$H$367, MATCH(E84, DATABASE_FG!$C$5:$C$367, 0)), " ")</f>
        <v>0</v>
      </c>
      <c r="O84" s="129" t="str">
        <f>IF(E84&lt;&gt;"", _xlfn.XLOOKUP(E84, DATABASE_FG!C:C, DATABASE_FG!F:F), " ")</f>
        <v>Ventilkoerper</v>
      </c>
      <c r="P84" s="129">
        <f>IFERROR(INDEX(DATABASE_FG!$G$5:$G$367, MATCH(E84, DATABASE_FG!$C$5:$C$367, 0)), "Not Found")</f>
        <v>10</v>
      </c>
      <c r="Q84" s="36">
        <v>60</v>
      </c>
      <c r="R84" s="125" t="s">
        <v>678</v>
      </c>
      <c r="S84" s="123">
        <f>IFERROR(INDEX(DATABASE_FG!$L$5:$L$367, MATCH(E84, DATABASE_FG!$C$5:$C$367, 0)), " ")</f>
        <v>42</v>
      </c>
      <c r="T84" s="36" t="s">
        <v>679</v>
      </c>
      <c r="U84" s="36"/>
      <c r="V84" s="36"/>
      <c r="W84" s="129"/>
      <c r="X84" s="36"/>
      <c r="Y84" s="36"/>
      <c r="Z84" s="36"/>
      <c r="AA84" s="125" t="s">
        <v>121</v>
      </c>
      <c r="AB84" s="172">
        <v>45755</v>
      </c>
      <c r="AC84" s="119">
        <v>25560</v>
      </c>
      <c r="AD84" s="36">
        <f t="shared" si="9"/>
        <v>5500494575</v>
      </c>
      <c r="AE84" s="117">
        <f t="shared" si="10"/>
        <v>1818509439</v>
      </c>
      <c r="AF84" s="36">
        <v>45</v>
      </c>
      <c r="AG84" s="120">
        <f t="shared" si="11"/>
        <v>33.299999999999997</v>
      </c>
      <c r="AH84" s="36"/>
      <c r="AI84" s="124"/>
      <c r="AJ84" s="122" t="s">
        <v>2818</v>
      </c>
      <c r="AK84" s="129" t="str">
        <f t="shared" ca="1" si="12"/>
        <v>On Time</v>
      </c>
      <c r="AL84" s="268" t="str">
        <f t="shared" si="13"/>
        <v>December</v>
      </c>
      <c r="AM84" s="133">
        <f>YEAR(Table1[[#This Row],[ETA
As requested
dd.mm.yyyy]])</f>
        <v>2025</v>
      </c>
    </row>
    <row r="85" spans="1:40" hidden="1">
      <c r="A85" s="123" t="s">
        <v>26</v>
      </c>
      <c r="B85" s="36" t="s">
        <v>2464</v>
      </c>
      <c r="C85" s="117">
        <v>5500494575</v>
      </c>
      <c r="D85" s="165">
        <v>45939</v>
      </c>
      <c r="E85" s="117">
        <v>1818509439</v>
      </c>
      <c r="F85" s="36" t="str">
        <f>IFERROR(VLOOKUP(Table1[[#This Row],[Part Number]],DATABASE_FG!$C$6:D10074,2,FALSE)," ")</f>
        <v>VALVE BODY         .</v>
      </c>
      <c r="G85" s="117" t="str">
        <f>IFERROR(_xlfn.XLOOKUP(Table1[[#This Row],[Part Number]],Table3[Part number],Table3[Drawing
 Revision]),"")</f>
        <v>AA</v>
      </c>
      <c r="H85" s="118" cm="1">
        <f t="array" ref="H85">IFERROR(INDEX(PDB!$C:$AT,MATCH(E85,PDB!$B:$B,0),MATCH(YEAR(K85),0+PDB!$C$1:$AT$1,0)),"")</f>
        <v>0</v>
      </c>
      <c r="I85" s="36">
        <v>180</v>
      </c>
      <c r="J85" s="125">
        <f>IFERROR(Table1[[#This Row],[Quantity]]*Table1[[#This Row],[Price/Unit
EUR]]," ")</f>
        <v>0</v>
      </c>
      <c r="K85" s="126">
        <v>46044</v>
      </c>
      <c r="L85" s="36">
        <f>WEEKNUM(Table1[[#This Row],[ETA
As requested
dd.mm.yyyy]])</f>
        <v>4</v>
      </c>
      <c r="M85" s="36">
        <f>YEAR(Table1[[#This Row],[ETA
As requested
dd.mm.yyyy]])</f>
        <v>2026</v>
      </c>
      <c r="N85" s="36">
        <f>IFERROR(INDEX(DATABASE_FG!$H$5:$H$367, MATCH(E85, DATABASE_FG!$C$5:$C$367, 0)), " ")</f>
        <v>0</v>
      </c>
      <c r="O85" s="129" t="str">
        <f>IF(E85&lt;&gt;"", _xlfn.XLOOKUP(E85, DATABASE_FG!C:C, DATABASE_FG!F:F), " ")</f>
        <v>Ventilkoerper</v>
      </c>
      <c r="P85" s="129">
        <f>IFERROR(INDEX(DATABASE_FG!$G$5:$G$367, MATCH(E85, DATABASE_FG!$C$5:$C$367, 0)), "Not Found")</f>
        <v>10</v>
      </c>
      <c r="Q85" s="36">
        <v>60</v>
      </c>
      <c r="R85" s="125" t="s">
        <v>678</v>
      </c>
      <c r="S85" s="123">
        <f>IFERROR(INDEX(DATABASE_FG!$L$5:$L$367, MATCH(E85, DATABASE_FG!$C$5:$C$367, 0)), " ")</f>
        <v>42</v>
      </c>
      <c r="T85" s="36" t="s">
        <v>679</v>
      </c>
      <c r="U85" s="36"/>
      <c r="V85" s="36"/>
      <c r="W85" s="129"/>
      <c r="X85" s="36"/>
      <c r="Y85" s="36"/>
      <c r="Z85" s="36"/>
      <c r="AA85" s="125" t="s">
        <v>3</v>
      </c>
      <c r="AB85" s="172"/>
      <c r="AC85" s="119"/>
      <c r="AD85" s="36" t="str">
        <f t="shared" si="9"/>
        <v/>
      </c>
      <c r="AE85" s="36" t="str">
        <f t="shared" si="10"/>
        <v/>
      </c>
      <c r="AF85" s="36"/>
      <c r="AG85" s="120">
        <f t="shared" si="11"/>
        <v>0</v>
      </c>
      <c r="AH85" s="36"/>
      <c r="AI85" s="124"/>
      <c r="AJ85" s="122"/>
      <c r="AK85" s="129" t="str">
        <f t="shared" ca="1" si="12"/>
        <v/>
      </c>
      <c r="AL85" s="268" t="str">
        <f t="shared" si="13"/>
        <v>January</v>
      </c>
      <c r="AM85" s="133">
        <f>YEAR(Table1[[#This Row],[ETA
As requested
dd.mm.yyyy]])</f>
        <v>2026</v>
      </c>
    </row>
    <row r="86" spans="1:40" hidden="1">
      <c r="A86" s="123" t="s">
        <v>26</v>
      </c>
      <c r="B86" s="36" t="s">
        <v>2464</v>
      </c>
      <c r="C86" s="117">
        <v>5500494575</v>
      </c>
      <c r="D86" s="165">
        <v>45939</v>
      </c>
      <c r="E86" s="117">
        <v>1818509439</v>
      </c>
      <c r="F86" s="36" t="str">
        <f>IFERROR(VLOOKUP(Table1[[#This Row],[Part Number]],DATABASE_FG!$C$6:D10075,2,FALSE)," ")</f>
        <v>VALVE BODY         .</v>
      </c>
      <c r="G86" s="117" t="str">
        <f>IFERROR(_xlfn.XLOOKUP(Table1[[#This Row],[Part Number]],Table3[Part number],Table3[Drawing
 Revision]),"")</f>
        <v>AA</v>
      </c>
      <c r="H86" s="118" cm="1">
        <f t="array" ref="H86">IFERROR(INDEX(PDB!$C:$AT,MATCH(E86,PDB!$B:$B,0),MATCH(YEAR(K86),0+PDB!$C$1:$AT$1,0)),"")</f>
        <v>0</v>
      </c>
      <c r="I86" s="36">
        <v>300</v>
      </c>
      <c r="J86" s="125">
        <f>IFERROR(Table1[[#This Row],[Quantity]]*Table1[[#This Row],[Price/Unit
EUR]]," ")</f>
        <v>0</v>
      </c>
      <c r="K86" s="126">
        <v>46121</v>
      </c>
      <c r="L86" s="36">
        <f>WEEKNUM(Table1[[#This Row],[ETA
As requested
dd.mm.yyyy]])</f>
        <v>15</v>
      </c>
      <c r="M86" s="36">
        <f>YEAR(Table1[[#This Row],[ETA
As requested
dd.mm.yyyy]])</f>
        <v>2026</v>
      </c>
      <c r="N86" s="36">
        <f>IFERROR(INDEX(DATABASE_FG!$H$5:$H$367, MATCH(E86, DATABASE_FG!$C$5:$C$367, 0)), " ")</f>
        <v>0</v>
      </c>
      <c r="O86" s="129" t="str">
        <f>IF(E86&lt;&gt;"", _xlfn.XLOOKUP(E86, DATABASE_FG!C:C, DATABASE_FG!F:F), " ")</f>
        <v>Ventilkoerper</v>
      </c>
      <c r="P86" s="129">
        <f>IFERROR(INDEX(DATABASE_FG!$G$5:$G$367, MATCH(E86, DATABASE_FG!$C$5:$C$367, 0)), "Not Found")</f>
        <v>10</v>
      </c>
      <c r="Q86" s="36">
        <v>61</v>
      </c>
      <c r="R86" s="125" t="s">
        <v>678</v>
      </c>
      <c r="S86" s="123">
        <f>IFERROR(INDEX(DATABASE_FG!$L$5:$L$367, MATCH(E86, DATABASE_FG!$C$5:$C$367, 0)), " ")</f>
        <v>42</v>
      </c>
      <c r="T86" s="36" t="s">
        <v>679</v>
      </c>
      <c r="U86" s="36"/>
      <c r="V86" s="36"/>
      <c r="W86" s="129"/>
      <c r="X86" s="36"/>
      <c r="Y86" s="36"/>
      <c r="Z86" s="36"/>
      <c r="AA86" s="125" t="s">
        <v>3</v>
      </c>
      <c r="AB86" s="172"/>
      <c r="AC86" s="119"/>
      <c r="AD86" s="36" t="str">
        <f t="shared" si="9"/>
        <v/>
      </c>
      <c r="AE86" s="36" t="str">
        <f t="shared" si="10"/>
        <v/>
      </c>
      <c r="AF86" s="36"/>
      <c r="AG86" s="120">
        <f t="shared" si="11"/>
        <v>0</v>
      </c>
      <c r="AH86" s="36"/>
      <c r="AI86" s="124"/>
      <c r="AJ86" s="122"/>
      <c r="AK86" s="129" t="str">
        <f t="shared" ca="1" si="12"/>
        <v/>
      </c>
      <c r="AL86" s="268" t="str">
        <f t="shared" si="13"/>
        <v>April</v>
      </c>
      <c r="AM86" s="133">
        <f>YEAR(Table1[[#This Row],[ETA
As requested
dd.mm.yyyy]])</f>
        <v>2026</v>
      </c>
    </row>
    <row r="87" spans="1:40" hidden="1">
      <c r="A87" s="123" t="s">
        <v>26</v>
      </c>
      <c r="B87" s="36" t="s">
        <v>2464</v>
      </c>
      <c r="C87" s="117">
        <v>5500494575</v>
      </c>
      <c r="D87" s="165">
        <v>45939</v>
      </c>
      <c r="E87" s="117">
        <v>1818509439</v>
      </c>
      <c r="F87" s="36" t="str">
        <f>IFERROR(VLOOKUP(Table1[[#This Row],[Part Number]],DATABASE_FG!$C$6:D10076,2,FALSE)," ")</f>
        <v>VALVE BODY         .</v>
      </c>
      <c r="G87" s="117" t="str">
        <f>IFERROR(_xlfn.XLOOKUP(Table1[[#This Row],[Part Number]],Table3[Part number],Table3[Drawing
 Revision]),"")</f>
        <v>AA</v>
      </c>
      <c r="H87" s="118" cm="1">
        <f t="array" ref="H87">IFERROR(INDEX(PDB!$C:$AT,MATCH(E87,PDB!$B:$B,0),MATCH(YEAR(K87),0+PDB!$C$1:$AT$1,0)),"")</f>
        <v>0</v>
      </c>
      <c r="I87" s="36">
        <v>300</v>
      </c>
      <c r="J87" s="125">
        <f>IFERROR(Table1[[#This Row],[Quantity]]*Table1[[#This Row],[Price/Unit
EUR]]," ")</f>
        <v>0</v>
      </c>
      <c r="K87" s="126">
        <v>46202</v>
      </c>
      <c r="L87" s="36">
        <f>WEEKNUM(Table1[[#This Row],[ETA
As requested
dd.mm.yyyy]])</f>
        <v>27</v>
      </c>
      <c r="M87" s="36">
        <f>YEAR(Table1[[#This Row],[ETA
As requested
dd.mm.yyyy]])</f>
        <v>2026</v>
      </c>
      <c r="N87" s="36">
        <f>IFERROR(INDEX(DATABASE_FG!$H$5:$H$367, MATCH(E87, DATABASE_FG!$C$5:$C$367, 0)), " ")</f>
        <v>0</v>
      </c>
      <c r="O87" s="129" t="str">
        <f>IF(E87&lt;&gt;"", _xlfn.XLOOKUP(E87, DATABASE_FG!C:C, DATABASE_FG!F:F), " ")</f>
        <v>Ventilkoerper</v>
      </c>
      <c r="P87" s="129">
        <f>IFERROR(INDEX(DATABASE_FG!$G$5:$G$367, MATCH(E87, DATABASE_FG!$C$5:$C$367, 0)), "Not Found")</f>
        <v>10</v>
      </c>
      <c r="Q87" s="36">
        <v>61</v>
      </c>
      <c r="R87" s="125" t="s">
        <v>678</v>
      </c>
      <c r="S87" s="123">
        <f>IFERROR(INDEX(DATABASE_FG!$L$5:$L$367, MATCH(E87, DATABASE_FG!$C$5:$C$367, 0)), " ")</f>
        <v>42</v>
      </c>
      <c r="T87" s="36" t="s">
        <v>679</v>
      </c>
      <c r="U87" s="36"/>
      <c r="V87" s="36"/>
      <c r="W87" s="129"/>
      <c r="X87" s="36"/>
      <c r="Y87" s="36"/>
      <c r="Z87" s="36"/>
      <c r="AA87" s="125" t="s">
        <v>3</v>
      </c>
      <c r="AB87" s="173"/>
      <c r="AC87" s="119"/>
      <c r="AD87" s="36" t="str">
        <f t="shared" si="9"/>
        <v/>
      </c>
      <c r="AE87" s="36" t="str">
        <f t="shared" si="10"/>
        <v/>
      </c>
      <c r="AF87" s="36"/>
      <c r="AG87" s="120">
        <f t="shared" si="11"/>
        <v>0</v>
      </c>
      <c r="AH87" s="36"/>
      <c r="AI87" s="124"/>
      <c r="AJ87" s="122"/>
      <c r="AK87" s="129" t="str">
        <f t="shared" ca="1" si="12"/>
        <v/>
      </c>
      <c r="AL87" s="268" t="str">
        <f t="shared" si="13"/>
        <v>June</v>
      </c>
      <c r="AM87" s="133">
        <f>YEAR(Table1[[#This Row],[ETA
As requested
dd.mm.yyyy]])</f>
        <v>2026</v>
      </c>
    </row>
    <row r="88" spans="1:40" hidden="1">
      <c r="A88" s="123" t="s">
        <v>26</v>
      </c>
      <c r="B88" s="36" t="s">
        <v>2464</v>
      </c>
      <c r="C88" s="117">
        <v>5500494575</v>
      </c>
      <c r="D88" s="165">
        <v>45939</v>
      </c>
      <c r="E88" s="117">
        <v>1818509439</v>
      </c>
      <c r="F88" s="36" t="str">
        <f>IFERROR(VLOOKUP(Table1[[#This Row],[Part Number]],DATABASE_FG!$C$6:D10077,2,FALSE)," ")</f>
        <v>VALVE BODY         .</v>
      </c>
      <c r="G88" s="117" t="str">
        <f>IFERROR(_xlfn.XLOOKUP(Table1[[#This Row],[Part Number]],Table3[Part number],Table3[Drawing
 Revision]),"")</f>
        <v>AA</v>
      </c>
      <c r="H88" s="118" cm="1">
        <f t="array" ref="H88">IFERROR(INDEX(PDB!$C:$AT,MATCH(E88,PDB!$B:$B,0),MATCH(YEAR(K88),0+PDB!$C$1:$AT$1,0)),"")</f>
        <v>0</v>
      </c>
      <c r="I88" s="36">
        <v>291</v>
      </c>
      <c r="J88" s="125">
        <f>IFERROR(Table1[[#This Row],[Quantity]]*Table1[[#This Row],[Price/Unit
EUR]]," ")</f>
        <v>0</v>
      </c>
      <c r="K88" s="126">
        <v>46364</v>
      </c>
      <c r="L88" s="36">
        <f>WEEKNUM(Table1[[#This Row],[ETA
As requested
dd.mm.yyyy]])</f>
        <v>50</v>
      </c>
      <c r="M88" s="36">
        <f>YEAR(Table1[[#This Row],[ETA
As requested
dd.mm.yyyy]])</f>
        <v>2026</v>
      </c>
      <c r="N88" s="36">
        <f>IFERROR(INDEX(DATABASE_FG!$H$5:$H$367, MATCH(E88, DATABASE_FG!$C$5:$C$367, 0)), " ")</f>
        <v>0</v>
      </c>
      <c r="O88" s="129" t="str">
        <f>IF(E88&lt;&gt;"", _xlfn.XLOOKUP(E88, DATABASE_FG!C:C, DATABASE_FG!F:F), " ")</f>
        <v>Ventilkoerper</v>
      </c>
      <c r="P88" s="129">
        <f>IFERROR(INDEX(DATABASE_FG!$G$5:$G$367, MATCH(E88, DATABASE_FG!$C$5:$C$367, 0)), "Not Found")</f>
        <v>10</v>
      </c>
      <c r="Q88" s="36">
        <v>61</v>
      </c>
      <c r="R88" s="125" t="s">
        <v>678</v>
      </c>
      <c r="S88" s="123">
        <f>IFERROR(INDEX(DATABASE_FG!$L$5:$L$367, MATCH(E88, DATABASE_FG!$C$5:$C$367, 0)), " ")</f>
        <v>42</v>
      </c>
      <c r="T88" s="36" t="s">
        <v>679</v>
      </c>
      <c r="U88" s="36"/>
      <c r="V88" s="36"/>
      <c r="W88" s="129"/>
      <c r="X88" s="36"/>
      <c r="Y88" s="36"/>
      <c r="Z88" s="36"/>
      <c r="AA88" s="125" t="s">
        <v>3</v>
      </c>
      <c r="AB88" s="173"/>
      <c r="AC88" s="119"/>
      <c r="AD88" s="36" t="str">
        <f t="shared" si="9"/>
        <v/>
      </c>
      <c r="AE88" s="36" t="str">
        <f t="shared" si="10"/>
        <v/>
      </c>
      <c r="AF88" s="36"/>
      <c r="AG88" s="120">
        <f t="shared" si="11"/>
        <v>0</v>
      </c>
      <c r="AH88" s="36"/>
      <c r="AI88" s="124"/>
      <c r="AJ88" s="122"/>
      <c r="AK88" s="129" t="str">
        <f t="shared" ca="1" si="12"/>
        <v/>
      </c>
      <c r="AL88" s="268" t="str">
        <f t="shared" si="13"/>
        <v>December</v>
      </c>
      <c r="AM88" s="133">
        <f>YEAR(Table1[[#This Row],[ETA
As requested
dd.mm.yyyy]])</f>
        <v>2026</v>
      </c>
    </row>
    <row r="89" spans="1:40" hidden="1">
      <c r="A89" s="123" t="s">
        <v>26</v>
      </c>
      <c r="B89" s="36" t="s">
        <v>1170</v>
      </c>
      <c r="C89" s="117">
        <v>4508771389</v>
      </c>
      <c r="D89" s="165"/>
      <c r="E89" s="117">
        <v>1818509497</v>
      </c>
      <c r="F89" s="36" t="str">
        <f>IFERROR(VLOOKUP(Table1[[#This Row],[Part Number]],DATABASE_FG!$C$6:D10078,2,FALSE)," ")</f>
        <v>VALVE BODY</v>
      </c>
      <c r="G89" s="117">
        <f>IFERROR(_xlfn.XLOOKUP(Table1[[#This Row],[Part Number]],Table3[Part number],Table3[Drawing
 Revision]),"")</f>
        <v>1</v>
      </c>
      <c r="H89" s="118" cm="1">
        <f t="array" ref="H89">IFERROR(INDEX(PDB!$C:$AT,MATCH(E89,PDB!$B:$B,0),MATCH(YEAR(K89),0+PDB!$C$1:$AT$1,0)),"")</f>
        <v>5.19</v>
      </c>
      <c r="I89" s="36">
        <v>5</v>
      </c>
      <c r="J89" s="125">
        <f>IFERROR(Table1[[#This Row],[Quantity]]*Table1[[#This Row],[Price/Unit
EUR]]," ")</f>
        <v>25.950000000000003</v>
      </c>
      <c r="K89" s="126">
        <v>45541</v>
      </c>
      <c r="L89" s="36">
        <f>WEEKNUM(Table1[[#This Row],[ETA
As requested
dd.mm.yyyy]])</f>
        <v>36</v>
      </c>
      <c r="M89" s="36">
        <f>YEAR(Table1[[#This Row],[ETA
As requested
dd.mm.yyyy]])</f>
        <v>2024</v>
      </c>
      <c r="N89" s="36">
        <f>IFERROR(INDEX(DATABASE_FG!$H$5:$H$367, MATCH(E89, DATABASE_FG!$C$5:$C$367, 0)), " ")</f>
        <v>0</v>
      </c>
      <c r="O89" s="129" t="str">
        <f>IF(E89&lt;&gt;"", _xlfn.XLOOKUP(E89, DATABASE_FG!C:C, DATABASE_FG!F:F), " ")</f>
        <v>Ventilkoerper</v>
      </c>
      <c r="P89" s="129">
        <f>IFERROR(INDEX(DATABASE_FG!$G$5:$G$367, MATCH(E89, DATABASE_FG!$C$5:$C$367, 0)), "Not Found")</f>
        <v>240</v>
      </c>
      <c r="Q89" s="36"/>
      <c r="R89" s="125" t="s">
        <v>680</v>
      </c>
      <c r="S89" s="123">
        <f>Table1[[#This Row],[Quantity]]/48</f>
        <v>0.10416666666666667</v>
      </c>
      <c r="T89" s="36"/>
      <c r="U89" s="36"/>
      <c r="V89" s="36"/>
      <c r="W89" s="129"/>
      <c r="X89" s="36"/>
      <c r="Y89" s="36"/>
      <c r="Z89" s="36"/>
      <c r="AA89" s="125" t="s">
        <v>121</v>
      </c>
      <c r="AB89" s="173">
        <v>45876</v>
      </c>
      <c r="AC89" s="119"/>
      <c r="AD89" s="36" t="str">
        <f t="shared" si="9"/>
        <v/>
      </c>
      <c r="AE89" s="36" t="str">
        <f t="shared" si="10"/>
        <v/>
      </c>
      <c r="AF89" s="36">
        <v>0</v>
      </c>
      <c r="AG89" s="120">
        <f t="shared" si="11"/>
        <v>0</v>
      </c>
      <c r="AH89" s="36"/>
      <c r="AI89" s="124"/>
      <c r="AJ89" s="122"/>
      <c r="AK89" s="129" t="str">
        <f t="shared" ca="1" si="12"/>
        <v>Late</v>
      </c>
      <c r="AL89" s="268" t="str">
        <f t="shared" si="13"/>
        <v>September</v>
      </c>
      <c r="AM89" s="133">
        <f>YEAR(Table1[[#This Row],[ETA
As requested
dd.mm.yyyy]])</f>
        <v>2024</v>
      </c>
      <c r="AN89" s="191"/>
    </row>
    <row r="90" spans="1:40" hidden="1">
      <c r="A90" s="123" t="s">
        <v>26</v>
      </c>
      <c r="B90" s="36" t="s">
        <v>1170</v>
      </c>
      <c r="C90" s="117">
        <v>4508771389</v>
      </c>
      <c r="D90" s="165"/>
      <c r="E90" s="117">
        <v>1818509497</v>
      </c>
      <c r="F90" s="36" t="str">
        <f>IFERROR(VLOOKUP(Table1[[#This Row],[Part Number]],DATABASE_FG!$C$6:D10079,2,FALSE)," ")</f>
        <v>VALVE BODY</v>
      </c>
      <c r="G90" s="117">
        <f>IFERROR(_xlfn.XLOOKUP(Table1[[#This Row],[Part Number]],Table3[Part number],Table3[Drawing
 Revision]),"")</f>
        <v>1</v>
      </c>
      <c r="H90" s="118">
        <v>300</v>
      </c>
      <c r="I90" s="36">
        <v>5</v>
      </c>
      <c r="J90" s="125">
        <f>IFERROR(Table1[[#This Row],[Quantity]]*Table1[[#This Row],[Price/Unit
EUR]]," ")</f>
        <v>1500</v>
      </c>
      <c r="K90" s="126">
        <v>45541</v>
      </c>
      <c r="L90" s="36">
        <f>WEEKNUM(Table1[[#This Row],[ETA
As requested
dd.mm.yyyy]])</f>
        <v>36</v>
      </c>
      <c r="M90" s="36">
        <f>YEAR(Table1[[#This Row],[ETA
As requested
dd.mm.yyyy]])</f>
        <v>2024</v>
      </c>
      <c r="N90" s="36">
        <f>IFERROR(INDEX(DATABASE_FG!$H$5:$H$367, MATCH(E90, DATABASE_FG!$C$5:$C$367, 0)), " ")</f>
        <v>0</v>
      </c>
      <c r="O90" s="129" t="str">
        <f>IF(E90&lt;&gt;"", _xlfn.XLOOKUP(E90, DATABASE_FG!C:C, DATABASE_FG!F:F), " ")</f>
        <v>Ventilkoerper</v>
      </c>
      <c r="P90" s="129">
        <f>IFERROR(INDEX(DATABASE_FG!$G$5:$G$367, MATCH(E90, DATABASE_FG!$C$5:$C$367, 0)), "Not Found")</f>
        <v>240</v>
      </c>
      <c r="Q90" s="36"/>
      <c r="R90" s="125" t="s">
        <v>680</v>
      </c>
      <c r="S90" s="123">
        <f>IFERROR(INDEX(DATABASE_FG!$L$5:$L$367, MATCH(E90, DATABASE_FG!$C$5:$C$367, 0)), " ")</f>
        <v>56</v>
      </c>
      <c r="T90" s="36" t="s">
        <v>677</v>
      </c>
      <c r="U90" s="36"/>
      <c r="V90" s="36"/>
      <c r="W90" s="129"/>
      <c r="X90" s="36" t="s">
        <v>680</v>
      </c>
      <c r="Y90" s="36"/>
      <c r="Z90" s="36"/>
      <c r="AA90" s="125" t="s">
        <v>121</v>
      </c>
      <c r="AB90" s="173">
        <v>45946</v>
      </c>
      <c r="AC90" s="119">
        <v>251192</v>
      </c>
      <c r="AD90" s="36">
        <f t="shared" si="9"/>
        <v>4508771389</v>
      </c>
      <c r="AE90" s="36">
        <f t="shared" si="10"/>
        <v>1818509497</v>
      </c>
      <c r="AF90" s="36">
        <v>5</v>
      </c>
      <c r="AG90" s="120">
        <f t="shared" si="11"/>
        <v>1500</v>
      </c>
      <c r="AH90" s="36"/>
      <c r="AI90" s="124"/>
      <c r="AJ90" s="122" t="s">
        <v>4391</v>
      </c>
      <c r="AK90" s="129" t="str">
        <f t="shared" ca="1" si="12"/>
        <v>Late</v>
      </c>
      <c r="AL90" s="268" t="str">
        <f t="shared" si="13"/>
        <v>September</v>
      </c>
      <c r="AM90" s="133">
        <f>YEAR(Table1[[#This Row],[ETA
As requested
dd.mm.yyyy]])</f>
        <v>2024</v>
      </c>
    </row>
    <row r="91" spans="1:40" hidden="1">
      <c r="A91" s="123" t="s">
        <v>26</v>
      </c>
      <c r="B91" s="36" t="s">
        <v>1170</v>
      </c>
      <c r="C91" s="117">
        <v>4508756412</v>
      </c>
      <c r="D91" s="165"/>
      <c r="E91" s="117">
        <v>1818509503</v>
      </c>
      <c r="F91" s="36" t="str">
        <f>IFERROR(VLOOKUP(Table1[[#This Row],[Part Number]],DATABASE_FG!$C$6:D10080,2,FALSE)," ")</f>
        <v>VALVE BODY</v>
      </c>
      <c r="G91" s="117">
        <f>IFERROR(_xlfn.XLOOKUP(Table1[[#This Row],[Part Number]],Table3[Part number],Table3[Drawing
 Revision]),"")</f>
        <v>1</v>
      </c>
      <c r="H91" s="118" cm="1">
        <f t="array" ref="H91">IFERROR(INDEX(PDB!$C:$AT,MATCH(E91,PDB!$B:$B,0),MATCH(YEAR(K91),0+PDB!$C$1:$AT$1,0)),"")</f>
        <v>12.65</v>
      </c>
      <c r="I91" s="36">
        <v>5</v>
      </c>
      <c r="J91" s="125">
        <f>IFERROR(Table1[[#This Row],[Quantity]]*Table1[[#This Row],[Price/Unit
EUR]]," ")</f>
        <v>63.25</v>
      </c>
      <c r="K91" s="126">
        <v>45541</v>
      </c>
      <c r="L91" s="36">
        <f>WEEKNUM(Table1[[#This Row],[ETA
As requested
dd.mm.yyyy]])</f>
        <v>36</v>
      </c>
      <c r="M91" s="36">
        <f>YEAR(Table1[[#This Row],[ETA
As requested
dd.mm.yyyy]])</f>
        <v>2024</v>
      </c>
      <c r="N91" s="36">
        <f>IFERROR(INDEX(DATABASE_FG!$H$5:$H$367, MATCH(E91, DATABASE_FG!$C$5:$C$367, 0)), " ")</f>
        <v>0</v>
      </c>
      <c r="O91" s="129" t="str">
        <f>IF(E91&lt;&gt;"", _xlfn.XLOOKUP(E91, DATABASE_FG!C:C, DATABASE_FG!F:F), " ")</f>
        <v>Ventilkoerper</v>
      </c>
      <c r="P91" s="129">
        <f>IFERROR(INDEX(DATABASE_FG!$G$5:$G$367, MATCH(E91, DATABASE_FG!$C$5:$C$367, 0)), "Not Found")</f>
        <v>100</v>
      </c>
      <c r="Q91" s="36" t="s">
        <v>2349</v>
      </c>
      <c r="R91" s="125" t="s">
        <v>680</v>
      </c>
      <c r="S91" s="123">
        <f>IFERROR(INDEX(DATABASE_FG!$L$5:$L$367, MATCH(E91, DATABASE_FG!$C$5:$C$367, 0)), " ")</f>
        <v>56</v>
      </c>
      <c r="T91" s="36" t="s">
        <v>677</v>
      </c>
      <c r="U91" s="36"/>
      <c r="V91" s="36"/>
      <c r="W91" s="129"/>
      <c r="X91" s="36"/>
      <c r="Y91" s="36"/>
      <c r="Z91" s="36">
        <v>240904</v>
      </c>
      <c r="AA91" s="125" t="s">
        <v>121</v>
      </c>
      <c r="AB91" s="173">
        <v>45558</v>
      </c>
      <c r="AC91" s="119">
        <v>202401159</v>
      </c>
      <c r="AD91" s="36">
        <f t="shared" si="9"/>
        <v>4508756412</v>
      </c>
      <c r="AE91" s="36">
        <f t="shared" si="10"/>
        <v>1818509503</v>
      </c>
      <c r="AF91" s="36">
        <v>5</v>
      </c>
      <c r="AG91" s="120">
        <f t="shared" si="11"/>
        <v>63.25</v>
      </c>
      <c r="AH91" s="36"/>
      <c r="AI91" s="124"/>
      <c r="AJ91" s="122" t="s">
        <v>2350</v>
      </c>
      <c r="AK91" s="129" t="str">
        <f t="shared" ca="1" si="12"/>
        <v>Late</v>
      </c>
      <c r="AL91" s="268" t="str">
        <f t="shared" si="13"/>
        <v>September</v>
      </c>
      <c r="AM91" s="133">
        <f>YEAR(Table1[[#This Row],[ETA
As requested
dd.mm.yyyy]])</f>
        <v>2024</v>
      </c>
    </row>
    <row r="92" spans="1:40" hidden="1">
      <c r="A92" s="123" t="s">
        <v>26</v>
      </c>
      <c r="B92" s="36" t="s">
        <v>1170</v>
      </c>
      <c r="C92" s="117">
        <v>4508771613</v>
      </c>
      <c r="D92" s="165">
        <v>45553</v>
      </c>
      <c r="E92" s="117">
        <v>1818509508</v>
      </c>
      <c r="F92" s="36" t="str">
        <f>IFERROR(VLOOKUP(Table1[[#This Row],[Part Number]],DATABASE_FG!$C$6:D10081,2,FALSE)," ")</f>
        <v>VALVE BODY</v>
      </c>
      <c r="G92" s="117">
        <f>IFERROR(_xlfn.XLOOKUP(Table1[[#This Row],[Part Number]],Table3[Part number],Table3[Drawing
 Revision]),"")</f>
        <v>1</v>
      </c>
      <c r="H92" s="118" cm="1">
        <f t="array" ref="H92">IFERROR(INDEX(PDB!$C:$AT,MATCH(E92,PDB!$B:$B,0),MATCH(YEAR(K92),0+PDB!$C$1:$AT$1,0)),"")</f>
        <v>9.32</v>
      </c>
      <c r="I92" s="36">
        <v>5</v>
      </c>
      <c r="J92" s="125">
        <f>IFERROR(Table1[[#This Row],[Quantity]]*Table1[[#This Row],[Price/Unit
EUR]]," ")</f>
        <v>46.6</v>
      </c>
      <c r="K92" s="126">
        <v>45541</v>
      </c>
      <c r="L92" s="36">
        <f>WEEKNUM(Table1[[#This Row],[ETA
As requested
dd.mm.yyyy]])</f>
        <v>36</v>
      </c>
      <c r="M92" s="36">
        <f>YEAR(Table1[[#This Row],[ETA
As requested
dd.mm.yyyy]])</f>
        <v>2024</v>
      </c>
      <c r="N92" s="36">
        <f>IFERROR(INDEX(DATABASE_FG!$H$5:$H$367, MATCH(E92, DATABASE_FG!$C$5:$C$367, 0)), " ")</f>
        <v>0</v>
      </c>
      <c r="O92" s="129" t="str">
        <f>IF(E92&lt;&gt;"", _xlfn.XLOOKUP(E92, DATABASE_FG!C:C, DATABASE_FG!F:F), " ")</f>
        <v>Ventilkoerper</v>
      </c>
      <c r="P92" s="129">
        <f>IFERROR(INDEX(DATABASE_FG!$G$5:$G$367, MATCH(E92, DATABASE_FG!$C$5:$C$367, 0)), "Not Found")</f>
        <v>105</v>
      </c>
      <c r="Q92" s="36">
        <v>60</v>
      </c>
      <c r="R92" s="125" t="s">
        <v>680</v>
      </c>
      <c r="S92" s="123">
        <f>IFERROR(INDEX(DATABASE_FG!$L$5:$L$367, MATCH(E92, DATABASE_FG!$C$5:$C$367, 0)), " ")</f>
        <v>56</v>
      </c>
      <c r="T92" s="36" t="s">
        <v>677</v>
      </c>
      <c r="U92" s="36"/>
      <c r="V92" s="36"/>
      <c r="W92" s="129"/>
      <c r="X92" s="36"/>
      <c r="Y92" s="36"/>
      <c r="Z92" s="36"/>
      <c r="AA92" s="125" t="s">
        <v>121</v>
      </c>
      <c r="AB92" s="173">
        <v>45478</v>
      </c>
      <c r="AC92" s="119">
        <v>2024806</v>
      </c>
      <c r="AD92" s="36">
        <f t="shared" si="9"/>
        <v>4508771613</v>
      </c>
      <c r="AE92" s="36">
        <f t="shared" si="10"/>
        <v>1818509508</v>
      </c>
      <c r="AF92" s="36">
        <v>5</v>
      </c>
      <c r="AG92" s="120">
        <f t="shared" si="11"/>
        <v>46.6</v>
      </c>
      <c r="AH92" s="36"/>
      <c r="AI92" s="124" t="s">
        <v>1201</v>
      </c>
      <c r="AJ92" s="122" t="s">
        <v>2333</v>
      </c>
      <c r="AK92" s="129" t="str">
        <f t="shared" ca="1" si="12"/>
        <v>On Time</v>
      </c>
      <c r="AL92" s="268" t="str">
        <f t="shared" si="13"/>
        <v>September</v>
      </c>
      <c r="AM92" s="133">
        <f>YEAR(Table1[[#This Row],[ETA
As requested
dd.mm.yyyy]])</f>
        <v>2024</v>
      </c>
    </row>
    <row r="93" spans="1:40" hidden="1">
      <c r="A93" s="123" t="s">
        <v>26</v>
      </c>
      <c r="B93" s="36" t="s">
        <v>1170</v>
      </c>
      <c r="C93" s="117">
        <v>4508771613</v>
      </c>
      <c r="D93" s="165">
        <v>45553</v>
      </c>
      <c r="E93" s="117">
        <v>1818509508</v>
      </c>
      <c r="F93" s="36" t="str">
        <f>IFERROR(VLOOKUP(Table1[[#This Row],[Part Number]],DATABASE_FG!$C$6:D10082,2,FALSE)," ")</f>
        <v>VALVE BODY</v>
      </c>
      <c r="G93" s="117">
        <f>IFERROR(_xlfn.XLOOKUP(Table1[[#This Row],[Part Number]],Table3[Part number],Table3[Drawing
 Revision]),"")</f>
        <v>1</v>
      </c>
      <c r="H93" s="118" cm="1">
        <f t="array" ref="H93">IFERROR(INDEX(PDB!$C:$AT,MATCH(E93,PDB!$B:$B,0),MATCH(YEAR(K93),0+PDB!$C$1:$AT$1,0)),"")</f>
        <v>9.32</v>
      </c>
      <c r="I93" s="36">
        <v>5</v>
      </c>
      <c r="J93" s="125">
        <f>IFERROR(Table1[[#This Row],[Quantity]]*Table1[[#This Row],[Price/Unit
EUR]]," ")</f>
        <v>46.6</v>
      </c>
      <c r="K93" s="126">
        <v>45542</v>
      </c>
      <c r="L93" s="36">
        <f>WEEKNUM(Table1[[#This Row],[ETA
As requested
dd.mm.yyyy]])</f>
        <v>36</v>
      </c>
      <c r="M93" s="36">
        <f>YEAR(Table1[[#This Row],[ETA
As requested
dd.mm.yyyy]])</f>
        <v>2024</v>
      </c>
      <c r="N93" s="36">
        <f>IFERROR(INDEX(DATABASE_FG!$H$5:$H$367, MATCH(E93, DATABASE_FG!$C$5:$C$367, 0)), " ")</f>
        <v>0</v>
      </c>
      <c r="O93" s="129" t="str">
        <f>IF(E93&lt;&gt;"", _xlfn.XLOOKUP(E93, DATABASE_FG!C:C, DATABASE_FG!F:F), " ")</f>
        <v>Ventilkoerper</v>
      </c>
      <c r="P93" s="129">
        <f>IFERROR(INDEX(DATABASE_FG!$G$5:$G$367, MATCH(E93, DATABASE_FG!$C$5:$C$367, 0)), "Not Found")</f>
        <v>105</v>
      </c>
      <c r="Q93" s="36"/>
      <c r="R93" s="125"/>
      <c r="S93" s="123">
        <f>Table1[[#This Row],[Quantity]]/48</f>
        <v>0.10416666666666667</v>
      </c>
      <c r="T93" s="36"/>
      <c r="U93" s="36"/>
      <c r="V93" s="36"/>
      <c r="W93" s="129"/>
      <c r="X93" s="36"/>
      <c r="Y93" s="36"/>
      <c r="Z93" s="36"/>
      <c r="AA93" s="125" t="s">
        <v>121</v>
      </c>
      <c r="AB93" s="173">
        <v>45496</v>
      </c>
      <c r="AC93" s="119">
        <v>2024899</v>
      </c>
      <c r="AD93" s="36">
        <f t="shared" si="9"/>
        <v>4508771613</v>
      </c>
      <c r="AE93" s="36">
        <f t="shared" si="10"/>
        <v>1818509508</v>
      </c>
      <c r="AF93" s="36">
        <v>5</v>
      </c>
      <c r="AG93" s="120">
        <f t="shared" si="11"/>
        <v>46.6</v>
      </c>
      <c r="AH93" s="36" t="s">
        <v>2361</v>
      </c>
      <c r="AI93" s="124" t="s">
        <v>2362</v>
      </c>
      <c r="AJ93" s="122" t="s">
        <v>2363</v>
      </c>
      <c r="AK93" s="129" t="str">
        <f t="shared" ca="1" si="12"/>
        <v>On Time</v>
      </c>
      <c r="AL93" s="268" t="str">
        <f t="shared" si="13"/>
        <v>September</v>
      </c>
      <c r="AM93" s="133">
        <f>YEAR(Table1[[#This Row],[ETA
As requested
dd.mm.yyyy]])</f>
        <v>2024</v>
      </c>
    </row>
    <row r="94" spans="1:40" hidden="1">
      <c r="A94" s="123" t="s">
        <v>26</v>
      </c>
      <c r="B94" s="36" t="s">
        <v>2464</v>
      </c>
      <c r="C94" s="117">
        <v>5500549962</v>
      </c>
      <c r="D94" s="165">
        <v>45553</v>
      </c>
      <c r="E94" s="117">
        <v>1818509508</v>
      </c>
      <c r="F94" s="36" t="str">
        <f>IFERROR(VLOOKUP(Table1[[#This Row],[Part Number]],DATABASE_FG!$C$6:D10083,2,FALSE)," ")</f>
        <v>VALVE BODY</v>
      </c>
      <c r="G94" s="117">
        <f>IFERROR(_xlfn.XLOOKUP(Table1[[#This Row],[Part Number]],Table3[Part number],Table3[Drawing
 Revision]),"")</f>
        <v>1</v>
      </c>
      <c r="H94" s="118" cm="1">
        <f t="array" ref="H94">IFERROR(INDEX(PDB!$C:$AT,MATCH(E94,PDB!$B:$B,0),MATCH(YEAR(K94),0+PDB!$C$1:$AT$1,0)),"")</f>
        <v>0</v>
      </c>
      <c r="I94" s="36">
        <v>105</v>
      </c>
      <c r="J94" s="125">
        <f>IFERROR(Table1[[#This Row],[Quantity]]*Table1[[#This Row],[Price/Unit
EUR]]," ")</f>
        <v>0</v>
      </c>
      <c r="K94" s="126">
        <v>46057</v>
      </c>
      <c r="L94" s="36">
        <f>WEEKNUM(Table1[[#This Row],[ETA
As requested
dd.mm.yyyy]])</f>
        <v>6</v>
      </c>
      <c r="M94" s="36">
        <f>YEAR(Table1[[#This Row],[ETA
As requested
dd.mm.yyyy]])</f>
        <v>2026</v>
      </c>
      <c r="N94" s="36">
        <f>IFERROR(INDEX(DATABASE_FG!$H$5:$H$367, MATCH(E94, DATABASE_FG!$C$5:$C$367, 0)), " ")</f>
        <v>0</v>
      </c>
      <c r="O94" s="129" t="str">
        <f>IF(E94&lt;&gt;"", _xlfn.XLOOKUP(E94, DATABASE_FG!C:C, DATABASE_FG!F:F), " ")</f>
        <v>Ventilkoerper</v>
      </c>
      <c r="P94" s="129">
        <f>IFERROR(INDEX(DATABASE_FG!$G$5:$G$367, MATCH(E94, DATABASE_FG!$C$5:$C$367, 0)), "Not Found")</f>
        <v>105</v>
      </c>
      <c r="Q94" s="36"/>
      <c r="R94" s="125"/>
      <c r="S94" s="123">
        <f>IFERROR(INDEX(DATABASE_FG!$L$5:$L$367, MATCH(E94, DATABASE_FG!$C$5:$C$367, 0)), " ")</f>
        <v>56</v>
      </c>
      <c r="T94" s="36"/>
      <c r="U94" s="36"/>
      <c r="V94" s="36"/>
      <c r="W94" s="129"/>
      <c r="X94" s="36"/>
      <c r="Y94" s="36"/>
      <c r="Z94" s="36"/>
      <c r="AA94" s="125" t="s">
        <v>3</v>
      </c>
      <c r="AB94" s="173"/>
      <c r="AC94" s="119"/>
      <c r="AD94" s="36" t="str">
        <f t="shared" si="9"/>
        <v/>
      </c>
      <c r="AE94" s="36" t="str">
        <f t="shared" si="10"/>
        <v/>
      </c>
      <c r="AF94" s="36"/>
      <c r="AG94" s="120">
        <f t="shared" si="11"/>
        <v>0</v>
      </c>
      <c r="AH94" s="36"/>
      <c r="AI94" s="124"/>
      <c r="AJ94" s="122"/>
      <c r="AK94" s="129" t="str">
        <f t="shared" ca="1" si="12"/>
        <v/>
      </c>
      <c r="AL94" s="268" t="str">
        <f t="shared" si="13"/>
        <v>February</v>
      </c>
      <c r="AM94" s="133">
        <f>YEAR(Table1[[#This Row],[ETA
As requested
dd.mm.yyyy]])</f>
        <v>2026</v>
      </c>
    </row>
    <row r="95" spans="1:40" hidden="1">
      <c r="A95" s="123" t="s">
        <v>26</v>
      </c>
      <c r="B95" s="36" t="s">
        <v>2464</v>
      </c>
      <c r="C95" s="117">
        <v>5500549962</v>
      </c>
      <c r="D95" s="165">
        <v>45553</v>
      </c>
      <c r="E95" s="117">
        <v>1818509508</v>
      </c>
      <c r="F95" s="36" t="str">
        <f>IFERROR(VLOOKUP(Table1[[#This Row],[Part Number]],DATABASE_FG!$C$6:D10084,2,FALSE)," ")</f>
        <v>VALVE BODY</v>
      </c>
      <c r="G95" s="117">
        <f>IFERROR(_xlfn.XLOOKUP(Table1[[#This Row],[Part Number]],Table3[Part number],Table3[Drawing
 Revision]),"")</f>
        <v>1</v>
      </c>
      <c r="H95" s="118" cm="1">
        <f t="array" ref="H95">IFERROR(INDEX(PDB!$C:$AT,MATCH(E95,PDB!$B:$B,0),MATCH(YEAR(K95),0+PDB!$C$1:$AT$1,0)),"")</f>
        <v>0</v>
      </c>
      <c r="I95" s="36">
        <v>105</v>
      </c>
      <c r="J95" s="125">
        <f>IFERROR(Table1[[#This Row],[Quantity]]*Table1[[#This Row],[Price/Unit
EUR]]," ")</f>
        <v>0</v>
      </c>
      <c r="K95" s="126">
        <v>46148</v>
      </c>
      <c r="L95" s="36">
        <f>WEEKNUM(Table1[[#This Row],[ETA
As requested
dd.mm.yyyy]])</f>
        <v>19</v>
      </c>
      <c r="M95" s="36">
        <f>YEAR(Table1[[#This Row],[ETA
As requested
dd.mm.yyyy]])</f>
        <v>2026</v>
      </c>
      <c r="N95" s="36">
        <f>IFERROR(INDEX(DATABASE_FG!$H$5:$H$367, MATCH(E95, DATABASE_FG!$C$5:$C$367, 0)), " ")</f>
        <v>0</v>
      </c>
      <c r="O95" s="129" t="str">
        <f>IF(E95&lt;&gt;"", _xlfn.XLOOKUP(E95, DATABASE_FG!C:C, DATABASE_FG!F:F), " ")</f>
        <v>Ventilkoerper</v>
      </c>
      <c r="P95" s="129">
        <f>IFERROR(INDEX(DATABASE_FG!$G$5:$G$367, MATCH(E95, DATABASE_FG!$C$5:$C$367, 0)), "Not Found")</f>
        <v>105</v>
      </c>
      <c r="Q95" s="36"/>
      <c r="R95" s="125"/>
      <c r="S95" s="123">
        <f>IFERROR(INDEX(DATABASE_FG!$L$5:$L$367, MATCH(E95, DATABASE_FG!$C$5:$C$367, 0)), " ")</f>
        <v>56</v>
      </c>
      <c r="T95" s="36"/>
      <c r="U95" s="36"/>
      <c r="V95" s="36"/>
      <c r="W95" s="129"/>
      <c r="X95" s="36"/>
      <c r="Y95" s="36"/>
      <c r="Z95" s="36"/>
      <c r="AA95" s="125" t="s">
        <v>3</v>
      </c>
      <c r="AB95" s="173"/>
      <c r="AC95" s="119"/>
      <c r="AD95" s="36" t="str">
        <f t="shared" si="9"/>
        <v/>
      </c>
      <c r="AE95" s="36" t="str">
        <f t="shared" si="10"/>
        <v/>
      </c>
      <c r="AF95" s="36"/>
      <c r="AG95" s="120">
        <f t="shared" si="11"/>
        <v>0</v>
      </c>
      <c r="AH95" s="36"/>
      <c r="AI95" s="124"/>
      <c r="AJ95" s="122"/>
      <c r="AK95" s="129" t="str">
        <f t="shared" ca="1" si="12"/>
        <v/>
      </c>
      <c r="AL95" s="268" t="str">
        <f t="shared" si="13"/>
        <v>May</v>
      </c>
      <c r="AM95" s="133">
        <f>YEAR(Table1[[#This Row],[ETA
As requested
dd.mm.yyyy]])</f>
        <v>2026</v>
      </c>
    </row>
    <row r="96" spans="1:40" hidden="1">
      <c r="A96" s="123" t="s">
        <v>26</v>
      </c>
      <c r="B96" s="36" t="s">
        <v>2464</v>
      </c>
      <c r="C96" s="117">
        <v>5500549962</v>
      </c>
      <c r="D96" s="165">
        <v>45553</v>
      </c>
      <c r="E96" s="117">
        <v>1818509508</v>
      </c>
      <c r="F96" s="36" t="str">
        <f>IFERROR(VLOOKUP(Table1[[#This Row],[Part Number]],DATABASE_FG!$C$6:D10085,2,FALSE)," ")</f>
        <v>VALVE BODY</v>
      </c>
      <c r="G96" s="117">
        <f>IFERROR(_xlfn.XLOOKUP(Table1[[#This Row],[Part Number]],Table3[Part number],Table3[Drawing
 Revision]),"")</f>
        <v>1</v>
      </c>
      <c r="H96" s="118" cm="1">
        <f t="array" ref="H96">IFERROR(INDEX(PDB!$C:$AT,MATCH(E96,PDB!$B:$B,0),MATCH(YEAR(K96),0+PDB!$C$1:$AT$1,0)),"")</f>
        <v>0</v>
      </c>
      <c r="I96" s="36">
        <v>105</v>
      </c>
      <c r="J96" s="125">
        <f>IFERROR(Table1[[#This Row],[Quantity]]*Table1[[#This Row],[Price/Unit
EUR]]," ")</f>
        <v>0</v>
      </c>
      <c r="K96" s="126">
        <v>46225</v>
      </c>
      <c r="L96" s="36">
        <f>WEEKNUM(Table1[[#This Row],[ETA
As requested
dd.mm.yyyy]])</f>
        <v>30</v>
      </c>
      <c r="M96" s="36">
        <f>YEAR(Table1[[#This Row],[ETA
As requested
dd.mm.yyyy]])</f>
        <v>2026</v>
      </c>
      <c r="N96" s="36">
        <f>IFERROR(INDEX(DATABASE_FG!$H$5:$H$367, MATCH(E96, DATABASE_FG!$C$5:$C$367, 0)), " ")</f>
        <v>0</v>
      </c>
      <c r="O96" s="129" t="str">
        <f>IF(E96&lt;&gt;"", _xlfn.XLOOKUP(E96, DATABASE_FG!C:C, DATABASE_FG!F:F), " ")</f>
        <v>Ventilkoerper</v>
      </c>
      <c r="P96" s="129">
        <f>IFERROR(INDEX(DATABASE_FG!$G$5:$G$367, MATCH(E96, DATABASE_FG!$C$5:$C$367, 0)), "Not Found")</f>
        <v>105</v>
      </c>
      <c r="Q96" s="36"/>
      <c r="R96" s="125"/>
      <c r="S96" s="123">
        <f>IFERROR(INDEX(DATABASE_FG!$L$5:$L$367, MATCH(E96, DATABASE_FG!$C$5:$C$367, 0)), " ")</f>
        <v>56</v>
      </c>
      <c r="T96" s="36"/>
      <c r="U96" s="36"/>
      <c r="V96" s="36"/>
      <c r="W96" s="129"/>
      <c r="X96" s="36"/>
      <c r="Y96" s="36"/>
      <c r="Z96" s="36"/>
      <c r="AA96" s="125" t="s">
        <v>3</v>
      </c>
      <c r="AB96" s="173"/>
      <c r="AC96" s="119"/>
      <c r="AD96" s="36" t="str">
        <f t="shared" si="9"/>
        <v/>
      </c>
      <c r="AE96" s="36" t="str">
        <f t="shared" si="10"/>
        <v/>
      </c>
      <c r="AF96" s="36"/>
      <c r="AG96" s="120">
        <f t="shared" si="11"/>
        <v>0</v>
      </c>
      <c r="AH96" s="36"/>
      <c r="AI96" s="124"/>
      <c r="AJ96" s="122"/>
      <c r="AK96" s="129" t="str">
        <f t="shared" ca="1" si="12"/>
        <v/>
      </c>
      <c r="AL96" s="268" t="str">
        <f t="shared" si="13"/>
        <v>July</v>
      </c>
      <c r="AM96" s="133">
        <f>YEAR(Table1[[#This Row],[ETA
As requested
dd.mm.yyyy]])</f>
        <v>2026</v>
      </c>
    </row>
    <row r="97" spans="1:40" hidden="1">
      <c r="A97" s="123" t="s">
        <v>26</v>
      </c>
      <c r="B97" s="36" t="s">
        <v>2464</v>
      </c>
      <c r="C97" s="117">
        <v>5500549962</v>
      </c>
      <c r="D97" s="165">
        <v>45553</v>
      </c>
      <c r="E97" s="117">
        <v>1818509508</v>
      </c>
      <c r="F97" s="36" t="str">
        <f>IFERROR(VLOOKUP(Table1[[#This Row],[Part Number]],DATABASE_FG!$C$6:D10086,2,FALSE)," ")</f>
        <v>VALVE BODY</v>
      </c>
      <c r="G97" s="117">
        <f>IFERROR(_xlfn.XLOOKUP(Table1[[#This Row],[Part Number]],Table3[Part number],Table3[Drawing
 Revision]),"")</f>
        <v>1</v>
      </c>
      <c r="H97" s="118" cm="1">
        <f t="array" ref="H97">IFERROR(INDEX(PDB!$C:$AT,MATCH(E97,PDB!$B:$B,0),MATCH(YEAR(K97),0+PDB!$C$1:$AT$1,0)),"")</f>
        <v>0</v>
      </c>
      <c r="I97" s="36">
        <v>105</v>
      </c>
      <c r="J97" s="125">
        <f>IFERROR(Table1[[#This Row],[Quantity]]*Table1[[#This Row],[Price/Unit
EUR]]," ")</f>
        <v>0</v>
      </c>
      <c r="K97" s="126">
        <v>46267</v>
      </c>
      <c r="L97" s="36">
        <f>WEEKNUM(Table1[[#This Row],[ETA
As requested
dd.mm.yyyy]])</f>
        <v>36</v>
      </c>
      <c r="M97" s="36">
        <f>YEAR(Table1[[#This Row],[ETA
As requested
dd.mm.yyyy]])</f>
        <v>2026</v>
      </c>
      <c r="N97" s="36">
        <f>IFERROR(INDEX(DATABASE_FG!$H$5:$H$367, MATCH(E97, DATABASE_FG!$C$5:$C$367, 0)), " ")</f>
        <v>0</v>
      </c>
      <c r="O97" s="129" t="str">
        <f>IF(E97&lt;&gt;"", _xlfn.XLOOKUP(E97, DATABASE_FG!C:C, DATABASE_FG!F:F), " ")</f>
        <v>Ventilkoerper</v>
      </c>
      <c r="P97" s="129">
        <f>IFERROR(INDEX(DATABASE_FG!$G$5:$G$367, MATCH(E97, DATABASE_FG!$C$5:$C$367, 0)), "Not Found")</f>
        <v>105</v>
      </c>
      <c r="Q97" s="36"/>
      <c r="R97" s="125"/>
      <c r="S97" s="123">
        <f>Table1[[#This Row],[Quantity]]/48</f>
        <v>2.1875</v>
      </c>
      <c r="T97" s="36"/>
      <c r="U97" s="36"/>
      <c r="V97" s="36"/>
      <c r="W97" s="129"/>
      <c r="X97" s="36"/>
      <c r="Y97" s="36"/>
      <c r="Z97" s="36"/>
      <c r="AA97" s="125" t="s">
        <v>3</v>
      </c>
      <c r="AB97" s="172"/>
      <c r="AC97" s="119"/>
      <c r="AD97" s="36" t="str">
        <f t="shared" si="9"/>
        <v/>
      </c>
      <c r="AE97" s="36" t="str">
        <f t="shared" si="10"/>
        <v/>
      </c>
      <c r="AF97" s="36"/>
      <c r="AG97" s="120">
        <f t="shared" si="11"/>
        <v>0</v>
      </c>
      <c r="AH97" s="36"/>
      <c r="AI97" s="124"/>
      <c r="AJ97" s="122"/>
      <c r="AK97" s="129" t="str">
        <f t="shared" ca="1" si="12"/>
        <v/>
      </c>
      <c r="AL97" s="268" t="str">
        <f t="shared" si="13"/>
        <v>September</v>
      </c>
      <c r="AM97" s="133">
        <f>YEAR(Table1[[#This Row],[ETA
As requested
dd.mm.yyyy]])</f>
        <v>2026</v>
      </c>
      <c r="AN97" s="191"/>
    </row>
    <row r="98" spans="1:40" hidden="1">
      <c r="A98" s="123" t="s">
        <v>26</v>
      </c>
      <c r="B98" s="36" t="s">
        <v>2464</v>
      </c>
      <c r="C98" s="117">
        <v>5500549962</v>
      </c>
      <c r="D98" s="165">
        <v>45553</v>
      </c>
      <c r="E98" s="117">
        <v>1818509508</v>
      </c>
      <c r="F98" s="36" t="str">
        <f>IFERROR(VLOOKUP(Table1[[#This Row],[Part Number]],DATABASE_FG!$C$6:D10087,2,FALSE)," ")</f>
        <v>VALVE BODY</v>
      </c>
      <c r="G98" s="117">
        <f>IFERROR(_xlfn.XLOOKUP(Table1[[#This Row],[Part Number]],Table3[Part number],Table3[Drawing
 Revision]),"")</f>
        <v>1</v>
      </c>
      <c r="H98" s="118" cm="1">
        <f t="array" ref="H98">IFERROR(INDEX(PDB!$C:$AT,MATCH(E98,PDB!$B:$B,0),MATCH(YEAR(K98),0+PDB!$C$1:$AT$1,0)),"")</f>
        <v>0</v>
      </c>
      <c r="I98" s="36">
        <v>105</v>
      </c>
      <c r="J98" s="125">
        <f>IFERROR(Table1[[#This Row],[Quantity]]*Table1[[#This Row],[Price/Unit
EUR]]," ")</f>
        <v>0</v>
      </c>
      <c r="K98" s="126">
        <v>46358</v>
      </c>
      <c r="L98" s="36">
        <f>WEEKNUM(Table1[[#This Row],[ETA
As requested
dd.mm.yyyy]])</f>
        <v>49</v>
      </c>
      <c r="M98" s="36">
        <f>YEAR(Table1[[#This Row],[ETA
As requested
dd.mm.yyyy]])</f>
        <v>2026</v>
      </c>
      <c r="N98" s="36">
        <f>IFERROR(INDEX(DATABASE_FG!$H$5:$H$367, MATCH(E98, DATABASE_FG!$C$5:$C$367, 0)), " ")</f>
        <v>0</v>
      </c>
      <c r="O98" s="129" t="str">
        <f>IF(E98&lt;&gt;"", _xlfn.XLOOKUP(E98, DATABASE_FG!C:C, DATABASE_FG!F:F), " ")</f>
        <v>Ventilkoerper</v>
      </c>
      <c r="P98" s="129">
        <f>IFERROR(INDEX(DATABASE_FG!$G$5:$G$367, MATCH(E98, DATABASE_FG!$C$5:$C$367, 0)), "Not Found")</f>
        <v>105</v>
      </c>
      <c r="Q98" s="36"/>
      <c r="R98" s="125"/>
      <c r="S98" s="123">
        <f>IFERROR(INDEX(DATABASE_FG!$L$5:$L$367, MATCH(E98, DATABASE_FG!$C$5:$C$367, 0)), " ")</f>
        <v>56</v>
      </c>
      <c r="T98" s="36"/>
      <c r="U98" s="36"/>
      <c r="V98" s="36"/>
      <c r="W98" s="129"/>
      <c r="X98" s="36"/>
      <c r="Y98" s="36"/>
      <c r="Z98" s="36"/>
      <c r="AA98" s="125" t="s">
        <v>3</v>
      </c>
      <c r="AB98" s="172"/>
      <c r="AC98" s="119"/>
      <c r="AD98" s="36" t="str">
        <f t="shared" si="9"/>
        <v/>
      </c>
      <c r="AE98" s="36" t="str">
        <f t="shared" si="10"/>
        <v/>
      </c>
      <c r="AF98" s="36"/>
      <c r="AG98" s="120">
        <f t="shared" si="11"/>
        <v>0</v>
      </c>
      <c r="AH98" s="36"/>
      <c r="AI98" s="124"/>
      <c r="AJ98" s="122"/>
      <c r="AK98" s="129" t="str">
        <f t="shared" ca="1" si="12"/>
        <v/>
      </c>
      <c r="AL98" s="268" t="str">
        <f t="shared" si="13"/>
        <v>December</v>
      </c>
      <c r="AM98" s="133">
        <f>YEAR(Table1[[#This Row],[ETA
As requested
dd.mm.yyyy]])</f>
        <v>2026</v>
      </c>
    </row>
    <row r="99" spans="1:40" ht="15.75" hidden="1">
      <c r="A99" s="123" t="s">
        <v>26</v>
      </c>
      <c r="B99" s="36" t="s">
        <v>1170</v>
      </c>
      <c r="C99" s="117">
        <v>4508769328</v>
      </c>
      <c r="D99" s="165"/>
      <c r="E99" s="117">
        <v>1818509512</v>
      </c>
      <c r="F99" s="36" t="str">
        <f>IFERROR(VLOOKUP(Table1[[#This Row],[Part Number]],DATABASE_FG!$C$6:D10088,2,FALSE)," ")</f>
        <v>VALVE BODY</v>
      </c>
      <c r="G99" s="117" t="str">
        <f>IFERROR(_xlfn.XLOOKUP(Table1[[#This Row],[Part Number]],Table3[Part number],Table3[Drawing
 Revision]),"")</f>
        <v>AB</v>
      </c>
      <c r="H99" s="118" cm="1">
        <f t="array" ref="H99">IFERROR(INDEX(PDB!$C:$AT,MATCH(E99,PDB!$B:$B,0),MATCH(YEAR(K99),0+PDB!$C$1:$AT$1,0)),"")</f>
        <v>3.26</v>
      </c>
      <c r="I99" s="36">
        <v>5</v>
      </c>
      <c r="J99" s="125">
        <f>IFERROR(Table1[[#This Row],[Quantity]]*Table1[[#This Row],[Price/Unit
EUR]]," ")</f>
        <v>16.299999999999997</v>
      </c>
      <c r="K99" s="126">
        <v>45541</v>
      </c>
      <c r="L99" s="36">
        <f>WEEKNUM(Table1[[#This Row],[ETA
As requested
dd.mm.yyyy]])</f>
        <v>36</v>
      </c>
      <c r="M99" s="36">
        <f>YEAR(Table1[[#This Row],[ETA
As requested
dd.mm.yyyy]])</f>
        <v>2024</v>
      </c>
      <c r="N99" s="36">
        <f>IFERROR(INDEX(DATABASE_FG!$H$5:$H$367, MATCH(E99, DATABASE_FG!$C$5:$C$367, 0)), " ")</f>
        <v>0</v>
      </c>
      <c r="O99" s="129" t="str">
        <f>IF(E99&lt;&gt;"", _xlfn.XLOOKUP(E99, DATABASE_FG!C:C, DATABASE_FG!F:F), " ")</f>
        <v>Ventilkoerper</v>
      </c>
      <c r="P99" s="129">
        <f>IFERROR(INDEX(DATABASE_FG!$G$5:$G$367, MATCH(E99, DATABASE_FG!$C$5:$C$367, 0)), "Not Found")</f>
        <v>300</v>
      </c>
      <c r="Q99" s="36">
        <v>60</v>
      </c>
      <c r="R99" s="125" t="s">
        <v>680</v>
      </c>
      <c r="S99" s="123">
        <f>IFERROR(INDEX(DATABASE_FG!$L$5:$L$367, MATCH(E99, DATABASE_FG!$C$5:$C$367, 0)), " ")</f>
        <v>56</v>
      </c>
      <c r="T99" s="36" t="s">
        <v>677</v>
      </c>
      <c r="U99" s="36"/>
      <c r="V99" s="36"/>
      <c r="W99" s="129"/>
      <c r="X99" s="36"/>
      <c r="Y99" s="36"/>
      <c r="Z99" s="36" t="s">
        <v>2343</v>
      </c>
      <c r="AA99" s="125" t="s">
        <v>121</v>
      </c>
      <c r="AB99" s="173">
        <v>45541</v>
      </c>
      <c r="AC99" s="119">
        <v>202401114</v>
      </c>
      <c r="AD99" s="36">
        <f t="shared" si="9"/>
        <v>4508769328</v>
      </c>
      <c r="AE99" s="36">
        <f t="shared" si="10"/>
        <v>1818509512</v>
      </c>
      <c r="AF99" s="36">
        <v>5</v>
      </c>
      <c r="AG99" s="120">
        <f t="shared" si="11"/>
        <v>16.299999999999997</v>
      </c>
      <c r="AH99" s="36"/>
      <c r="AI99" s="124" t="s">
        <v>310</v>
      </c>
      <c r="AJ99" s="122" t="s">
        <v>2344</v>
      </c>
      <c r="AK99" s="129" t="str">
        <f t="shared" ca="1" si="12"/>
        <v>On Time</v>
      </c>
      <c r="AL99" s="268" t="str">
        <f t="shared" si="13"/>
        <v>September</v>
      </c>
      <c r="AM99" s="133">
        <f>YEAR(Table1[[#This Row],[ETA
As requested
dd.mm.yyyy]])</f>
        <v>2024</v>
      </c>
    </row>
    <row r="100" spans="1:40" hidden="1">
      <c r="A100" s="123" t="s">
        <v>26</v>
      </c>
      <c r="B100" s="36" t="s">
        <v>1170</v>
      </c>
      <c r="C100" s="117">
        <v>4508769328</v>
      </c>
      <c r="D100" s="165"/>
      <c r="E100" s="117">
        <v>1818509516</v>
      </c>
      <c r="F100" s="36" t="str">
        <f>IFERROR(VLOOKUP(Table1[[#This Row],[Part Number]],DATABASE_FG!$C$6:D10089,2,FALSE)," ")</f>
        <v>VALVE BODY</v>
      </c>
      <c r="G100" s="117">
        <f>IFERROR(_xlfn.XLOOKUP(Table1[[#This Row],[Part Number]],Table3[Part number],Table3[Drawing
 Revision]),"")</f>
        <v>1</v>
      </c>
      <c r="H100" s="118" cm="1">
        <f t="array" ref="H100">IFERROR(INDEX(PDB!$C:$AT,MATCH(E100,PDB!$B:$B,0),MATCH(YEAR(K100),0+PDB!$C$1:$AT$1,0)),"")</f>
        <v>3.29</v>
      </c>
      <c r="I100" s="36">
        <v>5</v>
      </c>
      <c r="J100" s="125">
        <v>16.45</v>
      </c>
      <c r="K100" s="126">
        <v>45541</v>
      </c>
      <c r="L100" s="36">
        <v>36</v>
      </c>
      <c r="M100" s="36">
        <v>2024</v>
      </c>
      <c r="N100" s="36">
        <v>0</v>
      </c>
      <c r="O100" s="129" t="s">
        <v>2355</v>
      </c>
      <c r="P100" s="129">
        <v>300</v>
      </c>
      <c r="Q100" s="36"/>
      <c r="R100" s="125" t="s">
        <v>680</v>
      </c>
      <c r="S100" s="123" t="s">
        <v>121</v>
      </c>
      <c r="T100" s="36">
        <v>45770</v>
      </c>
      <c r="U100" s="36">
        <v>25658</v>
      </c>
      <c r="V100" s="36">
        <v>4508769328</v>
      </c>
      <c r="W100" s="129">
        <v>1818509516</v>
      </c>
      <c r="X100" s="36">
        <v>5</v>
      </c>
      <c r="Y100" s="36">
        <v>16.45</v>
      </c>
      <c r="Z100" s="36"/>
      <c r="AA100" s="125" t="s">
        <v>121</v>
      </c>
      <c r="AB100" s="172">
        <v>45930</v>
      </c>
      <c r="AC100" s="119">
        <v>251172</v>
      </c>
      <c r="AD100" s="36">
        <f t="shared" si="9"/>
        <v>4508769328</v>
      </c>
      <c r="AE100" s="36">
        <f t="shared" si="10"/>
        <v>1818509516</v>
      </c>
      <c r="AF100" s="36">
        <v>5</v>
      </c>
      <c r="AG100" s="120">
        <f t="shared" si="11"/>
        <v>16.45</v>
      </c>
      <c r="AH100" s="36"/>
      <c r="AI100" s="124" t="s">
        <v>310</v>
      </c>
      <c r="AJ100" s="122" t="s">
        <v>2356</v>
      </c>
      <c r="AK100" s="129" t="str">
        <f t="shared" ca="1" si="12"/>
        <v>Late</v>
      </c>
      <c r="AL100" s="268" t="str">
        <f t="shared" si="13"/>
        <v>September</v>
      </c>
      <c r="AM100" s="133">
        <f>YEAR(Table1[[#This Row],[ETA
As requested
dd.mm.yyyy]])</f>
        <v>2024</v>
      </c>
      <c r="AN100" s="191"/>
    </row>
    <row r="101" spans="1:40" hidden="1">
      <c r="A101" s="123" t="s">
        <v>26</v>
      </c>
      <c r="B101" s="36" t="s">
        <v>1170</v>
      </c>
      <c r="C101" s="117">
        <v>4508769328</v>
      </c>
      <c r="D101" s="165"/>
      <c r="E101" s="117">
        <v>1818509516</v>
      </c>
      <c r="F101" s="36" t="str">
        <f>IFERROR(VLOOKUP(Table1[[#This Row],[Part Number]],DATABASE_FG!$C$6:D10090,2,FALSE)," ")</f>
        <v>VALVE BODY</v>
      </c>
      <c r="G101" s="117">
        <f>IFERROR(_xlfn.XLOOKUP(Table1[[#This Row],[Part Number]],Table3[Part number],Table3[Drawing
 Revision]),"")</f>
        <v>1</v>
      </c>
      <c r="H101" s="118" cm="1">
        <f t="array" ref="H101">IFERROR(INDEX(PDB!$C:$AT,MATCH(E101,PDB!$B:$B,0),MATCH(YEAR(K101),0+PDB!$C$1:$AT$1,0)),"")</f>
        <v>3.29</v>
      </c>
      <c r="I101" s="36">
        <v>5</v>
      </c>
      <c r="J101" s="125">
        <f>IFERROR(Table1[[#This Row],[Quantity]]*Table1[[#This Row],[Price/Unit
EUR]]," ")</f>
        <v>16.45</v>
      </c>
      <c r="K101" s="126">
        <v>45541</v>
      </c>
      <c r="L101" s="36">
        <f>WEEKNUM(Table1[[#This Row],[ETA
As requested
dd.mm.yyyy]])</f>
        <v>36</v>
      </c>
      <c r="M101" s="36">
        <f>YEAR(Table1[[#This Row],[ETA
As requested
dd.mm.yyyy]])</f>
        <v>2024</v>
      </c>
      <c r="N101" s="36">
        <f>IFERROR(INDEX(DATABASE_FG!$H$5:$H$367, MATCH(E101, DATABASE_FG!$C$5:$C$367, 0)), " ")</f>
        <v>0</v>
      </c>
      <c r="O101" s="129" t="str">
        <f>IF(E101&lt;&gt;"", _xlfn.XLOOKUP(E101, DATABASE_FG!C:C, DATABASE_FG!F:F), " ")</f>
        <v>Ventilkoerper</v>
      </c>
      <c r="P101" s="129">
        <f>IFERROR(INDEX(DATABASE_FG!$G$5:$G$367, MATCH(E101, DATABASE_FG!$C$5:$C$367, 0)), "Not Found")</f>
        <v>300</v>
      </c>
      <c r="Q101" s="36"/>
      <c r="R101" s="125" t="s">
        <v>680</v>
      </c>
      <c r="S101" s="123">
        <f>IFERROR(INDEX(DATABASE_FG!$L$5:$L$367, MATCH(E101, DATABASE_FG!$C$5:$C$367, 0)), " ")</f>
        <v>56</v>
      </c>
      <c r="T101" s="36" t="s">
        <v>677</v>
      </c>
      <c r="U101" s="36"/>
      <c r="V101" s="36"/>
      <c r="W101" s="129"/>
      <c r="X101" s="36" t="s">
        <v>680</v>
      </c>
      <c r="Y101" s="36" t="s">
        <v>677</v>
      </c>
      <c r="Z101" s="36"/>
      <c r="AA101" s="125" t="s">
        <v>121</v>
      </c>
      <c r="AB101" s="173">
        <v>45770</v>
      </c>
      <c r="AC101" s="119">
        <v>25658</v>
      </c>
      <c r="AD101" s="36">
        <f t="shared" si="9"/>
        <v>4508769328</v>
      </c>
      <c r="AE101" s="36">
        <f t="shared" si="10"/>
        <v>1818509516</v>
      </c>
      <c r="AF101" s="36">
        <v>5</v>
      </c>
      <c r="AG101" s="120">
        <f t="shared" si="11"/>
        <v>16.45</v>
      </c>
      <c r="AH101" s="36"/>
      <c r="AI101" s="124" t="s">
        <v>310</v>
      </c>
      <c r="AJ101" s="122" t="s">
        <v>2357</v>
      </c>
      <c r="AK101" s="129" t="str">
        <f t="shared" ca="1" si="12"/>
        <v>Late</v>
      </c>
      <c r="AL101" s="268" t="str">
        <f t="shared" si="13"/>
        <v>September</v>
      </c>
      <c r="AM101" s="133">
        <f>YEAR(Table1[[#This Row],[ETA
As requested
dd.mm.yyyy]])</f>
        <v>2024</v>
      </c>
    </row>
    <row r="102" spans="1:40" hidden="1">
      <c r="A102" s="123" t="s">
        <v>26</v>
      </c>
      <c r="B102" s="36" t="s">
        <v>1170</v>
      </c>
      <c r="C102" s="117">
        <v>4508771389</v>
      </c>
      <c r="D102" s="165"/>
      <c r="E102" s="117">
        <v>1818509519</v>
      </c>
      <c r="F102" s="36" t="str">
        <f>IFERROR(VLOOKUP(Table1[[#This Row],[Part Number]],DATABASE_FG!$C$6:D10091,2,FALSE)," ")</f>
        <v>VALVE BODY</v>
      </c>
      <c r="G102" s="117">
        <f>IFERROR(_xlfn.XLOOKUP(Table1[[#This Row],[Part Number]],Table3[Part number],Table3[Drawing
 Revision]),"")</f>
        <v>1</v>
      </c>
      <c r="H102" s="118" cm="1">
        <f t="array" ref="H102">IFERROR(INDEX(PDB!$C:$AT,MATCH(E102,PDB!$B:$B,0),MATCH(YEAR(K102),0+PDB!$C$1:$AT$1,0)),"")</f>
        <v>4.58</v>
      </c>
      <c r="I102" s="36">
        <v>5</v>
      </c>
      <c r="J102" s="125">
        <f>IFERROR(Table1[[#This Row],[Quantity]]*Table1[[#This Row],[Price/Unit
EUR]]," ")</f>
        <v>22.9</v>
      </c>
      <c r="K102" s="126">
        <v>45541</v>
      </c>
      <c r="L102" s="36">
        <f>WEEKNUM(Table1[[#This Row],[ETA
As requested
dd.mm.yyyy]])</f>
        <v>36</v>
      </c>
      <c r="M102" s="36">
        <f>YEAR(Table1[[#This Row],[ETA
As requested
dd.mm.yyyy]])</f>
        <v>2024</v>
      </c>
      <c r="N102" s="36">
        <f>IFERROR(INDEX(DATABASE_FG!$H$5:$H$367, MATCH(E102, DATABASE_FG!$C$5:$C$367, 0)), " ")</f>
        <v>0</v>
      </c>
      <c r="O102" s="129" t="str">
        <f>IF(E102&lt;&gt;"", _xlfn.XLOOKUP(E102, DATABASE_FG!C:C, DATABASE_FG!F:F), " ")</f>
        <v>Ventilkoerper</v>
      </c>
      <c r="P102" s="129">
        <f>IFERROR(INDEX(DATABASE_FG!$G$5:$G$367, MATCH(E102, DATABASE_FG!$C$5:$C$367, 0)), "Not Found")</f>
        <v>216</v>
      </c>
      <c r="Q102" s="36">
        <v>60</v>
      </c>
      <c r="R102" s="125" t="s">
        <v>680</v>
      </c>
      <c r="S102" s="123">
        <f>IFERROR(INDEX(DATABASE_FG!$L$5:$L$367, MATCH(E102, DATABASE_FG!$C$5:$C$367, 0)), " ")</f>
        <v>56</v>
      </c>
      <c r="T102" s="36" t="s">
        <v>677</v>
      </c>
      <c r="U102" s="36"/>
      <c r="V102" s="36"/>
      <c r="W102" s="129"/>
      <c r="X102" s="36"/>
      <c r="Y102" s="36"/>
      <c r="Z102" s="36" t="s">
        <v>2337</v>
      </c>
      <c r="AA102" s="125" t="s">
        <v>121</v>
      </c>
      <c r="AB102" s="173">
        <v>45527</v>
      </c>
      <c r="AC102" s="119">
        <v>202401056</v>
      </c>
      <c r="AD102" s="36">
        <f t="shared" si="9"/>
        <v>4508771389</v>
      </c>
      <c r="AE102" s="36">
        <f t="shared" si="10"/>
        <v>1818509519</v>
      </c>
      <c r="AF102" s="36">
        <v>5</v>
      </c>
      <c r="AG102" s="120">
        <f t="shared" si="11"/>
        <v>22.9</v>
      </c>
      <c r="AH102" s="36"/>
      <c r="AI102" s="124" t="s">
        <v>310</v>
      </c>
      <c r="AJ102" s="122" t="s">
        <v>2338</v>
      </c>
      <c r="AK102" s="129" t="str">
        <f t="shared" ca="1" si="12"/>
        <v>On Time</v>
      </c>
      <c r="AL102" s="268" t="str">
        <f t="shared" si="13"/>
        <v>September</v>
      </c>
      <c r="AM102" s="133">
        <f>YEAR(Table1[[#This Row],[ETA
As requested
dd.mm.yyyy]])</f>
        <v>2024</v>
      </c>
    </row>
    <row r="103" spans="1:40" hidden="1">
      <c r="A103" s="123" t="s">
        <v>26</v>
      </c>
      <c r="B103" s="36" t="s">
        <v>1170</v>
      </c>
      <c r="C103" s="117">
        <v>4508771613</v>
      </c>
      <c r="D103" s="165"/>
      <c r="E103" s="117">
        <v>1818509554</v>
      </c>
      <c r="F103" s="36" t="str">
        <f>IFERROR(VLOOKUP(Table1[[#This Row],[Part Number]],DATABASE_FG!$C$6:D10092,2,FALSE)," ")</f>
        <v>VALVE BODY</v>
      </c>
      <c r="G103" s="117">
        <f>IFERROR(_xlfn.XLOOKUP(Table1[[#This Row],[Part Number]],Table3[Part number],Table3[Drawing
 Revision]),"")</f>
        <v>1</v>
      </c>
      <c r="H103" s="118" cm="1">
        <f t="array" ref="H103">IFERROR(INDEX(PDB!$C:$AT,MATCH(E103,PDB!$B:$B,0),MATCH(YEAR(K103),0+PDB!$C$1:$AT$1,0)),"")</f>
        <v>23.43</v>
      </c>
      <c r="I103" s="36">
        <v>10</v>
      </c>
      <c r="J103" s="125">
        <f>IFERROR(Table1[[#This Row],[Quantity]]*Table1[[#This Row],[Price/Unit
EUR]]," ")</f>
        <v>234.3</v>
      </c>
      <c r="K103" s="126">
        <v>45541</v>
      </c>
      <c r="L103" s="36">
        <f>WEEKNUM(Table1[[#This Row],[ETA
As requested
dd.mm.yyyy]])</f>
        <v>36</v>
      </c>
      <c r="M103" s="36">
        <f>YEAR(Table1[[#This Row],[ETA
As requested
dd.mm.yyyy]])</f>
        <v>2024</v>
      </c>
      <c r="N103" s="36">
        <f>IFERROR(INDEX(DATABASE_FG!$H$5:$H$367, MATCH(E103, DATABASE_FG!$C$5:$C$367, 0)), " ")</f>
        <v>0</v>
      </c>
      <c r="O103" s="129" t="str">
        <f>IF(E103&lt;&gt;"", _xlfn.XLOOKUP(E103, DATABASE_FG!C:C, DATABASE_FG!F:F), " ")</f>
        <v>Ventilkoerper</v>
      </c>
      <c r="P103" s="129">
        <f>IFERROR(INDEX(DATABASE_FG!$G$5:$G$367, MATCH(E103, DATABASE_FG!$C$5:$C$367, 0)), "Not Found")</f>
        <v>30</v>
      </c>
      <c r="Q103" s="36"/>
      <c r="R103" s="125" t="s">
        <v>680</v>
      </c>
      <c r="S103" s="123">
        <f>IFERROR(INDEX(DATABASE_FG!$L$5:$L$367, MATCH(E103, DATABASE_FG!$C$5:$C$367, 0)), " ")</f>
        <v>56</v>
      </c>
      <c r="T103" s="36" t="s">
        <v>677</v>
      </c>
      <c r="U103" s="36"/>
      <c r="V103" s="36"/>
      <c r="W103" s="129"/>
      <c r="X103" s="36"/>
      <c r="Y103" s="36"/>
      <c r="Z103" s="36" t="s">
        <v>2327</v>
      </c>
      <c r="AA103" s="125" t="s">
        <v>121</v>
      </c>
      <c r="AB103" s="173">
        <v>45442</v>
      </c>
      <c r="AC103" s="119">
        <v>2024576</v>
      </c>
      <c r="AD103" s="36">
        <f t="shared" si="9"/>
        <v>4508771613</v>
      </c>
      <c r="AE103" s="36">
        <f t="shared" si="10"/>
        <v>1818509554</v>
      </c>
      <c r="AF103" s="36">
        <v>5</v>
      </c>
      <c r="AG103" s="120">
        <f t="shared" si="11"/>
        <v>117.15</v>
      </c>
      <c r="AH103" s="36"/>
      <c r="AI103" s="124" t="s">
        <v>2328</v>
      </c>
      <c r="AJ103" s="122" t="s">
        <v>2329</v>
      </c>
      <c r="AK103" s="129" t="str">
        <f t="shared" ca="1" si="12"/>
        <v>On Time</v>
      </c>
      <c r="AL103" s="268" t="str">
        <f t="shared" si="13"/>
        <v>September</v>
      </c>
      <c r="AM103" s="133">
        <f>YEAR(Table1[[#This Row],[ETA
As requested
dd.mm.yyyy]])</f>
        <v>2024</v>
      </c>
    </row>
    <row r="104" spans="1:40" hidden="1">
      <c r="A104" s="123" t="s">
        <v>26</v>
      </c>
      <c r="B104" s="36" t="s">
        <v>1170</v>
      </c>
      <c r="C104" s="117">
        <v>4508771613</v>
      </c>
      <c r="D104" s="165"/>
      <c r="E104" s="117">
        <v>1818509554</v>
      </c>
      <c r="F104" s="36" t="str">
        <f>IFERROR(VLOOKUP(Table1[[#This Row],[Part Number]],DATABASE_FG!$C$6:D10093,2,FALSE)," ")</f>
        <v>VALVE BODY</v>
      </c>
      <c r="G104" s="117">
        <f>IFERROR(_xlfn.XLOOKUP(Table1[[#This Row],[Part Number]],Table3[Part number],Table3[Drawing
 Revision]),"")</f>
        <v>1</v>
      </c>
      <c r="H104" s="118" cm="1">
        <f t="array" ref="H104">IFERROR(INDEX(PDB!$C:$AT,MATCH(E104,PDB!$B:$B,0),MATCH(YEAR(K104),0+PDB!$C$1:$AT$1,0)),"")</f>
        <v>23.43</v>
      </c>
      <c r="I104" s="36"/>
      <c r="J104" s="125">
        <f>IFERROR(Table1[[#This Row],[Quantity]]*Table1[[#This Row],[Price/Unit
EUR]]," ")</f>
        <v>0</v>
      </c>
      <c r="K104" s="126">
        <v>45542</v>
      </c>
      <c r="L104" s="36">
        <f>WEEKNUM(Table1[[#This Row],[ETA
As requested
dd.mm.yyyy]])</f>
        <v>36</v>
      </c>
      <c r="M104" s="36">
        <f>YEAR(Table1[[#This Row],[ETA
As requested
dd.mm.yyyy]])</f>
        <v>2024</v>
      </c>
      <c r="N104" s="36">
        <f>IFERROR(INDEX(DATABASE_FG!$H$5:$H$367, MATCH(E104, DATABASE_FG!$C$5:$C$367, 0)), " ")</f>
        <v>0</v>
      </c>
      <c r="O104" s="129" t="str">
        <f>IF(E104&lt;&gt;"", _xlfn.XLOOKUP(E104, DATABASE_FG!C:C, DATABASE_FG!F:F), " ")</f>
        <v>Ventilkoerper</v>
      </c>
      <c r="P104" s="129">
        <f>IFERROR(INDEX(DATABASE_FG!$G$5:$G$367, MATCH(E104, DATABASE_FG!$C$5:$C$367, 0)), "Not Found")</f>
        <v>30</v>
      </c>
      <c r="Q104" s="36"/>
      <c r="R104" s="125"/>
      <c r="S104" s="123">
        <f>IFERROR(INDEX(DATABASE_FG!$L$5:$L$367, MATCH(E104, DATABASE_FG!$C$5:$C$367, 0)), " ")</f>
        <v>56</v>
      </c>
      <c r="T104" s="36"/>
      <c r="U104" s="36"/>
      <c r="V104" s="36"/>
      <c r="W104" s="129"/>
      <c r="X104" s="36"/>
      <c r="Y104" s="36"/>
      <c r="Z104" s="36"/>
      <c r="AA104" s="125" t="s">
        <v>121</v>
      </c>
      <c r="AB104" s="173">
        <v>45496</v>
      </c>
      <c r="AC104" s="119">
        <v>2024897</v>
      </c>
      <c r="AD104" s="36">
        <f t="shared" si="9"/>
        <v>4508771613</v>
      </c>
      <c r="AE104" s="36">
        <f t="shared" si="10"/>
        <v>1818509554</v>
      </c>
      <c r="AF104" s="36">
        <v>5</v>
      </c>
      <c r="AG104" s="120">
        <f t="shared" si="11"/>
        <v>117.15</v>
      </c>
      <c r="AH104" s="36" t="s">
        <v>2361</v>
      </c>
      <c r="AI104" s="124" t="s">
        <v>2362</v>
      </c>
      <c r="AJ104" s="122" t="s">
        <v>2364</v>
      </c>
      <c r="AK104" s="129" t="str">
        <f t="shared" ca="1" si="12"/>
        <v>On Time</v>
      </c>
      <c r="AL104" s="268" t="str">
        <f t="shared" si="13"/>
        <v>September</v>
      </c>
      <c r="AM104" s="133">
        <f>YEAR(Table1[[#This Row],[ETA
As requested
dd.mm.yyyy]])</f>
        <v>2024</v>
      </c>
    </row>
    <row r="105" spans="1:40" hidden="1">
      <c r="A105" s="123" t="s">
        <v>26</v>
      </c>
      <c r="B105" s="36" t="s">
        <v>1170</v>
      </c>
      <c r="C105" s="117">
        <v>4508771613</v>
      </c>
      <c r="D105" s="165"/>
      <c r="E105" s="117">
        <v>1818509555</v>
      </c>
      <c r="F105" s="36" t="str">
        <f>IFERROR(VLOOKUP(Table1[[#This Row],[Part Number]],DATABASE_FG!$C$6:D10094,2,FALSE)," ")</f>
        <v>VALVE BODY</v>
      </c>
      <c r="G105" s="117">
        <f>IFERROR(_xlfn.XLOOKUP(Table1[[#This Row],[Part Number]],Table3[Part number],Table3[Drawing
 Revision]),"")</f>
        <v>1</v>
      </c>
      <c r="H105" s="118" cm="1">
        <f t="array" ref="H105">IFERROR(INDEX(PDB!$C:$AT,MATCH(E105,PDB!$B:$B,0),MATCH(YEAR(K105),0+PDB!$C$1:$AT$1,0)),"")</f>
        <v>27.16</v>
      </c>
      <c r="I105" s="36">
        <v>5</v>
      </c>
      <c r="J105" s="125">
        <f>IFERROR(Table1[[#This Row],[Quantity]]*Table1[[#This Row],[Price/Unit
EUR]]," ")</f>
        <v>135.80000000000001</v>
      </c>
      <c r="K105" s="126">
        <v>45541</v>
      </c>
      <c r="L105" s="36">
        <f>WEEKNUM(Table1[[#This Row],[ETA
As requested
dd.mm.yyyy]])</f>
        <v>36</v>
      </c>
      <c r="M105" s="36">
        <f>YEAR(Table1[[#This Row],[ETA
As requested
dd.mm.yyyy]])</f>
        <v>2024</v>
      </c>
      <c r="N105" s="36">
        <f>IFERROR(INDEX(DATABASE_FG!$H$5:$H$367, MATCH(E105, DATABASE_FG!$C$5:$C$367, 0)), " ")</f>
        <v>0</v>
      </c>
      <c r="O105" s="129" t="str">
        <f>IF(E105&lt;&gt;"", _xlfn.XLOOKUP(E105, DATABASE_FG!C:C, DATABASE_FG!F:F), " ")</f>
        <v>Ventilkoerper</v>
      </c>
      <c r="P105" s="129">
        <f>IFERROR(INDEX(DATABASE_FG!$G$5:$G$367, MATCH(E105, DATABASE_FG!$C$5:$C$367, 0)), "Not Found")</f>
        <v>20</v>
      </c>
      <c r="Q105" s="36"/>
      <c r="R105" s="125" t="s">
        <v>680</v>
      </c>
      <c r="S105" s="123">
        <f>IFERROR(INDEX(DATABASE_FG!$L$5:$L$367, MATCH(E105, DATABASE_FG!$C$5:$C$367, 0)), " ")</f>
        <v>56</v>
      </c>
      <c r="T105" s="36" t="s">
        <v>677</v>
      </c>
      <c r="U105" s="36"/>
      <c r="V105" s="36"/>
      <c r="W105" s="129"/>
      <c r="X105" s="36"/>
      <c r="Y105" s="36"/>
      <c r="Z105" s="36" t="s">
        <v>2325</v>
      </c>
      <c r="AA105" s="125" t="s">
        <v>121</v>
      </c>
      <c r="AB105" s="173">
        <v>45426</v>
      </c>
      <c r="AC105" s="119">
        <v>2024469</v>
      </c>
      <c r="AD105" s="36">
        <f t="shared" si="9"/>
        <v>4508771613</v>
      </c>
      <c r="AE105" s="36">
        <f t="shared" si="10"/>
        <v>1818509555</v>
      </c>
      <c r="AF105" s="36">
        <v>5</v>
      </c>
      <c r="AG105" s="120">
        <f t="shared" si="11"/>
        <v>135.80000000000001</v>
      </c>
      <c r="AH105" s="36"/>
      <c r="AI105" s="124" t="s">
        <v>258</v>
      </c>
      <c r="AJ105" s="122" t="s">
        <v>2326</v>
      </c>
      <c r="AK105" s="129" t="str">
        <f t="shared" ca="1" si="12"/>
        <v>On Time</v>
      </c>
      <c r="AL105" s="268" t="str">
        <f t="shared" si="13"/>
        <v>September</v>
      </c>
      <c r="AM105" s="133">
        <f>YEAR(Table1[[#This Row],[ETA
As requested
dd.mm.yyyy]])</f>
        <v>2024</v>
      </c>
    </row>
    <row r="106" spans="1:40" hidden="1">
      <c r="A106" s="123" t="s">
        <v>26</v>
      </c>
      <c r="B106" s="36" t="s">
        <v>1170</v>
      </c>
      <c r="C106" s="117">
        <v>4508771613</v>
      </c>
      <c r="D106" s="165">
        <v>45588</v>
      </c>
      <c r="E106" s="117">
        <v>1818509563</v>
      </c>
      <c r="F106" s="36" t="str">
        <f>IFERROR(VLOOKUP(Table1[[#This Row],[Part Number]],DATABASE_FG!$C$6:D10095,2,FALSE)," ")</f>
        <v>VALVE BODY</v>
      </c>
      <c r="G106" s="117">
        <f>IFERROR(_xlfn.XLOOKUP(Table1[[#This Row],[Part Number]],Table3[Part number],Table3[Drawing
 Revision]),"")</f>
        <v>1</v>
      </c>
      <c r="H106" s="118" cm="1">
        <f t="array" ref="H106">IFERROR(INDEX(PDB!$C:$AT,MATCH(E106,PDB!$B:$B,0),MATCH(YEAR(K106),0+PDB!$C$1:$AT$1,0)),"")</f>
        <v>24.57</v>
      </c>
      <c r="I106" s="36">
        <v>5</v>
      </c>
      <c r="J106" s="125">
        <f>IFERROR(Table1[[#This Row],[Quantity]]*Table1[[#This Row],[Price/Unit
EUR]]," ")</f>
        <v>122.85</v>
      </c>
      <c r="K106" s="126">
        <v>45541</v>
      </c>
      <c r="L106" s="36">
        <f>WEEKNUM(Table1[[#This Row],[ETA
As requested
dd.mm.yyyy]])</f>
        <v>36</v>
      </c>
      <c r="M106" s="36">
        <f>YEAR(Table1[[#This Row],[ETA
As requested
dd.mm.yyyy]])</f>
        <v>2024</v>
      </c>
      <c r="N106" s="36">
        <f>IFERROR(INDEX(DATABASE_FG!$H$5:$H$367, MATCH(E106, DATABASE_FG!$C$5:$C$367, 0)), " ")</f>
        <v>0</v>
      </c>
      <c r="O106" s="129" t="str">
        <f>IF(E106&lt;&gt;"", _xlfn.XLOOKUP(E106, DATABASE_FG!C:C, DATABASE_FG!F:F), " ")</f>
        <v>Ventilkoerper</v>
      </c>
      <c r="P106" s="129">
        <f>IFERROR(INDEX(DATABASE_FG!$G$5:$G$367, MATCH(E106, DATABASE_FG!$C$5:$C$367, 0)), "Not Found")</f>
        <v>50</v>
      </c>
      <c r="Q106" s="36"/>
      <c r="R106" s="125" t="s">
        <v>680</v>
      </c>
      <c r="S106" s="123">
        <f>IFERROR(INDEX(DATABASE_FG!$L$5:$L$367, MATCH(E106, DATABASE_FG!$C$5:$C$367, 0)), " ")</f>
        <v>56</v>
      </c>
      <c r="T106" s="36" t="s">
        <v>677</v>
      </c>
      <c r="U106" s="36"/>
      <c r="V106" s="36"/>
      <c r="W106" s="129"/>
      <c r="X106" s="36"/>
      <c r="Y106" s="36"/>
      <c r="Z106" s="36" t="s">
        <v>2323</v>
      </c>
      <c r="AA106" s="125" t="s">
        <v>121</v>
      </c>
      <c r="AB106" s="173">
        <v>45426</v>
      </c>
      <c r="AC106" s="119">
        <v>2024468</v>
      </c>
      <c r="AD106" s="36">
        <f t="shared" ref="AD106:AD137" si="14">IF(NOT(ISBLANK(AC106)), C106, "")</f>
        <v>4508771613</v>
      </c>
      <c r="AE106" s="36">
        <f t="shared" ref="AE106:AE137" si="15">IF(NOT(ISBLANK(AC106)), E106, "")</f>
        <v>1818509563</v>
      </c>
      <c r="AF106" s="36">
        <v>5</v>
      </c>
      <c r="AG106" s="120">
        <f t="shared" ref="AG106:AG137" si="16">AF106*H106</f>
        <v>122.85</v>
      </c>
      <c r="AH106" s="36"/>
      <c r="AI106" s="124" t="s">
        <v>258</v>
      </c>
      <c r="AJ106" s="122" t="s">
        <v>2324</v>
      </c>
      <c r="AK106" s="129" t="str">
        <f t="shared" ref="AK106:AK137" ca="1" si="17">IF(AB106="", IF(K106 &lt; TODAY(), "Late", ""), IF(AB106 &lt;= K106 + 2, "On Time", "Late"))</f>
        <v>On Time</v>
      </c>
      <c r="AL106" s="268" t="str">
        <f t="shared" si="13"/>
        <v>September</v>
      </c>
      <c r="AM106" s="133">
        <f>YEAR(Table1[[#This Row],[ETA
As requested
dd.mm.yyyy]])</f>
        <v>2024</v>
      </c>
    </row>
    <row r="107" spans="1:40" hidden="1">
      <c r="A107" s="123" t="s">
        <v>26</v>
      </c>
      <c r="B107" s="36" t="s">
        <v>2464</v>
      </c>
      <c r="C107" s="117">
        <v>5500549888</v>
      </c>
      <c r="D107" s="165">
        <v>45939</v>
      </c>
      <c r="E107" s="117">
        <v>1818509563</v>
      </c>
      <c r="F107" s="36" t="str">
        <f>IFERROR(VLOOKUP(Table1[[#This Row],[Part Number]],DATABASE_FG!$C$6:D10096,2,FALSE)," ")</f>
        <v>VALVE BODY</v>
      </c>
      <c r="G107" s="117">
        <f>IFERROR(_xlfn.XLOOKUP(Table1[[#This Row],[Part Number]],Table3[Part number],Table3[Drawing
 Revision]),"")</f>
        <v>1</v>
      </c>
      <c r="H107" s="118" cm="1">
        <f t="array" ref="H107">IFERROR(INDEX(PDB!$C:$AT,MATCH(E107,PDB!$B:$B,0),MATCH(YEAR(K107),0+PDB!$C$1:$AT$1,0)),"")</f>
        <v>24.57</v>
      </c>
      <c r="I107" s="36">
        <v>60</v>
      </c>
      <c r="J107" s="125">
        <f>IFERROR(Table1[[#This Row],[Quantity]]*Table1[[#This Row],[Price/Unit
EUR]]," ")</f>
        <v>1474.2</v>
      </c>
      <c r="K107" s="126">
        <v>45988</v>
      </c>
      <c r="L107" s="36">
        <f>WEEKNUM(Table1[[#This Row],[ETA
As requested
dd.mm.yyyy]])</f>
        <v>48</v>
      </c>
      <c r="M107" s="36">
        <f>YEAR(Table1[[#This Row],[ETA
As requested
dd.mm.yyyy]])</f>
        <v>2025</v>
      </c>
      <c r="N107" s="36">
        <f>IFERROR(INDEX(DATABASE_FG!$H$5:$H$367, MATCH(E107, DATABASE_FG!$C$5:$C$367, 0)), " ")</f>
        <v>0</v>
      </c>
      <c r="O107" s="129" t="str">
        <f>IF(E107&lt;&gt;"", _xlfn.XLOOKUP(E107, DATABASE_FG!C:C, DATABASE_FG!F:F), " ")</f>
        <v>Ventilkoerper</v>
      </c>
      <c r="P107" s="129">
        <f>IFERROR(INDEX(DATABASE_FG!$G$5:$G$367, MATCH(E107, DATABASE_FG!$C$5:$C$367, 0)), "Not Found")</f>
        <v>50</v>
      </c>
      <c r="Q107" s="36"/>
      <c r="R107" s="125"/>
      <c r="S107" s="123">
        <f>IFERROR(INDEX(DATABASE_FG!$L$5:$L$367, MATCH(E107, DATABASE_FG!$C$5:$C$367, 0)), " ")</f>
        <v>56</v>
      </c>
      <c r="T107" s="36" t="s">
        <v>677</v>
      </c>
      <c r="U107" s="36"/>
      <c r="V107" s="36"/>
      <c r="W107" s="129"/>
      <c r="X107" s="36"/>
      <c r="Y107" s="36"/>
      <c r="Z107" s="36"/>
      <c r="AA107" s="125" t="s">
        <v>3</v>
      </c>
      <c r="AB107" s="173"/>
      <c r="AC107" s="119"/>
      <c r="AD107" s="36" t="str">
        <f t="shared" si="14"/>
        <v/>
      </c>
      <c r="AE107" s="36" t="str">
        <f t="shared" si="15"/>
        <v/>
      </c>
      <c r="AF107" s="36"/>
      <c r="AG107" s="120">
        <f t="shared" si="16"/>
        <v>0</v>
      </c>
      <c r="AH107" s="36"/>
      <c r="AI107" s="124"/>
      <c r="AJ107" s="122"/>
      <c r="AK107" s="129" t="str">
        <f t="shared" ca="1" si="17"/>
        <v/>
      </c>
      <c r="AL107" s="268" t="str">
        <f t="shared" si="13"/>
        <v>November</v>
      </c>
      <c r="AM107" s="133">
        <f>YEAR(Table1[[#This Row],[ETA
As requested
dd.mm.yyyy]])</f>
        <v>2025</v>
      </c>
    </row>
    <row r="108" spans="1:40" hidden="1">
      <c r="A108" s="123" t="s">
        <v>26</v>
      </c>
      <c r="B108" s="36" t="s">
        <v>2464</v>
      </c>
      <c r="C108" s="117">
        <v>5500549888</v>
      </c>
      <c r="D108" s="165">
        <v>45939</v>
      </c>
      <c r="E108" s="117">
        <v>1818509563</v>
      </c>
      <c r="F108" s="36" t="str">
        <f>IFERROR(VLOOKUP(Table1[[#This Row],[Part Number]],DATABASE_FG!$C$6:D10097,2,FALSE)," ")</f>
        <v>VALVE BODY</v>
      </c>
      <c r="G108" s="117">
        <f>IFERROR(_xlfn.XLOOKUP(Table1[[#This Row],[Part Number]],Table3[Part number],Table3[Drawing
 Revision]),"")</f>
        <v>1</v>
      </c>
      <c r="H108" s="118" cm="1">
        <f t="array" ref="H108">IFERROR(INDEX(PDB!$C:$AT,MATCH(E108,PDB!$B:$B,0),MATCH(YEAR(K108),0+PDB!$C$1:$AT$1,0)),"")</f>
        <v>0</v>
      </c>
      <c r="I108" s="36">
        <v>100</v>
      </c>
      <c r="J108" s="125">
        <f>IFERROR(Table1[[#This Row],[Quantity]]*Table1[[#This Row],[Price/Unit
EUR]]," ")</f>
        <v>0</v>
      </c>
      <c r="K108" s="126">
        <v>46170</v>
      </c>
      <c r="L108" s="36">
        <f>WEEKNUM(Table1[[#This Row],[ETA
As requested
dd.mm.yyyy]])</f>
        <v>22</v>
      </c>
      <c r="M108" s="36">
        <f>YEAR(Table1[[#This Row],[ETA
As requested
dd.mm.yyyy]])</f>
        <v>2026</v>
      </c>
      <c r="N108" s="36">
        <f>IFERROR(INDEX(DATABASE_FG!$H$5:$H$367, MATCH(E108, DATABASE_FG!$C$5:$C$367, 0)), " ")</f>
        <v>0</v>
      </c>
      <c r="O108" s="129" t="str">
        <f>IF(E108&lt;&gt;"", _xlfn.XLOOKUP(E108, DATABASE_FG!C:C, DATABASE_FG!F:F), " ")</f>
        <v>Ventilkoerper</v>
      </c>
      <c r="P108" s="129">
        <f>IFERROR(INDEX(DATABASE_FG!$G$5:$G$367, MATCH(E108, DATABASE_FG!$C$5:$C$367, 0)), "Not Found")</f>
        <v>50</v>
      </c>
      <c r="Q108" s="36"/>
      <c r="R108" s="125"/>
      <c r="S108" s="123">
        <f>IFERROR(INDEX(DATABASE_FG!$L$5:$L$367, MATCH(E108, DATABASE_FG!$C$5:$C$367, 0)), " ")</f>
        <v>56</v>
      </c>
      <c r="T108" s="36" t="s">
        <v>677</v>
      </c>
      <c r="U108" s="36"/>
      <c r="V108" s="36"/>
      <c r="W108" s="129"/>
      <c r="X108" s="36"/>
      <c r="Y108" s="36"/>
      <c r="Z108" s="36"/>
      <c r="AA108" s="125" t="s">
        <v>3</v>
      </c>
      <c r="AB108" s="173"/>
      <c r="AC108" s="119"/>
      <c r="AD108" s="36" t="str">
        <f t="shared" si="14"/>
        <v/>
      </c>
      <c r="AE108" s="36" t="str">
        <f t="shared" si="15"/>
        <v/>
      </c>
      <c r="AF108" s="36"/>
      <c r="AG108" s="120">
        <f t="shared" si="16"/>
        <v>0</v>
      </c>
      <c r="AH108" s="36"/>
      <c r="AI108" s="124"/>
      <c r="AJ108" s="122"/>
      <c r="AK108" s="129" t="str">
        <f t="shared" ca="1" si="17"/>
        <v/>
      </c>
      <c r="AL108" s="268" t="str">
        <f t="shared" si="13"/>
        <v>May</v>
      </c>
      <c r="AM108" s="133">
        <f>YEAR(Table1[[#This Row],[ETA
As requested
dd.mm.yyyy]])</f>
        <v>2026</v>
      </c>
    </row>
    <row r="109" spans="1:40" hidden="1">
      <c r="A109" s="123" t="s">
        <v>26</v>
      </c>
      <c r="B109" s="36" t="s">
        <v>2464</v>
      </c>
      <c r="C109" s="117">
        <v>5500549888</v>
      </c>
      <c r="D109" s="165">
        <v>45939</v>
      </c>
      <c r="E109" s="117">
        <v>1818509563</v>
      </c>
      <c r="F109" s="36" t="str">
        <f>IFERROR(VLOOKUP(Table1[[#This Row],[Part Number]],DATABASE_FG!$C$6:D10098,2,FALSE)," ")</f>
        <v>VALVE BODY</v>
      </c>
      <c r="G109" s="117">
        <f>IFERROR(_xlfn.XLOOKUP(Table1[[#This Row],[Part Number]],Table3[Part number],Table3[Drawing
 Revision]),"")</f>
        <v>1</v>
      </c>
      <c r="H109" s="118" cm="1">
        <f t="array" ref="H109">IFERROR(INDEX(PDB!$C:$AT,MATCH(E109,PDB!$B:$B,0),MATCH(YEAR(K109),0+PDB!$C$1:$AT$1,0)),"")</f>
        <v>0</v>
      </c>
      <c r="I109" s="36">
        <v>100</v>
      </c>
      <c r="J109" s="125">
        <f>IFERROR(Table1[[#This Row],[Quantity]]*Table1[[#This Row],[Price/Unit
EUR]]," ")</f>
        <v>0</v>
      </c>
      <c r="K109" s="126">
        <v>46267</v>
      </c>
      <c r="L109" s="36">
        <f>WEEKNUM(Table1[[#This Row],[ETA
As requested
dd.mm.yyyy]])</f>
        <v>36</v>
      </c>
      <c r="M109" s="36">
        <f>YEAR(Table1[[#This Row],[ETA
As requested
dd.mm.yyyy]])</f>
        <v>2026</v>
      </c>
      <c r="N109" s="36">
        <f>IFERROR(INDEX(DATABASE_FG!$H$5:$H$367, MATCH(E109, DATABASE_FG!$C$5:$C$367, 0)), " ")</f>
        <v>0</v>
      </c>
      <c r="O109" s="129" t="str">
        <f>IF(E109&lt;&gt;"", _xlfn.XLOOKUP(E109, DATABASE_FG!C:C, DATABASE_FG!F:F), " ")</f>
        <v>Ventilkoerper</v>
      </c>
      <c r="P109" s="129">
        <f>IFERROR(INDEX(DATABASE_FG!$G$5:$G$367, MATCH(E109, DATABASE_FG!$C$5:$C$367, 0)), "Not Found")</f>
        <v>50</v>
      </c>
      <c r="Q109" s="36"/>
      <c r="R109" s="125"/>
      <c r="S109" s="123">
        <f>Table1[[#This Row],[Quantity]]/48</f>
        <v>2.0833333333333335</v>
      </c>
      <c r="T109" s="36"/>
      <c r="U109" s="36"/>
      <c r="V109" s="36"/>
      <c r="W109" s="129"/>
      <c r="X109" s="36"/>
      <c r="Y109" s="36"/>
      <c r="Z109" s="36"/>
      <c r="AA109" s="125" t="s">
        <v>3</v>
      </c>
      <c r="AB109" s="173"/>
      <c r="AC109" s="119"/>
      <c r="AD109" s="36" t="str">
        <f t="shared" si="14"/>
        <v/>
      </c>
      <c r="AE109" s="36" t="str">
        <f t="shared" si="15"/>
        <v/>
      </c>
      <c r="AF109" s="36"/>
      <c r="AG109" s="120">
        <f t="shared" si="16"/>
        <v>0</v>
      </c>
      <c r="AH109" s="36"/>
      <c r="AI109" s="124"/>
      <c r="AJ109" s="122"/>
      <c r="AK109" s="129" t="str">
        <f t="shared" ca="1" si="17"/>
        <v/>
      </c>
      <c r="AL109" s="268" t="str">
        <f t="shared" si="13"/>
        <v>September</v>
      </c>
      <c r="AM109" s="133">
        <f>YEAR(Table1[[#This Row],[ETA
As requested
dd.mm.yyyy]])</f>
        <v>2026</v>
      </c>
      <c r="AN109" s="191"/>
    </row>
    <row r="110" spans="1:40" hidden="1">
      <c r="A110" s="123" t="s">
        <v>26</v>
      </c>
      <c r="B110" s="36" t="s">
        <v>2464</v>
      </c>
      <c r="C110" s="117">
        <v>5500549888</v>
      </c>
      <c r="D110" s="165">
        <v>45939</v>
      </c>
      <c r="E110" s="117">
        <v>1818509563</v>
      </c>
      <c r="F110" s="36" t="str">
        <f>IFERROR(VLOOKUP(Table1[[#This Row],[Part Number]],DATABASE_FG!$C$6:D10099,2,FALSE)," ")</f>
        <v>VALVE BODY</v>
      </c>
      <c r="G110" s="117">
        <f>IFERROR(_xlfn.XLOOKUP(Table1[[#This Row],[Part Number]],Table3[Part number],Table3[Drawing
 Revision]),"")</f>
        <v>1</v>
      </c>
      <c r="H110" s="118" cm="1">
        <f t="array" ref="H110">IFERROR(INDEX(PDB!$C:$AT,MATCH(E110,PDB!$B:$B,0),MATCH(YEAR(K110),0+PDB!$C$1:$AT$1,0)),"")</f>
        <v>0</v>
      </c>
      <c r="I110" s="36">
        <v>100</v>
      </c>
      <c r="J110" s="125">
        <f>IFERROR(Table1[[#This Row],[Quantity]]*Table1[[#This Row],[Price/Unit
EUR]]," ")</f>
        <v>0</v>
      </c>
      <c r="K110" s="126">
        <v>46373</v>
      </c>
      <c r="L110" s="36">
        <f>WEEKNUM(Table1[[#This Row],[ETA
As requested
dd.mm.yyyy]])</f>
        <v>51</v>
      </c>
      <c r="M110" s="36">
        <f>YEAR(Table1[[#This Row],[ETA
As requested
dd.mm.yyyy]])</f>
        <v>2026</v>
      </c>
      <c r="N110" s="36">
        <f>IFERROR(INDEX(DATABASE_FG!$H$5:$H$367, MATCH(E110, DATABASE_FG!$C$5:$C$367, 0)), " ")</f>
        <v>0</v>
      </c>
      <c r="O110" s="129" t="str">
        <f>IF(E110&lt;&gt;"", _xlfn.XLOOKUP(E110, DATABASE_FG!C:C, DATABASE_FG!F:F), " ")</f>
        <v>Ventilkoerper</v>
      </c>
      <c r="P110" s="129">
        <f>IFERROR(INDEX(DATABASE_FG!$G$5:$G$367, MATCH(E110, DATABASE_FG!$C$5:$C$367, 0)), "Not Found")</f>
        <v>50</v>
      </c>
      <c r="Q110" s="36"/>
      <c r="R110" s="125"/>
      <c r="S110" s="123">
        <f>IFERROR(INDEX(DATABASE_FG!$L$5:$L$367, MATCH(E110, DATABASE_FG!$C$5:$C$367, 0)), " ")</f>
        <v>56</v>
      </c>
      <c r="T110" s="36" t="s">
        <v>677</v>
      </c>
      <c r="U110" s="36"/>
      <c r="V110" s="36"/>
      <c r="W110" s="129"/>
      <c r="X110" s="36"/>
      <c r="Y110" s="36"/>
      <c r="Z110" s="36"/>
      <c r="AA110" s="125" t="s">
        <v>3</v>
      </c>
      <c r="AB110" s="173"/>
      <c r="AC110" s="119"/>
      <c r="AD110" s="36" t="str">
        <f t="shared" si="14"/>
        <v/>
      </c>
      <c r="AE110" s="36" t="str">
        <f t="shared" si="15"/>
        <v/>
      </c>
      <c r="AF110" s="36"/>
      <c r="AG110" s="120">
        <f t="shared" si="16"/>
        <v>0</v>
      </c>
      <c r="AH110" s="36"/>
      <c r="AI110" s="124"/>
      <c r="AJ110" s="122"/>
      <c r="AK110" s="129" t="str">
        <f t="shared" ca="1" si="17"/>
        <v/>
      </c>
      <c r="AL110" s="268" t="str">
        <f t="shared" si="13"/>
        <v>December</v>
      </c>
      <c r="AM110" s="133">
        <f>YEAR(Table1[[#This Row],[ETA
As requested
dd.mm.yyyy]])</f>
        <v>2026</v>
      </c>
    </row>
    <row r="111" spans="1:40" hidden="1">
      <c r="A111" s="123" t="s">
        <v>26</v>
      </c>
      <c r="B111" s="36" t="s">
        <v>1170</v>
      </c>
      <c r="C111" s="117">
        <v>4508769328</v>
      </c>
      <c r="D111" s="165"/>
      <c r="E111" s="117">
        <v>1818509618</v>
      </c>
      <c r="F111" s="36" t="str">
        <f>IFERROR(VLOOKUP(Table1[[#This Row],[Part Number]],DATABASE_FG!$C$6:D10100,2,FALSE)," ")</f>
        <v>VALVE BODY</v>
      </c>
      <c r="G111" s="117">
        <f>IFERROR(_xlfn.XLOOKUP(Table1[[#This Row],[Part Number]],Table3[Part number],Table3[Drawing
 Revision]),"")</f>
        <v>1</v>
      </c>
      <c r="H111" s="118" cm="1">
        <f t="array" ref="H111">IFERROR(INDEX(PDB!$C:$AT,MATCH(E111,PDB!$B:$B,0),MATCH(YEAR(K111),0+PDB!$C$1:$AT$1,0)),"")</f>
        <v>3.37</v>
      </c>
      <c r="I111" s="36">
        <v>5</v>
      </c>
      <c r="J111" s="125">
        <f>IFERROR(Table1[[#This Row],[Quantity]]*Table1[[#This Row],[Price/Unit
EUR]]," ")</f>
        <v>16.850000000000001</v>
      </c>
      <c r="K111" s="126">
        <v>45541</v>
      </c>
      <c r="L111" s="36">
        <f>WEEKNUM(Table1[[#This Row],[ETA
As requested
dd.mm.yyyy]])</f>
        <v>36</v>
      </c>
      <c r="M111" s="36">
        <f>YEAR(Table1[[#This Row],[ETA
As requested
dd.mm.yyyy]])</f>
        <v>2024</v>
      </c>
      <c r="N111" s="36">
        <f>IFERROR(INDEX(DATABASE_FG!$H$5:$H$367, MATCH(E111, DATABASE_FG!$C$5:$C$367, 0)), " ")</f>
        <v>0</v>
      </c>
      <c r="O111" s="129" t="str">
        <f>IF(E111&lt;&gt;"", _xlfn.XLOOKUP(E111, DATABASE_FG!C:C, DATABASE_FG!F:F), " ")</f>
        <v>Ventilkoerper</v>
      </c>
      <c r="P111" s="129">
        <f>IFERROR(INDEX(DATABASE_FG!$G$5:$G$367, MATCH(E111, DATABASE_FG!$C$5:$C$367, 0)), "Not Found")</f>
        <v>300</v>
      </c>
      <c r="Q111" s="36"/>
      <c r="R111" s="125" t="s">
        <v>680</v>
      </c>
      <c r="S111" s="123">
        <f>IFERROR(INDEX(DATABASE_FG!$L$5:$L$367, MATCH(E111, DATABASE_FG!$C$5:$C$367, 0)), " ")</f>
        <v>56</v>
      </c>
      <c r="T111" s="36" t="s">
        <v>677</v>
      </c>
      <c r="U111" s="36"/>
      <c r="V111" s="36"/>
      <c r="W111" s="129"/>
      <c r="X111" s="36"/>
      <c r="Y111" s="36"/>
      <c r="Z111" s="36">
        <v>241003</v>
      </c>
      <c r="AA111" s="125" t="s">
        <v>121</v>
      </c>
      <c r="AB111" s="173">
        <v>45541</v>
      </c>
      <c r="AC111" s="119">
        <v>202401114</v>
      </c>
      <c r="AD111" s="36">
        <f t="shared" si="14"/>
        <v>4508769328</v>
      </c>
      <c r="AE111" s="36">
        <f t="shared" si="15"/>
        <v>1818509618</v>
      </c>
      <c r="AF111" s="36">
        <v>5</v>
      </c>
      <c r="AG111" s="120">
        <f t="shared" si="16"/>
        <v>16.850000000000001</v>
      </c>
      <c r="AH111" s="36"/>
      <c r="AI111" s="124" t="s">
        <v>310</v>
      </c>
      <c r="AJ111" s="122" t="s">
        <v>2345</v>
      </c>
      <c r="AK111" s="129" t="str">
        <f t="shared" ca="1" si="17"/>
        <v>On Time</v>
      </c>
      <c r="AL111" s="268" t="str">
        <f t="shared" si="13"/>
        <v>September</v>
      </c>
      <c r="AM111" s="133">
        <f>YEAR(Table1[[#This Row],[ETA
As requested
dd.mm.yyyy]])</f>
        <v>2024</v>
      </c>
    </row>
    <row r="112" spans="1:40" hidden="1">
      <c r="A112" s="123" t="s">
        <v>26</v>
      </c>
      <c r="B112" s="36" t="s">
        <v>1170</v>
      </c>
      <c r="C112" s="117">
        <v>4508771613</v>
      </c>
      <c r="D112" s="165"/>
      <c r="E112" s="117">
        <v>1818509634</v>
      </c>
      <c r="F112" s="36" t="str">
        <f>IFERROR(VLOOKUP(Table1[[#This Row],[Part Number]],DATABASE_FG!$C$6:D10101,2,FALSE)," ")</f>
        <v>VALVE BODY</v>
      </c>
      <c r="G112" s="117">
        <f>IFERROR(_xlfn.XLOOKUP(Table1[[#This Row],[Part Number]],Table3[Part number],Table3[Drawing
 Revision]),"")</f>
        <v>1</v>
      </c>
      <c r="H112" s="118" t="str" cm="1">
        <f t="array" ref="H112">IFERROR(INDEX(PDB!$C:$AT,MATCH(E112,PDB!$B:$B,0),MATCH(YEAR(K112),0+PDB!$C$1:$AT$1,0)),"")</f>
        <v>18.00</v>
      </c>
      <c r="I112" s="36">
        <v>5</v>
      </c>
      <c r="J112" s="125">
        <f>IFERROR(Table1[[#This Row],[Quantity]]*Table1[[#This Row],[Price/Unit
EUR]]," ")</f>
        <v>90</v>
      </c>
      <c r="K112" s="126">
        <v>45541</v>
      </c>
      <c r="L112" s="36">
        <f>WEEKNUM(Table1[[#This Row],[ETA
As requested
dd.mm.yyyy]])</f>
        <v>36</v>
      </c>
      <c r="M112" s="36">
        <f>YEAR(Table1[[#This Row],[ETA
As requested
dd.mm.yyyy]])</f>
        <v>2024</v>
      </c>
      <c r="N112" s="36">
        <f>IFERROR(INDEX(DATABASE_FG!$H$5:$H$367, MATCH(E112, DATABASE_FG!$C$5:$C$367, 0)), " ")</f>
        <v>0</v>
      </c>
      <c r="O112" s="129" t="str">
        <f>IF(E112&lt;&gt;"", _xlfn.XLOOKUP(E112, DATABASE_FG!C:C, DATABASE_FG!F:F), " ")</f>
        <v>Ventilkoerper</v>
      </c>
      <c r="P112" s="129">
        <f>IFERROR(INDEX(DATABASE_FG!$G$5:$G$367, MATCH(E112, DATABASE_FG!$C$5:$C$367, 0)), "Not Found")</f>
        <v>20</v>
      </c>
      <c r="Q112" s="36">
        <v>60</v>
      </c>
      <c r="R112" s="125" t="s">
        <v>680</v>
      </c>
      <c r="S112" s="123">
        <f>IFERROR(INDEX(DATABASE_FG!$L$5:$L$367, MATCH(E112, DATABASE_FG!$C$5:$C$367, 0)), " ")</f>
        <v>56</v>
      </c>
      <c r="T112" s="36" t="s">
        <v>677</v>
      </c>
      <c r="U112" s="36"/>
      <c r="V112" s="36"/>
      <c r="W112" s="129"/>
      <c r="X112" s="36"/>
      <c r="Y112" s="36"/>
      <c r="Z112" s="36" t="s">
        <v>2347</v>
      </c>
      <c r="AA112" s="125" t="s">
        <v>121</v>
      </c>
      <c r="AB112" s="173">
        <v>45558</v>
      </c>
      <c r="AC112" s="119">
        <v>202401160</v>
      </c>
      <c r="AD112" s="36">
        <f t="shared" si="14"/>
        <v>4508771613</v>
      </c>
      <c r="AE112" s="36">
        <f t="shared" si="15"/>
        <v>1818509634</v>
      </c>
      <c r="AF112" s="36">
        <v>5</v>
      </c>
      <c r="AG112" s="120">
        <f t="shared" si="16"/>
        <v>90</v>
      </c>
      <c r="AH112" s="36"/>
      <c r="AI112" s="124"/>
      <c r="AJ112" s="122" t="s">
        <v>2348</v>
      </c>
      <c r="AK112" s="129" t="str">
        <f t="shared" ca="1" si="17"/>
        <v>Late</v>
      </c>
      <c r="AL112" s="268" t="str">
        <f t="shared" si="13"/>
        <v>September</v>
      </c>
      <c r="AM112" s="133">
        <f>YEAR(Table1[[#This Row],[ETA
As requested
dd.mm.yyyy]])</f>
        <v>2024</v>
      </c>
    </row>
    <row r="113" spans="1:40" hidden="1">
      <c r="A113" s="123" t="s">
        <v>26</v>
      </c>
      <c r="B113" s="36" t="s">
        <v>1170</v>
      </c>
      <c r="C113" s="117">
        <v>5500494573</v>
      </c>
      <c r="D113" s="165">
        <v>45594</v>
      </c>
      <c r="E113" s="117">
        <v>1818509661</v>
      </c>
      <c r="F113" s="36" t="str">
        <f>IFERROR(VLOOKUP(Table1[[#This Row],[Part Number]],DATABASE_FG!$C$6:D10102,2,FALSE)," ")</f>
        <v>VALVE BODY</v>
      </c>
      <c r="G113" s="117" t="str">
        <f>IFERROR(_xlfn.XLOOKUP(Table1[[#This Row],[Part Number]],Table3[Part number],Table3[Drawing
 Revision]),"")</f>
        <v>AB</v>
      </c>
      <c r="H113" s="118" cm="1">
        <f t="array" ref="H113">IFERROR(INDEX(PDB!$C:$AT,MATCH(E113,PDB!$B:$B,0),MATCH(YEAR(K113),0+PDB!$C$1:$AT$1,0)),"")</f>
        <v>2.5299999999999998</v>
      </c>
      <c r="I113" s="36">
        <v>100</v>
      </c>
      <c r="J113" s="125">
        <f>IFERROR(Table1[[#This Row],[Quantity]]*Table1[[#This Row],[Price/Unit
EUR]]," ")</f>
        <v>252.99999999999997</v>
      </c>
      <c r="K113" s="126">
        <v>45541</v>
      </c>
      <c r="L113" s="36">
        <f>WEEKNUM(Table1[[#This Row],[ETA
As requested
dd.mm.yyyy]])</f>
        <v>36</v>
      </c>
      <c r="M113" s="36">
        <f>YEAR(Table1[[#This Row],[ETA
As requested
dd.mm.yyyy]])</f>
        <v>2024</v>
      </c>
      <c r="N113" s="36">
        <f>IFERROR(INDEX(DATABASE_FG!$H$5:$H$367, MATCH(E113, DATABASE_FG!$C$5:$C$367, 0)), " ")</f>
        <v>0</v>
      </c>
      <c r="O113" s="129" t="str">
        <f>IF(E113&lt;&gt;"", _xlfn.XLOOKUP(E113, DATABASE_FG!C:C, DATABASE_FG!F:F), " ")</f>
        <v>Ventilkoerper</v>
      </c>
      <c r="P113" s="129">
        <f>IFERROR(INDEX(DATABASE_FG!$G$5:$G$367, MATCH(E113, DATABASE_FG!$C$5:$C$367, 0)), "Not Found")</f>
        <v>80</v>
      </c>
      <c r="Q113" s="36"/>
      <c r="R113" s="125" t="s">
        <v>678</v>
      </c>
      <c r="S113" s="123">
        <f>IFERROR(INDEX(DATABASE_FG!$L$5:$L$367, MATCH(E113, DATABASE_FG!$C$5:$C$367, 0)), " ")</f>
        <v>42</v>
      </c>
      <c r="T113" s="36" t="s">
        <v>679</v>
      </c>
      <c r="U113" s="36"/>
      <c r="V113" s="36"/>
      <c r="W113" s="129"/>
      <c r="X113" s="36"/>
      <c r="Y113" s="36"/>
      <c r="Z113" s="36"/>
      <c r="AA113" s="125" t="s">
        <v>121</v>
      </c>
      <c r="AB113" s="173">
        <v>45600</v>
      </c>
      <c r="AC113" s="119">
        <v>202401318</v>
      </c>
      <c r="AD113" s="36">
        <f t="shared" si="14"/>
        <v>5500494573</v>
      </c>
      <c r="AE113" s="36">
        <f t="shared" si="15"/>
        <v>1818509661</v>
      </c>
      <c r="AF113" s="36">
        <v>100</v>
      </c>
      <c r="AG113" s="120">
        <f t="shared" si="16"/>
        <v>252.99999999999997</v>
      </c>
      <c r="AH113" s="36"/>
      <c r="AI113" s="124"/>
      <c r="AJ113" s="122" t="s">
        <v>2354</v>
      </c>
      <c r="AK113" s="129" t="str">
        <f t="shared" ca="1" si="17"/>
        <v>Late</v>
      </c>
      <c r="AL113" s="268" t="str">
        <f t="shared" si="13"/>
        <v>September</v>
      </c>
      <c r="AM113" s="133">
        <f>YEAR(Table1[[#This Row],[ETA
As requested
dd.mm.yyyy]])</f>
        <v>2024</v>
      </c>
    </row>
    <row r="114" spans="1:40" hidden="1">
      <c r="A114" s="123" t="s">
        <v>26</v>
      </c>
      <c r="B114" s="36" t="s">
        <v>1170</v>
      </c>
      <c r="C114" s="117">
        <v>5500494573</v>
      </c>
      <c r="D114" s="165">
        <v>45594</v>
      </c>
      <c r="E114" s="117">
        <v>1818509661</v>
      </c>
      <c r="F114" s="36" t="str">
        <f>IFERROR(VLOOKUP(Table1[[#This Row],[Part Number]],DATABASE_FG!$C$6:D10103,2,FALSE)," ")</f>
        <v>VALVE BODY</v>
      </c>
      <c r="G114" s="117" t="str">
        <f>IFERROR(_xlfn.XLOOKUP(Table1[[#This Row],[Part Number]],Table3[Part number],Table3[Drawing
 Revision]),"")</f>
        <v>AB</v>
      </c>
      <c r="H114" s="118" cm="1">
        <f t="array" ref="H114">IFERROR(INDEX(PDB!$C:$AT,MATCH(E114,PDB!$B:$B,0),MATCH(YEAR(K114),0+PDB!$C$1:$AT$1,0)),"")</f>
        <v>2.5299999999999998</v>
      </c>
      <c r="I114" s="36">
        <v>40</v>
      </c>
      <c r="J114" s="125">
        <f>IFERROR(Table1[[#This Row],[Quantity]]*Table1[[#This Row],[Price/Unit
EUR]]," ")</f>
        <v>101.19999999999999</v>
      </c>
      <c r="K114" s="126">
        <v>45663</v>
      </c>
      <c r="L114" s="36">
        <f>WEEKNUM(Table1[[#This Row],[ETA
As requested
dd.mm.yyyy]])</f>
        <v>2</v>
      </c>
      <c r="M114" s="36">
        <f>YEAR(Table1[[#This Row],[ETA
As requested
dd.mm.yyyy]])</f>
        <v>2025</v>
      </c>
      <c r="N114" s="36">
        <f>IFERROR(INDEX(DATABASE_FG!$H$5:$H$367, MATCH(E114, DATABASE_FG!$C$5:$C$367, 0)), " ")</f>
        <v>0</v>
      </c>
      <c r="O114" s="129" t="str">
        <f>IF(E114&lt;&gt;"", _xlfn.XLOOKUP(E114, DATABASE_FG!C:C, DATABASE_FG!F:F), " ")</f>
        <v>Ventilkoerper</v>
      </c>
      <c r="P114" s="129">
        <f>IFERROR(INDEX(DATABASE_FG!$G$5:$G$367, MATCH(E114, DATABASE_FG!$C$5:$C$367, 0)), "Not Found")</f>
        <v>80</v>
      </c>
      <c r="Q114" s="36"/>
      <c r="R114" s="125" t="s">
        <v>678</v>
      </c>
      <c r="S114" s="123">
        <f>IFERROR(INDEX(DATABASE_FG!$L$5:$L$367, MATCH(E114, DATABASE_FG!$C$5:$C$367, 0)), " ")</f>
        <v>42</v>
      </c>
      <c r="T114" s="36" t="s">
        <v>679</v>
      </c>
      <c r="U114" s="36"/>
      <c r="V114" s="36"/>
      <c r="W114" s="129"/>
      <c r="X114" s="36"/>
      <c r="Y114" s="36"/>
      <c r="Z114" s="36"/>
      <c r="AA114" s="125" t="s">
        <v>121</v>
      </c>
      <c r="AB114" s="173">
        <v>45600</v>
      </c>
      <c r="AC114" s="119">
        <v>202401318</v>
      </c>
      <c r="AD114" s="36">
        <f t="shared" si="14"/>
        <v>5500494573</v>
      </c>
      <c r="AE114" s="36">
        <f t="shared" si="15"/>
        <v>1818509661</v>
      </c>
      <c r="AF114" s="36">
        <v>40</v>
      </c>
      <c r="AG114" s="120">
        <f t="shared" si="16"/>
        <v>101.19999999999999</v>
      </c>
      <c r="AH114" s="36"/>
      <c r="AI114" s="124"/>
      <c r="AJ114" s="122" t="s">
        <v>2354</v>
      </c>
      <c r="AK114" s="129" t="str">
        <f t="shared" ca="1" si="17"/>
        <v>On Time</v>
      </c>
      <c r="AL114" s="268" t="str">
        <f t="shared" si="13"/>
        <v>January</v>
      </c>
      <c r="AM114" s="133">
        <f>YEAR(Table1[[#This Row],[ETA
As requested
dd.mm.yyyy]])</f>
        <v>2025</v>
      </c>
    </row>
    <row r="115" spans="1:40" ht="15.75" hidden="1">
      <c r="A115" s="123" t="s">
        <v>26</v>
      </c>
      <c r="B115" s="36" t="s">
        <v>1170</v>
      </c>
      <c r="C115" s="117">
        <v>5500494573</v>
      </c>
      <c r="D115" s="165">
        <v>45594</v>
      </c>
      <c r="E115" s="117">
        <v>1818509661</v>
      </c>
      <c r="F115" s="36" t="str">
        <f>IFERROR(VLOOKUP(Table1[[#This Row],[Part Number]],DATABASE_FG!$C$6:D10104,2,FALSE)," ")</f>
        <v>VALVE BODY</v>
      </c>
      <c r="G115" s="117" t="str">
        <f>IFERROR(_xlfn.XLOOKUP(Table1[[#This Row],[Part Number]],Table3[Part number],Table3[Drawing
 Revision]),"")</f>
        <v>AB</v>
      </c>
      <c r="H115" s="118" cm="1">
        <f t="array" ref="H115">IFERROR(INDEX(PDB!$C:$AT,MATCH(E115,PDB!$B:$B,0),MATCH(YEAR(K115),0+PDB!$C$1:$AT$1,0)),"")</f>
        <v>2.5299999999999998</v>
      </c>
      <c r="I115" s="36">
        <v>100</v>
      </c>
      <c r="J115" s="125">
        <f>IFERROR(Table1[[#This Row],[Quantity]]*Table1[[#This Row],[Price/Unit
EUR]]," ")</f>
        <v>252.99999999999997</v>
      </c>
      <c r="K115" s="126">
        <v>45697</v>
      </c>
      <c r="L115" s="36">
        <f>WEEKNUM(Table1[[#This Row],[ETA
As requested
dd.mm.yyyy]])</f>
        <v>7</v>
      </c>
      <c r="M115" s="36">
        <f>YEAR(Table1[[#This Row],[ETA
As requested
dd.mm.yyyy]])</f>
        <v>2025</v>
      </c>
      <c r="N115" s="36">
        <f>IFERROR(INDEX(DATABASE_FG!$H$5:$H$367, MATCH(E115, DATABASE_FG!$C$5:$C$367, 0)), " ")</f>
        <v>0</v>
      </c>
      <c r="O115" s="129" t="str">
        <f>IF(E115&lt;&gt;"", _xlfn.XLOOKUP(E115, DATABASE_FG!C:C, DATABASE_FG!F:F), " ")</f>
        <v>Ventilkoerper</v>
      </c>
      <c r="P115" s="129">
        <f>IFERROR(INDEX(DATABASE_FG!$G$5:$G$367, MATCH(E115, DATABASE_FG!$C$5:$C$367, 0)), "Not Found")</f>
        <v>80</v>
      </c>
      <c r="Q115" s="36"/>
      <c r="R115" s="125" t="s">
        <v>678</v>
      </c>
      <c r="S115" s="123">
        <f>IFERROR(INDEX(DATABASE_FG!$L$5:$L$367, MATCH(E115, DATABASE_FG!$C$5:$C$367, 0)), " ")</f>
        <v>42</v>
      </c>
      <c r="T115" s="36" t="s">
        <v>679</v>
      </c>
      <c r="U115" s="36" t="s">
        <v>2788</v>
      </c>
      <c r="V115" s="36"/>
      <c r="W115" s="129"/>
      <c r="X115" s="36"/>
      <c r="Y115" s="36" t="s">
        <v>2789</v>
      </c>
      <c r="Z115" s="36"/>
      <c r="AA115" s="125" t="s">
        <v>121</v>
      </c>
      <c r="AB115" s="173">
        <v>45703</v>
      </c>
      <c r="AC115" s="119" t="s">
        <v>2790</v>
      </c>
      <c r="AD115" s="36">
        <f t="shared" si="14"/>
        <v>5500494573</v>
      </c>
      <c r="AE115" s="36">
        <f t="shared" si="15"/>
        <v>1818509661</v>
      </c>
      <c r="AF115" s="36">
        <f>100-100</f>
        <v>0</v>
      </c>
      <c r="AG115" s="120">
        <f t="shared" si="16"/>
        <v>0</v>
      </c>
      <c r="AH115" s="36"/>
      <c r="AI115" s="124" t="s">
        <v>2791</v>
      </c>
      <c r="AJ115" s="122" t="s">
        <v>2792</v>
      </c>
      <c r="AK115" s="129" t="str">
        <f t="shared" ca="1" si="17"/>
        <v>Late</v>
      </c>
      <c r="AL115" s="268" t="str">
        <f t="shared" si="13"/>
        <v>February</v>
      </c>
      <c r="AM115" s="133">
        <f>YEAR(Table1[[#This Row],[ETA
As requested
dd.mm.yyyy]])</f>
        <v>2025</v>
      </c>
    </row>
    <row r="116" spans="1:40" ht="15.75" hidden="1">
      <c r="A116" s="123" t="s">
        <v>26</v>
      </c>
      <c r="B116" s="36" t="s">
        <v>1170</v>
      </c>
      <c r="C116" s="117">
        <v>5500494573</v>
      </c>
      <c r="D116" s="165">
        <v>45594</v>
      </c>
      <c r="E116" s="117">
        <v>1818509661</v>
      </c>
      <c r="F116" s="36" t="str">
        <f>IFERROR(VLOOKUP(Table1[[#This Row],[Part Number]],DATABASE_FG!$C$6:D10105,2,FALSE)," ")</f>
        <v>VALVE BODY</v>
      </c>
      <c r="G116" s="117" t="str">
        <f>IFERROR(_xlfn.XLOOKUP(Table1[[#This Row],[Part Number]],Table3[Part number],Table3[Drawing
 Revision]),"")</f>
        <v>AB</v>
      </c>
      <c r="H116" s="118" cm="1">
        <f t="array" ref="H116">IFERROR(INDEX(PDB!$C:$AT,MATCH(E116,PDB!$B:$B,0),MATCH(YEAR(K116),0+PDB!$C$1:$AT$1,0)),"")</f>
        <v>2.5299999999999998</v>
      </c>
      <c r="I116" s="36">
        <v>64</v>
      </c>
      <c r="J116" s="125">
        <f>IFERROR(Table1[[#This Row],[Quantity]]*Table1[[#This Row],[Price/Unit
EUR]]," ")</f>
        <v>161.91999999999999</v>
      </c>
      <c r="K116" s="126">
        <v>45697</v>
      </c>
      <c r="L116" s="36">
        <f>WEEKNUM(Table1[[#This Row],[ETA
As requested
dd.mm.yyyy]])</f>
        <v>7</v>
      </c>
      <c r="M116" s="36">
        <f>YEAR(Table1[[#This Row],[ETA
As requested
dd.mm.yyyy]])</f>
        <v>2025</v>
      </c>
      <c r="N116" s="36">
        <f>IFERROR(INDEX(DATABASE_FG!$H$5:$H$367, MATCH(E116, DATABASE_FG!$C$5:$C$367, 0)), " ")</f>
        <v>0</v>
      </c>
      <c r="O116" s="129" t="str">
        <f>IF(E116&lt;&gt;"", _xlfn.XLOOKUP(E116, DATABASE_FG!C:C, DATABASE_FG!F:F), " ")</f>
        <v>Ventilkoerper</v>
      </c>
      <c r="P116" s="129">
        <f>IFERROR(INDEX(DATABASE_FG!$G$5:$G$367, MATCH(E116, DATABASE_FG!$C$5:$C$367, 0)), "Not Found")</f>
        <v>80</v>
      </c>
      <c r="Q116" s="36"/>
      <c r="R116" s="125" t="s">
        <v>678</v>
      </c>
      <c r="S116" s="123">
        <f>IFERROR(INDEX(DATABASE_FG!$L$5:$L$367, MATCH(E116, DATABASE_FG!$C$5:$C$367, 0)), " ")</f>
        <v>42</v>
      </c>
      <c r="T116" s="36" t="s">
        <v>679</v>
      </c>
      <c r="U116" s="36"/>
      <c r="V116" s="36"/>
      <c r="W116" s="129"/>
      <c r="X116" s="36"/>
      <c r="Y116" s="36"/>
      <c r="Z116" s="36"/>
      <c r="AA116" s="125" t="s">
        <v>121</v>
      </c>
      <c r="AB116" s="173">
        <v>45703</v>
      </c>
      <c r="AC116" s="119" t="s">
        <v>2790</v>
      </c>
      <c r="AD116" s="36">
        <f t="shared" si="14"/>
        <v>5500494573</v>
      </c>
      <c r="AE116" s="36">
        <f t="shared" si="15"/>
        <v>1818509661</v>
      </c>
      <c r="AF116" s="36">
        <f>64-64</f>
        <v>0</v>
      </c>
      <c r="AG116" s="120">
        <f t="shared" si="16"/>
        <v>0</v>
      </c>
      <c r="AH116" s="36"/>
      <c r="AI116" s="124" t="s">
        <v>2791</v>
      </c>
      <c r="AJ116" s="122" t="s">
        <v>2792</v>
      </c>
      <c r="AK116" s="129" t="str">
        <f t="shared" ca="1" si="17"/>
        <v>Late</v>
      </c>
      <c r="AL116" s="268" t="str">
        <f t="shared" si="13"/>
        <v>February</v>
      </c>
      <c r="AM116" s="133">
        <f>YEAR(Table1[[#This Row],[ETA
As requested
dd.mm.yyyy]])</f>
        <v>2025</v>
      </c>
    </row>
    <row r="117" spans="1:40" hidden="1">
      <c r="A117" s="123" t="s">
        <v>26</v>
      </c>
      <c r="B117" s="36" t="s">
        <v>1170</v>
      </c>
      <c r="C117" s="117">
        <v>5500494573</v>
      </c>
      <c r="D117" s="165">
        <v>45594</v>
      </c>
      <c r="E117" s="117">
        <v>1818509661</v>
      </c>
      <c r="F117" s="36" t="str">
        <f>IFERROR(VLOOKUP(Table1[[#This Row],[Part Number]],DATABASE_FG!$C$6:D10106,2,FALSE)," ")</f>
        <v>VALVE BODY</v>
      </c>
      <c r="G117" s="117" t="str">
        <f>IFERROR(_xlfn.XLOOKUP(Table1[[#This Row],[Part Number]],Table3[Part number],Table3[Drawing
 Revision]),"")</f>
        <v>AB</v>
      </c>
      <c r="H117" s="118" cm="1">
        <f t="array" ref="H117">IFERROR(INDEX(PDB!$C:$AT,MATCH(E117,PDB!$B:$B,0),MATCH(YEAR(K117),0+PDB!$C$1:$AT$1,0)),"")</f>
        <v>2.5299999999999998</v>
      </c>
      <c r="I117" s="36">
        <v>159</v>
      </c>
      <c r="J117" s="125">
        <f>IFERROR(Table1[[#This Row],[Quantity]]*Table1[[#This Row],[Price/Unit
EUR]]," ")</f>
        <v>402.27</v>
      </c>
      <c r="K117" s="126">
        <v>45697</v>
      </c>
      <c r="L117" s="36">
        <f>WEEKNUM(Table1[[#This Row],[ETA
As requested
dd.mm.yyyy]])</f>
        <v>7</v>
      </c>
      <c r="M117" s="36">
        <f>YEAR(Table1[[#This Row],[ETA
As requested
dd.mm.yyyy]])</f>
        <v>2025</v>
      </c>
      <c r="N117" s="36">
        <f>IFERROR(INDEX(DATABASE_FG!$H$5:$H$367, MATCH(E117, DATABASE_FG!$C$5:$C$367, 0)), " ")</f>
        <v>0</v>
      </c>
      <c r="O117" s="129" t="str">
        <f>IF(E117&lt;&gt;"", _xlfn.XLOOKUP(E117, DATABASE_FG!C:C, DATABASE_FG!F:F), " ")</f>
        <v>Ventilkoerper</v>
      </c>
      <c r="P117" s="129">
        <f>IFERROR(INDEX(DATABASE_FG!$G$5:$G$367, MATCH(E117, DATABASE_FG!$C$5:$C$367, 0)), "Not Found")</f>
        <v>80</v>
      </c>
      <c r="Q117" s="36"/>
      <c r="R117" s="125" t="s">
        <v>678</v>
      </c>
      <c r="S117" s="123">
        <f>IFERROR(INDEX(DATABASE_FG!$L$5:$L$367, MATCH(E117, DATABASE_FG!$C$5:$C$367, 0)), " ")</f>
        <v>42</v>
      </c>
      <c r="T117" s="36" t="s">
        <v>679</v>
      </c>
      <c r="U117" s="36"/>
      <c r="V117" s="36"/>
      <c r="W117" s="129"/>
      <c r="X117" s="36"/>
      <c r="Y117" s="36"/>
      <c r="Z117" s="36"/>
      <c r="AA117" s="125" t="s">
        <v>121</v>
      </c>
      <c r="AB117" s="173">
        <v>45736</v>
      </c>
      <c r="AC117" s="119">
        <v>25419</v>
      </c>
      <c r="AD117" s="36">
        <f t="shared" si="14"/>
        <v>5500494573</v>
      </c>
      <c r="AE117" s="36">
        <f t="shared" si="15"/>
        <v>1818509661</v>
      </c>
      <c r="AF117" s="36">
        <v>159</v>
      </c>
      <c r="AG117" s="120">
        <f t="shared" si="16"/>
        <v>402.27</v>
      </c>
      <c r="AH117" s="36"/>
      <c r="AI117" s="124" t="s">
        <v>2793</v>
      </c>
      <c r="AJ117" s="122" t="s">
        <v>2794</v>
      </c>
      <c r="AK117" s="129" t="str">
        <f t="shared" ca="1" si="17"/>
        <v>Late</v>
      </c>
      <c r="AL117" s="268" t="str">
        <f t="shared" si="13"/>
        <v>February</v>
      </c>
      <c r="AM117" s="133">
        <f>YEAR(Table1[[#This Row],[ETA
As requested
dd.mm.yyyy]])</f>
        <v>2025</v>
      </c>
    </row>
    <row r="118" spans="1:40" hidden="1">
      <c r="A118" s="123" t="s">
        <v>26</v>
      </c>
      <c r="B118" s="36" t="s">
        <v>1170</v>
      </c>
      <c r="C118" s="117">
        <v>5500494573</v>
      </c>
      <c r="D118" s="165">
        <v>45594</v>
      </c>
      <c r="E118" s="117">
        <v>1818509661</v>
      </c>
      <c r="F118" s="36" t="str">
        <f>IFERROR(VLOOKUP(Table1[[#This Row],[Part Number]],DATABASE_FG!$C$6:D10107,2,FALSE)," ")</f>
        <v>VALVE BODY</v>
      </c>
      <c r="G118" s="117" t="str">
        <f>IFERROR(_xlfn.XLOOKUP(Table1[[#This Row],[Part Number]],Table3[Part number],Table3[Drawing
 Revision]),"")</f>
        <v>AB</v>
      </c>
      <c r="H118" s="118" cm="1">
        <f t="array" ref="H118">IFERROR(INDEX(PDB!$C:$AT,MATCH(E118,PDB!$B:$B,0),MATCH(YEAR(K118),0+PDB!$C$1:$AT$1,0)),"")</f>
        <v>2.5299999999999998</v>
      </c>
      <c r="I118" s="36">
        <v>16</v>
      </c>
      <c r="J118" s="125">
        <f>IFERROR(Table1[[#This Row],[Quantity]]*Table1[[#This Row],[Price/Unit
EUR]]," ")</f>
        <v>40.479999999999997</v>
      </c>
      <c r="K118" s="126">
        <v>45810</v>
      </c>
      <c r="L118" s="36">
        <f>WEEKNUM(Table1[[#This Row],[ETA
As requested
dd.mm.yyyy]])</f>
        <v>23</v>
      </c>
      <c r="M118" s="36">
        <f>YEAR(Table1[[#This Row],[ETA
As requested
dd.mm.yyyy]])</f>
        <v>2025</v>
      </c>
      <c r="N118" s="36">
        <f>IFERROR(INDEX(DATABASE_FG!$H$5:$H$367, MATCH(E118, DATABASE_FG!$C$5:$C$367, 0)), " ")</f>
        <v>0</v>
      </c>
      <c r="O118" s="129" t="str">
        <f>IF(E118&lt;&gt;"", _xlfn.XLOOKUP(E118, DATABASE_FG!C:C, DATABASE_FG!F:F), " ")</f>
        <v>Ventilkoerper</v>
      </c>
      <c r="P118" s="129">
        <f>IFERROR(INDEX(DATABASE_FG!$G$5:$G$367, MATCH(E118, DATABASE_FG!$C$5:$C$367, 0)), "Not Found")</f>
        <v>80</v>
      </c>
      <c r="Q118" s="36"/>
      <c r="R118" s="125" t="s">
        <v>678</v>
      </c>
      <c r="S118" s="123">
        <f>IFERROR(INDEX(DATABASE_FG!$L$5:$L$367, MATCH(E118, DATABASE_FG!$C$5:$C$367, 0)), " ")</f>
        <v>42</v>
      </c>
      <c r="T118" s="36" t="s">
        <v>679</v>
      </c>
      <c r="U118" s="36"/>
      <c r="V118" s="36"/>
      <c r="W118" s="129"/>
      <c r="X118" s="36"/>
      <c r="Y118" s="36"/>
      <c r="Z118" s="36"/>
      <c r="AA118" s="125" t="s">
        <v>121</v>
      </c>
      <c r="AB118" s="173">
        <v>45600</v>
      </c>
      <c r="AC118" s="119">
        <v>202401318</v>
      </c>
      <c r="AD118" s="36">
        <f t="shared" si="14"/>
        <v>5500494573</v>
      </c>
      <c r="AE118" s="36">
        <f t="shared" si="15"/>
        <v>1818509661</v>
      </c>
      <c r="AF118" s="36">
        <v>16</v>
      </c>
      <c r="AG118" s="120">
        <f t="shared" si="16"/>
        <v>40.479999999999997</v>
      </c>
      <c r="AH118" s="36"/>
      <c r="AI118" s="124"/>
      <c r="AJ118" s="122" t="s">
        <v>2354</v>
      </c>
      <c r="AK118" s="129" t="str">
        <f t="shared" ca="1" si="17"/>
        <v>On Time</v>
      </c>
      <c r="AL118" s="268" t="str">
        <f t="shared" si="13"/>
        <v>June</v>
      </c>
      <c r="AM118" s="133">
        <f>YEAR(Table1[[#This Row],[ETA
As requested
dd.mm.yyyy]])</f>
        <v>2025</v>
      </c>
    </row>
    <row r="119" spans="1:40" hidden="1">
      <c r="A119" s="123" t="s">
        <v>26</v>
      </c>
      <c r="B119" s="36" t="s">
        <v>1170</v>
      </c>
      <c r="C119" s="117">
        <v>4508771389</v>
      </c>
      <c r="D119" s="165"/>
      <c r="E119" s="117">
        <v>1818509665</v>
      </c>
      <c r="F119" s="36" t="str">
        <f>IFERROR(VLOOKUP(Table1[[#This Row],[Part Number]],DATABASE_FG!$C$6:D10108,2,FALSE)," ")</f>
        <v>VALVE BODY</v>
      </c>
      <c r="G119" s="117" t="str">
        <f>IFERROR(_xlfn.XLOOKUP(Table1[[#This Row],[Part Number]],Table3[Part number],Table3[Drawing
 Revision]),"")</f>
        <v>AB</v>
      </c>
      <c r="H119" s="118">
        <v>300</v>
      </c>
      <c r="I119" s="36">
        <v>5</v>
      </c>
      <c r="J119" s="125">
        <f>IFERROR(Table1[[#This Row],[Quantity]]*Table1[[#This Row],[Price/Unit
EUR]]," ")</f>
        <v>1500</v>
      </c>
      <c r="K119" s="126">
        <v>45541</v>
      </c>
      <c r="L119" s="36">
        <f>WEEKNUM(Table1[[#This Row],[ETA
As requested
dd.mm.yyyy]])</f>
        <v>36</v>
      </c>
      <c r="M119" s="36">
        <f>YEAR(Table1[[#This Row],[ETA
As requested
dd.mm.yyyy]])</f>
        <v>2024</v>
      </c>
      <c r="N119" s="36">
        <f>IFERROR(INDEX(DATABASE_FG!$H$5:$H$367, MATCH(E119, DATABASE_FG!$C$5:$C$367, 0)), " ")</f>
        <v>0</v>
      </c>
      <c r="O119" s="129" t="str">
        <f>IF(E119&lt;&gt;"", _xlfn.XLOOKUP(E119, DATABASE_FG!C:C, DATABASE_FG!F:F), " ")</f>
        <v>Ventilkoerper</v>
      </c>
      <c r="P119" s="129">
        <f>IFERROR(INDEX(DATABASE_FG!$G$5:$G$367, MATCH(E119, DATABASE_FG!$C$5:$C$367, 0)), "Not Found")</f>
        <v>10</v>
      </c>
      <c r="Q119" s="36">
        <v>60</v>
      </c>
      <c r="R119" s="125" t="s">
        <v>680</v>
      </c>
      <c r="S119" s="123">
        <f>Table1[[#This Row],[Quantity]]/48</f>
        <v>0.10416666666666667</v>
      </c>
      <c r="T119" s="36"/>
      <c r="U119" s="36"/>
      <c r="V119" s="36"/>
      <c r="W119" s="129"/>
      <c r="X119" s="36"/>
      <c r="Y119" s="36"/>
      <c r="Z119" s="36"/>
      <c r="AA119" s="125" t="s">
        <v>121</v>
      </c>
      <c r="AB119" s="173">
        <v>45952</v>
      </c>
      <c r="AC119" s="119">
        <v>251193</v>
      </c>
      <c r="AD119" s="36">
        <f t="shared" si="14"/>
        <v>4508771389</v>
      </c>
      <c r="AE119" s="36">
        <f t="shared" si="15"/>
        <v>1818509665</v>
      </c>
      <c r="AF119" s="36">
        <v>5</v>
      </c>
      <c r="AG119" s="120">
        <f t="shared" si="16"/>
        <v>1500</v>
      </c>
      <c r="AH119" s="36"/>
      <c r="AI119" s="124"/>
      <c r="AJ119" s="122" t="s">
        <v>4392</v>
      </c>
      <c r="AK119" s="129" t="str">
        <f t="shared" ca="1" si="17"/>
        <v>Late</v>
      </c>
      <c r="AL119" s="268" t="str">
        <f t="shared" si="13"/>
        <v>September</v>
      </c>
      <c r="AM119" s="133">
        <f>YEAR(Table1[[#This Row],[ETA
As requested
dd.mm.yyyy]])</f>
        <v>2024</v>
      </c>
      <c r="AN119" s="191"/>
    </row>
    <row r="120" spans="1:40" hidden="1">
      <c r="A120" s="123" t="s">
        <v>26</v>
      </c>
      <c r="B120" s="36" t="s">
        <v>1170</v>
      </c>
      <c r="C120" s="117">
        <v>4508771389</v>
      </c>
      <c r="D120" s="165"/>
      <c r="E120" s="117">
        <v>1818509665</v>
      </c>
      <c r="F120" s="36" t="str">
        <f>IFERROR(VLOOKUP(Table1[[#This Row],[Part Number]],DATABASE_FG!$C$6:D10109,2,FALSE)," ")</f>
        <v>VALVE BODY</v>
      </c>
      <c r="G120" s="117" t="str">
        <f>IFERROR(_xlfn.XLOOKUP(Table1[[#This Row],[Part Number]],Table3[Part number],Table3[Drawing
 Revision]),"")</f>
        <v>AB</v>
      </c>
      <c r="H120" s="118" cm="1">
        <f t="array" ref="H120">IFERROR(INDEX(PDB!$C:$AT,MATCH(E120,PDB!$B:$B,0),MATCH(YEAR(K120),0+PDB!$C$1:$AT$1,0)),"")</f>
        <v>9.86</v>
      </c>
      <c r="I120" s="36">
        <v>5</v>
      </c>
      <c r="J120" s="125">
        <f>IFERROR(Table1[[#This Row],[Quantity]]*Table1[[#This Row],[Price/Unit
EUR]]," ")</f>
        <v>49.3</v>
      </c>
      <c r="K120" s="126">
        <v>45541</v>
      </c>
      <c r="L120" s="36">
        <f>WEEKNUM(Table1[[#This Row],[ETA
As requested
dd.mm.yyyy]])</f>
        <v>36</v>
      </c>
      <c r="M120" s="36">
        <f>YEAR(Table1[[#This Row],[ETA
As requested
dd.mm.yyyy]])</f>
        <v>2024</v>
      </c>
      <c r="N120" s="36">
        <f>IFERROR(INDEX(DATABASE_FG!$H$5:$H$367, MATCH(E120, DATABASE_FG!$C$5:$C$367, 0)), " ")</f>
        <v>0</v>
      </c>
      <c r="O120" s="129" t="str">
        <f>IF(E120&lt;&gt;"", _xlfn.XLOOKUP(E120, DATABASE_FG!C:C, DATABASE_FG!F:F), " ")</f>
        <v>Ventilkoerper</v>
      </c>
      <c r="P120" s="129">
        <f>IFERROR(INDEX(DATABASE_FG!$G$5:$G$367, MATCH(E120, DATABASE_FG!$C$5:$C$367, 0)), "Not Found")</f>
        <v>10</v>
      </c>
      <c r="Q120" s="36">
        <v>60</v>
      </c>
      <c r="R120" s="125" t="s">
        <v>680</v>
      </c>
      <c r="S120" s="123">
        <f>IFERROR(INDEX(DATABASE_FG!$L$5:$L$367, MATCH(E120, DATABASE_FG!$C$5:$C$367, 0)), " ")</f>
        <v>56</v>
      </c>
      <c r="T120" s="36" t="s">
        <v>677</v>
      </c>
      <c r="U120" s="36"/>
      <c r="V120" s="36"/>
      <c r="W120" s="129"/>
      <c r="X120" s="36"/>
      <c r="Y120" s="36"/>
      <c r="Z120" s="36" t="s">
        <v>2339</v>
      </c>
      <c r="AA120" s="125" t="s">
        <v>121</v>
      </c>
      <c r="AB120" s="173">
        <v>45527</v>
      </c>
      <c r="AC120" s="119">
        <v>202401056</v>
      </c>
      <c r="AD120" s="36">
        <f t="shared" si="14"/>
        <v>4508771389</v>
      </c>
      <c r="AE120" s="36">
        <f t="shared" si="15"/>
        <v>1818509665</v>
      </c>
      <c r="AF120" s="36">
        <v>5</v>
      </c>
      <c r="AG120" s="120">
        <f t="shared" si="16"/>
        <v>49.3</v>
      </c>
      <c r="AH120" s="36"/>
      <c r="AI120" s="124" t="s">
        <v>4394</v>
      </c>
      <c r="AJ120" s="122" t="s">
        <v>4393</v>
      </c>
      <c r="AK120" s="129" t="str">
        <f t="shared" ca="1" si="17"/>
        <v>On Time</v>
      </c>
      <c r="AL120" s="268" t="str">
        <f t="shared" si="13"/>
        <v>September</v>
      </c>
      <c r="AM120" s="133">
        <f>YEAR(Table1[[#This Row],[ETA
As requested
dd.mm.yyyy]])</f>
        <v>2024</v>
      </c>
    </row>
    <row r="121" spans="1:40" hidden="1">
      <c r="A121" s="123" t="s">
        <v>26</v>
      </c>
      <c r="B121" s="36" t="s">
        <v>1170</v>
      </c>
      <c r="C121" s="117">
        <v>4509087469</v>
      </c>
      <c r="D121" s="165"/>
      <c r="E121" s="117">
        <v>1818509668</v>
      </c>
      <c r="F121" s="36" t="str">
        <f>IFERROR(VLOOKUP(Table1[[#This Row],[Part Number]],DATABASE_FG!$C$6:D10110,2,FALSE)," ")</f>
        <v>VALVE_INSERT_3WRCBEE_25_VF190M_1X_</v>
      </c>
      <c r="G121" s="117">
        <f>IFERROR(_xlfn.XLOOKUP(Table1[[#This Row],[Part Number]],Table3[Part number],Table3[Drawing
 Revision]),"")</f>
        <v>1</v>
      </c>
      <c r="H121" s="118" cm="1">
        <f t="array" ref="H121">IFERROR(INDEX(PDB!$C:$AT,MATCH(E121,PDB!$B:$B,0),MATCH(YEAR(K121),0+PDB!$C$1:$AT$1,0)),"")</f>
        <v>43.56</v>
      </c>
      <c r="I121" s="36">
        <v>5</v>
      </c>
      <c r="J121" s="125">
        <f>IFERROR(Table1[[#This Row],[Quantity]]*Table1[[#This Row],[Price/Unit
EUR]]," ")</f>
        <v>217.8</v>
      </c>
      <c r="K121" s="126">
        <v>44853</v>
      </c>
      <c r="L121" s="36">
        <f>WEEKNUM(Table1[[#This Row],[ETA
As requested
dd.mm.yyyy]])</f>
        <v>43</v>
      </c>
      <c r="M121" s="36">
        <f>YEAR(Table1[[#This Row],[ETA
As requested
dd.mm.yyyy]])</f>
        <v>2022</v>
      </c>
      <c r="N121" s="36">
        <f>IFERROR(INDEX(DATABASE_FG!$H$5:$H$367, MATCH(E121, DATABASE_FG!$C$5:$C$367, 0)), " ")</f>
        <v>0</v>
      </c>
      <c r="O121" s="129" t="str">
        <f>IF(E121&lt;&gt;"", _xlfn.XLOOKUP(E121, DATABASE_FG!C:C, DATABASE_FG!F:F), " ")</f>
        <v>Ventileinsatz</v>
      </c>
      <c r="P121" s="129">
        <f>IFERROR(INDEX(DATABASE_FG!$G$5:$G$367, MATCH(E121, DATABASE_FG!$C$5:$C$367, 0)), "Not Found")</f>
        <v>100</v>
      </c>
      <c r="Q121" s="36"/>
      <c r="R121" s="125" t="s">
        <v>680</v>
      </c>
      <c r="S121" s="123">
        <f>IFERROR(INDEX(DATABASE_FG!$L$5:$L$367, MATCH(E121, DATABASE_FG!$C$5:$C$367, 0)), " ")</f>
        <v>56</v>
      </c>
      <c r="T121" s="36" t="s">
        <v>677</v>
      </c>
      <c r="U121" s="36"/>
      <c r="V121" s="36"/>
      <c r="W121" s="129"/>
      <c r="X121" s="36"/>
      <c r="Y121" s="36"/>
      <c r="Z121" s="36"/>
      <c r="AA121" s="125" t="s">
        <v>121</v>
      </c>
      <c r="AB121" s="173"/>
      <c r="AC121" s="119"/>
      <c r="AD121" s="36" t="str">
        <f t="shared" si="14"/>
        <v/>
      </c>
      <c r="AE121" s="36" t="str">
        <f t="shared" si="15"/>
        <v/>
      </c>
      <c r="AF121" s="36">
        <v>0</v>
      </c>
      <c r="AG121" s="120">
        <f t="shared" si="16"/>
        <v>0</v>
      </c>
      <c r="AH121" s="36"/>
      <c r="AI121" s="124" t="s">
        <v>1171</v>
      </c>
      <c r="AJ121" s="122"/>
      <c r="AK121" s="129" t="str">
        <f t="shared" ca="1" si="17"/>
        <v>Late</v>
      </c>
      <c r="AL121" s="268" t="str">
        <f t="shared" si="13"/>
        <v>October</v>
      </c>
      <c r="AM121" s="133">
        <f>YEAR(Table1[[#This Row],[ETA
As requested
dd.mm.yyyy]])</f>
        <v>2022</v>
      </c>
    </row>
    <row r="122" spans="1:40" hidden="1">
      <c r="A122" s="123" t="s">
        <v>26</v>
      </c>
      <c r="B122" s="36" t="s">
        <v>1170</v>
      </c>
      <c r="C122" s="117">
        <v>4509087632</v>
      </c>
      <c r="D122" s="165"/>
      <c r="E122" s="117">
        <v>1818509669</v>
      </c>
      <c r="F122" s="36" t="str">
        <f>IFERROR(VLOOKUP(Table1[[#This Row],[Part Number]],DATABASE_FG!$C$6:D10111,2,FALSE)," ")</f>
        <v>VALVE_INSERT_3WRCBEE_32_VF380M_1X_</v>
      </c>
      <c r="G122" s="117">
        <f>IFERROR(_xlfn.XLOOKUP(Table1[[#This Row],[Part Number]],Table3[Part number],Table3[Drawing
 Revision]),"")</f>
        <v>1</v>
      </c>
      <c r="H122" s="118" cm="1">
        <f t="array" ref="H122">IFERROR(INDEX(PDB!$C:$AT,MATCH(E122,PDB!$B:$B,0),MATCH(YEAR(K122),0+PDB!$C$1:$AT$1,0)),"")</f>
        <v>88.15</v>
      </c>
      <c r="I122" s="36">
        <v>5</v>
      </c>
      <c r="J122" s="125">
        <f>IFERROR(Table1[[#This Row],[Quantity]]*Table1[[#This Row],[Price/Unit
EUR]]," ")</f>
        <v>440.75</v>
      </c>
      <c r="K122" s="126">
        <v>44860</v>
      </c>
      <c r="L122" s="36">
        <f>WEEKNUM(Table1[[#This Row],[ETA
As requested
dd.mm.yyyy]])</f>
        <v>44</v>
      </c>
      <c r="M122" s="36">
        <f>YEAR(Table1[[#This Row],[ETA
As requested
dd.mm.yyyy]])</f>
        <v>2022</v>
      </c>
      <c r="N122" s="36">
        <f>IFERROR(INDEX(DATABASE_FG!$H$5:$H$367, MATCH(E122, DATABASE_FG!$C$5:$C$367, 0)), " ")</f>
        <v>0</v>
      </c>
      <c r="O122" s="129" t="str">
        <f>IF(E122&lt;&gt;"", _xlfn.XLOOKUP(E122, DATABASE_FG!C:C, DATABASE_FG!F:F), " ")</f>
        <v>Ventileinsatz</v>
      </c>
      <c r="P122" s="129">
        <f>IFERROR(INDEX(DATABASE_FG!$G$5:$G$367, MATCH(E122, DATABASE_FG!$C$5:$C$367, 0)), "Not Found")</f>
        <v>10</v>
      </c>
      <c r="Q122" s="36"/>
      <c r="R122" s="125" t="s">
        <v>680</v>
      </c>
      <c r="S122" s="123">
        <f>IFERROR(INDEX(DATABASE_FG!$L$5:$L$367, MATCH(E122, DATABASE_FG!$C$5:$C$367, 0)), " ")</f>
        <v>56</v>
      </c>
      <c r="T122" s="36" t="s">
        <v>677</v>
      </c>
      <c r="U122" s="36"/>
      <c r="V122" s="36"/>
      <c r="W122" s="129"/>
      <c r="X122" s="36"/>
      <c r="Y122" s="36"/>
      <c r="Z122" s="36"/>
      <c r="AA122" s="125" t="s">
        <v>121</v>
      </c>
      <c r="AB122" s="173"/>
      <c r="AC122" s="119"/>
      <c r="AD122" s="36" t="str">
        <f t="shared" si="14"/>
        <v/>
      </c>
      <c r="AE122" s="36" t="str">
        <f t="shared" si="15"/>
        <v/>
      </c>
      <c r="AF122" s="36">
        <v>0</v>
      </c>
      <c r="AG122" s="120">
        <f t="shared" si="16"/>
        <v>0</v>
      </c>
      <c r="AH122" s="36"/>
      <c r="AI122" s="124" t="s">
        <v>1171</v>
      </c>
      <c r="AJ122" s="122"/>
      <c r="AK122" s="129" t="str">
        <f t="shared" ca="1" si="17"/>
        <v>Late</v>
      </c>
      <c r="AL122" s="268" t="str">
        <f t="shared" si="13"/>
        <v>October</v>
      </c>
      <c r="AM122" s="133">
        <f>YEAR(Table1[[#This Row],[ETA
As requested
dd.mm.yyyy]])</f>
        <v>2022</v>
      </c>
    </row>
    <row r="123" spans="1:40" hidden="1">
      <c r="A123" s="123" t="s">
        <v>26</v>
      </c>
      <c r="B123" s="36" t="s">
        <v>1170</v>
      </c>
      <c r="C123" s="117">
        <v>4509087632</v>
      </c>
      <c r="D123" s="165"/>
      <c r="E123" s="117">
        <v>1818509678</v>
      </c>
      <c r="F123" s="36" t="str">
        <f>IFERROR(VLOOKUP(Table1[[#This Row],[Part Number]],DATABASE_FG!$C$6:D10112,2,FALSE)," ")</f>
        <v>VALVE_INSERT_3WRCBH_25_V190M_1X</v>
      </c>
      <c r="G123" s="117">
        <f>IFERROR(_xlfn.XLOOKUP(Table1[[#This Row],[Part Number]],Table3[Part number],Table3[Drawing
 Revision]),"")</f>
        <v>1</v>
      </c>
      <c r="H123" s="118" cm="1">
        <f t="array" ref="H123">IFERROR(INDEX(PDB!$C:$AT,MATCH(E123,PDB!$B:$B,0),MATCH(YEAR(K123),0+PDB!$C$1:$AT$1,0)),"")</f>
        <v>54.41</v>
      </c>
      <c r="I123" s="36">
        <v>5</v>
      </c>
      <c r="J123" s="125">
        <f>IFERROR(Table1[[#This Row],[Quantity]]*Table1[[#This Row],[Price/Unit
EUR]]," ")</f>
        <v>272.04999999999995</v>
      </c>
      <c r="K123" s="126">
        <v>44853</v>
      </c>
      <c r="L123" s="36">
        <f>WEEKNUM(Table1[[#This Row],[ETA
As requested
dd.mm.yyyy]])</f>
        <v>43</v>
      </c>
      <c r="M123" s="36">
        <f>YEAR(Table1[[#This Row],[ETA
As requested
dd.mm.yyyy]])</f>
        <v>2022</v>
      </c>
      <c r="N123" s="36">
        <f>IFERROR(INDEX(DATABASE_FG!$H$5:$H$367, MATCH(E123, DATABASE_FG!$C$5:$C$367, 0)), " ")</f>
        <v>0</v>
      </c>
      <c r="O123" s="129" t="str">
        <f>IF(E123&lt;&gt;"", _xlfn.XLOOKUP(E123, DATABASE_FG!C:C, DATABASE_FG!F:F), " ")</f>
        <v>Ventileinsatz</v>
      </c>
      <c r="P123" s="129">
        <f>IFERROR(INDEX(DATABASE_FG!$G$5:$G$367, MATCH(E123, DATABASE_FG!$C$5:$C$367, 0)), "Not Found")</f>
        <v>15</v>
      </c>
      <c r="Q123" s="36"/>
      <c r="R123" s="125" t="s">
        <v>680</v>
      </c>
      <c r="S123" s="123">
        <f>IFERROR(INDEX(DATABASE_FG!$L$5:$L$367, MATCH(E123, DATABASE_FG!$C$5:$C$367, 0)), " ")</f>
        <v>56</v>
      </c>
      <c r="T123" s="36" t="s">
        <v>677</v>
      </c>
      <c r="U123" s="36"/>
      <c r="V123" s="36"/>
      <c r="W123" s="129"/>
      <c r="X123" s="36"/>
      <c r="Y123" s="36"/>
      <c r="Z123" s="36"/>
      <c r="AA123" s="125" t="s">
        <v>121</v>
      </c>
      <c r="AB123" s="173"/>
      <c r="AC123" s="119"/>
      <c r="AD123" s="36" t="str">
        <f t="shared" si="14"/>
        <v/>
      </c>
      <c r="AE123" s="36" t="str">
        <f t="shared" si="15"/>
        <v/>
      </c>
      <c r="AF123" s="36">
        <v>0</v>
      </c>
      <c r="AG123" s="120">
        <f t="shared" si="16"/>
        <v>0</v>
      </c>
      <c r="AH123" s="36"/>
      <c r="AI123" s="124" t="s">
        <v>1171</v>
      </c>
      <c r="AJ123" s="122"/>
      <c r="AK123" s="129" t="str">
        <f t="shared" ca="1" si="17"/>
        <v>Late</v>
      </c>
      <c r="AL123" s="268" t="str">
        <f t="shared" si="13"/>
        <v>October</v>
      </c>
      <c r="AM123" s="133">
        <f>YEAR(Table1[[#This Row],[ETA
As requested
dd.mm.yyyy]])</f>
        <v>2022</v>
      </c>
    </row>
    <row r="124" spans="1:40" hidden="1">
      <c r="A124" s="123" t="s">
        <v>26</v>
      </c>
      <c r="B124" s="36" t="s">
        <v>1170</v>
      </c>
      <c r="C124" s="117">
        <v>4509087469</v>
      </c>
      <c r="D124" s="165"/>
      <c r="E124" s="117">
        <v>1818509680</v>
      </c>
      <c r="F124" s="36" t="str">
        <f>IFERROR(VLOOKUP(Table1[[#This Row],[Part Number]],DATABASE_FG!$C$6:D10113,2,FALSE)," ")</f>
        <v>VALVE_INSERT_3WRCB_32</v>
      </c>
      <c r="G124" s="117">
        <f>IFERROR(_xlfn.XLOOKUP(Table1[[#This Row],[Part Number]],Table3[Part number],Table3[Drawing
 Revision]),"")</f>
        <v>1</v>
      </c>
      <c r="H124" s="118" cm="1">
        <f t="array" ref="H124">IFERROR(INDEX(PDB!$C:$AT,MATCH(E124,PDB!$B:$B,0),MATCH(YEAR(K124),0+PDB!$C$1:$AT$1,0)),"")</f>
        <v>34.15</v>
      </c>
      <c r="I124" s="36">
        <v>5</v>
      </c>
      <c r="J124" s="125">
        <f>IFERROR(Table1[[#This Row],[Quantity]]*Table1[[#This Row],[Price/Unit
EUR]]," ")</f>
        <v>170.75</v>
      </c>
      <c r="K124" s="126">
        <v>44860</v>
      </c>
      <c r="L124" s="36">
        <f>WEEKNUM(Table1[[#This Row],[ETA
As requested
dd.mm.yyyy]])</f>
        <v>44</v>
      </c>
      <c r="M124" s="36">
        <f>YEAR(Table1[[#This Row],[ETA
As requested
dd.mm.yyyy]])</f>
        <v>2022</v>
      </c>
      <c r="N124" s="36">
        <f>IFERROR(INDEX(DATABASE_FG!$H$5:$H$367, MATCH(E124, DATABASE_FG!$C$5:$C$367, 0)), " ")</f>
        <v>0</v>
      </c>
      <c r="O124" s="129" t="str">
        <f>IF(E124&lt;&gt;"", _xlfn.XLOOKUP(E124, DATABASE_FG!C:C, DATABASE_FG!F:F), " ")</f>
        <v>Ventileinsatz</v>
      </c>
      <c r="P124" s="129">
        <f>IFERROR(INDEX(DATABASE_FG!$G$5:$G$367, MATCH(E124, DATABASE_FG!$C$5:$C$367, 0)), "Not Found")</f>
        <v>440</v>
      </c>
      <c r="Q124" s="36"/>
      <c r="R124" s="125" t="s">
        <v>680</v>
      </c>
      <c r="S124" s="123">
        <f>IFERROR(INDEX(DATABASE_FG!$L$5:$L$367, MATCH(E124, DATABASE_FG!$C$5:$C$367, 0)), " ")</f>
        <v>56</v>
      </c>
      <c r="T124" s="36" t="s">
        <v>677</v>
      </c>
      <c r="U124" s="36"/>
      <c r="V124" s="36"/>
      <c r="W124" s="129"/>
      <c r="X124" s="36"/>
      <c r="Y124" s="36"/>
      <c r="Z124" s="36"/>
      <c r="AA124" s="125" t="s">
        <v>121</v>
      </c>
      <c r="AB124" s="173"/>
      <c r="AC124" s="119"/>
      <c r="AD124" s="36" t="str">
        <f t="shared" si="14"/>
        <v/>
      </c>
      <c r="AE124" s="36" t="str">
        <f t="shared" si="15"/>
        <v/>
      </c>
      <c r="AF124" s="36">
        <v>0</v>
      </c>
      <c r="AG124" s="120">
        <f t="shared" si="16"/>
        <v>0</v>
      </c>
      <c r="AH124" s="36"/>
      <c r="AI124" s="124" t="s">
        <v>1171</v>
      </c>
      <c r="AJ124" s="122"/>
      <c r="AK124" s="129" t="str">
        <f t="shared" ca="1" si="17"/>
        <v>Late</v>
      </c>
      <c r="AL124" s="268" t="str">
        <f t="shared" si="13"/>
        <v>October</v>
      </c>
      <c r="AM124" s="133">
        <f>YEAR(Table1[[#This Row],[ETA
As requested
dd.mm.yyyy]])</f>
        <v>2022</v>
      </c>
    </row>
    <row r="125" spans="1:40" hidden="1">
      <c r="A125" s="123" t="s">
        <v>26</v>
      </c>
      <c r="B125" s="36" t="s">
        <v>1170</v>
      </c>
      <c r="C125" s="117">
        <v>4509087646</v>
      </c>
      <c r="D125" s="165"/>
      <c r="E125" s="117">
        <v>1818509681</v>
      </c>
      <c r="F125" s="36" t="str">
        <f>IFERROR(VLOOKUP(Table1[[#This Row],[Part Number]],DATABASE_FG!$C$6:D10114,2,FALSE)," ")</f>
        <v>VALVE_INSERT_DAU_50_A_T_X20_A_</v>
      </c>
      <c r="G125" s="117">
        <f>IFERROR(_xlfn.XLOOKUP(Table1[[#This Row],[Part Number]],Table3[Part number],Table3[Drawing
 Revision]),"")</f>
        <v>1</v>
      </c>
      <c r="H125" s="118" cm="1">
        <f t="array" ref="H125">IFERROR(INDEX(PDB!$C:$AT,MATCH(E125,PDB!$B:$B,0),MATCH(YEAR(K125),0+PDB!$C$1:$AT$1,0)),"")</f>
        <v>167.29</v>
      </c>
      <c r="I125" s="36">
        <v>5</v>
      </c>
      <c r="J125" s="125">
        <f>IFERROR(Table1[[#This Row],[Quantity]]*Table1[[#This Row],[Price/Unit
EUR]]," ")</f>
        <v>836.44999999999993</v>
      </c>
      <c r="K125" s="126">
        <v>44603</v>
      </c>
      <c r="L125" s="36">
        <f>WEEKNUM(Table1[[#This Row],[ETA
As requested
dd.mm.yyyy]])</f>
        <v>7</v>
      </c>
      <c r="M125" s="36">
        <f>YEAR(Table1[[#This Row],[ETA
As requested
dd.mm.yyyy]])</f>
        <v>2022</v>
      </c>
      <c r="N125" s="36">
        <f>IFERROR(INDEX(DATABASE_FG!$H$5:$H$367, MATCH(E125, DATABASE_FG!$C$5:$C$367, 0)), " ")</f>
        <v>0</v>
      </c>
      <c r="O125" s="129" t="str">
        <f>IF(E125&lt;&gt;"", _xlfn.XLOOKUP(E125, DATABASE_FG!C:C, DATABASE_FG!F:F), " ")</f>
        <v>Ventileinsatz</v>
      </c>
      <c r="P125" s="129">
        <f>IFERROR(INDEX(DATABASE_FG!$G$5:$G$367, MATCH(E125, DATABASE_FG!$C$5:$C$367, 0)), "Not Found")</f>
        <v>5</v>
      </c>
      <c r="Q125" s="36"/>
      <c r="R125" s="125" t="s">
        <v>680</v>
      </c>
      <c r="S125" s="123">
        <f>IFERROR(INDEX(DATABASE_FG!$L$5:$L$367, MATCH(E125, DATABASE_FG!$C$5:$C$367, 0)), " ")</f>
        <v>56</v>
      </c>
      <c r="T125" s="36" t="s">
        <v>677</v>
      </c>
      <c r="U125" s="36"/>
      <c r="V125" s="36"/>
      <c r="W125" s="129"/>
      <c r="X125" s="36"/>
      <c r="Y125" s="36"/>
      <c r="Z125" s="36"/>
      <c r="AA125" s="125" t="s">
        <v>121</v>
      </c>
      <c r="AB125" s="173"/>
      <c r="AC125" s="119"/>
      <c r="AD125" s="36" t="str">
        <f t="shared" si="14"/>
        <v/>
      </c>
      <c r="AE125" s="36" t="str">
        <f t="shared" si="15"/>
        <v/>
      </c>
      <c r="AF125" s="36">
        <v>0</v>
      </c>
      <c r="AG125" s="120">
        <f t="shared" si="16"/>
        <v>0</v>
      </c>
      <c r="AH125" s="36"/>
      <c r="AI125" s="124" t="s">
        <v>1171</v>
      </c>
      <c r="AJ125" s="122"/>
      <c r="AK125" s="129" t="str">
        <f t="shared" ca="1" si="17"/>
        <v>Late</v>
      </c>
      <c r="AL125" s="268" t="str">
        <f t="shared" si="13"/>
        <v>February</v>
      </c>
      <c r="AM125" s="133">
        <f>YEAR(Table1[[#This Row],[ETA
As requested
dd.mm.yyyy]])</f>
        <v>2022</v>
      </c>
    </row>
    <row r="126" spans="1:40" hidden="1">
      <c r="A126" s="123" t="s">
        <v>26</v>
      </c>
      <c r="B126" s="36" t="s">
        <v>1170</v>
      </c>
      <c r="C126" s="117">
        <v>4509087632</v>
      </c>
      <c r="D126" s="165"/>
      <c r="E126" s="117">
        <v>1818509682</v>
      </c>
      <c r="F126" s="36" t="str">
        <f>IFERROR(VLOOKUP(Table1[[#This Row],[Part Number]],DATABASE_FG!$C$6:D10115,2,FALSE)," ")</f>
        <v>VALVE_INSERT_DAU_50_P_A_X20_Z3_2_</v>
      </c>
      <c r="G126" s="117">
        <f>IFERROR(_xlfn.XLOOKUP(Table1[[#This Row],[Part Number]],Table3[Part number],Table3[Drawing
 Revision]),"")</f>
        <v>1</v>
      </c>
      <c r="H126" s="118" cm="1">
        <f t="array" ref="H126">IFERROR(INDEX(PDB!$C:$AT,MATCH(E126,PDB!$B:$B,0),MATCH(YEAR(K126),0+PDB!$C$1:$AT$1,0)),"")</f>
        <v>158.91</v>
      </c>
      <c r="I126" s="36">
        <v>5</v>
      </c>
      <c r="J126" s="125">
        <f>IFERROR(Table1[[#This Row],[Quantity]]*Table1[[#This Row],[Price/Unit
EUR]]," ")</f>
        <v>794.55</v>
      </c>
      <c r="K126" s="126">
        <v>44603</v>
      </c>
      <c r="L126" s="36">
        <f>WEEKNUM(Table1[[#This Row],[ETA
As requested
dd.mm.yyyy]])</f>
        <v>7</v>
      </c>
      <c r="M126" s="36">
        <f>YEAR(Table1[[#This Row],[ETA
As requested
dd.mm.yyyy]])</f>
        <v>2022</v>
      </c>
      <c r="N126" s="36">
        <f>IFERROR(INDEX(DATABASE_FG!$H$5:$H$367, MATCH(E126, DATABASE_FG!$C$5:$C$367, 0)), " ")</f>
        <v>0</v>
      </c>
      <c r="O126" s="129" t="str">
        <f>IF(E126&lt;&gt;"", _xlfn.XLOOKUP(E126, DATABASE_FG!C:C, DATABASE_FG!F:F), " ")</f>
        <v>Ventileinsatz</v>
      </c>
      <c r="P126" s="129">
        <f>IFERROR(INDEX(DATABASE_FG!$G$5:$G$367, MATCH(E126, DATABASE_FG!$C$5:$C$367, 0)), "Not Found")</f>
        <v>10</v>
      </c>
      <c r="Q126" s="36"/>
      <c r="R126" s="125" t="s">
        <v>680</v>
      </c>
      <c r="S126" s="123">
        <f>IFERROR(INDEX(DATABASE_FG!$L$5:$L$367, MATCH(E126, DATABASE_FG!$C$5:$C$367, 0)), " ")</f>
        <v>56</v>
      </c>
      <c r="T126" s="36" t="s">
        <v>677</v>
      </c>
      <c r="U126" s="36"/>
      <c r="V126" s="36"/>
      <c r="W126" s="129"/>
      <c r="X126" s="36"/>
      <c r="Y126" s="36"/>
      <c r="Z126" s="36"/>
      <c r="AA126" s="125" t="s">
        <v>121</v>
      </c>
      <c r="AB126" s="173"/>
      <c r="AC126" s="119"/>
      <c r="AD126" s="36" t="str">
        <f t="shared" si="14"/>
        <v/>
      </c>
      <c r="AE126" s="36" t="str">
        <f t="shared" si="15"/>
        <v/>
      </c>
      <c r="AF126" s="36">
        <v>0</v>
      </c>
      <c r="AG126" s="120">
        <f t="shared" si="16"/>
        <v>0</v>
      </c>
      <c r="AH126" s="36"/>
      <c r="AI126" s="124" t="s">
        <v>1171</v>
      </c>
      <c r="AJ126" s="122"/>
      <c r="AK126" s="129" t="str">
        <f t="shared" ca="1" si="17"/>
        <v>Late</v>
      </c>
      <c r="AL126" s="268" t="str">
        <f t="shared" si="13"/>
        <v>February</v>
      </c>
      <c r="AM126" s="133">
        <f>YEAR(Table1[[#This Row],[ETA
As requested
dd.mm.yyyy]])</f>
        <v>2022</v>
      </c>
    </row>
    <row r="127" spans="1:40" hidden="1">
      <c r="A127" s="123" t="s">
        <v>26</v>
      </c>
      <c r="B127" s="36" t="s">
        <v>1170</v>
      </c>
      <c r="C127" s="117">
        <v>4509087469</v>
      </c>
      <c r="D127" s="165"/>
      <c r="E127" s="117">
        <v>1818509684</v>
      </c>
      <c r="F127" s="36" t="str">
        <f>IFERROR(VLOOKUP(Table1[[#This Row],[Part Number]],DATABASE_FG!$C$6:D10116,2,FALSE)," ")</f>
        <v>VALVE_INSERT_3WRCBH_25_VF65M_1X_Z</v>
      </c>
      <c r="G127" s="117">
        <f>IFERROR(_xlfn.XLOOKUP(Table1[[#This Row],[Part Number]],Table3[Part number],Table3[Drawing
 Revision]),"")</f>
        <v>1</v>
      </c>
      <c r="H127" s="118" cm="1">
        <f t="array" ref="H127">IFERROR(INDEX(PDB!$C:$AT,MATCH(E127,PDB!$B:$B,0),MATCH(YEAR(K127),0+PDB!$C$1:$AT$1,0)),"")</f>
        <v>112.9</v>
      </c>
      <c r="I127" s="36">
        <v>5</v>
      </c>
      <c r="J127" s="125">
        <f>IFERROR(Table1[[#This Row],[Quantity]]*Table1[[#This Row],[Price/Unit
EUR]]," ")</f>
        <v>564.5</v>
      </c>
      <c r="K127" s="126">
        <v>44603</v>
      </c>
      <c r="L127" s="36">
        <f>WEEKNUM(Table1[[#This Row],[ETA
As requested
dd.mm.yyyy]])</f>
        <v>7</v>
      </c>
      <c r="M127" s="36">
        <f>YEAR(Table1[[#This Row],[ETA
As requested
dd.mm.yyyy]])</f>
        <v>2022</v>
      </c>
      <c r="N127" s="36">
        <f>IFERROR(INDEX(DATABASE_FG!$H$5:$H$367, MATCH(E127, DATABASE_FG!$C$5:$C$367, 0)), " ")</f>
        <v>0</v>
      </c>
      <c r="O127" s="129" t="str">
        <f>IF(E127&lt;&gt;"", _xlfn.XLOOKUP(E127, DATABASE_FG!C:C, DATABASE_FG!F:F), " ")</f>
        <v>Ventileinsatz</v>
      </c>
      <c r="P127" s="129">
        <f>IFERROR(INDEX(DATABASE_FG!$G$5:$G$367, MATCH(E127, DATABASE_FG!$C$5:$C$367, 0)), "Not Found")</f>
        <v>50</v>
      </c>
      <c r="Q127" s="36"/>
      <c r="R127" s="125" t="s">
        <v>680</v>
      </c>
      <c r="S127" s="123">
        <f>IFERROR(INDEX(DATABASE_FG!$L$5:$L$367, MATCH(E127, DATABASE_FG!$C$5:$C$367, 0)), " ")</f>
        <v>56</v>
      </c>
      <c r="T127" s="36" t="s">
        <v>677</v>
      </c>
      <c r="U127" s="36"/>
      <c r="V127" s="36"/>
      <c r="W127" s="129"/>
      <c r="X127" s="36"/>
      <c r="Y127" s="36"/>
      <c r="Z127" s="36"/>
      <c r="AA127" s="125" t="s">
        <v>121</v>
      </c>
      <c r="AB127" s="173"/>
      <c r="AC127" s="119"/>
      <c r="AD127" s="36" t="str">
        <f t="shared" si="14"/>
        <v/>
      </c>
      <c r="AE127" s="36" t="str">
        <f t="shared" si="15"/>
        <v/>
      </c>
      <c r="AF127" s="36">
        <v>0</v>
      </c>
      <c r="AG127" s="120">
        <f t="shared" si="16"/>
        <v>0</v>
      </c>
      <c r="AH127" s="36"/>
      <c r="AI127" s="124" t="s">
        <v>1171</v>
      </c>
      <c r="AJ127" s="122"/>
      <c r="AK127" s="129" t="str">
        <f t="shared" ca="1" si="17"/>
        <v>Late</v>
      </c>
      <c r="AL127" s="268" t="str">
        <f t="shared" si="13"/>
        <v>February</v>
      </c>
      <c r="AM127" s="133">
        <f>YEAR(Table1[[#This Row],[ETA
As requested
dd.mm.yyyy]])</f>
        <v>2022</v>
      </c>
    </row>
    <row r="128" spans="1:40" hidden="1">
      <c r="A128" s="123" t="s">
        <v>26</v>
      </c>
      <c r="B128" s="36" t="s">
        <v>1170</v>
      </c>
      <c r="C128" s="117">
        <v>4509087632</v>
      </c>
      <c r="D128" s="165"/>
      <c r="E128" s="117">
        <v>1818509690</v>
      </c>
      <c r="F128" s="36" t="str">
        <f>IFERROR(VLOOKUP(Table1[[#This Row],[Part Number]],DATABASE_FG!$C$6:D10117,2,FALSE)," ")</f>
        <v>VALVE_INSERT_LR32DR40D6X_074</v>
      </c>
      <c r="G128" s="117">
        <f>IFERROR(_xlfn.XLOOKUP(Table1[[#This Row],[Part Number]],Table3[Part number],Table3[Drawing
 Revision]),"")</f>
        <v>1</v>
      </c>
      <c r="H128" s="118" cm="1">
        <f t="array" ref="H128">IFERROR(INDEX(PDB!$C:$AT,MATCH(E128,PDB!$B:$B,0),MATCH(YEAR(K128),0+PDB!$C$1:$AT$1,0)),"")</f>
        <v>67.16</v>
      </c>
      <c r="I128" s="36">
        <v>5</v>
      </c>
      <c r="J128" s="125">
        <f>IFERROR(Table1[[#This Row],[Quantity]]*Table1[[#This Row],[Price/Unit
EUR]]," ")</f>
        <v>335.79999999999995</v>
      </c>
      <c r="K128" s="126">
        <v>44603</v>
      </c>
      <c r="L128" s="36">
        <f>WEEKNUM(Table1[[#This Row],[ETA
As requested
dd.mm.yyyy]])</f>
        <v>7</v>
      </c>
      <c r="M128" s="36">
        <f>YEAR(Table1[[#This Row],[ETA
As requested
dd.mm.yyyy]])</f>
        <v>2022</v>
      </c>
      <c r="N128" s="36">
        <f>IFERROR(INDEX(DATABASE_FG!$H$5:$H$367, MATCH(E128, DATABASE_FG!$C$5:$C$367, 0)), " ")</f>
        <v>0</v>
      </c>
      <c r="O128" s="129" t="str">
        <f>IF(E128&lt;&gt;"", _xlfn.XLOOKUP(E128, DATABASE_FG!C:C, DATABASE_FG!F:F), " ")</f>
        <v>Ventileinsatz</v>
      </c>
      <c r="P128" s="129">
        <f>IFERROR(INDEX(DATABASE_FG!$G$5:$G$367, MATCH(E128, DATABASE_FG!$C$5:$C$367, 0)), "Not Found")</f>
        <v>10</v>
      </c>
      <c r="Q128" s="36"/>
      <c r="R128" s="125" t="s">
        <v>680</v>
      </c>
      <c r="S128" s="123">
        <f>IFERROR(INDEX(DATABASE_FG!$L$5:$L$367, MATCH(E128, DATABASE_FG!$C$5:$C$367, 0)), " ")</f>
        <v>56</v>
      </c>
      <c r="T128" s="36" t="s">
        <v>677</v>
      </c>
      <c r="U128" s="36"/>
      <c r="V128" s="36"/>
      <c r="W128" s="129"/>
      <c r="X128" s="36"/>
      <c r="Y128" s="36"/>
      <c r="Z128" s="36"/>
      <c r="AA128" s="125" t="s">
        <v>121</v>
      </c>
      <c r="AB128" s="173"/>
      <c r="AC128" s="119"/>
      <c r="AD128" s="36" t="str">
        <f t="shared" si="14"/>
        <v/>
      </c>
      <c r="AE128" s="36" t="str">
        <f t="shared" si="15"/>
        <v/>
      </c>
      <c r="AF128" s="36">
        <v>0</v>
      </c>
      <c r="AG128" s="120">
        <f t="shared" si="16"/>
        <v>0</v>
      </c>
      <c r="AH128" s="36"/>
      <c r="AI128" s="124" t="s">
        <v>1171</v>
      </c>
      <c r="AJ128" s="122"/>
      <c r="AK128" s="129" t="str">
        <f t="shared" ca="1" si="17"/>
        <v>Late</v>
      </c>
      <c r="AL128" s="268" t="str">
        <f t="shared" si="13"/>
        <v>February</v>
      </c>
      <c r="AM128" s="133">
        <f>YEAR(Table1[[#This Row],[ETA
As requested
dd.mm.yyyy]])</f>
        <v>2022</v>
      </c>
    </row>
    <row r="129" spans="1:39" hidden="1">
      <c r="A129" s="123" t="s">
        <v>26</v>
      </c>
      <c r="B129" s="36" t="s">
        <v>1170</v>
      </c>
      <c r="C129" s="117">
        <v>4508769328</v>
      </c>
      <c r="D129" s="165"/>
      <c r="E129" s="117">
        <v>1818509704</v>
      </c>
      <c r="F129" s="36" t="str">
        <f>IFERROR(VLOOKUP(Table1[[#This Row],[Part Number]],DATABASE_FG!$C$6:D10118,2,FALSE)," ")</f>
        <v>VALVE BODY</v>
      </c>
      <c r="G129" s="117">
        <f>IFERROR(_xlfn.XLOOKUP(Table1[[#This Row],[Part Number]],Table3[Part number],Table3[Drawing
 Revision]),"")</f>
        <v>1</v>
      </c>
      <c r="H129" s="118" cm="1">
        <f t="array" ref="H129">IFERROR(INDEX(PDB!$C:$AT,MATCH(E129,PDB!$B:$B,0),MATCH(YEAR(K129),0+PDB!$C$1:$AT$1,0)),"")</f>
        <v>10.7</v>
      </c>
      <c r="I129" s="36">
        <v>5</v>
      </c>
      <c r="J129" s="125">
        <f>IFERROR(Table1[[#This Row],[Quantity]]*Table1[[#This Row],[Price/Unit
EUR]]," ")</f>
        <v>53.5</v>
      </c>
      <c r="K129" s="126">
        <v>45541</v>
      </c>
      <c r="L129" s="36">
        <f>WEEKNUM(Table1[[#This Row],[ETA
As requested
dd.mm.yyyy]])</f>
        <v>36</v>
      </c>
      <c r="M129" s="36">
        <f>YEAR(Table1[[#This Row],[ETA
As requested
dd.mm.yyyy]])</f>
        <v>2024</v>
      </c>
      <c r="N129" s="36">
        <f>IFERROR(INDEX(DATABASE_FG!$H$5:$H$367, MATCH(E129, DATABASE_FG!$C$5:$C$367, 0)), " ")</f>
        <v>0</v>
      </c>
      <c r="O129" s="129" t="str">
        <f>IF(E129&lt;&gt;"", _xlfn.XLOOKUP(E129, DATABASE_FG!C:C, DATABASE_FG!F:F), " ")</f>
        <v>Ventilkoerper</v>
      </c>
      <c r="P129" s="129">
        <f>IFERROR(INDEX(DATABASE_FG!$G$5:$G$367, MATCH(E129, DATABASE_FG!$C$5:$C$367, 0)), "Not Found")</f>
        <v>1</v>
      </c>
      <c r="Q129" s="36"/>
      <c r="R129" s="125" t="s">
        <v>680</v>
      </c>
      <c r="S129" s="123">
        <f>IFERROR(INDEX(DATABASE_FG!$L$5:$L$367, MATCH(E129, DATABASE_FG!$C$5:$C$367, 0)), " ")</f>
        <v>56</v>
      </c>
      <c r="T129" s="36" t="s">
        <v>677</v>
      </c>
      <c r="U129" s="36"/>
      <c r="V129" s="36"/>
      <c r="W129" s="129"/>
      <c r="X129" s="36" t="s">
        <v>680</v>
      </c>
      <c r="Y129" s="36" t="s">
        <v>677</v>
      </c>
      <c r="Z129" s="36"/>
      <c r="AA129" s="125" t="s">
        <v>121</v>
      </c>
      <c r="AB129" s="173">
        <v>45770</v>
      </c>
      <c r="AC129" s="119">
        <v>25658</v>
      </c>
      <c r="AD129" s="36">
        <f t="shared" si="14"/>
        <v>4508769328</v>
      </c>
      <c r="AE129" s="36">
        <f t="shared" si="15"/>
        <v>1818509704</v>
      </c>
      <c r="AF129" s="36">
        <f>5-5</f>
        <v>0</v>
      </c>
      <c r="AG129" s="120">
        <f t="shared" si="16"/>
        <v>0</v>
      </c>
      <c r="AH129" s="36"/>
      <c r="AI129" s="124" t="s">
        <v>310</v>
      </c>
      <c r="AJ129" s="122" t="s">
        <v>2358</v>
      </c>
      <c r="AK129" s="129" t="str">
        <f t="shared" ca="1" si="17"/>
        <v>Late</v>
      </c>
      <c r="AL129" s="268" t="str">
        <f t="shared" si="13"/>
        <v>September</v>
      </c>
      <c r="AM129" s="133">
        <f>YEAR(Table1[[#This Row],[ETA
As requested
dd.mm.yyyy]])</f>
        <v>2024</v>
      </c>
    </row>
    <row r="130" spans="1:39" hidden="1">
      <c r="A130" s="123" t="s">
        <v>26</v>
      </c>
      <c r="B130" s="36" t="s">
        <v>1170</v>
      </c>
      <c r="C130" s="117">
        <v>4509087469</v>
      </c>
      <c r="D130" s="165"/>
      <c r="E130" s="117">
        <v>1818509718</v>
      </c>
      <c r="F130" s="36" t="str">
        <f>IFERROR(VLOOKUP(Table1[[#This Row],[Part Number]],DATABASE_FG!$C$6:D10119,2,FALSE)," ")</f>
        <v>VALVE_INSERT_DAU_32_P_A_X20_Z_</v>
      </c>
      <c r="G130" s="117">
        <f>IFERROR(_xlfn.XLOOKUP(Table1[[#This Row],[Part Number]],Table3[Part number],Table3[Drawing
 Revision]),"")</f>
        <v>1</v>
      </c>
      <c r="H130" s="118" cm="1">
        <f t="array" ref="H130">IFERROR(INDEX(PDB!$C:$AT,MATCH(E130,PDB!$B:$B,0),MATCH(YEAR(K130),0+PDB!$C$1:$AT$1,0)),"")</f>
        <v>55.09</v>
      </c>
      <c r="I130" s="36">
        <v>5</v>
      </c>
      <c r="J130" s="125">
        <f>IFERROR(Table1[[#This Row],[Quantity]]*Table1[[#This Row],[Price/Unit
EUR]]," ")</f>
        <v>275.45000000000005</v>
      </c>
      <c r="K130" s="126">
        <v>44860</v>
      </c>
      <c r="L130" s="36">
        <f>WEEKNUM(Table1[[#This Row],[ETA
As requested
dd.mm.yyyy]])</f>
        <v>44</v>
      </c>
      <c r="M130" s="36">
        <f>YEAR(Table1[[#This Row],[ETA
As requested
dd.mm.yyyy]])</f>
        <v>2022</v>
      </c>
      <c r="N130" s="36">
        <f>IFERROR(INDEX(DATABASE_FG!$H$5:$H$367, MATCH(E130, DATABASE_FG!$C$5:$C$367, 0)), " ")</f>
        <v>0</v>
      </c>
      <c r="O130" s="129" t="str">
        <f>IF(E130&lt;&gt;"", _xlfn.XLOOKUP(E130, DATABASE_FG!C:C, DATABASE_FG!F:F), " ")</f>
        <v>Ventileinsatz</v>
      </c>
      <c r="P130" s="129">
        <f>IFERROR(INDEX(DATABASE_FG!$G$5:$G$367, MATCH(E130, DATABASE_FG!$C$5:$C$367, 0)), "Not Found")</f>
        <v>40</v>
      </c>
      <c r="Q130" s="36"/>
      <c r="R130" s="125" t="s">
        <v>680</v>
      </c>
      <c r="S130" s="123">
        <f>IFERROR(INDEX(DATABASE_FG!$L$5:$L$367, MATCH(E130, DATABASE_FG!$C$5:$C$367, 0)), " ")</f>
        <v>56</v>
      </c>
      <c r="T130" s="36" t="s">
        <v>677</v>
      </c>
      <c r="U130" s="36"/>
      <c r="V130" s="36"/>
      <c r="W130" s="129"/>
      <c r="X130" s="36"/>
      <c r="Y130" s="36"/>
      <c r="Z130" s="36"/>
      <c r="AA130" s="125" t="s">
        <v>121</v>
      </c>
      <c r="AB130" s="173"/>
      <c r="AC130" s="119"/>
      <c r="AD130" s="36" t="str">
        <f t="shared" si="14"/>
        <v/>
      </c>
      <c r="AE130" s="36" t="str">
        <f t="shared" si="15"/>
        <v/>
      </c>
      <c r="AF130" s="36">
        <v>0</v>
      </c>
      <c r="AG130" s="120">
        <f t="shared" si="16"/>
        <v>0</v>
      </c>
      <c r="AH130" s="36"/>
      <c r="AI130" s="124" t="s">
        <v>1171</v>
      </c>
      <c r="AJ130" s="122"/>
      <c r="AK130" s="129" t="str">
        <f t="shared" ca="1" si="17"/>
        <v>Late</v>
      </c>
      <c r="AL130" s="268" t="str">
        <f t="shared" si="13"/>
        <v>October</v>
      </c>
      <c r="AM130" s="133">
        <f>YEAR(Table1[[#This Row],[ETA
As requested
dd.mm.yyyy]])</f>
        <v>2022</v>
      </c>
    </row>
    <row r="131" spans="1:39" hidden="1">
      <c r="A131" s="123" t="s">
        <v>26</v>
      </c>
      <c r="B131" s="36" t="s">
        <v>1170</v>
      </c>
      <c r="C131" s="117">
        <v>4508771389</v>
      </c>
      <c r="D131" s="165"/>
      <c r="E131" s="117">
        <v>1818509725</v>
      </c>
      <c r="F131" s="36" t="str">
        <f>IFERROR(VLOOKUP(Table1[[#This Row],[Part Number]],DATABASE_FG!$C$6:D10120,2,FALSE)," ")</f>
        <v>VALVE BODY</v>
      </c>
      <c r="G131" s="117">
        <f>IFERROR(_xlfn.XLOOKUP(Table1[[#This Row],[Part Number]],Table3[Part number],Table3[Drawing
 Revision]),"")</f>
        <v>1</v>
      </c>
      <c r="H131" s="118" cm="1">
        <f t="array" ref="H131">IFERROR(INDEX(PDB!$C:$AT,MATCH(E131,PDB!$B:$B,0),MATCH(YEAR(K131),0+PDB!$C$1:$AT$1,0)),"")</f>
        <v>5.74</v>
      </c>
      <c r="I131" s="36">
        <v>5</v>
      </c>
      <c r="J131" s="125">
        <f>IFERROR(Table1[[#This Row],[Quantity]]*Table1[[#This Row],[Price/Unit
EUR]]," ")</f>
        <v>28.700000000000003</v>
      </c>
      <c r="K131" s="126">
        <v>45541</v>
      </c>
      <c r="L131" s="36">
        <f>WEEKNUM(Table1[[#This Row],[ETA
As requested
dd.mm.yyyy]])</f>
        <v>36</v>
      </c>
      <c r="M131" s="36">
        <f>YEAR(Table1[[#This Row],[ETA
As requested
dd.mm.yyyy]])</f>
        <v>2024</v>
      </c>
      <c r="N131" s="36">
        <f>IFERROR(INDEX(DATABASE_FG!$H$5:$H$367, MATCH(E131, DATABASE_FG!$C$5:$C$367, 0)), " ")</f>
        <v>0</v>
      </c>
      <c r="O131" s="129" t="str">
        <f>IF(E131&lt;&gt;"", _xlfn.XLOOKUP(E131, DATABASE_FG!C:C, DATABASE_FG!F:F), " ")</f>
        <v>Ventilkoerper</v>
      </c>
      <c r="P131" s="129">
        <f>IFERROR(INDEX(DATABASE_FG!$G$5:$G$367, MATCH(E131, DATABASE_FG!$C$5:$C$367, 0)), "Not Found")</f>
        <v>84</v>
      </c>
      <c r="Q131" s="36">
        <v>60</v>
      </c>
      <c r="R131" s="125" t="s">
        <v>680</v>
      </c>
      <c r="S131" s="123">
        <f>IFERROR(INDEX(DATABASE_FG!$L$5:$L$367, MATCH(E131, DATABASE_FG!$C$5:$C$367, 0)), " ")</f>
        <v>56</v>
      </c>
      <c r="T131" s="36" t="s">
        <v>677</v>
      </c>
      <c r="U131" s="36"/>
      <c r="V131" s="36"/>
      <c r="W131" s="129"/>
      <c r="X131" s="36"/>
      <c r="Y131" s="36"/>
      <c r="Z131" s="36" t="s">
        <v>2340</v>
      </c>
      <c r="AA131" s="125" t="s">
        <v>121</v>
      </c>
      <c r="AB131" s="173">
        <v>45527</v>
      </c>
      <c r="AC131" s="119">
        <v>202401056</v>
      </c>
      <c r="AD131" s="36">
        <f t="shared" si="14"/>
        <v>4508771389</v>
      </c>
      <c r="AE131" s="36">
        <f t="shared" si="15"/>
        <v>1818509725</v>
      </c>
      <c r="AF131" s="36">
        <v>5</v>
      </c>
      <c r="AG131" s="120">
        <f t="shared" si="16"/>
        <v>28.700000000000003</v>
      </c>
      <c r="AH131" s="36"/>
      <c r="AI131" s="124" t="s">
        <v>310</v>
      </c>
      <c r="AJ131" s="122" t="s">
        <v>2338</v>
      </c>
      <c r="AK131" s="129" t="str">
        <f t="shared" ca="1" si="17"/>
        <v>On Time</v>
      </c>
      <c r="AL131" s="268" t="str">
        <f t="shared" si="13"/>
        <v>September</v>
      </c>
      <c r="AM131" s="133">
        <f>YEAR(Table1[[#This Row],[ETA
As requested
dd.mm.yyyy]])</f>
        <v>2024</v>
      </c>
    </row>
    <row r="132" spans="1:39" hidden="1">
      <c r="A132" s="123" t="s">
        <v>26</v>
      </c>
      <c r="B132" s="36" t="s">
        <v>1170</v>
      </c>
      <c r="C132" s="117">
        <v>4508769328</v>
      </c>
      <c r="D132" s="165"/>
      <c r="E132" s="117">
        <v>1818509748</v>
      </c>
      <c r="F132" s="36" t="str">
        <f>IFERROR(VLOOKUP(Table1[[#This Row],[Part Number]],DATABASE_FG!$C$6:D10121,2,FALSE)," ")</f>
        <v>VALVE BODY</v>
      </c>
      <c r="G132" s="117">
        <f>IFERROR(_xlfn.XLOOKUP(Table1[[#This Row],[Part Number]],Table3[Part number],Table3[Drawing
 Revision]),"")</f>
        <v>1</v>
      </c>
      <c r="H132" s="118" cm="1">
        <f t="array" ref="H132">IFERROR(INDEX(PDB!$C:$AT,MATCH(E132,PDB!$B:$B,0),MATCH(YEAR(K132),0+PDB!$C$1:$AT$1,0)),"")</f>
        <v>5.66</v>
      </c>
      <c r="I132" s="36">
        <v>5</v>
      </c>
      <c r="J132" s="125">
        <f>IFERROR(Table1[[#This Row],[Quantity]]*Table1[[#This Row],[Price/Unit
EUR]]," ")</f>
        <v>28.3</v>
      </c>
      <c r="K132" s="126">
        <v>45541</v>
      </c>
      <c r="L132" s="36">
        <f>WEEKNUM(Table1[[#This Row],[ETA
As requested
dd.mm.yyyy]])</f>
        <v>36</v>
      </c>
      <c r="M132" s="36">
        <f>YEAR(Table1[[#This Row],[ETA
As requested
dd.mm.yyyy]])</f>
        <v>2024</v>
      </c>
      <c r="N132" s="36">
        <f>IFERROR(INDEX(DATABASE_FG!$H$5:$H$367, MATCH(E132, DATABASE_FG!$C$5:$C$367, 0)), " ")</f>
        <v>0</v>
      </c>
      <c r="O132" s="129" t="str">
        <f>IF(E132&lt;&gt;"", _xlfn.XLOOKUP(E132, DATABASE_FG!C:C, DATABASE_FG!F:F), " ")</f>
        <v>Ventilkoerper</v>
      </c>
      <c r="P132" s="129">
        <f>IFERROR(INDEX(DATABASE_FG!$G$5:$G$367, MATCH(E132, DATABASE_FG!$C$5:$C$367, 0)), "Not Found")</f>
        <v>100</v>
      </c>
      <c r="Q132" s="36"/>
      <c r="R132" s="125" t="s">
        <v>680</v>
      </c>
      <c r="S132" s="123">
        <f>IFERROR(INDEX(DATABASE_FG!$L$5:$L$367, MATCH(E132, DATABASE_FG!$C$5:$C$367, 0)), " ")</f>
        <v>56</v>
      </c>
      <c r="T132" s="36" t="s">
        <v>677</v>
      </c>
      <c r="U132" s="36"/>
      <c r="V132" s="36"/>
      <c r="W132" s="129"/>
      <c r="X132" s="36"/>
      <c r="Y132" s="36"/>
      <c r="Z132" s="36" t="s">
        <v>2346</v>
      </c>
      <c r="AA132" s="125" t="s">
        <v>121</v>
      </c>
      <c r="AB132" s="173">
        <v>45541</v>
      </c>
      <c r="AC132" s="119">
        <v>202401114</v>
      </c>
      <c r="AD132" s="36">
        <f t="shared" si="14"/>
        <v>4508769328</v>
      </c>
      <c r="AE132" s="36">
        <f t="shared" si="15"/>
        <v>1818509748</v>
      </c>
      <c r="AF132" s="36">
        <v>5</v>
      </c>
      <c r="AG132" s="120">
        <f t="shared" si="16"/>
        <v>28.3</v>
      </c>
      <c r="AH132" s="36"/>
      <c r="AI132" s="124" t="s">
        <v>310</v>
      </c>
      <c r="AJ132" s="122" t="s">
        <v>2345</v>
      </c>
      <c r="AK132" s="129" t="str">
        <f t="shared" ca="1" si="17"/>
        <v>On Time</v>
      </c>
      <c r="AL132" s="268" t="str">
        <f t="shared" si="13"/>
        <v>September</v>
      </c>
      <c r="AM132" s="133">
        <f>YEAR(Table1[[#This Row],[ETA
As requested
dd.mm.yyyy]])</f>
        <v>2024</v>
      </c>
    </row>
    <row r="133" spans="1:39" hidden="1">
      <c r="A133" s="123" t="s">
        <v>26</v>
      </c>
      <c r="B133" s="36" t="s">
        <v>1170</v>
      </c>
      <c r="C133" s="117">
        <v>4509087632</v>
      </c>
      <c r="D133" s="165"/>
      <c r="E133" s="117">
        <v>1818509752</v>
      </c>
      <c r="F133" s="36" t="str">
        <f>IFERROR(VLOOKUP(Table1[[#This Row],[Part Number]],DATABASE_FG!$C$6:D10122,2,FALSE)," ")</f>
        <v>VALVE_INSERT_LR40ST00D1X_</v>
      </c>
      <c r="G133" s="117">
        <f>IFERROR(_xlfn.XLOOKUP(Table1[[#This Row],[Part Number]],Table3[Part number],Table3[Drawing
 Revision]),"")</f>
        <v>1</v>
      </c>
      <c r="H133" s="118" cm="1">
        <f t="array" ref="H133">IFERROR(INDEX(PDB!$C:$AT,MATCH(E133,PDB!$B:$B,0),MATCH(YEAR(K133),0+PDB!$C$1:$AT$1,0)),"")</f>
        <v>54.59</v>
      </c>
      <c r="I133" s="36">
        <v>5</v>
      </c>
      <c r="J133" s="125">
        <f>IFERROR(Table1[[#This Row],[Quantity]]*Table1[[#This Row],[Price/Unit
EUR]]," ")</f>
        <v>272.95000000000005</v>
      </c>
      <c r="K133" s="126">
        <v>44603</v>
      </c>
      <c r="L133" s="36">
        <f>WEEKNUM(Table1[[#This Row],[ETA
As requested
dd.mm.yyyy]])</f>
        <v>7</v>
      </c>
      <c r="M133" s="36">
        <f>YEAR(Table1[[#This Row],[ETA
As requested
dd.mm.yyyy]])</f>
        <v>2022</v>
      </c>
      <c r="N133" s="36">
        <f>IFERROR(INDEX(DATABASE_FG!$H$5:$H$367, MATCH(E133, DATABASE_FG!$C$5:$C$367, 0)), " ")</f>
        <v>0</v>
      </c>
      <c r="O133" s="129" t="str">
        <f>IF(E133&lt;&gt;"", _xlfn.XLOOKUP(E133, DATABASE_FG!C:C, DATABASE_FG!F:F), " ")</f>
        <v>Ventileinsatz</v>
      </c>
      <c r="P133" s="129">
        <f>IFERROR(INDEX(DATABASE_FG!$G$5:$G$367, MATCH(E133, DATABASE_FG!$C$5:$C$367, 0)), "Not Found")</f>
        <v>10</v>
      </c>
      <c r="Q133" s="36"/>
      <c r="R133" s="125" t="s">
        <v>680</v>
      </c>
      <c r="S133" s="123">
        <f>IFERROR(INDEX(DATABASE_FG!$L$5:$L$367, MATCH(E133, DATABASE_FG!$C$5:$C$367, 0)), " ")</f>
        <v>56</v>
      </c>
      <c r="T133" s="36" t="s">
        <v>677</v>
      </c>
      <c r="U133" s="36"/>
      <c r="V133" s="36"/>
      <c r="W133" s="129"/>
      <c r="X133" s="36"/>
      <c r="Y133" s="36"/>
      <c r="Z133" s="36"/>
      <c r="AA133" s="125" t="s">
        <v>121</v>
      </c>
      <c r="AB133" s="173"/>
      <c r="AC133" s="119"/>
      <c r="AD133" s="36" t="str">
        <f t="shared" si="14"/>
        <v/>
      </c>
      <c r="AE133" s="36" t="str">
        <f t="shared" si="15"/>
        <v/>
      </c>
      <c r="AF133" s="36">
        <v>0</v>
      </c>
      <c r="AG133" s="120">
        <f t="shared" si="16"/>
        <v>0</v>
      </c>
      <c r="AH133" s="36"/>
      <c r="AI133" s="124" t="s">
        <v>1171</v>
      </c>
      <c r="AJ133" s="122"/>
      <c r="AK133" s="129" t="str">
        <f t="shared" ca="1" si="17"/>
        <v>Late</v>
      </c>
      <c r="AL133" s="268" t="str">
        <f t="shared" si="13"/>
        <v>February</v>
      </c>
      <c r="AM133" s="133">
        <f>YEAR(Table1[[#This Row],[ETA
As requested
dd.mm.yyyy]])</f>
        <v>2022</v>
      </c>
    </row>
    <row r="134" spans="1:39" hidden="1">
      <c r="A134" s="123" t="s">
        <v>26</v>
      </c>
      <c r="B134" s="36" t="s">
        <v>1170</v>
      </c>
      <c r="C134" s="117">
        <v>4509087632</v>
      </c>
      <c r="D134" s="165"/>
      <c r="E134" s="117">
        <v>1818509763</v>
      </c>
      <c r="F134" s="36" t="str">
        <f>IFERROR(VLOOKUP(Table1[[#This Row],[Part Number]],DATABASE_FG!$C$6:D10123,2,FALSE)," ")</f>
        <v>VALVE_INSERT_3WRC_32</v>
      </c>
      <c r="G134" s="117">
        <f>IFERROR(_xlfn.XLOOKUP(Table1[[#This Row],[Part Number]],Table3[Part number],Table3[Drawing
 Revision]),"")</f>
        <v>1</v>
      </c>
      <c r="H134" s="118" cm="1">
        <f t="array" ref="H134">IFERROR(INDEX(PDB!$C:$AT,MATCH(E134,PDB!$B:$B,0),MATCH(YEAR(K134),0+PDB!$C$1:$AT$1,0)),"")</f>
        <v>60.96</v>
      </c>
      <c r="I134" s="36">
        <v>5</v>
      </c>
      <c r="J134" s="125">
        <f>IFERROR(Table1[[#This Row],[Quantity]]*Table1[[#This Row],[Price/Unit
EUR]]," ")</f>
        <v>304.8</v>
      </c>
      <c r="K134" s="126">
        <v>44860</v>
      </c>
      <c r="L134" s="36">
        <f>WEEKNUM(Table1[[#This Row],[ETA
As requested
dd.mm.yyyy]])</f>
        <v>44</v>
      </c>
      <c r="M134" s="36">
        <f>YEAR(Table1[[#This Row],[ETA
As requested
dd.mm.yyyy]])</f>
        <v>2022</v>
      </c>
      <c r="N134" s="36">
        <f>IFERROR(INDEX(DATABASE_FG!$H$5:$H$367, MATCH(E134, DATABASE_FG!$C$5:$C$367, 0)), " ")</f>
        <v>0</v>
      </c>
      <c r="O134" s="129" t="str">
        <f>IF(E134&lt;&gt;"", _xlfn.XLOOKUP(E134, DATABASE_FG!C:C, DATABASE_FG!F:F), " ")</f>
        <v>Ventileinsatz</v>
      </c>
      <c r="P134" s="129">
        <f>IFERROR(INDEX(DATABASE_FG!$G$5:$G$367, MATCH(E134, DATABASE_FG!$C$5:$C$367, 0)), "Not Found")</f>
        <v>10</v>
      </c>
      <c r="Q134" s="36"/>
      <c r="R134" s="125" t="s">
        <v>680</v>
      </c>
      <c r="S134" s="123">
        <f>IFERROR(INDEX(DATABASE_FG!$L$5:$L$367, MATCH(E134, DATABASE_FG!$C$5:$C$367, 0)), " ")</f>
        <v>56</v>
      </c>
      <c r="T134" s="36" t="s">
        <v>677</v>
      </c>
      <c r="U134" s="36"/>
      <c r="V134" s="36"/>
      <c r="W134" s="129"/>
      <c r="X134" s="36"/>
      <c r="Y134" s="36"/>
      <c r="Z134" s="36"/>
      <c r="AA134" s="125" t="s">
        <v>121</v>
      </c>
      <c r="AB134" s="173"/>
      <c r="AC134" s="119"/>
      <c r="AD134" s="36" t="str">
        <f t="shared" si="14"/>
        <v/>
      </c>
      <c r="AE134" s="36" t="str">
        <f t="shared" si="15"/>
        <v/>
      </c>
      <c r="AF134" s="36">
        <v>0</v>
      </c>
      <c r="AG134" s="120">
        <f t="shared" si="16"/>
        <v>0</v>
      </c>
      <c r="AH134" s="36"/>
      <c r="AI134" s="124" t="s">
        <v>1171</v>
      </c>
      <c r="AJ134" s="122"/>
      <c r="AK134" s="129" t="str">
        <f t="shared" ca="1" si="17"/>
        <v>Late</v>
      </c>
      <c r="AL134" s="268" t="str">
        <f t="shared" si="13"/>
        <v>October</v>
      </c>
      <c r="AM134" s="133">
        <f>YEAR(Table1[[#This Row],[ETA
As requested
dd.mm.yyyy]])</f>
        <v>2022</v>
      </c>
    </row>
    <row r="135" spans="1:39" hidden="1">
      <c r="A135" s="123" t="s">
        <v>26</v>
      </c>
      <c r="B135" s="36" t="s">
        <v>1170</v>
      </c>
      <c r="C135" s="117">
        <v>4509087469</v>
      </c>
      <c r="D135" s="165"/>
      <c r="E135" s="117">
        <v>1818509790</v>
      </c>
      <c r="F135" s="36" t="str">
        <f>IFERROR(VLOOKUP(Table1[[#This Row],[Part Number]],DATABASE_FG!$C$6:D10124,2,FALSE)," ")</f>
        <v>VALVE_INSERT_3WRCB</v>
      </c>
      <c r="G135" s="117">
        <f>IFERROR(_xlfn.XLOOKUP(Table1[[#This Row],[Part Number]],Table3[Part number],Table3[Drawing
 Revision]),"")</f>
        <v>1</v>
      </c>
      <c r="H135" s="118" cm="1">
        <f t="array" ref="H135">IFERROR(INDEX(PDB!$C:$AT,MATCH(E135,PDB!$B:$B,0),MATCH(YEAR(K135),0+PDB!$C$1:$AT$1,0)),"")</f>
        <v>138.53</v>
      </c>
      <c r="I135" s="36">
        <v>5</v>
      </c>
      <c r="J135" s="125">
        <f>IFERROR(Table1[[#This Row],[Quantity]]*Table1[[#This Row],[Price/Unit
EUR]]," ")</f>
        <v>692.65</v>
      </c>
      <c r="K135" s="126">
        <v>44860</v>
      </c>
      <c r="L135" s="36">
        <f>WEEKNUM(Table1[[#This Row],[ETA
As requested
dd.mm.yyyy]])</f>
        <v>44</v>
      </c>
      <c r="M135" s="36">
        <f>YEAR(Table1[[#This Row],[ETA
As requested
dd.mm.yyyy]])</f>
        <v>2022</v>
      </c>
      <c r="N135" s="36">
        <f>IFERROR(INDEX(DATABASE_FG!$H$5:$H$367, MATCH(E135, DATABASE_FG!$C$5:$C$367, 0)), " ")</f>
        <v>0</v>
      </c>
      <c r="O135" s="129" t="str">
        <f>IF(E135&lt;&gt;"", _xlfn.XLOOKUP(E135, DATABASE_FG!C:C, DATABASE_FG!F:F), " ")</f>
        <v>Ventileinsatz</v>
      </c>
      <c r="P135" s="129">
        <f>IFERROR(INDEX(DATABASE_FG!$G$5:$G$367, MATCH(E135, DATABASE_FG!$C$5:$C$367, 0)), "Not Found")</f>
        <v>150</v>
      </c>
      <c r="Q135" s="36"/>
      <c r="R135" s="125" t="s">
        <v>680</v>
      </c>
      <c r="S135" s="123">
        <f>IFERROR(INDEX(DATABASE_FG!$L$5:$L$367, MATCH(E135, DATABASE_FG!$C$5:$C$367, 0)), " ")</f>
        <v>56</v>
      </c>
      <c r="T135" s="36" t="s">
        <v>677</v>
      </c>
      <c r="U135" s="36"/>
      <c r="V135" s="36"/>
      <c r="W135" s="129"/>
      <c r="X135" s="36"/>
      <c r="Y135" s="36"/>
      <c r="Z135" s="36"/>
      <c r="AA135" s="125" t="s">
        <v>121</v>
      </c>
      <c r="AB135" s="173"/>
      <c r="AC135" s="119"/>
      <c r="AD135" s="36" t="str">
        <f t="shared" si="14"/>
        <v/>
      </c>
      <c r="AE135" s="36" t="str">
        <f t="shared" si="15"/>
        <v/>
      </c>
      <c r="AF135" s="36">
        <v>0</v>
      </c>
      <c r="AG135" s="120">
        <f t="shared" si="16"/>
        <v>0</v>
      </c>
      <c r="AH135" s="36"/>
      <c r="AI135" s="124" t="s">
        <v>1171</v>
      </c>
      <c r="AJ135" s="122"/>
      <c r="AK135" s="129" t="str">
        <f t="shared" ca="1" si="17"/>
        <v>Late</v>
      </c>
      <c r="AL135" s="268" t="str">
        <f t="shared" si="13"/>
        <v>October</v>
      </c>
      <c r="AM135" s="133">
        <f>YEAR(Table1[[#This Row],[ETA
As requested
dd.mm.yyyy]])</f>
        <v>2022</v>
      </c>
    </row>
    <row r="136" spans="1:39" hidden="1">
      <c r="A136" s="123" t="s">
        <v>26</v>
      </c>
      <c r="B136" s="36" t="s">
        <v>1170</v>
      </c>
      <c r="C136" s="117">
        <v>4509087646</v>
      </c>
      <c r="D136" s="165"/>
      <c r="E136" s="117">
        <v>1818509812</v>
      </c>
      <c r="F136" s="36" t="str">
        <f>IFERROR(VLOOKUP(Table1[[#This Row],[Part Number]],DATABASE_FG!$C$6:D10125,2,FALSE)," ")</f>
        <v>VALVE_INSERT_NG25</v>
      </c>
      <c r="G136" s="117" t="str">
        <f>IFERROR(_xlfn.XLOOKUP(Table1[[#This Row],[Part Number]],Table3[Part number],Table3[Drawing
 Revision]),"")</f>
        <v>AB</v>
      </c>
      <c r="H136" s="118" cm="1">
        <f t="array" ref="H136">IFERROR(INDEX(PDB!$C:$AT,MATCH(E136,PDB!$B:$B,0),MATCH(YEAR(K136),0+PDB!$C$1:$AT$1,0)),"")</f>
        <v>35.39</v>
      </c>
      <c r="I136" s="36">
        <v>15</v>
      </c>
      <c r="J136" s="125">
        <f>IFERROR(Table1[[#This Row],[Quantity]]*Table1[[#This Row],[Price/Unit
EUR]]," ")</f>
        <v>530.85</v>
      </c>
      <c r="K136" s="126">
        <v>44603</v>
      </c>
      <c r="L136" s="36">
        <f>WEEKNUM(Table1[[#This Row],[ETA
As requested
dd.mm.yyyy]])</f>
        <v>7</v>
      </c>
      <c r="M136" s="36">
        <f>YEAR(Table1[[#This Row],[ETA
As requested
dd.mm.yyyy]])</f>
        <v>2022</v>
      </c>
      <c r="N136" s="36">
        <f>IFERROR(INDEX(DATABASE_FG!$H$5:$H$367, MATCH(E136, DATABASE_FG!$C$5:$C$367, 0)), " ")</f>
        <v>0</v>
      </c>
      <c r="O136" s="129" t="str">
        <f>IF(E136&lt;&gt;"", _xlfn.XLOOKUP(E136, DATABASE_FG!C:C, DATABASE_FG!F:F), " ")</f>
        <v>Ventileinsatz</v>
      </c>
      <c r="P136" s="129">
        <f>IFERROR(INDEX(DATABASE_FG!$G$5:$G$367, MATCH(E136, DATABASE_FG!$C$5:$C$367, 0)), "Not Found")</f>
        <v>50</v>
      </c>
      <c r="Q136" s="36"/>
      <c r="R136" s="125" t="s">
        <v>680</v>
      </c>
      <c r="S136" s="123">
        <f>IFERROR(INDEX(DATABASE_FG!$L$5:$L$367, MATCH(E136, DATABASE_FG!$C$5:$C$367, 0)), " ")</f>
        <v>56</v>
      </c>
      <c r="T136" s="36" t="s">
        <v>677</v>
      </c>
      <c r="U136" s="36"/>
      <c r="V136" s="36"/>
      <c r="W136" s="129"/>
      <c r="X136" s="36"/>
      <c r="Y136" s="36" t="s">
        <v>1174</v>
      </c>
      <c r="Z136" s="36"/>
      <c r="AA136" s="125" t="s">
        <v>121</v>
      </c>
      <c r="AB136" s="173"/>
      <c r="AC136" s="119"/>
      <c r="AD136" s="36" t="str">
        <f t="shared" si="14"/>
        <v/>
      </c>
      <c r="AE136" s="36" t="str">
        <f t="shared" si="15"/>
        <v/>
      </c>
      <c r="AF136" s="36">
        <v>0</v>
      </c>
      <c r="AG136" s="120">
        <f t="shared" si="16"/>
        <v>0</v>
      </c>
      <c r="AH136" s="36"/>
      <c r="AI136" s="124" t="s">
        <v>1171</v>
      </c>
      <c r="AJ136" s="122"/>
      <c r="AK136" s="129" t="str">
        <f t="shared" ca="1" si="17"/>
        <v>Late</v>
      </c>
      <c r="AL136" s="268" t="str">
        <f t="shared" si="13"/>
        <v>February</v>
      </c>
      <c r="AM136" s="133">
        <f>YEAR(Table1[[#This Row],[ETA
As requested
dd.mm.yyyy]])</f>
        <v>2022</v>
      </c>
    </row>
    <row r="137" spans="1:39" hidden="1">
      <c r="A137" s="123" t="s">
        <v>26</v>
      </c>
      <c r="B137" s="36" t="s">
        <v>1170</v>
      </c>
      <c r="C137" s="117">
        <v>4509087646</v>
      </c>
      <c r="D137" s="165"/>
      <c r="E137" s="117">
        <v>1818509817</v>
      </c>
      <c r="F137" s="36" t="str">
        <f>IFERROR(VLOOKUP(Table1[[#This Row],[Part Number]],DATABASE_FG!$C$6:D10126,2,FALSE)," ")</f>
        <v>VALVE_INSERT_NG25_STUFE</v>
      </c>
      <c r="G137" s="117" t="str">
        <f>IFERROR(_xlfn.XLOOKUP(Table1[[#This Row],[Part Number]],Table3[Part number],Table3[Drawing
 Revision]),"")</f>
        <v>AB</v>
      </c>
      <c r="H137" s="118" cm="1">
        <f t="array" ref="H137">IFERROR(INDEX(PDB!$C:$AT,MATCH(E137,PDB!$B:$B,0),MATCH(YEAR(K137),0+PDB!$C$1:$AT$1,0)),"")</f>
        <v>111.15</v>
      </c>
      <c r="I137" s="36">
        <v>5</v>
      </c>
      <c r="J137" s="125">
        <f>IFERROR(Table1[[#This Row],[Quantity]]*Table1[[#This Row],[Price/Unit
EUR]]," ")</f>
        <v>555.75</v>
      </c>
      <c r="K137" s="126">
        <v>44603</v>
      </c>
      <c r="L137" s="36">
        <f>WEEKNUM(Table1[[#This Row],[ETA
As requested
dd.mm.yyyy]])</f>
        <v>7</v>
      </c>
      <c r="M137" s="36">
        <f>YEAR(Table1[[#This Row],[ETA
As requested
dd.mm.yyyy]])</f>
        <v>2022</v>
      </c>
      <c r="N137" s="36">
        <f>IFERROR(INDEX(DATABASE_FG!$H$5:$H$367, MATCH(E137, DATABASE_FG!$C$5:$C$367, 0)), " ")</f>
        <v>0</v>
      </c>
      <c r="O137" s="129" t="str">
        <f>IF(E137&lt;&gt;"", _xlfn.XLOOKUP(E137, DATABASE_FG!C:C, DATABASE_FG!F:F), " ")</f>
        <v>Ventileinsatz</v>
      </c>
      <c r="P137" s="129">
        <f>IFERROR(INDEX(DATABASE_FG!$G$5:$G$367, MATCH(E137, DATABASE_FG!$C$5:$C$367, 0)), "Not Found")</f>
        <v>20</v>
      </c>
      <c r="Q137" s="36"/>
      <c r="R137" s="125" t="s">
        <v>680</v>
      </c>
      <c r="S137" s="123">
        <f>IFERROR(INDEX(DATABASE_FG!$L$5:$L$367, MATCH(E137, DATABASE_FG!$C$5:$C$367, 0)), " ")</f>
        <v>56</v>
      </c>
      <c r="T137" s="36" t="s">
        <v>677</v>
      </c>
      <c r="U137" s="36"/>
      <c r="V137" s="36"/>
      <c r="W137" s="129"/>
      <c r="X137" s="36"/>
      <c r="Y137" s="36"/>
      <c r="Z137" s="36"/>
      <c r="AA137" s="125" t="s">
        <v>121</v>
      </c>
      <c r="AB137" s="173"/>
      <c r="AC137" s="119"/>
      <c r="AD137" s="36" t="str">
        <f t="shared" si="14"/>
        <v/>
      </c>
      <c r="AE137" s="36" t="str">
        <f t="shared" si="15"/>
        <v/>
      </c>
      <c r="AF137" s="36">
        <v>0</v>
      </c>
      <c r="AG137" s="120">
        <f t="shared" si="16"/>
        <v>0</v>
      </c>
      <c r="AH137" s="36"/>
      <c r="AI137" s="124" t="s">
        <v>1171</v>
      </c>
      <c r="AJ137" s="122"/>
      <c r="AK137" s="129" t="str">
        <f t="shared" ca="1" si="17"/>
        <v>Late</v>
      </c>
      <c r="AL137" s="268" t="str">
        <f t="shared" si="13"/>
        <v>February</v>
      </c>
      <c r="AM137" s="133">
        <f>YEAR(Table1[[#This Row],[ETA
As requested
dd.mm.yyyy]])</f>
        <v>2022</v>
      </c>
    </row>
    <row r="138" spans="1:39" hidden="1">
      <c r="A138" s="123" t="s">
        <v>26</v>
      </c>
      <c r="B138" s="36" t="s">
        <v>1170</v>
      </c>
      <c r="C138" s="117">
        <v>4509087632</v>
      </c>
      <c r="D138" s="165"/>
      <c r="E138" s="117">
        <v>1818509822</v>
      </c>
      <c r="F138" s="36" t="str">
        <f>IFERROR(VLOOKUP(Table1[[#This Row],[Part Number]],DATABASE_FG!$C$6:D10127,2,FALSE)," ")</f>
        <v>VALVE_INSERT_NG32_STUFE</v>
      </c>
      <c r="G138" s="117">
        <f>IFERROR(_xlfn.XLOOKUP(Table1[[#This Row],[Part Number]],Table3[Part number],Table3[Drawing
 Revision]),"")</f>
        <v>1</v>
      </c>
      <c r="H138" s="118" cm="1">
        <f t="array" ref="H138">IFERROR(INDEX(PDB!$C:$AT,MATCH(E138,PDB!$B:$B,0),MATCH(YEAR(K138),0+PDB!$C$1:$AT$1,0)),"")</f>
        <v>122.64</v>
      </c>
      <c r="I138" s="36">
        <v>5</v>
      </c>
      <c r="J138" s="125">
        <f>IFERROR(Table1[[#This Row],[Quantity]]*Table1[[#This Row],[Price/Unit
EUR]]," ")</f>
        <v>613.20000000000005</v>
      </c>
      <c r="K138" s="126">
        <v>44860</v>
      </c>
      <c r="L138" s="36">
        <f>WEEKNUM(Table1[[#This Row],[ETA
As requested
dd.mm.yyyy]])</f>
        <v>44</v>
      </c>
      <c r="M138" s="36">
        <f>YEAR(Table1[[#This Row],[ETA
As requested
dd.mm.yyyy]])</f>
        <v>2022</v>
      </c>
      <c r="N138" s="36">
        <f>IFERROR(INDEX(DATABASE_FG!$H$5:$H$367, MATCH(E138, DATABASE_FG!$C$5:$C$367, 0)), " ")</f>
        <v>0</v>
      </c>
      <c r="O138" s="129" t="str">
        <f>IF(E138&lt;&gt;"", _xlfn.XLOOKUP(E138, DATABASE_FG!C:C, DATABASE_FG!F:F), " ")</f>
        <v>Ventileinsatz</v>
      </c>
      <c r="P138" s="129">
        <f>IFERROR(INDEX(DATABASE_FG!$G$5:$G$367, MATCH(E138, DATABASE_FG!$C$5:$C$367, 0)), "Not Found")</f>
        <v>1</v>
      </c>
      <c r="Q138" s="36"/>
      <c r="R138" s="125" t="s">
        <v>680</v>
      </c>
      <c r="S138" s="123">
        <f>IFERROR(INDEX(DATABASE_FG!$L$5:$L$367, MATCH(E138, DATABASE_FG!$C$5:$C$367, 0)), " ")</f>
        <v>56</v>
      </c>
      <c r="T138" s="36" t="s">
        <v>677</v>
      </c>
      <c r="U138" s="36"/>
      <c r="V138" s="36"/>
      <c r="W138" s="129"/>
      <c r="X138" s="36"/>
      <c r="Y138" s="36"/>
      <c r="Z138" s="36"/>
      <c r="AA138" s="125" t="s">
        <v>121</v>
      </c>
      <c r="AB138" s="173"/>
      <c r="AC138" s="119"/>
      <c r="AD138" s="36" t="str">
        <f t="shared" ref="AD138:AD152" si="18">IF(NOT(ISBLANK(AC138)), C138, "")</f>
        <v/>
      </c>
      <c r="AE138" s="36" t="str">
        <f t="shared" ref="AE138:AE152" si="19">IF(NOT(ISBLANK(AC138)), E138, "")</f>
        <v/>
      </c>
      <c r="AF138" s="36">
        <v>0</v>
      </c>
      <c r="AG138" s="120">
        <f t="shared" ref="AG138:AG151" si="20">AF138*H138</f>
        <v>0</v>
      </c>
      <c r="AH138" s="36"/>
      <c r="AI138" s="124" t="s">
        <v>1171</v>
      </c>
      <c r="AJ138" s="122"/>
      <c r="AK138" s="129" t="str">
        <f t="shared" ref="AK138:AK150" ca="1" si="21">IF(AB138="", IF(K138 &lt; TODAY(), "Late", ""), IF(AB138 &lt;= K138 + 2, "On Time", "Late"))</f>
        <v>Late</v>
      </c>
      <c r="AL138" s="268" t="str">
        <f t="shared" ref="AL138:AL201" si="22">TEXT(K138,"mmmm")</f>
        <v>October</v>
      </c>
      <c r="AM138" s="133">
        <f>YEAR(Table1[[#This Row],[ETA
As requested
dd.mm.yyyy]])</f>
        <v>2022</v>
      </c>
    </row>
    <row r="139" spans="1:39" hidden="1">
      <c r="A139" s="123" t="s">
        <v>26</v>
      </c>
      <c r="B139" s="36" t="s">
        <v>1170</v>
      </c>
      <c r="C139" s="117">
        <v>4509087632</v>
      </c>
      <c r="D139" s="165"/>
      <c r="E139" s="117">
        <v>1818509826</v>
      </c>
      <c r="F139" s="36" t="str">
        <f>IFERROR(VLOOKUP(Table1[[#This Row],[Part Number]],DATABASE_FG!$C$6:D10128,2,FALSE)," ")</f>
        <v>VALVE_INSERT_NG32</v>
      </c>
      <c r="G139" s="117">
        <f>IFERROR(_xlfn.XLOOKUP(Table1[[#This Row],[Part Number]],Table3[Part number],Table3[Drawing
 Revision]),"")</f>
        <v>1</v>
      </c>
      <c r="H139" s="118" cm="1">
        <f t="array" ref="H139">IFERROR(INDEX(PDB!$C:$AT,MATCH(E139,PDB!$B:$B,0),MATCH(YEAR(K139),0+PDB!$C$1:$AT$1,0)),"")</f>
        <v>57.12</v>
      </c>
      <c r="I139" s="36">
        <v>5</v>
      </c>
      <c r="J139" s="125">
        <f>IFERROR(Table1[[#This Row],[Quantity]]*Table1[[#This Row],[Price/Unit
EUR]]," ")</f>
        <v>285.59999999999997</v>
      </c>
      <c r="K139" s="126">
        <v>44603</v>
      </c>
      <c r="L139" s="36">
        <f>WEEKNUM(Table1[[#This Row],[ETA
As requested
dd.mm.yyyy]])</f>
        <v>7</v>
      </c>
      <c r="M139" s="36">
        <f>YEAR(Table1[[#This Row],[ETA
As requested
dd.mm.yyyy]])</f>
        <v>2022</v>
      </c>
      <c r="N139" s="36">
        <f>IFERROR(INDEX(DATABASE_FG!$H$5:$H$367, MATCH(E139, DATABASE_FG!$C$5:$C$367, 0)), " ")</f>
        <v>0</v>
      </c>
      <c r="O139" s="129" t="str">
        <f>IF(E139&lt;&gt;"", _xlfn.XLOOKUP(E139, DATABASE_FG!C:C, DATABASE_FG!F:F), " ")</f>
        <v>Ventileinsatz</v>
      </c>
      <c r="P139" s="129">
        <f>IFERROR(INDEX(DATABASE_FG!$G$5:$G$367, MATCH(E139, DATABASE_FG!$C$5:$C$367, 0)), "Not Found")</f>
        <v>75</v>
      </c>
      <c r="Q139" s="36"/>
      <c r="R139" s="125" t="s">
        <v>680</v>
      </c>
      <c r="S139" s="123">
        <f>IFERROR(INDEX(DATABASE_FG!$L$5:$L$367, MATCH(E139, DATABASE_FG!$C$5:$C$367, 0)), " ")</f>
        <v>56</v>
      </c>
      <c r="T139" s="36" t="s">
        <v>677</v>
      </c>
      <c r="U139" s="36"/>
      <c r="V139" s="36"/>
      <c r="W139" s="129"/>
      <c r="X139" s="36"/>
      <c r="Y139" s="36"/>
      <c r="Z139" s="36"/>
      <c r="AA139" s="125" t="s">
        <v>121</v>
      </c>
      <c r="AB139" s="173"/>
      <c r="AC139" s="119"/>
      <c r="AD139" s="36" t="str">
        <f t="shared" si="18"/>
        <v/>
      </c>
      <c r="AE139" s="36" t="str">
        <f t="shared" si="19"/>
        <v/>
      </c>
      <c r="AF139" s="36">
        <v>0</v>
      </c>
      <c r="AG139" s="120">
        <f t="shared" si="20"/>
        <v>0</v>
      </c>
      <c r="AH139" s="36"/>
      <c r="AI139" s="124" t="s">
        <v>1171</v>
      </c>
      <c r="AJ139" s="122"/>
      <c r="AK139" s="129" t="str">
        <f t="shared" ca="1" si="21"/>
        <v>Late</v>
      </c>
      <c r="AL139" s="268" t="str">
        <f t="shared" si="22"/>
        <v>February</v>
      </c>
      <c r="AM139" s="133">
        <f>YEAR(Table1[[#This Row],[ETA
As requested
dd.mm.yyyy]])</f>
        <v>2022</v>
      </c>
    </row>
    <row r="140" spans="1:39" hidden="1">
      <c r="A140" s="123" t="s">
        <v>26</v>
      </c>
      <c r="B140" s="36" t="s">
        <v>1170</v>
      </c>
      <c r="C140" s="117">
        <v>4509087632</v>
      </c>
      <c r="D140" s="165"/>
      <c r="E140" s="117">
        <v>1818509830</v>
      </c>
      <c r="F140" s="36" t="str">
        <f>IFERROR(VLOOKUP(Table1[[#This Row],[Part Number]],DATABASE_FG!$C$6:D10129,2,FALSE)," ")</f>
        <v>VALVE_INSERT_NG40_STUFE</v>
      </c>
      <c r="G140" s="117">
        <f>IFERROR(_xlfn.XLOOKUP(Table1[[#This Row],[Part Number]],Table3[Part number],Table3[Drawing
 Revision]),"")</f>
        <v>1</v>
      </c>
      <c r="H140" s="118" cm="1">
        <f t="array" ref="H140">IFERROR(INDEX(PDB!$C:$AT,MATCH(E140,PDB!$B:$B,0),MATCH(YEAR(K140),0+PDB!$C$1:$AT$1,0)),"")</f>
        <v>129.61000000000001</v>
      </c>
      <c r="I140" s="36">
        <v>5</v>
      </c>
      <c r="J140" s="125">
        <f>IFERROR(Table1[[#This Row],[Quantity]]*Table1[[#This Row],[Price/Unit
EUR]]," ")</f>
        <v>648.05000000000007</v>
      </c>
      <c r="K140" s="126">
        <v>44603</v>
      </c>
      <c r="L140" s="36">
        <f>WEEKNUM(Table1[[#This Row],[ETA
As requested
dd.mm.yyyy]])</f>
        <v>7</v>
      </c>
      <c r="M140" s="36">
        <f>YEAR(Table1[[#This Row],[ETA
As requested
dd.mm.yyyy]])</f>
        <v>2022</v>
      </c>
      <c r="N140" s="36">
        <f>IFERROR(INDEX(DATABASE_FG!$H$5:$H$367, MATCH(E140, DATABASE_FG!$C$5:$C$367, 0)), " ")</f>
        <v>0</v>
      </c>
      <c r="O140" s="129" t="str">
        <f>IF(E140&lt;&gt;"", _xlfn.XLOOKUP(E140, DATABASE_FG!C:C, DATABASE_FG!F:F), " ")</f>
        <v>Ventileinsatz</v>
      </c>
      <c r="P140" s="129">
        <f>IFERROR(INDEX(DATABASE_FG!$G$5:$G$367, MATCH(E140, DATABASE_FG!$C$5:$C$367, 0)), "Not Found")</f>
        <v>10</v>
      </c>
      <c r="Q140" s="36"/>
      <c r="R140" s="125" t="s">
        <v>680</v>
      </c>
      <c r="S140" s="123">
        <f>IFERROR(INDEX(DATABASE_FG!$L$5:$L$367, MATCH(E140, DATABASE_FG!$C$5:$C$367, 0)), " ")</f>
        <v>56</v>
      </c>
      <c r="T140" s="36" t="s">
        <v>677</v>
      </c>
      <c r="U140" s="36"/>
      <c r="V140" s="36"/>
      <c r="W140" s="129"/>
      <c r="X140" s="36"/>
      <c r="Y140" s="36"/>
      <c r="Z140" s="36"/>
      <c r="AA140" s="125" t="s">
        <v>121</v>
      </c>
      <c r="AB140" s="173"/>
      <c r="AC140" s="119"/>
      <c r="AD140" s="36" t="str">
        <f t="shared" si="18"/>
        <v/>
      </c>
      <c r="AE140" s="36" t="str">
        <f t="shared" si="19"/>
        <v/>
      </c>
      <c r="AF140" s="36">
        <v>0</v>
      </c>
      <c r="AG140" s="120">
        <f t="shared" si="20"/>
        <v>0</v>
      </c>
      <c r="AH140" s="36"/>
      <c r="AI140" s="124" t="s">
        <v>1171</v>
      </c>
      <c r="AJ140" s="122"/>
      <c r="AK140" s="129" t="str">
        <f t="shared" ca="1" si="21"/>
        <v>Late</v>
      </c>
      <c r="AL140" s="268" t="str">
        <f t="shared" si="22"/>
        <v>February</v>
      </c>
      <c r="AM140" s="133">
        <f>YEAR(Table1[[#This Row],[ETA
As requested
dd.mm.yyyy]])</f>
        <v>2022</v>
      </c>
    </row>
    <row r="141" spans="1:39" hidden="1">
      <c r="A141" s="123" t="s">
        <v>26</v>
      </c>
      <c r="B141" s="36" t="s">
        <v>1170</v>
      </c>
      <c r="C141" s="117">
        <v>4509087646</v>
      </c>
      <c r="D141" s="165"/>
      <c r="E141" s="117">
        <v>1818509834</v>
      </c>
      <c r="F141" s="36" t="str">
        <f>IFERROR(VLOOKUP(Table1[[#This Row],[Part Number]],DATABASE_FG!$C$6:D10130,2,FALSE)," ")</f>
        <v>VALVE_INSERT_NG40</v>
      </c>
      <c r="G141" s="117">
        <f>IFERROR(_xlfn.XLOOKUP(Table1[[#This Row],[Part Number]],Table3[Part number],Table3[Drawing
 Revision]),"")</f>
        <v>1</v>
      </c>
      <c r="H141" s="118" cm="1">
        <f t="array" ref="H141">IFERROR(INDEX(PDB!$C:$AT,MATCH(E141,PDB!$B:$B,0),MATCH(YEAR(K141),0+PDB!$C$1:$AT$1,0)),"")</f>
        <v>133.91</v>
      </c>
      <c r="I141" s="36">
        <v>5</v>
      </c>
      <c r="J141" s="125">
        <f>IFERROR(Table1[[#This Row],[Quantity]]*Table1[[#This Row],[Price/Unit
EUR]]," ")</f>
        <v>669.55</v>
      </c>
      <c r="K141" s="126">
        <v>44888</v>
      </c>
      <c r="L141" s="36">
        <f>WEEKNUM(Table1[[#This Row],[ETA
As requested
dd.mm.yyyy]])</f>
        <v>48</v>
      </c>
      <c r="M141" s="36">
        <f>YEAR(Table1[[#This Row],[ETA
As requested
dd.mm.yyyy]])</f>
        <v>2022</v>
      </c>
      <c r="N141" s="36">
        <f>IFERROR(INDEX(DATABASE_FG!$H$5:$H$367, MATCH(E141, DATABASE_FG!$C$5:$C$367, 0)), " ")</f>
        <v>0</v>
      </c>
      <c r="O141" s="129" t="str">
        <f>IF(E141&lt;&gt;"", _xlfn.XLOOKUP(E141, DATABASE_FG!C:C, DATABASE_FG!F:F), " ")</f>
        <v>Ventileinsatz</v>
      </c>
      <c r="P141" s="129">
        <f>IFERROR(INDEX(DATABASE_FG!$G$5:$G$367, MATCH(E141, DATABASE_FG!$C$5:$C$367, 0)), "Not Found")</f>
        <v>1</v>
      </c>
      <c r="Q141" s="36"/>
      <c r="R141" s="125" t="s">
        <v>680</v>
      </c>
      <c r="S141" s="123">
        <f>IFERROR(INDEX(DATABASE_FG!$L$5:$L$367, MATCH(E141, DATABASE_FG!$C$5:$C$367, 0)), " ")</f>
        <v>56</v>
      </c>
      <c r="T141" s="36" t="s">
        <v>677</v>
      </c>
      <c r="U141" s="36"/>
      <c r="V141" s="36"/>
      <c r="W141" s="129"/>
      <c r="X141" s="36"/>
      <c r="Y141" s="36"/>
      <c r="Z141" s="36"/>
      <c r="AA141" s="125" t="s">
        <v>121</v>
      </c>
      <c r="AB141" s="173"/>
      <c r="AC141" s="119"/>
      <c r="AD141" s="36" t="str">
        <f t="shared" si="18"/>
        <v/>
      </c>
      <c r="AE141" s="36" t="str">
        <f t="shared" si="19"/>
        <v/>
      </c>
      <c r="AF141" s="36">
        <v>0</v>
      </c>
      <c r="AG141" s="120">
        <f t="shared" si="20"/>
        <v>0</v>
      </c>
      <c r="AH141" s="36"/>
      <c r="AI141" s="124" t="s">
        <v>1171</v>
      </c>
      <c r="AJ141" s="122"/>
      <c r="AK141" s="129" t="str">
        <f t="shared" ca="1" si="21"/>
        <v>Late</v>
      </c>
      <c r="AL141" s="268" t="str">
        <f t="shared" si="22"/>
        <v>November</v>
      </c>
      <c r="AM141" s="133">
        <f>YEAR(Table1[[#This Row],[ETA
As requested
dd.mm.yyyy]])</f>
        <v>2022</v>
      </c>
    </row>
    <row r="142" spans="1:39" hidden="1">
      <c r="A142" s="123" t="s">
        <v>26</v>
      </c>
      <c r="B142" s="36" t="s">
        <v>1170</v>
      </c>
      <c r="C142" s="117">
        <v>4509087646</v>
      </c>
      <c r="D142" s="165"/>
      <c r="E142" s="117">
        <v>1818509838</v>
      </c>
      <c r="F142" s="36" t="str">
        <f>IFERROR(VLOOKUP(Table1[[#This Row],[Part Number]],DATABASE_FG!$C$6:D10131,2,FALSE)," ")</f>
        <v>VALVE_INSERT_NG50</v>
      </c>
      <c r="G142" s="117">
        <f>IFERROR(_xlfn.XLOOKUP(Table1[[#This Row],[Part Number]],Table3[Part number],Table3[Drawing
 Revision]),"")</f>
        <v>1</v>
      </c>
      <c r="H142" s="118" cm="1">
        <f t="array" ref="H142">IFERROR(INDEX(PDB!$C:$AT,MATCH(E142,PDB!$B:$B,0),MATCH(YEAR(K142),0+PDB!$C$1:$AT$1,0)),"")</f>
        <v>169.24</v>
      </c>
      <c r="I142" s="36">
        <v>5</v>
      </c>
      <c r="J142" s="125">
        <f>IFERROR(Table1[[#This Row],[Quantity]]*Table1[[#This Row],[Price/Unit
EUR]]," ")</f>
        <v>846.2</v>
      </c>
      <c r="K142" s="126">
        <v>44888</v>
      </c>
      <c r="L142" s="36">
        <f>WEEKNUM(Table1[[#This Row],[ETA
As requested
dd.mm.yyyy]])</f>
        <v>48</v>
      </c>
      <c r="M142" s="36">
        <f>YEAR(Table1[[#This Row],[ETA
As requested
dd.mm.yyyy]])</f>
        <v>2022</v>
      </c>
      <c r="N142" s="36">
        <f>IFERROR(INDEX(DATABASE_FG!$H$5:$H$367, MATCH(E142, DATABASE_FG!$C$5:$C$367, 0)), " ")</f>
        <v>0</v>
      </c>
      <c r="O142" s="129" t="str">
        <f>IF(E142&lt;&gt;"", _xlfn.XLOOKUP(E142, DATABASE_FG!C:C, DATABASE_FG!F:F), " ")</f>
        <v>Ventileinsatz</v>
      </c>
      <c r="P142" s="129">
        <f>IFERROR(INDEX(DATABASE_FG!$G$5:$G$367, MATCH(E142, DATABASE_FG!$C$5:$C$367, 0)), "Not Found")</f>
        <v>1</v>
      </c>
      <c r="Q142" s="36"/>
      <c r="R142" s="125" t="s">
        <v>680</v>
      </c>
      <c r="S142" s="123">
        <f>IFERROR(INDEX(DATABASE_FG!$L$5:$L$367, MATCH(E142, DATABASE_FG!$C$5:$C$367, 0)), " ")</f>
        <v>56</v>
      </c>
      <c r="T142" s="36" t="s">
        <v>677</v>
      </c>
      <c r="U142" s="36"/>
      <c r="V142" s="36"/>
      <c r="W142" s="129"/>
      <c r="X142" s="36"/>
      <c r="Y142" s="36"/>
      <c r="Z142" s="36"/>
      <c r="AA142" s="125" t="s">
        <v>121</v>
      </c>
      <c r="AB142" s="172"/>
      <c r="AC142" s="119"/>
      <c r="AD142" s="36" t="str">
        <f t="shared" si="18"/>
        <v/>
      </c>
      <c r="AE142" s="36" t="str">
        <f t="shared" si="19"/>
        <v/>
      </c>
      <c r="AF142" s="36">
        <v>0</v>
      </c>
      <c r="AG142" s="120">
        <f t="shared" si="20"/>
        <v>0</v>
      </c>
      <c r="AH142" s="36"/>
      <c r="AI142" s="124" t="s">
        <v>1171</v>
      </c>
      <c r="AJ142" s="122"/>
      <c r="AK142" s="129" t="str">
        <f t="shared" ca="1" si="21"/>
        <v>Late</v>
      </c>
      <c r="AL142" s="268" t="str">
        <f t="shared" si="22"/>
        <v>November</v>
      </c>
      <c r="AM142" s="133">
        <f>YEAR(Table1[[#This Row],[ETA
As requested
dd.mm.yyyy]])</f>
        <v>2022</v>
      </c>
    </row>
    <row r="143" spans="1:39" hidden="1">
      <c r="A143" s="123" t="s">
        <v>58</v>
      </c>
      <c r="B143" s="36" t="s">
        <v>1170</v>
      </c>
      <c r="C143" s="117" t="s">
        <v>2124</v>
      </c>
      <c r="D143" s="165">
        <v>45425</v>
      </c>
      <c r="E143" s="117" t="s">
        <v>2125</v>
      </c>
      <c r="F143" s="36" t="str">
        <f>IFERROR(VLOOKUP(Table1[[#This Row],[Part Number]],DATABASE_FG!$C$6:D10132,2,FALSE)," ")</f>
        <v>28043501 Plan2A</v>
      </c>
      <c r="G143" s="117" t="str">
        <f>IFERROR(_xlfn.XLOOKUP(Table1[[#This Row],[Part Number]],Table3[Part number],Table3[Drawing
 Revision]),"")</f>
        <v>C</v>
      </c>
      <c r="H143" s="118" cm="1">
        <f t="array" ref="H143">IFERROR(INDEX(PDB!$C:$AT,MATCH(E143,PDB!$B:$B,0),MATCH(YEAR(K143),0+PDB!$C$1:$AT$1,0)),"")</f>
        <v>630.4</v>
      </c>
      <c r="I143" s="36">
        <v>20</v>
      </c>
      <c r="J143" s="125">
        <f>IFERROR(Table1[[#This Row],[Quantity]]*Table1[[#This Row],[Price/Unit
EUR]]," ")</f>
        <v>12608</v>
      </c>
      <c r="K143" s="126">
        <v>45534</v>
      </c>
      <c r="L143" s="36">
        <f>WEEKNUM(Table1[[#This Row],[ETA
As requested
dd.mm.yyyy]])</f>
        <v>35</v>
      </c>
      <c r="M143" s="36">
        <f>YEAR(Table1[[#This Row],[ETA
As requested
dd.mm.yyyy]])</f>
        <v>2024</v>
      </c>
      <c r="N143" s="36">
        <f>IFERROR(INDEX(DATABASE_FG!$H$5:$H$367, MATCH(E143, DATABASE_FG!$C$5:$C$367, 0)), " ")</f>
        <v>0</v>
      </c>
      <c r="O143" s="129" t="str">
        <f>IF(E143&lt;&gt;"", _xlfn.XLOOKUP(E143, DATABASE_FG!C:C, DATABASE_FG!F:F), " ")</f>
        <v>sector</v>
      </c>
      <c r="P143" s="129">
        <f>IFERROR(INDEX(DATABASE_FG!$G$5:$G$367, MATCH(E143, DATABASE_FG!$C$5:$C$367, 0)), "Not Found")</f>
        <v>0</v>
      </c>
      <c r="Q143" s="36"/>
      <c r="R143" s="125" t="s">
        <v>678</v>
      </c>
      <c r="S143" s="123">
        <f>IFERROR(INDEX(DATABASE_FG!$L$5:$L$367, MATCH(E143, DATABASE_FG!$C$5:$C$367, 0)), " ")</f>
        <v>42</v>
      </c>
      <c r="T143" s="36" t="s">
        <v>679</v>
      </c>
      <c r="U143" s="36"/>
      <c r="V143" s="36"/>
      <c r="W143" s="129"/>
      <c r="X143" s="36"/>
      <c r="Y143" s="36"/>
      <c r="Z143" s="36"/>
      <c r="AA143" s="125" t="s">
        <v>121</v>
      </c>
      <c r="AB143" s="172">
        <v>45538</v>
      </c>
      <c r="AC143" s="119">
        <v>202401092</v>
      </c>
      <c r="AD143" s="36" t="str">
        <f t="shared" si="18"/>
        <v>RA119079</v>
      </c>
      <c r="AE143" s="36" t="str">
        <f t="shared" si="19"/>
        <v>10916528043501</v>
      </c>
      <c r="AF143" s="36">
        <v>20</v>
      </c>
      <c r="AG143" s="120">
        <f t="shared" si="20"/>
        <v>12608</v>
      </c>
      <c r="AH143" s="36"/>
      <c r="AI143" s="124"/>
      <c r="AJ143" s="122" t="s">
        <v>2127</v>
      </c>
      <c r="AK143" s="129" t="str">
        <f t="shared" ca="1" si="21"/>
        <v>Late</v>
      </c>
      <c r="AL143" s="268" t="str">
        <f t="shared" si="22"/>
        <v>August</v>
      </c>
      <c r="AM143" s="133">
        <f>YEAR(Table1[[#This Row],[ETA
As requested
dd.mm.yyyy]])</f>
        <v>2024</v>
      </c>
    </row>
    <row r="144" spans="1:39" hidden="1">
      <c r="A144" s="123" t="s">
        <v>58</v>
      </c>
      <c r="B144" s="36" t="s">
        <v>1170</v>
      </c>
      <c r="C144" s="117" t="s">
        <v>2124</v>
      </c>
      <c r="D144" s="165">
        <v>45425</v>
      </c>
      <c r="E144" s="117" t="s">
        <v>2125</v>
      </c>
      <c r="F144" s="36" t="str">
        <f>IFERROR(VLOOKUP(Table1[[#This Row],[Part Number]],DATABASE_FG!$C$6:D10133,2,FALSE)," ")</f>
        <v>28043501 Plan2A</v>
      </c>
      <c r="G144" s="117" t="str">
        <f>IFERROR(_xlfn.XLOOKUP(Table1[[#This Row],[Part Number]],Table3[Part number],Table3[Drawing
 Revision]),"")</f>
        <v>C</v>
      </c>
      <c r="H144" s="118" cm="1">
        <f t="array" ref="H144">IFERROR(INDEX(PDB!$C:$AT,MATCH(E144,PDB!$B:$B,0),MATCH(YEAR(K144),0+PDB!$C$1:$AT$1,0)),"")</f>
        <v>630.4</v>
      </c>
      <c r="I144" s="36">
        <v>10</v>
      </c>
      <c r="J144" s="125">
        <f>IFERROR(Table1[[#This Row],[Quantity]]*Table1[[#This Row],[Price/Unit
EUR]]," ")</f>
        <v>6304</v>
      </c>
      <c r="K144" s="126">
        <v>45534</v>
      </c>
      <c r="L144" s="36">
        <f>WEEKNUM(Table1[[#This Row],[ETA
As requested
dd.mm.yyyy]])</f>
        <v>35</v>
      </c>
      <c r="M144" s="36">
        <f>YEAR(Table1[[#This Row],[ETA
As requested
dd.mm.yyyy]])</f>
        <v>2024</v>
      </c>
      <c r="N144" s="36">
        <f>IFERROR(INDEX(DATABASE_FG!$H$5:$H$367, MATCH(E144, DATABASE_FG!$C$5:$C$367, 0)), " ")</f>
        <v>0</v>
      </c>
      <c r="O144" s="129" t="str">
        <f>IF(E144&lt;&gt;"", _xlfn.XLOOKUP(E144, DATABASE_FG!C:C, DATABASE_FG!F:F), " ")</f>
        <v>sector</v>
      </c>
      <c r="P144" s="129">
        <f>IFERROR(INDEX(DATABASE_FG!$G$5:$G$367, MATCH(E144, DATABASE_FG!$C$5:$C$367, 0)), "Not Found")</f>
        <v>0</v>
      </c>
      <c r="Q144" s="36"/>
      <c r="R144" s="125"/>
      <c r="S144" s="123">
        <f>Table1[[#This Row],[Quantity]]/48</f>
        <v>0.20833333333333334</v>
      </c>
      <c r="T144" s="36"/>
      <c r="U144" s="36"/>
      <c r="V144" s="36"/>
      <c r="W144" s="129"/>
      <c r="X144" s="36"/>
      <c r="Y144" s="36"/>
      <c r="Z144" s="36"/>
      <c r="AA144" s="125" t="s">
        <v>121</v>
      </c>
      <c r="AB144" s="172">
        <v>45540</v>
      </c>
      <c r="AC144" s="119">
        <v>202401104</v>
      </c>
      <c r="AD144" s="36" t="str">
        <f t="shared" si="18"/>
        <v>RA119079</v>
      </c>
      <c r="AE144" s="36" t="str">
        <f t="shared" si="19"/>
        <v>10916528043501</v>
      </c>
      <c r="AF144" s="36">
        <v>10</v>
      </c>
      <c r="AG144" s="120">
        <f t="shared" si="20"/>
        <v>6304</v>
      </c>
      <c r="AH144" s="36"/>
      <c r="AI144" s="124"/>
      <c r="AJ144" s="122" t="s">
        <v>2128</v>
      </c>
      <c r="AK144" s="129" t="str">
        <f t="shared" ca="1" si="21"/>
        <v>Late</v>
      </c>
      <c r="AL144" s="268" t="str">
        <f t="shared" si="22"/>
        <v>August</v>
      </c>
      <c r="AM144" s="133">
        <f>YEAR(Table1[[#This Row],[ETA
As requested
dd.mm.yyyy]])</f>
        <v>2024</v>
      </c>
    </row>
    <row r="145" spans="1:40" hidden="1">
      <c r="A145" s="123" t="s">
        <v>58</v>
      </c>
      <c r="B145" s="36" t="s">
        <v>1170</v>
      </c>
      <c r="C145" s="117" t="s">
        <v>2394</v>
      </c>
      <c r="D145" s="165">
        <v>45478</v>
      </c>
      <c r="E145" s="117" t="s">
        <v>2125</v>
      </c>
      <c r="F145" s="36" t="str">
        <f>IFERROR(VLOOKUP(Table1[[#This Row],[Part Number]],DATABASE_FG!$C$6:D10134,2,FALSE)," ")</f>
        <v>28043501 Plan2A</v>
      </c>
      <c r="G145" s="117" t="str">
        <f>IFERROR(_xlfn.XLOOKUP(Table1[[#This Row],[Part Number]],Table3[Part number],Table3[Drawing
 Revision]),"")</f>
        <v>C</v>
      </c>
      <c r="H145" s="118" cm="1">
        <f t="array" ref="H145">IFERROR(INDEX(PDB!$C:$AT,MATCH(E145,PDB!$B:$B,0),MATCH(YEAR(K145),0+PDB!$C$1:$AT$1,0)),"")</f>
        <v>630.4</v>
      </c>
      <c r="I145" s="36">
        <v>30</v>
      </c>
      <c r="J145" s="125">
        <f>IFERROR(Table1[[#This Row],[Quantity]]*Table1[[#This Row],[Price/Unit
EUR]]," ")</f>
        <v>18912</v>
      </c>
      <c r="K145" s="126">
        <v>45562</v>
      </c>
      <c r="L145" s="36">
        <f>WEEKNUM(Table1[[#This Row],[ETA
As requested
dd.mm.yyyy]])</f>
        <v>39</v>
      </c>
      <c r="M145" s="36">
        <f>YEAR(Table1[[#This Row],[ETA
As requested
dd.mm.yyyy]])</f>
        <v>2024</v>
      </c>
      <c r="N145" s="36">
        <f>IFERROR(INDEX(DATABASE_FG!$H$5:$H$367, MATCH(E145, DATABASE_FG!$C$5:$C$367, 0)), " ")</f>
        <v>0</v>
      </c>
      <c r="O145" s="129" t="str">
        <f>IF(E145&lt;&gt;"", _xlfn.XLOOKUP(E145, DATABASE_FG!C:C, DATABASE_FG!F:F), " ")</f>
        <v>sector</v>
      </c>
      <c r="P145" s="129">
        <f>IFERROR(INDEX(DATABASE_FG!$G$5:$G$367, MATCH(E145, DATABASE_FG!$C$5:$C$367, 0)), "Not Found")</f>
        <v>0</v>
      </c>
      <c r="Q145" s="36"/>
      <c r="R145" s="125" t="s">
        <v>678</v>
      </c>
      <c r="S145" s="123">
        <f>IFERROR(INDEX(DATABASE_FG!$L$5:$L$367, MATCH(E145, DATABASE_FG!$C$5:$C$367, 0)), " ")</f>
        <v>42</v>
      </c>
      <c r="T145" s="36" t="s">
        <v>679</v>
      </c>
      <c r="U145" s="36"/>
      <c r="V145" s="36"/>
      <c r="W145" s="129"/>
      <c r="X145" s="36" t="s">
        <v>2395</v>
      </c>
      <c r="Y145" s="36"/>
      <c r="Z145" s="36"/>
      <c r="AA145" s="125" t="s">
        <v>121</v>
      </c>
      <c r="AB145" s="172">
        <v>45555</v>
      </c>
      <c r="AC145" s="119">
        <v>202401156</v>
      </c>
      <c r="AD145" s="36" t="str">
        <f t="shared" si="18"/>
        <v>RA119846</v>
      </c>
      <c r="AE145" s="36" t="str">
        <f t="shared" si="19"/>
        <v>10916528043501</v>
      </c>
      <c r="AF145" s="36">
        <v>30</v>
      </c>
      <c r="AG145" s="120">
        <f t="shared" si="20"/>
        <v>18912</v>
      </c>
      <c r="AH145" s="36"/>
      <c r="AI145" s="124"/>
      <c r="AJ145" s="122" t="s">
        <v>2396</v>
      </c>
      <c r="AK145" s="129" t="str">
        <f t="shared" ca="1" si="21"/>
        <v>On Time</v>
      </c>
      <c r="AL145" s="268" t="str">
        <f t="shared" si="22"/>
        <v>September</v>
      </c>
      <c r="AM145" s="133">
        <f>YEAR(Table1[[#This Row],[ETA
As requested
dd.mm.yyyy]])</f>
        <v>2024</v>
      </c>
    </row>
    <row r="146" spans="1:40" hidden="1">
      <c r="A146" s="123" t="s">
        <v>58</v>
      </c>
      <c r="B146" s="36" t="s">
        <v>1170</v>
      </c>
      <c r="C146" s="117">
        <v>4500011454</v>
      </c>
      <c r="D146" s="165">
        <v>45610</v>
      </c>
      <c r="E146" s="117" t="s">
        <v>2125</v>
      </c>
      <c r="F146" s="36" t="str">
        <f>IFERROR(VLOOKUP(Table1[[#This Row],[Part Number]],DATABASE_FG!$C$6:D10135,2,FALSE)," ")</f>
        <v>28043501 Plan2A</v>
      </c>
      <c r="G146" s="117" t="str">
        <f>IFERROR(_xlfn.XLOOKUP(Table1[[#This Row],[Part Number]],Table3[Part number],Table3[Drawing
 Revision]),"")</f>
        <v>C</v>
      </c>
      <c r="H146" s="118" cm="1">
        <f t="array" ref="H146">IFERROR(INDEX(PDB!$C:$AT,MATCH(E146,PDB!$B:$B,0),MATCH(YEAR(K146),0+PDB!$C$1:$AT$1,0)),"")</f>
        <v>630.4</v>
      </c>
      <c r="I146" s="36">
        <v>31</v>
      </c>
      <c r="J146" s="125">
        <f>IFERROR(Table1[[#This Row],[Quantity]]*Table1[[#This Row],[Price/Unit
EUR]]," ")</f>
        <v>19542.399999999998</v>
      </c>
      <c r="K146" s="126">
        <v>45674</v>
      </c>
      <c r="L146" s="36">
        <f>WEEKNUM(Table1[[#This Row],[ETA
As requested
dd.mm.yyyy]])</f>
        <v>3</v>
      </c>
      <c r="M146" s="36">
        <f>YEAR(Table1[[#This Row],[ETA
As requested
dd.mm.yyyy]])</f>
        <v>2025</v>
      </c>
      <c r="N146" s="36">
        <f>IFERROR(INDEX(DATABASE_FG!$H$5:$H$367, MATCH(E146, DATABASE_FG!$C$5:$C$367, 0)), " ")</f>
        <v>0</v>
      </c>
      <c r="O146" s="129" t="str">
        <f>IF(E146&lt;&gt;"", _xlfn.XLOOKUP(E146, DATABASE_FG!C:C, DATABASE_FG!F:F), " ")</f>
        <v>sector</v>
      </c>
      <c r="P146" s="129">
        <f>IFERROR(INDEX(DATABASE_FG!$G$5:$G$367, MATCH(E146, DATABASE_FG!$C$5:$C$367, 0)), "Not Found")</f>
        <v>0</v>
      </c>
      <c r="Q146" s="36"/>
      <c r="R146" s="125" t="s">
        <v>678</v>
      </c>
      <c r="S146" s="123">
        <f>IFERROR(INDEX(DATABASE_FG!$L$5:$L$367, MATCH(E146, DATABASE_FG!$C$5:$C$367, 0)), " ")</f>
        <v>42</v>
      </c>
      <c r="T146" s="36" t="s">
        <v>677</v>
      </c>
      <c r="U146" s="36"/>
      <c r="V146" s="36"/>
      <c r="W146" s="129"/>
      <c r="X146" s="36"/>
      <c r="Y146" s="36"/>
      <c r="Z146" s="36"/>
      <c r="AA146" s="125" t="s">
        <v>121</v>
      </c>
      <c r="AB146" s="172">
        <v>45694</v>
      </c>
      <c r="AC146" s="119">
        <v>25159</v>
      </c>
      <c r="AD146" s="36">
        <f t="shared" si="18"/>
        <v>4500011454</v>
      </c>
      <c r="AE146" s="36" t="str">
        <f t="shared" si="19"/>
        <v>10916528043501</v>
      </c>
      <c r="AF146" s="36">
        <v>31</v>
      </c>
      <c r="AG146" s="120">
        <f t="shared" si="20"/>
        <v>19542.399999999998</v>
      </c>
      <c r="AH146" s="36"/>
      <c r="AI146" s="124"/>
      <c r="AJ146" s="122" t="s">
        <v>2736</v>
      </c>
      <c r="AK146" s="129" t="str">
        <f t="shared" ca="1" si="21"/>
        <v>Late</v>
      </c>
      <c r="AL146" s="268" t="str">
        <f t="shared" si="22"/>
        <v>January</v>
      </c>
      <c r="AM146" s="133">
        <f>YEAR(Table1[[#This Row],[ETA
As requested
dd.mm.yyyy]])</f>
        <v>2025</v>
      </c>
    </row>
    <row r="147" spans="1:40" hidden="1">
      <c r="A147" s="123" t="s">
        <v>58</v>
      </c>
      <c r="B147" s="36" t="s">
        <v>1170</v>
      </c>
      <c r="C147" s="117" t="s">
        <v>2124</v>
      </c>
      <c r="D147" s="165">
        <v>45425</v>
      </c>
      <c r="E147" s="117" t="s">
        <v>2136</v>
      </c>
      <c r="F147" s="36" t="str">
        <f>IFERROR(VLOOKUP(Table1[[#This Row],[Part Number]],DATABASE_FG!$C$6:D10136,2,FALSE)," ")</f>
        <v>32340009 P030</v>
      </c>
      <c r="G147" s="117" t="str">
        <f>IFERROR(_xlfn.XLOOKUP(Table1[[#This Row],[Part Number]],Table3[Part number],Table3[Drawing
 Revision]),"")</f>
        <v>B</v>
      </c>
      <c r="H147" s="118" cm="1">
        <f t="array" ref="H147">IFERROR(INDEX(PDB!$C:$AT,MATCH(E147,PDB!$B:$B,0),MATCH(YEAR(K147),0+PDB!$C$1:$AT$1,0)),"")</f>
        <v>531.12</v>
      </c>
      <c r="I147" s="36">
        <v>10</v>
      </c>
      <c r="J147" s="125">
        <f>IFERROR(Table1[[#This Row],[Quantity]]*Table1[[#This Row],[Price/Unit
EUR]]," ")</f>
        <v>5311.2</v>
      </c>
      <c r="K147" s="126">
        <v>45534</v>
      </c>
      <c r="L147" s="36">
        <f>WEEKNUM(Table1[[#This Row],[ETA
As requested
dd.mm.yyyy]])</f>
        <v>35</v>
      </c>
      <c r="M147" s="36">
        <f>YEAR(Table1[[#This Row],[ETA
As requested
dd.mm.yyyy]])</f>
        <v>2024</v>
      </c>
      <c r="N147" s="36">
        <f>IFERROR(INDEX(DATABASE_FG!$H$5:$H$367, MATCH(E147, DATABASE_FG!$C$5:$C$367, 0)), " ")</f>
        <v>0</v>
      </c>
      <c r="O147" s="129" t="str">
        <f>IF(E147&lt;&gt;"", _xlfn.XLOOKUP(E147, DATABASE_FG!C:C, DATABASE_FG!F:F), " ")</f>
        <v>sector</v>
      </c>
      <c r="P147" s="129">
        <f>IFERROR(INDEX(DATABASE_FG!$G$5:$G$367, MATCH(E147, DATABASE_FG!$C$5:$C$367, 0)), "Not Found")</f>
        <v>30</v>
      </c>
      <c r="Q147" s="36"/>
      <c r="R147" s="125" t="s">
        <v>678</v>
      </c>
      <c r="S147" s="123">
        <f>IFERROR(INDEX(DATABASE_FG!$L$5:$L$367, MATCH(E147, DATABASE_FG!$C$5:$C$367, 0)), " ")</f>
        <v>42</v>
      </c>
      <c r="T147" s="36" t="s">
        <v>679</v>
      </c>
      <c r="U147" s="36"/>
      <c r="V147" s="36"/>
      <c r="W147" s="129"/>
      <c r="X147" s="36"/>
      <c r="Y147" s="36"/>
      <c r="Z147" s="36"/>
      <c r="AA147" s="125" t="s">
        <v>121</v>
      </c>
      <c r="AB147" s="172">
        <v>45574</v>
      </c>
      <c r="AC147" s="119">
        <v>202401235</v>
      </c>
      <c r="AD147" s="36" t="str">
        <f t="shared" si="18"/>
        <v>RA119079</v>
      </c>
      <c r="AE147" s="36" t="str">
        <f t="shared" si="19"/>
        <v>10916532340009</v>
      </c>
      <c r="AF147" s="36">
        <v>10</v>
      </c>
      <c r="AG147" s="120">
        <f t="shared" si="20"/>
        <v>5311.2</v>
      </c>
      <c r="AH147" s="36"/>
      <c r="AI147" s="124"/>
      <c r="AJ147" s="122" t="s">
        <v>2137</v>
      </c>
      <c r="AK147" s="129" t="str">
        <f t="shared" ca="1" si="21"/>
        <v>Late</v>
      </c>
      <c r="AL147" s="268" t="str">
        <f t="shared" si="22"/>
        <v>August</v>
      </c>
      <c r="AM147" s="133">
        <f>YEAR(Table1[[#This Row],[ETA
As requested
dd.mm.yyyy]])</f>
        <v>2024</v>
      </c>
    </row>
    <row r="148" spans="1:40" hidden="1">
      <c r="A148" s="123" t="s">
        <v>58</v>
      </c>
      <c r="B148" s="36" t="s">
        <v>1170</v>
      </c>
      <c r="C148" s="117">
        <v>4500015909</v>
      </c>
      <c r="D148" s="165">
        <v>45763</v>
      </c>
      <c r="E148" s="117" t="s">
        <v>2136</v>
      </c>
      <c r="F148" s="36" t="str">
        <f>IFERROR(VLOOKUP(Table1[[#This Row],[Part Number]],DATABASE_FG!$C$6:D10137,2,FALSE)," ")</f>
        <v>32340009 P030</v>
      </c>
      <c r="G148" s="117" t="str">
        <f>IFERROR(_xlfn.XLOOKUP(Table1[[#This Row],[Part Number]],Table3[Part number],Table3[Drawing
 Revision]),"")</f>
        <v>B</v>
      </c>
      <c r="H148" s="118" cm="1">
        <f t="array" ref="H148">IFERROR(INDEX(PDB!$C:$AT,MATCH(E148,PDB!$B:$B,0),MATCH(YEAR(K148),0+PDB!$C$1:$AT$1,0)),"")</f>
        <v>531.12</v>
      </c>
      <c r="I148" s="36">
        <v>10</v>
      </c>
      <c r="J148" s="125">
        <f>IFERROR(Table1[[#This Row],[Quantity]]*Table1[[#This Row],[Price/Unit
EUR]]," ")</f>
        <v>5311.2</v>
      </c>
      <c r="K148" s="126">
        <v>45849</v>
      </c>
      <c r="L148" s="36">
        <f>WEEKNUM(Table1[[#This Row],[ETA
As requested
dd.mm.yyyy]])</f>
        <v>28</v>
      </c>
      <c r="M148" s="36">
        <f>YEAR(Table1[[#This Row],[ETA
As requested
dd.mm.yyyy]])</f>
        <v>2025</v>
      </c>
      <c r="N148" s="36"/>
      <c r="O148" s="129" t="str">
        <f>IF(E148&lt;&gt;"", _xlfn.XLOOKUP(E148, DATABASE_FG!C:C, DATABASE_FG!F:F), " ")</f>
        <v>sector</v>
      </c>
      <c r="P148" s="129">
        <v>0</v>
      </c>
      <c r="Q148" s="36"/>
      <c r="R148" s="125" t="s">
        <v>678</v>
      </c>
      <c r="S148" s="123">
        <f>IFERROR(INDEX(DATABASE_FG!$L$5:$L$367, MATCH(E148, DATABASE_FG!$C$5:$C$367, 0)), " ")</f>
        <v>42</v>
      </c>
      <c r="T148" s="36" t="s">
        <v>677</v>
      </c>
      <c r="U148" s="36"/>
      <c r="V148" s="36"/>
      <c r="W148" s="129"/>
      <c r="X148" s="36"/>
      <c r="Y148" s="36"/>
      <c r="Z148" s="36"/>
      <c r="AA148" s="125" t="s">
        <v>121</v>
      </c>
      <c r="AB148" s="172">
        <v>45895</v>
      </c>
      <c r="AC148" s="119">
        <v>251140</v>
      </c>
      <c r="AD148" s="36">
        <f t="shared" si="18"/>
        <v>4500015909</v>
      </c>
      <c r="AE148" s="36" t="str">
        <f t="shared" si="19"/>
        <v>10916532340009</v>
      </c>
      <c r="AF148" s="36">
        <v>10</v>
      </c>
      <c r="AG148" s="120">
        <f t="shared" si="20"/>
        <v>5311.2</v>
      </c>
      <c r="AH148" s="36"/>
      <c r="AI148" s="124"/>
      <c r="AJ148" s="122" t="s">
        <v>3414</v>
      </c>
      <c r="AK148" s="129" t="str">
        <f t="shared" ca="1" si="21"/>
        <v>Late</v>
      </c>
      <c r="AL148" s="268" t="str">
        <f t="shared" si="22"/>
        <v>July</v>
      </c>
      <c r="AM148" s="133">
        <f>YEAR(Table1[[#This Row],[ETA
As requested
dd.mm.yyyy]])</f>
        <v>2025</v>
      </c>
    </row>
    <row r="149" spans="1:40" hidden="1">
      <c r="A149" s="123" t="s">
        <v>58</v>
      </c>
      <c r="B149" s="36" t="s">
        <v>1170</v>
      </c>
      <c r="C149" s="117">
        <v>4500015909</v>
      </c>
      <c r="D149" s="165">
        <v>45763</v>
      </c>
      <c r="E149" s="117" t="s">
        <v>2136</v>
      </c>
      <c r="F149" s="36" t="str">
        <f>IFERROR(VLOOKUP(Table1[[#This Row],[Part Number]],DATABASE_FG!$C$6:D10138,2,FALSE)," ")</f>
        <v>32340009 P030</v>
      </c>
      <c r="G149" s="117" t="str">
        <f>IFERROR(_xlfn.XLOOKUP(Table1[[#This Row],[Part Number]],Table3[Part number],Table3[Drawing
 Revision]),"")</f>
        <v>B</v>
      </c>
      <c r="H149" s="118" cm="1">
        <f t="array" ref="H149">IFERROR(INDEX(PDB!$C:$AT,MATCH(E149,PDB!$B:$B,0),MATCH(YEAR(K149),0+PDB!$C$1:$AT$1,0)),"")</f>
        <v>531.12</v>
      </c>
      <c r="I149" s="36">
        <v>10</v>
      </c>
      <c r="J149" s="125">
        <f>IFERROR(Table1[[#This Row],[Quantity]]*Table1[[#This Row],[Price/Unit
EUR]]," ")</f>
        <v>5311.2</v>
      </c>
      <c r="K149" s="126">
        <v>45899</v>
      </c>
      <c r="L149" s="36">
        <f>WEEKNUM(Table1[[#This Row],[ETA
As requested
dd.mm.yyyy]])</f>
        <v>35</v>
      </c>
      <c r="M149" s="36">
        <f>YEAR(Table1[[#This Row],[ETA
As requested
dd.mm.yyyy]])</f>
        <v>2025</v>
      </c>
      <c r="N149" s="36"/>
      <c r="O149" s="129" t="str">
        <f>IF(E149&lt;&gt;"", _xlfn.XLOOKUP(E149, DATABASE_FG!C:C, DATABASE_FG!F:F), " ")</f>
        <v>sector</v>
      </c>
      <c r="P149" s="129">
        <v>0</v>
      </c>
      <c r="Q149" s="36"/>
      <c r="R149" s="125" t="s">
        <v>678</v>
      </c>
      <c r="S149" s="123">
        <f>IFERROR(INDEX(DATABASE_FG!$L$5:$L$367, MATCH(E149, DATABASE_FG!$C$5:$C$367, 0)), " ")</f>
        <v>42</v>
      </c>
      <c r="T149" s="36" t="s">
        <v>677</v>
      </c>
      <c r="U149" s="36"/>
      <c r="V149" s="36"/>
      <c r="W149" s="129"/>
      <c r="X149" s="36"/>
      <c r="Y149" s="36"/>
      <c r="Z149" s="36"/>
      <c r="AA149" s="125" t="s">
        <v>121</v>
      </c>
      <c r="AB149" s="172">
        <v>45900</v>
      </c>
      <c r="AC149" s="119">
        <v>251144</v>
      </c>
      <c r="AD149" s="36">
        <f t="shared" si="18"/>
        <v>4500015909</v>
      </c>
      <c r="AE149" s="36" t="str">
        <f t="shared" si="19"/>
        <v>10916532340009</v>
      </c>
      <c r="AF149" s="36">
        <v>10</v>
      </c>
      <c r="AG149" s="120">
        <f t="shared" si="20"/>
        <v>5311.2</v>
      </c>
      <c r="AH149" s="36"/>
      <c r="AI149" s="124"/>
      <c r="AJ149" s="251" t="s">
        <v>3632</v>
      </c>
      <c r="AK149" s="129" t="str">
        <f t="shared" ca="1" si="21"/>
        <v>On Time</v>
      </c>
      <c r="AL149" s="268" t="str">
        <f t="shared" si="22"/>
        <v>August</v>
      </c>
      <c r="AM149" s="133">
        <f>YEAR(Table1[[#This Row],[ETA
As requested
dd.mm.yyyy]])</f>
        <v>2025</v>
      </c>
    </row>
    <row r="150" spans="1:40" hidden="1">
      <c r="A150" s="123" t="s">
        <v>58</v>
      </c>
      <c r="B150" s="36" t="s">
        <v>1170</v>
      </c>
      <c r="C150" s="117">
        <v>4500014977</v>
      </c>
      <c r="D150" s="165">
        <v>45734</v>
      </c>
      <c r="E150" s="117" t="s">
        <v>3205</v>
      </c>
      <c r="F150" s="36">
        <f>IFERROR(VLOOKUP(Table1[[#This Row],[Part Number]],DATABASE_FG!$C$6:D10139,2,FALSE)," ")</f>
        <v>32643530</v>
      </c>
      <c r="G150" s="117">
        <f>IFERROR(_xlfn.XLOOKUP(Table1[[#This Row],[Part Number]],Table3[Part number],Table3[Drawing
 Revision]),"")</f>
        <v>0</v>
      </c>
      <c r="H150" s="118" cm="1">
        <f t="array" ref="H150">IFERROR(INDEX(PDB!$C:$AT,MATCH(E150,PDB!$B:$B,0),MATCH(YEAR(K150),0+PDB!$C$1:$AT$1,0)),"")</f>
        <v>522.6</v>
      </c>
      <c r="I150" s="36">
        <v>29</v>
      </c>
      <c r="J150" s="125">
        <f>IFERROR(Table1[[#This Row],[Quantity]]*Table1[[#This Row],[Price/Unit
EUR]]," ")</f>
        <v>15155.400000000001</v>
      </c>
      <c r="K150" s="126">
        <v>45797</v>
      </c>
      <c r="L150" s="36">
        <f>WEEKNUM(Table1[[#This Row],[ETA
As requested
dd.mm.yyyy]])</f>
        <v>21</v>
      </c>
      <c r="M150" s="36">
        <f>YEAR(Table1[[#This Row],[ETA
As requested
dd.mm.yyyy]])</f>
        <v>2025</v>
      </c>
      <c r="N150" s="36">
        <f>IFERROR(INDEX(DATABASE_FG!$H$5:$H$367, MATCH(E150, DATABASE_FG!$C$5:$C$367, 0)), " ")</f>
        <v>0</v>
      </c>
      <c r="O150" s="129">
        <f>IF(E150&lt;&gt;"", _xlfn.XLOOKUP(E150, DATABASE_FG!C:C, DATABASE_FG!F:F), " ")</f>
        <v>0</v>
      </c>
      <c r="P150" s="129">
        <v>0</v>
      </c>
      <c r="Q150" s="36"/>
      <c r="R150" s="125" t="s">
        <v>678</v>
      </c>
      <c r="S150" s="123">
        <f>IFERROR(INDEX(DATABASE_FG!$L$5:$L$367, MATCH(E150, DATABASE_FG!$C$5:$C$367, 0)), " ")</f>
        <v>0</v>
      </c>
      <c r="T150" s="36" t="s">
        <v>677</v>
      </c>
      <c r="U150" s="36"/>
      <c r="V150" s="36"/>
      <c r="W150" s="129"/>
      <c r="X150" s="36"/>
      <c r="Y150" s="36"/>
      <c r="Z150" s="36"/>
      <c r="AA150" s="125" t="s">
        <v>121</v>
      </c>
      <c r="AB150" s="172">
        <v>45825</v>
      </c>
      <c r="AC150" s="119">
        <v>25938</v>
      </c>
      <c r="AD150" s="36">
        <f t="shared" si="18"/>
        <v>4500014977</v>
      </c>
      <c r="AE150" s="36" t="str">
        <f t="shared" si="19"/>
        <v>10916532643530</v>
      </c>
      <c r="AF150" s="36">
        <v>29</v>
      </c>
      <c r="AG150" s="120">
        <f t="shared" si="20"/>
        <v>15155.400000000001</v>
      </c>
      <c r="AH150" s="36"/>
      <c r="AI150" s="124" t="s">
        <v>3206</v>
      </c>
      <c r="AJ150" s="122" t="s">
        <v>3207</v>
      </c>
      <c r="AK150" s="129" t="str">
        <f t="shared" ca="1" si="21"/>
        <v>Late</v>
      </c>
      <c r="AL150" s="268" t="str">
        <f t="shared" si="22"/>
        <v>May</v>
      </c>
      <c r="AM150" s="133">
        <f>YEAR(Table1[[#This Row],[ETA
As requested
dd.mm.yyyy]])</f>
        <v>2025</v>
      </c>
    </row>
    <row r="151" spans="1:40" hidden="1">
      <c r="A151" s="123" t="s">
        <v>58</v>
      </c>
      <c r="B151" s="36" t="s">
        <v>1170</v>
      </c>
      <c r="C151" s="117">
        <v>4500014977</v>
      </c>
      <c r="D151" s="165">
        <v>45735</v>
      </c>
      <c r="E151" s="117" t="s">
        <v>3205</v>
      </c>
      <c r="F151" s="36">
        <f>IFERROR(VLOOKUP(Table1[[#This Row],[Part Number]],DATABASE_FG!$C$6:D10140,2,FALSE)," ")</f>
        <v>32643530</v>
      </c>
      <c r="G151" s="117">
        <f>IFERROR(_xlfn.XLOOKUP(Table1[[#This Row],[Part Number]],Table3[Part number],Table3[Drawing
 Revision]),"")</f>
        <v>0</v>
      </c>
      <c r="H151" s="118" cm="1">
        <f t="array" ref="H151">IFERROR(INDEX(PDB!$C:$AT,MATCH(E151,PDB!$B:$B,0),MATCH(YEAR(K151),0+PDB!$C$1:$AT$1,0)),"")</f>
        <v>522.6</v>
      </c>
      <c r="I151" s="36">
        <f>30-29</f>
        <v>1</v>
      </c>
      <c r="J151" s="125">
        <f>IFERROR(Table1[[#This Row],[Quantity]]*Table1[[#This Row],[Price/Unit
EUR]]," ")</f>
        <v>522.6</v>
      </c>
      <c r="K151" s="126">
        <v>45797</v>
      </c>
      <c r="L151" s="36">
        <f>WEEKNUM(Table1[[#This Row],[ETA
As requested
dd.mm.yyyy]])</f>
        <v>21</v>
      </c>
      <c r="M151" s="36">
        <f>YEAR(Table1[[#This Row],[ETA
As requested
dd.mm.yyyy]])</f>
        <v>2025</v>
      </c>
      <c r="N151" s="36">
        <f>IFERROR(INDEX(DATABASE_FG!$H$5:$H$367, MATCH(E151, DATABASE_FG!$C$5:$C$367, 0)), " ")</f>
        <v>0</v>
      </c>
      <c r="O151" s="129">
        <f>IF(E151&lt;&gt;"", _xlfn.XLOOKUP(E151, DATABASE_FG!C:C, DATABASE_FG!F:F), " ")</f>
        <v>0</v>
      </c>
      <c r="P151" s="129">
        <v>0</v>
      </c>
      <c r="Q151" s="36"/>
      <c r="R151" s="125" t="s">
        <v>678</v>
      </c>
      <c r="S151" s="123">
        <f>IFERROR(INDEX(DATABASE_FG!$L$5:$L$367, MATCH(E151, DATABASE_FG!$C$5:$C$367, 0)), " ")</f>
        <v>0</v>
      </c>
      <c r="T151" s="36" t="s">
        <v>677</v>
      </c>
      <c r="U151" s="36"/>
      <c r="V151" s="36"/>
      <c r="W151" s="129"/>
      <c r="X151" s="36"/>
      <c r="Y151" s="36"/>
      <c r="Z151" s="36"/>
      <c r="AA151" s="125" t="s">
        <v>121</v>
      </c>
      <c r="AB151" s="172">
        <v>45900</v>
      </c>
      <c r="AC151" s="119">
        <v>251145</v>
      </c>
      <c r="AD151" s="36">
        <f t="shared" si="18"/>
        <v>4500014977</v>
      </c>
      <c r="AE151" s="36" t="str">
        <f t="shared" si="19"/>
        <v>10916532643530</v>
      </c>
      <c r="AF151" s="36">
        <v>1</v>
      </c>
      <c r="AG151" s="120">
        <f t="shared" si="20"/>
        <v>522.6</v>
      </c>
      <c r="AH151" s="36"/>
      <c r="AI151" s="124"/>
      <c r="AJ151" s="251" t="s">
        <v>3208</v>
      </c>
      <c r="AK151" s="129" t="str">
        <f t="shared" ref="AK151:AK152" ca="1" si="23">IF(AB151="", IF(K151 &lt; TODAY(), "Late", ""), IF(AB151 &lt;= K151 + 2, "On Time", "Late"))</f>
        <v>Late</v>
      </c>
      <c r="AL151" s="268" t="str">
        <f t="shared" ref="AL151:AL152" si="24">TEXT(K151,"mmmm")</f>
        <v>May</v>
      </c>
      <c r="AM151" s="133">
        <f>YEAR(Table1[[#This Row],[ETA
As requested
dd.mm.yyyy]])</f>
        <v>2025</v>
      </c>
    </row>
    <row r="152" spans="1:40" hidden="1">
      <c r="A152" s="123" t="s">
        <v>58</v>
      </c>
      <c r="B152" s="36" t="s">
        <v>1170</v>
      </c>
      <c r="C152" s="117">
        <v>4500020484</v>
      </c>
      <c r="D152" s="165">
        <v>45918</v>
      </c>
      <c r="E152" s="117" t="s">
        <v>3205</v>
      </c>
      <c r="F152" s="36">
        <f>IFERROR(VLOOKUP(Table1[[#This Row],[Part Number]],DATABASE_FG!$C$6:D10141,2,FALSE)," ")</f>
        <v>32643530</v>
      </c>
      <c r="G152" s="117">
        <f>IFERROR(_xlfn.XLOOKUP(Table1[[#This Row],[Part Number]],Table3[Part number],Table3[Drawing
 Revision]),"")</f>
        <v>0</v>
      </c>
      <c r="H152" s="118" cm="1">
        <f t="array" ref="H152">IFERROR(INDEX(PDB!$C:$AT,MATCH(E152,PDB!$B:$B,0),MATCH(YEAR(K152),0+PDB!$C$1:$AT$1,0)),"")</f>
        <v>522.6</v>
      </c>
      <c r="I152" s="36">
        <v>10</v>
      </c>
      <c r="J152" s="125">
        <f>IFERROR(Table1[[#This Row],[Quantity]]*Table1[[#This Row],[Price/Unit
EUR]]," ")</f>
        <v>5226</v>
      </c>
      <c r="K152" s="126">
        <v>45950</v>
      </c>
      <c r="L152" s="36">
        <f>WEEKNUM(Table1[[#This Row],[ETA
As requested
dd.mm.yyyy]])</f>
        <v>43</v>
      </c>
      <c r="M152" s="36">
        <f>YEAR(Table1[[#This Row],[ETA
As requested
dd.mm.yyyy]])</f>
        <v>2025</v>
      </c>
      <c r="N152" s="36">
        <f>IFERROR(INDEX(DATABASE_FG!$H$5:$H$367, MATCH(E152, DATABASE_FG!$C$5:$C$367, 0)), " ")</f>
        <v>0</v>
      </c>
      <c r="O152" s="129">
        <f>IF(E152&lt;&gt;"", _xlfn.XLOOKUP(E152, DATABASE_FG!C:C, DATABASE_FG!F:F), " ")</f>
        <v>0</v>
      </c>
      <c r="P152" s="129">
        <v>0</v>
      </c>
      <c r="Q152" s="36"/>
      <c r="R152" s="125" t="s">
        <v>678</v>
      </c>
      <c r="S152" s="123">
        <f>Table1[[#This Row],[Quantity]]/48</f>
        <v>0.20833333333333334</v>
      </c>
      <c r="T152" s="36"/>
      <c r="U152" s="36"/>
      <c r="V152" s="36"/>
      <c r="W152" s="129"/>
      <c r="X152" s="36"/>
      <c r="Y152" s="36"/>
      <c r="Z152" s="36"/>
      <c r="AA152" s="125" t="s">
        <v>121</v>
      </c>
      <c r="AB152" s="172">
        <v>45958</v>
      </c>
      <c r="AC152" s="119">
        <v>251208</v>
      </c>
      <c r="AD152" s="36">
        <f t="shared" si="18"/>
        <v>4500020484</v>
      </c>
      <c r="AE152" s="36" t="str">
        <f t="shared" si="19"/>
        <v>10916532643530</v>
      </c>
      <c r="AF152" s="36">
        <v>10</v>
      </c>
      <c r="AG152" s="120">
        <f t="shared" ref="AG152" si="25">AF152*H152</f>
        <v>5226</v>
      </c>
      <c r="AH152" s="36"/>
      <c r="AI152" s="124"/>
      <c r="AJ152" s="251" t="s">
        <v>4417</v>
      </c>
      <c r="AK152" s="129" t="str">
        <f t="shared" ca="1" si="23"/>
        <v>Late</v>
      </c>
      <c r="AL152" s="268" t="str">
        <f t="shared" si="24"/>
        <v>October</v>
      </c>
      <c r="AM152" s="133">
        <f>YEAR(Table1[[#This Row],[ETA
As requested
dd.mm.yyyy]])</f>
        <v>2025</v>
      </c>
      <c r="AN152" s="191"/>
    </row>
    <row r="153" spans="1:40" hidden="1">
      <c r="A153" s="123" t="s">
        <v>83</v>
      </c>
      <c r="B153" s="36" t="s">
        <v>1170</v>
      </c>
      <c r="C153" s="117">
        <v>7000968978</v>
      </c>
      <c r="D153" s="165">
        <v>45834</v>
      </c>
      <c r="E153" s="36" t="s">
        <v>3365</v>
      </c>
      <c r="F153" s="36" t="str">
        <f>IFERROR(VLOOKUP(Table1[[#This Row],[Part Number]],DATABASE_FG!$C$6:D10142,2,FALSE)," ")</f>
        <v>bucsa</v>
      </c>
      <c r="G153" s="117">
        <f>IFERROR(_xlfn.XLOOKUP(Table1[[#This Row],[Part Number]],Table3[Part number],Table3[Drawing
 Revision]),"")</f>
        <v>0</v>
      </c>
      <c r="H153" s="118" cm="1">
        <f t="array" ref="H153">IFERROR(INDEX(PDB!$C:$AT,MATCH(E153,PDB!$B:$B,0),MATCH(YEAR(K153),0+PDB!$C$1:$AT$1,0)),"")</f>
        <v>5.32</v>
      </c>
      <c r="I153" s="36">
        <v>5</v>
      </c>
      <c r="J153" s="125">
        <f>IFERROR(Table1[[#This Row],[Quantity]]*Table1[[#This Row],[Price/Unit
EUR]]," ")</f>
        <v>26.6</v>
      </c>
      <c r="K153" s="126">
        <v>45838</v>
      </c>
      <c r="L153" s="36">
        <f>WEEKNUM(Table1[[#This Row],[ETA
As requested
dd.mm.yyyy]])</f>
        <v>27</v>
      </c>
      <c r="M153" s="36">
        <f>YEAR(Table1[[#This Row],[ETA
As requested
dd.mm.yyyy]])</f>
        <v>2025</v>
      </c>
      <c r="N153" s="36">
        <f>IFERROR(INDEX(DATABASE_FG!$H$5:$H$367, MATCH(E153, DATABASE_FG!$C$5:$C$367, 0)), " ")</f>
        <v>0</v>
      </c>
      <c r="O153" s="129" t="str">
        <f>IF(E153&lt;&gt;"", _xlfn.XLOOKUP(E153, DATABASE_FG!C:C, DATABASE_FG!F:F), " ")</f>
        <v>Strunjire moale</v>
      </c>
      <c r="P153" s="129">
        <f>IFERROR(INDEX(DATABASE_FG!$G$5:$G$367, MATCH(E153, DATABASE_FG!$C$5:$C$367, 0)), "Not Found")</f>
        <v>0</v>
      </c>
      <c r="Q153" s="36"/>
      <c r="R153" s="125" t="s">
        <v>678</v>
      </c>
      <c r="S153" s="123">
        <f>IFERROR(INDEX(DATABASE_FG!$L$5:$L$367, MATCH(E153, DATABASE_FG!$C$5:$C$367, 0)), " ")</f>
        <v>0</v>
      </c>
      <c r="T153" s="36" t="s">
        <v>679</v>
      </c>
      <c r="U153" s="36"/>
      <c r="V153" s="36"/>
      <c r="W153" s="129"/>
      <c r="X153" s="36"/>
      <c r="Y153" s="36"/>
      <c r="Z153" s="36"/>
      <c r="AA153" s="125" t="s">
        <v>121</v>
      </c>
      <c r="AB153" s="173">
        <v>45835</v>
      </c>
      <c r="AC153" s="119">
        <v>25999</v>
      </c>
      <c r="AD153" s="36">
        <f t="shared" ref="AD153:AD216" si="26">IF(NOT(ISBLANK(AC153)), C153, "")</f>
        <v>7000968978</v>
      </c>
      <c r="AE153" s="36" t="str">
        <f t="shared" ref="AE153:AE216" si="27">IF(NOT(ISBLANK(AC153)), E153, "")</f>
        <v>154805.6-101 </v>
      </c>
      <c r="AF153" s="36">
        <v>5</v>
      </c>
      <c r="AG153" s="120">
        <f t="shared" ref="AG153:AG216" si="28">AF153*H153</f>
        <v>26.6</v>
      </c>
      <c r="AH153" s="36"/>
      <c r="AI153" s="124"/>
      <c r="AJ153" s="122" t="s">
        <v>3366</v>
      </c>
      <c r="AK153" s="129" t="str">
        <f t="shared" ref="AK153:AK184" ca="1" si="29">IF(AB153="", IF(K153 &lt; TODAY(), "Late", ""), IF(AB153 &lt;= K153 + 2, "On Time", "Late"))</f>
        <v>On Time</v>
      </c>
      <c r="AL153" s="268" t="str">
        <f t="shared" si="22"/>
        <v>June</v>
      </c>
      <c r="AM153" s="133">
        <f>YEAR(Table1[[#This Row],[ETA
As requested
dd.mm.yyyy]])</f>
        <v>2025</v>
      </c>
    </row>
    <row r="154" spans="1:40" hidden="1">
      <c r="A154" s="123" t="s">
        <v>83</v>
      </c>
      <c r="B154" s="36" t="s">
        <v>1170</v>
      </c>
      <c r="C154" s="117">
        <v>7000968978</v>
      </c>
      <c r="D154" s="165">
        <v>45833</v>
      </c>
      <c r="E154" s="36" t="s">
        <v>3365</v>
      </c>
      <c r="F154" s="36" t="str">
        <f>IFERROR(VLOOKUP(Table1[[#This Row],[Part Number]],DATABASE_FG!$C$6:D10143,2,FALSE)," ")</f>
        <v>bucsa</v>
      </c>
      <c r="G154" s="117">
        <f>IFERROR(_xlfn.XLOOKUP(Table1[[#This Row],[Part Number]],Table3[Part number],Table3[Drawing
 Revision]),"")</f>
        <v>0</v>
      </c>
      <c r="H154" s="118" cm="1">
        <f t="array" ref="H154">IFERROR(INDEX(PDB!$C:$AT,MATCH(E154,PDB!$B:$B,0),MATCH(YEAR(K154),0+PDB!$C$1:$AT$1,0)),"")</f>
        <v>5.32</v>
      </c>
      <c r="I154" s="36">
        <v>500</v>
      </c>
      <c r="J154" s="125">
        <f>IFERROR(Table1[[#This Row],[Quantity]]*Table1[[#This Row],[Price/Unit
EUR]]," ")</f>
        <v>2660</v>
      </c>
      <c r="K154" s="126">
        <v>45838</v>
      </c>
      <c r="L154" s="36">
        <f>WEEKNUM(Table1[[#This Row],[ETA
As requested
dd.mm.yyyy]])</f>
        <v>27</v>
      </c>
      <c r="M154" s="36">
        <f>YEAR(Table1[[#This Row],[ETA
As requested
dd.mm.yyyy]])</f>
        <v>2025</v>
      </c>
      <c r="N154" s="36">
        <f>IFERROR(INDEX(DATABASE_FG!$H$5:$H$367, MATCH(E154, DATABASE_FG!$C$5:$C$367, 0)), " ")</f>
        <v>0</v>
      </c>
      <c r="O154" s="129" t="str">
        <f>IF(E154&lt;&gt;"", _xlfn.XLOOKUP(E154, DATABASE_FG!C:C, DATABASE_FG!F:F), " ")</f>
        <v>Strunjire moale</v>
      </c>
      <c r="P154" s="129">
        <f>IFERROR(INDEX(DATABASE_FG!$G$5:$G$367, MATCH(E154, DATABASE_FG!$C$5:$C$367, 0)), "Not Found")</f>
        <v>0</v>
      </c>
      <c r="Q154" s="36"/>
      <c r="R154" s="125" t="s">
        <v>678</v>
      </c>
      <c r="S154" s="123">
        <f>IFERROR(INDEX(DATABASE_FG!$L$5:$L$367, MATCH(E154, DATABASE_FG!$C$5:$C$367, 0)), " ")</f>
        <v>0</v>
      </c>
      <c r="T154" s="36" t="s">
        <v>679</v>
      </c>
      <c r="U154" s="36"/>
      <c r="V154" s="36"/>
      <c r="W154" s="129"/>
      <c r="X154" s="36"/>
      <c r="Y154" s="36"/>
      <c r="Z154" s="36"/>
      <c r="AA154" s="125" t="s">
        <v>121</v>
      </c>
      <c r="AB154" s="173">
        <v>45835</v>
      </c>
      <c r="AC154" s="119">
        <v>26001</v>
      </c>
      <c r="AD154" s="36">
        <f t="shared" si="26"/>
        <v>7000968978</v>
      </c>
      <c r="AE154" s="36" t="str">
        <f t="shared" si="27"/>
        <v>154805.6-101 </v>
      </c>
      <c r="AF154" s="36">
        <v>500</v>
      </c>
      <c r="AG154" s="120">
        <f t="shared" si="28"/>
        <v>2660</v>
      </c>
      <c r="AH154" s="36"/>
      <c r="AI154" s="124"/>
      <c r="AJ154" s="122" t="s">
        <v>3367</v>
      </c>
      <c r="AK154" s="129" t="str">
        <f t="shared" ca="1" si="29"/>
        <v>On Time</v>
      </c>
      <c r="AL154" s="268" t="str">
        <f t="shared" si="22"/>
        <v>June</v>
      </c>
      <c r="AM154" s="133">
        <f>YEAR(Table1[[#This Row],[ETA
As requested
dd.mm.yyyy]])</f>
        <v>2025</v>
      </c>
    </row>
    <row r="155" spans="1:40" hidden="1">
      <c r="A155" s="123" t="s">
        <v>59</v>
      </c>
      <c r="B155" s="36" t="s">
        <v>1170</v>
      </c>
      <c r="C155" s="117">
        <v>2521987</v>
      </c>
      <c r="D155" s="165">
        <v>45788</v>
      </c>
      <c r="E155" s="117" t="s">
        <v>4426</v>
      </c>
      <c r="F155" s="36" t="str">
        <f>IFERROR(VLOOKUP(Table1[[#This Row],[Part Number]],DATABASE_FG!$C$6:D10144,2,FALSE)," ")</f>
        <v>ADAPTER RF BOX PLATE DESERT SAND #30315</v>
      </c>
      <c r="G155" s="117" t="str">
        <f>IFERROR(_xlfn.XLOOKUP(Table1[[#This Row],[Part Number]],Table3[Part number],Table3[Drawing
 Revision]),"")</f>
        <v>-</v>
      </c>
      <c r="H155" s="118" cm="1">
        <f t="array" ref="H155">IFERROR(INDEX(PDB!$C:$AT,MATCH(E155,PDB!$B:$B,0),MATCH(YEAR(K155),0+PDB!$C$1:$AT$1,0)),"")</f>
        <v>246.21</v>
      </c>
      <c r="I155" s="36">
        <v>5</v>
      </c>
      <c r="J155" s="125">
        <f>IFERROR(Table1[[#This Row],[Quantity]]*Table1[[#This Row],[Price/Unit
EUR]]," ")</f>
        <v>1231.05</v>
      </c>
      <c r="K155" s="126">
        <v>45902</v>
      </c>
      <c r="L155" s="36">
        <f>WEEKNUM(Table1[[#This Row],[ETA
As requested
dd.mm.yyyy]])</f>
        <v>36</v>
      </c>
      <c r="M155" s="36">
        <f>YEAR(Table1[[#This Row],[ETA
As requested
dd.mm.yyyy]])</f>
        <v>2025</v>
      </c>
      <c r="N155" s="36">
        <f>IFERROR(INDEX(DATABASE_FG!$H$5:$H$367, MATCH(E155, DATABASE_FG!$C$5:$C$367, 0)), " ")</f>
        <v>0</v>
      </c>
      <c r="O155" s="129" t="str">
        <f>IF(E155&lt;&gt;"", _xlfn.XLOOKUP(E155, DATABASE_FG!C:C, DATABASE_FG!F:F), " ")</f>
        <v>ADAPTER RF BOX PLATE DESERT SAND #30315</v>
      </c>
      <c r="P155" s="129">
        <f>IFERROR(INDEX(DATABASE_FG!$G$5:$G$367, MATCH(E155, DATABASE_FG!$C$5:$C$367, 0)), "Not Found")</f>
        <v>0</v>
      </c>
      <c r="Q155" s="36"/>
      <c r="R155" s="125" t="s">
        <v>680</v>
      </c>
      <c r="S155" s="123">
        <f>Table1[[#This Row],[Quantity]]/48</f>
        <v>0.10416666666666667</v>
      </c>
      <c r="T155" s="36"/>
      <c r="U155" s="36"/>
      <c r="V155" s="36"/>
      <c r="W155" s="129"/>
      <c r="X155" s="36"/>
      <c r="Y155" s="36"/>
      <c r="Z155" s="36"/>
      <c r="AA155" s="125" t="s">
        <v>3</v>
      </c>
      <c r="AB155" s="173"/>
      <c r="AC155" s="119"/>
      <c r="AD155" s="36" t="str">
        <f t="shared" si="26"/>
        <v/>
      </c>
      <c r="AE155" s="36" t="str">
        <f t="shared" si="27"/>
        <v/>
      </c>
      <c r="AF155" s="36"/>
      <c r="AG155" s="120">
        <f t="shared" si="28"/>
        <v>0</v>
      </c>
      <c r="AH155" s="36"/>
      <c r="AI155" s="124"/>
      <c r="AJ155" s="122"/>
      <c r="AK155" s="129" t="str">
        <f t="shared" ca="1" si="29"/>
        <v>Late</v>
      </c>
      <c r="AL155" s="268" t="str">
        <f t="shared" si="22"/>
        <v>September</v>
      </c>
      <c r="AM155" s="133">
        <f>YEAR(Table1[[#This Row],[ETA
As requested
dd.mm.yyyy]])</f>
        <v>2025</v>
      </c>
    </row>
    <row r="156" spans="1:40" hidden="1">
      <c r="A156" s="123" t="s">
        <v>59</v>
      </c>
      <c r="B156" s="36" t="s">
        <v>1170</v>
      </c>
      <c r="C156" s="117">
        <v>2521987</v>
      </c>
      <c r="D156" s="165">
        <v>45788</v>
      </c>
      <c r="E156" s="117" t="s">
        <v>4429</v>
      </c>
      <c r="F156" s="36" t="str">
        <f>IFERROR(VLOOKUP(Table1[[#This Row],[Part Number]],DATABASE_FG!$C$6:D10145,2,FALSE)," ")</f>
        <v>ANT SUPPORT PLATE DESERT SAND 30315</v>
      </c>
      <c r="G156" s="117" t="str">
        <f>IFERROR(_xlfn.XLOOKUP(Table1[[#This Row],[Part Number]],Table3[Part number],Table3[Drawing
 Revision]),"")</f>
        <v>D</v>
      </c>
      <c r="H156" s="118" cm="1">
        <f t="array" ref="H156">IFERROR(INDEX(PDB!$C:$AT,MATCH(E156,PDB!$B:$B,0),MATCH(YEAR(K156),0+PDB!$C$1:$AT$1,0)),"")</f>
        <v>722.63</v>
      </c>
      <c r="I156" s="36">
        <v>3</v>
      </c>
      <c r="J156" s="125">
        <f>IFERROR(Table1[[#This Row],[Quantity]]*Table1[[#This Row],[Price/Unit
EUR]]," ")</f>
        <v>2167.89</v>
      </c>
      <c r="K156" s="126">
        <v>45902</v>
      </c>
      <c r="L156" s="36">
        <f>WEEKNUM(Table1[[#This Row],[ETA
As requested
dd.mm.yyyy]])</f>
        <v>36</v>
      </c>
      <c r="M156" s="36">
        <f>YEAR(Table1[[#This Row],[ETA
As requested
dd.mm.yyyy]])</f>
        <v>2025</v>
      </c>
      <c r="N156" s="36">
        <f>IFERROR(INDEX(DATABASE_FG!$H$5:$H$367, MATCH(E156, DATABASE_FG!$C$5:$C$367, 0)), " ")</f>
        <v>0</v>
      </c>
      <c r="O156" s="129" t="str">
        <f>IF(E156&lt;&gt;"", _xlfn.XLOOKUP(E156, DATABASE_FG!C:C, DATABASE_FG!F:F), " ")</f>
        <v>ANT SUPPORT PLATE DESERT SAND 30315</v>
      </c>
      <c r="P156" s="129">
        <f>IFERROR(INDEX(DATABASE_FG!$G$5:$G$367, MATCH(E156, DATABASE_FG!$C$5:$C$367, 0)), "Not Found")</f>
        <v>0</v>
      </c>
      <c r="Q156" s="36"/>
      <c r="R156" s="125" t="s">
        <v>680</v>
      </c>
      <c r="S156" s="123">
        <f>Table1[[#This Row],[Quantity]]/48</f>
        <v>6.25E-2</v>
      </c>
      <c r="T156" s="36"/>
      <c r="U156" s="36"/>
      <c r="V156" s="36"/>
      <c r="W156" s="129"/>
      <c r="X156" s="36"/>
      <c r="Y156" s="36"/>
      <c r="Z156" s="36"/>
      <c r="AA156" s="125" t="s">
        <v>3</v>
      </c>
      <c r="AB156" s="173"/>
      <c r="AC156" s="119"/>
      <c r="AD156" s="36" t="str">
        <f t="shared" si="26"/>
        <v/>
      </c>
      <c r="AE156" s="36" t="str">
        <f t="shared" si="27"/>
        <v/>
      </c>
      <c r="AF156" s="36"/>
      <c r="AG156" s="120">
        <f t="shared" si="28"/>
        <v>0</v>
      </c>
      <c r="AH156" s="36"/>
      <c r="AI156" s="124"/>
      <c r="AJ156" s="122"/>
      <c r="AK156" s="129" t="str">
        <f t="shared" ca="1" si="29"/>
        <v>Late</v>
      </c>
      <c r="AL156" s="268" t="str">
        <f t="shared" si="22"/>
        <v>September</v>
      </c>
      <c r="AM156" s="133">
        <f>YEAR(Table1[[#This Row],[ETA
As requested
dd.mm.yyyy]])</f>
        <v>2025</v>
      </c>
    </row>
    <row r="157" spans="1:40" hidden="1">
      <c r="A157" s="123" t="s">
        <v>59</v>
      </c>
      <c r="B157" s="36" t="s">
        <v>1170</v>
      </c>
      <c r="C157" s="117">
        <v>2521987</v>
      </c>
      <c r="D157" s="165">
        <v>45788</v>
      </c>
      <c r="E157" s="117" t="s">
        <v>4429</v>
      </c>
      <c r="F157" s="36" t="str">
        <f>IFERROR(VLOOKUP(Table1[[#This Row],[Part Number]],DATABASE_FG!$C$6:D10146,2,FALSE)," ")</f>
        <v>ANT SUPPORT PLATE DESERT SAND 30315</v>
      </c>
      <c r="G157" s="117" t="str">
        <f>IFERROR(_xlfn.XLOOKUP(Table1[[#This Row],[Part Number]],Table3[Part number],Table3[Drawing
 Revision]),"")</f>
        <v>D</v>
      </c>
      <c r="H157" s="118" cm="1">
        <f t="array" ref="H157">IFERROR(INDEX(PDB!$C:$AT,MATCH(E157,PDB!$B:$B,0),MATCH(YEAR(K157),0+PDB!$C$1:$AT$1,0)),"")</f>
        <v>722.63</v>
      </c>
      <c r="I157" s="36">
        <v>3</v>
      </c>
      <c r="J157" s="125">
        <f>IFERROR(Table1[[#This Row],[Quantity]]*Table1[[#This Row],[Price/Unit
EUR]]," ")</f>
        <v>2167.89</v>
      </c>
      <c r="K157" s="126">
        <v>45997</v>
      </c>
      <c r="L157" s="36">
        <f>WEEKNUM(Table1[[#This Row],[ETA
As requested
dd.mm.yyyy]])</f>
        <v>49</v>
      </c>
      <c r="M157" s="36">
        <f>YEAR(Table1[[#This Row],[ETA
As requested
dd.mm.yyyy]])</f>
        <v>2025</v>
      </c>
      <c r="N157" s="36">
        <f>IFERROR(INDEX(DATABASE_FG!$H$5:$H$367, MATCH(E157, DATABASE_FG!$C$5:$C$367, 0)), " ")</f>
        <v>0</v>
      </c>
      <c r="O157" s="129" t="str">
        <f>IF(E157&lt;&gt;"", _xlfn.XLOOKUP(E157, DATABASE_FG!C:C, DATABASE_FG!F:F), " ")</f>
        <v>ANT SUPPORT PLATE DESERT SAND 30315</v>
      </c>
      <c r="P157" s="129">
        <f>IFERROR(INDEX(DATABASE_FG!$G$5:$G$367, MATCH(E157, DATABASE_FG!$C$5:$C$367, 0)), "Not Found")</f>
        <v>0</v>
      </c>
      <c r="Q157" s="36"/>
      <c r="R157" s="125" t="s">
        <v>680</v>
      </c>
      <c r="S157" s="123">
        <f>Table1[[#This Row],[Quantity]]/48</f>
        <v>6.25E-2</v>
      </c>
      <c r="T157" s="36"/>
      <c r="U157" s="36"/>
      <c r="V157" s="36"/>
      <c r="W157" s="129"/>
      <c r="X157" s="36"/>
      <c r="Y157" s="36"/>
      <c r="Z157" s="36"/>
      <c r="AA157" s="125" t="s">
        <v>3</v>
      </c>
      <c r="AB157" s="173"/>
      <c r="AC157" s="119"/>
      <c r="AD157" s="36" t="str">
        <f t="shared" si="26"/>
        <v/>
      </c>
      <c r="AE157" s="36" t="str">
        <f t="shared" si="27"/>
        <v/>
      </c>
      <c r="AF157" s="36"/>
      <c r="AG157" s="120">
        <f t="shared" si="28"/>
        <v>0</v>
      </c>
      <c r="AH157" s="36"/>
      <c r="AI157" s="124"/>
      <c r="AJ157" s="122"/>
      <c r="AK157" s="129" t="str">
        <f t="shared" ca="1" si="29"/>
        <v/>
      </c>
      <c r="AL157" s="268" t="str">
        <f t="shared" si="22"/>
        <v>December</v>
      </c>
      <c r="AM157" s="133">
        <f>YEAR(Table1[[#This Row],[ETA
As requested
dd.mm.yyyy]])</f>
        <v>2025</v>
      </c>
    </row>
    <row r="158" spans="1:40" hidden="1">
      <c r="A158" s="123" t="s">
        <v>133</v>
      </c>
      <c r="B158" s="36" t="s">
        <v>1170</v>
      </c>
      <c r="C158" s="117" t="s">
        <v>2299</v>
      </c>
      <c r="D158" s="165">
        <v>45407</v>
      </c>
      <c r="E158" s="117" t="s">
        <v>2309</v>
      </c>
      <c r="F158" s="36" t="str">
        <f>IFERROR(VLOOKUP(Table1[[#This Row],[Part Number]],DATABASE_FG!$C$6:D10147,2,FALSE)," ")</f>
        <v>Welle A4</v>
      </c>
      <c r="G158" s="117">
        <f>IFERROR(_xlfn.XLOOKUP(Table1[[#This Row],[Part Number]],Table3[Part number],Table3[Drawing
 Revision]),"")</f>
        <v>7</v>
      </c>
      <c r="H158" s="118" cm="1">
        <f t="array" ref="H158">IFERROR(INDEX(PDB!$C:$AT,MATCH(E158,PDB!$B:$B,0),MATCH(YEAR(K158),0+PDB!$C$1:$AT$1,0)),"")</f>
        <v>85.68</v>
      </c>
      <c r="I158" s="36">
        <v>20</v>
      </c>
      <c r="J158" s="125">
        <f>IFERROR(Table1[[#This Row],[Quantity]]*Table1[[#This Row],[Price/Unit
EUR]]," ")</f>
        <v>1713.6000000000001</v>
      </c>
      <c r="K158" s="126">
        <v>45535</v>
      </c>
      <c r="L158" s="36">
        <f>WEEKNUM(Table1[[#This Row],[ETA
As requested
dd.mm.yyyy]])</f>
        <v>35</v>
      </c>
      <c r="M158" s="36">
        <f>YEAR(Table1[[#This Row],[ETA
As requested
dd.mm.yyyy]])</f>
        <v>2024</v>
      </c>
      <c r="N158" s="36">
        <f>IFERROR(INDEX(DATABASE_FG!$H$5:$H$367, MATCH(E158, DATABASE_FG!$C$5:$C$367, 0)), " ")</f>
        <v>0</v>
      </c>
      <c r="O158" s="129" t="str">
        <f>IF(E158&lt;&gt;"", _xlfn.XLOOKUP(E158, DATABASE_FG!C:C, DATABASE_FG!F:F), " ")</f>
        <v>ZBA 807</v>
      </c>
      <c r="P158" s="129">
        <f>IFERROR(INDEX(DATABASE_FG!$G$5:$G$367, MATCH(E158, DATABASE_FG!$C$5:$C$367, 0)), "Not Found")</f>
        <v>0</v>
      </c>
      <c r="Q158" s="36"/>
      <c r="R158" s="125" t="s">
        <v>680</v>
      </c>
      <c r="S158" s="123">
        <f>IFERROR(INDEX(DATABASE_FG!$L$5:$L$367, MATCH(E158, DATABASE_FG!$C$5:$C$367, 0)), " ")</f>
        <v>56</v>
      </c>
      <c r="T158" s="36" t="s">
        <v>677</v>
      </c>
      <c r="U158" s="36"/>
      <c r="V158" s="36"/>
      <c r="W158" s="129"/>
      <c r="X158" s="36" t="s">
        <v>1957</v>
      </c>
      <c r="Y158" s="36"/>
      <c r="Z158" s="36"/>
      <c r="AA158" s="125" t="s">
        <v>121</v>
      </c>
      <c r="AB158" s="173"/>
      <c r="AC158" s="119"/>
      <c r="AD158" s="36" t="str">
        <f t="shared" si="26"/>
        <v/>
      </c>
      <c r="AE158" s="36" t="str">
        <f t="shared" si="27"/>
        <v/>
      </c>
      <c r="AF158" s="36">
        <v>0</v>
      </c>
      <c r="AG158" s="120">
        <f t="shared" si="28"/>
        <v>0</v>
      </c>
      <c r="AH158" s="36"/>
      <c r="AI158" s="124"/>
      <c r="AJ158" s="122"/>
      <c r="AK158" s="129" t="str">
        <f t="shared" ca="1" si="29"/>
        <v>Late</v>
      </c>
      <c r="AL158" s="268" t="str">
        <f t="shared" si="22"/>
        <v>August</v>
      </c>
      <c r="AM158" s="133">
        <f>YEAR(Table1[[#This Row],[ETA
As requested
dd.mm.yyyy]])</f>
        <v>2024</v>
      </c>
    </row>
    <row r="159" spans="1:40" hidden="1">
      <c r="A159" s="123" t="s">
        <v>133</v>
      </c>
      <c r="B159" s="36" t="s">
        <v>1170</v>
      </c>
      <c r="C159" s="117" t="s">
        <v>2299</v>
      </c>
      <c r="D159" s="165">
        <v>45407</v>
      </c>
      <c r="E159" s="117" t="s">
        <v>2304</v>
      </c>
      <c r="F159" s="36" t="str">
        <f>IFERROR(VLOOKUP(Table1[[#This Row],[Part Number]],DATABASE_FG!$C$6:D10148,2,FALSE)," ")</f>
        <v>Flansch</v>
      </c>
      <c r="G159" s="117">
        <f>IFERROR(_xlfn.XLOOKUP(Table1[[#This Row],[Part Number]],Table3[Part number],Table3[Drawing
 Revision]),"")</f>
        <v>5</v>
      </c>
      <c r="H159" s="118" cm="1">
        <f t="array" ref="H159">IFERROR(INDEX(PDB!$C:$AT,MATCH(E159,PDB!$B:$B,0),MATCH(YEAR(K159),0+PDB!$C$1:$AT$1,0)),"")</f>
        <v>1.6</v>
      </c>
      <c r="I159" s="36">
        <v>20</v>
      </c>
      <c r="J159" s="125">
        <f>IFERROR(Table1[[#This Row],[Quantity]]*Table1[[#This Row],[Price/Unit
EUR]]," ")</f>
        <v>32</v>
      </c>
      <c r="K159" s="126">
        <v>45535</v>
      </c>
      <c r="L159" s="36">
        <f>WEEKNUM(Table1[[#This Row],[ETA
As requested
dd.mm.yyyy]])</f>
        <v>35</v>
      </c>
      <c r="M159" s="36">
        <f>YEAR(Table1[[#This Row],[ETA
As requested
dd.mm.yyyy]])</f>
        <v>2024</v>
      </c>
      <c r="N159" s="36">
        <f>IFERROR(INDEX(DATABASE_FG!$H$5:$H$367, MATCH(E159, DATABASE_FG!$C$5:$C$367, 0)), " ")</f>
        <v>0</v>
      </c>
      <c r="O159" s="129" t="str">
        <f>IF(E159&lt;&gt;"", _xlfn.XLOOKUP(E159, DATABASE_FG!C:C, DATABASE_FG!F:F), " ")</f>
        <v>ZBA 807</v>
      </c>
      <c r="P159" s="129">
        <f>IFERROR(INDEX(DATABASE_FG!$G$5:$G$367, MATCH(E159, DATABASE_FG!$C$5:$C$367, 0)), "Not Found")</f>
        <v>0</v>
      </c>
      <c r="Q159" s="36"/>
      <c r="R159" s="125" t="s">
        <v>680</v>
      </c>
      <c r="S159" s="123">
        <f>IFERROR(INDEX(DATABASE_FG!$L$5:$L$367, MATCH(E159, DATABASE_FG!$C$5:$C$367, 0)), " ")</f>
        <v>56</v>
      </c>
      <c r="T159" s="36" t="s">
        <v>677</v>
      </c>
      <c r="U159" s="36"/>
      <c r="V159" s="36"/>
      <c r="W159" s="129"/>
      <c r="X159" s="36" t="s">
        <v>1957</v>
      </c>
      <c r="Y159" s="36"/>
      <c r="Z159" s="36"/>
      <c r="AA159" s="125" t="s">
        <v>121</v>
      </c>
      <c r="AB159" s="173"/>
      <c r="AC159" s="119"/>
      <c r="AD159" s="36" t="str">
        <f t="shared" si="26"/>
        <v/>
      </c>
      <c r="AE159" s="36" t="str">
        <f t="shared" si="27"/>
        <v/>
      </c>
      <c r="AF159" s="36">
        <v>0</v>
      </c>
      <c r="AG159" s="120">
        <f t="shared" si="28"/>
        <v>0</v>
      </c>
      <c r="AH159" s="36"/>
      <c r="AI159" s="124"/>
      <c r="AJ159" s="122"/>
      <c r="AK159" s="129" t="str">
        <f t="shared" ca="1" si="29"/>
        <v>Late</v>
      </c>
      <c r="AL159" s="268" t="str">
        <f t="shared" si="22"/>
        <v>August</v>
      </c>
      <c r="AM159" s="133">
        <f>YEAR(Table1[[#This Row],[ETA
As requested
dd.mm.yyyy]])</f>
        <v>2024</v>
      </c>
    </row>
    <row r="160" spans="1:40" hidden="1">
      <c r="A160" s="123" t="s">
        <v>133</v>
      </c>
      <c r="B160" s="36" t="s">
        <v>1170</v>
      </c>
      <c r="C160" s="117" t="s">
        <v>2299</v>
      </c>
      <c r="D160" s="165">
        <v>45407</v>
      </c>
      <c r="E160" s="117" t="s">
        <v>2300</v>
      </c>
      <c r="F160" s="36" t="str">
        <f>IFERROR(VLOOKUP(Table1[[#This Row],[Part Number]],DATABASE_FG!$C$6:D10149,2,FALSE)," ")</f>
        <v>Schieber</v>
      </c>
      <c r="G160" s="117">
        <f>IFERROR(_xlfn.XLOOKUP(Table1[[#This Row],[Part Number]],Table3[Part number],Table3[Drawing
 Revision]),"")</f>
        <v>4</v>
      </c>
      <c r="H160" s="118" cm="1">
        <f t="array" ref="H160">IFERROR(INDEX(PDB!$C:$AT,MATCH(E160,PDB!$B:$B,0),MATCH(YEAR(K160),0+PDB!$C$1:$AT$1,0)),"")</f>
        <v>9.09</v>
      </c>
      <c r="I160" s="36">
        <v>5</v>
      </c>
      <c r="J160" s="125">
        <f>IFERROR(Table1[[#This Row],[Quantity]]*Table1[[#This Row],[Price/Unit
EUR]]," ")</f>
        <v>45.45</v>
      </c>
      <c r="K160" s="126">
        <v>45535</v>
      </c>
      <c r="L160" s="36">
        <f>WEEKNUM(Table1[[#This Row],[ETA
As requested
dd.mm.yyyy]])</f>
        <v>35</v>
      </c>
      <c r="M160" s="36">
        <f>YEAR(Table1[[#This Row],[ETA
As requested
dd.mm.yyyy]])</f>
        <v>2024</v>
      </c>
      <c r="N160" s="36">
        <f>IFERROR(INDEX(DATABASE_FG!$H$5:$H$367, MATCH(E160, DATABASE_FG!$C$5:$C$367, 0)), " ")</f>
        <v>0</v>
      </c>
      <c r="O160" s="129" t="str">
        <f>IF(E160&lt;&gt;"", _xlfn.XLOOKUP(E160, DATABASE_FG!C:C, DATABASE_FG!F:F), " ")</f>
        <v>ZBA 807</v>
      </c>
      <c r="P160" s="129">
        <f>IFERROR(INDEX(DATABASE_FG!$G$5:$G$367, MATCH(E160, DATABASE_FG!$C$5:$C$367, 0)), "Not Found")</f>
        <v>0</v>
      </c>
      <c r="Q160" s="36"/>
      <c r="R160" s="125" t="s">
        <v>680</v>
      </c>
      <c r="S160" s="123">
        <f>Table1[[#This Row],[Quantity]]/48</f>
        <v>0.10416666666666667</v>
      </c>
      <c r="T160" s="36" t="s">
        <v>677</v>
      </c>
      <c r="U160" s="36"/>
      <c r="V160" s="36"/>
      <c r="W160" s="129"/>
      <c r="X160" s="36"/>
      <c r="Y160" s="36"/>
      <c r="Z160" s="36"/>
      <c r="AA160" s="125" t="s">
        <v>121</v>
      </c>
      <c r="AB160" s="173">
        <v>45821</v>
      </c>
      <c r="AC160" s="119">
        <v>25923</v>
      </c>
      <c r="AD160" s="36" t="str">
        <f t="shared" si="26"/>
        <v>5060250239-7751237</v>
      </c>
      <c r="AE160" s="36" t="str">
        <f t="shared" si="27"/>
        <v>302681-1031-000</v>
      </c>
      <c r="AF160" s="36">
        <v>5</v>
      </c>
      <c r="AG160" s="120">
        <f t="shared" si="28"/>
        <v>45.45</v>
      </c>
      <c r="AH160" s="36"/>
      <c r="AI160" s="124" t="s">
        <v>2302</v>
      </c>
      <c r="AJ160" s="122" t="s">
        <v>2303</v>
      </c>
      <c r="AK160" s="129" t="str">
        <f t="shared" ca="1" si="29"/>
        <v>Late</v>
      </c>
      <c r="AL160" s="268" t="str">
        <f t="shared" si="22"/>
        <v>August</v>
      </c>
      <c r="AM160" s="133">
        <f>YEAR(Table1[[#This Row],[ETA
As requested
dd.mm.yyyy]])</f>
        <v>2024</v>
      </c>
    </row>
    <row r="161" spans="1:39" hidden="1">
      <c r="A161" s="123" t="s">
        <v>133</v>
      </c>
      <c r="B161" s="36" t="s">
        <v>1170</v>
      </c>
      <c r="C161" s="117" t="s">
        <v>2299</v>
      </c>
      <c r="D161" s="165">
        <v>45407</v>
      </c>
      <c r="E161" s="117" t="s">
        <v>2300</v>
      </c>
      <c r="F161" s="36" t="str">
        <f>IFERROR(VLOOKUP(Table1[[#This Row],[Part Number]],DATABASE_FG!$C$6:D10150,2,FALSE)," ")</f>
        <v>Schieber</v>
      </c>
      <c r="G161" s="117">
        <f>IFERROR(_xlfn.XLOOKUP(Table1[[#This Row],[Part Number]],Table3[Part number],Table3[Drawing
 Revision]),"")</f>
        <v>4</v>
      </c>
      <c r="H161" s="118" cm="1">
        <f t="array" ref="H161">IFERROR(INDEX(PDB!$C:$AT,MATCH(E161,PDB!$B:$B,0),MATCH(YEAR(K161),0+PDB!$C$1:$AT$1,0)),"")</f>
        <v>9.09</v>
      </c>
      <c r="I161" s="36">
        <v>20</v>
      </c>
      <c r="J161" s="125">
        <f>IFERROR(Table1[[#This Row],[Quantity]]*Table1[[#This Row],[Price/Unit
EUR]]," ")</f>
        <v>181.8</v>
      </c>
      <c r="K161" s="126">
        <v>45535</v>
      </c>
      <c r="L161" s="36">
        <f>WEEKNUM(Table1[[#This Row],[ETA
As requested
dd.mm.yyyy]])</f>
        <v>35</v>
      </c>
      <c r="M161" s="36">
        <f>YEAR(Table1[[#This Row],[ETA
As requested
dd.mm.yyyy]])</f>
        <v>2024</v>
      </c>
      <c r="N161" s="36">
        <f>IFERROR(INDEX(DATABASE_FG!$H$5:$H$367, MATCH(E161, DATABASE_FG!$C$5:$C$367, 0)), " ")</f>
        <v>0</v>
      </c>
      <c r="O161" s="129" t="str">
        <f>IF(E161&lt;&gt;"", _xlfn.XLOOKUP(E161, DATABASE_FG!C:C, DATABASE_FG!F:F), " ")</f>
        <v>ZBA 807</v>
      </c>
      <c r="P161" s="129">
        <f>IFERROR(INDEX(DATABASE_FG!$G$5:$G$367, MATCH(E161, DATABASE_FG!$C$5:$C$367, 0)), "Not Found")</f>
        <v>0</v>
      </c>
      <c r="Q161" s="36"/>
      <c r="R161" s="125" t="s">
        <v>680</v>
      </c>
      <c r="S161" s="123">
        <f>IFERROR(INDEX(DATABASE_FG!$L$5:$L$367, MATCH(E161, DATABASE_FG!$C$5:$C$367, 0)), " ")</f>
        <v>56</v>
      </c>
      <c r="T161" s="36" t="s">
        <v>677</v>
      </c>
      <c r="U161" s="36"/>
      <c r="V161" s="36"/>
      <c r="W161" s="129"/>
      <c r="X161" s="36" t="s">
        <v>1957</v>
      </c>
      <c r="Y161" s="36"/>
      <c r="Z161" s="36"/>
      <c r="AA161" s="125" t="s">
        <v>121</v>
      </c>
      <c r="AB161" s="173"/>
      <c r="AC161" s="119"/>
      <c r="AD161" s="36" t="str">
        <f t="shared" si="26"/>
        <v/>
      </c>
      <c r="AE161" s="36" t="str">
        <f t="shared" si="27"/>
        <v/>
      </c>
      <c r="AF161" s="36">
        <v>0</v>
      </c>
      <c r="AG161" s="120">
        <f t="shared" si="28"/>
        <v>0</v>
      </c>
      <c r="AH161" s="36"/>
      <c r="AI161" s="124"/>
      <c r="AJ161" s="122"/>
      <c r="AK161" s="129" t="str">
        <f t="shared" ca="1" si="29"/>
        <v>Late</v>
      </c>
      <c r="AL161" s="268" t="str">
        <f t="shared" si="22"/>
        <v>August</v>
      </c>
      <c r="AM161" s="133">
        <f>YEAR(Table1[[#This Row],[ETA
As requested
dd.mm.yyyy]])</f>
        <v>2024</v>
      </c>
    </row>
    <row r="162" spans="1:39" hidden="1">
      <c r="A162" s="123" t="s">
        <v>133</v>
      </c>
      <c r="B162" s="36" t="s">
        <v>1170</v>
      </c>
      <c r="C162" s="117" t="s">
        <v>2299</v>
      </c>
      <c r="D162" s="165">
        <v>45407</v>
      </c>
      <c r="E162" s="117" t="s">
        <v>2307</v>
      </c>
      <c r="F162" s="36" t="str">
        <f>IFERROR(VLOOKUP(Table1[[#This Row],[Part Number]],DATABASE_FG!$C$6:D10151,2,FALSE)," ")</f>
        <v>Hebel Exzenter</v>
      </c>
      <c r="G162" s="117">
        <f>IFERROR(_xlfn.XLOOKUP(Table1[[#This Row],[Part Number]],Table3[Part number],Table3[Drawing
 Revision]),"")</f>
        <v>4</v>
      </c>
      <c r="H162" s="118" cm="1">
        <f t="array" ref="H162">IFERROR(INDEX(PDB!$C:$AT,MATCH(E162,PDB!$B:$B,0),MATCH(YEAR(K162),0+PDB!$C$1:$AT$1,0)),"")</f>
        <v>5.07</v>
      </c>
      <c r="I162" s="36">
        <v>20</v>
      </c>
      <c r="J162" s="125">
        <f>IFERROR(Table1[[#This Row],[Quantity]]*Table1[[#This Row],[Price/Unit
EUR]]," ")</f>
        <v>101.4</v>
      </c>
      <c r="K162" s="126">
        <v>45535</v>
      </c>
      <c r="L162" s="36">
        <f>WEEKNUM(Table1[[#This Row],[ETA
As requested
dd.mm.yyyy]])</f>
        <v>35</v>
      </c>
      <c r="M162" s="36">
        <f>YEAR(Table1[[#This Row],[ETA
As requested
dd.mm.yyyy]])</f>
        <v>2024</v>
      </c>
      <c r="N162" s="36">
        <f>IFERROR(INDEX(DATABASE_FG!$H$5:$H$367, MATCH(E162, DATABASE_FG!$C$5:$C$367, 0)), " ")</f>
        <v>0</v>
      </c>
      <c r="O162" s="129" t="str">
        <f>IF(E162&lt;&gt;"", _xlfn.XLOOKUP(E162, DATABASE_FG!C:C, DATABASE_FG!F:F), " ")</f>
        <v>ZBA 807</v>
      </c>
      <c r="P162" s="129">
        <f>IFERROR(INDEX(DATABASE_FG!$G$5:$G$367, MATCH(E162, DATABASE_FG!$C$5:$C$367, 0)), "Not Found")</f>
        <v>0</v>
      </c>
      <c r="Q162" s="36"/>
      <c r="R162" s="125" t="s">
        <v>680</v>
      </c>
      <c r="S162" s="123">
        <f>IFERROR(INDEX(DATABASE_FG!$L$5:$L$367, MATCH(E162, DATABASE_FG!$C$5:$C$367, 0)), " ")</f>
        <v>56</v>
      </c>
      <c r="T162" s="36" t="s">
        <v>677</v>
      </c>
      <c r="U162" s="36"/>
      <c r="V162" s="36"/>
      <c r="W162" s="129"/>
      <c r="X162" s="36" t="s">
        <v>1957</v>
      </c>
      <c r="Y162" s="36"/>
      <c r="Z162" s="36"/>
      <c r="AA162" s="125" t="s">
        <v>121</v>
      </c>
      <c r="AB162" s="173"/>
      <c r="AC162" s="119"/>
      <c r="AD162" s="36" t="str">
        <f t="shared" si="26"/>
        <v/>
      </c>
      <c r="AE162" s="36" t="str">
        <f t="shared" si="27"/>
        <v/>
      </c>
      <c r="AF162" s="36">
        <v>0</v>
      </c>
      <c r="AG162" s="120">
        <f t="shared" si="28"/>
        <v>0</v>
      </c>
      <c r="AH162" s="36"/>
      <c r="AI162" s="124"/>
      <c r="AJ162" s="122"/>
      <c r="AK162" s="129" t="str">
        <f t="shared" ca="1" si="29"/>
        <v>Late</v>
      </c>
      <c r="AL162" s="268" t="str">
        <f t="shared" si="22"/>
        <v>August</v>
      </c>
      <c r="AM162" s="133">
        <f>YEAR(Table1[[#This Row],[ETA
As requested
dd.mm.yyyy]])</f>
        <v>2024</v>
      </c>
    </row>
    <row r="163" spans="1:39" hidden="1">
      <c r="A163" s="123" t="s">
        <v>59</v>
      </c>
      <c r="B163" s="36" t="s">
        <v>1170</v>
      </c>
      <c r="C163" s="117">
        <v>2521987</v>
      </c>
      <c r="D163" s="165">
        <v>45788</v>
      </c>
      <c r="E163" s="117" t="s">
        <v>63</v>
      </c>
      <c r="F163" s="36" t="str">
        <f>IFERROR(VLOOKUP(Table1[[#This Row],[Part Number]],DATABASE_FG!$C$6:D10152,2,FALSE)," ")</f>
        <v>RIGHT ARM (DRIVING), AL-4018-1RF #30315</v>
      </c>
      <c r="G163" s="117" t="str">
        <f>IFERROR(_xlfn.XLOOKUP(Table1[[#This Row],[Part Number]],Table3[Part number],Table3[Drawing
 Revision]),"")</f>
        <v>-</v>
      </c>
      <c r="H163" s="118" cm="1">
        <f t="array" ref="H163">IFERROR(INDEX(PDB!$C:$AT,MATCH(E163,PDB!$B:$B,0),MATCH(YEAR(K163),0+PDB!$C$1:$AT$1,0)),"")</f>
        <v>1136.79</v>
      </c>
      <c r="I163" s="36">
        <v>3</v>
      </c>
      <c r="J163" s="125">
        <f>IFERROR(Table1[[#This Row],[Quantity]]*Table1[[#This Row],[Price/Unit
EUR]]," ")</f>
        <v>3410.37</v>
      </c>
      <c r="K163" s="126">
        <v>45902</v>
      </c>
      <c r="L163" s="36">
        <f>WEEKNUM(Table1[[#This Row],[ETA
As requested
dd.mm.yyyy]])</f>
        <v>36</v>
      </c>
      <c r="M163" s="36">
        <f>YEAR(Table1[[#This Row],[ETA
As requested
dd.mm.yyyy]])</f>
        <v>2025</v>
      </c>
      <c r="N163" s="36">
        <f>IFERROR(INDEX(DATABASE_FG!$H$5:$H$367, MATCH(E163, DATABASE_FG!$C$5:$C$367, 0)), " ")</f>
        <v>0</v>
      </c>
      <c r="O163" s="129" t="str">
        <f>IF(E163&lt;&gt;"", _xlfn.XLOOKUP(E163, DATABASE_FG!C:C, DATABASE_FG!F:F), " ")</f>
        <v>RIGHT ARM (DRIVING), AL-4018-1RF #30315</v>
      </c>
      <c r="P163" s="129">
        <f>IFERROR(INDEX(DATABASE_FG!$G$5:$G$367, MATCH(E163, DATABASE_FG!$C$5:$C$367, 0)), "Not Found")</f>
        <v>0</v>
      </c>
      <c r="Q163" s="36"/>
      <c r="R163" s="125" t="s">
        <v>680</v>
      </c>
      <c r="S163" s="123">
        <f>Table1[[#This Row],[Quantity]]/48</f>
        <v>6.25E-2</v>
      </c>
      <c r="T163" s="36"/>
      <c r="U163" s="36"/>
      <c r="V163" s="36"/>
      <c r="W163" s="129"/>
      <c r="X163" s="36"/>
      <c r="Y163" s="36"/>
      <c r="Z163" s="36"/>
      <c r="AA163" s="125" t="s">
        <v>121</v>
      </c>
      <c r="AB163" s="172">
        <v>45930</v>
      </c>
      <c r="AC163" s="119"/>
      <c r="AD163" s="36" t="str">
        <f t="shared" si="26"/>
        <v/>
      </c>
      <c r="AE163" s="36" t="str">
        <f t="shared" si="27"/>
        <v/>
      </c>
      <c r="AF163" s="36">
        <v>3</v>
      </c>
      <c r="AG163" s="120">
        <f t="shared" si="28"/>
        <v>3410.37</v>
      </c>
      <c r="AH163" s="36"/>
      <c r="AI163" s="124" t="s">
        <v>4328</v>
      </c>
      <c r="AJ163" s="122" t="s">
        <v>3661</v>
      </c>
      <c r="AK163" s="129" t="str">
        <f t="shared" ca="1" si="29"/>
        <v>Late</v>
      </c>
      <c r="AL163" s="268" t="str">
        <f t="shared" si="22"/>
        <v>September</v>
      </c>
      <c r="AM163" s="133">
        <f>YEAR(Table1[[#This Row],[ETA
As requested
dd.mm.yyyy]])</f>
        <v>2025</v>
      </c>
    </row>
    <row r="164" spans="1:39" hidden="1">
      <c r="A164" s="123" t="s">
        <v>59</v>
      </c>
      <c r="B164" s="36" t="s">
        <v>1170</v>
      </c>
      <c r="C164" s="117">
        <v>2521987</v>
      </c>
      <c r="D164" s="165">
        <v>45788</v>
      </c>
      <c r="E164" s="117" t="s">
        <v>63</v>
      </c>
      <c r="F164" s="36" t="str">
        <f>IFERROR(VLOOKUP(Table1[[#This Row],[Part Number]],DATABASE_FG!$C$6:D10153,2,FALSE)," ")</f>
        <v>RIGHT ARM (DRIVING), AL-4018-1RF #30315</v>
      </c>
      <c r="G164" s="117" t="str">
        <f>IFERROR(_xlfn.XLOOKUP(Table1[[#This Row],[Part Number]],Table3[Part number],Table3[Drawing
 Revision]),"")</f>
        <v>-</v>
      </c>
      <c r="H164" s="118" cm="1">
        <f t="array" ref="H164">IFERROR(INDEX(PDB!$C:$AT,MATCH(E164,PDB!$B:$B,0),MATCH(YEAR(K164),0+PDB!$C$1:$AT$1,0)),"")</f>
        <v>1136.79</v>
      </c>
      <c r="I164" s="36">
        <v>3</v>
      </c>
      <c r="J164" s="125">
        <f>IFERROR(Table1[[#This Row],[Quantity]]*Table1[[#This Row],[Price/Unit
EUR]]," ")</f>
        <v>3410.37</v>
      </c>
      <c r="K164" s="126">
        <v>45993</v>
      </c>
      <c r="L164" s="36">
        <f>WEEKNUM(Table1[[#This Row],[ETA
As requested
dd.mm.yyyy]])</f>
        <v>49</v>
      </c>
      <c r="M164" s="36">
        <f>YEAR(Table1[[#This Row],[ETA
As requested
dd.mm.yyyy]])</f>
        <v>2025</v>
      </c>
      <c r="N164" s="36">
        <f>IFERROR(INDEX(DATABASE_FG!$H$5:$H$367, MATCH(E164, DATABASE_FG!$C$5:$C$367, 0)), " ")</f>
        <v>0</v>
      </c>
      <c r="O164" s="129" t="str">
        <f>IF(E164&lt;&gt;"", _xlfn.XLOOKUP(E164, DATABASE_FG!C:C, DATABASE_FG!F:F), " ")</f>
        <v>RIGHT ARM (DRIVING), AL-4018-1RF #30315</v>
      </c>
      <c r="P164" s="129">
        <f>IFERROR(INDEX(DATABASE_FG!$G$5:$G$367, MATCH(E164, DATABASE_FG!$C$5:$C$367, 0)), "Not Found")</f>
        <v>0</v>
      </c>
      <c r="Q164" s="36"/>
      <c r="R164" s="125" t="s">
        <v>680</v>
      </c>
      <c r="S164" s="123">
        <f>Table1[[#This Row],[Quantity]]/48</f>
        <v>6.25E-2</v>
      </c>
      <c r="T164" s="36"/>
      <c r="U164" s="36"/>
      <c r="V164" s="36"/>
      <c r="W164" s="129"/>
      <c r="X164" s="36"/>
      <c r="Y164" s="36"/>
      <c r="Z164" s="36"/>
      <c r="AA164" s="125" t="s">
        <v>121</v>
      </c>
      <c r="AB164" s="172">
        <v>45930</v>
      </c>
      <c r="AC164" s="119"/>
      <c r="AD164" s="36" t="str">
        <f t="shared" si="26"/>
        <v/>
      </c>
      <c r="AE164" s="36" t="str">
        <f t="shared" si="27"/>
        <v/>
      </c>
      <c r="AF164" s="36">
        <v>3</v>
      </c>
      <c r="AG164" s="120">
        <f t="shared" si="28"/>
        <v>3410.37</v>
      </c>
      <c r="AH164" s="36"/>
      <c r="AI164" s="124" t="s">
        <v>4328</v>
      </c>
      <c r="AJ164" s="122" t="s">
        <v>3661</v>
      </c>
      <c r="AK164" s="129" t="str">
        <f t="shared" ca="1" si="29"/>
        <v>On Time</v>
      </c>
      <c r="AL164" s="268" t="str">
        <f t="shared" si="22"/>
        <v>December</v>
      </c>
      <c r="AM164" s="133">
        <f>YEAR(Table1[[#This Row],[ETA
As requested
dd.mm.yyyy]])</f>
        <v>2025</v>
      </c>
    </row>
    <row r="165" spans="1:39" hidden="1">
      <c r="A165" s="123" t="s">
        <v>59</v>
      </c>
      <c r="B165" s="36" t="s">
        <v>1170</v>
      </c>
      <c r="C165" s="117">
        <v>2521987</v>
      </c>
      <c r="D165" s="165">
        <v>45788</v>
      </c>
      <c r="E165" s="117" t="s">
        <v>65</v>
      </c>
      <c r="F165" s="36" t="str">
        <f>IFERROR(VLOOKUP(Table1[[#This Row],[Part Number]],DATABASE_FG!$C$6:D10154,2,FALSE)," ")</f>
        <v>LEFT ARM (DRIVEN) AL-4018-1RF #30315</v>
      </c>
      <c r="G165" s="117" t="str">
        <f>IFERROR(_xlfn.XLOOKUP(Table1[[#This Row],[Part Number]],Table3[Part number],Table3[Drawing
 Revision]),"")</f>
        <v>A</v>
      </c>
      <c r="H165" s="118" cm="1">
        <f t="array" ref="H165">IFERROR(INDEX(PDB!$C:$AT,MATCH(E165,PDB!$B:$B,0),MATCH(YEAR(K165),0+PDB!$C$1:$AT$1,0)),"")</f>
        <v>1136.79</v>
      </c>
      <c r="I165" s="36">
        <v>3</v>
      </c>
      <c r="J165" s="125">
        <f>IFERROR(Table1[[#This Row],[Quantity]]*Table1[[#This Row],[Price/Unit
EUR]]," ")</f>
        <v>3410.37</v>
      </c>
      <c r="K165" s="126">
        <v>45902</v>
      </c>
      <c r="L165" s="36">
        <f>WEEKNUM(Table1[[#This Row],[ETA
As requested
dd.mm.yyyy]])</f>
        <v>36</v>
      </c>
      <c r="M165" s="36">
        <f>YEAR(Table1[[#This Row],[ETA
As requested
dd.mm.yyyy]])</f>
        <v>2025</v>
      </c>
      <c r="N165" s="36">
        <f>IFERROR(INDEX(DATABASE_FG!$H$5:$H$367, MATCH(E165, DATABASE_FG!$C$5:$C$367, 0)), " ")</f>
        <v>0</v>
      </c>
      <c r="O165" s="129" t="str">
        <f>IF(E165&lt;&gt;"", _xlfn.XLOOKUP(E165, DATABASE_FG!C:C, DATABASE_FG!F:F), " ")</f>
        <v>LEFT ARM (DRIVEN) AL-4018-1RF #30315</v>
      </c>
      <c r="P165" s="129">
        <f>IFERROR(INDEX(DATABASE_FG!$G$5:$G$367, MATCH(E165, DATABASE_FG!$C$5:$C$367, 0)), "Not Found")</f>
        <v>0</v>
      </c>
      <c r="Q165" s="36"/>
      <c r="R165" s="125" t="s">
        <v>680</v>
      </c>
      <c r="S165" s="123">
        <f>Table1[[#This Row],[Quantity]]/48</f>
        <v>6.25E-2</v>
      </c>
      <c r="T165" s="36"/>
      <c r="U165" s="36"/>
      <c r="V165" s="36"/>
      <c r="W165" s="129"/>
      <c r="X165" s="36"/>
      <c r="Y165" s="36"/>
      <c r="Z165" s="36"/>
      <c r="AA165" s="125" t="s">
        <v>121</v>
      </c>
      <c r="AB165" s="172">
        <v>45930</v>
      </c>
      <c r="AC165" s="119"/>
      <c r="AD165" s="36" t="str">
        <f t="shared" si="26"/>
        <v/>
      </c>
      <c r="AE165" s="36" t="str">
        <f t="shared" si="27"/>
        <v/>
      </c>
      <c r="AF165" s="36">
        <v>3</v>
      </c>
      <c r="AG165" s="120">
        <f t="shared" si="28"/>
        <v>3410.37</v>
      </c>
      <c r="AH165" s="36"/>
      <c r="AI165" s="124" t="s">
        <v>4328</v>
      </c>
      <c r="AJ165" s="122" t="s">
        <v>3661</v>
      </c>
      <c r="AK165" s="129" t="str">
        <f t="shared" ca="1" si="29"/>
        <v>Late</v>
      </c>
      <c r="AL165" s="268" t="str">
        <f t="shared" si="22"/>
        <v>September</v>
      </c>
      <c r="AM165" s="133">
        <f>YEAR(Table1[[#This Row],[ETA
As requested
dd.mm.yyyy]])</f>
        <v>2025</v>
      </c>
    </row>
    <row r="166" spans="1:39" hidden="1">
      <c r="A166" s="123" t="s">
        <v>59</v>
      </c>
      <c r="B166" s="36" t="s">
        <v>1170</v>
      </c>
      <c r="C166" s="117">
        <v>2521987</v>
      </c>
      <c r="D166" s="165">
        <v>45788</v>
      </c>
      <c r="E166" s="117" t="s">
        <v>65</v>
      </c>
      <c r="F166" s="36" t="str">
        <f>IFERROR(VLOOKUP(Table1[[#This Row],[Part Number]],DATABASE_FG!$C$6:D10155,2,FALSE)," ")</f>
        <v>LEFT ARM (DRIVEN) AL-4018-1RF #30315</v>
      </c>
      <c r="G166" s="117" t="str">
        <f>IFERROR(_xlfn.XLOOKUP(Table1[[#This Row],[Part Number]],Table3[Part number],Table3[Drawing
 Revision]),"")</f>
        <v>A</v>
      </c>
      <c r="H166" s="118" cm="1">
        <f t="array" ref="H166">IFERROR(INDEX(PDB!$C:$AT,MATCH(E166,PDB!$B:$B,0),MATCH(YEAR(K166),0+PDB!$C$1:$AT$1,0)),"")</f>
        <v>1136.79</v>
      </c>
      <c r="I166" s="36">
        <v>3</v>
      </c>
      <c r="J166" s="125">
        <f>IFERROR(Table1[[#This Row],[Quantity]]*Table1[[#This Row],[Price/Unit
EUR]]," ")</f>
        <v>3410.37</v>
      </c>
      <c r="K166" s="126">
        <v>45997</v>
      </c>
      <c r="L166" s="36">
        <f>WEEKNUM(Table1[[#This Row],[ETA
As requested
dd.mm.yyyy]])</f>
        <v>49</v>
      </c>
      <c r="M166" s="36">
        <f>YEAR(Table1[[#This Row],[ETA
As requested
dd.mm.yyyy]])</f>
        <v>2025</v>
      </c>
      <c r="N166" s="36">
        <f>IFERROR(INDEX(DATABASE_FG!$H$5:$H$367, MATCH(E166, DATABASE_FG!$C$5:$C$367, 0)), " ")</f>
        <v>0</v>
      </c>
      <c r="O166" s="129" t="str">
        <f>IF(E166&lt;&gt;"", _xlfn.XLOOKUP(E166, DATABASE_FG!C:C, DATABASE_FG!F:F), " ")</f>
        <v>LEFT ARM (DRIVEN) AL-4018-1RF #30315</v>
      </c>
      <c r="P166" s="129">
        <f>IFERROR(INDEX(DATABASE_FG!$G$5:$G$367, MATCH(E166, DATABASE_FG!$C$5:$C$367, 0)), "Not Found")</f>
        <v>0</v>
      </c>
      <c r="Q166" s="36"/>
      <c r="R166" s="125" t="s">
        <v>680</v>
      </c>
      <c r="S166" s="123">
        <f>Table1[[#This Row],[Quantity]]/48</f>
        <v>6.25E-2</v>
      </c>
      <c r="T166" s="36"/>
      <c r="U166" s="36"/>
      <c r="V166" s="36"/>
      <c r="W166" s="129"/>
      <c r="X166" s="36"/>
      <c r="Y166" s="36"/>
      <c r="Z166" s="36"/>
      <c r="AA166" s="125" t="s">
        <v>121</v>
      </c>
      <c r="AB166" s="173">
        <v>45930</v>
      </c>
      <c r="AC166" s="119"/>
      <c r="AD166" s="36" t="str">
        <f t="shared" si="26"/>
        <v/>
      </c>
      <c r="AE166" s="36" t="str">
        <f t="shared" si="27"/>
        <v/>
      </c>
      <c r="AF166" s="36">
        <v>3</v>
      </c>
      <c r="AG166" s="120">
        <f t="shared" si="28"/>
        <v>3410.37</v>
      </c>
      <c r="AH166" s="36"/>
      <c r="AI166" s="124" t="s">
        <v>4328</v>
      </c>
      <c r="AJ166" s="122" t="s">
        <v>3661</v>
      </c>
      <c r="AK166" s="129" t="str">
        <f t="shared" ca="1" si="29"/>
        <v>On Time</v>
      </c>
      <c r="AL166" s="268" t="str">
        <f t="shared" si="22"/>
        <v>December</v>
      </c>
      <c r="AM166" s="133">
        <f>YEAR(Table1[[#This Row],[ETA
As requested
dd.mm.yyyy]])</f>
        <v>2025</v>
      </c>
    </row>
    <row r="167" spans="1:39" hidden="1">
      <c r="A167" s="123" t="s">
        <v>59</v>
      </c>
      <c r="B167" s="36" t="s">
        <v>1170</v>
      </c>
      <c r="C167" s="117">
        <v>2521987</v>
      </c>
      <c r="D167" s="165">
        <v>45788</v>
      </c>
      <c r="E167" s="117" t="s">
        <v>75</v>
      </c>
      <c r="F167" s="36" t="str">
        <f>IFERROR(VLOOKUP(Table1[[#This Row],[Part Number]],DATABASE_FG!$C$6:D10156,2,FALSE)," ")</f>
        <v>PANEL ACCESS ELEVATION, AL-4018-1RF #30315</v>
      </c>
      <c r="G167" s="117" t="str">
        <f>IFERROR(_xlfn.XLOOKUP(Table1[[#This Row],[Part Number]],Table3[Part number],Table3[Drawing
 Revision]),"")</f>
        <v>-</v>
      </c>
      <c r="H167" s="118" cm="1">
        <f t="array" ref="H167">IFERROR(INDEX(PDB!$C:$AT,MATCH(E167,PDB!$B:$B,0),MATCH(YEAR(K167),0+PDB!$C$1:$AT$1,0)),"")</f>
        <v>243.11</v>
      </c>
      <c r="I167" s="36">
        <v>3</v>
      </c>
      <c r="J167" s="125">
        <f>IFERROR(Table1[[#This Row],[Quantity]]*Table1[[#This Row],[Price/Unit
EUR]]," ")</f>
        <v>729.33</v>
      </c>
      <c r="K167" s="126">
        <v>45928</v>
      </c>
      <c r="L167" s="36">
        <f>WEEKNUM(Table1[[#This Row],[ETA
As requested
dd.mm.yyyy]])</f>
        <v>40</v>
      </c>
      <c r="M167" s="36">
        <f>YEAR(Table1[[#This Row],[ETA
As requested
dd.mm.yyyy]])</f>
        <v>2025</v>
      </c>
      <c r="N167" s="36">
        <f>IFERROR(INDEX(DATABASE_FG!$H$5:$H$367, MATCH(E167, DATABASE_FG!$C$5:$C$367, 0)), " ")</f>
        <v>0</v>
      </c>
      <c r="O167" s="129" t="str">
        <f>IF(E167&lt;&gt;"", _xlfn.XLOOKUP(E167, DATABASE_FG!C:C, DATABASE_FG!F:F), " ")</f>
        <v>PANEL ACCESS ELEVATION, AL-4018-1RF #30315</v>
      </c>
      <c r="P167" s="129">
        <f>IFERROR(INDEX(DATABASE_FG!$G$5:$G$367, MATCH(E167, DATABASE_FG!$C$5:$C$367, 0)), "Not Found")</f>
        <v>0</v>
      </c>
      <c r="Q167" s="36"/>
      <c r="R167" s="125" t="s">
        <v>680</v>
      </c>
      <c r="S167" s="123">
        <f>Table1[[#This Row],[Quantity]]/48</f>
        <v>6.25E-2</v>
      </c>
      <c r="T167" s="36"/>
      <c r="U167" s="36"/>
      <c r="V167" s="36"/>
      <c r="W167" s="129"/>
      <c r="X167" s="36"/>
      <c r="Y167" s="36"/>
      <c r="Z167" s="36"/>
      <c r="AA167" s="125" t="s">
        <v>121</v>
      </c>
      <c r="AB167" s="173">
        <v>45960</v>
      </c>
      <c r="AC167" s="119">
        <v>1</v>
      </c>
      <c r="AD167" s="36">
        <f t="shared" si="26"/>
        <v>2521987</v>
      </c>
      <c r="AE167" s="36" t="str">
        <f t="shared" si="27"/>
        <v>39-0208</v>
      </c>
      <c r="AF167" s="36">
        <v>3</v>
      </c>
      <c r="AG167" s="120">
        <f t="shared" si="28"/>
        <v>729.33</v>
      </c>
      <c r="AH167" s="36"/>
      <c r="AI167" s="124"/>
      <c r="AJ167" s="122" t="s">
        <v>4481</v>
      </c>
      <c r="AK167" s="129" t="str">
        <f t="shared" ca="1" si="29"/>
        <v>Late</v>
      </c>
      <c r="AL167" s="268" t="str">
        <f t="shared" si="22"/>
        <v>September</v>
      </c>
      <c r="AM167" s="133">
        <f>YEAR(Table1[[#This Row],[ETA
As requested
dd.mm.yyyy]])</f>
        <v>2025</v>
      </c>
    </row>
    <row r="168" spans="1:39" hidden="1">
      <c r="A168" s="123" t="s">
        <v>59</v>
      </c>
      <c r="B168" s="36" t="s">
        <v>1170</v>
      </c>
      <c r="C168" s="117">
        <v>2521987</v>
      </c>
      <c r="D168" s="165">
        <v>45788</v>
      </c>
      <c r="E168" s="117" t="s">
        <v>75</v>
      </c>
      <c r="F168" s="36" t="str">
        <f>IFERROR(VLOOKUP(Table1[[#This Row],[Part Number]],DATABASE_FG!$C$6:D10157,2,FALSE)," ")</f>
        <v>PANEL ACCESS ELEVATION, AL-4018-1RF #30315</v>
      </c>
      <c r="G168" s="117" t="str">
        <f>IFERROR(_xlfn.XLOOKUP(Table1[[#This Row],[Part Number]],Table3[Part number],Table3[Drawing
 Revision]),"")</f>
        <v>-</v>
      </c>
      <c r="H168" s="118" cm="1">
        <f t="array" ref="H168">IFERROR(INDEX(PDB!$C:$AT,MATCH(E168,PDB!$B:$B,0),MATCH(YEAR(K168),0+PDB!$C$1:$AT$1,0)),"")</f>
        <v>243.11</v>
      </c>
      <c r="I168" s="36">
        <v>3</v>
      </c>
      <c r="J168" s="125">
        <f>IFERROR(Table1[[#This Row],[Quantity]]*Table1[[#This Row],[Price/Unit
EUR]]," ")</f>
        <v>729.33</v>
      </c>
      <c r="K168" s="126">
        <v>46023</v>
      </c>
      <c r="L168" s="36">
        <f>WEEKNUM(Table1[[#This Row],[ETA
As requested
dd.mm.yyyy]])</f>
        <v>1</v>
      </c>
      <c r="M168" s="36">
        <f>YEAR(Table1[[#This Row],[ETA
As requested
dd.mm.yyyy]])</f>
        <v>2026</v>
      </c>
      <c r="N168" s="36">
        <f>IFERROR(INDEX(DATABASE_FG!$H$5:$H$367, MATCH(E168, DATABASE_FG!$C$5:$C$367, 0)), " ")</f>
        <v>0</v>
      </c>
      <c r="O168" s="129" t="str">
        <f>IF(E168&lt;&gt;"", _xlfn.XLOOKUP(E168, DATABASE_FG!C:C, DATABASE_FG!F:F), " ")</f>
        <v>PANEL ACCESS ELEVATION, AL-4018-1RF #30315</v>
      </c>
      <c r="P168" s="129">
        <f>IFERROR(INDEX(DATABASE_FG!$G$5:$G$367, MATCH(E168, DATABASE_FG!$C$5:$C$367, 0)), "Not Found")</f>
        <v>0</v>
      </c>
      <c r="Q168" s="36"/>
      <c r="R168" s="125" t="s">
        <v>680</v>
      </c>
      <c r="S168" s="123">
        <f>Table1[[#This Row],[Quantity]]/48</f>
        <v>6.25E-2</v>
      </c>
      <c r="T168" s="36"/>
      <c r="U168" s="36"/>
      <c r="V168" s="36"/>
      <c r="W168" s="129"/>
      <c r="X168" s="36"/>
      <c r="Y168" s="36"/>
      <c r="Z168" s="36"/>
      <c r="AA168" s="125" t="s">
        <v>121</v>
      </c>
      <c r="AB168" s="173">
        <v>45960</v>
      </c>
      <c r="AC168" s="119">
        <v>1</v>
      </c>
      <c r="AD168" s="36">
        <f t="shared" si="26"/>
        <v>2521987</v>
      </c>
      <c r="AE168" s="36" t="str">
        <f t="shared" si="27"/>
        <v>39-0208</v>
      </c>
      <c r="AF168" s="36">
        <v>3</v>
      </c>
      <c r="AG168" s="120">
        <f t="shared" si="28"/>
        <v>729.33</v>
      </c>
      <c r="AH168" s="36"/>
      <c r="AI168" s="124"/>
      <c r="AJ168" s="122" t="s">
        <v>4481</v>
      </c>
      <c r="AK168" s="129" t="str">
        <f t="shared" ca="1" si="29"/>
        <v>On Time</v>
      </c>
      <c r="AL168" s="268" t="str">
        <f t="shared" si="22"/>
        <v>January</v>
      </c>
      <c r="AM168" s="133">
        <f>YEAR(Table1[[#This Row],[ETA
As requested
dd.mm.yyyy]])</f>
        <v>2026</v>
      </c>
    </row>
    <row r="169" spans="1:39" hidden="1">
      <c r="A169" s="123" t="s">
        <v>59</v>
      </c>
      <c r="B169" s="36" t="s">
        <v>1170</v>
      </c>
      <c r="C169" s="117">
        <v>2521987</v>
      </c>
      <c r="D169" s="165">
        <v>45788</v>
      </c>
      <c r="E169" s="117" t="s">
        <v>67</v>
      </c>
      <c r="F169" s="36" t="str">
        <f>IFERROR(VLOOKUP(Table1[[#This Row],[Part Number]],DATABASE_FG!$C$6:D10158,2,FALSE)," ")</f>
        <v>AZIMUTH HOUSING, AL-4018-1RF #30315</v>
      </c>
      <c r="G169" s="117" t="str">
        <f>IFERROR(_xlfn.XLOOKUP(Table1[[#This Row],[Part Number]],Table3[Part number],Table3[Drawing
 Revision]),"")</f>
        <v>-</v>
      </c>
      <c r="H169" s="118" cm="1">
        <f t="array" ref="H169">IFERROR(INDEX(PDB!$C:$AT,MATCH(E169,PDB!$B:$B,0),MATCH(YEAR(K169),0+PDB!$C$1:$AT$1,0)),"")</f>
        <v>844.59</v>
      </c>
      <c r="I169" s="36">
        <v>3</v>
      </c>
      <c r="J169" s="125">
        <f>IFERROR(Table1[[#This Row],[Quantity]]*Table1[[#This Row],[Price/Unit
EUR]]," ")</f>
        <v>2533.77</v>
      </c>
      <c r="K169" s="126">
        <v>45902</v>
      </c>
      <c r="L169" s="36">
        <f>WEEKNUM(Table1[[#This Row],[ETA
As requested
dd.mm.yyyy]])</f>
        <v>36</v>
      </c>
      <c r="M169" s="36">
        <f>YEAR(Table1[[#This Row],[ETA
As requested
dd.mm.yyyy]])</f>
        <v>2025</v>
      </c>
      <c r="N169" s="36">
        <f>IFERROR(INDEX(DATABASE_FG!$H$5:$H$367, MATCH(E169, DATABASE_FG!$C$5:$C$367, 0)), " ")</f>
        <v>0</v>
      </c>
      <c r="O169" s="129" t="str">
        <f>IF(E169&lt;&gt;"", _xlfn.XLOOKUP(E169, DATABASE_FG!C:C, DATABASE_FG!F:F), " ")</f>
        <v>AZIMUTH HOUSING, AL-4018-1RF #30315</v>
      </c>
      <c r="P169" s="129">
        <f>IFERROR(INDEX(DATABASE_FG!$G$5:$G$367, MATCH(E169, DATABASE_FG!$C$5:$C$367, 0)), "Not Found")</f>
        <v>0</v>
      </c>
      <c r="Q169" s="36"/>
      <c r="R169" s="125" t="s">
        <v>680</v>
      </c>
      <c r="S169" s="123">
        <f>Table1[[#This Row],[Quantity]]/48</f>
        <v>6.25E-2</v>
      </c>
      <c r="T169" s="36"/>
      <c r="U169" s="36"/>
      <c r="V169" s="36"/>
      <c r="W169" s="129"/>
      <c r="X169" s="36"/>
      <c r="Y169" s="36"/>
      <c r="Z169" s="36"/>
      <c r="AA169" s="125" t="s">
        <v>3</v>
      </c>
      <c r="AB169" s="173"/>
      <c r="AC169" s="119"/>
      <c r="AD169" s="36" t="str">
        <f t="shared" si="26"/>
        <v/>
      </c>
      <c r="AE169" s="36" t="str">
        <f t="shared" si="27"/>
        <v/>
      </c>
      <c r="AF169" s="36"/>
      <c r="AG169" s="120">
        <f t="shared" si="28"/>
        <v>0</v>
      </c>
      <c r="AH169" s="36"/>
      <c r="AI169" s="124"/>
      <c r="AJ169" s="122"/>
      <c r="AK169" s="129" t="str">
        <f t="shared" ca="1" si="29"/>
        <v>Late</v>
      </c>
      <c r="AL169" s="268" t="str">
        <f t="shared" si="22"/>
        <v>September</v>
      </c>
      <c r="AM169" s="133">
        <f>YEAR(Table1[[#This Row],[ETA
As requested
dd.mm.yyyy]])</f>
        <v>2025</v>
      </c>
    </row>
    <row r="170" spans="1:39" hidden="1">
      <c r="A170" s="123" t="s">
        <v>59</v>
      </c>
      <c r="B170" s="36" t="s">
        <v>1170</v>
      </c>
      <c r="C170" s="117">
        <v>2521987</v>
      </c>
      <c r="D170" s="165">
        <v>45788</v>
      </c>
      <c r="E170" s="117" t="s">
        <v>67</v>
      </c>
      <c r="F170" s="36" t="str">
        <f>IFERROR(VLOOKUP(Table1[[#This Row],[Part Number]],DATABASE_FG!$C$6:D10159,2,FALSE)," ")</f>
        <v>AZIMUTH HOUSING, AL-4018-1RF #30315</v>
      </c>
      <c r="G170" s="117" t="str">
        <f>IFERROR(_xlfn.XLOOKUP(Table1[[#This Row],[Part Number]],Table3[Part number],Table3[Drawing
 Revision]),"")</f>
        <v>-</v>
      </c>
      <c r="H170" s="118" cm="1">
        <f t="array" ref="H170">IFERROR(INDEX(PDB!$C:$AT,MATCH(E170,PDB!$B:$B,0),MATCH(YEAR(K170),0+PDB!$C$1:$AT$1,0)),"")</f>
        <v>844.59</v>
      </c>
      <c r="I170" s="36">
        <v>3</v>
      </c>
      <c r="J170" s="125">
        <f>IFERROR(Table1[[#This Row],[Quantity]]*Table1[[#This Row],[Price/Unit
EUR]]," ")</f>
        <v>2533.77</v>
      </c>
      <c r="K170" s="126">
        <v>45997</v>
      </c>
      <c r="L170" s="36">
        <f>WEEKNUM(Table1[[#This Row],[ETA
As requested
dd.mm.yyyy]])</f>
        <v>49</v>
      </c>
      <c r="M170" s="36">
        <f>YEAR(Table1[[#This Row],[ETA
As requested
dd.mm.yyyy]])</f>
        <v>2025</v>
      </c>
      <c r="N170" s="36">
        <f>IFERROR(INDEX(DATABASE_FG!$H$5:$H$367, MATCH(E170, DATABASE_FG!$C$5:$C$367, 0)), " ")</f>
        <v>0</v>
      </c>
      <c r="O170" s="129" t="str">
        <f>IF(E170&lt;&gt;"", _xlfn.XLOOKUP(E170, DATABASE_FG!C:C, DATABASE_FG!F:F), " ")</f>
        <v>AZIMUTH HOUSING, AL-4018-1RF #30315</v>
      </c>
      <c r="P170" s="129">
        <f>IFERROR(INDEX(DATABASE_FG!$G$5:$G$367, MATCH(E170, DATABASE_FG!$C$5:$C$367, 0)), "Not Found")</f>
        <v>0</v>
      </c>
      <c r="Q170" s="36"/>
      <c r="R170" s="125" t="s">
        <v>680</v>
      </c>
      <c r="S170" s="123">
        <f>Table1[[#This Row],[Quantity]]/48</f>
        <v>6.25E-2</v>
      </c>
      <c r="T170" s="36"/>
      <c r="U170" s="36"/>
      <c r="V170" s="36"/>
      <c r="W170" s="129"/>
      <c r="X170" s="36"/>
      <c r="Y170" s="36"/>
      <c r="Z170" s="36"/>
      <c r="AA170" s="125" t="s">
        <v>3</v>
      </c>
      <c r="AB170" s="173"/>
      <c r="AC170" s="119"/>
      <c r="AD170" s="36" t="str">
        <f t="shared" si="26"/>
        <v/>
      </c>
      <c r="AE170" s="36" t="str">
        <f t="shared" si="27"/>
        <v/>
      </c>
      <c r="AF170" s="36"/>
      <c r="AG170" s="120">
        <f t="shared" si="28"/>
        <v>0</v>
      </c>
      <c r="AH170" s="36"/>
      <c r="AI170" s="124"/>
      <c r="AJ170" s="122"/>
      <c r="AK170" s="129" t="str">
        <f t="shared" ca="1" si="29"/>
        <v/>
      </c>
      <c r="AL170" s="268" t="str">
        <f t="shared" si="22"/>
        <v>December</v>
      </c>
      <c r="AM170" s="133">
        <f>YEAR(Table1[[#This Row],[ETA
As requested
dd.mm.yyyy]])</f>
        <v>2025</v>
      </c>
    </row>
    <row r="171" spans="1:39" hidden="1">
      <c r="A171" s="123" t="s">
        <v>59</v>
      </c>
      <c r="B171" s="36" t="s">
        <v>1170</v>
      </c>
      <c r="C171" s="117">
        <v>2521987</v>
      </c>
      <c r="D171" s="165">
        <v>45788</v>
      </c>
      <c r="E171" s="117" t="s">
        <v>69</v>
      </c>
      <c r="F171" s="36" t="str">
        <f>IFERROR(VLOOKUP(Table1[[#This Row],[Part Number]],DATABASE_FG!$C$6:D10160,2,FALSE)," ")</f>
        <v>AZIMUTH TURNTABLE, AL-4018-1RF</v>
      </c>
      <c r="G171" s="117" t="str">
        <f>IFERROR(_xlfn.XLOOKUP(Table1[[#This Row],[Part Number]],Table3[Part number],Table3[Drawing
 Revision]),"")</f>
        <v>A</v>
      </c>
      <c r="H171" s="118" cm="1">
        <f t="array" ref="H171">IFERROR(INDEX(PDB!$C:$AT,MATCH(E171,PDB!$B:$B,0),MATCH(YEAR(K171),0+PDB!$C$1:$AT$1,0)),"")</f>
        <v>798.69</v>
      </c>
      <c r="I171" s="36">
        <v>3</v>
      </c>
      <c r="J171" s="125">
        <f>IFERROR(Table1[[#This Row],[Quantity]]*Table1[[#This Row],[Price/Unit
EUR]]," ")</f>
        <v>2396.0700000000002</v>
      </c>
      <c r="K171" s="126">
        <v>45918</v>
      </c>
      <c r="L171" s="36">
        <f>WEEKNUM(Table1[[#This Row],[ETA
As requested
dd.mm.yyyy]])</f>
        <v>38</v>
      </c>
      <c r="M171" s="36">
        <f>YEAR(Table1[[#This Row],[ETA
As requested
dd.mm.yyyy]])</f>
        <v>2025</v>
      </c>
      <c r="N171" s="36">
        <f>IFERROR(INDEX(DATABASE_FG!$H$5:$H$367, MATCH(E171, DATABASE_FG!$C$5:$C$367, 0)), " ")</f>
        <v>0</v>
      </c>
      <c r="O171" s="129" t="str">
        <f>IF(E171&lt;&gt;"", _xlfn.XLOOKUP(E171, DATABASE_FG!C:C, DATABASE_FG!F:F), " ")</f>
        <v>AZIMUTH TURNTABLE, AL-4018-1RF</v>
      </c>
      <c r="P171" s="129">
        <f>IFERROR(INDEX(DATABASE_FG!$G$5:$G$367, MATCH(E171, DATABASE_FG!$C$5:$C$367, 0)), "Not Found")</f>
        <v>0</v>
      </c>
      <c r="Q171" s="36"/>
      <c r="R171" s="125" t="s">
        <v>680</v>
      </c>
      <c r="S171" s="123">
        <f>Table1[[#This Row],[Quantity]]/48</f>
        <v>6.25E-2</v>
      </c>
      <c r="T171" s="36"/>
      <c r="U171" s="36"/>
      <c r="V171" s="36"/>
      <c r="W171" s="129"/>
      <c r="X171" s="36"/>
      <c r="Y171" s="36"/>
      <c r="Z171" s="36"/>
      <c r="AA171" s="125" t="s">
        <v>121</v>
      </c>
      <c r="AB171" s="173">
        <v>45960</v>
      </c>
      <c r="AC171" s="119">
        <v>1</v>
      </c>
      <c r="AD171" s="36">
        <f t="shared" si="26"/>
        <v>2521987</v>
      </c>
      <c r="AE171" s="36" t="str">
        <f t="shared" si="27"/>
        <v>39-0387</v>
      </c>
      <c r="AF171" s="36">
        <v>3</v>
      </c>
      <c r="AG171" s="120">
        <f t="shared" si="28"/>
        <v>2396.0700000000002</v>
      </c>
      <c r="AH171" s="36"/>
      <c r="AI171" s="124"/>
      <c r="AJ171" s="122" t="s">
        <v>4481</v>
      </c>
      <c r="AK171" s="129" t="str">
        <f t="shared" ca="1" si="29"/>
        <v>Late</v>
      </c>
      <c r="AL171" s="268" t="str">
        <f t="shared" si="22"/>
        <v>September</v>
      </c>
      <c r="AM171" s="133">
        <f>YEAR(Table1[[#This Row],[ETA
As requested
dd.mm.yyyy]])</f>
        <v>2025</v>
      </c>
    </row>
    <row r="172" spans="1:39" hidden="1">
      <c r="A172" s="123" t="s">
        <v>59</v>
      </c>
      <c r="B172" s="36" t="s">
        <v>1170</v>
      </c>
      <c r="C172" s="117">
        <v>2521987</v>
      </c>
      <c r="D172" s="165">
        <v>45788</v>
      </c>
      <c r="E172" s="117" t="s">
        <v>69</v>
      </c>
      <c r="F172" s="36" t="str">
        <f>IFERROR(VLOOKUP(Table1[[#This Row],[Part Number]],DATABASE_FG!$C$6:D10161,2,FALSE)," ")</f>
        <v>AZIMUTH TURNTABLE, AL-4018-1RF</v>
      </c>
      <c r="G172" s="117" t="str">
        <f>IFERROR(_xlfn.XLOOKUP(Table1[[#This Row],[Part Number]],Table3[Part number],Table3[Drawing
 Revision]),"")</f>
        <v>A</v>
      </c>
      <c r="H172" s="118" cm="1">
        <f t="array" ref="H172">IFERROR(INDEX(PDB!$C:$AT,MATCH(E172,PDB!$B:$B,0),MATCH(YEAR(K172),0+PDB!$C$1:$AT$1,0)),"")</f>
        <v>798.69</v>
      </c>
      <c r="I172" s="36">
        <v>3</v>
      </c>
      <c r="J172" s="125">
        <f>IFERROR(Table1[[#This Row],[Quantity]]*Table1[[#This Row],[Price/Unit
EUR]]," ")</f>
        <v>2396.0700000000002</v>
      </c>
      <c r="K172" s="126">
        <v>46013</v>
      </c>
      <c r="L172" s="36">
        <f>WEEKNUM(Table1[[#This Row],[ETA
As requested
dd.mm.yyyy]])</f>
        <v>52</v>
      </c>
      <c r="M172" s="36">
        <f>YEAR(Table1[[#This Row],[ETA
As requested
dd.mm.yyyy]])</f>
        <v>2025</v>
      </c>
      <c r="N172" s="36">
        <f>IFERROR(INDEX(DATABASE_FG!$H$5:$H$367, MATCH(E172, DATABASE_FG!$C$5:$C$367, 0)), " ")</f>
        <v>0</v>
      </c>
      <c r="O172" s="129" t="str">
        <f>IF(E172&lt;&gt;"", _xlfn.XLOOKUP(E172, DATABASE_FG!C:C, DATABASE_FG!F:F), " ")</f>
        <v>AZIMUTH TURNTABLE, AL-4018-1RF</v>
      </c>
      <c r="P172" s="129">
        <f>IFERROR(INDEX(DATABASE_FG!$G$5:$G$367, MATCH(E172, DATABASE_FG!$C$5:$C$367, 0)), "Not Found")</f>
        <v>0</v>
      </c>
      <c r="Q172" s="36"/>
      <c r="R172" s="125" t="s">
        <v>680</v>
      </c>
      <c r="S172" s="123">
        <f>Table1[[#This Row],[Quantity]]/48</f>
        <v>6.25E-2</v>
      </c>
      <c r="T172" s="36"/>
      <c r="U172" s="36"/>
      <c r="V172" s="36"/>
      <c r="W172" s="129"/>
      <c r="X172" s="36"/>
      <c r="Y172" s="36"/>
      <c r="Z172" s="36"/>
      <c r="AA172" s="125" t="s">
        <v>121</v>
      </c>
      <c r="AB172" s="173">
        <v>45960</v>
      </c>
      <c r="AC172" s="119">
        <v>1</v>
      </c>
      <c r="AD172" s="36">
        <f t="shared" si="26"/>
        <v>2521987</v>
      </c>
      <c r="AE172" s="36" t="str">
        <f t="shared" si="27"/>
        <v>39-0387</v>
      </c>
      <c r="AF172" s="36">
        <v>3</v>
      </c>
      <c r="AG172" s="120">
        <f t="shared" si="28"/>
        <v>2396.0700000000002</v>
      </c>
      <c r="AH172" s="36"/>
      <c r="AI172" s="124"/>
      <c r="AJ172" s="122" t="s">
        <v>4481</v>
      </c>
      <c r="AK172" s="129" t="str">
        <f t="shared" ca="1" si="29"/>
        <v>On Time</v>
      </c>
      <c r="AL172" s="268" t="str">
        <f t="shared" si="22"/>
        <v>December</v>
      </c>
      <c r="AM172" s="133">
        <f>YEAR(Table1[[#This Row],[ETA
As requested
dd.mm.yyyy]])</f>
        <v>2025</v>
      </c>
    </row>
    <row r="173" spans="1:39" hidden="1">
      <c r="A173" s="123" t="s">
        <v>59</v>
      </c>
      <c r="B173" s="36" t="s">
        <v>1170</v>
      </c>
      <c r="C173" s="117">
        <v>2521987</v>
      </c>
      <c r="D173" s="165">
        <v>45788</v>
      </c>
      <c r="E173" s="117" t="s">
        <v>71</v>
      </c>
      <c r="F173" s="36" t="str">
        <f>IFERROR(VLOOKUP(Table1[[#This Row],[Part Number]],DATABASE_FG!$C$6:D10162,2,FALSE)," ")</f>
        <v>EL. DRIVE (RIGHT) TURNTABLE, AL-4018-1RF</v>
      </c>
      <c r="G173" s="117" t="str">
        <f>IFERROR(_xlfn.XLOOKUP(Table1[[#This Row],[Part Number]],Table3[Part number],Table3[Drawing
 Revision]),"")</f>
        <v>A</v>
      </c>
      <c r="H173" s="118" cm="1">
        <f t="array" ref="H173">IFERROR(INDEX(PDB!$C:$AT,MATCH(E173,PDB!$B:$B,0),MATCH(YEAR(K173),0+PDB!$C$1:$AT$1,0)),"")</f>
        <v>519.12</v>
      </c>
      <c r="I173" s="36">
        <v>3</v>
      </c>
      <c r="J173" s="125">
        <f>IFERROR(Table1[[#This Row],[Quantity]]*Table1[[#This Row],[Price/Unit
EUR]]," ")</f>
        <v>1557.3600000000001</v>
      </c>
      <c r="K173" s="126">
        <v>45918</v>
      </c>
      <c r="L173" s="36">
        <f>WEEKNUM(Table1[[#This Row],[ETA
As requested
dd.mm.yyyy]])</f>
        <v>38</v>
      </c>
      <c r="M173" s="36">
        <f>YEAR(Table1[[#This Row],[ETA
As requested
dd.mm.yyyy]])</f>
        <v>2025</v>
      </c>
      <c r="N173" s="36">
        <f>IFERROR(INDEX(DATABASE_FG!$H$5:$H$367, MATCH(E173, DATABASE_FG!$C$5:$C$367, 0)), " ")</f>
        <v>0</v>
      </c>
      <c r="O173" s="129" t="str">
        <f>IF(E173&lt;&gt;"", _xlfn.XLOOKUP(E173, DATABASE_FG!C:C, DATABASE_FG!F:F), " ")</f>
        <v>EL. DRIVE (RIGHT) TURNTABLE, AL-4018-1RF</v>
      </c>
      <c r="P173" s="129">
        <f>IFERROR(INDEX(DATABASE_FG!$G$5:$G$367, MATCH(E173, DATABASE_FG!$C$5:$C$367, 0)), "Not Found")</f>
        <v>0</v>
      </c>
      <c r="Q173" s="36"/>
      <c r="R173" s="125" t="s">
        <v>680</v>
      </c>
      <c r="S173" s="123">
        <f>Table1[[#This Row],[Quantity]]/48</f>
        <v>6.25E-2</v>
      </c>
      <c r="T173" s="36"/>
      <c r="U173" s="36"/>
      <c r="V173" s="36"/>
      <c r="W173" s="129"/>
      <c r="X173" s="36"/>
      <c r="Y173" s="36"/>
      <c r="Z173" s="36"/>
      <c r="AA173" s="125" t="s">
        <v>121</v>
      </c>
      <c r="AB173" s="173">
        <v>45960</v>
      </c>
      <c r="AC173" s="119">
        <v>1</v>
      </c>
      <c r="AD173" s="36">
        <f t="shared" si="26"/>
        <v>2521987</v>
      </c>
      <c r="AE173" s="36" t="str">
        <f t="shared" si="27"/>
        <v>39-0388</v>
      </c>
      <c r="AF173" s="36">
        <v>3</v>
      </c>
      <c r="AG173" s="120">
        <f t="shared" si="28"/>
        <v>1557.3600000000001</v>
      </c>
      <c r="AH173" s="36"/>
      <c r="AI173" s="124"/>
      <c r="AJ173" s="122" t="s">
        <v>4481</v>
      </c>
      <c r="AK173" s="129" t="str">
        <f t="shared" ca="1" si="29"/>
        <v>Late</v>
      </c>
      <c r="AL173" s="268" t="str">
        <f t="shared" si="22"/>
        <v>September</v>
      </c>
      <c r="AM173" s="133">
        <f>YEAR(Table1[[#This Row],[ETA
As requested
dd.mm.yyyy]])</f>
        <v>2025</v>
      </c>
    </row>
    <row r="174" spans="1:39" hidden="1">
      <c r="A174" s="123" t="s">
        <v>59</v>
      </c>
      <c r="B174" s="36" t="s">
        <v>1170</v>
      </c>
      <c r="C174" s="117">
        <v>2521987</v>
      </c>
      <c r="D174" s="165">
        <v>45788</v>
      </c>
      <c r="E174" s="117" t="s">
        <v>71</v>
      </c>
      <c r="F174" s="36" t="str">
        <f>IFERROR(VLOOKUP(Table1[[#This Row],[Part Number]],DATABASE_FG!$C$6:D10163,2,FALSE)," ")</f>
        <v>EL. DRIVE (RIGHT) TURNTABLE, AL-4018-1RF</v>
      </c>
      <c r="G174" s="117" t="str">
        <f>IFERROR(_xlfn.XLOOKUP(Table1[[#This Row],[Part Number]],Table3[Part number],Table3[Drawing
 Revision]),"")</f>
        <v>A</v>
      </c>
      <c r="H174" s="118" cm="1">
        <f t="array" ref="H174">IFERROR(INDEX(PDB!$C:$AT,MATCH(E174,PDB!$B:$B,0),MATCH(YEAR(K174),0+PDB!$C$1:$AT$1,0)),"")</f>
        <v>519.12</v>
      </c>
      <c r="I174" s="36">
        <v>3</v>
      </c>
      <c r="J174" s="125">
        <f>IFERROR(Table1[[#This Row],[Quantity]]*Table1[[#This Row],[Price/Unit
EUR]]," ")</f>
        <v>1557.3600000000001</v>
      </c>
      <c r="K174" s="126">
        <v>46013</v>
      </c>
      <c r="L174" s="36">
        <f>WEEKNUM(Table1[[#This Row],[ETA
As requested
dd.mm.yyyy]])</f>
        <v>52</v>
      </c>
      <c r="M174" s="36">
        <f>YEAR(Table1[[#This Row],[ETA
As requested
dd.mm.yyyy]])</f>
        <v>2025</v>
      </c>
      <c r="N174" s="36">
        <f>IFERROR(INDEX(DATABASE_FG!$H$5:$H$367, MATCH(E174, DATABASE_FG!$C$5:$C$367, 0)), " ")</f>
        <v>0</v>
      </c>
      <c r="O174" s="129" t="str">
        <f>IF(E174&lt;&gt;"", _xlfn.XLOOKUP(E174, DATABASE_FG!C:C, DATABASE_FG!F:F), " ")</f>
        <v>EL. DRIVE (RIGHT) TURNTABLE, AL-4018-1RF</v>
      </c>
      <c r="P174" s="129">
        <f>IFERROR(INDEX(DATABASE_FG!$G$5:$G$367, MATCH(E174, DATABASE_FG!$C$5:$C$367, 0)), "Not Found")</f>
        <v>0</v>
      </c>
      <c r="Q174" s="36"/>
      <c r="R174" s="125" t="s">
        <v>680</v>
      </c>
      <c r="S174" s="123">
        <f>Table1[[#This Row],[Quantity]]/48</f>
        <v>6.25E-2</v>
      </c>
      <c r="T174" s="36"/>
      <c r="U174" s="36"/>
      <c r="V174" s="36"/>
      <c r="W174" s="129"/>
      <c r="X174" s="36"/>
      <c r="Y174" s="36"/>
      <c r="Z174" s="36"/>
      <c r="AA174" s="125" t="s">
        <v>121</v>
      </c>
      <c r="AB174" s="173">
        <v>45960</v>
      </c>
      <c r="AC174" s="119">
        <v>1</v>
      </c>
      <c r="AD174" s="36">
        <f t="shared" si="26"/>
        <v>2521987</v>
      </c>
      <c r="AE174" s="36" t="str">
        <f t="shared" si="27"/>
        <v>39-0388</v>
      </c>
      <c r="AF174" s="36">
        <v>3</v>
      </c>
      <c r="AG174" s="120">
        <f t="shared" si="28"/>
        <v>1557.3600000000001</v>
      </c>
      <c r="AH174" s="36"/>
      <c r="AI174" s="124"/>
      <c r="AJ174" s="122" t="s">
        <v>4481</v>
      </c>
      <c r="AK174" s="129" t="str">
        <f t="shared" ca="1" si="29"/>
        <v>On Time</v>
      </c>
      <c r="AL174" s="268" t="str">
        <f t="shared" si="22"/>
        <v>December</v>
      </c>
      <c r="AM174" s="133">
        <f>YEAR(Table1[[#This Row],[ETA
As requested
dd.mm.yyyy]])</f>
        <v>2025</v>
      </c>
    </row>
    <row r="175" spans="1:39" hidden="1">
      <c r="A175" s="123" t="s">
        <v>59</v>
      </c>
      <c r="B175" s="36" t="s">
        <v>1170</v>
      </c>
      <c r="C175" s="117">
        <v>2521987</v>
      </c>
      <c r="D175" s="165">
        <v>45788</v>
      </c>
      <c r="E175" s="117" t="s">
        <v>73</v>
      </c>
      <c r="F175" s="36" t="str">
        <f>IFERROR(VLOOKUP(Table1[[#This Row],[Part Number]],DATABASE_FG!$C$6:D10164,2,FALSE)," ")</f>
        <v>EL. DRIVEN (LEFT) TURNTABLE, AL-4018-1RF</v>
      </c>
      <c r="G175" s="117" t="str">
        <f>IFERROR(_xlfn.XLOOKUP(Table1[[#This Row],[Part Number]],Table3[Part number],Table3[Drawing
 Revision]),"")</f>
        <v>A</v>
      </c>
      <c r="H175" s="118" cm="1">
        <f t="array" ref="H175">IFERROR(INDEX(PDB!$C:$AT,MATCH(E175,PDB!$B:$B,0),MATCH(YEAR(K175),0+PDB!$C$1:$AT$1,0)),"")</f>
        <v>587.98</v>
      </c>
      <c r="I175" s="36">
        <v>3</v>
      </c>
      <c r="J175" s="125">
        <f>IFERROR(Table1[[#This Row],[Quantity]]*Table1[[#This Row],[Price/Unit
EUR]]," ")</f>
        <v>1763.94</v>
      </c>
      <c r="K175" s="126">
        <v>45918</v>
      </c>
      <c r="L175" s="36">
        <f>WEEKNUM(Table1[[#This Row],[ETA
As requested
dd.mm.yyyy]])</f>
        <v>38</v>
      </c>
      <c r="M175" s="36">
        <f>YEAR(Table1[[#This Row],[ETA
As requested
dd.mm.yyyy]])</f>
        <v>2025</v>
      </c>
      <c r="N175" s="36">
        <f>IFERROR(INDEX(DATABASE_FG!$H$5:$H$367, MATCH(E175, DATABASE_FG!$C$5:$C$367, 0)), " ")</f>
        <v>0</v>
      </c>
      <c r="O175" s="129" t="str">
        <f>IF(E175&lt;&gt;"", _xlfn.XLOOKUP(E175, DATABASE_FG!C:C, DATABASE_FG!F:F), " ")</f>
        <v xml:space="preserve"> EL. DRIVEN (LEFT) TURNTABLE, AL-4018-1RF</v>
      </c>
      <c r="P175" s="129">
        <f>IFERROR(INDEX(DATABASE_FG!$G$5:$G$367, MATCH(E175, DATABASE_FG!$C$5:$C$367, 0)), "Not Found")</f>
        <v>0</v>
      </c>
      <c r="Q175" s="36"/>
      <c r="R175" s="125" t="s">
        <v>680</v>
      </c>
      <c r="S175" s="123">
        <f>Table1[[#This Row],[Quantity]]/48</f>
        <v>6.25E-2</v>
      </c>
      <c r="T175" s="36"/>
      <c r="U175" s="36"/>
      <c r="V175" s="36"/>
      <c r="W175" s="129"/>
      <c r="X175" s="36"/>
      <c r="Y175" s="36"/>
      <c r="Z175" s="36"/>
      <c r="AA175" s="125" t="s">
        <v>3</v>
      </c>
      <c r="AB175" s="173"/>
      <c r="AC175" s="119"/>
      <c r="AD175" s="36" t="str">
        <f t="shared" si="26"/>
        <v/>
      </c>
      <c r="AE175" s="36" t="str">
        <f t="shared" si="27"/>
        <v/>
      </c>
      <c r="AF175" s="36"/>
      <c r="AG175" s="120">
        <f t="shared" si="28"/>
        <v>0</v>
      </c>
      <c r="AH175" s="36"/>
      <c r="AI175" s="124"/>
      <c r="AJ175" s="122"/>
      <c r="AK175" s="129" t="str">
        <f t="shared" ca="1" si="29"/>
        <v>Late</v>
      </c>
      <c r="AL175" s="268" t="str">
        <f t="shared" si="22"/>
        <v>September</v>
      </c>
      <c r="AM175" s="133">
        <f>YEAR(Table1[[#This Row],[ETA
As requested
dd.mm.yyyy]])</f>
        <v>2025</v>
      </c>
    </row>
    <row r="176" spans="1:39" hidden="1">
      <c r="A176" s="123" t="s">
        <v>59</v>
      </c>
      <c r="B176" s="36" t="s">
        <v>1170</v>
      </c>
      <c r="C176" s="117">
        <v>2521987</v>
      </c>
      <c r="D176" s="165">
        <v>45788</v>
      </c>
      <c r="E176" s="117" t="s">
        <v>73</v>
      </c>
      <c r="F176" s="36" t="str">
        <f>IFERROR(VLOOKUP(Table1[[#This Row],[Part Number]],DATABASE_FG!$C$6:D10165,2,FALSE)," ")</f>
        <v>EL. DRIVEN (LEFT) TURNTABLE, AL-4018-1RF</v>
      </c>
      <c r="G176" s="117" t="str">
        <f>IFERROR(_xlfn.XLOOKUP(Table1[[#This Row],[Part Number]],Table3[Part number],Table3[Drawing
 Revision]),"")</f>
        <v>A</v>
      </c>
      <c r="H176" s="118" cm="1">
        <f t="array" ref="H176">IFERROR(INDEX(PDB!$C:$AT,MATCH(E176,PDB!$B:$B,0),MATCH(YEAR(K176),0+PDB!$C$1:$AT$1,0)),"")</f>
        <v>587.98</v>
      </c>
      <c r="I176" s="36">
        <v>3</v>
      </c>
      <c r="J176" s="125">
        <f>IFERROR(Table1[[#This Row],[Quantity]]*Table1[[#This Row],[Price/Unit
EUR]]," ")</f>
        <v>1763.94</v>
      </c>
      <c r="K176" s="126">
        <v>46013</v>
      </c>
      <c r="L176" s="36">
        <f>WEEKNUM(Table1[[#This Row],[ETA
As requested
dd.mm.yyyy]])</f>
        <v>52</v>
      </c>
      <c r="M176" s="36">
        <f>YEAR(Table1[[#This Row],[ETA
As requested
dd.mm.yyyy]])</f>
        <v>2025</v>
      </c>
      <c r="N176" s="36">
        <f>IFERROR(INDEX(DATABASE_FG!$H$5:$H$367, MATCH(E176, DATABASE_FG!$C$5:$C$367, 0)), " ")</f>
        <v>0</v>
      </c>
      <c r="O176" s="129" t="str">
        <f>IF(E176&lt;&gt;"", _xlfn.XLOOKUP(E176, DATABASE_FG!C:C, DATABASE_FG!F:F), " ")</f>
        <v xml:space="preserve"> EL. DRIVEN (LEFT) TURNTABLE, AL-4018-1RF</v>
      </c>
      <c r="P176" s="129">
        <f>IFERROR(INDEX(DATABASE_FG!$G$5:$G$367, MATCH(E176, DATABASE_FG!$C$5:$C$367, 0)), "Not Found")</f>
        <v>0</v>
      </c>
      <c r="Q176" s="36"/>
      <c r="R176" s="125" t="s">
        <v>680</v>
      </c>
      <c r="S176" s="123">
        <f>Table1[[#This Row],[Quantity]]/48</f>
        <v>6.25E-2</v>
      </c>
      <c r="T176" s="36"/>
      <c r="U176" s="36"/>
      <c r="V176" s="36"/>
      <c r="W176" s="129"/>
      <c r="X176" s="36"/>
      <c r="Y176" s="36"/>
      <c r="Z176" s="36"/>
      <c r="AA176" s="125" t="s">
        <v>3</v>
      </c>
      <c r="AB176" s="173"/>
      <c r="AC176" s="119"/>
      <c r="AD176" s="36" t="str">
        <f t="shared" si="26"/>
        <v/>
      </c>
      <c r="AE176" s="36" t="str">
        <f t="shared" si="27"/>
        <v/>
      </c>
      <c r="AF176" s="36"/>
      <c r="AG176" s="120">
        <f t="shared" si="28"/>
        <v>0</v>
      </c>
      <c r="AH176" s="36"/>
      <c r="AI176" s="124"/>
      <c r="AJ176" s="122"/>
      <c r="AK176" s="129" t="str">
        <f t="shared" ca="1" si="29"/>
        <v/>
      </c>
      <c r="AL176" s="268" t="str">
        <f t="shared" si="22"/>
        <v>December</v>
      </c>
      <c r="AM176" s="133">
        <f>YEAR(Table1[[#This Row],[ETA
As requested
dd.mm.yyyy]])</f>
        <v>2025</v>
      </c>
    </row>
    <row r="177" spans="1:40" hidden="1">
      <c r="A177" s="123" t="s">
        <v>59</v>
      </c>
      <c r="B177" s="36" t="s">
        <v>1170</v>
      </c>
      <c r="C177" s="117">
        <v>2522449</v>
      </c>
      <c r="D177" s="165">
        <v>45827</v>
      </c>
      <c r="E177" s="117" t="s">
        <v>77</v>
      </c>
      <c r="F177" s="36" t="str">
        <f>IFERROR(VLOOKUP(Table1[[#This Row],[Part Number]],DATABASE_FG!$C$6:D10166,2,FALSE)," ")</f>
        <v>AXIS STEPPER DRIVER - COVER DRIP TYPE</v>
      </c>
      <c r="G177" s="117" t="str">
        <f>IFERROR(_xlfn.XLOOKUP(Table1[[#This Row],[Part Number]],Table3[Part number],Table3[Drawing
 Revision]),"")</f>
        <v>A</v>
      </c>
      <c r="H177" s="118" cm="1">
        <f t="array" ref="H177">IFERROR(INDEX(PDB!$C:$AT,MATCH(E177,PDB!$B:$B,0),MATCH(YEAR(K177),0+PDB!$C$1:$AT$1,0)),"")</f>
        <v>59.65</v>
      </c>
      <c r="I177" s="36">
        <v>49</v>
      </c>
      <c r="J177" s="125">
        <f>IFERROR(Table1[[#This Row],[Quantity]]*Table1[[#This Row],[Price/Unit
EUR]]," ")</f>
        <v>2922.85</v>
      </c>
      <c r="K177" s="126">
        <v>45918</v>
      </c>
      <c r="L177" s="36">
        <f>WEEKNUM(Table1[[#This Row],[ETA
As requested
dd.mm.yyyy]])</f>
        <v>38</v>
      </c>
      <c r="M177" s="36">
        <f>YEAR(Table1[[#This Row],[ETA
As requested
dd.mm.yyyy]])</f>
        <v>2025</v>
      </c>
      <c r="N177" s="36">
        <f>IFERROR(INDEX(DATABASE_FG!$H$5:$H$367, MATCH(E177, DATABASE_FG!$C$5:$C$367, 0)), " ")</f>
        <v>0</v>
      </c>
      <c r="O177" s="129" t="str">
        <f>IF(E177&lt;&gt;"", _xlfn.XLOOKUP(E177, DATABASE_FG!C:C, DATABASE_FG!F:F), " ")</f>
        <v>AXIS STEPPER DRIVER - COVER DRIP TYPE</v>
      </c>
      <c r="P177" s="129">
        <f>IFERROR(INDEX(DATABASE_FG!$G$5:$G$367, MATCH(E177, DATABASE_FG!$C$5:$C$367, 0)), "Not Found")</f>
        <v>0</v>
      </c>
      <c r="Q177" s="36"/>
      <c r="R177" s="125" t="s">
        <v>680</v>
      </c>
      <c r="S177" s="123">
        <f>Table1[[#This Row],[Quantity]]/48</f>
        <v>1.0208333333333333</v>
      </c>
      <c r="T177" s="36"/>
      <c r="U177" s="36"/>
      <c r="V177" s="36"/>
      <c r="W177" s="129"/>
      <c r="X177" s="36"/>
      <c r="Y177" s="36"/>
      <c r="Z177" s="36"/>
      <c r="AA177" s="125" t="s">
        <v>121</v>
      </c>
      <c r="AB177" s="173">
        <v>45930</v>
      </c>
      <c r="AC177" s="119"/>
      <c r="AD177" s="36" t="str">
        <f t="shared" si="26"/>
        <v/>
      </c>
      <c r="AE177" s="36" t="str">
        <f t="shared" si="27"/>
        <v/>
      </c>
      <c r="AF177" s="36">
        <v>49</v>
      </c>
      <c r="AG177" s="120">
        <f t="shared" si="28"/>
        <v>2922.85</v>
      </c>
      <c r="AH177" s="36"/>
      <c r="AI177" s="124" t="s">
        <v>4328</v>
      </c>
      <c r="AJ177" s="122" t="s">
        <v>3701</v>
      </c>
      <c r="AK177" s="129" t="str">
        <f t="shared" ca="1" si="29"/>
        <v>Late</v>
      </c>
      <c r="AL177" s="268" t="str">
        <f t="shared" si="22"/>
        <v>September</v>
      </c>
      <c r="AM177" s="133">
        <f>YEAR(Table1[[#This Row],[ETA
As requested
dd.mm.yyyy]])</f>
        <v>2025</v>
      </c>
    </row>
    <row r="178" spans="1:40" hidden="1">
      <c r="A178" s="123" t="s">
        <v>59</v>
      </c>
      <c r="B178" s="36" t="s">
        <v>1170</v>
      </c>
      <c r="C178" s="117">
        <v>2522449</v>
      </c>
      <c r="D178" s="165">
        <v>45827</v>
      </c>
      <c r="E178" s="117" t="s">
        <v>4428</v>
      </c>
      <c r="F178" s="36" t="str">
        <f>IFERROR(VLOOKUP(Table1[[#This Row],[Part Number]],DATABASE_FG!$C$6:D10167,2,FALSE)," ")</f>
        <v>MPT30VGX EL SHAFT MOTOR SIDE C.o.O</v>
      </c>
      <c r="G178" s="117" t="str">
        <f>IFERROR(_xlfn.XLOOKUP(Table1[[#This Row],[Part Number]],Table3[Part number],Table3[Drawing
 Revision]),"")</f>
        <v>-</v>
      </c>
      <c r="H178" s="118" cm="1">
        <f t="array" ref="H178">IFERROR(INDEX(PDB!$C:$AT,MATCH(E178,PDB!$B:$B,0),MATCH(YEAR(K178),0+PDB!$C$1:$AT$1,0)),"")</f>
        <v>76.72</v>
      </c>
      <c r="I178" s="36">
        <v>20</v>
      </c>
      <c r="J178" s="125">
        <f>IFERROR(Table1[[#This Row],[Quantity]]*Table1[[#This Row],[Price/Unit
EUR]]," ")</f>
        <v>1534.4</v>
      </c>
      <c r="K178" s="126">
        <v>45918</v>
      </c>
      <c r="L178" s="36">
        <f>WEEKNUM(Table1[[#This Row],[ETA
As requested
dd.mm.yyyy]])</f>
        <v>38</v>
      </c>
      <c r="M178" s="36">
        <f>YEAR(Table1[[#This Row],[ETA
As requested
dd.mm.yyyy]])</f>
        <v>2025</v>
      </c>
      <c r="N178" s="36">
        <f>IFERROR(INDEX(DATABASE_FG!$H$5:$H$367, MATCH(E178, DATABASE_FG!$C$5:$C$367, 0)), " ")</f>
        <v>0</v>
      </c>
      <c r="O178" s="129" t="str">
        <f>IF(E178&lt;&gt;"", _xlfn.XLOOKUP(E178, DATABASE_FG!C:C, DATABASE_FG!F:F), " ")</f>
        <v>MPT30VGX EL SHAFT MOTOR SIDE C.o.O</v>
      </c>
      <c r="P178" s="129">
        <f>IFERROR(INDEX(DATABASE_FG!$G$5:$G$367, MATCH(E178, DATABASE_FG!$C$5:$C$367, 0)), "Not Found")</f>
        <v>0</v>
      </c>
      <c r="Q178" s="36"/>
      <c r="R178" s="125" t="s">
        <v>680</v>
      </c>
      <c r="S178" s="123">
        <f>Table1[[#This Row],[Quantity]]/48</f>
        <v>0.41666666666666669</v>
      </c>
      <c r="T178" s="36"/>
      <c r="U178" s="36"/>
      <c r="V178" s="36"/>
      <c r="W178" s="129"/>
      <c r="X178" s="36"/>
      <c r="Y178" s="36"/>
      <c r="Z178" s="36"/>
      <c r="AA178" s="125" t="s">
        <v>121</v>
      </c>
      <c r="AB178" s="173">
        <v>45930</v>
      </c>
      <c r="AC178" s="119"/>
      <c r="AD178" s="36" t="str">
        <f t="shared" si="26"/>
        <v/>
      </c>
      <c r="AE178" s="36" t="str">
        <f t="shared" si="27"/>
        <v/>
      </c>
      <c r="AF178" s="36">
        <v>20</v>
      </c>
      <c r="AG178" s="120">
        <f t="shared" si="28"/>
        <v>1534.4</v>
      </c>
      <c r="AH178" s="36"/>
      <c r="AI178" s="124" t="s">
        <v>4328</v>
      </c>
      <c r="AJ178" s="122" t="s">
        <v>3701</v>
      </c>
      <c r="AK178" s="129" t="str">
        <f t="shared" ca="1" si="29"/>
        <v>Late</v>
      </c>
      <c r="AL178" s="268" t="str">
        <f t="shared" si="22"/>
        <v>September</v>
      </c>
      <c r="AM178" s="133">
        <f>YEAR(Table1[[#This Row],[ETA
As requested
dd.mm.yyyy]])</f>
        <v>2025</v>
      </c>
    </row>
    <row r="179" spans="1:40" hidden="1">
      <c r="A179" s="123" t="s">
        <v>59</v>
      </c>
      <c r="B179" s="36" t="s">
        <v>1170</v>
      </c>
      <c r="C179" s="117">
        <v>2522449</v>
      </c>
      <c r="D179" s="165">
        <v>45827</v>
      </c>
      <c r="E179" s="117" t="s">
        <v>4427</v>
      </c>
      <c r="F179" s="36" t="str">
        <f>IFERROR(VLOOKUP(Table1[[#This Row],[Part Number]],DATABASE_FG!$C$6:D10168,2,FALSE)," ")</f>
        <v>MPT30VGX EL SHAFT BUC SIDE C.o.O</v>
      </c>
      <c r="G179" s="117" t="str">
        <f>IFERROR(_xlfn.XLOOKUP(Table1[[#This Row],[Part Number]],Table3[Part number],Table3[Drawing
 Revision]),"")</f>
        <v>-</v>
      </c>
      <c r="H179" s="118" cm="1">
        <f t="array" ref="H179">IFERROR(INDEX(PDB!$C:$AT,MATCH(E179,PDB!$B:$B,0),MATCH(YEAR(K179),0+PDB!$C$1:$AT$1,0)),"")</f>
        <v>78.42</v>
      </c>
      <c r="I179" s="36">
        <v>20</v>
      </c>
      <c r="J179" s="125">
        <f>IFERROR(Table1[[#This Row],[Quantity]]*Table1[[#This Row],[Price/Unit
EUR]]," ")</f>
        <v>1568.4</v>
      </c>
      <c r="K179" s="126">
        <v>45918</v>
      </c>
      <c r="L179" s="36">
        <f>WEEKNUM(Table1[[#This Row],[ETA
As requested
dd.mm.yyyy]])</f>
        <v>38</v>
      </c>
      <c r="M179" s="36">
        <f>YEAR(Table1[[#This Row],[ETA
As requested
dd.mm.yyyy]])</f>
        <v>2025</v>
      </c>
      <c r="N179" s="36">
        <f>IFERROR(INDEX(DATABASE_FG!$H$5:$H$367, MATCH(E179, DATABASE_FG!$C$5:$C$367, 0)), " ")</f>
        <v>0</v>
      </c>
      <c r="O179" s="129" t="str">
        <f>IF(E179&lt;&gt;"", _xlfn.XLOOKUP(E179, DATABASE_FG!C:C, DATABASE_FG!F:F), " ")</f>
        <v>MPT30VGX EL SHAFT BUC SIDE C.o.O</v>
      </c>
      <c r="P179" s="129">
        <f>IFERROR(INDEX(DATABASE_FG!$G$5:$G$367, MATCH(E179, DATABASE_FG!$C$5:$C$367, 0)), "Not Found")</f>
        <v>0</v>
      </c>
      <c r="Q179" s="36"/>
      <c r="R179" s="125" t="s">
        <v>680</v>
      </c>
      <c r="S179" s="123">
        <f>Table1[[#This Row],[Quantity]]/48</f>
        <v>0.41666666666666669</v>
      </c>
      <c r="T179" s="36"/>
      <c r="U179" s="36"/>
      <c r="V179" s="36"/>
      <c r="W179" s="129"/>
      <c r="X179" s="36"/>
      <c r="Y179" s="36"/>
      <c r="Z179" s="36"/>
      <c r="AA179" s="125" t="s">
        <v>121</v>
      </c>
      <c r="AB179" s="173">
        <v>45930</v>
      </c>
      <c r="AC179" s="119"/>
      <c r="AD179" s="36" t="str">
        <f t="shared" si="26"/>
        <v/>
      </c>
      <c r="AE179" s="36" t="str">
        <f t="shared" si="27"/>
        <v/>
      </c>
      <c r="AF179" s="36">
        <v>20</v>
      </c>
      <c r="AG179" s="120">
        <f t="shared" si="28"/>
        <v>1568.4</v>
      </c>
      <c r="AH179" s="36"/>
      <c r="AI179" s="124" t="s">
        <v>4328</v>
      </c>
      <c r="AJ179" s="122" t="s">
        <v>3701</v>
      </c>
      <c r="AK179" s="129" t="str">
        <f t="shared" ca="1" si="29"/>
        <v>Late</v>
      </c>
      <c r="AL179" s="268" t="str">
        <f t="shared" si="22"/>
        <v>September</v>
      </c>
      <c r="AM179" s="133">
        <f>YEAR(Table1[[#This Row],[ETA
As requested
dd.mm.yyyy]])</f>
        <v>2025</v>
      </c>
    </row>
    <row r="180" spans="1:40" hidden="1">
      <c r="A180" s="123" t="s">
        <v>59</v>
      </c>
      <c r="B180" s="36" t="s">
        <v>1170</v>
      </c>
      <c r="C180" s="117">
        <v>2522449</v>
      </c>
      <c r="D180" s="165">
        <v>45827</v>
      </c>
      <c r="E180" s="117" t="s">
        <v>81</v>
      </c>
      <c r="F180" s="36" t="str">
        <f>IFERROR(VLOOKUP(Table1[[#This Row],[Part Number]],DATABASE_FG!$C$6:D10169,2,FALSE)," ")</f>
        <v>BOTTOM COVER VGX KPSU</v>
      </c>
      <c r="G180" s="117" t="str">
        <f>IFERROR(_xlfn.XLOOKUP(Table1[[#This Row],[Part Number]],Table3[Part number],Table3[Drawing
 Revision]),"")</f>
        <v>-</v>
      </c>
      <c r="H180" s="118" cm="1">
        <f t="array" ref="H180">IFERROR(INDEX(PDB!$C:$AT,MATCH(E180,PDB!$B:$B,0),MATCH(YEAR(K180),0+PDB!$C$1:$AT$1,0)),"")</f>
        <v>72.63</v>
      </c>
      <c r="I180" s="36">
        <v>33</v>
      </c>
      <c r="J180" s="125">
        <f>IFERROR(Table1[[#This Row],[Quantity]]*Table1[[#This Row],[Price/Unit
EUR]]," ")</f>
        <v>2396.79</v>
      </c>
      <c r="K180" s="126">
        <v>45918</v>
      </c>
      <c r="L180" s="36">
        <f>WEEKNUM(Table1[[#This Row],[ETA
As requested
dd.mm.yyyy]])</f>
        <v>38</v>
      </c>
      <c r="M180" s="36">
        <f>YEAR(Table1[[#This Row],[ETA
As requested
dd.mm.yyyy]])</f>
        <v>2025</v>
      </c>
      <c r="N180" s="36">
        <f>IFERROR(INDEX(DATABASE_FG!$H$5:$H$367, MATCH(E180, DATABASE_FG!$C$5:$C$367, 0)), " ")</f>
        <v>0</v>
      </c>
      <c r="O180" s="129" t="str">
        <f>IF(E180&lt;&gt;"", _xlfn.XLOOKUP(E180, DATABASE_FG!C:C, DATABASE_FG!F:F), " ")</f>
        <v>BOTTOM COVER VGX KPSU</v>
      </c>
      <c r="P180" s="129">
        <f>IFERROR(INDEX(DATABASE_FG!$G$5:$G$367, MATCH(E180, DATABASE_FG!$C$5:$C$367, 0)), "Not Found")</f>
        <v>0</v>
      </c>
      <c r="Q180" s="36"/>
      <c r="R180" s="125" t="s">
        <v>680</v>
      </c>
      <c r="S180" s="123">
        <f>Table1[[#This Row],[Quantity]]/48</f>
        <v>0.6875</v>
      </c>
      <c r="T180" s="36"/>
      <c r="U180" s="36"/>
      <c r="V180" s="36"/>
      <c r="W180" s="129"/>
      <c r="X180" s="36"/>
      <c r="Y180" s="36"/>
      <c r="Z180" s="36"/>
      <c r="AA180" s="125" t="s">
        <v>121</v>
      </c>
      <c r="AB180" s="173">
        <v>45930</v>
      </c>
      <c r="AC180" s="119"/>
      <c r="AD180" s="36" t="str">
        <f t="shared" si="26"/>
        <v/>
      </c>
      <c r="AE180" s="36" t="str">
        <f t="shared" si="27"/>
        <v/>
      </c>
      <c r="AF180" s="36">
        <v>33</v>
      </c>
      <c r="AG180" s="120">
        <f t="shared" si="28"/>
        <v>2396.79</v>
      </c>
      <c r="AH180" s="36"/>
      <c r="AI180" s="124" t="s">
        <v>4328</v>
      </c>
      <c r="AJ180" s="122" t="s">
        <v>3701</v>
      </c>
      <c r="AK180" s="129" t="str">
        <f t="shared" ca="1" si="29"/>
        <v>Late</v>
      </c>
      <c r="AL180" s="268" t="str">
        <f t="shared" si="22"/>
        <v>September</v>
      </c>
      <c r="AM180" s="133">
        <f>YEAR(Table1[[#This Row],[ETA
As requested
dd.mm.yyyy]])</f>
        <v>2025</v>
      </c>
    </row>
    <row r="181" spans="1:40" hidden="1">
      <c r="A181" s="123" t="s">
        <v>655</v>
      </c>
      <c r="B181" s="36" t="s">
        <v>1170</v>
      </c>
      <c r="C181" s="117" t="s">
        <v>1742</v>
      </c>
      <c r="D181" s="165"/>
      <c r="E181" s="117" t="s">
        <v>1743</v>
      </c>
      <c r="F181" s="36" t="str">
        <f>IFERROR(VLOOKUP(Table1[[#This Row],[Part Number]],DATABASE_FG!$C$6:D10170,2,FALSE)," ")</f>
        <v>BUTTERFLY ASSY</v>
      </c>
      <c r="G181" s="117">
        <f>IFERROR(_xlfn.XLOOKUP(Table1[[#This Row],[Part Number]],Table3[Part number],Table3[Drawing
 Revision]),"")</f>
        <v>43854</v>
      </c>
      <c r="H181" s="118" t="str" cm="1">
        <f t="array" ref="H181">IFERROR(INDEX(PDB!$C:$AT,MATCH(E181,PDB!$B:$B,0),MATCH(YEAR(K181),0+PDB!$C$1:$AT$1,0)),"")</f>
        <v/>
      </c>
      <c r="I181" s="36">
        <v>5</v>
      </c>
      <c r="J181" s="125" t="str">
        <f>IFERROR(Table1[[#This Row],[Quantity]]*Table1[[#This Row],[Price/Unit
EUR]]," ")</f>
        <v xml:space="preserve"> </v>
      </c>
      <c r="K181" s="173">
        <v>45472</v>
      </c>
      <c r="L181" s="36">
        <f>WEEKNUM(Table1[[#This Row],[ETA
As requested
dd.mm.yyyy]])</f>
        <v>26</v>
      </c>
      <c r="M181" s="36">
        <f>YEAR(Table1[[#This Row],[ETA
As requested
dd.mm.yyyy]])</f>
        <v>2024</v>
      </c>
      <c r="N181" s="36">
        <f>IFERROR(INDEX(DATABASE_FG!$H$5:$H$367, MATCH(E181, DATABASE_FG!$C$5:$C$367, 0)), " ")</f>
        <v>0</v>
      </c>
      <c r="O181" s="129" t="str">
        <f>IF(E181&lt;&gt;"", _xlfn.XLOOKUP(E181, DATABASE_FG!C:C, DATABASE_FG!F:F), " ")</f>
        <v>BUTTERFLY</v>
      </c>
      <c r="P181" s="129">
        <f>IFERROR(INDEX(DATABASE_FG!$G$5:$G$367, MATCH(E181, DATABASE_FG!$C$5:$C$367, 0)), "Not Found")</f>
        <v>150</v>
      </c>
      <c r="Q181" s="36"/>
      <c r="R181" s="125" t="s">
        <v>680</v>
      </c>
      <c r="S181" s="123">
        <f>IFERROR(INDEX(DATABASE_FG!$L$5:$L$367, MATCH(E181, DATABASE_FG!$C$5:$C$367, 0)), " ")</f>
        <v>56</v>
      </c>
      <c r="T181" s="36" t="s">
        <v>677</v>
      </c>
      <c r="U181" s="36"/>
      <c r="V181" s="36"/>
      <c r="W181" s="129"/>
      <c r="X181" s="36"/>
      <c r="Y181" s="36"/>
      <c r="Z181" s="36"/>
      <c r="AA181" s="125" t="s">
        <v>121</v>
      </c>
      <c r="AB181" s="173"/>
      <c r="AC181" s="119"/>
      <c r="AD181" s="36" t="str">
        <f t="shared" si="26"/>
        <v/>
      </c>
      <c r="AE181" s="36" t="str">
        <f t="shared" si="27"/>
        <v/>
      </c>
      <c r="AF181" s="36">
        <v>0</v>
      </c>
      <c r="AG181" s="120" t="e">
        <f t="shared" si="28"/>
        <v>#VALUE!</v>
      </c>
      <c r="AH181" s="36"/>
      <c r="AI181" s="124"/>
      <c r="AJ181" s="122"/>
      <c r="AK181" s="129" t="str">
        <f t="shared" ca="1" si="29"/>
        <v>Late</v>
      </c>
      <c r="AL181" s="268" t="str">
        <f t="shared" si="22"/>
        <v>June</v>
      </c>
      <c r="AM181" s="133">
        <f>YEAR(Table1[[#This Row],[ETA
As requested
dd.mm.yyyy]])</f>
        <v>2024</v>
      </c>
      <c r="AN181" s="191"/>
    </row>
    <row r="182" spans="1:40" hidden="1">
      <c r="A182" s="123" t="s">
        <v>57</v>
      </c>
      <c r="B182" s="36" t="s">
        <v>1170</v>
      </c>
      <c r="C182" s="117" t="s">
        <v>3676</v>
      </c>
      <c r="D182" s="165">
        <v>45813</v>
      </c>
      <c r="E182" s="117" t="s">
        <v>3677</v>
      </c>
      <c r="F182" s="36" t="str">
        <f>IFERROR(VLOOKUP(Table1[[#This Row],[Part Number]],DATABASE_FG!$C$6:D10171,2,FALSE)," ")</f>
        <v>BALL</v>
      </c>
      <c r="G182" s="117" t="str">
        <f>IFERROR(_xlfn.XLOOKUP(Table1[[#This Row],[Part Number]],Table3[Part number],Table3[Drawing
 Revision]),"")</f>
        <v>B</v>
      </c>
      <c r="H182" s="118" cm="1">
        <f t="array" ref="H182">IFERROR(INDEX(PDB!$C:$AT,MATCH(E182,PDB!$B:$B,0),MATCH(YEAR(K182),0+PDB!$C$1:$AT$1,0)),"")</f>
        <v>2247.44</v>
      </c>
      <c r="I182" s="36">
        <v>5</v>
      </c>
      <c r="J182" s="125">
        <f>IFERROR(Table1[[#This Row],[Quantity]]*Table1[[#This Row],[Price/Unit
EUR]]," ")</f>
        <v>11237.2</v>
      </c>
      <c r="K182" s="126">
        <v>45915</v>
      </c>
      <c r="L182" s="36">
        <f>WEEKNUM(Table1[[#This Row],[ETA
As requested
dd.mm.yyyy]])</f>
        <v>38</v>
      </c>
      <c r="M182" s="36">
        <f>YEAR(Table1[[#This Row],[ETA
As requested
dd.mm.yyyy]])</f>
        <v>2025</v>
      </c>
      <c r="N182" s="36">
        <f>IFERROR(INDEX(DATABASE_FG!$H$5:$H$367, MATCH(E182, DATABASE_FG!$C$5:$C$367, 0)), " ")</f>
        <v>0</v>
      </c>
      <c r="O182" s="129" t="str">
        <f>IF(E182&lt;&gt;"", _xlfn.XLOOKUP(E182, DATABASE_FG!C:C, DATABASE_FG!F:F), " ")</f>
        <v>BALL</v>
      </c>
      <c r="P182" s="129">
        <f>IFERROR(INDEX(DATABASE_FG!$G$5:$G$367, MATCH(E182, DATABASE_FG!$C$5:$C$367, 0)), "Not Found")</f>
        <v>0</v>
      </c>
      <c r="Q182" s="36"/>
      <c r="R182" s="125" t="s">
        <v>680</v>
      </c>
      <c r="S182" s="123">
        <f>Table1[[#This Row],[Quantity]]/48</f>
        <v>0.10416666666666667</v>
      </c>
      <c r="T182" s="36"/>
      <c r="U182" s="36"/>
      <c r="V182" s="36"/>
      <c r="W182" s="129"/>
      <c r="X182" s="36"/>
      <c r="Y182" s="36"/>
      <c r="Z182" s="36"/>
      <c r="AA182" s="125" t="s">
        <v>121</v>
      </c>
      <c r="AB182" s="173">
        <v>45916</v>
      </c>
      <c r="AC182" s="119">
        <v>251157</v>
      </c>
      <c r="AD182" s="36" t="str">
        <f t="shared" si="26"/>
        <v>9F0002312</v>
      </c>
      <c r="AE182" s="36" t="str">
        <f t="shared" si="27"/>
        <v>7028-1101-00</v>
      </c>
      <c r="AF182" s="36">
        <v>5</v>
      </c>
      <c r="AG182" s="120">
        <f t="shared" si="28"/>
        <v>11237.2</v>
      </c>
      <c r="AH182" s="36"/>
      <c r="AI182" s="124"/>
      <c r="AJ182" s="122"/>
      <c r="AK182" s="129" t="str">
        <f t="shared" ca="1" si="29"/>
        <v>On Time</v>
      </c>
      <c r="AL182" s="268" t="str">
        <f t="shared" si="22"/>
        <v>September</v>
      </c>
      <c r="AM182" s="133">
        <f>YEAR(Table1[[#This Row],[ETA
As requested
dd.mm.yyyy]])</f>
        <v>2025</v>
      </c>
    </row>
    <row r="183" spans="1:40" hidden="1">
      <c r="A183" s="123" t="s">
        <v>57</v>
      </c>
      <c r="B183" s="36" t="s">
        <v>1170</v>
      </c>
      <c r="C183" s="117" t="s">
        <v>2975</v>
      </c>
      <c r="D183" s="165">
        <v>45473</v>
      </c>
      <c r="E183" s="117" t="s">
        <v>445</v>
      </c>
      <c r="F183" s="36" t="str">
        <f>IFERROR(VLOOKUP(Table1[[#This Row],[Part Number]],DATABASE_FG!$C$6:D10172,2,FALSE)," ")</f>
        <v>LEFT ROCKER</v>
      </c>
      <c r="G183" s="117" t="str">
        <f>IFERROR(_xlfn.XLOOKUP(Table1[[#This Row],[Part Number]],Table3[Part number],Table3[Drawing
 Revision]),"")</f>
        <v>C</v>
      </c>
      <c r="H183" s="118" cm="1">
        <f t="array" ref="H183">IFERROR(INDEX(PDB!$C:$AT,MATCH(E183,PDB!$B:$B,0),MATCH(YEAR(K183),0+PDB!$C$1:$AT$1,0)),"")</f>
        <v>123.71</v>
      </c>
      <c r="I183" s="36">
        <v>6</v>
      </c>
      <c r="J183" s="125">
        <f>IFERROR(Table1[[#This Row],[Quantity]]*Table1[[#This Row],[Price/Unit
EUR]]," ")</f>
        <v>742.26</v>
      </c>
      <c r="K183" s="126">
        <v>45736</v>
      </c>
      <c r="L183" s="36">
        <f>WEEKNUM(Table1[[#This Row],[ETA
As requested
dd.mm.yyyy]])</f>
        <v>12</v>
      </c>
      <c r="M183" s="36">
        <f>YEAR(Table1[[#This Row],[ETA
As requested
dd.mm.yyyy]])</f>
        <v>2025</v>
      </c>
      <c r="N183" s="36">
        <f>IFERROR(INDEX(DATABASE_FG!$H$5:$H$367, MATCH(E183, DATABASE_FG!$C$5:$C$367, 0)), " ")</f>
        <v>0</v>
      </c>
      <c r="O183" s="129" t="str">
        <f>IF(E183&lt;&gt;"", _xlfn.XLOOKUP(E183, DATABASE_FG!C:C, DATABASE_FG!F:F), " ")</f>
        <v>Left Rocker</v>
      </c>
      <c r="P183" s="129">
        <f>IFERROR(INDEX(DATABASE_FG!$G$5:$G$367, MATCH(E183, DATABASE_FG!$C$5:$C$367, 0)), "Not Found")</f>
        <v>0</v>
      </c>
      <c r="Q183" s="36"/>
      <c r="R183" s="125" t="s">
        <v>680</v>
      </c>
      <c r="S183" s="123">
        <f>Table1[[#This Row],[Quantity]]/48</f>
        <v>0.125</v>
      </c>
      <c r="T183" s="36" t="s">
        <v>677</v>
      </c>
      <c r="U183" s="36"/>
      <c r="V183" s="36"/>
      <c r="W183" s="129"/>
      <c r="X183" s="36"/>
      <c r="Y183" s="36"/>
      <c r="Z183" s="36"/>
      <c r="AA183" s="125" t="s">
        <v>121</v>
      </c>
      <c r="AB183" s="173">
        <v>45630</v>
      </c>
      <c r="AC183" s="119">
        <v>202401471</v>
      </c>
      <c r="AD183" s="36" t="str">
        <f t="shared" si="26"/>
        <v>9F0001830</v>
      </c>
      <c r="AE183" s="36" t="str">
        <f t="shared" si="27"/>
        <v>7028-1111-20</v>
      </c>
      <c r="AF183" s="36">
        <v>6</v>
      </c>
      <c r="AG183" s="120">
        <f t="shared" si="28"/>
        <v>742.26</v>
      </c>
      <c r="AH183" s="36"/>
      <c r="AI183" s="124"/>
      <c r="AJ183" s="122" t="s">
        <v>2976</v>
      </c>
      <c r="AK183" s="129" t="str">
        <f t="shared" ca="1" si="29"/>
        <v>On Time</v>
      </c>
      <c r="AL183" s="268" t="str">
        <f t="shared" si="22"/>
        <v>March</v>
      </c>
      <c r="AM183" s="133">
        <f>YEAR(Table1[[#This Row],[ETA
As requested
dd.mm.yyyy]])</f>
        <v>2025</v>
      </c>
    </row>
    <row r="184" spans="1:40" hidden="1">
      <c r="A184" s="123" t="s">
        <v>57</v>
      </c>
      <c r="B184" s="36" t="s">
        <v>1170</v>
      </c>
      <c r="C184" s="117" t="s">
        <v>2975</v>
      </c>
      <c r="D184" s="165">
        <v>45473</v>
      </c>
      <c r="E184" s="117" t="s">
        <v>445</v>
      </c>
      <c r="F184" s="36" t="str">
        <f>IFERROR(VLOOKUP(Table1[[#This Row],[Part Number]],DATABASE_FG!$C$6:D10173,2,FALSE)," ")</f>
        <v>LEFT ROCKER</v>
      </c>
      <c r="G184" s="117" t="str">
        <f>IFERROR(_xlfn.XLOOKUP(Table1[[#This Row],[Part Number]],Table3[Part number],Table3[Drawing
 Revision]),"")</f>
        <v>C</v>
      </c>
      <c r="H184" s="118" cm="1">
        <f t="array" ref="H184">IFERROR(INDEX(PDB!$C:$AT,MATCH(E184,PDB!$B:$B,0),MATCH(YEAR(K184),0+PDB!$C$1:$AT$1,0)),"")</f>
        <v>123.71</v>
      </c>
      <c r="I184" s="36">
        <v>94</v>
      </c>
      <c r="J184" s="125">
        <f>IFERROR(Table1[[#This Row],[Quantity]]*Table1[[#This Row],[Price/Unit
EUR]]," ")</f>
        <v>11628.74</v>
      </c>
      <c r="K184" s="126">
        <v>45745</v>
      </c>
      <c r="L184" s="36">
        <f>WEEKNUM(Table1[[#This Row],[ETA
As requested
dd.mm.yyyy]])</f>
        <v>13</v>
      </c>
      <c r="M184" s="36">
        <f>YEAR(Table1[[#This Row],[ETA
As requested
dd.mm.yyyy]])</f>
        <v>2025</v>
      </c>
      <c r="N184" s="36">
        <f>IFERROR(INDEX(DATABASE_FG!$H$5:$H$367, MATCH(E184, DATABASE_FG!$C$5:$C$367, 0)), " ")</f>
        <v>0</v>
      </c>
      <c r="O184" s="129" t="str">
        <f>IF(E184&lt;&gt;"", _xlfn.XLOOKUP(E184, DATABASE_FG!C:C, DATABASE_FG!F:F), " ")</f>
        <v>Left Rocker</v>
      </c>
      <c r="P184" s="129">
        <f>IFERROR(INDEX(DATABASE_FG!$G$5:$G$367, MATCH(E184, DATABASE_FG!$C$5:$C$367, 0)), "Not Found")</f>
        <v>0</v>
      </c>
      <c r="Q184" s="36"/>
      <c r="R184" s="125" t="s">
        <v>680</v>
      </c>
      <c r="S184" s="123">
        <f>Table1[[#This Row],[Quantity]]/48</f>
        <v>1.9583333333333333</v>
      </c>
      <c r="T184" s="36" t="s">
        <v>677</v>
      </c>
      <c r="U184" s="36"/>
      <c r="V184" s="36"/>
      <c r="W184" s="129"/>
      <c r="X184" s="36"/>
      <c r="Y184" s="36"/>
      <c r="Z184" s="36"/>
      <c r="AA184" s="125" t="s">
        <v>3</v>
      </c>
      <c r="AB184" s="173"/>
      <c r="AC184" s="119"/>
      <c r="AD184" s="36" t="str">
        <f t="shared" si="26"/>
        <v/>
      </c>
      <c r="AE184" s="36" t="str">
        <f t="shared" si="27"/>
        <v/>
      </c>
      <c r="AF184" s="36"/>
      <c r="AG184" s="120">
        <f t="shared" si="28"/>
        <v>0</v>
      </c>
      <c r="AH184" s="36"/>
      <c r="AI184" s="124"/>
      <c r="AJ184" s="122"/>
      <c r="AK184" s="129" t="str">
        <f t="shared" ca="1" si="29"/>
        <v>Late</v>
      </c>
      <c r="AL184" s="268" t="str">
        <f t="shared" si="22"/>
        <v>March</v>
      </c>
      <c r="AM184" s="133">
        <f>YEAR(Table1[[#This Row],[ETA
As requested
dd.mm.yyyy]])</f>
        <v>2025</v>
      </c>
    </row>
    <row r="185" spans="1:40" hidden="1">
      <c r="A185" s="123" t="s">
        <v>57</v>
      </c>
      <c r="B185" s="36" t="s">
        <v>1170</v>
      </c>
      <c r="C185" s="117" t="s">
        <v>2975</v>
      </c>
      <c r="D185" s="165">
        <v>45473</v>
      </c>
      <c r="E185" s="117" t="s">
        <v>3022</v>
      </c>
      <c r="F185" s="36" t="str">
        <f>IFERROR(VLOOKUP(Table1[[#This Row],[Part Number]],DATABASE_FG!$C$6:D10174,2,FALSE)," ")</f>
        <v>Right Rocker</v>
      </c>
      <c r="G185" s="117" t="str">
        <f>IFERROR(_xlfn.XLOOKUP(Table1[[#This Row],[Part Number]],Table3[Part number],Table3[Drawing
 Revision]),"")</f>
        <v>A</v>
      </c>
      <c r="H185" s="118" cm="1">
        <f t="array" ref="H185">IFERROR(INDEX(PDB!$C:$AT,MATCH(E185,PDB!$B:$B,0),MATCH(YEAR(K185),0+PDB!$C$1:$AT$1,0)),"")</f>
        <v>115</v>
      </c>
      <c r="I185" s="36">
        <v>94</v>
      </c>
      <c r="J185" s="125">
        <f>IFERROR(Table1[[#This Row],[Quantity]]*Table1[[#This Row],[Price/Unit
EUR]]," ")</f>
        <v>10810</v>
      </c>
      <c r="K185" s="126">
        <v>45745</v>
      </c>
      <c r="L185" s="36">
        <f>WEEKNUM(Table1[[#This Row],[ETA
As requested
dd.mm.yyyy]])</f>
        <v>13</v>
      </c>
      <c r="M185" s="36">
        <f>YEAR(Table1[[#This Row],[ETA
As requested
dd.mm.yyyy]])</f>
        <v>2025</v>
      </c>
      <c r="N185" s="36">
        <f>IFERROR(INDEX(DATABASE_FG!$H$5:$H$367, MATCH(E185, DATABASE_FG!$C$5:$C$367, 0)), " ")</f>
        <v>0</v>
      </c>
      <c r="O185" s="129" t="str">
        <f>IF(E185&lt;&gt;"", _xlfn.XLOOKUP(E185, DATABASE_FG!C:C, DATABASE_FG!F:F), " ")</f>
        <v>Right Rocker</v>
      </c>
      <c r="P185" s="129">
        <f>IFERROR(INDEX(DATABASE_FG!$G$5:$G$367, MATCH(E185, DATABASE_FG!$C$5:$C$367, 0)), "Not Found")</f>
        <v>0</v>
      </c>
      <c r="Q185" s="36"/>
      <c r="R185" s="125" t="s">
        <v>680</v>
      </c>
      <c r="S185" s="123">
        <f>Table1[[#This Row],[Quantity]]/48</f>
        <v>1.9583333333333333</v>
      </c>
      <c r="T185" s="36"/>
      <c r="U185" s="36"/>
      <c r="V185" s="36"/>
      <c r="W185" s="129"/>
      <c r="X185" s="36"/>
      <c r="Y185" s="36"/>
      <c r="Z185" s="36"/>
      <c r="AA185" s="125" t="s">
        <v>3</v>
      </c>
      <c r="AB185" s="173"/>
      <c r="AC185" s="119"/>
      <c r="AD185" s="36" t="str">
        <f t="shared" si="26"/>
        <v/>
      </c>
      <c r="AE185" s="36" t="str">
        <f t="shared" si="27"/>
        <v/>
      </c>
      <c r="AF185" s="36"/>
      <c r="AG185" s="120">
        <f t="shared" si="28"/>
        <v>0</v>
      </c>
      <c r="AH185" s="36"/>
      <c r="AI185" s="124"/>
      <c r="AJ185" s="122"/>
      <c r="AK185" s="129" t="str">
        <f t="shared" ref="AK185:AK216" ca="1" si="30">IF(AB185="", IF(K185 &lt; TODAY(), "Late", ""), IF(AB185 &lt;= K185 + 2, "On Time", "Late"))</f>
        <v>Late</v>
      </c>
      <c r="AL185" s="268" t="str">
        <f t="shared" si="22"/>
        <v>March</v>
      </c>
      <c r="AM185" s="133">
        <f>YEAR(Table1[[#This Row],[ETA
As requested
dd.mm.yyyy]])</f>
        <v>2025</v>
      </c>
    </row>
    <row r="186" spans="1:40" ht="15.75" hidden="1">
      <c r="A186" s="123" t="s">
        <v>57</v>
      </c>
      <c r="B186" s="36" t="s">
        <v>1170</v>
      </c>
      <c r="C186" s="117" t="s">
        <v>2975</v>
      </c>
      <c r="D186" s="165">
        <v>45473</v>
      </c>
      <c r="E186" s="117" t="s">
        <v>3022</v>
      </c>
      <c r="F186" s="36" t="str">
        <f>IFERROR(VLOOKUP(Table1[[#This Row],[Part Number]],DATABASE_FG!$C$6:D10175,2,FALSE)," ")</f>
        <v>Right Rocker</v>
      </c>
      <c r="G186" s="117" t="str">
        <f>IFERROR(_xlfn.XLOOKUP(Table1[[#This Row],[Part Number]],Table3[Part number],Table3[Drawing
 Revision]),"")</f>
        <v>A</v>
      </c>
      <c r="H186" s="118" cm="1">
        <f t="array" ref="H186">IFERROR(INDEX(PDB!$C:$AT,MATCH(E186,PDB!$B:$B,0),MATCH(YEAR(K186),0+PDB!$C$1:$AT$1,0)),"")</f>
        <v>115</v>
      </c>
      <c r="I186" s="36">
        <v>6</v>
      </c>
      <c r="J186" s="125">
        <f>IFERROR(Table1[[#This Row],[Quantity]]*Table1[[#This Row],[Price/Unit
EUR]]," ")</f>
        <v>690</v>
      </c>
      <c r="K186" s="126">
        <v>45889</v>
      </c>
      <c r="L186" s="36">
        <f>WEEKNUM(Table1[[#This Row],[ETA
As requested
dd.mm.yyyy]])</f>
        <v>34</v>
      </c>
      <c r="M186" s="36">
        <f>YEAR(Table1[[#This Row],[ETA
As requested
dd.mm.yyyy]])</f>
        <v>2025</v>
      </c>
      <c r="N186" s="36">
        <f>IFERROR(INDEX(DATABASE_FG!$H$5:$H$367, MATCH(E186, DATABASE_FG!$C$5:$C$367, 0)), " ")</f>
        <v>0</v>
      </c>
      <c r="O186" s="129" t="str">
        <f>IF(E186&lt;&gt;"", _xlfn.XLOOKUP(E186, DATABASE_FG!C:C, DATABASE_FG!F:F), " ")</f>
        <v>Right Rocker</v>
      </c>
      <c r="P186" s="129">
        <f>IFERROR(INDEX(DATABASE_FG!$G$5:$G$367, MATCH(E186, DATABASE_FG!$C$5:$C$367, 0)), "Not Found")</f>
        <v>0</v>
      </c>
      <c r="Q186" s="36"/>
      <c r="R186" s="125" t="s">
        <v>680</v>
      </c>
      <c r="S186" s="123">
        <f>Table1[[#This Row],[Quantity]]/48</f>
        <v>0.125</v>
      </c>
      <c r="T186" s="36" t="s">
        <v>677</v>
      </c>
      <c r="U186" s="36"/>
      <c r="V186" s="36"/>
      <c r="W186" s="129"/>
      <c r="X186" s="36"/>
      <c r="Y186" s="36" t="s">
        <v>680</v>
      </c>
      <c r="Z186" s="36"/>
      <c r="AA186" s="125" t="s">
        <v>121</v>
      </c>
      <c r="AB186" s="173">
        <v>45610</v>
      </c>
      <c r="AC186" s="119">
        <v>202401384</v>
      </c>
      <c r="AD186" s="36" t="str">
        <f t="shared" si="26"/>
        <v>9F0001830</v>
      </c>
      <c r="AE186" s="36" t="str">
        <f t="shared" si="27"/>
        <v>7028-1151-00</v>
      </c>
      <c r="AF186" s="36">
        <v>6</v>
      </c>
      <c r="AG186" s="120">
        <f t="shared" si="28"/>
        <v>690</v>
      </c>
      <c r="AH186" s="36"/>
      <c r="AI186" s="124"/>
      <c r="AJ186" s="122" t="s">
        <v>3588</v>
      </c>
      <c r="AK186" s="129" t="str">
        <f t="shared" ca="1" si="30"/>
        <v>On Time</v>
      </c>
      <c r="AL186" s="268" t="str">
        <f t="shared" si="22"/>
        <v>August</v>
      </c>
      <c r="AM186" s="133">
        <f>YEAR(Table1[[#This Row],[ETA
As requested
dd.mm.yyyy]])</f>
        <v>2025</v>
      </c>
    </row>
    <row r="187" spans="1:40" hidden="1">
      <c r="A187" s="123" t="s">
        <v>57</v>
      </c>
      <c r="B187" s="36" t="s">
        <v>1170</v>
      </c>
      <c r="C187" s="117" t="s">
        <v>2975</v>
      </c>
      <c r="D187" s="165">
        <v>45473</v>
      </c>
      <c r="E187" s="117" t="s">
        <v>535</v>
      </c>
      <c r="F187" s="36" t="str">
        <f>IFERROR(VLOOKUP(Table1[[#This Row],[Part Number]],DATABASE_FG!$C$6:D10176,2,FALSE)," ")</f>
        <v>Right Rocker Lock Outer</v>
      </c>
      <c r="G187" s="117" t="str">
        <f>IFERROR(_xlfn.XLOOKUP(Table1[[#This Row],[Part Number]],Table3[Part number],Table3[Drawing
 Revision]),"")</f>
        <v>A</v>
      </c>
      <c r="H187" s="118" cm="1">
        <f t="array" ref="H187">IFERROR(INDEX(PDB!$C:$AT,MATCH(E187,PDB!$B:$B,0),MATCH(YEAR(K187),0+PDB!$C$1:$AT$1,0)),"")</f>
        <v>129.94</v>
      </c>
      <c r="I187" s="36">
        <v>94</v>
      </c>
      <c r="J187" s="125">
        <f>IFERROR(Table1[[#This Row],[Quantity]]*Table1[[#This Row],[Price/Unit
EUR]]," ")</f>
        <v>12214.36</v>
      </c>
      <c r="K187" s="126">
        <v>45745</v>
      </c>
      <c r="L187" s="36">
        <f>WEEKNUM(Table1[[#This Row],[ETA
As requested
dd.mm.yyyy]])</f>
        <v>13</v>
      </c>
      <c r="M187" s="36">
        <f>YEAR(Table1[[#This Row],[ETA
As requested
dd.mm.yyyy]])</f>
        <v>2025</v>
      </c>
      <c r="N187" s="36">
        <f>IFERROR(INDEX(DATABASE_FG!$H$5:$H$367, MATCH(E187, DATABASE_FG!$C$5:$C$367, 0)), " ")</f>
        <v>0</v>
      </c>
      <c r="O187" s="129" t="str">
        <f>IF(E187&lt;&gt;"", _xlfn.XLOOKUP(E187, DATABASE_FG!C:C, DATABASE_FG!F:F), " ")</f>
        <v>Right Rocker Lock Outer</v>
      </c>
      <c r="P187" s="129">
        <f>IFERROR(INDEX(DATABASE_FG!$G$5:$G$367, MATCH(E187, DATABASE_FG!$C$5:$C$367, 0)), "Not Found")</f>
        <v>0</v>
      </c>
      <c r="Q187" s="36"/>
      <c r="R187" s="125" t="s">
        <v>680</v>
      </c>
      <c r="S187" s="123">
        <f>Table1[[#This Row],[Quantity]]/48</f>
        <v>1.9583333333333333</v>
      </c>
      <c r="T187" s="36"/>
      <c r="U187" s="36"/>
      <c r="V187" s="36"/>
      <c r="W187" s="129"/>
      <c r="X187" s="36"/>
      <c r="Y187" s="36"/>
      <c r="Z187" s="36"/>
      <c r="AA187" s="125" t="s">
        <v>3</v>
      </c>
      <c r="AB187" s="173"/>
      <c r="AC187" s="119"/>
      <c r="AD187" s="36" t="str">
        <f t="shared" si="26"/>
        <v/>
      </c>
      <c r="AE187" s="36" t="str">
        <f t="shared" si="27"/>
        <v/>
      </c>
      <c r="AF187" s="36"/>
      <c r="AG187" s="120">
        <f t="shared" si="28"/>
        <v>0</v>
      </c>
      <c r="AH187" s="36"/>
      <c r="AI187" s="124"/>
      <c r="AJ187" s="122"/>
      <c r="AK187" s="129" t="str">
        <f t="shared" ca="1" si="30"/>
        <v>Late</v>
      </c>
      <c r="AL187" s="268" t="str">
        <f t="shared" si="22"/>
        <v>March</v>
      </c>
      <c r="AM187" s="133">
        <f>YEAR(Table1[[#This Row],[ETA
As requested
dd.mm.yyyy]])</f>
        <v>2025</v>
      </c>
    </row>
    <row r="188" spans="1:40" hidden="1">
      <c r="A188" s="123" t="s">
        <v>57</v>
      </c>
      <c r="B188" s="36" t="s">
        <v>1170</v>
      </c>
      <c r="C188" s="117" t="s">
        <v>2975</v>
      </c>
      <c r="D188" s="165">
        <v>45473</v>
      </c>
      <c r="E188" s="117" t="s">
        <v>535</v>
      </c>
      <c r="F188" s="36" t="str">
        <f>IFERROR(VLOOKUP(Table1[[#This Row],[Part Number]],DATABASE_FG!$C$6:D10177,2,FALSE)," ")</f>
        <v>Right Rocker Lock Outer</v>
      </c>
      <c r="G188" s="117" t="str">
        <f>IFERROR(_xlfn.XLOOKUP(Table1[[#This Row],[Part Number]],Table3[Part number],Table3[Drawing
 Revision]),"")</f>
        <v>A</v>
      </c>
      <c r="H188" s="118" cm="1">
        <f t="array" ref="H188">IFERROR(INDEX(PDB!$C:$AT,MATCH(E188,PDB!$B:$B,0),MATCH(YEAR(K188),0+PDB!$C$1:$AT$1,0)),"")</f>
        <v>129.94</v>
      </c>
      <c r="I188" s="36">
        <v>6</v>
      </c>
      <c r="J188" s="125">
        <f>IFERROR(Table1[[#This Row],[Quantity]]*Table1[[#This Row],[Price/Unit
EUR]]," ")</f>
        <v>779.64</v>
      </c>
      <c r="K188" s="126">
        <v>45889</v>
      </c>
      <c r="L188" s="36">
        <f>WEEKNUM(Table1[[#This Row],[ETA
As requested
dd.mm.yyyy]])</f>
        <v>34</v>
      </c>
      <c r="M188" s="36">
        <f>YEAR(Table1[[#This Row],[ETA
As requested
dd.mm.yyyy]])</f>
        <v>2025</v>
      </c>
      <c r="N188" s="36">
        <f>IFERROR(INDEX(DATABASE_FG!$H$5:$H$367, MATCH(E188, DATABASE_FG!$C$5:$C$367, 0)), " ")</f>
        <v>0</v>
      </c>
      <c r="O188" s="129" t="str">
        <f>IF(E188&lt;&gt;"", _xlfn.XLOOKUP(E188, DATABASE_FG!C:C, DATABASE_FG!F:F), " ")</f>
        <v>Right Rocker Lock Outer</v>
      </c>
      <c r="P188" s="129">
        <f>IFERROR(INDEX(DATABASE_FG!$G$5:$G$367, MATCH(E188, DATABASE_FG!$C$5:$C$367, 0)), "Not Found")</f>
        <v>0</v>
      </c>
      <c r="Q188" s="36"/>
      <c r="R188" s="125" t="s">
        <v>680</v>
      </c>
      <c r="S188" s="123">
        <f>Table1[[#This Row],[Quantity]]/48</f>
        <v>0.125</v>
      </c>
      <c r="T188" s="36"/>
      <c r="U188" s="36"/>
      <c r="V188" s="36"/>
      <c r="W188" s="129"/>
      <c r="X188" s="36"/>
      <c r="Y188" s="36"/>
      <c r="Z188" s="36"/>
      <c r="AA188" s="125" t="s">
        <v>121</v>
      </c>
      <c r="AB188" s="173">
        <v>45646</v>
      </c>
      <c r="AC188" s="119">
        <v>202401582</v>
      </c>
      <c r="AD188" s="36" t="str">
        <f t="shared" si="26"/>
        <v>9F0001830</v>
      </c>
      <c r="AE188" s="36" t="str">
        <f t="shared" si="27"/>
        <v>7028-1152-00</v>
      </c>
      <c r="AF188" s="36">
        <v>6</v>
      </c>
      <c r="AG188" s="120">
        <f t="shared" si="28"/>
        <v>779.64</v>
      </c>
      <c r="AH188" s="36"/>
      <c r="AI188" s="124"/>
      <c r="AJ188" s="122" t="s">
        <v>3591</v>
      </c>
      <c r="AK188" s="129" t="str">
        <f t="shared" ca="1" si="30"/>
        <v>On Time</v>
      </c>
      <c r="AL188" s="268" t="str">
        <f t="shared" si="22"/>
        <v>August</v>
      </c>
      <c r="AM188" s="133">
        <f>YEAR(Table1[[#This Row],[ETA
As requested
dd.mm.yyyy]])</f>
        <v>2025</v>
      </c>
    </row>
    <row r="189" spans="1:40" hidden="1">
      <c r="A189" s="123" t="s">
        <v>57</v>
      </c>
      <c r="B189" s="36" t="s">
        <v>1170</v>
      </c>
      <c r="C189" s="117" t="s">
        <v>2975</v>
      </c>
      <c r="D189" s="165">
        <v>45473</v>
      </c>
      <c r="E189" s="117" t="s">
        <v>3025</v>
      </c>
      <c r="F189" s="36" t="str">
        <f>IFERROR(VLOOKUP(Table1[[#This Row],[Part Number]],DATABASE_FG!$C$6:D10178,2,FALSE)," ")</f>
        <v>RIGHT ROCKER LOCK INNER</v>
      </c>
      <c r="G189" s="117" t="str">
        <f>IFERROR(_xlfn.XLOOKUP(Table1[[#This Row],[Part Number]],Table3[Part number],Table3[Drawing
 Revision]),"")</f>
        <v>A</v>
      </c>
      <c r="H189" s="118" cm="1">
        <f t="array" ref="H189">IFERROR(INDEX(PDB!$C:$AT,MATCH(E189,PDB!$B:$B,0),MATCH(YEAR(K189),0+PDB!$C$1:$AT$1,0)),"")</f>
        <v>138.18</v>
      </c>
      <c r="I189" s="36">
        <v>94</v>
      </c>
      <c r="J189" s="125">
        <f>IFERROR(Table1[[#This Row],[Quantity]]*Table1[[#This Row],[Price/Unit
EUR]]," ")</f>
        <v>12988.92</v>
      </c>
      <c r="K189" s="126">
        <v>45745</v>
      </c>
      <c r="L189" s="36">
        <f>WEEKNUM(Table1[[#This Row],[ETA
As requested
dd.mm.yyyy]])</f>
        <v>13</v>
      </c>
      <c r="M189" s="36">
        <f>YEAR(Table1[[#This Row],[ETA
As requested
dd.mm.yyyy]])</f>
        <v>2025</v>
      </c>
      <c r="N189" s="36">
        <f>IFERROR(INDEX(DATABASE_FG!$H$5:$H$367, MATCH(E189, DATABASE_FG!$C$5:$C$367, 0)), " ")</f>
        <v>0</v>
      </c>
      <c r="O189" s="129" t="str">
        <f>IF(E189&lt;&gt;"", _xlfn.XLOOKUP(E189, DATABASE_FG!C:C, DATABASE_FG!F:F), " ")</f>
        <v>RIGHT ROCKER LOCK INNER</v>
      </c>
      <c r="P189" s="129">
        <f>IFERROR(INDEX(DATABASE_FG!$G$5:$G$367, MATCH(E189, DATABASE_FG!$C$5:$C$367, 0)), "Not Found")</f>
        <v>0</v>
      </c>
      <c r="Q189" s="36"/>
      <c r="R189" s="125" t="s">
        <v>680</v>
      </c>
      <c r="S189" s="123">
        <f>Table1[[#This Row],[Quantity]]/48</f>
        <v>1.9583333333333333</v>
      </c>
      <c r="T189" s="36"/>
      <c r="U189" s="36"/>
      <c r="V189" s="36"/>
      <c r="W189" s="129"/>
      <c r="X189" s="36"/>
      <c r="Y189" s="36"/>
      <c r="Z189" s="36"/>
      <c r="AA189" s="125" t="s">
        <v>3</v>
      </c>
      <c r="AB189" s="173"/>
      <c r="AC189" s="119"/>
      <c r="AD189" s="36" t="str">
        <f t="shared" si="26"/>
        <v/>
      </c>
      <c r="AE189" s="36" t="str">
        <f t="shared" si="27"/>
        <v/>
      </c>
      <c r="AF189" s="36"/>
      <c r="AG189" s="120">
        <f t="shared" si="28"/>
        <v>0</v>
      </c>
      <c r="AH189" s="36"/>
      <c r="AI189" s="124"/>
      <c r="AJ189" s="122"/>
      <c r="AK189" s="129" t="str">
        <f t="shared" ca="1" si="30"/>
        <v>Late</v>
      </c>
      <c r="AL189" s="268" t="str">
        <f t="shared" si="22"/>
        <v>March</v>
      </c>
      <c r="AM189" s="133">
        <f>YEAR(Table1[[#This Row],[ETA
As requested
dd.mm.yyyy]])</f>
        <v>2025</v>
      </c>
    </row>
    <row r="190" spans="1:40" hidden="1">
      <c r="A190" s="123" t="s">
        <v>57</v>
      </c>
      <c r="B190" s="36" t="s">
        <v>1170</v>
      </c>
      <c r="C190" s="117" t="s">
        <v>2975</v>
      </c>
      <c r="D190" s="165">
        <v>45473</v>
      </c>
      <c r="E190" s="117" t="s">
        <v>3025</v>
      </c>
      <c r="F190" s="36" t="str">
        <f>IFERROR(VLOOKUP(Table1[[#This Row],[Part Number]],DATABASE_FG!$C$6:D10179,2,FALSE)," ")</f>
        <v>RIGHT ROCKER LOCK INNER</v>
      </c>
      <c r="G190" s="117" t="str">
        <f>IFERROR(_xlfn.XLOOKUP(Table1[[#This Row],[Part Number]],Table3[Part number],Table3[Drawing
 Revision]),"")</f>
        <v>A</v>
      </c>
      <c r="H190" s="118" cm="1">
        <f t="array" ref="H190">IFERROR(INDEX(PDB!$C:$AT,MATCH(E190,PDB!$B:$B,0),MATCH(YEAR(K190),0+PDB!$C$1:$AT$1,0)),"")</f>
        <v>138.18</v>
      </c>
      <c r="I190" s="36">
        <v>6</v>
      </c>
      <c r="J190" s="125">
        <f>IFERROR(Table1[[#This Row],[Quantity]]*Table1[[#This Row],[Price/Unit
EUR]]," ")</f>
        <v>829.08</v>
      </c>
      <c r="K190" s="126">
        <v>45889</v>
      </c>
      <c r="L190" s="36">
        <f>WEEKNUM(Table1[[#This Row],[ETA
As requested
dd.mm.yyyy]])</f>
        <v>34</v>
      </c>
      <c r="M190" s="36">
        <f>YEAR(Table1[[#This Row],[ETA
As requested
dd.mm.yyyy]])</f>
        <v>2025</v>
      </c>
      <c r="N190" s="36">
        <f>IFERROR(INDEX(DATABASE_FG!$H$5:$H$367, MATCH(E190, DATABASE_FG!$C$5:$C$367, 0)), " ")</f>
        <v>0</v>
      </c>
      <c r="O190" s="129" t="str">
        <f>IF(E190&lt;&gt;"", _xlfn.XLOOKUP(E190, DATABASE_FG!C:C, DATABASE_FG!F:F), " ")</f>
        <v>RIGHT ROCKER LOCK INNER</v>
      </c>
      <c r="P190" s="129">
        <f>IFERROR(INDEX(DATABASE_FG!$G$5:$G$367, MATCH(E190, DATABASE_FG!$C$5:$C$367, 0)), "Not Found")</f>
        <v>0</v>
      </c>
      <c r="Q190" s="36"/>
      <c r="R190" s="125" t="s">
        <v>680</v>
      </c>
      <c r="S190" s="123">
        <f>Table1[[#This Row],[Quantity]]/48</f>
        <v>0.125</v>
      </c>
      <c r="T190" s="36"/>
      <c r="U190" s="36"/>
      <c r="V190" s="36"/>
      <c r="W190" s="129"/>
      <c r="X190" s="36"/>
      <c r="Y190" s="36"/>
      <c r="Z190" s="36"/>
      <c r="AA190" s="125" t="s">
        <v>121</v>
      </c>
      <c r="AB190" s="173">
        <v>45646</v>
      </c>
      <c r="AC190" s="119">
        <v>202401583</v>
      </c>
      <c r="AD190" s="36" t="str">
        <f t="shared" si="26"/>
        <v>9F0001830</v>
      </c>
      <c r="AE190" s="36" t="str">
        <f t="shared" si="27"/>
        <v>7028-1153-00</v>
      </c>
      <c r="AF190" s="36">
        <v>6</v>
      </c>
      <c r="AG190" s="120">
        <f t="shared" si="28"/>
        <v>829.08</v>
      </c>
      <c r="AH190" s="36"/>
      <c r="AI190" s="124"/>
      <c r="AJ190" s="122" t="s">
        <v>3592</v>
      </c>
      <c r="AK190" s="129" t="str">
        <f t="shared" ca="1" si="30"/>
        <v>On Time</v>
      </c>
      <c r="AL190" s="268" t="str">
        <f t="shared" si="22"/>
        <v>August</v>
      </c>
      <c r="AM190" s="133">
        <f>YEAR(Table1[[#This Row],[ETA
As requested
dd.mm.yyyy]])</f>
        <v>2025</v>
      </c>
    </row>
    <row r="191" spans="1:40" hidden="1">
      <c r="A191" s="123" t="s">
        <v>57</v>
      </c>
      <c r="B191" s="36" t="s">
        <v>1170</v>
      </c>
      <c r="C191" s="117" t="s">
        <v>3676</v>
      </c>
      <c r="D191" s="165">
        <v>45813</v>
      </c>
      <c r="E191" s="117" t="s">
        <v>3678</v>
      </c>
      <c r="F191" s="36" t="str">
        <f>IFERROR(VLOOKUP(Table1[[#This Row],[Part Number]],DATABASE_FG!$C$6:D10180,2,FALSE)," ")</f>
        <v>MAIN BODY - FRONT</v>
      </c>
      <c r="G191" s="117" t="str">
        <f>IFERROR(_xlfn.XLOOKUP(Table1[[#This Row],[Part Number]],Table3[Part number],Table3[Drawing
 Revision]),"")</f>
        <v>05</v>
      </c>
      <c r="H191" s="118" cm="1">
        <f t="array" ref="H191">IFERROR(INDEX(PDB!$C:$AT,MATCH(E191,PDB!$B:$B,0),MATCH(YEAR(K191),0+PDB!$C$1:$AT$1,0)),"")</f>
        <v>793.79</v>
      </c>
      <c r="I191" s="36">
        <v>5</v>
      </c>
      <c r="J191" s="125">
        <f>IFERROR(Table1[[#This Row],[Quantity]]*Table1[[#This Row],[Price/Unit
EUR]]," ")</f>
        <v>3968.95</v>
      </c>
      <c r="K191" s="126">
        <v>45915</v>
      </c>
      <c r="L191" s="36">
        <f>WEEKNUM(Table1[[#This Row],[ETA
As requested
dd.mm.yyyy]])</f>
        <v>38</v>
      </c>
      <c r="M191" s="36">
        <f>YEAR(Table1[[#This Row],[ETA
As requested
dd.mm.yyyy]])</f>
        <v>2025</v>
      </c>
      <c r="N191" s="36">
        <f>IFERROR(INDEX(DATABASE_FG!$H$5:$H$367, MATCH(E191, DATABASE_FG!$C$5:$C$367, 0)), " ")</f>
        <v>0</v>
      </c>
      <c r="O191" s="129" t="str">
        <f>IF(E191&lt;&gt;"", _xlfn.XLOOKUP(E191, DATABASE_FG!C:C, DATABASE_FG!F:F), " ")</f>
        <v>MAIN BODY - FRONT</v>
      </c>
      <c r="P191" s="129">
        <f>IFERROR(INDEX(DATABASE_FG!$G$5:$G$367, MATCH(E191, DATABASE_FG!$C$5:$C$367, 0)), "Not Found")</f>
        <v>0</v>
      </c>
      <c r="Q191" s="36"/>
      <c r="R191" s="125" t="s">
        <v>680</v>
      </c>
      <c r="S191" s="123">
        <f>Table1[[#This Row],[Quantity]]/48</f>
        <v>0.10416666666666667</v>
      </c>
      <c r="T191" s="36"/>
      <c r="U191" s="36"/>
      <c r="V191" s="36"/>
      <c r="W191" s="129"/>
      <c r="X191" s="36"/>
      <c r="Y191" s="36"/>
      <c r="Z191" s="36"/>
      <c r="AA191" s="125" t="s">
        <v>3</v>
      </c>
      <c r="AB191" s="173"/>
      <c r="AC191" s="119"/>
      <c r="AD191" s="36" t="str">
        <f t="shared" si="26"/>
        <v/>
      </c>
      <c r="AE191" s="36" t="str">
        <f t="shared" si="27"/>
        <v/>
      </c>
      <c r="AF191" s="36"/>
      <c r="AG191" s="120">
        <f t="shared" si="28"/>
        <v>0</v>
      </c>
      <c r="AH191" s="36"/>
      <c r="AI191" s="124"/>
      <c r="AJ191" s="122"/>
      <c r="AK191" s="129" t="str">
        <f t="shared" ca="1" si="30"/>
        <v>Late</v>
      </c>
      <c r="AL191" s="268" t="str">
        <f t="shared" si="22"/>
        <v>September</v>
      </c>
      <c r="AM191" s="133">
        <f>YEAR(Table1[[#This Row],[ETA
As requested
dd.mm.yyyy]])</f>
        <v>2025</v>
      </c>
    </row>
    <row r="192" spans="1:40" hidden="1">
      <c r="A192" s="123" t="s">
        <v>57</v>
      </c>
      <c r="B192" s="36" t="s">
        <v>1170</v>
      </c>
      <c r="C192" s="117" t="s">
        <v>3676</v>
      </c>
      <c r="D192" s="165">
        <v>45813</v>
      </c>
      <c r="E192" s="117" t="s">
        <v>3679</v>
      </c>
      <c r="F192" s="36" t="str">
        <f>IFERROR(VLOOKUP(Table1[[#This Row],[Part Number]],DATABASE_FG!$C$6:D10181,2,FALSE)," ")</f>
        <v>MAIN BODY - FRONT</v>
      </c>
      <c r="G192" s="117" t="str">
        <f>IFERROR(_xlfn.XLOOKUP(Table1[[#This Row],[Part Number]],Table3[Part number],Table3[Drawing
 Revision]),"")</f>
        <v>B</v>
      </c>
      <c r="H192" s="118" cm="1">
        <f t="array" ref="H192">IFERROR(INDEX(PDB!$C:$AT,MATCH(E192,PDB!$B:$B,0),MATCH(YEAR(K192),0+PDB!$C$1:$AT$1,0)),"")</f>
        <v>793.79</v>
      </c>
      <c r="I192" s="36">
        <v>0</v>
      </c>
      <c r="J192" s="125">
        <f>IFERROR(Table1[[#This Row],[Quantity]]*Table1[[#This Row],[Price/Unit
EUR]]," ")</f>
        <v>0</v>
      </c>
      <c r="K192" s="126">
        <v>45915</v>
      </c>
      <c r="L192" s="36">
        <f>WEEKNUM(Table1[[#This Row],[ETA
As requested
dd.mm.yyyy]])</f>
        <v>38</v>
      </c>
      <c r="M192" s="36">
        <f>YEAR(Table1[[#This Row],[ETA
As requested
dd.mm.yyyy]])</f>
        <v>2025</v>
      </c>
      <c r="N192" s="36">
        <f>IFERROR(INDEX(DATABASE_FG!$H$5:$H$367, MATCH(E192, DATABASE_FG!$C$5:$C$367, 0)), " ")</f>
        <v>0</v>
      </c>
      <c r="O192" s="129" t="str">
        <f>IF(E192&lt;&gt;"", _xlfn.XLOOKUP(E192, DATABASE_FG!C:C, DATABASE_FG!F:F), " ")</f>
        <v>MAIN BODY - FRONT</v>
      </c>
      <c r="P192" s="129">
        <f>IFERROR(INDEX(DATABASE_FG!$G$5:$G$367, MATCH(E192, DATABASE_FG!$C$5:$C$367, 0)), "Not Found")</f>
        <v>0</v>
      </c>
      <c r="Q192" s="36"/>
      <c r="R192" s="125" t="s">
        <v>680</v>
      </c>
      <c r="S192" s="123">
        <f>Table1[[#This Row],[Quantity]]/48</f>
        <v>0</v>
      </c>
      <c r="T192" s="36"/>
      <c r="U192" s="36"/>
      <c r="V192" s="36"/>
      <c r="W192" s="129"/>
      <c r="X192" s="36"/>
      <c r="Y192" s="36"/>
      <c r="Z192" s="36"/>
      <c r="AA192" s="125" t="s">
        <v>121</v>
      </c>
      <c r="AB192" s="173">
        <f>Table1[[#This Row],[ETA
As requested
dd.mm.yyyy]]</f>
        <v>45915</v>
      </c>
      <c r="AC192" s="119"/>
      <c r="AD192" s="36" t="str">
        <f t="shared" si="26"/>
        <v/>
      </c>
      <c r="AE192" s="36" t="str">
        <f t="shared" si="27"/>
        <v/>
      </c>
      <c r="AF192" s="36"/>
      <c r="AG192" s="120">
        <f t="shared" si="28"/>
        <v>0</v>
      </c>
      <c r="AH192" s="36"/>
      <c r="AI192" s="124"/>
      <c r="AJ192" s="122"/>
      <c r="AK192" s="129" t="str">
        <f t="shared" ca="1" si="30"/>
        <v>On Time</v>
      </c>
      <c r="AL192" s="268" t="str">
        <f t="shared" si="22"/>
        <v>September</v>
      </c>
      <c r="AM192" s="133">
        <f>YEAR(Table1[[#This Row],[ETA
As requested
dd.mm.yyyy]])</f>
        <v>2025</v>
      </c>
    </row>
    <row r="193" spans="1:39" hidden="1">
      <c r="A193" s="123" t="s">
        <v>57</v>
      </c>
      <c r="B193" s="36" t="s">
        <v>1170</v>
      </c>
      <c r="C193" s="117" t="s">
        <v>3676</v>
      </c>
      <c r="D193" s="165">
        <v>45813</v>
      </c>
      <c r="E193" s="117" t="s">
        <v>3680</v>
      </c>
      <c r="F193" s="36" t="str">
        <f>IFERROR(VLOOKUP(Table1[[#This Row],[Part Number]],DATABASE_FG!$C$6:D10182,2,FALSE)," ")</f>
        <v>MAIN BODY - REAR</v>
      </c>
      <c r="G193" s="117" t="str">
        <f>IFERROR(_xlfn.XLOOKUP(Table1[[#This Row],[Part Number]],Table3[Part number],Table3[Drawing
 Revision]),"")</f>
        <v>F</v>
      </c>
      <c r="H193" s="118" cm="1">
        <f t="array" ref="H193">IFERROR(INDEX(PDB!$C:$AT,MATCH(E193,PDB!$B:$B,0),MATCH(YEAR(K193),0+PDB!$C$1:$AT$1,0)),"")</f>
        <v>2078.66</v>
      </c>
      <c r="I193" s="36">
        <v>0</v>
      </c>
      <c r="J193" s="125">
        <f>IFERROR(Table1[[#This Row],[Quantity]]*Table1[[#This Row],[Price/Unit
EUR]]," ")</f>
        <v>0</v>
      </c>
      <c r="K193" s="126">
        <v>45915</v>
      </c>
      <c r="L193" s="36">
        <f>WEEKNUM(Table1[[#This Row],[ETA
As requested
dd.mm.yyyy]])</f>
        <v>38</v>
      </c>
      <c r="M193" s="36">
        <f>YEAR(Table1[[#This Row],[ETA
As requested
dd.mm.yyyy]])</f>
        <v>2025</v>
      </c>
      <c r="N193" s="36">
        <f>IFERROR(INDEX(DATABASE_FG!$H$5:$H$367, MATCH(E193, DATABASE_FG!$C$5:$C$367, 0)), " ")</f>
        <v>0</v>
      </c>
      <c r="O193" s="129" t="str">
        <f>IF(E193&lt;&gt;"", _xlfn.XLOOKUP(E193, DATABASE_FG!C:C, DATABASE_FG!F:F), " ")</f>
        <v>MAIN BODY - REAR</v>
      </c>
      <c r="P193" s="129">
        <f>IFERROR(INDEX(DATABASE_FG!$G$5:$G$367, MATCH(E193, DATABASE_FG!$C$5:$C$367, 0)), "Not Found")</f>
        <v>0</v>
      </c>
      <c r="Q193" s="36"/>
      <c r="R193" s="125" t="s">
        <v>680</v>
      </c>
      <c r="S193" s="123">
        <f>Table1[[#This Row],[Quantity]]/48</f>
        <v>0</v>
      </c>
      <c r="T193" s="36"/>
      <c r="U193" s="36"/>
      <c r="V193" s="36"/>
      <c r="W193" s="129"/>
      <c r="X193" s="36"/>
      <c r="Y193" s="36"/>
      <c r="Z193" s="36"/>
      <c r="AA193" s="125" t="s">
        <v>121</v>
      </c>
      <c r="AB193" s="173">
        <f>Table1[[#This Row],[ETA
As requested
dd.mm.yyyy]]</f>
        <v>45915</v>
      </c>
      <c r="AC193" s="119"/>
      <c r="AD193" s="36" t="str">
        <f t="shared" si="26"/>
        <v/>
      </c>
      <c r="AE193" s="36" t="str">
        <f t="shared" si="27"/>
        <v/>
      </c>
      <c r="AF193" s="36"/>
      <c r="AG193" s="120">
        <f t="shared" si="28"/>
        <v>0</v>
      </c>
      <c r="AH193" s="36"/>
      <c r="AI193" s="124"/>
      <c r="AJ193" s="122"/>
      <c r="AK193" s="129" t="str">
        <f t="shared" ca="1" si="30"/>
        <v>On Time</v>
      </c>
      <c r="AL193" s="268" t="str">
        <f t="shared" si="22"/>
        <v>September</v>
      </c>
      <c r="AM193" s="133">
        <f>YEAR(Table1[[#This Row],[ETA
As requested
dd.mm.yyyy]])</f>
        <v>2025</v>
      </c>
    </row>
    <row r="194" spans="1:39" hidden="1">
      <c r="A194" s="123" t="s">
        <v>57</v>
      </c>
      <c r="B194" s="36" t="s">
        <v>1170</v>
      </c>
      <c r="C194" s="117" t="s">
        <v>3676</v>
      </c>
      <c r="D194" s="165">
        <v>45813</v>
      </c>
      <c r="E194" s="117" t="s">
        <v>3681</v>
      </c>
      <c r="F194" s="36" t="str">
        <f>IFERROR(VLOOKUP(Table1[[#This Row],[Part Number]],DATABASE_FG!$C$6:D10183,2,FALSE)," ")</f>
        <v>MAIN BODY - REAR AL</v>
      </c>
      <c r="G194" s="117" t="str">
        <f>IFERROR(_xlfn.XLOOKUP(Table1[[#This Row],[Part Number]],Table3[Part number],Table3[Drawing
 Revision]),"")</f>
        <v>02</v>
      </c>
      <c r="H194" s="118" cm="1">
        <f t="array" ref="H194">IFERROR(INDEX(PDB!$C:$AT,MATCH(E194,PDB!$B:$B,0),MATCH(YEAR(K194),0+PDB!$C$1:$AT$1,0)),"")</f>
        <v>2078.66</v>
      </c>
      <c r="I194" s="36">
        <v>5</v>
      </c>
      <c r="J194" s="125">
        <f>IFERROR(Table1[[#This Row],[Quantity]]*Table1[[#This Row],[Price/Unit
EUR]]," ")</f>
        <v>10393.299999999999</v>
      </c>
      <c r="K194" s="126">
        <v>45915</v>
      </c>
      <c r="L194" s="36">
        <f>WEEKNUM(Table1[[#This Row],[ETA
As requested
dd.mm.yyyy]])</f>
        <v>38</v>
      </c>
      <c r="M194" s="36">
        <f>YEAR(Table1[[#This Row],[ETA
As requested
dd.mm.yyyy]])</f>
        <v>2025</v>
      </c>
      <c r="N194" s="36">
        <f>IFERROR(INDEX(DATABASE_FG!$H$5:$H$367, MATCH(E194, DATABASE_FG!$C$5:$C$367, 0)), " ")</f>
        <v>0</v>
      </c>
      <c r="O194" s="129" t="str">
        <f>IF(E194&lt;&gt;"", _xlfn.XLOOKUP(E194, DATABASE_FG!C:C, DATABASE_FG!F:F), " ")</f>
        <v>MAIN BODY - REAR AL</v>
      </c>
      <c r="P194" s="129">
        <f>IFERROR(INDEX(DATABASE_FG!$G$5:$G$367, MATCH(E194, DATABASE_FG!$C$5:$C$367, 0)), "Not Found")</f>
        <v>0</v>
      </c>
      <c r="Q194" s="36"/>
      <c r="R194" s="125" t="s">
        <v>680</v>
      </c>
      <c r="S194" s="123">
        <f>Table1[[#This Row],[Quantity]]/48</f>
        <v>0.10416666666666667</v>
      </c>
      <c r="T194" s="36"/>
      <c r="U194" s="36"/>
      <c r="V194" s="36"/>
      <c r="W194" s="129"/>
      <c r="X194" s="36"/>
      <c r="Y194" s="36"/>
      <c r="Z194" s="36"/>
      <c r="AA194" s="125" t="s">
        <v>3</v>
      </c>
      <c r="AB194" s="173"/>
      <c r="AC194" s="119"/>
      <c r="AD194" s="36" t="str">
        <f t="shared" si="26"/>
        <v/>
      </c>
      <c r="AE194" s="36" t="str">
        <f t="shared" si="27"/>
        <v/>
      </c>
      <c r="AF194" s="36"/>
      <c r="AG194" s="120">
        <f t="shared" si="28"/>
        <v>0</v>
      </c>
      <c r="AH194" s="36"/>
      <c r="AI194" s="124"/>
      <c r="AJ194" s="122"/>
      <c r="AK194" s="129" t="str">
        <f t="shared" ca="1" si="30"/>
        <v>Late</v>
      </c>
      <c r="AL194" s="268" t="str">
        <f t="shared" si="22"/>
        <v>September</v>
      </c>
      <c r="AM194" s="133">
        <f>YEAR(Table1[[#This Row],[ETA
As requested
dd.mm.yyyy]])</f>
        <v>2025</v>
      </c>
    </row>
    <row r="195" spans="1:39" hidden="1">
      <c r="A195" s="123" t="s">
        <v>57</v>
      </c>
      <c r="B195" s="36" t="s">
        <v>1170</v>
      </c>
      <c r="C195" s="117" t="s">
        <v>2975</v>
      </c>
      <c r="D195" s="165">
        <v>45473</v>
      </c>
      <c r="E195" s="117" t="s">
        <v>3023</v>
      </c>
      <c r="F195" s="36" t="str">
        <f>IFERROR(VLOOKUP(Table1[[#This Row],[Part Number]],DATABASE_FG!$C$6:D10184,2,FALSE)," ")</f>
        <v>INSULATING BUSHING</v>
      </c>
      <c r="G195" s="117" t="str">
        <f>IFERROR(_xlfn.XLOOKUP(Table1[[#This Row],[Part Number]],Table3[Part number],Table3[Drawing
 Revision]),"")</f>
        <v>A</v>
      </c>
      <c r="H195" s="118" cm="1">
        <f t="array" ref="H195">IFERROR(INDEX(PDB!$C:$AT,MATCH(E195,PDB!$B:$B,0),MATCH(YEAR(K195),0+PDB!$C$1:$AT$1,0)),"")</f>
        <v>2.8</v>
      </c>
      <c r="I195" s="36">
        <v>94</v>
      </c>
      <c r="J195" s="125">
        <f>IFERROR(Table1[[#This Row],[Quantity]]*Table1[[#This Row],[Price/Unit
EUR]]," ")</f>
        <v>263.2</v>
      </c>
      <c r="K195" s="126">
        <v>45745</v>
      </c>
      <c r="L195" s="36">
        <f>WEEKNUM(Table1[[#This Row],[ETA
As requested
dd.mm.yyyy]])</f>
        <v>13</v>
      </c>
      <c r="M195" s="36">
        <f>YEAR(Table1[[#This Row],[ETA
As requested
dd.mm.yyyy]])</f>
        <v>2025</v>
      </c>
      <c r="N195" s="36">
        <f>IFERROR(INDEX(DATABASE_FG!$H$5:$H$367, MATCH(E195, DATABASE_FG!$C$5:$C$367, 0)), " ")</f>
        <v>0</v>
      </c>
      <c r="O195" s="129" t="str">
        <f>IF(E195&lt;&gt;"", _xlfn.XLOOKUP(E195, DATABASE_FG!C:C, DATABASE_FG!F:F), " ")</f>
        <v xml:space="preserve"> INSULATING BUSHING</v>
      </c>
      <c r="P195" s="129">
        <f>IFERROR(INDEX(DATABASE_FG!$G$5:$G$367, MATCH(E195, DATABASE_FG!$C$5:$C$367, 0)), "Not Found")</f>
        <v>0</v>
      </c>
      <c r="Q195" s="36"/>
      <c r="R195" s="125" t="s">
        <v>680</v>
      </c>
      <c r="S195" s="123">
        <f>Table1[[#This Row],[Quantity]]/48</f>
        <v>1.9583333333333333</v>
      </c>
      <c r="T195" s="36"/>
      <c r="U195" s="36"/>
      <c r="V195" s="36"/>
      <c r="W195" s="129"/>
      <c r="X195" s="36"/>
      <c r="Y195" s="36"/>
      <c r="Z195" s="36"/>
      <c r="AA195" s="125" t="s">
        <v>3</v>
      </c>
      <c r="AB195" s="173"/>
      <c r="AC195" s="119"/>
      <c r="AD195" s="36" t="str">
        <f t="shared" si="26"/>
        <v/>
      </c>
      <c r="AE195" s="36" t="str">
        <f t="shared" si="27"/>
        <v/>
      </c>
      <c r="AF195" s="36"/>
      <c r="AG195" s="120">
        <f t="shared" si="28"/>
        <v>0</v>
      </c>
      <c r="AH195" s="36"/>
      <c r="AI195" s="124"/>
      <c r="AJ195" s="122"/>
      <c r="AK195" s="129" t="str">
        <f t="shared" ca="1" si="30"/>
        <v>Late</v>
      </c>
      <c r="AL195" s="268" t="str">
        <f t="shared" si="22"/>
        <v>March</v>
      </c>
      <c r="AM195" s="133">
        <f>YEAR(Table1[[#This Row],[ETA
As requested
dd.mm.yyyy]])</f>
        <v>2025</v>
      </c>
    </row>
    <row r="196" spans="1:39" hidden="1">
      <c r="A196" s="123" t="s">
        <v>57</v>
      </c>
      <c r="B196" s="36" t="s">
        <v>1170</v>
      </c>
      <c r="C196" s="117" t="s">
        <v>2975</v>
      </c>
      <c r="D196" s="165">
        <v>45473</v>
      </c>
      <c r="E196" s="117" t="s">
        <v>3023</v>
      </c>
      <c r="F196" s="36" t="str">
        <f>IFERROR(VLOOKUP(Table1[[#This Row],[Part Number]],DATABASE_FG!$C$6:D10185,2,FALSE)," ")</f>
        <v>INSULATING BUSHING</v>
      </c>
      <c r="G196" s="117" t="str">
        <f>IFERROR(_xlfn.XLOOKUP(Table1[[#This Row],[Part Number]],Table3[Part number],Table3[Drawing
 Revision]),"")</f>
        <v>A</v>
      </c>
      <c r="H196" s="118" cm="1">
        <f t="array" ref="H196">IFERROR(INDEX(PDB!$C:$AT,MATCH(E196,PDB!$B:$B,0),MATCH(YEAR(K196),0+PDB!$C$1:$AT$1,0)),"")</f>
        <v>2.8</v>
      </c>
      <c r="I196" s="36">
        <v>6</v>
      </c>
      <c r="J196" s="125">
        <f>IFERROR(Table1[[#This Row],[Quantity]]*Table1[[#This Row],[Price/Unit
EUR]]," ")</f>
        <v>16.799999999999997</v>
      </c>
      <c r="K196" s="126">
        <v>45889</v>
      </c>
      <c r="L196" s="36">
        <f>WEEKNUM(Table1[[#This Row],[ETA
As requested
dd.mm.yyyy]])</f>
        <v>34</v>
      </c>
      <c r="M196" s="36">
        <f>YEAR(Table1[[#This Row],[ETA
As requested
dd.mm.yyyy]])</f>
        <v>2025</v>
      </c>
      <c r="N196" s="36">
        <f>IFERROR(INDEX(DATABASE_FG!$H$5:$H$367, MATCH(E196, DATABASE_FG!$C$5:$C$367, 0)), " ")</f>
        <v>0</v>
      </c>
      <c r="O196" s="129" t="str">
        <f>IF(E196&lt;&gt;"", _xlfn.XLOOKUP(E196, DATABASE_FG!C:C, DATABASE_FG!F:F), " ")</f>
        <v xml:space="preserve"> INSULATING BUSHING</v>
      </c>
      <c r="P196" s="129">
        <f>IFERROR(INDEX(DATABASE_FG!$G$5:$G$367, MATCH(E196, DATABASE_FG!$C$5:$C$367, 0)), "Not Found")</f>
        <v>0</v>
      </c>
      <c r="Q196" s="36"/>
      <c r="R196" s="125" t="s">
        <v>680</v>
      </c>
      <c r="S196" s="123">
        <f>Table1[[#This Row],[Quantity]]/48</f>
        <v>0.125</v>
      </c>
      <c r="T196" s="36"/>
      <c r="U196" s="36"/>
      <c r="V196" s="36"/>
      <c r="W196" s="129"/>
      <c r="X196" s="36"/>
      <c r="Y196" s="36"/>
      <c r="Z196" s="36"/>
      <c r="AA196" s="125" t="s">
        <v>121</v>
      </c>
      <c r="AB196" s="173">
        <v>45646</v>
      </c>
      <c r="AC196" s="119">
        <v>202401583</v>
      </c>
      <c r="AD196" s="36" t="str">
        <f t="shared" si="26"/>
        <v>9F0001830</v>
      </c>
      <c r="AE196" s="36" t="str">
        <f t="shared" si="27"/>
        <v>7028-1262-00</v>
      </c>
      <c r="AF196" s="36">
        <v>6</v>
      </c>
      <c r="AG196" s="120">
        <f t="shared" si="28"/>
        <v>16.799999999999997</v>
      </c>
      <c r="AH196" s="36"/>
      <c r="AI196" s="124"/>
      <c r="AJ196" s="122" t="s">
        <v>3592</v>
      </c>
      <c r="AK196" s="129" t="str">
        <f t="shared" ca="1" si="30"/>
        <v>On Time</v>
      </c>
      <c r="AL196" s="268" t="str">
        <f t="shared" si="22"/>
        <v>August</v>
      </c>
      <c r="AM196" s="133">
        <f>YEAR(Table1[[#This Row],[ETA
As requested
dd.mm.yyyy]])</f>
        <v>2025</v>
      </c>
    </row>
    <row r="197" spans="1:39" hidden="1">
      <c r="A197" s="123" t="s">
        <v>57</v>
      </c>
      <c r="B197" s="36" t="s">
        <v>1170</v>
      </c>
      <c r="C197" s="117" t="s">
        <v>3676</v>
      </c>
      <c r="D197" s="165">
        <v>45813</v>
      </c>
      <c r="E197" s="117" t="s">
        <v>3682</v>
      </c>
      <c r="F197" s="36" t="str">
        <f>IFERROR(VLOOKUP(Table1[[#This Row],[Part Number]],DATABASE_FG!$C$6:D10186,2,FALSE)," ")</f>
        <v>NUT M12X0.5</v>
      </c>
      <c r="G197" s="117" t="str">
        <f>IFERROR(_xlfn.XLOOKUP(Table1[[#This Row],[Part Number]],Table3[Part number],Table3[Drawing
 Revision]),"")</f>
        <v>01</v>
      </c>
      <c r="H197" s="118" cm="1">
        <f t="array" ref="H197">IFERROR(INDEX(PDB!$C:$AT,MATCH(E197,PDB!$B:$B,0),MATCH(YEAR(K197),0+PDB!$C$1:$AT$1,0)),"")</f>
        <v>230.37</v>
      </c>
      <c r="I197" s="36">
        <v>5</v>
      </c>
      <c r="J197" s="125">
        <f>IFERROR(Table1[[#This Row],[Quantity]]*Table1[[#This Row],[Price/Unit
EUR]]," ")</f>
        <v>1151.8499999999999</v>
      </c>
      <c r="K197" s="126">
        <v>45915</v>
      </c>
      <c r="L197" s="36">
        <f>WEEKNUM(Table1[[#This Row],[ETA
As requested
dd.mm.yyyy]])</f>
        <v>38</v>
      </c>
      <c r="M197" s="36">
        <f>YEAR(Table1[[#This Row],[ETA
As requested
dd.mm.yyyy]])</f>
        <v>2025</v>
      </c>
      <c r="N197" s="36">
        <f>IFERROR(INDEX(DATABASE_FG!$H$5:$H$367, MATCH(E197, DATABASE_FG!$C$5:$C$367, 0)), " ")</f>
        <v>0</v>
      </c>
      <c r="O197" s="129" t="str">
        <f>IF(E197&lt;&gt;"", _xlfn.XLOOKUP(E197, DATABASE_FG!C:C, DATABASE_FG!F:F), " ")</f>
        <v>NUT M12X0.5</v>
      </c>
      <c r="P197" s="129">
        <f>IFERROR(INDEX(DATABASE_FG!$G$5:$G$367, MATCH(E197, DATABASE_FG!$C$5:$C$367, 0)), "Not Found")</f>
        <v>0</v>
      </c>
      <c r="Q197" s="36"/>
      <c r="R197" s="125" t="s">
        <v>680</v>
      </c>
      <c r="S197" s="123">
        <f>Table1[[#This Row],[Quantity]]/48</f>
        <v>0.10416666666666667</v>
      </c>
      <c r="T197" s="36"/>
      <c r="U197" s="36"/>
      <c r="V197" s="36"/>
      <c r="W197" s="129"/>
      <c r="X197" s="36"/>
      <c r="Y197" s="36"/>
      <c r="Z197" s="36"/>
      <c r="AA197" s="125" t="s">
        <v>121</v>
      </c>
      <c r="AB197" s="173">
        <v>45916</v>
      </c>
      <c r="AC197" s="119">
        <v>251157</v>
      </c>
      <c r="AD197" s="36" t="str">
        <f t="shared" si="26"/>
        <v>9F0002312</v>
      </c>
      <c r="AE197" s="36" t="str">
        <f t="shared" si="27"/>
        <v>7028-1316-00</v>
      </c>
      <c r="AF197" s="36">
        <v>5</v>
      </c>
      <c r="AG197" s="120">
        <f t="shared" si="28"/>
        <v>1151.8499999999999</v>
      </c>
      <c r="AH197" s="36"/>
      <c r="AI197" s="124"/>
      <c r="AJ197" s="122"/>
      <c r="AK197" s="129" t="str">
        <f t="shared" ca="1" si="30"/>
        <v>On Time</v>
      </c>
      <c r="AL197" s="268" t="str">
        <f t="shared" si="22"/>
        <v>September</v>
      </c>
      <c r="AM197" s="133">
        <f>YEAR(Table1[[#This Row],[ETA
As requested
dd.mm.yyyy]])</f>
        <v>2025</v>
      </c>
    </row>
    <row r="198" spans="1:39" hidden="1">
      <c r="A198" s="123" t="s">
        <v>57</v>
      </c>
      <c r="B198" s="36" t="s">
        <v>1170</v>
      </c>
      <c r="C198" s="117" t="s">
        <v>3676</v>
      </c>
      <c r="D198" s="165">
        <v>45813</v>
      </c>
      <c r="E198" s="117" t="s">
        <v>3685</v>
      </c>
      <c r="F198" s="36" t="str">
        <f>IFERROR(VLOOKUP(Table1[[#This Row],[Part Number]],DATABASE_FG!$C$6:D10187,2,FALSE)," ")</f>
        <v>CAMERA CLAMP</v>
      </c>
      <c r="G198" s="117" t="str">
        <f>IFERROR(_xlfn.XLOOKUP(Table1[[#This Row],[Part Number]],Table3[Part number],Table3[Drawing
 Revision]),"")</f>
        <v>01</v>
      </c>
      <c r="H198" s="118" cm="1">
        <f t="array" ref="H198">IFERROR(INDEX(PDB!$C:$AT,MATCH(E198,PDB!$B:$B,0),MATCH(YEAR(K198),0+PDB!$C$1:$AT$1,0)),"")</f>
        <v>506.11</v>
      </c>
      <c r="I198" s="36">
        <v>5</v>
      </c>
      <c r="J198" s="125">
        <f>IFERROR(Table1[[#This Row],[Quantity]]*Table1[[#This Row],[Price/Unit
EUR]]," ")</f>
        <v>2530.5500000000002</v>
      </c>
      <c r="K198" s="126">
        <v>45915</v>
      </c>
      <c r="L198" s="36">
        <f>WEEKNUM(Table1[[#This Row],[ETA
As requested
dd.mm.yyyy]])</f>
        <v>38</v>
      </c>
      <c r="M198" s="36">
        <f>YEAR(Table1[[#This Row],[ETA
As requested
dd.mm.yyyy]])</f>
        <v>2025</v>
      </c>
      <c r="N198" s="36">
        <f>IFERROR(INDEX(DATABASE_FG!$H$5:$H$367, MATCH(E198, DATABASE_FG!$C$5:$C$367, 0)), " ")</f>
        <v>0</v>
      </c>
      <c r="O198" s="129" t="str">
        <f>IF(E198&lt;&gt;"", _xlfn.XLOOKUP(E198, DATABASE_FG!C:C, DATABASE_FG!F:F), " ")</f>
        <v>CAMERA CLAMP</v>
      </c>
      <c r="P198" s="129">
        <f>IFERROR(INDEX(DATABASE_FG!$G$5:$G$367, MATCH(E198, DATABASE_FG!$C$5:$C$367, 0)), "Not Found")</f>
        <v>0</v>
      </c>
      <c r="Q198" s="36"/>
      <c r="R198" s="125" t="s">
        <v>680</v>
      </c>
      <c r="S198" s="123">
        <f>Table1[[#This Row],[Quantity]]/48</f>
        <v>0.10416666666666667</v>
      </c>
      <c r="T198" s="36"/>
      <c r="U198" s="36"/>
      <c r="V198" s="36"/>
      <c r="W198" s="129"/>
      <c r="X198" s="36"/>
      <c r="Y198" s="36"/>
      <c r="Z198" s="36"/>
      <c r="AA198" s="125" t="s">
        <v>121</v>
      </c>
      <c r="AB198" s="173">
        <v>45960</v>
      </c>
      <c r="AC198" s="119">
        <v>1</v>
      </c>
      <c r="AD198" s="36" t="str">
        <f t="shared" si="26"/>
        <v>9F0002312</v>
      </c>
      <c r="AE198" s="36" t="str">
        <f t="shared" si="27"/>
        <v>7028-1331-30</v>
      </c>
      <c r="AF198" s="36">
        <v>5</v>
      </c>
      <c r="AG198" s="120">
        <f t="shared" si="28"/>
        <v>2530.5500000000002</v>
      </c>
      <c r="AH198" s="36"/>
      <c r="AI198" s="124"/>
      <c r="AJ198" s="122" t="s">
        <v>4480</v>
      </c>
      <c r="AK198" s="129" t="str">
        <f t="shared" ca="1" si="30"/>
        <v>Late</v>
      </c>
      <c r="AL198" s="268" t="str">
        <f t="shared" si="22"/>
        <v>September</v>
      </c>
      <c r="AM198" s="133">
        <f>YEAR(Table1[[#This Row],[ETA
As requested
dd.mm.yyyy]])</f>
        <v>2025</v>
      </c>
    </row>
    <row r="199" spans="1:39" hidden="1">
      <c r="A199" s="123" t="s">
        <v>57</v>
      </c>
      <c r="B199" s="36" t="s">
        <v>1170</v>
      </c>
      <c r="C199" s="117" t="s">
        <v>3676</v>
      </c>
      <c r="D199" s="165">
        <v>45813</v>
      </c>
      <c r="E199" s="117" t="s">
        <v>3683</v>
      </c>
      <c r="F199" s="36" t="str">
        <f>IFERROR(VLOOKUP(Table1[[#This Row],[Part Number]],DATABASE_FG!$C$6:D10188,2,FALSE)," ")</f>
        <v>YAW PLATE</v>
      </c>
      <c r="G199" s="117" t="str">
        <f>IFERROR(_xlfn.XLOOKUP(Table1[[#This Row],[Part Number]],Table3[Part number],Table3[Drawing
 Revision]),"")</f>
        <v>01</v>
      </c>
      <c r="H199" s="118" cm="1">
        <f t="array" ref="H199">IFERROR(INDEX(PDB!$C:$AT,MATCH(E199,PDB!$B:$B,0),MATCH(YEAR(K199),0+PDB!$C$1:$AT$1,0)),"")</f>
        <v>504.13</v>
      </c>
      <c r="I199" s="36">
        <v>5</v>
      </c>
      <c r="J199" s="125">
        <f>IFERROR(Table1[[#This Row],[Quantity]]*Table1[[#This Row],[Price/Unit
EUR]]," ")</f>
        <v>2520.65</v>
      </c>
      <c r="K199" s="126">
        <v>45915</v>
      </c>
      <c r="L199" s="36">
        <f>WEEKNUM(Table1[[#This Row],[ETA
As requested
dd.mm.yyyy]])</f>
        <v>38</v>
      </c>
      <c r="M199" s="36">
        <f>YEAR(Table1[[#This Row],[ETA
As requested
dd.mm.yyyy]])</f>
        <v>2025</v>
      </c>
      <c r="N199" s="36">
        <f>IFERROR(INDEX(DATABASE_FG!$H$5:$H$367, MATCH(E199, DATABASE_FG!$C$5:$C$367, 0)), " ")</f>
        <v>0</v>
      </c>
      <c r="O199" s="129" t="str">
        <f>IF(E199&lt;&gt;"", _xlfn.XLOOKUP(E199, DATABASE_FG!C:C, DATABASE_FG!F:F), " ")</f>
        <v>YAW PLATE</v>
      </c>
      <c r="P199" s="129">
        <f>IFERROR(INDEX(DATABASE_FG!$G$5:$G$367, MATCH(E199, DATABASE_FG!$C$5:$C$367, 0)), "Not Found")</f>
        <v>0</v>
      </c>
      <c r="Q199" s="36"/>
      <c r="R199" s="125" t="s">
        <v>680</v>
      </c>
      <c r="S199" s="123">
        <f>Table1[[#This Row],[Quantity]]/48</f>
        <v>0.10416666666666667</v>
      </c>
      <c r="T199" s="36"/>
      <c r="U199" s="36"/>
      <c r="V199" s="36"/>
      <c r="W199" s="129"/>
      <c r="X199" s="36"/>
      <c r="Y199" s="36"/>
      <c r="Z199" s="36"/>
      <c r="AA199" s="125" t="s">
        <v>121</v>
      </c>
      <c r="AB199" s="173">
        <v>45960</v>
      </c>
      <c r="AC199" s="119">
        <v>1</v>
      </c>
      <c r="AD199" s="36" t="str">
        <f t="shared" si="26"/>
        <v>9F0002312</v>
      </c>
      <c r="AE199" s="36" t="str">
        <f t="shared" si="27"/>
        <v>7028-1332-30</v>
      </c>
      <c r="AF199" s="36">
        <v>5</v>
      </c>
      <c r="AG199" s="120">
        <f t="shared" si="28"/>
        <v>2520.65</v>
      </c>
      <c r="AH199" s="36"/>
      <c r="AI199" s="124"/>
      <c r="AJ199" s="122" t="s">
        <v>4480</v>
      </c>
      <c r="AK199" s="129" t="str">
        <f t="shared" ca="1" si="30"/>
        <v>Late</v>
      </c>
      <c r="AL199" s="268" t="str">
        <f t="shared" si="22"/>
        <v>September</v>
      </c>
      <c r="AM199" s="133">
        <f>YEAR(Table1[[#This Row],[ETA
As requested
dd.mm.yyyy]])</f>
        <v>2025</v>
      </c>
    </row>
    <row r="200" spans="1:39" hidden="1">
      <c r="A200" s="123" t="s">
        <v>57</v>
      </c>
      <c r="B200" s="36" t="s">
        <v>1170</v>
      </c>
      <c r="C200" s="117" t="s">
        <v>3676</v>
      </c>
      <c r="D200" s="165">
        <v>45813</v>
      </c>
      <c r="E200" s="117" t="s">
        <v>3684</v>
      </c>
      <c r="F200" s="36" t="str">
        <f>IFERROR(VLOOKUP(Table1[[#This Row],[Part Number]],DATABASE_FG!$C$6:D10189,2,FALSE)," ")</f>
        <v>LINK FOR PITCH BOLT</v>
      </c>
      <c r="G200" s="117" t="str">
        <f>IFERROR(_xlfn.XLOOKUP(Table1[[#This Row],[Part Number]],Table3[Part number],Table3[Drawing
 Revision]),"")</f>
        <v>01</v>
      </c>
      <c r="H200" s="118" cm="1">
        <f t="array" ref="H200">IFERROR(INDEX(PDB!$C:$AT,MATCH(E200,PDB!$B:$B,0),MATCH(YEAR(K200),0+PDB!$C$1:$AT$1,0)),"")</f>
        <v>428.78</v>
      </c>
      <c r="I200" s="36">
        <v>5</v>
      </c>
      <c r="J200" s="125">
        <f>IFERROR(Table1[[#This Row],[Quantity]]*Table1[[#This Row],[Price/Unit
EUR]]," ")</f>
        <v>2143.8999999999996</v>
      </c>
      <c r="K200" s="126">
        <v>45915</v>
      </c>
      <c r="L200" s="36">
        <f>WEEKNUM(Table1[[#This Row],[ETA
As requested
dd.mm.yyyy]])</f>
        <v>38</v>
      </c>
      <c r="M200" s="36">
        <f>YEAR(Table1[[#This Row],[ETA
As requested
dd.mm.yyyy]])</f>
        <v>2025</v>
      </c>
      <c r="N200" s="36">
        <f>IFERROR(INDEX(DATABASE_FG!$H$5:$H$367, MATCH(E200, DATABASE_FG!$C$5:$C$367, 0)), " ")</f>
        <v>0</v>
      </c>
      <c r="O200" s="129" t="str">
        <f>IF(E200&lt;&gt;"", _xlfn.XLOOKUP(E200, DATABASE_FG!C:C, DATABASE_FG!F:F), " ")</f>
        <v>LINK FOR PITCH BOLT</v>
      </c>
      <c r="P200" s="129">
        <f>IFERROR(INDEX(DATABASE_FG!$G$5:$G$367, MATCH(E200, DATABASE_FG!$C$5:$C$367, 0)), "Not Found")</f>
        <v>0</v>
      </c>
      <c r="Q200" s="36"/>
      <c r="R200" s="125" t="s">
        <v>680</v>
      </c>
      <c r="S200" s="123">
        <f>Table1[[#This Row],[Quantity]]/48</f>
        <v>0.10416666666666667</v>
      </c>
      <c r="T200" s="36"/>
      <c r="U200" s="36"/>
      <c r="V200" s="36"/>
      <c r="W200" s="129"/>
      <c r="X200" s="36"/>
      <c r="Y200" s="36"/>
      <c r="Z200" s="36"/>
      <c r="AA200" s="125" t="s">
        <v>3</v>
      </c>
      <c r="AB200" s="173"/>
      <c r="AC200" s="119"/>
      <c r="AD200" s="36" t="str">
        <f t="shared" si="26"/>
        <v/>
      </c>
      <c r="AE200" s="36" t="str">
        <f t="shared" si="27"/>
        <v/>
      </c>
      <c r="AF200" s="36"/>
      <c r="AG200" s="120">
        <f t="shared" si="28"/>
        <v>0</v>
      </c>
      <c r="AH200" s="36"/>
      <c r="AI200" s="124"/>
      <c r="AJ200" s="122"/>
      <c r="AK200" s="129" t="str">
        <f t="shared" ca="1" si="30"/>
        <v>Late</v>
      </c>
      <c r="AL200" s="268" t="str">
        <f t="shared" si="22"/>
        <v>September</v>
      </c>
      <c r="AM200" s="133">
        <f>YEAR(Table1[[#This Row],[ETA
As requested
dd.mm.yyyy]])</f>
        <v>2025</v>
      </c>
    </row>
    <row r="201" spans="1:39" hidden="1">
      <c r="A201" s="123" t="s">
        <v>57</v>
      </c>
      <c r="B201" s="36" t="s">
        <v>1170</v>
      </c>
      <c r="C201" s="117" t="s">
        <v>3676</v>
      </c>
      <c r="D201" s="165">
        <v>45813</v>
      </c>
      <c r="E201" s="117" t="s">
        <v>3688</v>
      </c>
      <c r="F201" s="36" t="str">
        <f>IFERROR(VLOOKUP(Table1[[#This Row],[Part Number]],DATABASE_FG!$C$6:D10190,2,FALSE)," ")</f>
        <v>PITCH BOLT</v>
      </c>
      <c r="G201" s="117" t="str">
        <f>IFERROR(_xlfn.XLOOKUP(Table1[[#This Row],[Part Number]],Table3[Part number],Table3[Drawing
 Revision]),"")</f>
        <v>01</v>
      </c>
      <c r="H201" s="118" cm="1">
        <f t="array" ref="H201">IFERROR(INDEX(PDB!$C:$AT,MATCH(E201,PDB!$B:$B,0),MATCH(YEAR(K201),0+PDB!$C$1:$AT$1,0)),"")</f>
        <v>232.1</v>
      </c>
      <c r="I201" s="36">
        <v>5</v>
      </c>
      <c r="J201" s="125">
        <f>IFERROR(Table1[[#This Row],[Quantity]]*Table1[[#This Row],[Price/Unit
EUR]]," ")</f>
        <v>1160.5</v>
      </c>
      <c r="K201" s="126">
        <v>45915</v>
      </c>
      <c r="L201" s="36">
        <f>WEEKNUM(Table1[[#This Row],[ETA
As requested
dd.mm.yyyy]])</f>
        <v>38</v>
      </c>
      <c r="M201" s="36">
        <f>YEAR(Table1[[#This Row],[ETA
As requested
dd.mm.yyyy]])</f>
        <v>2025</v>
      </c>
      <c r="N201" s="36">
        <f>IFERROR(INDEX(DATABASE_FG!$H$5:$H$367, MATCH(E201, DATABASE_FG!$C$5:$C$367, 0)), " ")</f>
        <v>0</v>
      </c>
      <c r="O201" s="129" t="str">
        <f>IF(E201&lt;&gt;"", _xlfn.XLOOKUP(E201, DATABASE_FG!C:C, DATABASE_FG!F:F), " ")</f>
        <v>PITCH BOLT</v>
      </c>
      <c r="P201" s="129">
        <f>IFERROR(INDEX(DATABASE_FG!$G$5:$G$367, MATCH(E201, DATABASE_FG!$C$5:$C$367, 0)), "Not Found")</f>
        <v>0</v>
      </c>
      <c r="Q201" s="36"/>
      <c r="R201" s="125" t="s">
        <v>680</v>
      </c>
      <c r="S201" s="123">
        <f>Table1[[#This Row],[Quantity]]/48</f>
        <v>0.10416666666666667</v>
      </c>
      <c r="T201" s="36"/>
      <c r="U201" s="36"/>
      <c r="V201" s="36"/>
      <c r="W201" s="129"/>
      <c r="X201" s="36"/>
      <c r="Y201" s="36"/>
      <c r="Z201" s="36"/>
      <c r="AA201" s="125" t="s">
        <v>121</v>
      </c>
      <c r="AB201" s="173">
        <v>45916</v>
      </c>
      <c r="AC201" s="119">
        <v>251157</v>
      </c>
      <c r="AD201" s="36" t="str">
        <f t="shared" si="26"/>
        <v>9F0002312</v>
      </c>
      <c r="AE201" s="36" t="str">
        <f t="shared" si="27"/>
        <v>7028-1334-30</v>
      </c>
      <c r="AF201" s="36">
        <v>5</v>
      </c>
      <c r="AG201" s="120">
        <f t="shared" si="28"/>
        <v>1160.5</v>
      </c>
      <c r="AH201" s="36"/>
      <c r="AI201" s="124"/>
      <c r="AJ201" s="122"/>
      <c r="AK201" s="129" t="str">
        <f t="shared" ca="1" si="30"/>
        <v>On Time</v>
      </c>
      <c r="AL201" s="268" t="str">
        <f t="shared" si="22"/>
        <v>September</v>
      </c>
      <c r="AM201" s="133">
        <f>YEAR(Table1[[#This Row],[ETA
As requested
dd.mm.yyyy]])</f>
        <v>2025</v>
      </c>
    </row>
    <row r="202" spans="1:39" hidden="1">
      <c r="A202" s="123" t="s">
        <v>57</v>
      </c>
      <c r="B202" s="36" t="s">
        <v>1170</v>
      </c>
      <c r="C202" s="117" t="s">
        <v>3676</v>
      </c>
      <c r="D202" s="165">
        <v>45813</v>
      </c>
      <c r="E202" s="117" t="s">
        <v>3686</v>
      </c>
      <c r="F202" s="36" t="str">
        <f>IFERROR(VLOOKUP(Table1[[#This Row],[Part Number]],DATABASE_FG!$C$6:D10191,2,FALSE)," ")</f>
        <v>YAW BOLT</v>
      </c>
      <c r="G202" s="117" t="str">
        <f>IFERROR(_xlfn.XLOOKUP(Table1[[#This Row],[Part Number]],Table3[Part number],Table3[Drawing
 Revision]),"")</f>
        <v>01</v>
      </c>
      <c r="H202" s="118" cm="1">
        <f t="array" ref="H202">IFERROR(INDEX(PDB!$C:$AT,MATCH(E202,PDB!$B:$B,0),MATCH(YEAR(K202),0+PDB!$C$1:$AT$1,0)),"")</f>
        <v>231.83</v>
      </c>
      <c r="I202" s="36">
        <v>5</v>
      </c>
      <c r="J202" s="125">
        <f>IFERROR(Table1[[#This Row],[Quantity]]*Table1[[#This Row],[Price/Unit
EUR]]," ")</f>
        <v>1159.1500000000001</v>
      </c>
      <c r="K202" s="126">
        <v>45915</v>
      </c>
      <c r="L202" s="36">
        <f>WEEKNUM(Table1[[#This Row],[ETA
As requested
dd.mm.yyyy]])</f>
        <v>38</v>
      </c>
      <c r="M202" s="36">
        <f>YEAR(Table1[[#This Row],[ETA
As requested
dd.mm.yyyy]])</f>
        <v>2025</v>
      </c>
      <c r="N202" s="36">
        <f>IFERROR(INDEX(DATABASE_FG!$H$5:$H$367, MATCH(E202, DATABASE_FG!$C$5:$C$367, 0)), " ")</f>
        <v>0</v>
      </c>
      <c r="O202" s="129" t="str">
        <f>IF(E202&lt;&gt;"", _xlfn.XLOOKUP(E202, DATABASE_FG!C:C, DATABASE_FG!F:F), " ")</f>
        <v>YAW BOLT</v>
      </c>
      <c r="P202" s="129">
        <f>IFERROR(INDEX(DATABASE_FG!$G$5:$G$367, MATCH(E202, DATABASE_FG!$C$5:$C$367, 0)), "Not Found")</f>
        <v>0</v>
      </c>
      <c r="Q202" s="36"/>
      <c r="R202" s="125" t="s">
        <v>680</v>
      </c>
      <c r="S202" s="123">
        <f>Table1[[#This Row],[Quantity]]/48</f>
        <v>0.10416666666666667</v>
      </c>
      <c r="T202" s="36"/>
      <c r="U202" s="36"/>
      <c r="V202" s="36"/>
      <c r="W202" s="129"/>
      <c r="X202" s="36"/>
      <c r="Y202" s="36"/>
      <c r="Z202" s="36"/>
      <c r="AA202" s="125" t="s">
        <v>121</v>
      </c>
      <c r="AB202" s="172">
        <v>45916</v>
      </c>
      <c r="AC202" s="119">
        <v>251157</v>
      </c>
      <c r="AD202" s="36" t="str">
        <f t="shared" si="26"/>
        <v>9F0002312</v>
      </c>
      <c r="AE202" s="36" t="str">
        <f t="shared" si="27"/>
        <v>7028-1335-30</v>
      </c>
      <c r="AF202" s="36">
        <v>5</v>
      </c>
      <c r="AG202" s="120">
        <f t="shared" si="28"/>
        <v>1159.1500000000001</v>
      </c>
      <c r="AH202" s="36"/>
      <c r="AI202" s="124"/>
      <c r="AJ202" s="122"/>
      <c r="AK202" s="129" t="str">
        <f t="shared" ca="1" si="30"/>
        <v>On Time</v>
      </c>
      <c r="AL202" s="268" t="str">
        <f t="shared" ref="AL202:AL265" si="31">TEXT(K202,"mmmm")</f>
        <v>September</v>
      </c>
      <c r="AM202" s="133">
        <f>YEAR(Table1[[#This Row],[ETA
As requested
dd.mm.yyyy]])</f>
        <v>2025</v>
      </c>
    </row>
    <row r="203" spans="1:39" hidden="1">
      <c r="A203" s="123" t="s">
        <v>57</v>
      </c>
      <c r="B203" s="36" t="s">
        <v>1170</v>
      </c>
      <c r="C203" s="117" t="s">
        <v>3676</v>
      </c>
      <c r="D203" s="165">
        <v>45813</v>
      </c>
      <c r="E203" s="117" t="s">
        <v>3687</v>
      </c>
      <c r="F203" s="36" t="str">
        <f>IFERROR(VLOOKUP(Table1[[#This Row],[Part Number]],DATABASE_FG!$C$6:D10192,2,FALSE)," ")</f>
        <v>PITCH AXLE</v>
      </c>
      <c r="G203" s="117" t="str">
        <f>IFERROR(_xlfn.XLOOKUP(Table1[[#This Row],[Part Number]],Table3[Part number],Table3[Drawing
 Revision]),"")</f>
        <v>01</v>
      </c>
      <c r="H203" s="118" cm="1">
        <f t="array" ref="H203">IFERROR(INDEX(PDB!$C:$AT,MATCH(E203,PDB!$B:$B,0),MATCH(YEAR(K203),0+PDB!$C$1:$AT$1,0)),"")</f>
        <v>231</v>
      </c>
      <c r="I203" s="36">
        <v>5</v>
      </c>
      <c r="J203" s="125">
        <f>IFERROR(Table1[[#This Row],[Quantity]]*Table1[[#This Row],[Price/Unit
EUR]]," ")</f>
        <v>1155</v>
      </c>
      <c r="K203" s="126">
        <v>45915</v>
      </c>
      <c r="L203" s="36">
        <f>WEEKNUM(Table1[[#This Row],[ETA
As requested
dd.mm.yyyy]])</f>
        <v>38</v>
      </c>
      <c r="M203" s="36">
        <f>YEAR(Table1[[#This Row],[ETA
As requested
dd.mm.yyyy]])</f>
        <v>2025</v>
      </c>
      <c r="N203" s="36">
        <f>IFERROR(INDEX(DATABASE_FG!$H$5:$H$367, MATCH(E203, DATABASE_FG!$C$5:$C$367, 0)), " ")</f>
        <v>0</v>
      </c>
      <c r="O203" s="129" t="str">
        <f>IF(E203&lt;&gt;"", _xlfn.XLOOKUP(E203, DATABASE_FG!C:C, DATABASE_FG!F:F), " ")</f>
        <v>PITCH AXLE</v>
      </c>
      <c r="P203" s="129">
        <f>IFERROR(INDEX(DATABASE_FG!$G$5:$G$367, MATCH(E203, DATABASE_FG!$C$5:$C$367, 0)), "Not Found")</f>
        <v>0</v>
      </c>
      <c r="Q203" s="36"/>
      <c r="R203" s="125" t="s">
        <v>680</v>
      </c>
      <c r="S203" s="123">
        <f>Table1[[#This Row],[Quantity]]/48</f>
        <v>0.10416666666666667</v>
      </c>
      <c r="T203" s="36"/>
      <c r="U203" s="36"/>
      <c r="V203" s="36"/>
      <c r="W203" s="129"/>
      <c r="X203" s="36"/>
      <c r="Y203" s="36"/>
      <c r="Z203" s="36"/>
      <c r="AA203" s="125" t="s">
        <v>121</v>
      </c>
      <c r="AB203" s="172">
        <v>45916</v>
      </c>
      <c r="AC203" s="119">
        <v>251157</v>
      </c>
      <c r="AD203" s="36" t="str">
        <f t="shared" si="26"/>
        <v>9F0002312</v>
      </c>
      <c r="AE203" s="36" t="str">
        <f t="shared" si="27"/>
        <v>7028-1336-30</v>
      </c>
      <c r="AF203" s="36">
        <v>5</v>
      </c>
      <c r="AG203" s="120">
        <f t="shared" si="28"/>
        <v>1155</v>
      </c>
      <c r="AH203" s="36"/>
      <c r="AI203" s="124"/>
      <c r="AJ203" s="122"/>
      <c r="AK203" s="129" t="str">
        <f t="shared" ca="1" si="30"/>
        <v>On Time</v>
      </c>
      <c r="AL203" s="268" t="str">
        <f t="shared" si="31"/>
        <v>September</v>
      </c>
      <c r="AM203" s="133">
        <f>YEAR(Table1[[#This Row],[ETA
As requested
dd.mm.yyyy]])</f>
        <v>2025</v>
      </c>
    </row>
    <row r="204" spans="1:39" hidden="1">
      <c r="A204" s="123" t="s">
        <v>57</v>
      </c>
      <c r="B204" s="36" t="s">
        <v>1170</v>
      </c>
      <c r="C204" s="117" t="s">
        <v>3676</v>
      </c>
      <c r="D204" s="165">
        <v>45813</v>
      </c>
      <c r="E204" s="117" t="s">
        <v>3690</v>
      </c>
      <c r="F204" s="36" t="str">
        <f>IFERROR(VLOOKUP(Table1[[#This Row],[Part Number]],DATABASE_FG!$C$6:D10193,2,FALSE)," ")</f>
        <v>YAW PAD</v>
      </c>
      <c r="G204" s="117" t="str">
        <f>IFERROR(_xlfn.XLOOKUP(Table1[[#This Row],[Part Number]],Table3[Part number],Table3[Drawing
 Revision]),"")</f>
        <v>01</v>
      </c>
      <c r="H204" s="118" cm="1">
        <f t="array" ref="H204">IFERROR(INDEX(PDB!$C:$AT,MATCH(E204,PDB!$B:$B,0),MATCH(YEAR(K204),0+PDB!$C$1:$AT$1,0)),"")</f>
        <v>225.64</v>
      </c>
      <c r="I204" s="36">
        <v>5</v>
      </c>
      <c r="J204" s="125">
        <f>IFERROR(Table1[[#This Row],[Quantity]]*Table1[[#This Row],[Price/Unit
EUR]]," ")</f>
        <v>1128.1999999999998</v>
      </c>
      <c r="K204" s="126">
        <v>45915</v>
      </c>
      <c r="L204" s="36">
        <f>WEEKNUM(Table1[[#This Row],[ETA
As requested
dd.mm.yyyy]])</f>
        <v>38</v>
      </c>
      <c r="M204" s="36">
        <f>YEAR(Table1[[#This Row],[ETA
As requested
dd.mm.yyyy]])</f>
        <v>2025</v>
      </c>
      <c r="N204" s="36">
        <f>IFERROR(INDEX(DATABASE_FG!$H$5:$H$367, MATCH(E204, DATABASE_FG!$C$5:$C$367, 0)), " ")</f>
        <v>0</v>
      </c>
      <c r="O204" s="129" t="str">
        <f>IF(E204&lt;&gt;"", _xlfn.XLOOKUP(E204, DATABASE_FG!C:C, DATABASE_FG!F:F), " ")</f>
        <v>YAW PAD</v>
      </c>
      <c r="P204" s="129">
        <f>IFERROR(INDEX(DATABASE_FG!$G$5:$G$367, MATCH(E204, DATABASE_FG!$C$5:$C$367, 0)), "Not Found")</f>
        <v>0</v>
      </c>
      <c r="Q204" s="36"/>
      <c r="R204" s="125" t="s">
        <v>680</v>
      </c>
      <c r="S204" s="123">
        <f>Table1[[#This Row],[Quantity]]/48</f>
        <v>0.10416666666666667</v>
      </c>
      <c r="T204" s="36"/>
      <c r="U204" s="36"/>
      <c r="V204" s="36"/>
      <c r="W204" s="129"/>
      <c r="X204" s="36"/>
      <c r="Y204" s="36"/>
      <c r="Z204" s="36"/>
      <c r="AA204" s="125" t="s">
        <v>121</v>
      </c>
      <c r="AB204" s="172">
        <v>45916</v>
      </c>
      <c r="AC204" s="119">
        <v>251157</v>
      </c>
      <c r="AD204" s="36" t="str">
        <f t="shared" si="26"/>
        <v>9F0002312</v>
      </c>
      <c r="AE204" s="36" t="str">
        <f t="shared" si="27"/>
        <v>7028-1338-30</v>
      </c>
      <c r="AF204" s="36">
        <v>5</v>
      </c>
      <c r="AG204" s="120">
        <f t="shared" si="28"/>
        <v>1128.1999999999998</v>
      </c>
      <c r="AH204" s="36"/>
      <c r="AI204" s="124"/>
      <c r="AJ204" s="122"/>
      <c r="AK204" s="129" t="str">
        <f t="shared" ca="1" si="30"/>
        <v>On Time</v>
      </c>
      <c r="AL204" s="268" t="str">
        <f t="shared" si="31"/>
        <v>September</v>
      </c>
      <c r="AM204" s="133">
        <f>YEAR(Table1[[#This Row],[ETA
As requested
dd.mm.yyyy]])</f>
        <v>2025</v>
      </c>
    </row>
    <row r="205" spans="1:39" hidden="1">
      <c r="A205" s="123" t="s">
        <v>57</v>
      </c>
      <c r="B205" s="36" t="s">
        <v>1170</v>
      </c>
      <c r="C205" s="117" t="s">
        <v>3676</v>
      </c>
      <c r="D205" s="165">
        <v>45813</v>
      </c>
      <c r="E205" s="117" t="s">
        <v>3689</v>
      </c>
      <c r="F205" s="36" t="str">
        <f>IFERROR(VLOOKUP(Table1[[#This Row],[Part Number]],DATABASE_FG!$C$6:D10194,2,FALSE)," ")</f>
        <v>BENCH ADAPTOR</v>
      </c>
      <c r="G205" s="117" t="str">
        <f>IFERROR(_xlfn.XLOOKUP(Table1[[#This Row],[Part Number]],Table3[Part number],Table3[Drawing
 Revision]),"")</f>
        <v>01</v>
      </c>
      <c r="H205" s="118" cm="1">
        <f t="array" ref="H205">IFERROR(INDEX(PDB!$C:$AT,MATCH(E205,PDB!$B:$B,0),MATCH(YEAR(K205),0+PDB!$C$1:$AT$1,0)),"")</f>
        <v>502.38</v>
      </c>
      <c r="I205" s="36">
        <v>5</v>
      </c>
      <c r="J205" s="125">
        <f>IFERROR(Table1[[#This Row],[Quantity]]*Table1[[#This Row],[Price/Unit
EUR]]," ")</f>
        <v>2511.9</v>
      </c>
      <c r="K205" s="126">
        <v>45915</v>
      </c>
      <c r="L205" s="36">
        <f>WEEKNUM(Table1[[#This Row],[ETA
As requested
dd.mm.yyyy]])</f>
        <v>38</v>
      </c>
      <c r="M205" s="36">
        <f>YEAR(Table1[[#This Row],[ETA
As requested
dd.mm.yyyy]])</f>
        <v>2025</v>
      </c>
      <c r="N205" s="36">
        <f>IFERROR(INDEX(DATABASE_FG!$H$5:$H$367, MATCH(E205, DATABASE_FG!$C$5:$C$367, 0)), " ")</f>
        <v>0</v>
      </c>
      <c r="O205" s="129" t="str">
        <f>IF(E205&lt;&gt;"", _xlfn.XLOOKUP(E205, DATABASE_FG!C:C, DATABASE_FG!F:F), " ")</f>
        <v>BENCH ADAPTOR</v>
      </c>
      <c r="P205" s="129">
        <f>IFERROR(INDEX(DATABASE_FG!$G$5:$G$367, MATCH(E205, DATABASE_FG!$C$5:$C$367, 0)), "Not Found")</f>
        <v>0</v>
      </c>
      <c r="Q205" s="36"/>
      <c r="R205" s="125" t="s">
        <v>680</v>
      </c>
      <c r="S205" s="123">
        <f>Table1[[#This Row],[Quantity]]/48</f>
        <v>0.10416666666666667</v>
      </c>
      <c r="T205" s="36"/>
      <c r="U205" s="36"/>
      <c r="V205" s="36"/>
      <c r="W205" s="129"/>
      <c r="X205" s="36"/>
      <c r="Y205" s="36"/>
      <c r="Z205" s="36"/>
      <c r="AA205" s="125" t="s">
        <v>121</v>
      </c>
      <c r="AB205" s="172">
        <v>45960</v>
      </c>
      <c r="AC205" s="119">
        <v>1</v>
      </c>
      <c r="AD205" s="36" t="str">
        <f t="shared" si="26"/>
        <v>9F0002312</v>
      </c>
      <c r="AE205" s="36" t="str">
        <f t="shared" si="27"/>
        <v>7028-1339-30</v>
      </c>
      <c r="AF205" s="36">
        <v>5</v>
      </c>
      <c r="AG205" s="120">
        <f t="shared" si="28"/>
        <v>2511.9</v>
      </c>
      <c r="AH205" s="36"/>
      <c r="AI205" s="124"/>
      <c r="AJ205" s="122" t="s">
        <v>4480</v>
      </c>
      <c r="AK205" s="129" t="str">
        <f t="shared" ca="1" si="30"/>
        <v>Late</v>
      </c>
      <c r="AL205" s="268" t="str">
        <f t="shared" si="31"/>
        <v>September</v>
      </c>
      <c r="AM205" s="133">
        <f>YEAR(Table1[[#This Row],[ETA
As requested
dd.mm.yyyy]])</f>
        <v>2025</v>
      </c>
    </row>
    <row r="206" spans="1:39" hidden="1">
      <c r="A206" s="123" t="s">
        <v>57</v>
      </c>
      <c r="B206" s="36" t="s">
        <v>1170</v>
      </c>
      <c r="C206" s="117" t="s">
        <v>2975</v>
      </c>
      <c r="D206" s="165">
        <v>45473</v>
      </c>
      <c r="E206" s="117" t="s">
        <v>475</v>
      </c>
      <c r="F206" s="36" t="str">
        <f>IFERROR(VLOOKUP(Table1[[#This Row],[Part Number]],DATABASE_FG!$C$6:D10195,2,FALSE)," ")</f>
        <v xml:space="preserve"> AZ BEARING HOLDER</v>
      </c>
      <c r="G206" s="117" t="str">
        <f>IFERROR(_xlfn.XLOOKUP(Table1[[#This Row],[Part Number]],Table3[Part number],Table3[Drawing
 Revision]),"")</f>
        <v>A</v>
      </c>
      <c r="H206" s="118" cm="1">
        <f t="array" ref="H206">IFERROR(INDEX(PDB!$C:$AT,MATCH(E206,PDB!$B:$B,0),MATCH(YEAR(K206),0+PDB!$C$1:$AT$1,0)),"")</f>
        <v>119.17</v>
      </c>
      <c r="I206" s="36">
        <v>94</v>
      </c>
      <c r="J206" s="125">
        <f>IFERROR(Table1[[#This Row],[Quantity]]*Table1[[#This Row],[Price/Unit
EUR]]," ")</f>
        <v>11201.98</v>
      </c>
      <c r="K206" s="126">
        <v>45745</v>
      </c>
      <c r="L206" s="36">
        <f>WEEKNUM(Table1[[#This Row],[ETA
As requested
dd.mm.yyyy]])</f>
        <v>13</v>
      </c>
      <c r="M206" s="36">
        <f>YEAR(Table1[[#This Row],[ETA
As requested
dd.mm.yyyy]])</f>
        <v>2025</v>
      </c>
      <c r="N206" s="36">
        <f>IFERROR(INDEX(DATABASE_FG!$H$5:$H$367, MATCH(E206, DATABASE_FG!$C$5:$C$367, 0)), " ")</f>
        <v>0</v>
      </c>
      <c r="O206" s="129" t="str">
        <f>IF(E206&lt;&gt;"", _xlfn.XLOOKUP(E206, DATABASE_FG!C:C, DATABASE_FG!F:F), " ")</f>
        <v xml:space="preserve"> AZ BEARING HOLDER</v>
      </c>
      <c r="P206" s="129">
        <f>IFERROR(INDEX(DATABASE_FG!$G$5:$G$367, MATCH(E206, DATABASE_FG!$C$5:$C$367, 0)), "Not Found")</f>
        <v>0</v>
      </c>
      <c r="Q206" s="36"/>
      <c r="R206" s="125" t="s">
        <v>680</v>
      </c>
      <c r="S206" s="123">
        <f>Table1[[#This Row],[Quantity]]/48</f>
        <v>1.9583333333333333</v>
      </c>
      <c r="T206" s="36"/>
      <c r="U206" s="36"/>
      <c r="V206" s="36"/>
      <c r="W206" s="129"/>
      <c r="X206" s="36"/>
      <c r="Y206" s="36"/>
      <c r="Z206" s="36"/>
      <c r="AA206" s="125" t="s">
        <v>3</v>
      </c>
      <c r="AB206" s="172"/>
      <c r="AC206" s="119"/>
      <c r="AD206" s="36" t="str">
        <f t="shared" si="26"/>
        <v/>
      </c>
      <c r="AE206" s="36" t="str">
        <f t="shared" si="27"/>
        <v/>
      </c>
      <c r="AF206" s="36"/>
      <c r="AG206" s="120">
        <f t="shared" si="28"/>
        <v>0</v>
      </c>
      <c r="AH206" s="36"/>
      <c r="AI206" s="124"/>
      <c r="AJ206" s="122"/>
      <c r="AK206" s="129" t="str">
        <f t="shared" ca="1" si="30"/>
        <v>Late</v>
      </c>
      <c r="AL206" s="268" t="str">
        <f t="shared" si="31"/>
        <v>March</v>
      </c>
      <c r="AM206" s="133">
        <f>YEAR(Table1[[#This Row],[ETA
As requested
dd.mm.yyyy]])</f>
        <v>2025</v>
      </c>
    </row>
    <row r="207" spans="1:39" hidden="1">
      <c r="A207" s="123" t="s">
        <v>57</v>
      </c>
      <c r="B207" s="36" t="s">
        <v>1170</v>
      </c>
      <c r="C207" s="117" t="s">
        <v>2975</v>
      </c>
      <c r="D207" s="165">
        <v>45473</v>
      </c>
      <c r="E207" s="117" t="s">
        <v>475</v>
      </c>
      <c r="F207" s="36" t="str">
        <f>IFERROR(VLOOKUP(Table1[[#This Row],[Part Number]],DATABASE_FG!$C$6:D10196,2,FALSE)," ")</f>
        <v xml:space="preserve"> AZ BEARING HOLDER</v>
      </c>
      <c r="G207" s="117" t="str">
        <f>IFERROR(_xlfn.XLOOKUP(Table1[[#This Row],[Part Number]],Table3[Part number],Table3[Drawing
 Revision]),"")</f>
        <v>A</v>
      </c>
      <c r="H207" s="118" cm="1">
        <f t="array" ref="H207">IFERROR(INDEX(PDB!$C:$AT,MATCH(E207,PDB!$B:$B,0),MATCH(YEAR(K207),0+PDB!$C$1:$AT$1,0)),"")</f>
        <v>119.17</v>
      </c>
      <c r="I207" s="36">
        <v>6</v>
      </c>
      <c r="J207" s="125">
        <f>IFERROR(Table1[[#This Row],[Quantity]]*Table1[[#This Row],[Price/Unit
EUR]]," ")</f>
        <v>715.02</v>
      </c>
      <c r="K207" s="126">
        <v>45889</v>
      </c>
      <c r="L207" s="36">
        <f>WEEKNUM(Table1[[#This Row],[ETA
As requested
dd.mm.yyyy]])</f>
        <v>34</v>
      </c>
      <c r="M207" s="36">
        <f>YEAR(Table1[[#This Row],[ETA
As requested
dd.mm.yyyy]])</f>
        <v>2025</v>
      </c>
      <c r="N207" s="36">
        <f>IFERROR(INDEX(DATABASE_FG!$H$5:$H$367, MATCH(E207, DATABASE_FG!$C$5:$C$367, 0)), " ")</f>
        <v>0</v>
      </c>
      <c r="O207" s="129" t="str">
        <f>IF(E207&lt;&gt;"", _xlfn.XLOOKUP(E207, DATABASE_FG!C:C, DATABASE_FG!F:F), " ")</f>
        <v xml:space="preserve"> AZ BEARING HOLDER</v>
      </c>
      <c r="P207" s="129">
        <f>IFERROR(INDEX(DATABASE_FG!$G$5:$G$367, MATCH(E207, DATABASE_FG!$C$5:$C$367, 0)), "Not Found")</f>
        <v>0</v>
      </c>
      <c r="Q207" s="36"/>
      <c r="R207" s="125" t="s">
        <v>680</v>
      </c>
      <c r="S207" s="123">
        <f>Table1[[#This Row],[Quantity]]/48</f>
        <v>0.125</v>
      </c>
      <c r="T207" s="36"/>
      <c r="U207" s="36"/>
      <c r="V207" s="36"/>
      <c r="W207" s="129"/>
      <c r="X207" s="36"/>
      <c r="Y207" s="36"/>
      <c r="Z207" s="36"/>
      <c r="AA207" s="125" t="s">
        <v>121</v>
      </c>
      <c r="AB207" s="173">
        <v>45630</v>
      </c>
      <c r="AC207" s="119">
        <v>202401468</v>
      </c>
      <c r="AD207" s="36" t="str">
        <f t="shared" si="26"/>
        <v>9F0001830</v>
      </c>
      <c r="AE207" s="36" t="str">
        <f t="shared" si="27"/>
        <v>7028-1601-00</v>
      </c>
      <c r="AF207" s="36">
        <v>6</v>
      </c>
      <c r="AG207" s="120">
        <f t="shared" si="28"/>
        <v>715.02</v>
      </c>
      <c r="AH207" s="36"/>
      <c r="AI207" s="124"/>
      <c r="AJ207" s="122" t="s">
        <v>3589</v>
      </c>
      <c r="AK207" s="129" t="str">
        <f t="shared" ca="1" si="30"/>
        <v>On Time</v>
      </c>
      <c r="AL207" s="268" t="str">
        <f t="shared" si="31"/>
        <v>August</v>
      </c>
      <c r="AM207" s="133">
        <f>YEAR(Table1[[#This Row],[ETA
As requested
dd.mm.yyyy]])</f>
        <v>2025</v>
      </c>
    </row>
    <row r="208" spans="1:39" hidden="1">
      <c r="A208" s="123" t="s">
        <v>57</v>
      </c>
      <c r="B208" s="36" t="s">
        <v>1170</v>
      </c>
      <c r="C208" s="117" t="s">
        <v>2975</v>
      </c>
      <c r="D208" s="165">
        <v>45473</v>
      </c>
      <c r="E208" s="117" t="s">
        <v>3024</v>
      </c>
      <c r="F208" s="36" t="str">
        <f>IFERROR(VLOOKUP(Table1[[#This Row],[Part Number]],DATABASE_FG!$C$6:D10197,2,FALSE)," ")</f>
        <v>AZ BEARING TOP COVER</v>
      </c>
      <c r="G208" s="117" t="str">
        <f>IFERROR(_xlfn.XLOOKUP(Table1[[#This Row],[Part Number]],Table3[Part number],Table3[Drawing
 Revision]),"")</f>
        <v>C</v>
      </c>
      <c r="H208" s="118" cm="1">
        <f t="array" ref="H208">IFERROR(INDEX(PDB!$C:$AT,MATCH(E208,PDB!$B:$B,0),MATCH(YEAR(K208),0+PDB!$C$1:$AT$1,0)),"")</f>
        <v>102.22</v>
      </c>
      <c r="I208" s="36">
        <v>94</v>
      </c>
      <c r="J208" s="125">
        <f>IFERROR(Table1[[#This Row],[Quantity]]*Table1[[#This Row],[Price/Unit
EUR]]," ")</f>
        <v>9608.68</v>
      </c>
      <c r="K208" s="126">
        <v>45745</v>
      </c>
      <c r="L208" s="36">
        <f>WEEKNUM(Table1[[#This Row],[ETA
As requested
dd.mm.yyyy]])</f>
        <v>13</v>
      </c>
      <c r="M208" s="36">
        <f>YEAR(Table1[[#This Row],[ETA
As requested
dd.mm.yyyy]])</f>
        <v>2025</v>
      </c>
      <c r="N208" s="36">
        <f>IFERROR(INDEX(DATABASE_FG!$H$5:$H$367, MATCH(E208, DATABASE_FG!$C$5:$C$367, 0)), " ")</f>
        <v>0</v>
      </c>
      <c r="O208" s="129" t="str">
        <f>IF(E208&lt;&gt;"", _xlfn.XLOOKUP(E208, DATABASE_FG!C:C, DATABASE_FG!F:F), " ")</f>
        <v>AZ BEARING TOP COVER</v>
      </c>
      <c r="P208" s="129">
        <f>IFERROR(INDEX(DATABASE_FG!$G$5:$G$367, MATCH(E208, DATABASE_FG!$C$5:$C$367, 0)), "Not Found")</f>
        <v>0</v>
      </c>
      <c r="Q208" s="36"/>
      <c r="R208" s="125" t="s">
        <v>680</v>
      </c>
      <c r="S208" s="123">
        <f>Table1[[#This Row],[Quantity]]/48</f>
        <v>1.9583333333333333</v>
      </c>
      <c r="T208" s="36"/>
      <c r="U208" s="36"/>
      <c r="V208" s="36"/>
      <c r="W208" s="129"/>
      <c r="X208" s="36"/>
      <c r="Y208" s="36"/>
      <c r="Z208" s="36"/>
      <c r="AA208" s="125" t="s">
        <v>3</v>
      </c>
      <c r="AB208" s="173"/>
      <c r="AC208" s="119"/>
      <c r="AD208" s="36" t="str">
        <f t="shared" si="26"/>
        <v/>
      </c>
      <c r="AE208" s="36" t="str">
        <f t="shared" si="27"/>
        <v/>
      </c>
      <c r="AF208" s="36"/>
      <c r="AG208" s="120">
        <f t="shared" si="28"/>
        <v>0</v>
      </c>
      <c r="AH208" s="36"/>
      <c r="AI208" s="124"/>
      <c r="AJ208" s="122"/>
      <c r="AK208" s="129" t="str">
        <f t="shared" ca="1" si="30"/>
        <v>Late</v>
      </c>
      <c r="AL208" s="268" t="str">
        <f t="shared" si="31"/>
        <v>March</v>
      </c>
      <c r="AM208" s="133">
        <f>YEAR(Table1[[#This Row],[ETA
As requested
dd.mm.yyyy]])</f>
        <v>2025</v>
      </c>
    </row>
    <row r="209" spans="1:39" hidden="1">
      <c r="A209" s="123" t="s">
        <v>57</v>
      </c>
      <c r="B209" s="36" t="s">
        <v>1170</v>
      </c>
      <c r="C209" s="117" t="s">
        <v>2975</v>
      </c>
      <c r="D209" s="165">
        <v>45473</v>
      </c>
      <c r="E209" s="117" t="s">
        <v>3024</v>
      </c>
      <c r="F209" s="36" t="str">
        <f>IFERROR(VLOOKUP(Table1[[#This Row],[Part Number]],DATABASE_FG!$C$6:D10198,2,FALSE)," ")</f>
        <v>AZ BEARING TOP COVER</v>
      </c>
      <c r="G209" s="117" t="str">
        <f>IFERROR(_xlfn.XLOOKUP(Table1[[#This Row],[Part Number]],Table3[Part number],Table3[Drawing
 Revision]),"")</f>
        <v>C</v>
      </c>
      <c r="H209" s="118" cm="1">
        <f t="array" ref="H209">IFERROR(INDEX(PDB!$C:$AT,MATCH(E209,PDB!$B:$B,0),MATCH(YEAR(K209),0+PDB!$C$1:$AT$1,0)),"")</f>
        <v>102.22</v>
      </c>
      <c r="I209" s="36">
        <v>6</v>
      </c>
      <c r="J209" s="125">
        <f>IFERROR(Table1[[#This Row],[Quantity]]*Table1[[#This Row],[Price/Unit
EUR]]," ")</f>
        <v>613.31999999999994</v>
      </c>
      <c r="K209" s="126">
        <v>45889</v>
      </c>
      <c r="L209" s="36">
        <f>WEEKNUM(Table1[[#This Row],[ETA
As requested
dd.mm.yyyy]])</f>
        <v>34</v>
      </c>
      <c r="M209" s="36">
        <f>YEAR(Table1[[#This Row],[ETA
As requested
dd.mm.yyyy]])</f>
        <v>2025</v>
      </c>
      <c r="N209" s="36">
        <f>IFERROR(INDEX(DATABASE_FG!$H$5:$H$367, MATCH(E209, DATABASE_FG!$C$5:$C$367, 0)), " ")</f>
        <v>0</v>
      </c>
      <c r="O209" s="129" t="str">
        <f>IF(E209&lt;&gt;"", _xlfn.XLOOKUP(E209, DATABASE_FG!C:C, DATABASE_FG!F:F), " ")</f>
        <v>AZ BEARING TOP COVER</v>
      </c>
      <c r="P209" s="129">
        <f>IFERROR(INDEX(DATABASE_FG!$G$5:$G$367, MATCH(E209, DATABASE_FG!$C$5:$C$367, 0)), "Not Found")</f>
        <v>0</v>
      </c>
      <c r="Q209" s="36"/>
      <c r="R209" s="125" t="s">
        <v>680</v>
      </c>
      <c r="S209" s="123">
        <f>Table1[[#This Row],[Quantity]]/48</f>
        <v>0.125</v>
      </c>
      <c r="T209" s="36"/>
      <c r="U209" s="36"/>
      <c r="V209" s="36"/>
      <c r="W209" s="129"/>
      <c r="X209" s="36"/>
      <c r="Y209" s="36"/>
      <c r="Z209" s="36"/>
      <c r="AA209" s="125" t="s">
        <v>121</v>
      </c>
      <c r="AB209" s="173">
        <v>45670</v>
      </c>
      <c r="AC209" s="119">
        <v>2560</v>
      </c>
      <c r="AD209" s="36" t="str">
        <f t="shared" si="26"/>
        <v>9F0001830</v>
      </c>
      <c r="AE209" s="36" t="str">
        <f t="shared" si="27"/>
        <v>7028-1602-00</v>
      </c>
      <c r="AF209" s="36">
        <v>6</v>
      </c>
      <c r="AG209" s="120">
        <f t="shared" si="28"/>
        <v>613.31999999999994</v>
      </c>
      <c r="AH209" s="36"/>
      <c r="AI209" s="124" t="s">
        <v>3593</v>
      </c>
      <c r="AJ209" s="122" t="s">
        <v>3594</v>
      </c>
      <c r="AK209" s="129" t="str">
        <f t="shared" ca="1" si="30"/>
        <v>On Time</v>
      </c>
      <c r="AL209" s="268" t="str">
        <f t="shared" si="31"/>
        <v>August</v>
      </c>
      <c r="AM209" s="133">
        <f>YEAR(Table1[[#This Row],[ETA
As requested
dd.mm.yyyy]])</f>
        <v>2025</v>
      </c>
    </row>
    <row r="210" spans="1:39" hidden="1">
      <c r="A210" s="123" t="s">
        <v>57</v>
      </c>
      <c r="B210" s="36" t="s">
        <v>1170</v>
      </c>
      <c r="C210" s="117" t="s">
        <v>2975</v>
      </c>
      <c r="D210" s="165">
        <v>45473</v>
      </c>
      <c r="E210" s="117" t="s">
        <v>521</v>
      </c>
      <c r="F210" s="36" t="str">
        <f>IFERROR(VLOOKUP(Table1[[#This Row],[Part Number]],DATABASE_FG!$C$6:D10199,2,FALSE)," ")</f>
        <v>Top Interface</v>
      </c>
      <c r="G210" s="117" t="str">
        <f>IFERROR(_xlfn.XLOOKUP(Table1[[#This Row],[Part Number]],Table3[Part number],Table3[Drawing
 Revision]),"")</f>
        <v>C</v>
      </c>
      <c r="H210" s="118" cm="1">
        <f t="array" ref="H210">IFERROR(INDEX(PDB!$C:$AT,MATCH(E210,PDB!$B:$B,0),MATCH(YEAR(K210),0+PDB!$C$1:$AT$1,0)),"")</f>
        <v>112.94</v>
      </c>
      <c r="I210" s="36">
        <v>94</v>
      </c>
      <c r="J210" s="125">
        <f>IFERROR(Table1[[#This Row],[Quantity]]*Table1[[#This Row],[Price/Unit
EUR]]," ")</f>
        <v>10616.36</v>
      </c>
      <c r="K210" s="126">
        <v>45745</v>
      </c>
      <c r="L210" s="36">
        <f>WEEKNUM(Table1[[#This Row],[ETA
As requested
dd.mm.yyyy]])</f>
        <v>13</v>
      </c>
      <c r="M210" s="36">
        <f>YEAR(Table1[[#This Row],[ETA
As requested
dd.mm.yyyy]])</f>
        <v>2025</v>
      </c>
      <c r="N210" s="36">
        <f>IFERROR(INDEX(DATABASE_FG!$H$5:$H$367, MATCH(E210, DATABASE_FG!$C$5:$C$367, 0)), " ")</f>
        <v>0</v>
      </c>
      <c r="O210" s="129" t="str">
        <f>IF(E210&lt;&gt;"", _xlfn.XLOOKUP(E210, DATABASE_FG!C:C, DATABASE_FG!F:F), " ")</f>
        <v>Top Interface</v>
      </c>
      <c r="P210" s="129">
        <f>IFERROR(INDEX(DATABASE_FG!$G$5:$G$367, MATCH(E210, DATABASE_FG!$C$5:$C$367, 0)), "Not Found")</f>
        <v>0</v>
      </c>
      <c r="Q210" s="36"/>
      <c r="R210" s="125" t="s">
        <v>680</v>
      </c>
      <c r="S210" s="123">
        <f>Table1[[#This Row],[Quantity]]/48</f>
        <v>1.9583333333333333</v>
      </c>
      <c r="T210" s="36"/>
      <c r="U210" s="36"/>
      <c r="V210" s="36"/>
      <c r="W210" s="129"/>
      <c r="X210" s="36"/>
      <c r="Y210" s="36"/>
      <c r="Z210" s="36"/>
      <c r="AA210" s="125" t="s">
        <v>3</v>
      </c>
      <c r="AB210" s="173"/>
      <c r="AC210" s="119"/>
      <c r="AD210" s="36" t="str">
        <f t="shared" si="26"/>
        <v/>
      </c>
      <c r="AE210" s="36" t="str">
        <f t="shared" si="27"/>
        <v/>
      </c>
      <c r="AF210" s="36"/>
      <c r="AG210" s="120">
        <f t="shared" si="28"/>
        <v>0</v>
      </c>
      <c r="AH210" s="36"/>
      <c r="AI210" s="124"/>
      <c r="AJ210" s="122"/>
      <c r="AK210" s="129" t="str">
        <f t="shared" ca="1" si="30"/>
        <v>Late</v>
      </c>
      <c r="AL210" s="268" t="str">
        <f t="shared" si="31"/>
        <v>March</v>
      </c>
      <c r="AM210" s="133">
        <f>YEAR(Table1[[#This Row],[ETA
As requested
dd.mm.yyyy]])</f>
        <v>2025</v>
      </c>
    </row>
    <row r="211" spans="1:39" hidden="1">
      <c r="A211" s="123" t="s">
        <v>57</v>
      </c>
      <c r="B211" s="36" t="s">
        <v>1170</v>
      </c>
      <c r="C211" s="117" t="s">
        <v>2975</v>
      </c>
      <c r="D211" s="165">
        <v>45473</v>
      </c>
      <c r="E211" s="117" t="s">
        <v>521</v>
      </c>
      <c r="F211" s="36" t="str">
        <f>IFERROR(VLOOKUP(Table1[[#This Row],[Part Number]],DATABASE_FG!$C$6:D10200,2,FALSE)," ")</f>
        <v>Top Interface</v>
      </c>
      <c r="G211" s="117" t="str">
        <f>IFERROR(_xlfn.XLOOKUP(Table1[[#This Row],[Part Number]],Table3[Part number],Table3[Drawing
 Revision]),"")</f>
        <v>C</v>
      </c>
      <c r="H211" s="118" cm="1">
        <f t="array" ref="H211">IFERROR(INDEX(PDB!$C:$AT,MATCH(E211,PDB!$B:$B,0),MATCH(YEAR(K211),0+PDB!$C$1:$AT$1,0)),"")</f>
        <v>112.94</v>
      </c>
      <c r="I211" s="36">
        <v>6</v>
      </c>
      <c r="J211" s="125">
        <f>IFERROR(Table1[[#This Row],[Quantity]]*Table1[[#This Row],[Price/Unit
EUR]]," ")</f>
        <v>677.64</v>
      </c>
      <c r="K211" s="126">
        <v>45889</v>
      </c>
      <c r="L211" s="36">
        <f>WEEKNUM(Table1[[#This Row],[ETA
As requested
dd.mm.yyyy]])</f>
        <v>34</v>
      </c>
      <c r="M211" s="36">
        <f>YEAR(Table1[[#This Row],[ETA
As requested
dd.mm.yyyy]])</f>
        <v>2025</v>
      </c>
      <c r="N211" s="36">
        <f>IFERROR(INDEX(DATABASE_FG!$H$5:$H$367, MATCH(E211, DATABASE_FG!$C$5:$C$367, 0)), " ")</f>
        <v>0</v>
      </c>
      <c r="O211" s="129" t="str">
        <f>IF(E211&lt;&gt;"", _xlfn.XLOOKUP(E211, DATABASE_FG!C:C, DATABASE_FG!F:F), " ")</f>
        <v>Top Interface</v>
      </c>
      <c r="P211" s="129">
        <f>IFERROR(INDEX(DATABASE_FG!$G$5:$G$367, MATCH(E211, DATABASE_FG!$C$5:$C$367, 0)), "Not Found")</f>
        <v>0</v>
      </c>
      <c r="Q211" s="36"/>
      <c r="R211" s="125" t="s">
        <v>680</v>
      </c>
      <c r="S211" s="123">
        <f>Table1[[#This Row],[Quantity]]/48</f>
        <v>0.125</v>
      </c>
      <c r="T211" s="36" t="s">
        <v>677</v>
      </c>
      <c r="U211" s="36"/>
      <c r="V211" s="36"/>
      <c r="W211" s="129"/>
      <c r="X211" s="36"/>
      <c r="Y211" s="36"/>
      <c r="Z211" s="36"/>
      <c r="AA211" s="125" t="s">
        <v>121</v>
      </c>
      <c r="AB211" s="173">
        <v>45643</v>
      </c>
      <c r="AC211" s="119">
        <v>202401557</v>
      </c>
      <c r="AD211" s="36" t="str">
        <f t="shared" si="26"/>
        <v>9F0001830</v>
      </c>
      <c r="AE211" s="36" t="str">
        <f t="shared" si="27"/>
        <v>7028-1603-00</v>
      </c>
      <c r="AF211" s="36">
        <v>6</v>
      </c>
      <c r="AG211" s="120">
        <f t="shared" si="28"/>
        <v>677.64</v>
      </c>
      <c r="AH211" s="36"/>
      <c r="AI211" s="124" t="s">
        <v>310</v>
      </c>
      <c r="AJ211" s="122" t="s">
        <v>3590</v>
      </c>
      <c r="AK211" s="129" t="str">
        <f t="shared" ca="1" si="30"/>
        <v>On Time</v>
      </c>
      <c r="AL211" s="268" t="str">
        <f t="shared" si="31"/>
        <v>August</v>
      </c>
      <c r="AM211" s="133">
        <f>YEAR(Table1[[#This Row],[ETA
As requested
dd.mm.yyyy]])</f>
        <v>2025</v>
      </c>
    </row>
    <row r="212" spans="1:39" hidden="1">
      <c r="A212" s="123" t="s">
        <v>636</v>
      </c>
      <c r="B212" s="36" t="s">
        <v>1170</v>
      </c>
      <c r="C212" s="117">
        <v>7018614498</v>
      </c>
      <c r="D212" s="165">
        <v>45125</v>
      </c>
      <c r="E212" s="117" t="s">
        <v>418</v>
      </c>
      <c r="F212" s="36" t="str">
        <f>IFERROR(VLOOKUP(Table1[[#This Row],[Part Number]],DATABASE_FG!$C$6:D10201,2,FALSE)," ")</f>
        <v>Crank sleeve</v>
      </c>
      <c r="G212" s="117">
        <f>IFERROR(_xlfn.XLOOKUP(Table1[[#This Row],[Part Number]],Table3[Part number],Table3[Drawing
 Revision]),"")</f>
        <v>0</v>
      </c>
      <c r="H212" s="118" cm="1">
        <f t="array" ref="H212">IFERROR(INDEX(PDB!$C:$AT,MATCH(E212,PDB!$B:$B,0),MATCH(YEAR(K212),0+PDB!$C$1:$AT$1,0)),"")</f>
        <v>3.69</v>
      </c>
      <c r="I212" s="36">
        <v>50</v>
      </c>
      <c r="J212" s="125">
        <f>IFERROR(Table1[[#This Row],[Quantity]]*Table1[[#This Row],[Price/Unit
EUR]]," ")</f>
        <v>184.5</v>
      </c>
      <c r="K212" s="126">
        <v>45142</v>
      </c>
      <c r="L212" s="36">
        <f>WEEKNUM(Table1[[#This Row],[ETA
As requested
dd.mm.yyyy]])</f>
        <v>31</v>
      </c>
      <c r="M212" s="36">
        <f>YEAR(Table1[[#This Row],[ETA
As requested
dd.mm.yyyy]])</f>
        <v>2023</v>
      </c>
      <c r="N212" s="36">
        <f>IFERROR(INDEX(DATABASE_FG!$H$5:$H$367, MATCH(E212, DATABASE_FG!$C$5:$C$367, 0)), " ")</f>
        <v>0</v>
      </c>
      <c r="O212" s="129" t="str">
        <f>IF(E212&lt;&gt;"", _xlfn.XLOOKUP(E212, DATABASE_FG!C:C, DATABASE_FG!F:F), " ")</f>
        <v>sleeve</v>
      </c>
      <c r="P212" s="129">
        <f>IFERROR(INDEX(DATABASE_FG!$G$5:$G$367, MATCH(E212, DATABASE_FG!$C$5:$C$367, 0)), "Not Found")</f>
        <v>50</v>
      </c>
      <c r="Q212" s="36"/>
      <c r="R212" s="125" t="s">
        <v>680</v>
      </c>
      <c r="S212" s="123">
        <f>IFERROR(INDEX(DATABASE_FG!$L$5:$L$367, MATCH(E212, DATABASE_FG!$C$5:$C$367, 0)), " ")</f>
        <v>42</v>
      </c>
      <c r="T212" s="36" t="s">
        <v>677</v>
      </c>
      <c r="U212" s="36"/>
      <c r="V212" s="36"/>
      <c r="W212" s="129"/>
      <c r="X212" s="36"/>
      <c r="Y212" s="36"/>
      <c r="Z212" s="36"/>
      <c r="AA212" s="125" t="s">
        <v>121</v>
      </c>
      <c r="AB212" s="173"/>
      <c r="AC212" s="119"/>
      <c r="AD212" s="36" t="str">
        <f t="shared" si="26"/>
        <v/>
      </c>
      <c r="AE212" s="36" t="str">
        <f t="shared" si="27"/>
        <v/>
      </c>
      <c r="AF212" s="36"/>
      <c r="AG212" s="120">
        <f t="shared" si="28"/>
        <v>0</v>
      </c>
      <c r="AH212" s="36"/>
      <c r="AI212" s="124" t="s">
        <v>1171</v>
      </c>
      <c r="AJ212" s="122"/>
      <c r="AK212" s="129" t="str">
        <f t="shared" ca="1" si="30"/>
        <v>Late</v>
      </c>
      <c r="AL212" s="268" t="str">
        <f t="shared" si="31"/>
        <v>August</v>
      </c>
      <c r="AM212" s="133">
        <f>YEAR(Table1[[#This Row],[ETA
As requested
dd.mm.yyyy]])</f>
        <v>2023</v>
      </c>
    </row>
    <row r="213" spans="1:39">
      <c r="A213" s="123" t="s">
        <v>83</v>
      </c>
      <c r="B213" s="36" t="s">
        <v>1170</v>
      </c>
      <c r="C213" s="117">
        <v>5325142</v>
      </c>
      <c r="D213" s="165">
        <v>44309</v>
      </c>
      <c r="E213" s="117" t="s">
        <v>108</v>
      </c>
      <c r="F213" s="36" t="str">
        <f>IFERROR(VLOOKUP(Table1[[#This Row],[Part Number]],DATABASE_FG!$C$6:D10202,2,FALSE)," ")</f>
        <v>094290032-0000</v>
      </c>
      <c r="G213" s="117">
        <f>IFERROR(_xlfn.XLOOKUP(Table1[[#This Row],[Part Number]],Table3[Part number],Table3[Drawing
 Revision]),"")</f>
        <v>0</v>
      </c>
      <c r="H213" s="118" cm="1">
        <f t="array" ref="H213">IFERROR(INDEX(PDB!$C:$AT,MATCH(E213,PDB!$B:$B,0),MATCH(YEAR(K213),0+PDB!$C$1:$AT$1,0)),"")</f>
        <v>0.65</v>
      </c>
      <c r="I213" s="36">
        <v>2000</v>
      </c>
      <c r="J213" s="125">
        <f>IFERROR(Table1[[#This Row],[Quantity]]*Table1[[#This Row],[Price/Unit
EUR]]," ")</f>
        <v>1300</v>
      </c>
      <c r="K213" s="126">
        <v>45384</v>
      </c>
      <c r="L213" s="36">
        <f>WEEKNUM(Table1[[#This Row],[ETA
As requested
dd.mm.yyyy]])</f>
        <v>14</v>
      </c>
      <c r="M213" s="36">
        <f>YEAR(Table1[[#This Row],[ETA
As requested
dd.mm.yyyy]])</f>
        <v>2024</v>
      </c>
      <c r="N213" s="36">
        <f>IFERROR(INDEX(DATABASE_FG!$H$5:$H$367, MATCH(E213, DATABASE_FG!$C$5:$C$367, 0)), " ")</f>
        <v>0</v>
      </c>
      <c r="O213" s="129" t="str">
        <f>IF(E213&lt;&gt;"", _xlfn.XLOOKUP(E213, DATABASE_FG!C:C, DATABASE_FG!F:F), " ")</f>
        <v>Strunjite</v>
      </c>
      <c r="P213" s="129">
        <f>IFERROR(INDEX(DATABASE_FG!$G$5:$G$367, MATCH(E213, DATABASE_FG!$C$5:$C$367, 0)), "Not Found")</f>
        <v>0</v>
      </c>
      <c r="Q213" s="36"/>
      <c r="R213" s="125" t="s">
        <v>678</v>
      </c>
      <c r="S213" s="123">
        <f>IFERROR(INDEX(DATABASE_FG!$L$5:$L$367, MATCH(E213, DATABASE_FG!$C$5:$C$367, 0)), " ")</f>
        <v>42</v>
      </c>
      <c r="T213" s="36" t="s">
        <v>679</v>
      </c>
      <c r="U213" s="36"/>
      <c r="V213" s="36"/>
      <c r="W213" s="129"/>
      <c r="X213" s="36"/>
      <c r="Y213" s="36"/>
      <c r="Z213" s="36" t="s">
        <v>1264</v>
      </c>
      <c r="AA213" s="125" t="s">
        <v>121</v>
      </c>
      <c r="AB213" s="173">
        <v>45384</v>
      </c>
      <c r="AC213" s="119">
        <v>2024300</v>
      </c>
      <c r="AD213" s="36">
        <f t="shared" si="26"/>
        <v>5325142</v>
      </c>
      <c r="AE213" s="36" t="str">
        <f t="shared" si="27"/>
        <v>AU.KB2045-B-0208-DRE</v>
      </c>
      <c r="AF213" s="36">
        <v>2000</v>
      </c>
      <c r="AG213" s="120">
        <f t="shared" si="28"/>
        <v>1300</v>
      </c>
      <c r="AH213" s="36"/>
      <c r="AI213" s="124"/>
      <c r="AJ213" s="122" t="s">
        <v>1265</v>
      </c>
      <c r="AK213" s="129" t="str">
        <f t="shared" ca="1" si="30"/>
        <v>On Time</v>
      </c>
      <c r="AL213" s="268" t="str">
        <f t="shared" si="31"/>
        <v>April</v>
      </c>
      <c r="AM213" s="133">
        <f>YEAR(Table1[[#This Row],[ETA
As requested
dd.mm.yyyy]])</f>
        <v>2024</v>
      </c>
    </row>
    <row r="214" spans="1:39">
      <c r="A214" s="123" t="s">
        <v>83</v>
      </c>
      <c r="B214" s="36" t="s">
        <v>1170</v>
      </c>
      <c r="C214" s="117">
        <v>5325142</v>
      </c>
      <c r="D214" s="165">
        <v>44310</v>
      </c>
      <c r="E214" s="117" t="s">
        <v>108</v>
      </c>
      <c r="F214" s="36" t="str">
        <f>IFERROR(VLOOKUP(Table1[[#This Row],[Part Number]],DATABASE_FG!$C$6:D10203,2,FALSE)," ")</f>
        <v>094290032-0000</v>
      </c>
      <c r="G214" s="117">
        <f>IFERROR(_xlfn.XLOOKUP(Table1[[#This Row],[Part Number]],Table3[Part number],Table3[Drawing
 Revision]),"")</f>
        <v>0</v>
      </c>
      <c r="H214" s="118" cm="1">
        <f t="array" ref="H214">IFERROR(INDEX(PDB!$C:$AT,MATCH(E214,PDB!$B:$B,0),MATCH(YEAR(K214),0+PDB!$C$1:$AT$1,0)),"")</f>
        <v>0.65</v>
      </c>
      <c r="I214" s="36">
        <v>700</v>
      </c>
      <c r="J214" s="125">
        <f>IFERROR(Table1[[#This Row],[Quantity]]*Table1[[#This Row],[Price/Unit
EUR]]," ")</f>
        <v>455</v>
      </c>
      <c r="K214" s="126">
        <v>45412</v>
      </c>
      <c r="L214" s="36">
        <f>WEEKNUM(Table1[[#This Row],[ETA
As requested
dd.mm.yyyy]])</f>
        <v>18</v>
      </c>
      <c r="M214" s="36">
        <f>YEAR(Table1[[#This Row],[ETA
As requested
dd.mm.yyyy]])</f>
        <v>2024</v>
      </c>
      <c r="N214" s="36">
        <f>IFERROR(INDEX(DATABASE_FG!$H$5:$H$367, MATCH(E214, DATABASE_FG!$C$5:$C$367, 0)), " ")</f>
        <v>0</v>
      </c>
      <c r="O214" s="129" t="str">
        <f>IF(E214&lt;&gt;"", _xlfn.XLOOKUP(E214, DATABASE_FG!C:C, DATABASE_FG!F:F), " ")</f>
        <v>Strunjite</v>
      </c>
      <c r="P214" s="129">
        <f>IFERROR(INDEX(DATABASE_FG!$G$5:$G$367, MATCH(E214, DATABASE_FG!$C$5:$C$367, 0)), "Not Found")</f>
        <v>0</v>
      </c>
      <c r="Q214" s="36"/>
      <c r="R214" s="125" t="s">
        <v>678</v>
      </c>
      <c r="S214" s="123">
        <f>IFERROR(INDEX(DATABASE_FG!$L$5:$L$367, MATCH(E214, DATABASE_FG!$C$5:$C$367, 0)), " ")</f>
        <v>42</v>
      </c>
      <c r="T214" s="36" t="s">
        <v>679</v>
      </c>
      <c r="U214" s="36"/>
      <c r="V214" s="36"/>
      <c r="W214" s="129"/>
      <c r="X214" s="36"/>
      <c r="Y214" s="36"/>
      <c r="Z214" s="36" t="s">
        <v>1264</v>
      </c>
      <c r="AA214" s="125" t="s">
        <v>121</v>
      </c>
      <c r="AB214" s="173">
        <v>45398</v>
      </c>
      <c r="AC214" s="119">
        <v>2024367</v>
      </c>
      <c r="AD214" s="36">
        <f t="shared" si="26"/>
        <v>5325142</v>
      </c>
      <c r="AE214" s="36" t="str">
        <f t="shared" si="27"/>
        <v>AU.KB2045-B-0208-DRE</v>
      </c>
      <c r="AF214" s="36">
        <v>700</v>
      </c>
      <c r="AG214" s="120">
        <f t="shared" si="28"/>
        <v>455</v>
      </c>
      <c r="AH214" s="36"/>
      <c r="AI214" s="124"/>
      <c r="AJ214" s="122" t="s">
        <v>1415</v>
      </c>
      <c r="AK214" s="129" t="str">
        <f t="shared" ca="1" si="30"/>
        <v>On Time</v>
      </c>
      <c r="AL214" s="268" t="str">
        <f t="shared" si="31"/>
        <v>April</v>
      </c>
      <c r="AM214" s="133">
        <f>YEAR(Table1[[#This Row],[ETA
As requested
dd.mm.yyyy]])</f>
        <v>2024</v>
      </c>
    </row>
    <row r="215" spans="1:39">
      <c r="A215" s="123" t="s">
        <v>83</v>
      </c>
      <c r="B215" s="36" t="s">
        <v>1170</v>
      </c>
      <c r="C215" s="117">
        <v>5325142</v>
      </c>
      <c r="D215" s="165">
        <v>45426</v>
      </c>
      <c r="E215" s="117" t="s">
        <v>108</v>
      </c>
      <c r="F215" s="36" t="str">
        <f>IFERROR(VLOOKUP(Table1[[#This Row],[Part Number]],DATABASE_FG!$C$6:D10204,2,FALSE)," ")</f>
        <v>094290032-0000</v>
      </c>
      <c r="G215" s="117">
        <f>IFERROR(_xlfn.XLOOKUP(Table1[[#This Row],[Part Number]],Table3[Part number],Table3[Drawing
 Revision]),"")</f>
        <v>0</v>
      </c>
      <c r="H215" s="118" cm="1">
        <f t="array" ref="H215">IFERROR(INDEX(PDB!$C:$AT,MATCH(E215,PDB!$B:$B,0),MATCH(YEAR(K215),0+PDB!$C$1:$AT$1,0)),"")</f>
        <v>0.65</v>
      </c>
      <c r="I215" s="36">
        <v>1500</v>
      </c>
      <c r="J215" s="125">
        <f>IFERROR(Table1[[#This Row],[Quantity]]*Table1[[#This Row],[Price/Unit
EUR]]," ")</f>
        <v>975</v>
      </c>
      <c r="K215" s="126">
        <v>45419</v>
      </c>
      <c r="L215" s="36">
        <f>WEEKNUM(Table1[[#This Row],[ETA
As requested
dd.mm.yyyy]])</f>
        <v>19</v>
      </c>
      <c r="M215" s="36">
        <f>YEAR(Table1[[#This Row],[ETA
As requested
dd.mm.yyyy]])</f>
        <v>2024</v>
      </c>
      <c r="N215" s="36">
        <f>IFERROR(INDEX(DATABASE_FG!$H$5:$H$367, MATCH(E215, DATABASE_FG!$C$5:$C$367, 0)), " ")</f>
        <v>0</v>
      </c>
      <c r="O215" s="129" t="str">
        <f>IF(E215&lt;&gt;"", _xlfn.XLOOKUP(E215, DATABASE_FG!C:C, DATABASE_FG!F:F), " ")</f>
        <v>Strunjite</v>
      </c>
      <c r="P215" s="129">
        <f>IFERROR(INDEX(DATABASE_FG!$G$5:$G$367, MATCH(E215, DATABASE_FG!$C$5:$C$367, 0)), "Not Found")</f>
        <v>0</v>
      </c>
      <c r="Q215" s="36"/>
      <c r="R215" s="125" t="s">
        <v>678</v>
      </c>
      <c r="S215" s="123">
        <f>IFERROR(INDEX(DATABASE_FG!$L$5:$L$367, MATCH(E215, DATABASE_FG!$C$5:$C$367, 0)), " ")</f>
        <v>42</v>
      </c>
      <c r="T215" s="36" t="s">
        <v>679</v>
      </c>
      <c r="U215" s="36"/>
      <c r="V215" s="36"/>
      <c r="W215" s="129"/>
      <c r="X215" s="36"/>
      <c r="Y215" s="36"/>
      <c r="Z215" s="36" t="s">
        <v>1447</v>
      </c>
      <c r="AA215" s="125" t="s">
        <v>121</v>
      </c>
      <c r="AB215" s="173">
        <v>45419</v>
      </c>
      <c r="AC215" s="119">
        <v>2024434</v>
      </c>
      <c r="AD215" s="36">
        <f t="shared" si="26"/>
        <v>5325142</v>
      </c>
      <c r="AE215" s="36" t="str">
        <f t="shared" si="27"/>
        <v>AU.KB2045-B-0208-DRE</v>
      </c>
      <c r="AF215" s="36">
        <v>553</v>
      </c>
      <c r="AG215" s="120">
        <f t="shared" si="28"/>
        <v>359.45</v>
      </c>
      <c r="AH215" s="36"/>
      <c r="AI215" s="124"/>
      <c r="AJ215" s="122" t="s">
        <v>1448</v>
      </c>
      <c r="AK215" s="129" t="str">
        <f t="shared" ca="1" si="30"/>
        <v>On Time</v>
      </c>
      <c r="AL215" s="268" t="str">
        <f t="shared" si="31"/>
        <v>May</v>
      </c>
      <c r="AM215" s="133">
        <f>YEAR(Table1[[#This Row],[ETA
As requested
dd.mm.yyyy]])</f>
        <v>2024</v>
      </c>
    </row>
    <row r="216" spans="1:39">
      <c r="A216" s="123" t="s">
        <v>83</v>
      </c>
      <c r="B216" s="36" t="s">
        <v>1170</v>
      </c>
      <c r="C216" s="117">
        <v>5325142</v>
      </c>
      <c r="D216" s="165">
        <v>45426</v>
      </c>
      <c r="E216" s="117" t="s">
        <v>108</v>
      </c>
      <c r="F216" s="36" t="str">
        <f>IFERROR(VLOOKUP(Table1[[#This Row],[Part Number]],DATABASE_FG!$C$6:D10205,2,FALSE)," ")</f>
        <v>094290032-0000</v>
      </c>
      <c r="G216" s="117">
        <f>IFERROR(_xlfn.XLOOKUP(Table1[[#This Row],[Part Number]],Table3[Part number],Table3[Drawing
 Revision]),"")</f>
        <v>0</v>
      </c>
      <c r="H216" s="118" cm="1">
        <f t="array" ref="H216">IFERROR(INDEX(PDB!$C:$AT,MATCH(E216,PDB!$B:$B,0),MATCH(YEAR(K216),0+PDB!$C$1:$AT$1,0)),"")</f>
        <v>0.65</v>
      </c>
      <c r="I216" s="36"/>
      <c r="J216" s="125">
        <f>IFERROR(Table1[[#This Row],[Quantity]]*Table1[[#This Row],[Price/Unit
EUR]]," ")</f>
        <v>0</v>
      </c>
      <c r="K216" s="126">
        <v>45419</v>
      </c>
      <c r="L216" s="36">
        <f>WEEKNUM(Table1[[#This Row],[ETA
As requested
dd.mm.yyyy]])</f>
        <v>19</v>
      </c>
      <c r="M216" s="36">
        <f>YEAR(Table1[[#This Row],[ETA
As requested
dd.mm.yyyy]])</f>
        <v>2024</v>
      </c>
      <c r="N216" s="36">
        <f>IFERROR(INDEX(DATABASE_FG!$H$5:$H$367, MATCH(E216, DATABASE_FG!$C$5:$C$367, 0)), " ")</f>
        <v>0</v>
      </c>
      <c r="O216" s="129" t="str">
        <f>IF(E216&lt;&gt;"", _xlfn.XLOOKUP(E216, DATABASE_FG!C:C, DATABASE_FG!F:F), " ")</f>
        <v>Strunjite</v>
      </c>
      <c r="P216" s="129">
        <f>IFERROR(INDEX(DATABASE_FG!$G$5:$G$367, MATCH(E216, DATABASE_FG!$C$5:$C$367, 0)), "Not Found")</f>
        <v>0</v>
      </c>
      <c r="Q216" s="36"/>
      <c r="R216" s="125" t="s">
        <v>678</v>
      </c>
      <c r="S216" s="123">
        <f>IFERROR(INDEX(DATABASE_FG!$L$5:$L$367, MATCH(E216, DATABASE_FG!$C$5:$C$367, 0)), " ")</f>
        <v>42</v>
      </c>
      <c r="T216" s="36" t="s">
        <v>679</v>
      </c>
      <c r="U216" s="36"/>
      <c r="V216" s="36"/>
      <c r="W216" s="129"/>
      <c r="X216" s="36"/>
      <c r="Y216" s="36"/>
      <c r="Z216" s="36"/>
      <c r="AA216" s="125" t="s">
        <v>121</v>
      </c>
      <c r="AB216" s="173">
        <v>45421</v>
      </c>
      <c r="AC216" s="119">
        <v>2024447</v>
      </c>
      <c r="AD216" s="36">
        <f t="shared" si="26"/>
        <v>5325142</v>
      </c>
      <c r="AE216" s="36" t="str">
        <f t="shared" si="27"/>
        <v>AU.KB2045-B-0208-DRE</v>
      </c>
      <c r="AF216" s="36">
        <v>700</v>
      </c>
      <c r="AG216" s="120">
        <f t="shared" si="28"/>
        <v>455</v>
      </c>
      <c r="AH216" s="36"/>
      <c r="AI216" s="124"/>
      <c r="AJ216" s="122" t="s">
        <v>1455</v>
      </c>
      <c r="AK216" s="129" t="str">
        <f t="shared" ca="1" si="30"/>
        <v>On Time</v>
      </c>
      <c r="AL216" s="268" t="str">
        <f t="shared" si="31"/>
        <v>May</v>
      </c>
      <c r="AM216" s="133">
        <f>YEAR(Table1[[#This Row],[ETA
As requested
dd.mm.yyyy]])</f>
        <v>2024</v>
      </c>
    </row>
    <row r="217" spans="1:39">
      <c r="A217" s="123" t="s">
        <v>83</v>
      </c>
      <c r="B217" s="36" t="s">
        <v>1170</v>
      </c>
      <c r="C217" s="117">
        <v>5325142</v>
      </c>
      <c r="D217" s="165">
        <v>45426</v>
      </c>
      <c r="E217" s="117" t="s">
        <v>108</v>
      </c>
      <c r="F217" s="36" t="str">
        <f>IFERROR(VLOOKUP(Table1[[#This Row],[Part Number]],DATABASE_FG!$C$6:D10206,2,FALSE)," ")</f>
        <v>094290032-0000</v>
      </c>
      <c r="G217" s="117">
        <f>IFERROR(_xlfn.XLOOKUP(Table1[[#This Row],[Part Number]],Table3[Part number],Table3[Drawing
 Revision]),"")</f>
        <v>0</v>
      </c>
      <c r="H217" s="118" cm="1">
        <f t="array" ref="H217">IFERROR(INDEX(PDB!$C:$AT,MATCH(E217,PDB!$B:$B,0),MATCH(YEAR(K217),0+PDB!$C$1:$AT$1,0)),"")</f>
        <v>0.65</v>
      </c>
      <c r="I217" s="36"/>
      <c r="J217" s="125">
        <f>IFERROR(Table1[[#This Row],[Quantity]]*Table1[[#This Row],[Price/Unit
EUR]]," ")</f>
        <v>0</v>
      </c>
      <c r="K217" s="126">
        <v>45419</v>
      </c>
      <c r="L217" s="36">
        <f>WEEKNUM(Table1[[#This Row],[ETA
As requested
dd.mm.yyyy]])</f>
        <v>19</v>
      </c>
      <c r="M217" s="36">
        <f>YEAR(Table1[[#This Row],[ETA
As requested
dd.mm.yyyy]])</f>
        <v>2024</v>
      </c>
      <c r="N217" s="36">
        <f>IFERROR(INDEX(DATABASE_FG!$H$5:$H$367, MATCH(E217, DATABASE_FG!$C$5:$C$367, 0)), " ")</f>
        <v>0</v>
      </c>
      <c r="O217" s="129" t="str">
        <f>IF(E217&lt;&gt;"", _xlfn.XLOOKUP(E217, DATABASE_FG!C:C, DATABASE_FG!F:F), " ")</f>
        <v>Strunjite</v>
      </c>
      <c r="P217" s="129">
        <f>IFERROR(INDEX(DATABASE_FG!$G$5:$G$367, MATCH(E217, DATABASE_FG!$C$5:$C$367, 0)), "Not Found")</f>
        <v>0</v>
      </c>
      <c r="Q217" s="36"/>
      <c r="R217" s="125" t="s">
        <v>678</v>
      </c>
      <c r="S217" s="123">
        <f>IFERROR(INDEX(DATABASE_FG!$L$5:$L$367, MATCH(E217, DATABASE_FG!$C$5:$C$367, 0)), " ")</f>
        <v>42</v>
      </c>
      <c r="T217" s="36" t="s">
        <v>679</v>
      </c>
      <c r="U217" s="36"/>
      <c r="V217" s="36"/>
      <c r="W217" s="129"/>
      <c r="X217" s="36"/>
      <c r="Y217" s="36"/>
      <c r="Z217" s="36"/>
      <c r="AA217" s="125" t="s">
        <v>121</v>
      </c>
      <c r="AB217" s="173">
        <v>45426</v>
      </c>
      <c r="AC217" s="119">
        <v>2024474</v>
      </c>
      <c r="AD217" s="36">
        <f t="shared" ref="AD217:AD280" si="32">IF(NOT(ISBLANK(AC217)), C217, "")</f>
        <v>5325142</v>
      </c>
      <c r="AE217" s="36" t="str">
        <f t="shared" ref="AE217:AE280" si="33">IF(NOT(ISBLANK(AC217)), E217, "")</f>
        <v>AU.KB2045-B-0208-DRE</v>
      </c>
      <c r="AF217" s="36">
        <v>247</v>
      </c>
      <c r="AG217" s="120">
        <f t="shared" ref="AG217:AG280" si="34">AF217*H217</f>
        <v>160.55000000000001</v>
      </c>
      <c r="AH217" s="36"/>
      <c r="AI217" s="124"/>
      <c r="AJ217" s="122" t="s">
        <v>1460</v>
      </c>
      <c r="AK217" s="129" t="str">
        <f t="shared" ref="AK217:AK248" ca="1" si="35">IF(AB217="", IF(K217 &lt; TODAY(), "Late", ""), IF(AB217 &lt;= K217 + 2, "On Time", "Late"))</f>
        <v>Late</v>
      </c>
      <c r="AL217" s="268" t="str">
        <f t="shared" si="31"/>
        <v>May</v>
      </c>
      <c r="AM217" s="133">
        <f>YEAR(Table1[[#This Row],[ETA
As requested
dd.mm.yyyy]])</f>
        <v>2024</v>
      </c>
    </row>
    <row r="218" spans="1:39">
      <c r="A218" s="123" t="s">
        <v>83</v>
      </c>
      <c r="B218" s="36" t="s">
        <v>1170</v>
      </c>
      <c r="C218" s="117">
        <v>5325142</v>
      </c>
      <c r="D218" s="165">
        <v>45427</v>
      </c>
      <c r="E218" s="117" t="s">
        <v>108</v>
      </c>
      <c r="F218" s="36" t="str">
        <f>IFERROR(VLOOKUP(Table1[[#This Row],[Part Number]],DATABASE_FG!$C$6:D10207,2,FALSE)," ")</f>
        <v>094290032-0000</v>
      </c>
      <c r="G218" s="117">
        <f>IFERROR(_xlfn.XLOOKUP(Table1[[#This Row],[Part Number]],Table3[Part number],Table3[Drawing
 Revision]),"")</f>
        <v>0</v>
      </c>
      <c r="H218" s="118" cm="1">
        <f t="array" ref="H218">IFERROR(INDEX(PDB!$C:$AT,MATCH(E218,PDB!$B:$B,0),MATCH(YEAR(K218),0+PDB!$C$1:$AT$1,0)),"")</f>
        <v>0.65</v>
      </c>
      <c r="I218" s="36"/>
      <c r="J218" s="125">
        <f>IFERROR(Table1[[#This Row],[Quantity]]*Table1[[#This Row],[Price/Unit
EUR]]," ")</f>
        <v>0</v>
      </c>
      <c r="K218" s="126">
        <v>45419</v>
      </c>
      <c r="L218" s="36">
        <f>WEEKNUM(Table1[[#This Row],[ETA
As requested
dd.mm.yyyy]])</f>
        <v>19</v>
      </c>
      <c r="M218" s="36">
        <f>YEAR(Table1[[#This Row],[ETA
As requested
dd.mm.yyyy]])</f>
        <v>2024</v>
      </c>
      <c r="N218" s="36">
        <f>IFERROR(INDEX(DATABASE_FG!$H$5:$H$367, MATCH(E218, DATABASE_FG!$C$5:$C$367, 0)), " ")</f>
        <v>0</v>
      </c>
      <c r="O218" s="129" t="str">
        <f>IF(E218&lt;&gt;"", _xlfn.XLOOKUP(E218, DATABASE_FG!C:C, DATABASE_FG!F:F), " ")</f>
        <v>Strunjite</v>
      </c>
      <c r="P218" s="129">
        <f>IFERROR(INDEX(DATABASE_FG!$G$5:$G$367, MATCH(E218, DATABASE_FG!$C$5:$C$367, 0)), "Not Found")</f>
        <v>0</v>
      </c>
      <c r="Q218" s="36"/>
      <c r="R218" s="125" t="s">
        <v>678</v>
      </c>
      <c r="S218" s="123">
        <f>IFERROR(INDEX(DATABASE_FG!$L$5:$L$367, MATCH(E218, DATABASE_FG!$C$5:$C$367, 0)), " ")</f>
        <v>42</v>
      </c>
      <c r="T218" s="36" t="s">
        <v>679</v>
      </c>
      <c r="U218" s="36"/>
      <c r="V218" s="36"/>
      <c r="W218" s="129"/>
      <c r="X218" s="36"/>
      <c r="Y218" s="36"/>
      <c r="Z218" s="36"/>
      <c r="AA218" s="125" t="s">
        <v>121</v>
      </c>
      <c r="AB218" s="173">
        <v>45491</v>
      </c>
      <c r="AC218" s="119">
        <v>2024877</v>
      </c>
      <c r="AD218" s="36">
        <f t="shared" si="32"/>
        <v>5325142</v>
      </c>
      <c r="AE218" s="36" t="str">
        <f t="shared" si="33"/>
        <v>AU.KB2045-B-0208-DRE</v>
      </c>
      <c r="AF218" s="36">
        <v>720</v>
      </c>
      <c r="AG218" s="120">
        <f t="shared" si="34"/>
        <v>468</v>
      </c>
      <c r="AH218" s="36"/>
      <c r="AI218" s="124"/>
      <c r="AJ218" s="122" t="s">
        <v>1470</v>
      </c>
      <c r="AK218" s="129" t="str">
        <f t="shared" ca="1" si="35"/>
        <v>Late</v>
      </c>
      <c r="AL218" s="268" t="str">
        <f t="shared" si="31"/>
        <v>May</v>
      </c>
      <c r="AM218" s="133">
        <f>YEAR(Table1[[#This Row],[ETA
As requested
dd.mm.yyyy]])</f>
        <v>2024</v>
      </c>
    </row>
    <row r="219" spans="1:39">
      <c r="A219" s="123" t="s">
        <v>83</v>
      </c>
      <c r="B219" s="36" t="s">
        <v>1170</v>
      </c>
      <c r="C219" s="117">
        <v>5325142</v>
      </c>
      <c r="D219" s="165">
        <v>45426</v>
      </c>
      <c r="E219" s="117" t="s">
        <v>108</v>
      </c>
      <c r="F219" s="36" t="str">
        <f>IFERROR(VLOOKUP(Table1[[#This Row],[Part Number]],DATABASE_FG!$C$6:D10208,2,FALSE)," ")</f>
        <v>094290032-0000</v>
      </c>
      <c r="G219" s="117">
        <f>IFERROR(_xlfn.XLOOKUP(Table1[[#This Row],[Part Number]],Table3[Part number],Table3[Drawing
 Revision]),"")</f>
        <v>0</v>
      </c>
      <c r="H219" s="118" cm="1">
        <f t="array" ref="H219">IFERROR(INDEX(PDB!$C:$AT,MATCH(E219,PDB!$B:$B,0),MATCH(YEAR(K219),0+PDB!$C$1:$AT$1,0)),"")</f>
        <v>0.65</v>
      </c>
      <c r="I219" s="36">
        <v>1500</v>
      </c>
      <c r="J219" s="125">
        <f>IFERROR(Table1[[#This Row],[Quantity]]*Table1[[#This Row],[Price/Unit
EUR]]," ")</f>
        <v>975</v>
      </c>
      <c r="K219" s="126">
        <v>45433</v>
      </c>
      <c r="L219" s="36">
        <f>WEEKNUM(Table1[[#This Row],[ETA
As requested
dd.mm.yyyy]])</f>
        <v>21</v>
      </c>
      <c r="M219" s="36">
        <f>YEAR(Table1[[#This Row],[ETA
As requested
dd.mm.yyyy]])</f>
        <v>2024</v>
      </c>
      <c r="N219" s="36">
        <f>IFERROR(INDEX(DATABASE_FG!$H$5:$H$367, MATCH(E219, DATABASE_FG!$C$5:$C$367, 0)), " ")</f>
        <v>0</v>
      </c>
      <c r="O219" s="129" t="str">
        <f>IF(E219&lt;&gt;"", _xlfn.XLOOKUP(E219, DATABASE_FG!C:C, DATABASE_FG!F:F), " ")</f>
        <v>Strunjite</v>
      </c>
      <c r="P219" s="129">
        <f>IFERROR(INDEX(DATABASE_FG!$G$5:$G$367, MATCH(E219, DATABASE_FG!$C$5:$C$367, 0)), "Not Found")</f>
        <v>0</v>
      </c>
      <c r="Q219" s="36"/>
      <c r="R219" s="125" t="s">
        <v>678</v>
      </c>
      <c r="S219" s="123">
        <f>IFERROR(INDEX(DATABASE_FG!$L$5:$L$367, MATCH(E219, DATABASE_FG!$C$5:$C$367, 0)), " ")</f>
        <v>42</v>
      </c>
      <c r="T219" s="36" t="s">
        <v>679</v>
      </c>
      <c r="U219" s="36"/>
      <c r="V219" s="36"/>
      <c r="W219" s="129"/>
      <c r="X219" s="36"/>
      <c r="Y219" s="36"/>
      <c r="Z219" s="36">
        <v>242005</v>
      </c>
      <c r="AA219" s="125" t="s">
        <v>121</v>
      </c>
      <c r="AB219" s="173">
        <v>45433</v>
      </c>
      <c r="AC219" s="119">
        <v>2024517</v>
      </c>
      <c r="AD219" s="36">
        <f t="shared" si="32"/>
        <v>5325142</v>
      </c>
      <c r="AE219" s="36" t="str">
        <f t="shared" si="33"/>
        <v>AU.KB2045-B-0208-DRE</v>
      </c>
      <c r="AF219" s="36">
        <v>1500</v>
      </c>
      <c r="AG219" s="120">
        <f t="shared" si="34"/>
        <v>975</v>
      </c>
      <c r="AH219" s="36"/>
      <c r="AI219" s="124"/>
      <c r="AJ219" s="122" t="s">
        <v>1528</v>
      </c>
      <c r="AK219" s="129" t="str">
        <f t="shared" ca="1" si="35"/>
        <v>On Time</v>
      </c>
      <c r="AL219" s="268" t="str">
        <f t="shared" si="31"/>
        <v>May</v>
      </c>
      <c r="AM219" s="133">
        <f>YEAR(Table1[[#This Row],[ETA
As requested
dd.mm.yyyy]])</f>
        <v>2024</v>
      </c>
    </row>
    <row r="220" spans="1:39">
      <c r="A220" s="123" t="s">
        <v>83</v>
      </c>
      <c r="B220" s="36" t="s">
        <v>1170</v>
      </c>
      <c r="C220" s="117">
        <v>5325142</v>
      </c>
      <c r="D220" s="165">
        <v>45440</v>
      </c>
      <c r="E220" s="117" t="s">
        <v>108</v>
      </c>
      <c r="F220" s="36" t="str">
        <f>IFERROR(VLOOKUP(Table1[[#This Row],[Part Number]],DATABASE_FG!$C$6:D10209,2,FALSE)," ")</f>
        <v>094290032-0000</v>
      </c>
      <c r="G220" s="117">
        <f>IFERROR(_xlfn.XLOOKUP(Table1[[#This Row],[Part Number]],Table3[Part number],Table3[Drawing
 Revision]),"")</f>
        <v>0</v>
      </c>
      <c r="H220" s="118" cm="1">
        <f t="array" ref="H220">IFERROR(INDEX(PDB!$C:$AT,MATCH(E220,PDB!$B:$B,0),MATCH(YEAR(K220),0+PDB!$C$1:$AT$1,0)),"")</f>
        <v>0.65</v>
      </c>
      <c r="I220" s="36">
        <v>3000</v>
      </c>
      <c r="J220" s="125">
        <f>IFERROR(Table1[[#This Row],[Quantity]]*Table1[[#This Row],[Price/Unit
EUR]]," ")</f>
        <v>1950</v>
      </c>
      <c r="K220" s="126">
        <v>45447</v>
      </c>
      <c r="L220" s="36">
        <f>WEEKNUM(Table1[[#This Row],[ETA
As requested
dd.mm.yyyy]])</f>
        <v>23</v>
      </c>
      <c r="M220" s="36">
        <f>YEAR(Table1[[#This Row],[ETA
As requested
dd.mm.yyyy]])</f>
        <v>2024</v>
      </c>
      <c r="N220" s="36">
        <f>IFERROR(INDEX(DATABASE_FG!$H$5:$H$367, MATCH(E220, DATABASE_FG!$C$5:$C$367, 0)), " ")</f>
        <v>0</v>
      </c>
      <c r="O220" s="129" t="str">
        <f>IF(E220&lt;&gt;"", _xlfn.XLOOKUP(E220, DATABASE_FG!C:C, DATABASE_FG!F:F), " ")</f>
        <v>Strunjite</v>
      </c>
      <c r="P220" s="129">
        <f>IFERROR(INDEX(DATABASE_FG!$G$5:$G$367, MATCH(E220, DATABASE_FG!$C$5:$C$367, 0)), "Not Found")</f>
        <v>0</v>
      </c>
      <c r="Q220" s="36"/>
      <c r="R220" s="125" t="s">
        <v>678</v>
      </c>
      <c r="S220" s="123">
        <f>IFERROR(INDEX(DATABASE_FG!$L$5:$L$367, MATCH(E220, DATABASE_FG!$C$5:$C$367, 0)), " ")</f>
        <v>42</v>
      </c>
      <c r="T220" s="36" t="s">
        <v>679</v>
      </c>
      <c r="U220" s="36"/>
      <c r="V220" s="36"/>
      <c r="W220" s="129"/>
      <c r="X220" s="36"/>
      <c r="Y220" s="36"/>
      <c r="Z220" s="36">
        <v>242202</v>
      </c>
      <c r="AA220" s="125" t="s">
        <v>121</v>
      </c>
      <c r="AB220" s="173">
        <v>45447</v>
      </c>
      <c r="AC220" s="119">
        <v>2024601</v>
      </c>
      <c r="AD220" s="36">
        <f t="shared" si="32"/>
        <v>5325142</v>
      </c>
      <c r="AE220" s="36" t="str">
        <f t="shared" si="33"/>
        <v>AU.KB2045-B-0208-DRE</v>
      </c>
      <c r="AF220" s="36">
        <v>134</v>
      </c>
      <c r="AG220" s="120">
        <f t="shared" si="34"/>
        <v>87.100000000000009</v>
      </c>
      <c r="AH220" s="36"/>
      <c r="AI220" s="124"/>
      <c r="AJ220" s="122" t="s">
        <v>1600</v>
      </c>
      <c r="AK220" s="129" t="str">
        <f t="shared" ca="1" si="35"/>
        <v>On Time</v>
      </c>
      <c r="AL220" s="268" t="str">
        <f t="shared" si="31"/>
        <v>June</v>
      </c>
      <c r="AM220" s="133">
        <f>YEAR(Table1[[#This Row],[ETA
As requested
dd.mm.yyyy]])</f>
        <v>2024</v>
      </c>
    </row>
    <row r="221" spans="1:39">
      <c r="A221" s="123" t="s">
        <v>83</v>
      </c>
      <c r="B221" s="36" t="s">
        <v>1170</v>
      </c>
      <c r="C221" s="117">
        <v>5325142</v>
      </c>
      <c r="D221" s="165">
        <v>45440</v>
      </c>
      <c r="E221" s="117" t="s">
        <v>108</v>
      </c>
      <c r="F221" s="36" t="str">
        <f>IFERROR(VLOOKUP(Table1[[#This Row],[Part Number]],DATABASE_FG!$C$6:D10210,2,FALSE)," ")</f>
        <v>094290032-0000</v>
      </c>
      <c r="G221" s="117">
        <f>IFERROR(_xlfn.XLOOKUP(Table1[[#This Row],[Part Number]],Table3[Part number],Table3[Drawing
 Revision]),"")</f>
        <v>0</v>
      </c>
      <c r="H221" s="118" cm="1">
        <f t="array" ref="H221">IFERROR(INDEX(PDB!$C:$AT,MATCH(E221,PDB!$B:$B,0),MATCH(YEAR(K221),0+PDB!$C$1:$AT$1,0)),"")</f>
        <v>0.65</v>
      </c>
      <c r="I221" s="36"/>
      <c r="J221" s="125">
        <f>IFERROR(Table1[[#This Row],[Quantity]]*Table1[[#This Row],[Price/Unit
EUR]]," ")</f>
        <v>0</v>
      </c>
      <c r="K221" s="126">
        <v>45447</v>
      </c>
      <c r="L221" s="36">
        <f>WEEKNUM(Table1[[#This Row],[ETA
As requested
dd.mm.yyyy]])</f>
        <v>23</v>
      </c>
      <c r="M221" s="36">
        <f>YEAR(Table1[[#This Row],[ETA
As requested
dd.mm.yyyy]])</f>
        <v>2024</v>
      </c>
      <c r="N221" s="36">
        <f>IFERROR(INDEX(DATABASE_FG!$H$5:$H$367, MATCH(E221, DATABASE_FG!$C$5:$C$367, 0)), " ")</f>
        <v>0</v>
      </c>
      <c r="O221" s="129" t="str">
        <f>IF(E221&lt;&gt;"", _xlfn.XLOOKUP(E221, DATABASE_FG!C:C, DATABASE_FG!F:F), " ")</f>
        <v>Strunjite</v>
      </c>
      <c r="P221" s="129">
        <f>IFERROR(INDEX(DATABASE_FG!$G$5:$G$367, MATCH(E221, DATABASE_FG!$C$5:$C$367, 0)), "Not Found")</f>
        <v>0</v>
      </c>
      <c r="Q221" s="36"/>
      <c r="R221" s="125" t="s">
        <v>678</v>
      </c>
      <c r="S221" s="123">
        <f>IFERROR(INDEX(DATABASE_FG!$L$5:$L$367, MATCH(E221, DATABASE_FG!$C$5:$C$367, 0)), " ")</f>
        <v>42</v>
      </c>
      <c r="T221" s="36" t="s">
        <v>679</v>
      </c>
      <c r="U221" s="36"/>
      <c r="V221" s="36"/>
      <c r="W221" s="129"/>
      <c r="X221" s="36"/>
      <c r="Y221" s="36"/>
      <c r="Z221" s="36"/>
      <c r="AA221" s="125" t="s">
        <v>121</v>
      </c>
      <c r="AB221" s="173">
        <v>45460</v>
      </c>
      <c r="AC221" s="119">
        <v>2024671</v>
      </c>
      <c r="AD221" s="36">
        <f t="shared" si="32"/>
        <v>5325142</v>
      </c>
      <c r="AE221" s="36" t="str">
        <f t="shared" si="33"/>
        <v>AU.KB2045-B-0208-DRE</v>
      </c>
      <c r="AF221" s="36">
        <v>1076</v>
      </c>
      <c r="AG221" s="120">
        <f t="shared" si="34"/>
        <v>699.4</v>
      </c>
      <c r="AH221" s="36"/>
      <c r="AI221" s="124"/>
      <c r="AJ221" s="122" t="s">
        <v>1612</v>
      </c>
      <c r="AK221" s="129" t="str">
        <f t="shared" ca="1" si="35"/>
        <v>Late</v>
      </c>
      <c r="AL221" s="268" t="str">
        <f t="shared" si="31"/>
        <v>June</v>
      </c>
      <c r="AM221" s="133">
        <f>YEAR(Table1[[#This Row],[ETA
As requested
dd.mm.yyyy]])</f>
        <v>2024</v>
      </c>
    </row>
    <row r="222" spans="1:39">
      <c r="A222" s="123" t="s">
        <v>83</v>
      </c>
      <c r="B222" s="36" t="s">
        <v>1170</v>
      </c>
      <c r="C222" s="117">
        <v>5325142</v>
      </c>
      <c r="D222" s="165">
        <v>45440</v>
      </c>
      <c r="E222" s="117" t="s">
        <v>108</v>
      </c>
      <c r="F222" s="36" t="str">
        <f>IFERROR(VLOOKUP(Table1[[#This Row],[Part Number]],DATABASE_FG!$C$6:D10211,2,FALSE)," ")</f>
        <v>094290032-0000</v>
      </c>
      <c r="G222" s="117">
        <f>IFERROR(_xlfn.XLOOKUP(Table1[[#This Row],[Part Number]],Table3[Part number],Table3[Drawing
 Revision]),"")</f>
        <v>0</v>
      </c>
      <c r="H222" s="118" cm="1">
        <f t="array" ref="H222">IFERROR(INDEX(PDB!$C:$AT,MATCH(E222,PDB!$B:$B,0),MATCH(YEAR(K222),0+PDB!$C$1:$AT$1,0)),"")</f>
        <v>0.65</v>
      </c>
      <c r="I222" s="36"/>
      <c r="J222" s="125">
        <f>IFERROR(Table1[[#This Row],[Quantity]]*Table1[[#This Row],[Price/Unit
EUR]]," ")</f>
        <v>0</v>
      </c>
      <c r="K222" s="126">
        <v>45447</v>
      </c>
      <c r="L222" s="36">
        <f>WEEKNUM(Table1[[#This Row],[ETA
As requested
dd.mm.yyyy]])</f>
        <v>23</v>
      </c>
      <c r="M222" s="36">
        <f>YEAR(Table1[[#This Row],[ETA
As requested
dd.mm.yyyy]])</f>
        <v>2024</v>
      </c>
      <c r="N222" s="36">
        <f>IFERROR(INDEX(DATABASE_FG!$H$5:$H$367, MATCH(E222, DATABASE_FG!$C$5:$C$367, 0)), " ")</f>
        <v>0</v>
      </c>
      <c r="O222" s="129" t="str">
        <f>IF(E222&lt;&gt;"", _xlfn.XLOOKUP(E222, DATABASE_FG!C:C, DATABASE_FG!F:F), " ")</f>
        <v>Strunjite</v>
      </c>
      <c r="P222" s="129">
        <f>IFERROR(INDEX(DATABASE_FG!$G$5:$G$367, MATCH(E222, DATABASE_FG!$C$5:$C$367, 0)), "Not Found")</f>
        <v>0</v>
      </c>
      <c r="Q222" s="36"/>
      <c r="R222" s="125" t="s">
        <v>678</v>
      </c>
      <c r="S222" s="123">
        <f>IFERROR(INDEX(DATABASE_FG!$L$5:$L$367, MATCH(E222, DATABASE_FG!$C$5:$C$367, 0)), " ")</f>
        <v>42</v>
      </c>
      <c r="T222" s="36" t="s">
        <v>679</v>
      </c>
      <c r="U222" s="36"/>
      <c r="V222" s="36"/>
      <c r="W222" s="129"/>
      <c r="X222" s="36"/>
      <c r="Y222" s="36"/>
      <c r="Z222" s="36"/>
      <c r="AA222" s="125" t="s">
        <v>121</v>
      </c>
      <c r="AB222" s="173">
        <v>45461</v>
      </c>
      <c r="AC222" s="119">
        <v>2024684</v>
      </c>
      <c r="AD222" s="36">
        <f t="shared" si="32"/>
        <v>5325142</v>
      </c>
      <c r="AE222" s="36" t="str">
        <f t="shared" si="33"/>
        <v>AU.KB2045-B-0208-DRE</v>
      </c>
      <c r="AF222" s="36">
        <v>394</v>
      </c>
      <c r="AG222" s="120">
        <f t="shared" si="34"/>
        <v>256.10000000000002</v>
      </c>
      <c r="AH222" s="36"/>
      <c r="AI222" s="124"/>
      <c r="AJ222" s="122" t="s">
        <v>1614</v>
      </c>
      <c r="AK222" s="129" t="str">
        <f t="shared" ca="1" si="35"/>
        <v>Late</v>
      </c>
      <c r="AL222" s="268" t="str">
        <f t="shared" si="31"/>
        <v>June</v>
      </c>
      <c r="AM222" s="133">
        <f>YEAR(Table1[[#This Row],[ETA
As requested
dd.mm.yyyy]])</f>
        <v>2024</v>
      </c>
    </row>
    <row r="223" spans="1:39">
      <c r="A223" s="123" t="s">
        <v>83</v>
      </c>
      <c r="B223" s="36" t="s">
        <v>1170</v>
      </c>
      <c r="C223" s="117">
        <v>5325142</v>
      </c>
      <c r="D223" s="165">
        <v>45440</v>
      </c>
      <c r="E223" s="117" t="s">
        <v>108</v>
      </c>
      <c r="F223" s="36" t="str">
        <f>IFERROR(VLOOKUP(Table1[[#This Row],[Part Number]],DATABASE_FG!$C$6:D10212,2,FALSE)," ")</f>
        <v>094290032-0000</v>
      </c>
      <c r="G223" s="117">
        <f>IFERROR(_xlfn.XLOOKUP(Table1[[#This Row],[Part Number]],Table3[Part number],Table3[Drawing
 Revision]),"")</f>
        <v>0</v>
      </c>
      <c r="H223" s="118" cm="1">
        <f t="array" ref="H223">IFERROR(INDEX(PDB!$C:$AT,MATCH(E223,PDB!$B:$B,0),MATCH(YEAR(K223),0+PDB!$C$1:$AT$1,0)),"")</f>
        <v>0.65</v>
      </c>
      <c r="I223" s="36"/>
      <c r="J223" s="125">
        <f>IFERROR(Table1[[#This Row],[Quantity]]*Table1[[#This Row],[Price/Unit
EUR]]," ")</f>
        <v>0</v>
      </c>
      <c r="K223" s="126">
        <v>45447</v>
      </c>
      <c r="L223" s="36">
        <f>WEEKNUM(Table1[[#This Row],[ETA
As requested
dd.mm.yyyy]])</f>
        <v>23</v>
      </c>
      <c r="M223" s="36">
        <f>YEAR(Table1[[#This Row],[ETA
As requested
dd.mm.yyyy]])</f>
        <v>2024</v>
      </c>
      <c r="N223" s="36">
        <f>IFERROR(INDEX(DATABASE_FG!$H$5:$H$367, MATCH(E223, DATABASE_FG!$C$5:$C$367, 0)), " ")</f>
        <v>0</v>
      </c>
      <c r="O223" s="129" t="str">
        <f>IF(E223&lt;&gt;"", _xlfn.XLOOKUP(E223, DATABASE_FG!C:C, DATABASE_FG!F:F), " ")</f>
        <v>Strunjite</v>
      </c>
      <c r="P223" s="129">
        <f>IFERROR(INDEX(DATABASE_FG!$G$5:$G$367, MATCH(E223, DATABASE_FG!$C$5:$C$367, 0)), "Not Found")</f>
        <v>0</v>
      </c>
      <c r="Q223" s="36"/>
      <c r="R223" s="125" t="s">
        <v>678</v>
      </c>
      <c r="S223" s="123">
        <f>IFERROR(INDEX(DATABASE_FG!$L$5:$L$367, MATCH(E223, DATABASE_FG!$C$5:$C$367, 0)), " ")</f>
        <v>42</v>
      </c>
      <c r="T223" s="36" t="s">
        <v>679</v>
      </c>
      <c r="U223" s="36"/>
      <c r="V223" s="36"/>
      <c r="W223" s="129"/>
      <c r="X223" s="36"/>
      <c r="Y223" s="36"/>
      <c r="Z223" s="36"/>
      <c r="AA223" s="125" t="s">
        <v>121</v>
      </c>
      <c r="AB223" s="173">
        <v>45462</v>
      </c>
      <c r="AC223" s="119">
        <v>2024688</v>
      </c>
      <c r="AD223" s="36">
        <f t="shared" si="32"/>
        <v>5325142</v>
      </c>
      <c r="AE223" s="36" t="str">
        <f t="shared" si="33"/>
        <v>AU.KB2045-B-0208-DRE</v>
      </c>
      <c r="AF223" s="36">
        <v>462</v>
      </c>
      <c r="AG223" s="120">
        <f t="shared" si="34"/>
        <v>300.3</v>
      </c>
      <c r="AH223" s="36"/>
      <c r="AI223" s="124"/>
      <c r="AJ223" s="122" t="s">
        <v>1615</v>
      </c>
      <c r="AK223" s="129" t="str">
        <f t="shared" ca="1" si="35"/>
        <v>Late</v>
      </c>
      <c r="AL223" s="268" t="str">
        <f t="shared" si="31"/>
        <v>June</v>
      </c>
      <c r="AM223" s="133">
        <f>YEAR(Table1[[#This Row],[ETA
As requested
dd.mm.yyyy]])</f>
        <v>2024</v>
      </c>
    </row>
    <row r="224" spans="1:39">
      <c r="A224" s="123" t="s">
        <v>83</v>
      </c>
      <c r="B224" s="36" t="s">
        <v>1170</v>
      </c>
      <c r="C224" s="117">
        <v>5325142</v>
      </c>
      <c r="D224" s="165">
        <v>45440</v>
      </c>
      <c r="E224" s="117" t="s">
        <v>108</v>
      </c>
      <c r="F224" s="36" t="str">
        <f>IFERROR(VLOOKUP(Table1[[#This Row],[Part Number]],DATABASE_FG!$C$6:D10213,2,FALSE)," ")</f>
        <v>094290032-0000</v>
      </c>
      <c r="G224" s="117">
        <f>IFERROR(_xlfn.XLOOKUP(Table1[[#This Row],[Part Number]],Table3[Part number],Table3[Drawing
 Revision]),"")</f>
        <v>0</v>
      </c>
      <c r="H224" s="118" cm="1">
        <f t="array" ref="H224">IFERROR(INDEX(PDB!$C:$AT,MATCH(E224,PDB!$B:$B,0),MATCH(YEAR(K224),0+PDB!$C$1:$AT$1,0)),"")</f>
        <v>0.65</v>
      </c>
      <c r="I224" s="36"/>
      <c r="J224" s="125">
        <f>IFERROR(Table1[[#This Row],[Quantity]]*Table1[[#This Row],[Price/Unit
EUR]]," ")</f>
        <v>0</v>
      </c>
      <c r="K224" s="126">
        <v>45447</v>
      </c>
      <c r="L224" s="36">
        <f>WEEKNUM(Table1[[#This Row],[ETA
As requested
dd.mm.yyyy]])</f>
        <v>23</v>
      </c>
      <c r="M224" s="36">
        <f>YEAR(Table1[[#This Row],[ETA
As requested
dd.mm.yyyy]])</f>
        <v>2024</v>
      </c>
      <c r="N224" s="36">
        <f>IFERROR(INDEX(DATABASE_FG!$H$5:$H$367, MATCH(E224, DATABASE_FG!$C$5:$C$367, 0)), " ")</f>
        <v>0</v>
      </c>
      <c r="O224" s="129" t="str">
        <f>IF(E224&lt;&gt;"", _xlfn.XLOOKUP(E224, DATABASE_FG!C:C, DATABASE_FG!F:F), " ")</f>
        <v>Strunjite</v>
      </c>
      <c r="P224" s="129">
        <f>IFERROR(INDEX(DATABASE_FG!$G$5:$G$367, MATCH(E224, DATABASE_FG!$C$5:$C$367, 0)), "Not Found")</f>
        <v>0</v>
      </c>
      <c r="Q224" s="36"/>
      <c r="R224" s="125" t="s">
        <v>678</v>
      </c>
      <c r="S224" s="123">
        <f>IFERROR(INDEX(DATABASE_FG!$L$5:$L$367, MATCH(E224, DATABASE_FG!$C$5:$C$367, 0)), " ")</f>
        <v>42</v>
      </c>
      <c r="T224" s="36" t="s">
        <v>679</v>
      </c>
      <c r="U224" s="36"/>
      <c r="V224" s="36"/>
      <c r="W224" s="129"/>
      <c r="X224" s="36"/>
      <c r="Y224" s="36"/>
      <c r="Z224" s="36"/>
      <c r="AA224" s="125" t="s">
        <v>121</v>
      </c>
      <c r="AB224" s="172">
        <v>45462</v>
      </c>
      <c r="AC224" s="119">
        <v>2024691</v>
      </c>
      <c r="AD224" s="36">
        <f t="shared" si="32"/>
        <v>5325142</v>
      </c>
      <c r="AE224" s="36" t="str">
        <f t="shared" si="33"/>
        <v>AU.KB2045-B-0208-DRE</v>
      </c>
      <c r="AF224" s="36">
        <v>202</v>
      </c>
      <c r="AG224" s="120">
        <f t="shared" si="34"/>
        <v>131.30000000000001</v>
      </c>
      <c r="AH224" s="36"/>
      <c r="AI224" s="124"/>
      <c r="AJ224" s="122" t="s">
        <v>1616</v>
      </c>
      <c r="AK224" s="129" t="str">
        <f t="shared" ca="1" si="35"/>
        <v>Late</v>
      </c>
      <c r="AL224" s="268" t="str">
        <f t="shared" si="31"/>
        <v>June</v>
      </c>
      <c r="AM224" s="133">
        <f>YEAR(Table1[[#This Row],[ETA
As requested
dd.mm.yyyy]])</f>
        <v>2024</v>
      </c>
    </row>
    <row r="225" spans="1:39">
      <c r="A225" s="123" t="s">
        <v>83</v>
      </c>
      <c r="B225" s="36" t="s">
        <v>1170</v>
      </c>
      <c r="C225" s="117">
        <v>5325142</v>
      </c>
      <c r="D225" s="165">
        <v>45440</v>
      </c>
      <c r="E225" s="117" t="s">
        <v>108</v>
      </c>
      <c r="F225" s="36" t="str">
        <f>IFERROR(VLOOKUP(Table1[[#This Row],[Part Number]],DATABASE_FG!$C$6:D10214,2,FALSE)," ")</f>
        <v>094290032-0000</v>
      </c>
      <c r="G225" s="117">
        <f>IFERROR(_xlfn.XLOOKUP(Table1[[#This Row],[Part Number]],Table3[Part number],Table3[Drawing
 Revision]),"")</f>
        <v>0</v>
      </c>
      <c r="H225" s="118" cm="1">
        <f t="array" ref="H225">IFERROR(INDEX(PDB!$C:$AT,MATCH(E225,PDB!$B:$B,0),MATCH(YEAR(K225),0+PDB!$C$1:$AT$1,0)),"")</f>
        <v>0.65</v>
      </c>
      <c r="I225" s="36"/>
      <c r="J225" s="125">
        <f>IFERROR(Table1[[#This Row],[Quantity]]*Table1[[#This Row],[Price/Unit
EUR]]," ")</f>
        <v>0</v>
      </c>
      <c r="K225" s="126">
        <v>45447</v>
      </c>
      <c r="L225" s="36">
        <f>WEEKNUM(Table1[[#This Row],[ETA
As requested
dd.mm.yyyy]])</f>
        <v>23</v>
      </c>
      <c r="M225" s="36">
        <f>YEAR(Table1[[#This Row],[ETA
As requested
dd.mm.yyyy]])</f>
        <v>2024</v>
      </c>
      <c r="N225" s="36">
        <f>IFERROR(INDEX(DATABASE_FG!$H$5:$H$367, MATCH(E225, DATABASE_FG!$C$5:$C$367, 0)), " ")</f>
        <v>0</v>
      </c>
      <c r="O225" s="129" t="str">
        <f>IF(E225&lt;&gt;"", _xlfn.XLOOKUP(E225, DATABASE_FG!C:C, DATABASE_FG!F:F), " ")</f>
        <v>Strunjite</v>
      </c>
      <c r="P225" s="129">
        <f>IFERROR(INDEX(DATABASE_FG!$G$5:$G$367, MATCH(E225, DATABASE_FG!$C$5:$C$367, 0)), "Not Found")</f>
        <v>0</v>
      </c>
      <c r="Q225" s="36"/>
      <c r="R225" s="125" t="s">
        <v>678</v>
      </c>
      <c r="S225" s="123">
        <f>IFERROR(INDEX(DATABASE_FG!$L$5:$L$367, MATCH(E225, DATABASE_FG!$C$5:$C$367, 0)), " ")</f>
        <v>42</v>
      </c>
      <c r="T225" s="36" t="s">
        <v>679</v>
      </c>
      <c r="U225" s="36"/>
      <c r="V225" s="36"/>
      <c r="W225" s="129"/>
      <c r="X225" s="36"/>
      <c r="Y225" s="36"/>
      <c r="Z225" s="36"/>
      <c r="AA225" s="125" t="s">
        <v>121</v>
      </c>
      <c r="AB225" s="173">
        <v>45464</v>
      </c>
      <c r="AC225" s="119">
        <v>2024703</v>
      </c>
      <c r="AD225" s="36">
        <f t="shared" si="32"/>
        <v>5325142</v>
      </c>
      <c r="AE225" s="36" t="str">
        <f t="shared" si="33"/>
        <v>AU.KB2045-B-0208-DRE</v>
      </c>
      <c r="AF225" s="36">
        <v>601</v>
      </c>
      <c r="AG225" s="120">
        <f t="shared" si="34"/>
        <v>390.65000000000003</v>
      </c>
      <c r="AH225" s="36"/>
      <c r="AI225" s="124"/>
      <c r="AJ225" s="122" t="s">
        <v>1618</v>
      </c>
      <c r="AK225" s="129" t="str">
        <f t="shared" ca="1" si="35"/>
        <v>Late</v>
      </c>
      <c r="AL225" s="268" t="str">
        <f t="shared" si="31"/>
        <v>June</v>
      </c>
      <c r="AM225" s="133">
        <f>YEAR(Table1[[#This Row],[ETA
As requested
dd.mm.yyyy]])</f>
        <v>2024</v>
      </c>
    </row>
    <row r="226" spans="1:39">
      <c r="A226" s="123" t="s">
        <v>83</v>
      </c>
      <c r="B226" s="36" t="s">
        <v>1170</v>
      </c>
      <c r="C226" s="117">
        <v>5325142</v>
      </c>
      <c r="D226" s="165">
        <v>45440</v>
      </c>
      <c r="E226" s="117" t="s">
        <v>108</v>
      </c>
      <c r="F226" s="36" t="str">
        <f>IFERROR(VLOOKUP(Table1[[#This Row],[Part Number]],DATABASE_FG!$C$6:D10215,2,FALSE)," ")</f>
        <v>094290032-0000</v>
      </c>
      <c r="G226" s="117">
        <f>IFERROR(_xlfn.XLOOKUP(Table1[[#This Row],[Part Number]],Table3[Part number],Table3[Drawing
 Revision]),"")</f>
        <v>0</v>
      </c>
      <c r="H226" s="118" cm="1">
        <f t="array" ref="H226">IFERROR(INDEX(PDB!$C:$AT,MATCH(E226,PDB!$B:$B,0),MATCH(YEAR(K226),0+PDB!$C$1:$AT$1,0)),"")</f>
        <v>0.65</v>
      </c>
      <c r="I226" s="36"/>
      <c r="J226" s="125">
        <f>IFERROR(Table1[[#This Row],[Quantity]]*Table1[[#This Row],[Price/Unit
EUR]]," ")</f>
        <v>0</v>
      </c>
      <c r="K226" s="126">
        <v>45447</v>
      </c>
      <c r="L226" s="36">
        <f>WEEKNUM(Table1[[#This Row],[ETA
As requested
dd.mm.yyyy]])</f>
        <v>23</v>
      </c>
      <c r="M226" s="36">
        <f>YEAR(Table1[[#This Row],[ETA
As requested
dd.mm.yyyy]])</f>
        <v>2024</v>
      </c>
      <c r="N226" s="36">
        <f>IFERROR(INDEX(DATABASE_FG!$H$5:$H$367, MATCH(E226, DATABASE_FG!$C$5:$C$367, 0)), " ")</f>
        <v>0</v>
      </c>
      <c r="O226" s="129" t="str">
        <f>IF(E226&lt;&gt;"", _xlfn.XLOOKUP(E226, DATABASE_FG!C:C, DATABASE_FG!F:F), " ")</f>
        <v>Strunjite</v>
      </c>
      <c r="P226" s="129">
        <f>IFERROR(INDEX(DATABASE_FG!$G$5:$G$367, MATCH(E226, DATABASE_FG!$C$5:$C$367, 0)), "Not Found")</f>
        <v>0</v>
      </c>
      <c r="Q226" s="36"/>
      <c r="R226" s="125" t="s">
        <v>678</v>
      </c>
      <c r="S226" s="123">
        <f>IFERROR(INDEX(DATABASE_FG!$L$5:$L$367, MATCH(E226, DATABASE_FG!$C$5:$C$367, 0)), " ")</f>
        <v>42</v>
      </c>
      <c r="T226" s="36" t="s">
        <v>679</v>
      </c>
      <c r="U226" s="36"/>
      <c r="V226" s="36"/>
      <c r="W226" s="129"/>
      <c r="X226" s="36"/>
      <c r="Y226" s="36"/>
      <c r="Z226" s="36"/>
      <c r="AA226" s="125" t="s">
        <v>121</v>
      </c>
      <c r="AB226" s="172">
        <v>45464</v>
      </c>
      <c r="AC226" s="119">
        <v>2024713</v>
      </c>
      <c r="AD226" s="36">
        <f t="shared" si="32"/>
        <v>5325142</v>
      </c>
      <c r="AE226" s="36" t="str">
        <f t="shared" si="33"/>
        <v>AU.KB2045-B-0208-DRE</v>
      </c>
      <c r="AF226" s="36">
        <v>131</v>
      </c>
      <c r="AG226" s="120">
        <f t="shared" si="34"/>
        <v>85.15</v>
      </c>
      <c r="AH226" s="36"/>
      <c r="AI226" s="124"/>
      <c r="AJ226" s="122" t="s">
        <v>1619</v>
      </c>
      <c r="AK226" s="129" t="str">
        <f t="shared" ca="1" si="35"/>
        <v>Late</v>
      </c>
      <c r="AL226" s="268" t="str">
        <f t="shared" si="31"/>
        <v>June</v>
      </c>
      <c r="AM226" s="133">
        <f>YEAR(Table1[[#This Row],[ETA
As requested
dd.mm.yyyy]])</f>
        <v>2024</v>
      </c>
    </row>
    <row r="227" spans="1:39">
      <c r="A227" s="123" t="s">
        <v>83</v>
      </c>
      <c r="B227" s="36" t="s">
        <v>1170</v>
      </c>
      <c r="C227" s="117">
        <v>5325142</v>
      </c>
      <c r="D227" s="165">
        <v>45440</v>
      </c>
      <c r="E227" s="117" t="s">
        <v>108</v>
      </c>
      <c r="F227" s="36" t="str">
        <f>IFERROR(VLOOKUP(Table1[[#This Row],[Part Number]],DATABASE_FG!$C$6:D10216,2,FALSE)," ")</f>
        <v>094290032-0000</v>
      </c>
      <c r="G227" s="117">
        <f>IFERROR(_xlfn.XLOOKUP(Table1[[#This Row],[Part Number]],Table3[Part number],Table3[Drawing
 Revision]),"")</f>
        <v>0</v>
      </c>
      <c r="H227" s="118" cm="1">
        <f t="array" ref="H227">IFERROR(INDEX(PDB!$C:$AT,MATCH(E227,PDB!$B:$B,0),MATCH(YEAR(K227),0+PDB!$C$1:$AT$1,0)),"")</f>
        <v>0.65</v>
      </c>
      <c r="I227" s="36">
        <v>3000</v>
      </c>
      <c r="J227" s="125">
        <f>IFERROR(Table1[[#This Row],[Quantity]]*Table1[[#This Row],[Price/Unit
EUR]]," ")</f>
        <v>1950</v>
      </c>
      <c r="K227" s="126">
        <v>45454</v>
      </c>
      <c r="L227" s="36">
        <f>WEEKNUM(Table1[[#This Row],[ETA
As requested
dd.mm.yyyy]])</f>
        <v>24</v>
      </c>
      <c r="M227" s="36">
        <f>YEAR(Table1[[#This Row],[ETA
As requested
dd.mm.yyyy]])</f>
        <v>2024</v>
      </c>
      <c r="N227" s="36">
        <f>IFERROR(INDEX(DATABASE_FG!$H$5:$H$367, MATCH(E227, DATABASE_FG!$C$5:$C$367, 0)), " ")</f>
        <v>0</v>
      </c>
      <c r="O227" s="129" t="str">
        <f>IF(E227&lt;&gt;"", _xlfn.XLOOKUP(E227, DATABASE_FG!C:C, DATABASE_FG!F:F), " ")</f>
        <v>Strunjite</v>
      </c>
      <c r="P227" s="129">
        <f>IFERROR(INDEX(DATABASE_FG!$G$5:$G$367, MATCH(E227, DATABASE_FG!$C$5:$C$367, 0)), "Not Found")</f>
        <v>0</v>
      </c>
      <c r="Q227" s="36"/>
      <c r="R227" s="125" t="s">
        <v>678</v>
      </c>
      <c r="S227" s="123">
        <f>IFERROR(INDEX(DATABASE_FG!$L$5:$L$367, MATCH(E227, DATABASE_FG!$C$5:$C$367, 0)), " ")</f>
        <v>42</v>
      </c>
      <c r="T227" s="36" t="s">
        <v>679</v>
      </c>
      <c r="U227" s="36"/>
      <c r="V227" s="36"/>
      <c r="W227" s="129"/>
      <c r="X227" s="36"/>
      <c r="Y227" s="36"/>
      <c r="Z227" s="36">
        <v>242502</v>
      </c>
      <c r="AA227" s="125" t="s">
        <v>121</v>
      </c>
      <c r="AB227" s="172">
        <v>45464</v>
      </c>
      <c r="AC227" s="119">
        <v>2024713</v>
      </c>
      <c r="AD227" s="36">
        <f t="shared" si="32"/>
        <v>5325142</v>
      </c>
      <c r="AE227" s="36" t="str">
        <f t="shared" si="33"/>
        <v>AU.KB2045-B-0208-DRE</v>
      </c>
      <c r="AF227" s="36">
        <v>145</v>
      </c>
      <c r="AG227" s="120">
        <f t="shared" si="34"/>
        <v>94.25</v>
      </c>
      <c r="AH227" s="36"/>
      <c r="AI227" s="124"/>
      <c r="AJ227" s="122" t="s">
        <v>1619</v>
      </c>
      <c r="AK227" s="129" t="str">
        <f t="shared" ca="1" si="35"/>
        <v>Late</v>
      </c>
      <c r="AL227" s="268" t="str">
        <f t="shared" si="31"/>
        <v>June</v>
      </c>
      <c r="AM227" s="133">
        <f>YEAR(Table1[[#This Row],[ETA
As requested
dd.mm.yyyy]])</f>
        <v>2024</v>
      </c>
    </row>
    <row r="228" spans="1:39">
      <c r="A228" s="123" t="s">
        <v>83</v>
      </c>
      <c r="B228" s="36" t="s">
        <v>1170</v>
      </c>
      <c r="C228" s="117">
        <v>5325142</v>
      </c>
      <c r="D228" s="165">
        <v>45440</v>
      </c>
      <c r="E228" s="117" t="s">
        <v>108</v>
      </c>
      <c r="F228" s="36" t="str">
        <f>IFERROR(VLOOKUP(Table1[[#This Row],[Part Number]],DATABASE_FG!$C$6:D10217,2,FALSE)," ")</f>
        <v>094290032-0000</v>
      </c>
      <c r="G228" s="117">
        <f>IFERROR(_xlfn.XLOOKUP(Table1[[#This Row],[Part Number]],Table3[Part number],Table3[Drawing
 Revision]),"")</f>
        <v>0</v>
      </c>
      <c r="H228" s="118" cm="1">
        <f t="array" ref="H228">IFERROR(INDEX(PDB!$C:$AT,MATCH(E228,PDB!$B:$B,0),MATCH(YEAR(K228),0+PDB!$C$1:$AT$1,0)),"")</f>
        <v>0.65</v>
      </c>
      <c r="I228" s="36"/>
      <c r="J228" s="125">
        <f>IFERROR(Table1[[#This Row],[Quantity]]*Table1[[#This Row],[Price/Unit
EUR]]," ")</f>
        <v>0</v>
      </c>
      <c r="K228" s="126">
        <v>45454</v>
      </c>
      <c r="L228" s="36">
        <f>WEEKNUM(Table1[[#This Row],[ETA
As requested
dd.mm.yyyy]])</f>
        <v>24</v>
      </c>
      <c r="M228" s="36">
        <f>YEAR(Table1[[#This Row],[ETA
As requested
dd.mm.yyyy]])</f>
        <v>2024</v>
      </c>
      <c r="N228" s="36">
        <f>IFERROR(INDEX(DATABASE_FG!$H$5:$H$367, MATCH(E228, DATABASE_FG!$C$5:$C$367, 0)), " ")</f>
        <v>0</v>
      </c>
      <c r="O228" s="129" t="str">
        <f>IF(E228&lt;&gt;"", _xlfn.XLOOKUP(E228, DATABASE_FG!C:C, DATABASE_FG!F:F), " ")</f>
        <v>Strunjite</v>
      </c>
      <c r="P228" s="129">
        <f>IFERROR(INDEX(DATABASE_FG!$G$5:$G$367, MATCH(E228, DATABASE_FG!$C$5:$C$367, 0)), "Not Found")</f>
        <v>0</v>
      </c>
      <c r="Q228" s="36"/>
      <c r="R228" s="125" t="s">
        <v>678</v>
      </c>
      <c r="S228" s="123">
        <f>IFERROR(INDEX(DATABASE_FG!$L$5:$L$367, MATCH(E228, DATABASE_FG!$C$5:$C$367, 0)), " ")</f>
        <v>42</v>
      </c>
      <c r="T228" s="36" t="s">
        <v>679</v>
      </c>
      <c r="U228" s="36"/>
      <c r="V228" s="36"/>
      <c r="W228" s="129"/>
      <c r="X228" s="36"/>
      <c r="Y228" s="36"/>
      <c r="Z228" s="36"/>
      <c r="AA228" s="125" t="s">
        <v>121</v>
      </c>
      <c r="AB228" s="172">
        <v>45468</v>
      </c>
      <c r="AC228" s="119">
        <v>2024716</v>
      </c>
      <c r="AD228" s="36">
        <f t="shared" si="32"/>
        <v>5325142</v>
      </c>
      <c r="AE228" s="36" t="str">
        <f t="shared" si="33"/>
        <v>AU.KB2045-B-0208-DRE</v>
      </c>
      <c r="AF228" s="36">
        <v>995</v>
      </c>
      <c r="AG228" s="120">
        <f t="shared" si="34"/>
        <v>646.75</v>
      </c>
      <c r="AH228" s="36"/>
      <c r="AI228" s="124"/>
      <c r="AJ228" s="122" t="s">
        <v>1656</v>
      </c>
      <c r="AK228" s="129" t="str">
        <f t="shared" ca="1" si="35"/>
        <v>Late</v>
      </c>
      <c r="AL228" s="268" t="str">
        <f t="shared" si="31"/>
        <v>June</v>
      </c>
      <c r="AM228" s="133">
        <f>YEAR(Table1[[#This Row],[ETA
As requested
dd.mm.yyyy]])</f>
        <v>2024</v>
      </c>
    </row>
    <row r="229" spans="1:39">
      <c r="A229" s="123" t="s">
        <v>83</v>
      </c>
      <c r="B229" s="36" t="s">
        <v>1170</v>
      </c>
      <c r="C229" s="117">
        <v>5325142</v>
      </c>
      <c r="D229" s="165">
        <v>45440</v>
      </c>
      <c r="E229" s="117" t="s">
        <v>108</v>
      </c>
      <c r="F229" s="36" t="str">
        <f>IFERROR(VLOOKUP(Table1[[#This Row],[Part Number]],DATABASE_FG!$C$6:D10218,2,FALSE)," ")</f>
        <v>094290032-0000</v>
      </c>
      <c r="G229" s="117">
        <f>IFERROR(_xlfn.XLOOKUP(Table1[[#This Row],[Part Number]],Table3[Part number],Table3[Drawing
 Revision]),"")</f>
        <v>0</v>
      </c>
      <c r="H229" s="118" cm="1">
        <f t="array" ref="H229">IFERROR(INDEX(PDB!$C:$AT,MATCH(E229,PDB!$B:$B,0),MATCH(YEAR(K229),0+PDB!$C$1:$AT$1,0)),"")</f>
        <v>0.65</v>
      </c>
      <c r="I229" s="36"/>
      <c r="J229" s="125">
        <f>IFERROR(Table1[[#This Row],[Quantity]]*Table1[[#This Row],[Price/Unit
EUR]]," ")</f>
        <v>0</v>
      </c>
      <c r="K229" s="126">
        <v>45454</v>
      </c>
      <c r="L229" s="36">
        <f>WEEKNUM(Table1[[#This Row],[ETA
As requested
dd.mm.yyyy]])</f>
        <v>24</v>
      </c>
      <c r="M229" s="36">
        <f>YEAR(Table1[[#This Row],[ETA
As requested
dd.mm.yyyy]])</f>
        <v>2024</v>
      </c>
      <c r="N229" s="36">
        <f>IFERROR(INDEX(DATABASE_FG!$H$5:$H$367, MATCH(E229, DATABASE_FG!$C$5:$C$367, 0)), " ")</f>
        <v>0</v>
      </c>
      <c r="O229" s="129" t="str">
        <f>IF(E229&lt;&gt;"", _xlfn.XLOOKUP(E229, DATABASE_FG!C:C, DATABASE_FG!F:F), " ")</f>
        <v>Strunjite</v>
      </c>
      <c r="P229" s="129">
        <f>IFERROR(INDEX(DATABASE_FG!$G$5:$G$367, MATCH(E229, DATABASE_FG!$C$5:$C$367, 0)), "Not Found")</f>
        <v>0</v>
      </c>
      <c r="Q229" s="36"/>
      <c r="R229" s="125" t="s">
        <v>678</v>
      </c>
      <c r="S229" s="123">
        <f>IFERROR(INDEX(DATABASE_FG!$L$5:$L$367, MATCH(E229, DATABASE_FG!$C$5:$C$367, 0)), " ")</f>
        <v>42</v>
      </c>
      <c r="T229" s="36" t="s">
        <v>679</v>
      </c>
      <c r="U229" s="36"/>
      <c r="V229" s="36"/>
      <c r="W229" s="129"/>
      <c r="X229" s="36"/>
      <c r="Y229" s="36"/>
      <c r="Z229" s="36"/>
      <c r="AA229" s="125" t="s">
        <v>121</v>
      </c>
      <c r="AB229" s="172">
        <v>45469</v>
      </c>
      <c r="AC229" s="119">
        <v>2024723</v>
      </c>
      <c r="AD229" s="36">
        <f t="shared" si="32"/>
        <v>5325142</v>
      </c>
      <c r="AE229" s="36" t="str">
        <f t="shared" si="33"/>
        <v>AU.KB2045-B-0208-DRE</v>
      </c>
      <c r="AF229" s="36">
        <v>650</v>
      </c>
      <c r="AG229" s="120">
        <f t="shared" si="34"/>
        <v>422.5</v>
      </c>
      <c r="AH229" s="36"/>
      <c r="AI229" s="124"/>
      <c r="AJ229" s="122" t="s">
        <v>1657</v>
      </c>
      <c r="AK229" s="129" t="str">
        <f t="shared" ca="1" si="35"/>
        <v>Late</v>
      </c>
      <c r="AL229" s="268" t="str">
        <f t="shared" si="31"/>
        <v>June</v>
      </c>
      <c r="AM229" s="133">
        <f>YEAR(Table1[[#This Row],[ETA
As requested
dd.mm.yyyy]])</f>
        <v>2024</v>
      </c>
    </row>
    <row r="230" spans="1:39">
      <c r="A230" s="123" t="s">
        <v>83</v>
      </c>
      <c r="B230" s="36" t="s">
        <v>1170</v>
      </c>
      <c r="C230" s="117">
        <v>5325142</v>
      </c>
      <c r="D230" s="165">
        <v>45440</v>
      </c>
      <c r="E230" s="117" t="s">
        <v>108</v>
      </c>
      <c r="F230" s="36" t="str">
        <f>IFERROR(VLOOKUP(Table1[[#This Row],[Part Number]],DATABASE_FG!$C$6:D10219,2,FALSE)," ")</f>
        <v>094290032-0000</v>
      </c>
      <c r="G230" s="117">
        <f>IFERROR(_xlfn.XLOOKUP(Table1[[#This Row],[Part Number]],Table3[Part number],Table3[Drawing
 Revision]),"")</f>
        <v>0</v>
      </c>
      <c r="H230" s="118" cm="1">
        <f t="array" ref="H230">IFERROR(INDEX(PDB!$C:$AT,MATCH(E230,PDB!$B:$B,0),MATCH(YEAR(K230),0+PDB!$C$1:$AT$1,0)),"")</f>
        <v>0.65</v>
      </c>
      <c r="I230" s="36"/>
      <c r="J230" s="125">
        <f>IFERROR(Table1[[#This Row],[Quantity]]*Table1[[#This Row],[Price/Unit
EUR]]," ")</f>
        <v>0</v>
      </c>
      <c r="K230" s="126">
        <v>45454</v>
      </c>
      <c r="L230" s="36">
        <f>WEEKNUM(Table1[[#This Row],[ETA
As requested
dd.mm.yyyy]])</f>
        <v>24</v>
      </c>
      <c r="M230" s="36">
        <f>YEAR(Table1[[#This Row],[ETA
As requested
dd.mm.yyyy]])</f>
        <v>2024</v>
      </c>
      <c r="N230" s="36">
        <f>IFERROR(INDEX(DATABASE_FG!$H$5:$H$367, MATCH(E230, DATABASE_FG!$C$5:$C$367, 0)), " ")</f>
        <v>0</v>
      </c>
      <c r="O230" s="129" t="str">
        <f>IF(E230&lt;&gt;"", _xlfn.XLOOKUP(E230, DATABASE_FG!C:C, DATABASE_FG!F:F), " ")</f>
        <v>Strunjite</v>
      </c>
      <c r="P230" s="129">
        <f>IFERROR(INDEX(DATABASE_FG!$G$5:$G$367, MATCH(E230, DATABASE_FG!$C$5:$C$367, 0)), "Not Found")</f>
        <v>0</v>
      </c>
      <c r="Q230" s="36"/>
      <c r="R230" s="125" t="s">
        <v>678</v>
      </c>
      <c r="S230" s="123">
        <f>IFERROR(INDEX(DATABASE_FG!$L$5:$L$367, MATCH(E230, DATABASE_FG!$C$5:$C$367, 0)), " ")</f>
        <v>42</v>
      </c>
      <c r="T230" s="36" t="s">
        <v>679</v>
      </c>
      <c r="U230" s="36"/>
      <c r="V230" s="36"/>
      <c r="W230" s="129"/>
      <c r="X230" s="36"/>
      <c r="Y230" s="36"/>
      <c r="Z230" s="36"/>
      <c r="AA230" s="125" t="s">
        <v>121</v>
      </c>
      <c r="AB230" s="172">
        <v>45470</v>
      </c>
      <c r="AC230" s="119">
        <v>2024734</v>
      </c>
      <c r="AD230" s="36">
        <f t="shared" si="32"/>
        <v>5325142</v>
      </c>
      <c r="AE230" s="36" t="str">
        <f t="shared" si="33"/>
        <v>AU.KB2045-B-0208-DRE</v>
      </c>
      <c r="AF230" s="36">
        <v>468</v>
      </c>
      <c r="AG230" s="120">
        <f t="shared" si="34"/>
        <v>304.2</v>
      </c>
      <c r="AH230" s="36"/>
      <c r="AI230" s="124"/>
      <c r="AJ230" s="122" t="s">
        <v>1658</v>
      </c>
      <c r="AK230" s="129" t="str">
        <f t="shared" ca="1" si="35"/>
        <v>Late</v>
      </c>
      <c r="AL230" s="268" t="str">
        <f t="shared" si="31"/>
        <v>June</v>
      </c>
      <c r="AM230" s="133">
        <f>YEAR(Table1[[#This Row],[ETA
As requested
dd.mm.yyyy]])</f>
        <v>2024</v>
      </c>
    </row>
    <row r="231" spans="1:39">
      <c r="A231" s="123" t="s">
        <v>83</v>
      </c>
      <c r="B231" s="36" t="s">
        <v>1170</v>
      </c>
      <c r="C231" s="117">
        <v>5325142</v>
      </c>
      <c r="D231" s="165">
        <v>45440</v>
      </c>
      <c r="E231" s="117" t="s">
        <v>108</v>
      </c>
      <c r="F231" s="36" t="str">
        <f>IFERROR(VLOOKUP(Table1[[#This Row],[Part Number]],DATABASE_FG!$C$6:D10220,2,FALSE)," ")</f>
        <v>094290032-0000</v>
      </c>
      <c r="G231" s="117">
        <f>IFERROR(_xlfn.XLOOKUP(Table1[[#This Row],[Part Number]],Table3[Part number],Table3[Drawing
 Revision]),"")</f>
        <v>0</v>
      </c>
      <c r="H231" s="118" cm="1">
        <f t="array" ref="H231">IFERROR(INDEX(PDB!$C:$AT,MATCH(E231,PDB!$B:$B,0),MATCH(YEAR(K231),0+PDB!$C$1:$AT$1,0)),"")</f>
        <v>0.65</v>
      </c>
      <c r="I231" s="36"/>
      <c r="J231" s="125">
        <f>IFERROR(Table1[[#This Row],[Quantity]]*Table1[[#This Row],[Price/Unit
EUR]]," ")</f>
        <v>0</v>
      </c>
      <c r="K231" s="126">
        <v>45454</v>
      </c>
      <c r="L231" s="36">
        <f>WEEKNUM(Table1[[#This Row],[ETA
As requested
dd.mm.yyyy]])</f>
        <v>24</v>
      </c>
      <c r="M231" s="36">
        <f>YEAR(Table1[[#This Row],[ETA
As requested
dd.mm.yyyy]])</f>
        <v>2024</v>
      </c>
      <c r="N231" s="36">
        <f>IFERROR(INDEX(DATABASE_FG!$H$5:$H$367, MATCH(E231, DATABASE_FG!$C$5:$C$367, 0)), " ")</f>
        <v>0</v>
      </c>
      <c r="O231" s="129" t="str">
        <f>IF(E231&lt;&gt;"", _xlfn.XLOOKUP(E231, DATABASE_FG!C:C, DATABASE_FG!F:F), " ")</f>
        <v>Strunjite</v>
      </c>
      <c r="P231" s="129">
        <f>IFERROR(INDEX(DATABASE_FG!$G$5:$G$367, MATCH(E231, DATABASE_FG!$C$5:$C$367, 0)), "Not Found")</f>
        <v>0</v>
      </c>
      <c r="Q231" s="36"/>
      <c r="R231" s="125" t="s">
        <v>678</v>
      </c>
      <c r="S231" s="123">
        <f>IFERROR(INDEX(DATABASE_FG!$L$5:$L$367, MATCH(E231, DATABASE_FG!$C$5:$C$367, 0)), " ")</f>
        <v>42</v>
      </c>
      <c r="T231" s="36" t="s">
        <v>679</v>
      </c>
      <c r="U231" s="36"/>
      <c r="V231" s="36"/>
      <c r="W231" s="129"/>
      <c r="X231" s="36"/>
      <c r="Y231" s="36"/>
      <c r="Z231" s="36"/>
      <c r="AA231" s="125" t="s">
        <v>121</v>
      </c>
      <c r="AB231" s="172">
        <v>45470</v>
      </c>
      <c r="AC231" s="119">
        <v>20232175</v>
      </c>
      <c r="AD231" s="36">
        <f t="shared" si="32"/>
        <v>5325142</v>
      </c>
      <c r="AE231" s="36" t="str">
        <f t="shared" si="33"/>
        <v>AU.KB2045-B-0208-DRE</v>
      </c>
      <c r="AF231" s="36">
        <v>99</v>
      </c>
      <c r="AG231" s="120">
        <f t="shared" si="34"/>
        <v>64.350000000000009</v>
      </c>
      <c r="AH231" s="36"/>
      <c r="AI231" s="124"/>
      <c r="AJ231" s="122" t="s">
        <v>1659</v>
      </c>
      <c r="AK231" s="129" t="str">
        <f t="shared" ca="1" si="35"/>
        <v>Late</v>
      </c>
      <c r="AL231" s="268" t="str">
        <f t="shared" si="31"/>
        <v>June</v>
      </c>
      <c r="AM231" s="133">
        <f>YEAR(Table1[[#This Row],[ETA
As requested
dd.mm.yyyy]])</f>
        <v>2024</v>
      </c>
    </row>
    <row r="232" spans="1:39">
      <c r="A232" s="123" t="s">
        <v>83</v>
      </c>
      <c r="B232" s="36" t="s">
        <v>1170</v>
      </c>
      <c r="C232" s="117">
        <v>5325142</v>
      </c>
      <c r="D232" s="165">
        <v>45440</v>
      </c>
      <c r="E232" s="117" t="s">
        <v>108</v>
      </c>
      <c r="F232" s="36" t="str">
        <f>IFERROR(VLOOKUP(Table1[[#This Row],[Part Number]],DATABASE_FG!$C$6:D10221,2,FALSE)," ")</f>
        <v>094290032-0000</v>
      </c>
      <c r="G232" s="117">
        <f>IFERROR(_xlfn.XLOOKUP(Table1[[#This Row],[Part Number]],Table3[Part number],Table3[Drawing
 Revision]),"")</f>
        <v>0</v>
      </c>
      <c r="H232" s="118" cm="1">
        <f t="array" ref="H232">IFERROR(INDEX(PDB!$C:$AT,MATCH(E232,PDB!$B:$B,0),MATCH(YEAR(K232),0+PDB!$C$1:$AT$1,0)),"")</f>
        <v>0.65</v>
      </c>
      <c r="I232" s="36"/>
      <c r="J232" s="125">
        <f>IFERROR(Table1[[#This Row],[Quantity]]*Table1[[#This Row],[Price/Unit
EUR]]," ")</f>
        <v>0</v>
      </c>
      <c r="K232" s="126">
        <v>45454</v>
      </c>
      <c r="L232" s="36">
        <f>WEEKNUM(Table1[[#This Row],[ETA
As requested
dd.mm.yyyy]])</f>
        <v>24</v>
      </c>
      <c r="M232" s="36">
        <f>YEAR(Table1[[#This Row],[ETA
As requested
dd.mm.yyyy]])</f>
        <v>2024</v>
      </c>
      <c r="N232" s="36">
        <f>IFERROR(INDEX(DATABASE_FG!$H$5:$H$367, MATCH(E232, DATABASE_FG!$C$5:$C$367, 0)), " ")</f>
        <v>0</v>
      </c>
      <c r="O232" s="129" t="str">
        <f>IF(E232&lt;&gt;"", _xlfn.XLOOKUP(E232, DATABASE_FG!C:C, DATABASE_FG!F:F), " ")</f>
        <v>Strunjite</v>
      </c>
      <c r="P232" s="129">
        <f>IFERROR(INDEX(DATABASE_FG!$G$5:$G$367, MATCH(E232, DATABASE_FG!$C$5:$C$367, 0)), "Not Found")</f>
        <v>0</v>
      </c>
      <c r="Q232" s="36"/>
      <c r="R232" s="125" t="s">
        <v>678</v>
      </c>
      <c r="S232" s="123">
        <f>IFERROR(INDEX(DATABASE_FG!$L$5:$L$367, MATCH(E232, DATABASE_FG!$C$5:$C$367, 0)), " ")</f>
        <v>42</v>
      </c>
      <c r="T232" s="36" t="s">
        <v>679</v>
      </c>
      <c r="U232" s="36"/>
      <c r="V232" s="36"/>
      <c r="W232" s="129"/>
      <c r="X232" s="36"/>
      <c r="Y232" s="36"/>
      <c r="Z232" s="36"/>
      <c r="AA232" s="125" t="s">
        <v>121</v>
      </c>
      <c r="AB232" s="172">
        <v>45471</v>
      </c>
      <c r="AC232" s="119">
        <v>2024743</v>
      </c>
      <c r="AD232" s="36">
        <f t="shared" si="32"/>
        <v>5325142</v>
      </c>
      <c r="AE232" s="36" t="str">
        <f t="shared" si="33"/>
        <v>AU.KB2045-B-0208-DRE</v>
      </c>
      <c r="AF232" s="36">
        <v>372</v>
      </c>
      <c r="AG232" s="120">
        <f t="shared" si="34"/>
        <v>241.8</v>
      </c>
      <c r="AH232" s="36"/>
      <c r="AI232" s="124"/>
      <c r="AJ232" s="122" t="s">
        <v>1660</v>
      </c>
      <c r="AK232" s="129" t="str">
        <f t="shared" ca="1" si="35"/>
        <v>Late</v>
      </c>
      <c r="AL232" s="268" t="str">
        <f t="shared" si="31"/>
        <v>June</v>
      </c>
      <c r="AM232" s="133">
        <f>YEAR(Table1[[#This Row],[ETA
As requested
dd.mm.yyyy]])</f>
        <v>2024</v>
      </c>
    </row>
    <row r="233" spans="1:39">
      <c r="A233" s="123" t="s">
        <v>83</v>
      </c>
      <c r="B233" s="36" t="s">
        <v>1170</v>
      </c>
      <c r="C233" s="117">
        <v>5325142</v>
      </c>
      <c r="D233" s="165">
        <v>45440</v>
      </c>
      <c r="E233" s="117" t="s">
        <v>108</v>
      </c>
      <c r="F233" s="36" t="str">
        <f>IFERROR(VLOOKUP(Table1[[#This Row],[Part Number]],DATABASE_FG!$C$6:D10222,2,FALSE)," ")</f>
        <v>094290032-0000</v>
      </c>
      <c r="G233" s="117">
        <f>IFERROR(_xlfn.XLOOKUP(Table1[[#This Row],[Part Number]],Table3[Part number],Table3[Drawing
 Revision]),"")</f>
        <v>0</v>
      </c>
      <c r="H233" s="118" cm="1">
        <f t="array" ref="H233">IFERROR(INDEX(PDB!$C:$AT,MATCH(E233,PDB!$B:$B,0),MATCH(YEAR(K233),0+PDB!$C$1:$AT$1,0)),"")</f>
        <v>0.65</v>
      </c>
      <c r="I233" s="36"/>
      <c r="J233" s="125">
        <f>IFERROR(Table1[[#This Row],[Quantity]]*Table1[[#This Row],[Price/Unit
EUR]]," ")</f>
        <v>0</v>
      </c>
      <c r="K233" s="126">
        <v>45454</v>
      </c>
      <c r="L233" s="36">
        <f>WEEKNUM(Table1[[#This Row],[ETA
As requested
dd.mm.yyyy]])</f>
        <v>24</v>
      </c>
      <c r="M233" s="36">
        <f>YEAR(Table1[[#This Row],[ETA
As requested
dd.mm.yyyy]])</f>
        <v>2024</v>
      </c>
      <c r="N233" s="36">
        <f>IFERROR(INDEX(DATABASE_FG!$H$5:$H$367, MATCH(E233, DATABASE_FG!$C$5:$C$367, 0)), " ")</f>
        <v>0</v>
      </c>
      <c r="O233" s="129" t="str">
        <f>IF(E233&lt;&gt;"", _xlfn.XLOOKUP(E233, DATABASE_FG!C:C, DATABASE_FG!F:F), " ")</f>
        <v>Strunjite</v>
      </c>
      <c r="P233" s="129">
        <f>IFERROR(INDEX(DATABASE_FG!$G$5:$G$367, MATCH(E233, DATABASE_FG!$C$5:$C$367, 0)), "Not Found")</f>
        <v>0</v>
      </c>
      <c r="Q233" s="36"/>
      <c r="R233" s="125" t="s">
        <v>678</v>
      </c>
      <c r="S233" s="123">
        <f>IFERROR(INDEX(DATABASE_FG!$L$5:$L$367, MATCH(E233, DATABASE_FG!$C$5:$C$367, 0)), " ")</f>
        <v>42</v>
      </c>
      <c r="T233" s="36" t="s">
        <v>679</v>
      </c>
      <c r="U233" s="36"/>
      <c r="V233" s="36"/>
      <c r="W233" s="129"/>
      <c r="X233" s="36"/>
      <c r="Y233" s="36"/>
      <c r="Z233" s="36"/>
      <c r="AA233" s="125" t="s">
        <v>121</v>
      </c>
      <c r="AB233" s="173">
        <v>45474</v>
      </c>
      <c r="AC233" s="119">
        <v>2024752</v>
      </c>
      <c r="AD233" s="36">
        <f t="shared" si="32"/>
        <v>5325142</v>
      </c>
      <c r="AE233" s="36" t="str">
        <f t="shared" si="33"/>
        <v>AU.KB2045-B-0208-DRE</v>
      </c>
      <c r="AF233" s="36">
        <v>271</v>
      </c>
      <c r="AG233" s="120">
        <f t="shared" si="34"/>
        <v>176.15</v>
      </c>
      <c r="AH233" s="36"/>
      <c r="AI233" s="124"/>
      <c r="AJ233" s="122" t="s">
        <v>1663</v>
      </c>
      <c r="AK233" s="129" t="str">
        <f t="shared" ca="1" si="35"/>
        <v>Late</v>
      </c>
      <c r="AL233" s="268" t="str">
        <f t="shared" si="31"/>
        <v>June</v>
      </c>
      <c r="AM233" s="133">
        <f>YEAR(Table1[[#This Row],[ETA
As requested
dd.mm.yyyy]])</f>
        <v>2024</v>
      </c>
    </row>
    <row r="234" spans="1:39">
      <c r="A234" s="123" t="s">
        <v>83</v>
      </c>
      <c r="B234" s="36" t="s">
        <v>1170</v>
      </c>
      <c r="C234" s="117">
        <v>5325142</v>
      </c>
      <c r="D234" s="165">
        <v>45440</v>
      </c>
      <c r="E234" s="117" t="s">
        <v>108</v>
      </c>
      <c r="F234" s="36" t="str">
        <f>IFERROR(VLOOKUP(Table1[[#This Row],[Part Number]],DATABASE_FG!$C$6:D10223,2,FALSE)," ")</f>
        <v>094290032-0000</v>
      </c>
      <c r="G234" s="117">
        <f>IFERROR(_xlfn.XLOOKUP(Table1[[#This Row],[Part Number]],Table3[Part number],Table3[Drawing
 Revision]),"")</f>
        <v>0</v>
      </c>
      <c r="H234" s="118" cm="1">
        <f t="array" ref="H234">IFERROR(INDEX(PDB!$C:$AT,MATCH(E234,PDB!$B:$B,0),MATCH(YEAR(K234),0+PDB!$C$1:$AT$1,0)),"")</f>
        <v>0.65</v>
      </c>
      <c r="I234" s="36">
        <v>1000</v>
      </c>
      <c r="J234" s="125">
        <f>IFERROR(Table1[[#This Row],[Quantity]]*Table1[[#This Row],[Price/Unit
EUR]]," ")</f>
        <v>650</v>
      </c>
      <c r="K234" s="126">
        <v>45461</v>
      </c>
      <c r="L234" s="36">
        <f>WEEKNUM(Table1[[#This Row],[ETA
As requested
dd.mm.yyyy]])</f>
        <v>25</v>
      </c>
      <c r="M234" s="36">
        <f>YEAR(Table1[[#This Row],[ETA
As requested
dd.mm.yyyy]])</f>
        <v>2024</v>
      </c>
      <c r="N234" s="36">
        <f>IFERROR(INDEX(DATABASE_FG!$H$5:$H$367, MATCH(E234, DATABASE_FG!$C$5:$C$367, 0)), " ")</f>
        <v>0</v>
      </c>
      <c r="O234" s="129" t="str">
        <f>IF(E234&lt;&gt;"", _xlfn.XLOOKUP(E234, DATABASE_FG!C:C, DATABASE_FG!F:F), " ")</f>
        <v>Strunjite</v>
      </c>
      <c r="P234" s="129">
        <f>IFERROR(INDEX(DATABASE_FG!$G$5:$G$367, MATCH(E234, DATABASE_FG!$C$5:$C$367, 0)), "Not Found")</f>
        <v>0</v>
      </c>
      <c r="Q234" s="36"/>
      <c r="R234" s="125" t="s">
        <v>678</v>
      </c>
      <c r="S234" s="123">
        <f>IFERROR(INDEX(DATABASE_FG!$L$5:$L$367, MATCH(E234, DATABASE_FG!$C$5:$C$367, 0)), " ")</f>
        <v>42</v>
      </c>
      <c r="T234" s="36" t="s">
        <v>679</v>
      </c>
      <c r="U234" s="36"/>
      <c r="V234" s="36"/>
      <c r="W234" s="129"/>
      <c r="X234" s="36"/>
      <c r="Y234" s="36"/>
      <c r="Z234" s="36">
        <v>242702</v>
      </c>
      <c r="AA234" s="125" t="s">
        <v>121</v>
      </c>
      <c r="AB234" s="173">
        <v>45474</v>
      </c>
      <c r="AC234" s="119">
        <v>2024752</v>
      </c>
      <c r="AD234" s="36">
        <f t="shared" si="32"/>
        <v>5325142</v>
      </c>
      <c r="AE234" s="36" t="str">
        <f t="shared" si="33"/>
        <v>AU.KB2045-B-0208-DRE</v>
      </c>
      <c r="AF234" s="36">
        <v>269</v>
      </c>
      <c r="AG234" s="120">
        <f t="shared" si="34"/>
        <v>174.85</v>
      </c>
      <c r="AH234" s="36"/>
      <c r="AI234" s="124"/>
      <c r="AJ234" s="122" t="s">
        <v>1663</v>
      </c>
      <c r="AK234" s="129" t="str">
        <f t="shared" ca="1" si="35"/>
        <v>Late</v>
      </c>
      <c r="AL234" s="268" t="str">
        <f t="shared" si="31"/>
        <v>June</v>
      </c>
      <c r="AM234" s="133">
        <f>YEAR(Table1[[#This Row],[ETA
As requested
dd.mm.yyyy]])</f>
        <v>2024</v>
      </c>
    </row>
    <row r="235" spans="1:39">
      <c r="A235" s="123" t="s">
        <v>83</v>
      </c>
      <c r="B235" s="36" t="s">
        <v>1170</v>
      </c>
      <c r="C235" s="117">
        <v>5325142</v>
      </c>
      <c r="D235" s="165">
        <v>45440</v>
      </c>
      <c r="E235" s="117" t="s">
        <v>108</v>
      </c>
      <c r="F235" s="36" t="str">
        <f>IFERROR(VLOOKUP(Table1[[#This Row],[Part Number]],DATABASE_FG!$C$6:D10224,2,FALSE)," ")</f>
        <v>094290032-0000</v>
      </c>
      <c r="G235" s="117">
        <f>IFERROR(_xlfn.XLOOKUP(Table1[[#This Row],[Part Number]],Table3[Part number],Table3[Drawing
 Revision]),"")</f>
        <v>0</v>
      </c>
      <c r="H235" s="118" cm="1">
        <f t="array" ref="H235">IFERROR(INDEX(PDB!$C:$AT,MATCH(E235,PDB!$B:$B,0),MATCH(YEAR(K235),0+PDB!$C$1:$AT$1,0)),"")</f>
        <v>0.65</v>
      </c>
      <c r="I235" s="36"/>
      <c r="J235" s="125">
        <f>IFERROR(Table1[[#This Row],[Quantity]]*Table1[[#This Row],[Price/Unit
EUR]]," ")</f>
        <v>0</v>
      </c>
      <c r="K235" s="126">
        <v>45461</v>
      </c>
      <c r="L235" s="36">
        <f>WEEKNUM(Table1[[#This Row],[ETA
As requested
dd.mm.yyyy]])</f>
        <v>25</v>
      </c>
      <c r="M235" s="36">
        <f>YEAR(Table1[[#This Row],[ETA
As requested
dd.mm.yyyy]])</f>
        <v>2024</v>
      </c>
      <c r="N235" s="36">
        <f>IFERROR(INDEX(DATABASE_FG!$H$5:$H$367, MATCH(E235, DATABASE_FG!$C$5:$C$367, 0)), " ")</f>
        <v>0</v>
      </c>
      <c r="O235" s="129" t="str">
        <f>IF(E235&lt;&gt;"", _xlfn.XLOOKUP(E235, DATABASE_FG!C:C, DATABASE_FG!F:F), " ")</f>
        <v>Strunjite</v>
      </c>
      <c r="P235" s="129">
        <f>IFERROR(INDEX(DATABASE_FG!$G$5:$G$367, MATCH(E235, DATABASE_FG!$C$5:$C$367, 0)), "Not Found")</f>
        <v>0</v>
      </c>
      <c r="Q235" s="36"/>
      <c r="R235" s="125" t="s">
        <v>678</v>
      </c>
      <c r="S235" s="123">
        <f>IFERROR(INDEX(DATABASE_FG!$L$5:$L$367, MATCH(E235, DATABASE_FG!$C$5:$C$367, 0)), " ")</f>
        <v>42</v>
      </c>
      <c r="T235" s="36" t="s">
        <v>679</v>
      </c>
      <c r="U235" s="36"/>
      <c r="V235" s="36"/>
      <c r="W235" s="129"/>
      <c r="X235" s="36"/>
      <c r="Y235" s="36"/>
      <c r="Z235" s="36"/>
      <c r="AA235" s="125" t="s">
        <v>121</v>
      </c>
      <c r="AB235" s="173">
        <v>45474</v>
      </c>
      <c r="AC235" s="119">
        <v>2024762</v>
      </c>
      <c r="AD235" s="36">
        <f t="shared" si="32"/>
        <v>5325142</v>
      </c>
      <c r="AE235" s="36" t="str">
        <f t="shared" si="33"/>
        <v>AU.KB2045-B-0208-DRE</v>
      </c>
      <c r="AF235" s="36">
        <v>731</v>
      </c>
      <c r="AG235" s="120">
        <f t="shared" si="34"/>
        <v>475.15000000000003</v>
      </c>
      <c r="AH235" s="36"/>
      <c r="AI235" s="124"/>
      <c r="AJ235" s="122" t="s">
        <v>1701</v>
      </c>
      <c r="AK235" s="129" t="str">
        <f t="shared" ca="1" si="35"/>
        <v>Late</v>
      </c>
      <c r="AL235" s="268" t="str">
        <f t="shared" si="31"/>
        <v>June</v>
      </c>
      <c r="AM235" s="133">
        <f>YEAR(Table1[[#This Row],[ETA
As requested
dd.mm.yyyy]])</f>
        <v>2024</v>
      </c>
    </row>
    <row r="236" spans="1:39">
      <c r="A236" s="123" t="s">
        <v>83</v>
      </c>
      <c r="B236" s="36" t="s">
        <v>1170</v>
      </c>
      <c r="C236" s="117">
        <v>5325142</v>
      </c>
      <c r="D236" s="165">
        <v>45440</v>
      </c>
      <c r="E236" s="117" t="s">
        <v>108</v>
      </c>
      <c r="F236" s="36" t="str">
        <f>IFERROR(VLOOKUP(Table1[[#This Row],[Part Number]],DATABASE_FG!$C$6:D10225,2,FALSE)," ")</f>
        <v>094290032-0000</v>
      </c>
      <c r="G236" s="117">
        <f>IFERROR(_xlfn.XLOOKUP(Table1[[#This Row],[Part Number]],Table3[Part number],Table3[Drawing
 Revision]),"")</f>
        <v>0</v>
      </c>
      <c r="H236" s="118" cm="1">
        <f t="array" ref="H236">IFERROR(INDEX(PDB!$C:$AT,MATCH(E236,PDB!$B:$B,0),MATCH(YEAR(K236),0+PDB!$C$1:$AT$1,0)),"")</f>
        <v>0.65</v>
      </c>
      <c r="I236" s="36">
        <v>2500</v>
      </c>
      <c r="J236" s="125">
        <f>IFERROR(Table1[[#This Row],[Quantity]]*Table1[[#This Row],[Price/Unit
EUR]]," ")</f>
        <v>1625</v>
      </c>
      <c r="K236" s="126">
        <v>45477</v>
      </c>
      <c r="L236" s="36">
        <f>WEEKNUM(Table1[[#This Row],[ETA
As requested
dd.mm.yyyy]])</f>
        <v>27</v>
      </c>
      <c r="M236" s="36">
        <f>YEAR(Table1[[#This Row],[ETA
As requested
dd.mm.yyyy]])</f>
        <v>2024</v>
      </c>
      <c r="N236" s="36">
        <f>IFERROR(INDEX(DATABASE_FG!$H$5:$H$367, MATCH(E236, DATABASE_FG!$C$5:$C$367, 0)), " ")</f>
        <v>0</v>
      </c>
      <c r="O236" s="129" t="str">
        <f>IF(E236&lt;&gt;"", _xlfn.XLOOKUP(E236, DATABASE_FG!C:C, DATABASE_FG!F:F), " ")</f>
        <v>Strunjite</v>
      </c>
      <c r="P236" s="129">
        <f>IFERROR(INDEX(DATABASE_FG!$G$5:$G$367, MATCH(E236, DATABASE_FG!$C$5:$C$367, 0)), "Not Found")</f>
        <v>0</v>
      </c>
      <c r="Q236" s="36"/>
      <c r="R236" s="125" t="s">
        <v>678</v>
      </c>
      <c r="S236" s="123">
        <f>IFERROR(INDEX(DATABASE_FG!$L$5:$L$367, MATCH(E236, DATABASE_FG!$C$5:$C$367, 0)), " ")</f>
        <v>42</v>
      </c>
      <c r="T236" s="36" t="s">
        <v>679</v>
      </c>
      <c r="U236" s="36"/>
      <c r="V236" s="36"/>
      <c r="W236" s="129"/>
      <c r="X236" s="36"/>
      <c r="Y236" s="36"/>
      <c r="Z236" s="36">
        <v>242702</v>
      </c>
      <c r="AA236" s="125" t="s">
        <v>121</v>
      </c>
      <c r="AB236" s="173">
        <v>45474</v>
      </c>
      <c r="AC236" s="119">
        <v>2024762</v>
      </c>
      <c r="AD236" s="36">
        <f t="shared" si="32"/>
        <v>5325142</v>
      </c>
      <c r="AE236" s="36" t="str">
        <f t="shared" si="33"/>
        <v>AU.KB2045-B-0208-DRE</v>
      </c>
      <c r="AF236" s="36">
        <v>459</v>
      </c>
      <c r="AG236" s="120">
        <f t="shared" si="34"/>
        <v>298.35000000000002</v>
      </c>
      <c r="AH236" s="36"/>
      <c r="AI236" s="124" t="s">
        <v>1764</v>
      </c>
      <c r="AJ236" s="122" t="s">
        <v>1701</v>
      </c>
      <c r="AK236" s="129" t="str">
        <f t="shared" ca="1" si="35"/>
        <v>On Time</v>
      </c>
      <c r="AL236" s="268" t="str">
        <f t="shared" si="31"/>
        <v>July</v>
      </c>
      <c r="AM236" s="133">
        <f>YEAR(Table1[[#This Row],[ETA
As requested
dd.mm.yyyy]])</f>
        <v>2024</v>
      </c>
    </row>
    <row r="237" spans="1:39">
      <c r="A237" s="123" t="s">
        <v>83</v>
      </c>
      <c r="B237" s="36" t="s">
        <v>1170</v>
      </c>
      <c r="C237" s="117">
        <v>5325142</v>
      </c>
      <c r="D237" s="165">
        <v>45440</v>
      </c>
      <c r="E237" s="117" t="s">
        <v>108</v>
      </c>
      <c r="F237" s="36" t="str">
        <f>IFERROR(VLOOKUP(Table1[[#This Row],[Part Number]],DATABASE_FG!$C$6:D10226,2,FALSE)," ")</f>
        <v>094290032-0000</v>
      </c>
      <c r="G237" s="117">
        <f>IFERROR(_xlfn.XLOOKUP(Table1[[#This Row],[Part Number]],Table3[Part number],Table3[Drawing
 Revision]),"")</f>
        <v>0</v>
      </c>
      <c r="H237" s="118" cm="1">
        <f t="array" ref="H237">IFERROR(INDEX(PDB!$C:$AT,MATCH(E237,PDB!$B:$B,0),MATCH(YEAR(K237),0+PDB!$C$1:$AT$1,0)),"")</f>
        <v>0.65</v>
      </c>
      <c r="I237" s="36"/>
      <c r="J237" s="125">
        <f>IFERROR(Table1[[#This Row],[Quantity]]*Table1[[#This Row],[Price/Unit
EUR]]," ")</f>
        <v>0</v>
      </c>
      <c r="K237" s="126">
        <v>45477</v>
      </c>
      <c r="L237" s="36">
        <f>WEEKNUM(Table1[[#This Row],[ETA
As requested
dd.mm.yyyy]])</f>
        <v>27</v>
      </c>
      <c r="M237" s="36">
        <f>YEAR(Table1[[#This Row],[ETA
As requested
dd.mm.yyyy]])</f>
        <v>2024</v>
      </c>
      <c r="N237" s="36">
        <f>IFERROR(INDEX(DATABASE_FG!$H$5:$H$367, MATCH(E237, DATABASE_FG!$C$5:$C$367, 0)), " ")</f>
        <v>0</v>
      </c>
      <c r="O237" s="129" t="str">
        <f>IF(E237&lt;&gt;"", _xlfn.XLOOKUP(E237, DATABASE_FG!C:C, DATABASE_FG!F:F), " ")</f>
        <v>Strunjite</v>
      </c>
      <c r="P237" s="129">
        <f>IFERROR(INDEX(DATABASE_FG!$G$5:$G$367, MATCH(E237, DATABASE_FG!$C$5:$C$367, 0)), "Not Found")</f>
        <v>0</v>
      </c>
      <c r="Q237" s="36"/>
      <c r="R237" s="125" t="s">
        <v>678</v>
      </c>
      <c r="S237" s="123">
        <f>IFERROR(INDEX(DATABASE_FG!$L$5:$L$367, MATCH(E237, DATABASE_FG!$C$5:$C$367, 0)), " ")</f>
        <v>42</v>
      </c>
      <c r="T237" s="36" t="s">
        <v>679</v>
      </c>
      <c r="U237" s="36"/>
      <c r="V237" s="36"/>
      <c r="W237" s="129"/>
      <c r="X237" s="36"/>
      <c r="Y237" s="36"/>
      <c r="Z237" s="36"/>
      <c r="AA237" s="125" t="s">
        <v>121</v>
      </c>
      <c r="AB237" s="173">
        <v>45475</v>
      </c>
      <c r="AC237" s="119">
        <v>2024771</v>
      </c>
      <c r="AD237" s="36">
        <f t="shared" si="32"/>
        <v>5325142</v>
      </c>
      <c r="AE237" s="36" t="str">
        <f t="shared" si="33"/>
        <v>AU.KB2045-B-0208-DRE</v>
      </c>
      <c r="AF237" s="36">
        <v>155</v>
      </c>
      <c r="AG237" s="120">
        <f t="shared" si="34"/>
        <v>100.75</v>
      </c>
      <c r="AH237" s="36"/>
      <c r="AI237" s="124"/>
      <c r="AJ237" s="122" t="s">
        <v>1765</v>
      </c>
      <c r="AK237" s="129" t="str">
        <f t="shared" ca="1" si="35"/>
        <v>On Time</v>
      </c>
      <c r="AL237" s="268" t="str">
        <f t="shared" si="31"/>
        <v>July</v>
      </c>
      <c r="AM237" s="133">
        <f>YEAR(Table1[[#This Row],[ETA
As requested
dd.mm.yyyy]])</f>
        <v>2024</v>
      </c>
    </row>
    <row r="238" spans="1:39">
      <c r="A238" s="123" t="s">
        <v>83</v>
      </c>
      <c r="B238" s="36" t="s">
        <v>1170</v>
      </c>
      <c r="C238" s="117">
        <v>5325142</v>
      </c>
      <c r="D238" s="165">
        <v>45440</v>
      </c>
      <c r="E238" s="117" t="s">
        <v>108</v>
      </c>
      <c r="F238" s="36" t="str">
        <f>IFERROR(VLOOKUP(Table1[[#This Row],[Part Number]],DATABASE_FG!$C$6:D10227,2,FALSE)," ")</f>
        <v>094290032-0000</v>
      </c>
      <c r="G238" s="117">
        <f>IFERROR(_xlfn.XLOOKUP(Table1[[#This Row],[Part Number]],Table3[Part number],Table3[Drawing
 Revision]),"")</f>
        <v>0</v>
      </c>
      <c r="H238" s="118" cm="1">
        <f t="array" ref="H238">IFERROR(INDEX(PDB!$C:$AT,MATCH(E238,PDB!$B:$B,0),MATCH(YEAR(K238),0+PDB!$C$1:$AT$1,0)),"")</f>
        <v>0.65</v>
      </c>
      <c r="I238" s="36"/>
      <c r="J238" s="125">
        <f>IFERROR(Table1[[#This Row],[Quantity]]*Table1[[#This Row],[Price/Unit
EUR]]," ")</f>
        <v>0</v>
      </c>
      <c r="K238" s="126">
        <v>45477</v>
      </c>
      <c r="L238" s="36">
        <f>WEEKNUM(Table1[[#This Row],[ETA
As requested
dd.mm.yyyy]])</f>
        <v>27</v>
      </c>
      <c r="M238" s="36">
        <f>YEAR(Table1[[#This Row],[ETA
As requested
dd.mm.yyyy]])</f>
        <v>2024</v>
      </c>
      <c r="N238" s="36">
        <f>IFERROR(INDEX(DATABASE_FG!$H$5:$H$367, MATCH(E238, DATABASE_FG!$C$5:$C$367, 0)), " ")</f>
        <v>0</v>
      </c>
      <c r="O238" s="129" t="str">
        <f>IF(E238&lt;&gt;"", _xlfn.XLOOKUP(E238, DATABASE_FG!C:C, DATABASE_FG!F:F), " ")</f>
        <v>Strunjite</v>
      </c>
      <c r="P238" s="129">
        <f>IFERROR(INDEX(DATABASE_FG!$G$5:$G$367, MATCH(E238, DATABASE_FG!$C$5:$C$367, 0)), "Not Found")</f>
        <v>0</v>
      </c>
      <c r="Q238" s="36"/>
      <c r="R238" s="125" t="s">
        <v>678</v>
      </c>
      <c r="S238" s="123">
        <f>IFERROR(INDEX(DATABASE_FG!$L$5:$L$367, MATCH(E238, DATABASE_FG!$C$5:$C$367, 0)), " ")</f>
        <v>42</v>
      </c>
      <c r="T238" s="36" t="s">
        <v>679</v>
      </c>
      <c r="U238" s="36"/>
      <c r="V238" s="36"/>
      <c r="W238" s="129"/>
      <c r="X238" s="36"/>
      <c r="Y238" s="36"/>
      <c r="Z238" s="36"/>
      <c r="AA238" s="125" t="s">
        <v>121</v>
      </c>
      <c r="AB238" s="173">
        <v>45476</v>
      </c>
      <c r="AC238" s="119">
        <v>2024782</v>
      </c>
      <c r="AD238" s="36">
        <f t="shared" si="32"/>
        <v>5325142</v>
      </c>
      <c r="AE238" s="36" t="str">
        <f t="shared" si="33"/>
        <v>AU.KB2045-B-0208-DRE</v>
      </c>
      <c r="AF238" s="36">
        <v>199</v>
      </c>
      <c r="AG238" s="120">
        <f t="shared" si="34"/>
        <v>129.35</v>
      </c>
      <c r="AH238" s="36"/>
      <c r="AI238" s="124"/>
      <c r="AJ238" s="122" t="s">
        <v>1766</v>
      </c>
      <c r="AK238" s="129" t="str">
        <f t="shared" ca="1" si="35"/>
        <v>On Time</v>
      </c>
      <c r="AL238" s="268" t="str">
        <f t="shared" si="31"/>
        <v>July</v>
      </c>
      <c r="AM238" s="133">
        <f>YEAR(Table1[[#This Row],[ETA
As requested
dd.mm.yyyy]])</f>
        <v>2024</v>
      </c>
    </row>
    <row r="239" spans="1:39">
      <c r="A239" s="123" t="s">
        <v>83</v>
      </c>
      <c r="B239" s="36" t="s">
        <v>1170</v>
      </c>
      <c r="C239" s="117">
        <v>5325142</v>
      </c>
      <c r="D239" s="165">
        <v>45440</v>
      </c>
      <c r="E239" s="117" t="s">
        <v>108</v>
      </c>
      <c r="F239" s="36" t="str">
        <f>IFERROR(VLOOKUP(Table1[[#This Row],[Part Number]],DATABASE_FG!$C$6:D10228,2,FALSE)," ")</f>
        <v>094290032-0000</v>
      </c>
      <c r="G239" s="117">
        <f>IFERROR(_xlfn.XLOOKUP(Table1[[#This Row],[Part Number]],Table3[Part number],Table3[Drawing
 Revision]),"")</f>
        <v>0</v>
      </c>
      <c r="H239" s="118" cm="1">
        <f t="array" ref="H239">IFERROR(INDEX(PDB!$C:$AT,MATCH(E239,PDB!$B:$B,0),MATCH(YEAR(K239),0+PDB!$C$1:$AT$1,0)),"")</f>
        <v>0.65</v>
      </c>
      <c r="I239" s="36"/>
      <c r="J239" s="125">
        <f>IFERROR(Table1[[#This Row],[Quantity]]*Table1[[#This Row],[Price/Unit
EUR]]," ")</f>
        <v>0</v>
      </c>
      <c r="K239" s="126">
        <v>45477</v>
      </c>
      <c r="L239" s="36">
        <f>WEEKNUM(Table1[[#This Row],[ETA
As requested
dd.mm.yyyy]])</f>
        <v>27</v>
      </c>
      <c r="M239" s="36">
        <f>YEAR(Table1[[#This Row],[ETA
As requested
dd.mm.yyyy]])</f>
        <v>2024</v>
      </c>
      <c r="N239" s="36">
        <f>IFERROR(INDEX(DATABASE_FG!$H$5:$H$367, MATCH(E239, DATABASE_FG!$C$5:$C$367, 0)), " ")</f>
        <v>0</v>
      </c>
      <c r="O239" s="129" t="str">
        <f>IF(E239&lt;&gt;"", _xlfn.XLOOKUP(E239, DATABASE_FG!C:C, DATABASE_FG!F:F), " ")</f>
        <v>Strunjite</v>
      </c>
      <c r="P239" s="129">
        <f>IFERROR(INDEX(DATABASE_FG!$G$5:$G$367, MATCH(E239, DATABASE_FG!$C$5:$C$367, 0)), "Not Found")</f>
        <v>0</v>
      </c>
      <c r="Q239" s="36"/>
      <c r="R239" s="125" t="s">
        <v>678</v>
      </c>
      <c r="S239" s="123">
        <f>IFERROR(INDEX(DATABASE_FG!$L$5:$L$367, MATCH(E239, DATABASE_FG!$C$5:$C$367, 0)), " ")</f>
        <v>42</v>
      </c>
      <c r="T239" s="36" t="s">
        <v>679</v>
      </c>
      <c r="U239" s="36"/>
      <c r="V239" s="36"/>
      <c r="W239" s="129"/>
      <c r="X239" s="36"/>
      <c r="Y239" s="36"/>
      <c r="Z239" s="36"/>
      <c r="AA239" s="125" t="s">
        <v>121</v>
      </c>
      <c r="AB239" s="173">
        <v>45477</v>
      </c>
      <c r="AC239" s="119">
        <v>2024791</v>
      </c>
      <c r="AD239" s="36">
        <f t="shared" si="32"/>
        <v>5325142</v>
      </c>
      <c r="AE239" s="36" t="str">
        <f t="shared" si="33"/>
        <v>AU.KB2045-B-0208-DRE</v>
      </c>
      <c r="AF239" s="36">
        <v>900</v>
      </c>
      <c r="AG239" s="120">
        <f t="shared" si="34"/>
        <v>585</v>
      </c>
      <c r="AH239" s="36"/>
      <c r="AI239" s="124"/>
      <c r="AJ239" s="122" t="s">
        <v>1767</v>
      </c>
      <c r="AK239" s="129" t="str">
        <f t="shared" ca="1" si="35"/>
        <v>On Time</v>
      </c>
      <c r="AL239" s="268" t="str">
        <f t="shared" si="31"/>
        <v>July</v>
      </c>
      <c r="AM239" s="133">
        <f>YEAR(Table1[[#This Row],[ETA
As requested
dd.mm.yyyy]])</f>
        <v>2024</v>
      </c>
    </row>
    <row r="240" spans="1:39">
      <c r="A240" s="123" t="s">
        <v>83</v>
      </c>
      <c r="B240" s="36" t="s">
        <v>1170</v>
      </c>
      <c r="C240" s="117">
        <v>5325142</v>
      </c>
      <c r="D240" s="165">
        <v>45440</v>
      </c>
      <c r="E240" s="117" t="s">
        <v>108</v>
      </c>
      <c r="F240" s="36" t="str">
        <f>IFERROR(VLOOKUP(Table1[[#This Row],[Part Number]],DATABASE_FG!$C$6:D10229,2,FALSE)," ")</f>
        <v>094290032-0000</v>
      </c>
      <c r="G240" s="117">
        <f>IFERROR(_xlfn.XLOOKUP(Table1[[#This Row],[Part Number]],Table3[Part number],Table3[Drawing
 Revision]),"")</f>
        <v>0</v>
      </c>
      <c r="H240" s="118" cm="1">
        <f t="array" ref="H240">IFERROR(INDEX(PDB!$C:$AT,MATCH(E240,PDB!$B:$B,0),MATCH(YEAR(K240),0+PDB!$C$1:$AT$1,0)),"")</f>
        <v>0.65</v>
      </c>
      <c r="I240" s="36"/>
      <c r="J240" s="125">
        <f>IFERROR(Table1[[#This Row],[Quantity]]*Table1[[#This Row],[Price/Unit
EUR]]," ")</f>
        <v>0</v>
      </c>
      <c r="K240" s="126">
        <v>45477</v>
      </c>
      <c r="L240" s="36">
        <f>WEEKNUM(Table1[[#This Row],[ETA
As requested
dd.mm.yyyy]])</f>
        <v>27</v>
      </c>
      <c r="M240" s="36">
        <f>YEAR(Table1[[#This Row],[ETA
As requested
dd.mm.yyyy]])</f>
        <v>2024</v>
      </c>
      <c r="N240" s="36">
        <f>IFERROR(INDEX(DATABASE_FG!$H$5:$H$367, MATCH(E240, DATABASE_FG!$C$5:$C$367, 0)), " ")</f>
        <v>0</v>
      </c>
      <c r="O240" s="129" t="str">
        <f>IF(E240&lt;&gt;"", _xlfn.XLOOKUP(E240, DATABASE_FG!C:C, DATABASE_FG!F:F), " ")</f>
        <v>Strunjite</v>
      </c>
      <c r="P240" s="129">
        <f>IFERROR(INDEX(DATABASE_FG!$G$5:$G$367, MATCH(E240, DATABASE_FG!$C$5:$C$367, 0)), "Not Found")</f>
        <v>0</v>
      </c>
      <c r="Q240" s="36"/>
      <c r="R240" s="125" t="s">
        <v>678</v>
      </c>
      <c r="S240" s="123">
        <f>IFERROR(INDEX(DATABASE_FG!$L$5:$L$367, MATCH(E240, DATABASE_FG!$C$5:$C$367, 0)), " ")</f>
        <v>42</v>
      </c>
      <c r="T240" s="36" t="s">
        <v>679</v>
      </c>
      <c r="U240" s="36"/>
      <c r="V240" s="36"/>
      <c r="W240" s="129"/>
      <c r="X240" s="36"/>
      <c r="Y240" s="36"/>
      <c r="Z240" s="36"/>
      <c r="AA240" s="125" t="s">
        <v>121</v>
      </c>
      <c r="AB240" s="173">
        <v>45488</v>
      </c>
      <c r="AC240" s="119">
        <v>2024849</v>
      </c>
      <c r="AD240" s="36">
        <f t="shared" si="32"/>
        <v>5325142</v>
      </c>
      <c r="AE240" s="36" t="str">
        <f t="shared" si="33"/>
        <v>AU.KB2045-B-0208-DRE</v>
      </c>
      <c r="AF240" s="36">
        <v>540</v>
      </c>
      <c r="AG240" s="120">
        <f t="shared" si="34"/>
        <v>351</v>
      </c>
      <c r="AH240" s="36"/>
      <c r="AI240" s="124"/>
      <c r="AJ240" s="122" t="s">
        <v>1778</v>
      </c>
      <c r="AK240" s="129" t="str">
        <f t="shared" ca="1" si="35"/>
        <v>Late</v>
      </c>
      <c r="AL240" s="268" t="str">
        <f t="shared" si="31"/>
        <v>July</v>
      </c>
      <c r="AM240" s="133">
        <f>YEAR(Table1[[#This Row],[ETA
As requested
dd.mm.yyyy]])</f>
        <v>2024</v>
      </c>
    </row>
    <row r="241" spans="1:39">
      <c r="A241" s="123" t="s">
        <v>83</v>
      </c>
      <c r="B241" s="36" t="s">
        <v>1170</v>
      </c>
      <c r="C241" s="117">
        <v>5325142</v>
      </c>
      <c r="D241" s="165">
        <v>45440</v>
      </c>
      <c r="E241" s="117" t="s">
        <v>108</v>
      </c>
      <c r="F241" s="36" t="str">
        <f>IFERROR(VLOOKUP(Table1[[#This Row],[Part Number]],DATABASE_FG!$C$6:D10230,2,FALSE)," ")</f>
        <v>094290032-0000</v>
      </c>
      <c r="G241" s="117">
        <f>IFERROR(_xlfn.XLOOKUP(Table1[[#This Row],[Part Number]],Table3[Part number],Table3[Drawing
 Revision]),"")</f>
        <v>0</v>
      </c>
      <c r="H241" s="118" cm="1">
        <f t="array" ref="H241">IFERROR(INDEX(PDB!$C:$AT,MATCH(E241,PDB!$B:$B,0),MATCH(YEAR(K241),0+PDB!$C$1:$AT$1,0)),"")</f>
        <v>0.65</v>
      </c>
      <c r="I241" s="36"/>
      <c r="J241" s="125">
        <f>IFERROR(Table1[[#This Row],[Quantity]]*Table1[[#This Row],[Price/Unit
EUR]]," ")</f>
        <v>0</v>
      </c>
      <c r="K241" s="126">
        <v>45477</v>
      </c>
      <c r="L241" s="36">
        <f>WEEKNUM(Table1[[#This Row],[ETA
As requested
dd.mm.yyyy]])</f>
        <v>27</v>
      </c>
      <c r="M241" s="36">
        <f>YEAR(Table1[[#This Row],[ETA
As requested
dd.mm.yyyy]])</f>
        <v>2024</v>
      </c>
      <c r="N241" s="36">
        <f>IFERROR(INDEX(DATABASE_FG!$H$5:$H$367, MATCH(E241, DATABASE_FG!$C$5:$C$367, 0)), " ")</f>
        <v>0</v>
      </c>
      <c r="O241" s="129" t="str">
        <f>IF(E241&lt;&gt;"", _xlfn.XLOOKUP(E241, DATABASE_FG!C:C, DATABASE_FG!F:F), " ")</f>
        <v>Strunjite</v>
      </c>
      <c r="P241" s="129">
        <f>IFERROR(INDEX(DATABASE_FG!$G$5:$G$367, MATCH(E241, DATABASE_FG!$C$5:$C$367, 0)), "Not Found")</f>
        <v>0</v>
      </c>
      <c r="Q241" s="36"/>
      <c r="R241" s="125" t="s">
        <v>678</v>
      </c>
      <c r="S241" s="123">
        <f>IFERROR(INDEX(DATABASE_FG!$L$5:$L$367, MATCH(E241, DATABASE_FG!$C$5:$C$367, 0)), " ")</f>
        <v>42</v>
      </c>
      <c r="T241" s="36" t="s">
        <v>679</v>
      </c>
      <c r="U241" s="36"/>
      <c r="V241" s="36"/>
      <c r="W241" s="129"/>
      <c r="X241" s="36"/>
      <c r="Y241" s="36"/>
      <c r="Z241" s="36"/>
      <c r="AA241" s="125" t="s">
        <v>121</v>
      </c>
      <c r="AB241" s="173">
        <v>45489</v>
      </c>
      <c r="AC241" s="119">
        <v>2024860</v>
      </c>
      <c r="AD241" s="36">
        <f t="shared" si="32"/>
        <v>5325142</v>
      </c>
      <c r="AE241" s="36" t="str">
        <f t="shared" si="33"/>
        <v>AU.KB2045-B-0208-DRE</v>
      </c>
      <c r="AF241" s="36">
        <v>247</v>
      </c>
      <c r="AG241" s="120">
        <f t="shared" si="34"/>
        <v>160.55000000000001</v>
      </c>
      <c r="AH241" s="36"/>
      <c r="AI241" s="124"/>
      <c r="AJ241" s="122" t="s">
        <v>1779</v>
      </c>
      <c r="AK241" s="129" t="str">
        <f t="shared" ca="1" si="35"/>
        <v>Late</v>
      </c>
      <c r="AL241" s="268" t="str">
        <f t="shared" si="31"/>
        <v>July</v>
      </c>
      <c r="AM241" s="133">
        <f>YEAR(Table1[[#This Row],[ETA
As requested
dd.mm.yyyy]])</f>
        <v>2024</v>
      </c>
    </row>
    <row r="242" spans="1:39">
      <c r="A242" s="123" t="s">
        <v>83</v>
      </c>
      <c r="B242" s="36" t="s">
        <v>1170</v>
      </c>
      <c r="C242" s="117">
        <v>5325142</v>
      </c>
      <c r="D242" s="165">
        <v>45440</v>
      </c>
      <c r="E242" s="117" t="s">
        <v>108</v>
      </c>
      <c r="F242" s="36" t="str">
        <f>IFERROR(VLOOKUP(Table1[[#This Row],[Part Number]],DATABASE_FG!$C$6:D10231,2,FALSE)," ")</f>
        <v>094290032-0000</v>
      </c>
      <c r="G242" s="117">
        <f>IFERROR(_xlfn.XLOOKUP(Table1[[#This Row],[Part Number]],Table3[Part number],Table3[Drawing
 Revision]),"")</f>
        <v>0</v>
      </c>
      <c r="H242" s="118" cm="1">
        <f t="array" ref="H242">IFERROR(INDEX(PDB!$C:$AT,MATCH(E242,PDB!$B:$B,0),MATCH(YEAR(K242),0+PDB!$C$1:$AT$1,0)),"")</f>
        <v>0.65</v>
      </c>
      <c r="I242" s="36">
        <v>2500</v>
      </c>
      <c r="J242" s="125">
        <f>IFERROR(Table1[[#This Row],[Quantity]]*Table1[[#This Row],[Price/Unit
EUR]]," ")</f>
        <v>1625</v>
      </c>
      <c r="K242" s="126">
        <v>45484</v>
      </c>
      <c r="L242" s="36">
        <f>WEEKNUM(Table1[[#This Row],[ETA
As requested
dd.mm.yyyy]])</f>
        <v>28</v>
      </c>
      <c r="M242" s="36">
        <f>YEAR(Table1[[#This Row],[ETA
As requested
dd.mm.yyyy]])</f>
        <v>2024</v>
      </c>
      <c r="N242" s="36">
        <f>IFERROR(INDEX(DATABASE_FG!$H$5:$H$367, MATCH(E242, DATABASE_FG!$C$5:$C$367, 0)), " ")</f>
        <v>0</v>
      </c>
      <c r="O242" s="129" t="str">
        <f>IF(E242&lt;&gt;"", _xlfn.XLOOKUP(E242, DATABASE_FG!C:C, DATABASE_FG!F:F), " ")</f>
        <v>Strunjite</v>
      </c>
      <c r="P242" s="129">
        <f>IFERROR(INDEX(DATABASE_FG!$G$5:$G$367, MATCH(E242, DATABASE_FG!$C$5:$C$367, 0)), "Not Found")</f>
        <v>0</v>
      </c>
      <c r="Q242" s="36"/>
      <c r="R242" s="125" t="s">
        <v>678</v>
      </c>
      <c r="S242" s="123">
        <f>IFERROR(INDEX(DATABASE_FG!$L$5:$L$367, MATCH(E242, DATABASE_FG!$C$5:$C$367, 0)), " ")</f>
        <v>42</v>
      </c>
      <c r="T242" s="36" t="s">
        <v>679</v>
      </c>
      <c r="U242" s="36"/>
      <c r="V242" s="36"/>
      <c r="W242" s="129"/>
      <c r="X242" s="36"/>
      <c r="Y242" s="36"/>
      <c r="Z242" s="36">
        <v>242709</v>
      </c>
      <c r="AA242" s="125" t="s">
        <v>121</v>
      </c>
      <c r="AB242" s="173">
        <v>45489</v>
      </c>
      <c r="AC242" s="119">
        <v>2024860</v>
      </c>
      <c r="AD242" s="36">
        <f t="shared" si="32"/>
        <v>5325142</v>
      </c>
      <c r="AE242" s="36" t="str">
        <f t="shared" si="33"/>
        <v>AU.KB2045-B-0208-DRE</v>
      </c>
      <c r="AF242" s="36">
        <v>293</v>
      </c>
      <c r="AG242" s="120">
        <f t="shared" si="34"/>
        <v>190.45000000000002</v>
      </c>
      <c r="AH242" s="36"/>
      <c r="AI242" s="124"/>
      <c r="AJ242" s="122" t="s">
        <v>1828</v>
      </c>
      <c r="AK242" s="129" t="str">
        <f t="shared" ca="1" si="35"/>
        <v>Late</v>
      </c>
      <c r="AL242" s="268" t="str">
        <f t="shared" si="31"/>
        <v>July</v>
      </c>
      <c r="AM242" s="133">
        <f>YEAR(Table1[[#This Row],[ETA
As requested
dd.mm.yyyy]])</f>
        <v>2024</v>
      </c>
    </row>
    <row r="243" spans="1:39">
      <c r="A243" s="123" t="s">
        <v>83</v>
      </c>
      <c r="B243" s="36" t="s">
        <v>1170</v>
      </c>
      <c r="C243" s="117">
        <v>5325142</v>
      </c>
      <c r="D243" s="165">
        <v>45440</v>
      </c>
      <c r="E243" s="117" t="s">
        <v>108</v>
      </c>
      <c r="F243" s="36" t="str">
        <f>IFERROR(VLOOKUP(Table1[[#This Row],[Part Number]],DATABASE_FG!$C$6:D10232,2,FALSE)," ")</f>
        <v>094290032-0000</v>
      </c>
      <c r="G243" s="117">
        <f>IFERROR(_xlfn.XLOOKUP(Table1[[#This Row],[Part Number]],Table3[Part number],Table3[Drawing
 Revision]),"")</f>
        <v>0</v>
      </c>
      <c r="H243" s="118" cm="1">
        <f t="array" ref="H243">IFERROR(INDEX(PDB!$C:$AT,MATCH(E243,PDB!$B:$B,0),MATCH(YEAR(K243),0+PDB!$C$1:$AT$1,0)),"")</f>
        <v>0.65</v>
      </c>
      <c r="I243" s="36"/>
      <c r="J243" s="125">
        <f>IFERROR(Table1[[#This Row],[Quantity]]*Table1[[#This Row],[Price/Unit
EUR]]," ")</f>
        <v>0</v>
      </c>
      <c r="K243" s="126">
        <v>45484</v>
      </c>
      <c r="L243" s="36">
        <f>WEEKNUM(Table1[[#This Row],[ETA
As requested
dd.mm.yyyy]])</f>
        <v>28</v>
      </c>
      <c r="M243" s="36">
        <f>YEAR(Table1[[#This Row],[ETA
As requested
dd.mm.yyyy]])</f>
        <v>2024</v>
      </c>
      <c r="N243" s="36">
        <f>IFERROR(INDEX(DATABASE_FG!$H$5:$H$367, MATCH(E243, DATABASE_FG!$C$5:$C$367, 0)), " ")</f>
        <v>0</v>
      </c>
      <c r="O243" s="129" t="str">
        <f>IF(E243&lt;&gt;"", _xlfn.XLOOKUP(E243, DATABASE_FG!C:C, DATABASE_FG!F:F), " ")</f>
        <v>Strunjite</v>
      </c>
      <c r="P243" s="129">
        <f>IFERROR(INDEX(DATABASE_FG!$G$5:$G$367, MATCH(E243, DATABASE_FG!$C$5:$C$367, 0)), "Not Found")</f>
        <v>0</v>
      </c>
      <c r="Q243" s="36"/>
      <c r="R243" s="125" t="s">
        <v>678</v>
      </c>
      <c r="S243" s="123">
        <f>IFERROR(INDEX(DATABASE_FG!$L$5:$L$367, MATCH(E243, DATABASE_FG!$C$5:$C$367, 0)), " ")</f>
        <v>42</v>
      </c>
      <c r="T243" s="36" t="s">
        <v>679</v>
      </c>
      <c r="U243" s="36"/>
      <c r="V243" s="36"/>
      <c r="W243" s="129"/>
      <c r="X243" s="36"/>
      <c r="Y243" s="36"/>
      <c r="Z243" s="36"/>
      <c r="AA243" s="125" t="s">
        <v>121</v>
      </c>
      <c r="AB243" s="173">
        <v>45490</v>
      </c>
      <c r="AC243" s="119">
        <v>2024863</v>
      </c>
      <c r="AD243" s="36">
        <f t="shared" si="32"/>
        <v>5325142</v>
      </c>
      <c r="AE243" s="36" t="str">
        <f t="shared" si="33"/>
        <v>AU.KB2045-B-0208-DRE</v>
      </c>
      <c r="AF243" s="36">
        <v>539</v>
      </c>
      <c r="AG243" s="120">
        <f t="shared" si="34"/>
        <v>350.35</v>
      </c>
      <c r="AH243" s="36"/>
      <c r="AI243" s="124"/>
      <c r="AJ243" s="122" t="s">
        <v>1829</v>
      </c>
      <c r="AK243" s="129" t="str">
        <f t="shared" ca="1" si="35"/>
        <v>Late</v>
      </c>
      <c r="AL243" s="268" t="str">
        <f t="shared" si="31"/>
        <v>July</v>
      </c>
      <c r="AM243" s="133">
        <f>YEAR(Table1[[#This Row],[ETA
As requested
dd.mm.yyyy]])</f>
        <v>2024</v>
      </c>
    </row>
    <row r="244" spans="1:39">
      <c r="A244" s="123" t="s">
        <v>83</v>
      </c>
      <c r="B244" s="36" t="s">
        <v>1170</v>
      </c>
      <c r="C244" s="117">
        <v>5325142</v>
      </c>
      <c r="D244" s="165">
        <v>45440</v>
      </c>
      <c r="E244" s="117" t="s">
        <v>108</v>
      </c>
      <c r="F244" s="36" t="str">
        <f>IFERROR(VLOOKUP(Table1[[#This Row],[Part Number]],DATABASE_FG!$C$6:D10233,2,FALSE)," ")</f>
        <v>094290032-0000</v>
      </c>
      <c r="G244" s="117">
        <f>IFERROR(_xlfn.XLOOKUP(Table1[[#This Row],[Part Number]],Table3[Part number],Table3[Drawing
 Revision]),"")</f>
        <v>0</v>
      </c>
      <c r="H244" s="118" cm="1">
        <f t="array" ref="H244">IFERROR(INDEX(PDB!$C:$AT,MATCH(E244,PDB!$B:$B,0),MATCH(YEAR(K244),0+PDB!$C$1:$AT$1,0)),"")</f>
        <v>0.65</v>
      </c>
      <c r="I244" s="36"/>
      <c r="J244" s="125">
        <f>IFERROR(Table1[[#This Row],[Quantity]]*Table1[[#This Row],[Price/Unit
EUR]]," ")</f>
        <v>0</v>
      </c>
      <c r="K244" s="126">
        <v>45484</v>
      </c>
      <c r="L244" s="36">
        <f>WEEKNUM(Table1[[#This Row],[ETA
As requested
dd.mm.yyyy]])</f>
        <v>28</v>
      </c>
      <c r="M244" s="36">
        <f>YEAR(Table1[[#This Row],[ETA
As requested
dd.mm.yyyy]])</f>
        <v>2024</v>
      </c>
      <c r="N244" s="36">
        <f>IFERROR(INDEX(DATABASE_FG!$H$5:$H$367, MATCH(E244, DATABASE_FG!$C$5:$C$367, 0)), " ")</f>
        <v>0</v>
      </c>
      <c r="O244" s="129" t="str">
        <f>IF(E244&lt;&gt;"", _xlfn.XLOOKUP(E244, DATABASE_FG!C:C, DATABASE_FG!F:F), " ")</f>
        <v>Strunjite</v>
      </c>
      <c r="P244" s="129">
        <f>IFERROR(INDEX(DATABASE_FG!$G$5:$G$367, MATCH(E244, DATABASE_FG!$C$5:$C$367, 0)), "Not Found")</f>
        <v>0</v>
      </c>
      <c r="Q244" s="36"/>
      <c r="R244" s="125" t="s">
        <v>678</v>
      </c>
      <c r="S244" s="123">
        <f>IFERROR(INDEX(DATABASE_FG!$L$5:$L$367, MATCH(E244, DATABASE_FG!$C$5:$C$367, 0)), " ")</f>
        <v>42</v>
      </c>
      <c r="T244" s="36" t="s">
        <v>679</v>
      </c>
      <c r="U244" s="36"/>
      <c r="V244" s="36"/>
      <c r="W244" s="129"/>
      <c r="X244" s="36"/>
      <c r="Y244" s="36"/>
      <c r="Z244" s="36"/>
      <c r="AA244" s="125" t="s">
        <v>121</v>
      </c>
      <c r="AB244" s="173">
        <v>45491</v>
      </c>
      <c r="AC244" s="119">
        <v>2024877</v>
      </c>
      <c r="AD244" s="36">
        <f t="shared" si="32"/>
        <v>5325142</v>
      </c>
      <c r="AE244" s="36" t="str">
        <f t="shared" si="33"/>
        <v>AU.KB2045-B-0208-DRE</v>
      </c>
      <c r="AF244" s="36">
        <v>720</v>
      </c>
      <c r="AG244" s="120">
        <f t="shared" si="34"/>
        <v>468</v>
      </c>
      <c r="AH244" s="36"/>
      <c r="AI244" s="124"/>
      <c r="AJ244" s="122" t="s">
        <v>1470</v>
      </c>
      <c r="AK244" s="129" t="str">
        <f t="shared" ca="1" si="35"/>
        <v>Late</v>
      </c>
      <c r="AL244" s="268" t="str">
        <f t="shared" si="31"/>
        <v>July</v>
      </c>
      <c r="AM244" s="133">
        <f>YEAR(Table1[[#This Row],[ETA
As requested
dd.mm.yyyy]])</f>
        <v>2024</v>
      </c>
    </row>
    <row r="245" spans="1:39">
      <c r="A245" s="123" t="s">
        <v>83</v>
      </c>
      <c r="B245" s="36" t="s">
        <v>1170</v>
      </c>
      <c r="C245" s="117">
        <v>5325142</v>
      </c>
      <c r="D245" s="165">
        <v>45440</v>
      </c>
      <c r="E245" s="117" t="s">
        <v>108</v>
      </c>
      <c r="F245" s="36" t="str">
        <f>IFERROR(VLOOKUP(Table1[[#This Row],[Part Number]],DATABASE_FG!$C$6:D10234,2,FALSE)," ")</f>
        <v>094290032-0000</v>
      </c>
      <c r="G245" s="117">
        <f>IFERROR(_xlfn.XLOOKUP(Table1[[#This Row],[Part Number]],Table3[Part number],Table3[Drawing
 Revision]),"")</f>
        <v>0</v>
      </c>
      <c r="H245" s="118" cm="1">
        <f t="array" ref="H245">IFERROR(INDEX(PDB!$C:$AT,MATCH(E245,PDB!$B:$B,0),MATCH(YEAR(K245),0+PDB!$C$1:$AT$1,0)),"")</f>
        <v>0.65</v>
      </c>
      <c r="I245" s="36"/>
      <c r="J245" s="125">
        <f>IFERROR(Table1[[#This Row],[Quantity]]*Table1[[#This Row],[Price/Unit
EUR]]," ")</f>
        <v>0</v>
      </c>
      <c r="K245" s="126">
        <v>45484</v>
      </c>
      <c r="L245" s="36">
        <f>WEEKNUM(Table1[[#This Row],[ETA
As requested
dd.mm.yyyy]])</f>
        <v>28</v>
      </c>
      <c r="M245" s="36">
        <f>YEAR(Table1[[#This Row],[ETA
As requested
dd.mm.yyyy]])</f>
        <v>2024</v>
      </c>
      <c r="N245" s="36">
        <f>IFERROR(INDEX(DATABASE_FG!$H$5:$H$367, MATCH(E245, DATABASE_FG!$C$5:$C$367, 0)), " ")</f>
        <v>0</v>
      </c>
      <c r="O245" s="129" t="str">
        <f>IF(E245&lt;&gt;"", _xlfn.XLOOKUP(E245, DATABASE_FG!C:C, DATABASE_FG!F:F), " ")</f>
        <v>Strunjite</v>
      </c>
      <c r="P245" s="129">
        <f>IFERROR(INDEX(DATABASE_FG!$G$5:$G$367, MATCH(E245, DATABASE_FG!$C$5:$C$367, 0)), "Not Found")</f>
        <v>0</v>
      </c>
      <c r="Q245" s="36"/>
      <c r="R245" s="125" t="s">
        <v>678</v>
      </c>
      <c r="S245" s="123">
        <f>IFERROR(INDEX(DATABASE_FG!$L$5:$L$367, MATCH(E245, DATABASE_FG!$C$5:$C$367, 0)), " ")</f>
        <v>42</v>
      </c>
      <c r="T245" s="36" t="s">
        <v>679</v>
      </c>
      <c r="U245" s="36"/>
      <c r="V245" s="36"/>
      <c r="W245" s="129"/>
      <c r="X245" s="36"/>
      <c r="Y245" s="36"/>
      <c r="Z245" s="36"/>
      <c r="AA245" s="125" t="s">
        <v>121</v>
      </c>
      <c r="AB245" s="173">
        <v>45492</v>
      </c>
      <c r="AC245" s="119">
        <v>2024883</v>
      </c>
      <c r="AD245" s="36">
        <f t="shared" si="32"/>
        <v>5325142</v>
      </c>
      <c r="AE245" s="36" t="str">
        <f t="shared" si="33"/>
        <v>AU.KB2045-B-0208-DRE</v>
      </c>
      <c r="AF245" s="36">
        <v>450</v>
      </c>
      <c r="AG245" s="120">
        <f t="shared" si="34"/>
        <v>292.5</v>
      </c>
      <c r="AH245" s="36"/>
      <c r="AI245" s="124"/>
      <c r="AJ245" s="122" t="s">
        <v>1831</v>
      </c>
      <c r="AK245" s="129" t="str">
        <f t="shared" ca="1" si="35"/>
        <v>Late</v>
      </c>
      <c r="AL245" s="268" t="str">
        <f t="shared" si="31"/>
        <v>July</v>
      </c>
      <c r="AM245" s="133">
        <f>YEAR(Table1[[#This Row],[ETA
As requested
dd.mm.yyyy]])</f>
        <v>2024</v>
      </c>
    </row>
    <row r="246" spans="1:39">
      <c r="A246" s="123" t="s">
        <v>83</v>
      </c>
      <c r="B246" s="36" t="s">
        <v>1170</v>
      </c>
      <c r="C246" s="117">
        <v>5325142</v>
      </c>
      <c r="D246" s="165">
        <v>45440</v>
      </c>
      <c r="E246" s="117" t="s">
        <v>108</v>
      </c>
      <c r="F246" s="36" t="str">
        <f>IFERROR(VLOOKUP(Table1[[#This Row],[Part Number]],DATABASE_FG!$C$6:D10235,2,FALSE)," ")</f>
        <v>094290032-0000</v>
      </c>
      <c r="G246" s="117">
        <f>IFERROR(_xlfn.XLOOKUP(Table1[[#This Row],[Part Number]],Table3[Part number],Table3[Drawing
 Revision]),"")</f>
        <v>0</v>
      </c>
      <c r="H246" s="118" cm="1">
        <f t="array" ref="H246">IFERROR(INDEX(PDB!$C:$AT,MATCH(E246,PDB!$B:$B,0),MATCH(YEAR(K246),0+PDB!$C$1:$AT$1,0)),"")</f>
        <v>0.65</v>
      </c>
      <c r="I246" s="36"/>
      <c r="J246" s="125">
        <f>IFERROR(Table1[[#This Row],[Quantity]]*Table1[[#This Row],[Price/Unit
EUR]]," ")</f>
        <v>0</v>
      </c>
      <c r="K246" s="126">
        <v>45484</v>
      </c>
      <c r="L246" s="36">
        <f>WEEKNUM(Table1[[#This Row],[ETA
As requested
dd.mm.yyyy]])</f>
        <v>28</v>
      </c>
      <c r="M246" s="36">
        <f>YEAR(Table1[[#This Row],[ETA
As requested
dd.mm.yyyy]])</f>
        <v>2024</v>
      </c>
      <c r="N246" s="36">
        <f>IFERROR(INDEX(DATABASE_FG!$H$5:$H$367, MATCH(E246, DATABASE_FG!$C$5:$C$367, 0)), " ")</f>
        <v>0</v>
      </c>
      <c r="O246" s="129" t="str">
        <f>IF(E246&lt;&gt;"", _xlfn.XLOOKUP(E246, DATABASE_FG!C:C, DATABASE_FG!F:F), " ")</f>
        <v>Strunjite</v>
      </c>
      <c r="P246" s="129">
        <f>IFERROR(INDEX(DATABASE_FG!$G$5:$G$367, MATCH(E246, DATABASE_FG!$C$5:$C$367, 0)), "Not Found")</f>
        <v>0</v>
      </c>
      <c r="Q246" s="36"/>
      <c r="R246" s="125" t="s">
        <v>678</v>
      </c>
      <c r="S246" s="123">
        <f>IFERROR(INDEX(DATABASE_FG!$L$5:$L$367, MATCH(E246, DATABASE_FG!$C$5:$C$367, 0)), " ")</f>
        <v>42</v>
      </c>
      <c r="T246" s="36" t="s">
        <v>679</v>
      </c>
      <c r="U246" s="36"/>
      <c r="V246" s="36"/>
      <c r="W246" s="129"/>
      <c r="X246" s="36"/>
      <c r="Y246" s="36"/>
      <c r="Z246" s="36"/>
      <c r="AA246" s="125" t="s">
        <v>121</v>
      </c>
      <c r="AB246" s="173">
        <v>45495</v>
      </c>
      <c r="AC246" s="119">
        <v>2024890</v>
      </c>
      <c r="AD246" s="36">
        <f t="shared" si="32"/>
        <v>5325142</v>
      </c>
      <c r="AE246" s="36" t="str">
        <f t="shared" si="33"/>
        <v>AU.KB2045-B-0208-DRE</v>
      </c>
      <c r="AF246" s="36">
        <v>498</v>
      </c>
      <c r="AG246" s="120">
        <f t="shared" si="34"/>
        <v>323.7</v>
      </c>
      <c r="AH246" s="36"/>
      <c r="AI246" s="124"/>
      <c r="AJ246" s="122" t="s">
        <v>1832</v>
      </c>
      <c r="AK246" s="129" t="str">
        <f t="shared" ca="1" si="35"/>
        <v>Late</v>
      </c>
      <c r="AL246" s="268" t="str">
        <f t="shared" si="31"/>
        <v>July</v>
      </c>
      <c r="AM246" s="133">
        <f>YEAR(Table1[[#This Row],[ETA
As requested
dd.mm.yyyy]])</f>
        <v>2024</v>
      </c>
    </row>
    <row r="247" spans="1:39">
      <c r="A247" s="123" t="s">
        <v>83</v>
      </c>
      <c r="B247" s="36" t="s">
        <v>1170</v>
      </c>
      <c r="C247" s="117">
        <v>5325142</v>
      </c>
      <c r="D247" s="165">
        <v>45440</v>
      </c>
      <c r="E247" s="117" t="s">
        <v>108</v>
      </c>
      <c r="F247" s="36" t="str">
        <f>IFERROR(VLOOKUP(Table1[[#This Row],[Part Number]],DATABASE_FG!$C$6:D10236,2,FALSE)," ")</f>
        <v>094290032-0000</v>
      </c>
      <c r="G247" s="117">
        <f>IFERROR(_xlfn.XLOOKUP(Table1[[#This Row],[Part Number]],Table3[Part number],Table3[Drawing
 Revision]),"")</f>
        <v>0</v>
      </c>
      <c r="H247" s="118" cm="1">
        <f t="array" ref="H247">IFERROR(INDEX(PDB!$C:$AT,MATCH(E247,PDB!$B:$B,0),MATCH(YEAR(K247),0+PDB!$C$1:$AT$1,0)),"")</f>
        <v>0.65</v>
      </c>
      <c r="I247" s="36">
        <v>2000</v>
      </c>
      <c r="J247" s="125">
        <f>IFERROR(Table1[[#This Row],[Quantity]]*Table1[[#This Row],[Price/Unit
EUR]]," ")</f>
        <v>1300</v>
      </c>
      <c r="K247" s="126">
        <v>45502</v>
      </c>
      <c r="L247" s="36">
        <f>WEEKNUM(Table1[[#This Row],[ETA
As requested
dd.mm.yyyy]])</f>
        <v>31</v>
      </c>
      <c r="M247" s="36">
        <f>YEAR(Table1[[#This Row],[ETA
As requested
dd.mm.yyyy]])</f>
        <v>2024</v>
      </c>
      <c r="N247" s="36">
        <f>IFERROR(INDEX(DATABASE_FG!$H$5:$H$367, MATCH(E247, DATABASE_FG!$C$5:$C$367, 0)), " ")</f>
        <v>0</v>
      </c>
      <c r="O247" s="129" t="str">
        <f>IF(E247&lt;&gt;"", _xlfn.XLOOKUP(E247, DATABASE_FG!C:C, DATABASE_FG!F:F), " ")</f>
        <v>Strunjite</v>
      </c>
      <c r="P247" s="129">
        <f>IFERROR(INDEX(DATABASE_FG!$G$5:$G$367, MATCH(E247, DATABASE_FG!$C$5:$C$367, 0)), "Not Found")</f>
        <v>0</v>
      </c>
      <c r="Q247" s="36"/>
      <c r="R247" s="125" t="s">
        <v>678</v>
      </c>
      <c r="S247" s="123">
        <f>IFERROR(INDEX(DATABASE_FG!$L$5:$L$367, MATCH(E247, DATABASE_FG!$C$5:$C$367, 0)), " ")</f>
        <v>42</v>
      </c>
      <c r="T247" s="36" t="s">
        <v>679</v>
      </c>
      <c r="U247" s="36"/>
      <c r="V247" s="36"/>
      <c r="W247" s="129"/>
      <c r="X247" s="36"/>
      <c r="Y247" s="36"/>
      <c r="Z247" s="36"/>
      <c r="AA247" s="125" t="s">
        <v>121</v>
      </c>
      <c r="AB247" s="173">
        <v>45496</v>
      </c>
      <c r="AC247" s="119">
        <v>2024903</v>
      </c>
      <c r="AD247" s="36">
        <f t="shared" si="32"/>
        <v>5325142</v>
      </c>
      <c r="AE247" s="36" t="str">
        <f t="shared" si="33"/>
        <v>AU.KB2045-B-0208-DRE</v>
      </c>
      <c r="AF247" s="36">
        <v>157</v>
      </c>
      <c r="AG247" s="120">
        <f t="shared" si="34"/>
        <v>102.05</v>
      </c>
      <c r="AH247" s="36"/>
      <c r="AI247" s="124"/>
      <c r="AJ247" s="122" t="s">
        <v>1873</v>
      </c>
      <c r="AK247" s="129" t="str">
        <f t="shared" ca="1" si="35"/>
        <v>On Time</v>
      </c>
      <c r="AL247" s="268" t="str">
        <f t="shared" si="31"/>
        <v>July</v>
      </c>
      <c r="AM247" s="133">
        <f>YEAR(Table1[[#This Row],[ETA
As requested
dd.mm.yyyy]])</f>
        <v>2024</v>
      </c>
    </row>
    <row r="248" spans="1:39">
      <c r="A248" s="123" t="s">
        <v>83</v>
      </c>
      <c r="B248" s="36" t="s">
        <v>1170</v>
      </c>
      <c r="C248" s="117">
        <v>5325142</v>
      </c>
      <c r="D248" s="165">
        <v>45440</v>
      </c>
      <c r="E248" s="117" t="s">
        <v>108</v>
      </c>
      <c r="F248" s="36" t="str">
        <f>IFERROR(VLOOKUP(Table1[[#This Row],[Part Number]],DATABASE_FG!$C$6:D10237,2,FALSE)," ")</f>
        <v>094290032-0000</v>
      </c>
      <c r="G248" s="117">
        <f>IFERROR(_xlfn.XLOOKUP(Table1[[#This Row],[Part Number]],Table3[Part number],Table3[Drawing
 Revision]),"")</f>
        <v>0</v>
      </c>
      <c r="H248" s="118" cm="1">
        <f t="array" ref="H248">IFERROR(INDEX(PDB!$C:$AT,MATCH(E248,PDB!$B:$B,0),MATCH(YEAR(K248),0+PDB!$C$1:$AT$1,0)),"")</f>
        <v>0.65</v>
      </c>
      <c r="I248" s="36"/>
      <c r="J248" s="125">
        <f>IFERROR(Table1[[#This Row],[Quantity]]*Table1[[#This Row],[Price/Unit
EUR]]," ")</f>
        <v>0</v>
      </c>
      <c r="K248" s="126">
        <v>45502</v>
      </c>
      <c r="L248" s="36">
        <f>WEEKNUM(Table1[[#This Row],[ETA
As requested
dd.mm.yyyy]])</f>
        <v>31</v>
      </c>
      <c r="M248" s="36">
        <f>YEAR(Table1[[#This Row],[ETA
As requested
dd.mm.yyyy]])</f>
        <v>2024</v>
      </c>
      <c r="N248" s="36">
        <f>IFERROR(INDEX(DATABASE_FG!$H$5:$H$367, MATCH(E248, DATABASE_FG!$C$5:$C$367, 0)), " ")</f>
        <v>0</v>
      </c>
      <c r="O248" s="129" t="str">
        <f>IF(E248&lt;&gt;"", _xlfn.XLOOKUP(E248, DATABASE_FG!C:C, DATABASE_FG!F:F), " ")</f>
        <v>Strunjite</v>
      </c>
      <c r="P248" s="129">
        <f>IFERROR(INDEX(DATABASE_FG!$G$5:$G$367, MATCH(E248, DATABASE_FG!$C$5:$C$367, 0)), "Not Found")</f>
        <v>0</v>
      </c>
      <c r="Q248" s="36"/>
      <c r="R248" s="125" t="s">
        <v>678</v>
      </c>
      <c r="S248" s="123">
        <f>IFERROR(INDEX(DATABASE_FG!$L$5:$L$367, MATCH(E248, DATABASE_FG!$C$5:$C$367, 0)), " ")</f>
        <v>42</v>
      </c>
      <c r="T248" s="36" t="s">
        <v>679</v>
      </c>
      <c r="U248" s="36"/>
      <c r="V248" s="36"/>
      <c r="W248" s="129"/>
      <c r="X248" s="36"/>
      <c r="Y248" s="36"/>
      <c r="Z248" s="36"/>
      <c r="AA248" s="125" t="s">
        <v>121</v>
      </c>
      <c r="AB248" s="173">
        <v>45497</v>
      </c>
      <c r="AC248" s="119">
        <v>2024910</v>
      </c>
      <c r="AD248" s="36">
        <f t="shared" si="32"/>
        <v>5325142</v>
      </c>
      <c r="AE248" s="36" t="str">
        <f t="shared" si="33"/>
        <v>AU.KB2045-B-0208-DRE</v>
      </c>
      <c r="AF248" s="36">
        <v>266</v>
      </c>
      <c r="AG248" s="120">
        <f t="shared" si="34"/>
        <v>172.9</v>
      </c>
      <c r="AH248" s="36"/>
      <c r="AI248" s="124"/>
      <c r="AJ248" s="122" t="s">
        <v>1874</v>
      </c>
      <c r="AK248" s="129" t="str">
        <f t="shared" ca="1" si="35"/>
        <v>On Time</v>
      </c>
      <c r="AL248" s="268" t="str">
        <f t="shared" si="31"/>
        <v>July</v>
      </c>
      <c r="AM248" s="133">
        <f>YEAR(Table1[[#This Row],[ETA
As requested
dd.mm.yyyy]])</f>
        <v>2024</v>
      </c>
    </row>
    <row r="249" spans="1:39">
      <c r="A249" s="123" t="s">
        <v>83</v>
      </c>
      <c r="B249" s="36" t="s">
        <v>1170</v>
      </c>
      <c r="C249" s="117">
        <v>5325142</v>
      </c>
      <c r="D249" s="165">
        <v>45440</v>
      </c>
      <c r="E249" s="117" t="s">
        <v>108</v>
      </c>
      <c r="F249" s="36" t="str">
        <f>IFERROR(VLOOKUP(Table1[[#This Row],[Part Number]],DATABASE_FG!$C$6:D10238,2,FALSE)," ")</f>
        <v>094290032-0000</v>
      </c>
      <c r="G249" s="117">
        <f>IFERROR(_xlfn.XLOOKUP(Table1[[#This Row],[Part Number]],Table3[Part number],Table3[Drawing
 Revision]),"")</f>
        <v>0</v>
      </c>
      <c r="H249" s="118" cm="1">
        <f t="array" ref="H249">IFERROR(INDEX(PDB!$C:$AT,MATCH(E249,PDB!$B:$B,0),MATCH(YEAR(K249),0+PDB!$C$1:$AT$1,0)),"")</f>
        <v>0.65</v>
      </c>
      <c r="I249" s="36"/>
      <c r="J249" s="125">
        <f>IFERROR(Table1[[#This Row],[Quantity]]*Table1[[#This Row],[Price/Unit
EUR]]," ")</f>
        <v>0</v>
      </c>
      <c r="K249" s="126">
        <v>45502</v>
      </c>
      <c r="L249" s="36">
        <f>WEEKNUM(Table1[[#This Row],[ETA
As requested
dd.mm.yyyy]])</f>
        <v>31</v>
      </c>
      <c r="M249" s="36">
        <f>YEAR(Table1[[#This Row],[ETA
As requested
dd.mm.yyyy]])</f>
        <v>2024</v>
      </c>
      <c r="N249" s="36">
        <f>IFERROR(INDEX(DATABASE_FG!$H$5:$H$367, MATCH(E249, DATABASE_FG!$C$5:$C$367, 0)), " ")</f>
        <v>0</v>
      </c>
      <c r="O249" s="129" t="str">
        <f>IF(E249&lt;&gt;"", _xlfn.XLOOKUP(E249, DATABASE_FG!C:C, DATABASE_FG!F:F), " ")</f>
        <v>Strunjite</v>
      </c>
      <c r="P249" s="129">
        <f>IFERROR(INDEX(DATABASE_FG!$G$5:$G$367, MATCH(E249, DATABASE_FG!$C$5:$C$367, 0)), "Not Found")</f>
        <v>0</v>
      </c>
      <c r="Q249" s="36"/>
      <c r="R249" s="125" t="s">
        <v>678</v>
      </c>
      <c r="S249" s="123">
        <f>IFERROR(INDEX(DATABASE_FG!$L$5:$L$367, MATCH(E249, DATABASE_FG!$C$5:$C$367, 0)), " ")</f>
        <v>42</v>
      </c>
      <c r="T249" s="36" t="s">
        <v>679</v>
      </c>
      <c r="U249" s="36"/>
      <c r="V249" s="36"/>
      <c r="W249" s="129"/>
      <c r="X249" s="36"/>
      <c r="Y249" s="36"/>
      <c r="Z249" s="36"/>
      <c r="AA249" s="125" t="s">
        <v>121</v>
      </c>
      <c r="AB249" s="173">
        <v>45498</v>
      </c>
      <c r="AC249" s="119">
        <v>2022491</v>
      </c>
      <c r="AD249" s="36">
        <f t="shared" si="32"/>
        <v>5325142</v>
      </c>
      <c r="AE249" s="36" t="str">
        <f t="shared" si="33"/>
        <v>AU.KB2045-B-0208-DRE</v>
      </c>
      <c r="AF249" s="36">
        <v>540</v>
      </c>
      <c r="AG249" s="120">
        <f t="shared" si="34"/>
        <v>351</v>
      </c>
      <c r="AH249" s="36"/>
      <c r="AI249" s="124"/>
      <c r="AJ249" s="122" t="s">
        <v>1875</v>
      </c>
      <c r="AK249" s="129" t="str">
        <f t="shared" ref="AK249:AK280" ca="1" si="36">IF(AB249="", IF(K249 &lt; TODAY(), "Late", ""), IF(AB249 &lt;= K249 + 2, "On Time", "Late"))</f>
        <v>On Time</v>
      </c>
      <c r="AL249" s="268" t="str">
        <f t="shared" si="31"/>
        <v>July</v>
      </c>
      <c r="AM249" s="133">
        <f>YEAR(Table1[[#This Row],[ETA
As requested
dd.mm.yyyy]])</f>
        <v>2024</v>
      </c>
    </row>
    <row r="250" spans="1:39">
      <c r="A250" s="123" t="s">
        <v>83</v>
      </c>
      <c r="B250" s="36" t="s">
        <v>1170</v>
      </c>
      <c r="C250" s="117">
        <v>5325142</v>
      </c>
      <c r="D250" s="165">
        <v>45440</v>
      </c>
      <c r="E250" s="117" t="s">
        <v>108</v>
      </c>
      <c r="F250" s="36" t="str">
        <f>IFERROR(VLOOKUP(Table1[[#This Row],[Part Number]],DATABASE_FG!$C$6:D10239,2,FALSE)," ")</f>
        <v>094290032-0000</v>
      </c>
      <c r="G250" s="117">
        <f>IFERROR(_xlfn.XLOOKUP(Table1[[#This Row],[Part Number]],Table3[Part number],Table3[Drawing
 Revision]),"")</f>
        <v>0</v>
      </c>
      <c r="H250" s="118" cm="1">
        <f t="array" ref="H250">IFERROR(INDEX(PDB!$C:$AT,MATCH(E250,PDB!$B:$B,0),MATCH(YEAR(K250),0+PDB!$C$1:$AT$1,0)),"")</f>
        <v>0.65</v>
      </c>
      <c r="I250" s="36"/>
      <c r="J250" s="125">
        <f>IFERROR(Table1[[#This Row],[Quantity]]*Table1[[#This Row],[Price/Unit
EUR]]," ")</f>
        <v>0</v>
      </c>
      <c r="K250" s="126">
        <v>45502</v>
      </c>
      <c r="L250" s="36">
        <f>WEEKNUM(Table1[[#This Row],[ETA
As requested
dd.mm.yyyy]])</f>
        <v>31</v>
      </c>
      <c r="M250" s="36">
        <f>YEAR(Table1[[#This Row],[ETA
As requested
dd.mm.yyyy]])</f>
        <v>2024</v>
      </c>
      <c r="N250" s="36">
        <f>IFERROR(INDEX(DATABASE_FG!$H$5:$H$367, MATCH(E250, DATABASE_FG!$C$5:$C$367, 0)), " ")</f>
        <v>0</v>
      </c>
      <c r="O250" s="129" t="str">
        <f>IF(E250&lt;&gt;"", _xlfn.XLOOKUP(E250, DATABASE_FG!C:C, DATABASE_FG!F:F), " ")</f>
        <v>Strunjite</v>
      </c>
      <c r="P250" s="129">
        <f>IFERROR(INDEX(DATABASE_FG!$G$5:$G$367, MATCH(E250, DATABASE_FG!$C$5:$C$367, 0)), "Not Found")</f>
        <v>0</v>
      </c>
      <c r="Q250" s="36"/>
      <c r="R250" s="125" t="s">
        <v>678</v>
      </c>
      <c r="S250" s="123">
        <f>IFERROR(INDEX(DATABASE_FG!$L$5:$L$367, MATCH(E250, DATABASE_FG!$C$5:$C$367, 0)), " ")</f>
        <v>42</v>
      </c>
      <c r="T250" s="36" t="s">
        <v>679</v>
      </c>
      <c r="U250" s="36"/>
      <c r="V250" s="36"/>
      <c r="W250" s="129"/>
      <c r="X250" s="36"/>
      <c r="Y250" s="36"/>
      <c r="Z250" s="36"/>
      <c r="AA250" s="125" t="s">
        <v>121</v>
      </c>
      <c r="AB250" s="173">
        <v>45499</v>
      </c>
      <c r="AC250" s="119">
        <v>2024932</v>
      </c>
      <c r="AD250" s="36">
        <f t="shared" si="32"/>
        <v>5325142</v>
      </c>
      <c r="AE250" s="36" t="str">
        <f t="shared" si="33"/>
        <v>AU.KB2045-B-0208-DRE</v>
      </c>
      <c r="AF250" s="36">
        <v>421</v>
      </c>
      <c r="AG250" s="120">
        <f t="shared" si="34"/>
        <v>273.65000000000003</v>
      </c>
      <c r="AH250" s="36"/>
      <c r="AI250" s="124"/>
      <c r="AJ250" s="122" t="s">
        <v>1876</v>
      </c>
      <c r="AK250" s="129" t="str">
        <f t="shared" ca="1" si="36"/>
        <v>On Time</v>
      </c>
      <c r="AL250" s="268" t="str">
        <f t="shared" si="31"/>
        <v>July</v>
      </c>
      <c r="AM250" s="133">
        <f>YEAR(Table1[[#This Row],[ETA
As requested
dd.mm.yyyy]])</f>
        <v>2024</v>
      </c>
    </row>
    <row r="251" spans="1:39">
      <c r="A251" s="123" t="s">
        <v>83</v>
      </c>
      <c r="B251" s="36" t="s">
        <v>1170</v>
      </c>
      <c r="C251" s="117">
        <v>5325142</v>
      </c>
      <c r="D251" s="165">
        <v>45440</v>
      </c>
      <c r="E251" s="117" t="s">
        <v>108</v>
      </c>
      <c r="F251" s="36" t="str">
        <f>IFERROR(VLOOKUP(Table1[[#This Row],[Part Number]],DATABASE_FG!$C$6:D10240,2,FALSE)," ")</f>
        <v>094290032-0000</v>
      </c>
      <c r="G251" s="117">
        <f>IFERROR(_xlfn.XLOOKUP(Table1[[#This Row],[Part Number]],Table3[Part number],Table3[Drawing
 Revision]),"")</f>
        <v>0</v>
      </c>
      <c r="H251" s="118" cm="1">
        <f t="array" ref="H251">IFERROR(INDEX(PDB!$C:$AT,MATCH(E251,PDB!$B:$B,0),MATCH(YEAR(K251),0+PDB!$C$1:$AT$1,0)),"")</f>
        <v>0.65</v>
      </c>
      <c r="I251" s="36"/>
      <c r="J251" s="125">
        <f>IFERROR(Table1[[#This Row],[Quantity]]*Table1[[#This Row],[Price/Unit
EUR]]," ")</f>
        <v>0</v>
      </c>
      <c r="K251" s="126">
        <v>45502</v>
      </c>
      <c r="L251" s="36">
        <f>WEEKNUM(Table1[[#This Row],[ETA
As requested
dd.mm.yyyy]])</f>
        <v>31</v>
      </c>
      <c r="M251" s="36">
        <f>YEAR(Table1[[#This Row],[ETA
As requested
dd.mm.yyyy]])</f>
        <v>2024</v>
      </c>
      <c r="N251" s="36">
        <f>IFERROR(INDEX(DATABASE_FG!$H$5:$H$367, MATCH(E251, DATABASE_FG!$C$5:$C$367, 0)), " ")</f>
        <v>0</v>
      </c>
      <c r="O251" s="129" t="str">
        <f>IF(E251&lt;&gt;"", _xlfn.XLOOKUP(E251, DATABASE_FG!C:C, DATABASE_FG!F:F), " ")</f>
        <v>Strunjite</v>
      </c>
      <c r="P251" s="129">
        <f>IFERROR(INDEX(DATABASE_FG!$G$5:$G$367, MATCH(E251, DATABASE_FG!$C$5:$C$367, 0)), "Not Found")</f>
        <v>0</v>
      </c>
      <c r="Q251" s="36"/>
      <c r="R251" s="125" t="s">
        <v>678</v>
      </c>
      <c r="S251" s="123">
        <f>IFERROR(INDEX(DATABASE_FG!$L$5:$L$367, MATCH(E251, DATABASE_FG!$C$5:$C$367, 0)), " ")</f>
        <v>42</v>
      </c>
      <c r="T251" s="36" t="s">
        <v>679</v>
      </c>
      <c r="U251" s="36"/>
      <c r="V251" s="36"/>
      <c r="W251" s="129"/>
      <c r="X251" s="36"/>
      <c r="Y251" s="36"/>
      <c r="Z251" s="36"/>
      <c r="AA251" s="125" t="s">
        <v>121</v>
      </c>
      <c r="AB251" s="173">
        <v>45502</v>
      </c>
      <c r="AC251" s="119">
        <v>2024936</v>
      </c>
      <c r="AD251" s="36">
        <f t="shared" si="32"/>
        <v>5325142</v>
      </c>
      <c r="AE251" s="36" t="str">
        <f t="shared" si="33"/>
        <v>AU.KB2045-B-0208-DRE</v>
      </c>
      <c r="AF251" s="36">
        <v>540</v>
      </c>
      <c r="AG251" s="120">
        <f t="shared" si="34"/>
        <v>351</v>
      </c>
      <c r="AH251" s="36"/>
      <c r="AI251" s="124"/>
      <c r="AJ251" s="122" t="s">
        <v>1877</v>
      </c>
      <c r="AK251" s="129" t="str">
        <f t="shared" ca="1" si="36"/>
        <v>On Time</v>
      </c>
      <c r="AL251" s="268" t="str">
        <f t="shared" si="31"/>
        <v>July</v>
      </c>
      <c r="AM251" s="133">
        <f>YEAR(Table1[[#This Row],[ETA
As requested
dd.mm.yyyy]])</f>
        <v>2024</v>
      </c>
    </row>
    <row r="252" spans="1:39">
      <c r="A252" s="123" t="s">
        <v>83</v>
      </c>
      <c r="B252" s="36" t="s">
        <v>1170</v>
      </c>
      <c r="C252" s="117">
        <v>5325142</v>
      </c>
      <c r="D252" s="165">
        <v>45440</v>
      </c>
      <c r="E252" s="117" t="s">
        <v>108</v>
      </c>
      <c r="F252" s="36" t="str">
        <f>IFERROR(VLOOKUP(Table1[[#This Row],[Part Number]],DATABASE_FG!$C$6:D10241,2,FALSE)," ")</f>
        <v>094290032-0000</v>
      </c>
      <c r="G252" s="117">
        <f>IFERROR(_xlfn.XLOOKUP(Table1[[#This Row],[Part Number]],Table3[Part number],Table3[Drawing
 Revision]),"")</f>
        <v>0</v>
      </c>
      <c r="H252" s="118" cm="1">
        <f t="array" ref="H252">IFERROR(INDEX(PDB!$C:$AT,MATCH(E252,PDB!$B:$B,0),MATCH(YEAR(K252),0+PDB!$C$1:$AT$1,0)),"")</f>
        <v>0.65</v>
      </c>
      <c r="I252" s="36"/>
      <c r="J252" s="125">
        <f>IFERROR(Table1[[#This Row],[Quantity]]*Table1[[#This Row],[Price/Unit
EUR]]," ")</f>
        <v>0</v>
      </c>
      <c r="K252" s="126">
        <v>45502</v>
      </c>
      <c r="L252" s="36">
        <f>WEEKNUM(Table1[[#This Row],[ETA
As requested
dd.mm.yyyy]])</f>
        <v>31</v>
      </c>
      <c r="M252" s="36">
        <f>YEAR(Table1[[#This Row],[ETA
As requested
dd.mm.yyyy]])</f>
        <v>2024</v>
      </c>
      <c r="N252" s="36">
        <f>IFERROR(INDEX(DATABASE_FG!$H$5:$H$367, MATCH(E252, DATABASE_FG!$C$5:$C$367, 0)), " ")</f>
        <v>0</v>
      </c>
      <c r="O252" s="129" t="str">
        <f>IF(E252&lt;&gt;"", _xlfn.XLOOKUP(E252, DATABASE_FG!C:C, DATABASE_FG!F:F), " ")</f>
        <v>Strunjite</v>
      </c>
      <c r="P252" s="129">
        <f>IFERROR(INDEX(DATABASE_FG!$G$5:$G$367, MATCH(E252, DATABASE_FG!$C$5:$C$367, 0)), "Not Found")</f>
        <v>0</v>
      </c>
      <c r="Q252" s="36"/>
      <c r="R252" s="125" t="s">
        <v>678</v>
      </c>
      <c r="S252" s="123">
        <f>IFERROR(INDEX(DATABASE_FG!$L$5:$L$367, MATCH(E252, DATABASE_FG!$C$5:$C$367, 0)), " ")</f>
        <v>42</v>
      </c>
      <c r="T252" s="36" t="s">
        <v>679</v>
      </c>
      <c r="U252" s="36"/>
      <c r="V252" s="36"/>
      <c r="W252" s="129"/>
      <c r="X252" s="36"/>
      <c r="Y252" s="36"/>
      <c r="Z252" s="36"/>
      <c r="AA252" s="125" t="s">
        <v>121</v>
      </c>
      <c r="AB252" s="172">
        <v>45503</v>
      </c>
      <c r="AC252" s="119">
        <v>2024943</v>
      </c>
      <c r="AD252" s="36">
        <f t="shared" si="32"/>
        <v>5325142</v>
      </c>
      <c r="AE252" s="36" t="str">
        <f t="shared" si="33"/>
        <v>AU.KB2045-B-0208-DRE</v>
      </c>
      <c r="AF252" s="36">
        <v>76</v>
      </c>
      <c r="AG252" s="120">
        <f t="shared" si="34"/>
        <v>49.4</v>
      </c>
      <c r="AH252" s="36"/>
      <c r="AI252" s="124"/>
      <c r="AJ252" s="122" t="s">
        <v>1878</v>
      </c>
      <c r="AK252" s="129" t="str">
        <f t="shared" ca="1" si="36"/>
        <v>On Time</v>
      </c>
      <c r="AL252" s="268" t="str">
        <f t="shared" si="31"/>
        <v>July</v>
      </c>
      <c r="AM252" s="133">
        <f>YEAR(Table1[[#This Row],[ETA
As requested
dd.mm.yyyy]])</f>
        <v>2024</v>
      </c>
    </row>
    <row r="253" spans="1:39">
      <c r="A253" s="123" t="s">
        <v>83</v>
      </c>
      <c r="B253" s="36" t="s">
        <v>1170</v>
      </c>
      <c r="C253" s="117">
        <v>5325142</v>
      </c>
      <c r="D253" s="165">
        <v>45440</v>
      </c>
      <c r="E253" s="117" t="s">
        <v>108</v>
      </c>
      <c r="F253" s="36" t="str">
        <f>IFERROR(VLOOKUP(Table1[[#This Row],[Part Number]],DATABASE_FG!$C$6:D10242,2,FALSE)," ")</f>
        <v>094290032-0000</v>
      </c>
      <c r="G253" s="117">
        <f>IFERROR(_xlfn.XLOOKUP(Table1[[#This Row],[Part Number]],Table3[Part number],Table3[Drawing
 Revision]),"")</f>
        <v>0</v>
      </c>
      <c r="H253" s="118" cm="1">
        <f t="array" ref="H253">IFERROR(INDEX(PDB!$C:$AT,MATCH(E253,PDB!$B:$B,0),MATCH(YEAR(K253),0+PDB!$C$1:$AT$1,0)),"")</f>
        <v>0.65</v>
      </c>
      <c r="I253" s="36">
        <v>2000</v>
      </c>
      <c r="J253" s="125">
        <f>IFERROR(Table1[[#This Row],[Quantity]]*Table1[[#This Row],[Price/Unit
EUR]]," ")</f>
        <v>1300</v>
      </c>
      <c r="K253" s="126">
        <v>45510</v>
      </c>
      <c r="L253" s="36">
        <f>WEEKNUM(Table1[[#This Row],[ETA
As requested
dd.mm.yyyy]])</f>
        <v>32</v>
      </c>
      <c r="M253" s="36">
        <f>YEAR(Table1[[#This Row],[ETA
As requested
dd.mm.yyyy]])</f>
        <v>2024</v>
      </c>
      <c r="N253" s="36">
        <f>IFERROR(INDEX(DATABASE_FG!$H$5:$H$367, MATCH(E253, DATABASE_FG!$C$5:$C$367, 0)), " ")</f>
        <v>0</v>
      </c>
      <c r="O253" s="129" t="str">
        <f>IF(E253&lt;&gt;"", _xlfn.XLOOKUP(E253, DATABASE_FG!C:C, DATABASE_FG!F:F), " ")</f>
        <v>Strunjite</v>
      </c>
      <c r="P253" s="129">
        <f>IFERROR(INDEX(DATABASE_FG!$G$5:$G$367, MATCH(E253, DATABASE_FG!$C$5:$C$367, 0)), "Not Found")</f>
        <v>0</v>
      </c>
      <c r="Q253" s="36"/>
      <c r="R253" s="125" t="s">
        <v>678</v>
      </c>
      <c r="S253" s="123">
        <f>IFERROR(INDEX(DATABASE_FG!$L$5:$L$367, MATCH(E253, DATABASE_FG!$C$5:$C$367, 0)), " ")</f>
        <v>42</v>
      </c>
      <c r="T253" s="36" t="s">
        <v>679</v>
      </c>
      <c r="U253" s="36"/>
      <c r="V253" s="36"/>
      <c r="W253" s="129"/>
      <c r="X253" s="36"/>
      <c r="Y253" s="36"/>
      <c r="Z253" s="36"/>
      <c r="AA253" s="125" t="s">
        <v>121</v>
      </c>
      <c r="AB253" s="172">
        <v>45503</v>
      </c>
      <c r="AC253" s="119">
        <v>2024943</v>
      </c>
      <c r="AD253" s="36">
        <f t="shared" si="32"/>
        <v>5325142</v>
      </c>
      <c r="AE253" s="36" t="str">
        <f t="shared" si="33"/>
        <v>AU.KB2045-B-0208-DRE</v>
      </c>
      <c r="AF253" s="36">
        <f>316-76</f>
        <v>240</v>
      </c>
      <c r="AG253" s="120">
        <f t="shared" si="34"/>
        <v>156</v>
      </c>
      <c r="AH253" s="36"/>
      <c r="AI253" s="124"/>
      <c r="AJ253" s="122" t="s">
        <v>1878</v>
      </c>
      <c r="AK253" s="129" t="str">
        <f t="shared" ca="1" si="36"/>
        <v>On Time</v>
      </c>
      <c r="AL253" s="268" t="str">
        <f t="shared" si="31"/>
        <v>August</v>
      </c>
      <c r="AM253" s="133">
        <f>YEAR(Table1[[#This Row],[ETA
As requested
dd.mm.yyyy]])</f>
        <v>2024</v>
      </c>
    </row>
    <row r="254" spans="1:39">
      <c r="A254" s="123" t="s">
        <v>83</v>
      </c>
      <c r="B254" s="36" t="s">
        <v>1170</v>
      </c>
      <c r="C254" s="117">
        <v>5325142</v>
      </c>
      <c r="D254" s="165">
        <v>45440</v>
      </c>
      <c r="E254" s="117" t="s">
        <v>108</v>
      </c>
      <c r="F254" s="36" t="str">
        <f>IFERROR(VLOOKUP(Table1[[#This Row],[Part Number]],DATABASE_FG!$C$6:D10243,2,FALSE)," ")</f>
        <v>094290032-0000</v>
      </c>
      <c r="G254" s="117">
        <f>IFERROR(_xlfn.XLOOKUP(Table1[[#This Row],[Part Number]],Table3[Part number],Table3[Drawing
 Revision]),"")</f>
        <v>0</v>
      </c>
      <c r="H254" s="118" cm="1">
        <f t="array" ref="H254">IFERROR(INDEX(PDB!$C:$AT,MATCH(E254,PDB!$B:$B,0),MATCH(YEAR(K254),0+PDB!$C$1:$AT$1,0)),"")</f>
        <v>0.65</v>
      </c>
      <c r="I254" s="36">
        <v>0</v>
      </c>
      <c r="J254" s="125">
        <f>IFERROR(Table1[[#This Row],[Quantity]]*Table1[[#This Row],[Price/Unit
EUR]]," ")</f>
        <v>0</v>
      </c>
      <c r="K254" s="126">
        <v>45510</v>
      </c>
      <c r="L254" s="36">
        <f>WEEKNUM(Table1[[#This Row],[ETA
As requested
dd.mm.yyyy]])</f>
        <v>32</v>
      </c>
      <c r="M254" s="36">
        <f>YEAR(Table1[[#This Row],[ETA
As requested
dd.mm.yyyy]])</f>
        <v>2024</v>
      </c>
      <c r="N254" s="36">
        <f>IFERROR(INDEX(DATABASE_FG!$H$5:$H$367, MATCH(E254, DATABASE_FG!$C$5:$C$367, 0)), " ")</f>
        <v>0</v>
      </c>
      <c r="O254" s="129" t="str">
        <f>IF(E254&lt;&gt;"", _xlfn.XLOOKUP(E254, DATABASE_FG!C:C, DATABASE_FG!F:F), " ")</f>
        <v>Strunjite</v>
      </c>
      <c r="P254" s="129">
        <f>IFERROR(INDEX(DATABASE_FG!$G$5:$G$367, MATCH(E254, DATABASE_FG!$C$5:$C$367, 0)), "Not Found")</f>
        <v>0</v>
      </c>
      <c r="Q254" s="36"/>
      <c r="R254" s="125" t="s">
        <v>678</v>
      </c>
      <c r="S254" s="123">
        <f>IFERROR(INDEX(DATABASE_FG!$L$5:$L$367, MATCH(E254, DATABASE_FG!$C$5:$C$367, 0)), " ")</f>
        <v>42</v>
      </c>
      <c r="T254" s="36" t="s">
        <v>679</v>
      </c>
      <c r="U254" s="36"/>
      <c r="V254" s="36"/>
      <c r="W254" s="129"/>
      <c r="X254" s="36"/>
      <c r="Y254" s="36"/>
      <c r="Z254" s="36"/>
      <c r="AA254" s="125" t="s">
        <v>121</v>
      </c>
      <c r="AB254" s="172">
        <v>45504</v>
      </c>
      <c r="AC254" s="119">
        <v>2024951</v>
      </c>
      <c r="AD254" s="36">
        <f t="shared" si="32"/>
        <v>5325142</v>
      </c>
      <c r="AE254" s="36" t="str">
        <f t="shared" si="33"/>
        <v>AU.KB2045-B-0208-DRE</v>
      </c>
      <c r="AF254" s="36">
        <v>540</v>
      </c>
      <c r="AG254" s="120">
        <f t="shared" si="34"/>
        <v>351</v>
      </c>
      <c r="AH254" s="36"/>
      <c r="AI254" s="124"/>
      <c r="AJ254" s="122" t="s">
        <v>1904</v>
      </c>
      <c r="AK254" s="129" t="str">
        <f t="shared" ca="1" si="36"/>
        <v>On Time</v>
      </c>
      <c r="AL254" s="268" t="str">
        <f t="shared" si="31"/>
        <v>August</v>
      </c>
      <c r="AM254" s="133">
        <f>YEAR(Table1[[#This Row],[ETA
As requested
dd.mm.yyyy]])</f>
        <v>2024</v>
      </c>
    </row>
    <row r="255" spans="1:39">
      <c r="A255" s="123" t="s">
        <v>83</v>
      </c>
      <c r="B255" s="36" t="s">
        <v>1170</v>
      </c>
      <c r="C255" s="117">
        <v>5325142</v>
      </c>
      <c r="D255" s="165">
        <v>45440</v>
      </c>
      <c r="E255" s="117" t="s">
        <v>108</v>
      </c>
      <c r="F255" s="36" t="str">
        <f>IFERROR(VLOOKUP(Table1[[#This Row],[Part Number]],DATABASE_FG!$C$6:D10244,2,FALSE)," ")</f>
        <v>094290032-0000</v>
      </c>
      <c r="G255" s="117">
        <f>IFERROR(_xlfn.XLOOKUP(Table1[[#This Row],[Part Number]],Table3[Part number],Table3[Drawing
 Revision]),"")</f>
        <v>0</v>
      </c>
      <c r="H255" s="118" cm="1">
        <f t="array" ref="H255">IFERROR(INDEX(PDB!$C:$AT,MATCH(E255,PDB!$B:$B,0),MATCH(YEAR(K255),0+PDB!$C$1:$AT$1,0)),"")</f>
        <v>0.65</v>
      </c>
      <c r="I255" s="36">
        <v>0</v>
      </c>
      <c r="J255" s="125">
        <f>IFERROR(Table1[[#This Row],[Quantity]]*Table1[[#This Row],[Price/Unit
EUR]]," ")</f>
        <v>0</v>
      </c>
      <c r="K255" s="126">
        <v>45510</v>
      </c>
      <c r="L255" s="36">
        <f>WEEKNUM(Table1[[#This Row],[ETA
As requested
dd.mm.yyyy]])</f>
        <v>32</v>
      </c>
      <c r="M255" s="36">
        <f>YEAR(Table1[[#This Row],[ETA
As requested
dd.mm.yyyy]])</f>
        <v>2024</v>
      </c>
      <c r="N255" s="36">
        <f>IFERROR(INDEX(DATABASE_FG!$H$5:$H$367, MATCH(E255, DATABASE_FG!$C$5:$C$367, 0)), " ")</f>
        <v>0</v>
      </c>
      <c r="O255" s="129" t="str">
        <f>IF(E255&lt;&gt;"", _xlfn.XLOOKUP(E255, DATABASE_FG!C:C, DATABASE_FG!F:F), " ")</f>
        <v>Strunjite</v>
      </c>
      <c r="P255" s="129">
        <f>IFERROR(INDEX(DATABASE_FG!$G$5:$G$367, MATCH(E255, DATABASE_FG!$C$5:$C$367, 0)), "Not Found")</f>
        <v>0</v>
      </c>
      <c r="Q255" s="36"/>
      <c r="R255" s="125" t="s">
        <v>678</v>
      </c>
      <c r="S255" s="123">
        <f>IFERROR(INDEX(DATABASE_FG!$L$5:$L$367, MATCH(E255, DATABASE_FG!$C$5:$C$367, 0)), " ")</f>
        <v>42</v>
      </c>
      <c r="T255" s="36" t="s">
        <v>679</v>
      </c>
      <c r="U255" s="36"/>
      <c r="V255" s="36"/>
      <c r="W255" s="129"/>
      <c r="X255" s="36"/>
      <c r="Y255" s="36"/>
      <c r="Z255" s="36"/>
      <c r="AA255" s="125" t="s">
        <v>121</v>
      </c>
      <c r="AB255" s="173">
        <v>45510</v>
      </c>
      <c r="AC255" s="119">
        <v>2024989</v>
      </c>
      <c r="AD255" s="36">
        <f t="shared" si="32"/>
        <v>5325142</v>
      </c>
      <c r="AE255" s="36" t="str">
        <f t="shared" si="33"/>
        <v>AU.KB2045-B-0208-DRE</v>
      </c>
      <c r="AF255" s="36">
        <v>85</v>
      </c>
      <c r="AG255" s="120">
        <f t="shared" si="34"/>
        <v>55.25</v>
      </c>
      <c r="AH255" s="36"/>
      <c r="AI255" s="124"/>
      <c r="AJ255" s="122" t="s">
        <v>1906</v>
      </c>
      <c r="AK255" s="129" t="str">
        <f t="shared" ca="1" si="36"/>
        <v>On Time</v>
      </c>
      <c r="AL255" s="268" t="str">
        <f t="shared" si="31"/>
        <v>August</v>
      </c>
      <c r="AM255" s="133">
        <f>YEAR(Table1[[#This Row],[ETA
As requested
dd.mm.yyyy]])</f>
        <v>2024</v>
      </c>
    </row>
    <row r="256" spans="1:39">
      <c r="A256" s="123" t="s">
        <v>83</v>
      </c>
      <c r="B256" s="36" t="s">
        <v>1170</v>
      </c>
      <c r="C256" s="117">
        <v>5325142</v>
      </c>
      <c r="D256" s="165">
        <v>45440</v>
      </c>
      <c r="E256" s="117" t="s">
        <v>108</v>
      </c>
      <c r="F256" s="36" t="str">
        <f>IFERROR(VLOOKUP(Table1[[#This Row],[Part Number]],DATABASE_FG!$C$6:D10245,2,FALSE)," ")</f>
        <v>094290032-0000</v>
      </c>
      <c r="G256" s="117">
        <f>IFERROR(_xlfn.XLOOKUP(Table1[[#This Row],[Part Number]],Table3[Part number],Table3[Drawing
 Revision]),"")</f>
        <v>0</v>
      </c>
      <c r="H256" s="118" cm="1">
        <f t="array" ref="H256">IFERROR(INDEX(PDB!$C:$AT,MATCH(E256,PDB!$B:$B,0),MATCH(YEAR(K256),0+PDB!$C$1:$AT$1,0)),"")</f>
        <v>0.65</v>
      </c>
      <c r="I256" s="36">
        <v>0</v>
      </c>
      <c r="J256" s="125">
        <f>IFERROR(Table1[[#This Row],[Quantity]]*Table1[[#This Row],[Price/Unit
EUR]]," ")</f>
        <v>0</v>
      </c>
      <c r="K256" s="126">
        <v>45510</v>
      </c>
      <c r="L256" s="36">
        <f>WEEKNUM(Table1[[#This Row],[ETA
As requested
dd.mm.yyyy]])</f>
        <v>32</v>
      </c>
      <c r="M256" s="36">
        <f>YEAR(Table1[[#This Row],[ETA
As requested
dd.mm.yyyy]])</f>
        <v>2024</v>
      </c>
      <c r="N256" s="36">
        <f>IFERROR(INDEX(DATABASE_FG!$H$5:$H$367, MATCH(E256, DATABASE_FG!$C$5:$C$367, 0)), " ")</f>
        <v>0</v>
      </c>
      <c r="O256" s="129" t="str">
        <f>IF(E256&lt;&gt;"", _xlfn.XLOOKUP(E256, DATABASE_FG!C:C, DATABASE_FG!F:F), " ")</f>
        <v>Strunjite</v>
      </c>
      <c r="P256" s="129">
        <f>IFERROR(INDEX(DATABASE_FG!$G$5:$G$367, MATCH(E256, DATABASE_FG!$C$5:$C$367, 0)), "Not Found")</f>
        <v>0</v>
      </c>
      <c r="Q256" s="36"/>
      <c r="R256" s="125" t="s">
        <v>678</v>
      </c>
      <c r="S256" s="123">
        <f>IFERROR(INDEX(DATABASE_FG!$L$5:$L$367, MATCH(E256, DATABASE_FG!$C$5:$C$367, 0)), " ")</f>
        <v>42</v>
      </c>
      <c r="T256" s="36" t="s">
        <v>679</v>
      </c>
      <c r="U256" s="36"/>
      <c r="V256" s="36"/>
      <c r="W256" s="129"/>
      <c r="X256" s="36"/>
      <c r="Y256" s="36"/>
      <c r="Z256" s="36"/>
      <c r="AA256" s="125" t="s">
        <v>121</v>
      </c>
      <c r="AB256" s="172">
        <v>45512</v>
      </c>
      <c r="AC256" s="119">
        <v>20241001</v>
      </c>
      <c r="AD256" s="36">
        <f t="shared" si="32"/>
        <v>5325142</v>
      </c>
      <c r="AE256" s="36" t="str">
        <f t="shared" si="33"/>
        <v>AU.KB2045-B-0208-DRE</v>
      </c>
      <c r="AF256" s="36">
        <v>188</v>
      </c>
      <c r="AG256" s="120">
        <f t="shared" si="34"/>
        <v>122.2</v>
      </c>
      <c r="AH256" s="36"/>
      <c r="AI256" s="124"/>
      <c r="AJ256" s="122" t="s">
        <v>1910</v>
      </c>
      <c r="AK256" s="129" t="str">
        <f t="shared" ca="1" si="36"/>
        <v>On Time</v>
      </c>
      <c r="AL256" s="268" t="str">
        <f t="shared" si="31"/>
        <v>August</v>
      </c>
      <c r="AM256" s="133">
        <f>YEAR(Table1[[#This Row],[ETA
As requested
dd.mm.yyyy]])</f>
        <v>2024</v>
      </c>
    </row>
    <row r="257" spans="1:39">
      <c r="A257" s="123" t="s">
        <v>83</v>
      </c>
      <c r="B257" s="36" t="s">
        <v>1170</v>
      </c>
      <c r="C257" s="117">
        <v>5325142</v>
      </c>
      <c r="D257" s="165">
        <v>45440</v>
      </c>
      <c r="E257" s="117" t="s">
        <v>108</v>
      </c>
      <c r="F257" s="36" t="str">
        <f>IFERROR(VLOOKUP(Table1[[#This Row],[Part Number]],DATABASE_FG!$C$6:D10246,2,FALSE)," ")</f>
        <v>094290032-0000</v>
      </c>
      <c r="G257" s="117">
        <f>IFERROR(_xlfn.XLOOKUP(Table1[[#This Row],[Part Number]],Table3[Part number],Table3[Drawing
 Revision]),"")</f>
        <v>0</v>
      </c>
      <c r="H257" s="118" cm="1">
        <f t="array" ref="H257">IFERROR(INDEX(PDB!$C:$AT,MATCH(E257,PDB!$B:$B,0),MATCH(YEAR(K257),0+PDB!$C$1:$AT$1,0)),"")</f>
        <v>0.65</v>
      </c>
      <c r="I257" s="36">
        <v>0</v>
      </c>
      <c r="J257" s="125">
        <f>IFERROR(Table1[[#This Row],[Quantity]]*Table1[[#This Row],[Price/Unit
EUR]]," ")</f>
        <v>0</v>
      </c>
      <c r="K257" s="126">
        <v>45510</v>
      </c>
      <c r="L257" s="36">
        <f>WEEKNUM(Table1[[#This Row],[ETA
As requested
dd.mm.yyyy]])</f>
        <v>32</v>
      </c>
      <c r="M257" s="36">
        <f>YEAR(Table1[[#This Row],[ETA
As requested
dd.mm.yyyy]])</f>
        <v>2024</v>
      </c>
      <c r="N257" s="36">
        <f>IFERROR(INDEX(DATABASE_FG!$H$5:$H$367, MATCH(E257, DATABASE_FG!$C$5:$C$367, 0)), " ")</f>
        <v>0</v>
      </c>
      <c r="O257" s="129" t="str">
        <f>IF(E257&lt;&gt;"", _xlfn.XLOOKUP(E257, DATABASE_FG!C:C, DATABASE_FG!F:F), " ")</f>
        <v>Strunjite</v>
      </c>
      <c r="P257" s="129">
        <f>IFERROR(INDEX(DATABASE_FG!$G$5:$G$367, MATCH(E257, DATABASE_FG!$C$5:$C$367, 0)), "Not Found")</f>
        <v>0</v>
      </c>
      <c r="Q257" s="36"/>
      <c r="R257" s="125" t="s">
        <v>678</v>
      </c>
      <c r="S257" s="123">
        <f>IFERROR(INDEX(DATABASE_FG!$L$5:$L$367, MATCH(E257, DATABASE_FG!$C$5:$C$367, 0)), " ")</f>
        <v>42</v>
      </c>
      <c r="T257" s="36" t="s">
        <v>679</v>
      </c>
      <c r="U257" s="36"/>
      <c r="V257" s="36"/>
      <c r="W257" s="129"/>
      <c r="X257" s="36"/>
      <c r="Y257" s="36"/>
      <c r="Z257" s="36"/>
      <c r="AA257" s="125" t="s">
        <v>121</v>
      </c>
      <c r="AB257" s="172">
        <v>45513</v>
      </c>
      <c r="AC257" s="119">
        <v>202401012</v>
      </c>
      <c r="AD257" s="36">
        <f t="shared" si="32"/>
        <v>5325142</v>
      </c>
      <c r="AE257" s="36" t="str">
        <f t="shared" si="33"/>
        <v>AU.KB2045-B-0208-DRE</v>
      </c>
      <c r="AF257" s="36">
        <v>350</v>
      </c>
      <c r="AG257" s="120">
        <f t="shared" si="34"/>
        <v>227.5</v>
      </c>
      <c r="AH257" s="36"/>
      <c r="AI257" s="124"/>
      <c r="AJ257" s="122" t="s">
        <v>1913</v>
      </c>
      <c r="AK257" s="129" t="str">
        <f t="shared" ca="1" si="36"/>
        <v>Late</v>
      </c>
      <c r="AL257" s="268" t="str">
        <f t="shared" si="31"/>
        <v>August</v>
      </c>
      <c r="AM257" s="133">
        <f>YEAR(Table1[[#This Row],[ETA
As requested
dd.mm.yyyy]])</f>
        <v>2024</v>
      </c>
    </row>
    <row r="258" spans="1:39">
      <c r="A258" s="123" t="s">
        <v>83</v>
      </c>
      <c r="B258" s="36" t="s">
        <v>1170</v>
      </c>
      <c r="C258" s="117">
        <v>5325142</v>
      </c>
      <c r="D258" s="165">
        <v>45440</v>
      </c>
      <c r="E258" s="117" t="s">
        <v>108</v>
      </c>
      <c r="F258" s="36" t="str">
        <f>IFERROR(VLOOKUP(Table1[[#This Row],[Part Number]],DATABASE_FG!$C$6:D10247,2,FALSE)," ")</f>
        <v>094290032-0000</v>
      </c>
      <c r="G258" s="117">
        <f>IFERROR(_xlfn.XLOOKUP(Table1[[#This Row],[Part Number]],Table3[Part number],Table3[Drawing
 Revision]),"")</f>
        <v>0</v>
      </c>
      <c r="H258" s="118" cm="1">
        <f t="array" ref="H258">IFERROR(INDEX(PDB!$C:$AT,MATCH(E258,PDB!$B:$B,0),MATCH(YEAR(K258),0+PDB!$C$1:$AT$1,0)),"")</f>
        <v>0.65</v>
      </c>
      <c r="I258" s="36">
        <v>0</v>
      </c>
      <c r="J258" s="125">
        <f>IFERROR(Table1[[#This Row],[Quantity]]*Table1[[#This Row],[Price/Unit
EUR]]," ")</f>
        <v>0</v>
      </c>
      <c r="K258" s="126">
        <v>45510</v>
      </c>
      <c r="L258" s="36">
        <f>WEEKNUM(Table1[[#This Row],[ETA
As requested
dd.mm.yyyy]])</f>
        <v>32</v>
      </c>
      <c r="M258" s="36">
        <f>YEAR(Table1[[#This Row],[ETA
As requested
dd.mm.yyyy]])</f>
        <v>2024</v>
      </c>
      <c r="N258" s="36">
        <f>IFERROR(INDEX(DATABASE_FG!$H$5:$H$367, MATCH(E258, DATABASE_FG!$C$5:$C$367, 0)), " ")</f>
        <v>0</v>
      </c>
      <c r="O258" s="129" t="str">
        <f>IF(E258&lt;&gt;"", _xlfn.XLOOKUP(E258, DATABASE_FG!C:C, DATABASE_FG!F:F), " ")</f>
        <v>Strunjite</v>
      </c>
      <c r="P258" s="129">
        <f>IFERROR(INDEX(DATABASE_FG!$G$5:$G$367, MATCH(E258, DATABASE_FG!$C$5:$C$367, 0)), "Not Found")</f>
        <v>0</v>
      </c>
      <c r="Q258" s="36"/>
      <c r="R258" s="125" t="s">
        <v>678</v>
      </c>
      <c r="S258" s="123">
        <f>IFERROR(INDEX(DATABASE_FG!$L$5:$L$367, MATCH(E258, DATABASE_FG!$C$5:$C$367, 0)), " ")</f>
        <v>42</v>
      </c>
      <c r="T258" s="36" t="s">
        <v>679</v>
      </c>
      <c r="U258" s="36"/>
      <c r="V258" s="36"/>
      <c r="W258" s="129"/>
      <c r="X258" s="36"/>
      <c r="Y258" s="36"/>
      <c r="Z258" s="36"/>
      <c r="AA258" s="125" t="s">
        <v>121</v>
      </c>
      <c r="AB258" s="172">
        <v>45523</v>
      </c>
      <c r="AC258" s="119">
        <v>202401045</v>
      </c>
      <c r="AD258" s="36">
        <f t="shared" si="32"/>
        <v>5325142</v>
      </c>
      <c r="AE258" s="36" t="str">
        <f t="shared" si="33"/>
        <v>AU.KB2045-B-0208-DRE</v>
      </c>
      <c r="AF258" s="36">
        <v>597</v>
      </c>
      <c r="AG258" s="120">
        <f t="shared" si="34"/>
        <v>388.05</v>
      </c>
      <c r="AH258" s="36"/>
      <c r="AI258" s="124"/>
      <c r="AJ258" s="122" t="s">
        <v>1916</v>
      </c>
      <c r="AK258" s="129" t="str">
        <f t="shared" ca="1" si="36"/>
        <v>Late</v>
      </c>
      <c r="AL258" s="268" t="str">
        <f t="shared" si="31"/>
        <v>August</v>
      </c>
      <c r="AM258" s="133">
        <f>YEAR(Table1[[#This Row],[ETA
As requested
dd.mm.yyyy]])</f>
        <v>2024</v>
      </c>
    </row>
    <row r="259" spans="1:39">
      <c r="A259" s="123" t="s">
        <v>83</v>
      </c>
      <c r="B259" s="36" t="s">
        <v>1170</v>
      </c>
      <c r="C259" s="117">
        <v>5325142</v>
      </c>
      <c r="D259" s="165">
        <v>45440</v>
      </c>
      <c r="E259" s="117" t="s">
        <v>108</v>
      </c>
      <c r="F259" s="36" t="str">
        <f>IFERROR(VLOOKUP(Table1[[#This Row],[Part Number]],DATABASE_FG!$C$6:D10248,2,FALSE)," ")</f>
        <v>094290032-0000</v>
      </c>
      <c r="G259" s="117">
        <f>IFERROR(_xlfn.XLOOKUP(Table1[[#This Row],[Part Number]],Table3[Part number],Table3[Drawing
 Revision]),"")</f>
        <v>0</v>
      </c>
      <c r="H259" s="118" cm="1">
        <f t="array" ref="H259">IFERROR(INDEX(PDB!$C:$AT,MATCH(E259,PDB!$B:$B,0),MATCH(YEAR(K259),0+PDB!$C$1:$AT$1,0)),"")</f>
        <v>0.65</v>
      </c>
      <c r="I259" s="36">
        <v>1500</v>
      </c>
      <c r="J259" s="125">
        <f>IFERROR(Table1[[#This Row],[Quantity]]*Table1[[#This Row],[Price/Unit
EUR]]," ")</f>
        <v>975</v>
      </c>
      <c r="K259" s="126">
        <v>45517</v>
      </c>
      <c r="L259" s="36">
        <f>WEEKNUM(Table1[[#This Row],[ETA
As requested
dd.mm.yyyy]])</f>
        <v>33</v>
      </c>
      <c r="M259" s="36">
        <f>YEAR(Table1[[#This Row],[ETA
As requested
dd.mm.yyyy]])</f>
        <v>2024</v>
      </c>
      <c r="N259" s="36">
        <f>IFERROR(INDEX(DATABASE_FG!$H$5:$H$367, MATCH(E259, DATABASE_FG!$C$5:$C$367, 0)), " ")</f>
        <v>0</v>
      </c>
      <c r="O259" s="129" t="str">
        <f>IF(E259&lt;&gt;"", _xlfn.XLOOKUP(E259, DATABASE_FG!C:C, DATABASE_FG!F:F), " ")</f>
        <v>Strunjite</v>
      </c>
      <c r="P259" s="129">
        <f>IFERROR(INDEX(DATABASE_FG!$G$5:$G$367, MATCH(E259, DATABASE_FG!$C$5:$C$367, 0)), "Not Found")</f>
        <v>0</v>
      </c>
      <c r="Q259" s="36"/>
      <c r="R259" s="125" t="s">
        <v>678</v>
      </c>
      <c r="S259" s="123">
        <f>IFERROR(INDEX(DATABASE_FG!$L$5:$L$367, MATCH(E259, DATABASE_FG!$C$5:$C$367, 0)), " ")</f>
        <v>42</v>
      </c>
      <c r="T259" s="36" t="s">
        <v>679</v>
      </c>
      <c r="U259" s="36"/>
      <c r="V259" s="36"/>
      <c r="W259" s="129"/>
      <c r="X259" s="36"/>
      <c r="Y259" s="36"/>
      <c r="Z259" s="36"/>
      <c r="AA259" s="125" t="s">
        <v>121</v>
      </c>
      <c r="AB259" s="172">
        <v>45523</v>
      </c>
      <c r="AC259" s="119">
        <v>202401045</v>
      </c>
      <c r="AD259" s="36">
        <f t="shared" si="32"/>
        <v>5325142</v>
      </c>
      <c r="AE259" s="36" t="str">
        <f t="shared" si="33"/>
        <v>AU.KB2045-B-0208-DRE</v>
      </c>
      <c r="AF259" s="36">
        <f>2340-597-243</f>
        <v>1500</v>
      </c>
      <c r="AG259" s="120">
        <f t="shared" si="34"/>
        <v>975</v>
      </c>
      <c r="AH259" s="36"/>
      <c r="AI259" s="124"/>
      <c r="AJ259" s="122" t="s">
        <v>1916</v>
      </c>
      <c r="AK259" s="129" t="str">
        <f t="shared" ca="1" si="36"/>
        <v>Late</v>
      </c>
      <c r="AL259" s="268" t="str">
        <f t="shared" si="31"/>
        <v>August</v>
      </c>
      <c r="AM259" s="133">
        <f>YEAR(Table1[[#This Row],[ETA
As requested
dd.mm.yyyy]])</f>
        <v>2024</v>
      </c>
    </row>
    <row r="260" spans="1:39">
      <c r="A260" s="123" t="s">
        <v>83</v>
      </c>
      <c r="B260" s="36" t="s">
        <v>1170</v>
      </c>
      <c r="C260" s="117">
        <v>5325142</v>
      </c>
      <c r="D260" s="165">
        <v>45527</v>
      </c>
      <c r="E260" s="117" t="s">
        <v>108</v>
      </c>
      <c r="F260" s="36" t="str">
        <f>IFERROR(VLOOKUP(Table1[[#This Row],[Part Number]],DATABASE_FG!$C$6:D10249,2,FALSE)," ")</f>
        <v>094290032-0000</v>
      </c>
      <c r="G260" s="117">
        <f>IFERROR(_xlfn.XLOOKUP(Table1[[#This Row],[Part Number]],Table3[Part number],Table3[Drawing
 Revision]),"")</f>
        <v>0</v>
      </c>
      <c r="H260" s="118" cm="1">
        <f t="array" ref="H260">IFERROR(INDEX(PDB!$C:$AT,MATCH(E260,PDB!$B:$B,0),MATCH(YEAR(K260),0+PDB!$C$1:$AT$1,0)),"")</f>
        <v>0.65</v>
      </c>
      <c r="I260" s="36">
        <v>1000</v>
      </c>
      <c r="J260" s="125">
        <f>IFERROR(Table1[[#This Row],[Quantity]]*Table1[[#This Row],[Price/Unit
EUR]]," ")</f>
        <v>650</v>
      </c>
      <c r="K260" s="126">
        <v>45549</v>
      </c>
      <c r="L260" s="36">
        <f>WEEKNUM(Table1[[#This Row],[ETA
As requested
dd.mm.yyyy]])</f>
        <v>37</v>
      </c>
      <c r="M260" s="36">
        <f>YEAR(Table1[[#This Row],[ETA
As requested
dd.mm.yyyy]])</f>
        <v>2024</v>
      </c>
      <c r="N260" s="36">
        <f>IFERROR(INDEX(DATABASE_FG!$H$5:$H$367, MATCH(E260, DATABASE_FG!$C$5:$C$367, 0)), " ")</f>
        <v>0</v>
      </c>
      <c r="O260" s="129" t="str">
        <f>IF(E260&lt;&gt;"", _xlfn.XLOOKUP(E260, DATABASE_FG!C:C, DATABASE_FG!F:F), " ")</f>
        <v>Strunjite</v>
      </c>
      <c r="P260" s="129">
        <f>IFERROR(INDEX(DATABASE_FG!$G$5:$G$367, MATCH(E260, DATABASE_FG!$C$5:$C$367, 0)), "Not Found")</f>
        <v>0</v>
      </c>
      <c r="Q260" s="36"/>
      <c r="R260" s="125" t="s">
        <v>678</v>
      </c>
      <c r="S260" s="123">
        <f>IFERROR(INDEX(DATABASE_FG!$L$5:$L$367, MATCH(E260, DATABASE_FG!$C$5:$C$367, 0)), " ")</f>
        <v>42</v>
      </c>
      <c r="T260" s="36" t="s">
        <v>679</v>
      </c>
      <c r="U260" s="36"/>
      <c r="V260" s="36"/>
      <c r="W260" s="129"/>
      <c r="X260" s="36"/>
      <c r="Y260" s="36"/>
      <c r="Z260" s="36"/>
      <c r="AA260" s="125" t="s">
        <v>121</v>
      </c>
      <c r="AB260" s="172">
        <v>45523</v>
      </c>
      <c r="AC260" s="119">
        <v>202401045</v>
      </c>
      <c r="AD260" s="36">
        <f t="shared" si="32"/>
        <v>5325142</v>
      </c>
      <c r="AE260" s="36" t="str">
        <f t="shared" si="33"/>
        <v>AU.KB2045-B-0208-DRE</v>
      </c>
      <c r="AF260" s="36">
        <v>243</v>
      </c>
      <c r="AG260" s="120">
        <f t="shared" si="34"/>
        <v>157.95000000000002</v>
      </c>
      <c r="AH260" s="36"/>
      <c r="AI260" s="124"/>
      <c r="AJ260" s="122" t="s">
        <v>1916</v>
      </c>
      <c r="AK260" s="129" t="str">
        <f t="shared" ca="1" si="36"/>
        <v>On Time</v>
      </c>
      <c r="AL260" s="268" t="str">
        <f t="shared" si="31"/>
        <v>September</v>
      </c>
      <c r="AM260" s="133">
        <f>YEAR(Table1[[#This Row],[ETA
As requested
dd.mm.yyyy]])</f>
        <v>2024</v>
      </c>
    </row>
    <row r="261" spans="1:39">
      <c r="A261" s="123" t="s">
        <v>83</v>
      </c>
      <c r="B261" s="36" t="s">
        <v>1170</v>
      </c>
      <c r="C261" s="117">
        <v>5325142</v>
      </c>
      <c r="D261" s="165">
        <v>45527</v>
      </c>
      <c r="E261" s="117" t="s">
        <v>108</v>
      </c>
      <c r="F261" s="36" t="str">
        <f>IFERROR(VLOOKUP(Table1[[#This Row],[Part Number]],DATABASE_FG!$C$6:D10250,2,FALSE)," ")</f>
        <v>094290032-0000</v>
      </c>
      <c r="G261" s="117">
        <f>IFERROR(_xlfn.XLOOKUP(Table1[[#This Row],[Part Number]],Table3[Part number],Table3[Drawing
 Revision]),"")</f>
        <v>0</v>
      </c>
      <c r="H261" s="118" cm="1">
        <f t="array" ref="H261">IFERROR(INDEX(PDB!$C:$AT,MATCH(E261,PDB!$B:$B,0),MATCH(YEAR(K261),0+PDB!$C$1:$AT$1,0)),"")</f>
        <v>0.65</v>
      </c>
      <c r="I261" s="36">
        <v>0</v>
      </c>
      <c r="J261" s="125">
        <f>IFERROR(Table1[[#This Row],[Quantity]]*Table1[[#This Row],[Price/Unit
EUR]]," ")</f>
        <v>0</v>
      </c>
      <c r="K261" s="126">
        <v>45549</v>
      </c>
      <c r="L261" s="36">
        <f>WEEKNUM(Table1[[#This Row],[ETA
As requested
dd.mm.yyyy]])</f>
        <v>37</v>
      </c>
      <c r="M261" s="36">
        <f>YEAR(Table1[[#This Row],[ETA
As requested
dd.mm.yyyy]])</f>
        <v>2024</v>
      </c>
      <c r="N261" s="36">
        <f>IFERROR(INDEX(DATABASE_FG!$H$5:$H$367, MATCH(E261, DATABASE_FG!$C$5:$C$367, 0)), " ")</f>
        <v>0</v>
      </c>
      <c r="O261" s="129" t="str">
        <f>IF(E261&lt;&gt;"", _xlfn.XLOOKUP(E261, DATABASE_FG!C:C, DATABASE_FG!F:F), " ")</f>
        <v>Strunjite</v>
      </c>
      <c r="P261" s="129">
        <f>IFERROR(INDEX(DATABASE_FG!$G$5:$G$367, MATCH(E261, DATABASE_FG!$C$5:$C$367, 0)), "Not Found")</f>
        <v>0</v>
      </c>
      <c r="Q261" s="36"/>
      <c r="R261" s="125" t="s">
        <v>678</v>
      </c>
      <c r="S261" s="123">
        <f>IFERROR(INDEX(DATABASE_FG!$L$5:$L$367, MATCH(E261, DATABASE_FG!$C$5:$C$367, 0)), " ")</f>
        <v>42</v>
      </c>
      <c r="T261" s="36" t="s">
        <v>679</v>
      </c>
      <c r="U261" s="36"/>
      <c r="V261" s="36"/>
      <c r="W261" s="129"/>
      <c r="X261" s="36"/>
      <c r="Y261" s="36"/>
      <c r="Z261" s="36"/>
      <c r="AA261" s="125" t="s">
        <v>121</v>
      </c>
      <c r="AB261" s="172">
        <v>45538</v>
      </c>
      <c r="AC261" s="119">
        <v>202401093</v>
      </c>
      <c r="AD261" s="36">
        <f t="shared" si="32"/>
        <v>5325142</v>
      </c>
      <c r="AE261" s="36" t="str">
        <f t="shared" si="33"/>
        <v>AU.KB2045-B-0208-DRE</v>
      </c>
      <c r="AF261" s="36">
        <v>757</v>
      </c>
      <c r="AG261" s="120">
        <f t="shared" si="34"/>
        <v>492.05</v>
      </c>
      <c r="AH261" s="36"/>
      <c r="AI261" s="124"/>
      <c r="AJ261" s="122" t="s">
        <v>2376</v>
      </c>
      <c r="AK261" s="129" t="str">
        <f t="shared" ca="1" si="36"/>
        <v>On Time</v>
      </c>
      <c r="AL261" s="268" t="str">
        <f t="shared" si="31"/>
        <v>September</v>
      </c>
      <c r="AM261" s="133">
        <f>YEAR(Table1[[#This Row],[ETA
As requested
dd.mm.yyyy]])</f>
        <v>2024</v>
      </c>
    </row>
    <row r="262" spans="1:39">
      <c r="A262" s="123" t="s">
        <v>83</v>
      </c>
      <c r="B262" s="36" t="s">
        <v>1170</v>
      </c>
      <c r="C262" s="117">
        <v>5325142</v>
      </c>
      <c r="D262" s="165">
        <v>45440</v>
      </c>
      <c r="E262" s="117" t="s">
        <v>108</v>
      </c>
      <c r="F262" s="36" t="str">
        <f>IFERROR(VLOOKUP(Table1[[#This Row],[Part Number]],DATABASE_FG!$C$6:D10251,2,FALSE)," ")</f>
        <v>094290032-0000</v>
      </c>
      <c r="G262" s="117">
        <f>IFERROR(_xlfn.XLOOKUP(Table1[[#This Row],[Part Number]],Table3[Part number],Table3[Drawing
 Revision]),"")</f>
        <v>0</v>
      </c>
      <c r="H262" s="118" cm="1">
        <f t="array" ref="H262">IFERROR(INDEX(PDB!$C:$AT,MATCH(E262,PDB!$B:$B,0),MATCH(YEAR(K262),0+PDB!$C$1:$AT$1,0)),"")</f>
        <v>0.65</v>
      </c>
      <c r="I262" s="36">
        <v>1200</v>
      </c>
      <c r="J262" s="125">
        <f>IFERROR(Table1[[#This Row],[Quantity]]*Table1[[#This Row],[Price/Unit
EUR]]," ")</f>
        <v>780</v>
      </c>
      <c r="K262" s="126">
        <v>45566</v>
      </c>
      <c r="L262" s="36">
        <f>WEEKNUM(Table1[[#This Row],[ETA
As requested
dd.mm.yyyy]])</f>
        <v>40</v>
      </c>
      <c r="M262" s="36">
        <f>YEAR(Table1[[#This Row],[ETA
As requested
dd.mm.yyyy]])</f>
        <v>2024</v>
      </c>
      <c r="N262" s="36">
        <f>IFERROR(INDEX(DATABASE_FG!$H$5:$H$367, MATCH(E262, DATABASE_FG!$C$5:$C$367, 0)), " ")</f>
        <v>0</v>
      </c>
      <c r="O262" s="129" t="str">
        <f>IF(E262&lt;&gt;"", _xlfn.XLOOKUP(E262, DATABASE_FG!C:C, DATABASE_FG!F:F), " ")</f>
        <v>Strunjite</v>
      </c>
      <c r="P262" s="129">
        <f>IFERROR(INDEX(DATABASE_FG!$G$5:$G$367, MATCH(E262, DATABASE_FG!$C$5:$C$367, 0)), "Not Found")</f>
        <v>0</v>
      </c>
      <c r="Q262" s="36"/>
      <c r="R262" s="125" t="s">
        <v>678</v>
      </c>
      <c r="S262" s="123">
        <f>IFERROR(INDEX(DATABASE_FG!$L$5:$L$367, MATCH(E262, DATABASE_FG!$C$5:$C$367, 0)), " ")</f>
        <v>42</v>
      </c>
      <c r="T262" s="36" t="s">
        <v>679</v>
      </c>
      <c r="U262" s="36"/>
      <c r="V262" s="36"/>
      <c r="W262" s="129"/>
      <c r="X262" s="36"/>
      <c r="Y262" s="36"/>
      <c r="Z262" s="36"/>
      <c r="AA262" s="125" t="s">
        <v>121</v>
      </c>
      <c r="AB262" s="172">
        <v>45566</v>
      </c>
      <c r="AC262" s="119">
        <v>202401182</v>
      </c>
      <c r="AD262" s="36">
        <f t="shared" si="32"/>
        <v>5325142</v>
      </c>
      <c r="AE262" s="36" t="str">
        <f t="shared" si="33"/>
        <v>AU.KB2045-B-0208-DRE</v>
      </c>
      <c r="AF262" s="36">
        <v>1200</v>
      </c>
      <c r="AG262" s="120">
        <f t="shared" si="34"/>
        <v>780</v>
      </c>
      <c r="AH262" s="36"/>
      <c r="AI262" s="124"/>
      <c r="AJ262" s="122" t="s">
        <v>2407</v>
      </c>
      <c r="AK262" s="129" t="str">
        <f t="shared" ca="1" si="36"/>
        <v>On Time</v>
      </c>
      <c r="AL262" s="268" t="str">
        <f t="shared" si="31"/>
        <v>October</v>
      </c>
      <c r="AM262" s="133">
        <f>YEAR(Table1[[#This Row],[ETA
As requested
dd.mm.yyyy]])</f>
        <v>2024</v>
      </c>
    </row>
    <row r="263" spans="1:39">
      <c r="A263" s="123" t="s">
        <v>83</v>
      </c>
      <c r="B263" s="36" t="s">
        <v>1170</v>
      </c>
      <c r="C263" s="117">
        <v>5325142</v>
      </c>
      <c r="D263" s="165">
        <v>45440</v>
      </c>
      <c r="E263" s="117" t="s">
        <v>108</v>
      </c>
      <c r="F263" s="36" t="str">
        <f>IFERROR(VLOOKUP(Table1[[#This Row],[Part Number]],DATABASE_FG!$C$6:D10252,2,FALSE)," ")</f>
        <v>094290032-0000</v>
      </c>
      <c r="G263" s="117">
        <f>IFERROR(_xlfn.XLOOKUP(Table1[[#This Row],[Part Number]],Table3[Part number],Table3[Drawing
 Revision]),"")</f>
        <v>0</v>
      </c>
      <c r="H263" s="118" cm="1">
        <f t="array" ref="H263">IFERROR(INDEX(PDB!$C:$AT,MATCH(E263,PDB!$B:$B,0),MATCH(YEAR(K263),0+PDB!$C$1:$AT$1,0)),"")</f>
        <v>0.65</v>
      </c>
      <c r="I263" s="36">
        <v>1000</v>
      </c>
      <c r="J263" s="125">
        <f>IFERROR(Table1[[#This Row],[Quantity]]*Table1[[#This Row],[Price/Unit
EUR]]," ")</f>
        <v>650</v>
      </c>
      <c r="K263" s="126">
        <v>45573</v>
      </c>
      <c r="L263" s="36">
        <f>WEEKNUM(Table1[[#This Row],[ETA
As requested
dd.mm.yyyy]])</f>
        <v>41</v>
      </c>
      <c r="M263" s="36">
        <f>YEAR(Table1[[#This Row],[ETA
As requested
dd.mm.yyyy]])</f>
        <v>2024</v>
      </c>
      <c r="N263" s="36">
        <f>IFERROR(INDEX(DATABASE_FG!$H$5:$H$367, MATCH(E263, DATABASE_FG!$C$5:$C$367, 0)), " ")</f>
        <v>0</v>
      </c>
      <c r="O263" s="129" t="str">
        <f>IF(E263&lt;&gt;"", _xlfn.XLOOKUP(E263, DATABASE_FG!C:C, DATABASE_FG!F:F), " ")</f>
        <v>Strunjite</v>
      </c>
      <c r="P263" s="129">
        <f>IFERROR(INDEX(DATABASE_FG!$G$5:$G$367, MATCH(E263, DATABASE_FG!$C$5:$C$367, 0)), "Not Found")</f>
        <v>0</v>
      </c>
      <c r="Q263" s="36"/>
      <c r="R263" s="125" t="s">
        <v>678</v>
      </c>
      <c r="S263" s="123">
        <f>IFERROR(INDEX(DATABASE_FG!$L$5:$L$367, MATCH(E263, DATABASE_FG!$C$5:$C$367, 0)), " ")</f>
        <v>42</v>
      </c>
      <c r="T263" s="36" t="s">
        <v>679</v>
      </c>
      <c r="U263" s="36"/>
      <c r="V263" s="36"/>
      <c r="W263" s="129"/>
      <c r="X263" s="36"/>
      <c r="Y263" s="36"/>
      <c r="Z263" s="36"/>
      <c r="AA263" s="125" t="s">
        <v>121</v>
      </c>
      <c r="AB263" s="173">
        <v>45566</v>
      </c>
      <c r="AC263" s="119">
        <v>202401182</v>
      </c>
      <c r="AD263" s="36">
        <f t="shared" si="32"/>
        <v>5325142</v>
      </c>
      <c r="AE263" s="36" t="str">
        <f t="shared" si="33"/>
        <v>AU.KB2045-B-0208-DRE</v>
      </c>
      <c r="AF263" s="36">
        <v>1000</v>
      </c>
      <c r="AG263" s="120">
        <f t="shared" si="34"/>
        <v>650</v>
      </c>
      <c r="AH263" s="36"/>
      <c r="AI263" s="124"/>
      <c r="AJ263" s="122" t="s">
        <v>2407</v>
      </c>
      <c r="AK263" s="129" t="str">
        <f t="shared" ca="1" si="36"/>
        <v>On Time</v>
      </c>
      <c r="AL263" s="268" t="str">
        <f t="shared" si="31"/>
        <v>October</v>
      </c>
      <c r="AM263" s="133">
        <f>YEAR(Table1[[#This Row],[ETA
As requested
dd.mm.yyyy]])</f>
        <v>2024</v>
      </c>
    </row>
    <row r="264" spans="1:39">
      <c r="A264" s="123" t="s">
        <v>83</v>
      </c>
      <c r="B264" s="36" t="s">
        <v>1170</v>
      </c>
      <c r="C264" s="117">
        <v>5325142</v>
      </c>
      <c r="D264" s="165">
        <v>45440</v>
      </c>
      <c r="E264" s="117" t="s">
        <v>108</v>
      </c>
      <c r="F264" s="36" t="str">
        <f>IFERROR(VLOOKUP(Table1[[#This Row],[Part Number]],DATABASE_FG!$C$6:D10253,2,FALSE)," ")</f>
        <v>094290032-0000</v>
      </c>
      <c r="G264" s="117">
        <f>IFERROR(_xlfn.XLOOKUP(Table1[[#This Row],[Part Number]],Table3[Part number],Table3[Drawing
 Revision]),"")</f>
        <v>0</v>
      </c>
      <c r="H264" s="118" cm="1">
        <f t="array" ref="H264">IFERROR(INDEX(PDB!$C:$AT,MATCH(E264,PDB!$B:$B,0),MATCH(YEAR(K264),0+PDB!$C$1:$AT$1,0)),"")</f>
        <v>0.65</v>
      </c>
      <c r="I264" s="36">
        <v>1000</v>
      </c>
      <c r="J264" s="125">
        <f>IFERROR(Table1[[#This Row],[Quantity]]*Table1[[#This Row],[Price/Unit
EUR]]," ")</f>
        <v>650</v>
      </c>
      <c r="K264" s="126">
        <v>45601</v>
      </c>
      <c r="L264" s="36">
        <f>WEEKNUM(Table1[[#This Row],[ETA
As requested
dd.mm.yyyy]])</f>
        <v>45</v>
      </c>
      <c r="M264" s="36">
        <f>YEAR(Table1[[#This Row],[ETA
As requested
dd.mm.yyyy]])</f>
        <v>2024</v>
      </c>
      <c r="N264" s="36">
        <f>IFERROR(INDEX(DATABASE_FG!$H$5:$H$367, MATCH(E264, DATABASE_FG!$C$5:$C$367, 0)), " ")</f>
        <v>0</v>
      </c>
      <c r="O264" s="129" t="str">
        <f>IF(E264&lt;&gt;"", _xlfn.XLOOKUP(E264, DATABASE_FG!C:C, DATABASE_FG!F:F), " ")</f>
        <v>Strunjite</v>
      </c>
      <c r="P264" s="129">
        <f>IFERROR(INDEX(DATABASE_FG!$G$5:$G$367, MATCH(E264, DATABASE_FG!$C$5:$C$367, 0)), "Not Found")</f>
        <v>0</v>
      </c>
      <c r="Q264" s="36"/>
      <c r="R264" s="125" t="s">
        <v>678</v>
      </c>
      <c r="S264" s="123">
        <f>IFERROR(INDEX(DATABASE_FG!$L$5:$L$367, MATCH(E264, DATABASE_FG!$C$5:$C$367, 0)), " ")</f>
        <v>42</v>
      </c>
      <c r="T264" s="36" t="s">
        <v>679</v>
      </c>
      <c r="U264" s="36"/>
      <c r="V264" s="36"/>
      <c r="W264" s="129"/>
      <c r="X264" s="36"/>
      <c r="Y264" s="36"/>
      <c r="Z264" s="36"/>
      <c r="AA264" s="125" t="s">
        <v>121</v>
      </c>
      <c r="AB264" s="173">
        <v>45601</v>
      </c>
      <c r="AC264" s="119">
        <v>202401328</v>
      </c>
      <c r="AD264" s="36">
        <f t="shared" si="32"/>
        <v>5325142</v>
      </c>
      <c r="AE264" s="36" t="str">
        <f t="shared" si="33"/>
        <v>AU.KB2045-B-0208-DRE</v>
      </c>
      <c r="AF264" s="36">
        <v>1000</v>
      </c>
      <c r="AG264" s="120">
        <f t="shared" si="34"/>
        <v>650</v>
      </c>
      <c r="AH264" s="36"/>
      <c r="AI264" s="124"/>
      <c r="AJ264" s="122" t="s">
        <v>2550</v>
      </c>
      <c r="AK264" s="129" t="str">
        <f t="shared" ca="1" si="36"/>
        <v>On Time</v>
      </c>
      <c r="AL264" s="268" t="str">
        <f t="shared" si="31"/>
        <v>November</v>
      </c>
      <c r="AM264" s="133">
        <f>YEAR(Table1[[#This Row],[ETA
As requested
dd.mm.yyyy]])</f>
        <v>2024</v>
      </c>
    </row>
    <row r="265" spans="1:39">
      <c r="A265" s="123" t="s">
        <v>83</v>
      </c>
      <c r="B265" s="36" t="s">
        <v>1170</v>
      </c>
      <c r="C265" s="117">
        <v>5325142</v>
      </c>
      <c r="D265" s="165">
        <v>45440</v>
      </c>
      <c r="E265" s="117" t="s">
        <v>108</v>
      </c>
      <c r="F265" s="36" t="str">
        <f>IFERROR(VLOOKUP(Table1[[#This Row],[Part Number]],DATABASE_FG!$C$6:D10254,2,FALSE)," ")</f>
        <v>094290032-0000</v>
      </c>
      <c r="G265" s="117">
        <f>IFERROR(_xlfn.XLOOKUP(Table1[[#This Row],[Part Number]],Table3[Part number],Table3[Drawing
 Revision]),"")</f>
        <v>0</v>
      </c>
      <c r="H265" s="118" cm="1">
        <f t="array" ref="H265">IFERROR(INDEX(PDB!$C:$AT,MATCH(E265,PDB!$B:$B,0),MATCH(YEAR(K265),0+PDB!$C$1:$AT$1,0)),"")</f>
        <v>0.65</v>
      </c>
      <c r="I265" s="36">
        <v>2000</v>
      </c>
      <c r="J265" s="125">
        <f>IFERROR(Table1[[#This Row],[Quantity]]*Table1[[#This Row],[Price/Unit
EUR]]," ")</f>
        <v>1300</v>
      </c>
      <c r="K265" s="126">
        <v>45601</v>
      </c>
      <c r="L265" s="36">
        <f>WEEKNUM(Table1[[#This Row],[ETA
As requested
dd.mm.yyyy]])</f>
        <v>45</v>
      </c>
      <c r="M265" s="36">
        <f>YEAR(Table1[[#This Row],[ETA
As requested
dd.mm.yyyy]])</f>
        <v>2024</v>
      </c>
      <c r="N265" s="36">
        <f>IFERROR(INDEX(DATABASE_FG!$H$5:$H$367, MATCH(E265, DATABASE_FG!$C$5:$C$367, 0)), " ")</f>
        <v>0</v>
      </c>
      <c r="O265" s="129" t="str">
        <f>IF(E265&lt;&gt;"", _xlfn.XLOOKUP(E265, DATABASE_FG!C:C, DATABASE_FG!F:F), " ")</f>
        <v>Strunjite</v>
      </c>
      <c r="P265" s="129">
        <f>IFERROR(INDEX(DATABASE_FG!$G$5:$G$367, MATCH(E265, DATABASE_FG!$C$5:$C$367, 0)), "Not Found")</f>
        <v>0</v>
      </c>
      <c r="Q265" s="36"/>
      <c r="R265" s="125" t="s">
        <v>678</v>
      </c>
      <c r="S265" s="123">
        <f>IFERROR(INDEX(DATABASE_FG!$L$5:$L$367, MATCH(E265, DATABASE_FG!$C$5:$C$367, 0)), " ")</f>
        <v>42</v>
      </c>
      <c r="T265" s="36" t="s">
        <v>679</v>
      </c>
      <c r="U265" s="36"/>
      <c r="V265" s="36"/>
      <c r="W265" s="129"/>
      <c r="X265" s="36"/>
      <c r="Y265" s="36"/>
      <c r="Z265" s="36"/>
      <c r="AA265" s="125" t="s">
        <v>121</v>
      </c>
      <c r="AB265" s="173">
        <v>45601</v>
      </c>
      <c r="AC265" s="119">
        <v>202401328</v>
      </c>
      <c r="AD265" s="36">
        <f t="shared" si="32"/>
        <v>5325142</v>
      </c>
      <c r="AE265" s="36" t="str">
        <f t="shared" si="33"/>
        <v>AU.KB2045-B-0208-DRE</v>
      </c>
      <c r="AF265" s="36">
        <v>2000</v>
      </c>
      <c r="AG265" s="120">
        <f t="shared" si="34"/>
        <v>1300</v>
      </c>
      <c r="AH265" s="36"/>
      <c r="AI265" s="124"/>
      <c r="AJ265" s="122" t="s">
        <v>2550</v>
      </c>
      <c r="AK265" s="129" t="str">
        <f t="shared" ca="1" si="36"/>
        <v>On Time</v>
      </c>
      <c r="AL265" s="268" t="str">
        <f t="shared" si="31"/>
        <v>November</v>
      </c>
      <c r="AM265" s="133">
        <f>YEAR(Table1[[#This Row],[ETA
As requested
dd.mm.yyyy]])</f>
        <v>2024</v>
      </c>
    </row>
    <row r="266" spans="1:39">
      <c r="A266" s="123" t="s">
        <v>83</v>
      </c>
      <c r="B266" s="36" t="s">
        <v>1170</v>
      </c>
      <c r="C266" s="117">
        <v>5325142</v>
      </c>
      <c r="D266" s="165">
        <v>45440</v>
      </c>
      <c r="E266" s="117" t="s">
        <v>108</v>
      </c>
      <c r="F266" s="36" t="str">
        <f>IFERROR(VLOOKUP(Table1[[#This Row],[Part Number]],DATABASE_FG!$C$6:D10255,2,FALSE)," ")</f>
        <v>094290032-0000</v>
      </c>
      <c r="G266" s="117">
        <f>IFERROR(_xlfn.XLOOKUP(Table1[[#This Row],[Part Number]],Table3[Part number],Table3[Drawing
 Revision]),"")</f>
        <v>0</v>
      </c>
      <c r="H266" s="118" cm="1">
        <f t="array" ref="H266">IFERROR(INDEX(PDB!$C:$AT,MATCH(E266,PDB!$B:$B,0),MATCH(YEAR(K266),0+PDB!$C$1:$AT$1,0)),"")</f>
        <v>0.65</v>
      </c>
      <c r="I266" s="36">
        <v>1098</v>
      </c>
      <c r="J266" s="125">
        <f>IFERROR(Table1[[#This Row],[Quantity]]*Table1[[#This Row],[Price/Unit
EUR]]," ")</f>
        <v>713.7</v>
      </c>
      <c r="K266" s="126">
        <v>45631</v>
      </c>
      <c r="L266" s="36">
        <f>WEEKNUM(Table1[[#This Row],[ETA
As requested
dd.mm.yyyy]])</f>
        <v>49</v>
      </c>
      <c r="M266" s="36">
        <f>YEAR(Table1[[#This Row],[ETA
As requested
dd.mm.yyyy]])</f>
        <v>2024</v>
      </c>
      <c r="N266" s="36">
        <f>IFERROR(INDEX(DATABASE_FG!$H$5:$H$367, MATCH(E266, DATABASE_FG!$C$5:$C$367, 0)), " ")</f>
        <v>0</v>
      </c>
      <c r="O266" s="129" t="str">
        <f>IF(E266&lt;&gt;"", _xlfn.XLOOKUP(E266, DATABASE_FG!C:C, DATABASE_FG!F:F), " ")</f>
        <v>Strunjite</v>
      </c>
      <c r="P266" s="129">
        <f>IFERROR(INDEX(DATABASE_FG!$G$5:$G$367, MATCH(E266, DATABASE_FG!$C$5:$C$367, 0)), "Not Found")</f>
        <v>0</v>
      </c>
      <c r="Q266" s="36"/>
      <c r="R266" s="125" t="s">
        <v>678</v>
      </c>
      <c r="S266" s="123">
        <f>IFERROR(INDEX(DATABASE_FG!$L$5:$L$367, MATCH(E266, DATABASE_FG!$C$5:$C$367, 0)), " ")</f>
        <v>42</v>
      </c>
      <c r="T266" s="36" t="s">
        <v>679</v>
      </c>
      <c r="U266" s="36"/>
      <c r="V266" s="36"/>
      <c r="W266" s="129"/>
      <c r="X266" s="36"/>
      <c r="Y266" s="36"/>
      <c r="Z266" s="36"/>
      <c r="AA266" s="125" t="s">
        <v>121</v>
      </c>
      <c r="AB266" s="173">
        <v>45629</v>
      </c>
      <c r="AC266" s="119">
        <v>202401459</v>
      </c>
      <c r="AD266" s="36">
        <f t="shared" si="32"/>
        <v>5325142</v>
      </c>
      <c r="AE266" s="36" t="str">
        <f t="shared" si="33"/>
        <v>AU.KB2045-B-0208-DRE</v>
      </c>
      <c r="AF266" s="36">
        <v>1098</v>
      </c>
      <c r="AG266" s="120">
        <f t="shared" si="34"/>
        <v>713.7</v>
      </c>
      <c r="AH266" s="36"/>
      <c r="AI266" s="124"/>
      <c r="AJ266" s="122" t="s">
        <v>2649</v>
      </c>
      <c r="AK266" s="129" t="str">
        <f t="shared" ca="1" si="36"/>
        <v>On Time</v>
      </c>
      <c r="AL266" s="268" t="str">
        <f t="shared" ref="AL266:AL297" si="37">TEXT(K266,"mmmm")</f>
        <v>December</v>
      </c>
      <c r="AM266" s="133">
        <f>YEAR(Table1[[#This Row],[ETA
As requested
dd.mm.yyyy]])</f>
        <v>2024</v>
      </c>
    </row>
    <row r="267" spans="1:39">
      <c r="A267" s="123" t="s">
        <v>83</v>
      </c>
      <c r="B267" s="36" t="s">
        <v>1170</v>
      </c>
      <c r="C267" s="117">
        <v>38651075</v>
      </c>
      <c r="D267" s="165">
        <v>45706</v>
      </c>
      <c r="E267" s="117" t="s">
        <v>108</v>
      </c>
      <c r="F267" s="36" t="str">
        <f>IFERROR(VLOOKUP(Table1[[#This Row],[Part Number]],DATABASE_FG!$C$6:D10256,2,FALSE)," ")</f>
        <v>094290032-0000</v>
      </c>
      <c r="G267" s="117">
        <f>IFERROR(_xlfn.XLOOKUP(Table1[[#This Row],[Part Number]],Table3[Part number],Table3[Drawing
 Revision]),"")</f>
        <v>0</v>
      </c>
      <c r="H267" s="118" cm="1">
        <f t="array" ref="H267">IFERROR(INDEX(PDB!$C:$AT,MATCH(E267,PDB!$B:$B,0),MATCH(YEAR(K267),0+PDB!$C$1:$AT$1,0)),"")</f>
        <v>0.65</v>
      </c>
      <c r="I267" s="36">
        <v>1</v>
      </c>
      <c r="J267" s="125">
        <f>IFERROR(Table1[[#This Row],[Quantity]]*Table1[[#This Row],[Price/Unit
EUR]]," ")</f>
        <v>0.65</v>
      </c>
      <c r="K267" s="126">
        <v>45748</v>
      </c>
      <c r="L267" s="36">
        <f>WEEKNUM(Table1[[#This Row],[ETA
As requested
dd.mm.yyyy]])</f>
        <v>14</v>
      </c>
      <c r="M267" s="36">
        <f>YEAR(Table1[[#This Row],[ETA
As requested
dd.mm.yyyy]])</f>
        <v>2025</v>
      </c>
      <c r="N267" s="36">
        <f>IFERROR(INDEX(DATABASE_FG!$H$5:$H$367, MATCH(E267, DATABASE_FG!$C$5:$C$367, 0)), " ")</f>
        <v>0</v>
      </c>
      <c r="O267" s="129" t="str">
        <f>IF(E267&lt;&gt;"", _xlfn.XLOOKUP(E267, DATABASE_FG!C:C, DATABASE_FG!F:F), " ")</f>
        <v>Strunjite</v>
      </c>
      <c r="P267" s="129">
        <f>IFERROR(INDEX(DATABASE_FG!$G$5:$G$367, MATCH(E267, DATABASE_FG!$C$5:$C$367, 0)), "Not Found")</f>
        <v>0</v>
      </c>
      <c r="Q267" s="36" t="s">
        <v>3035</v>
      </c>
      <c r="R267" s="125" t="s">
        <v>678</v>
      </c>
      <c r="S267" s="123">
        <f>IFERROR(INDEX(DATABASE_FG!$L$5:$L$367, MATCH(E267, DATABASE_FG!$C$5:$C$367, 0)), " ")</f>
        <v>42</v>
      </c>
      <c r="T267" s="36" t="s">
        <v>679</v>
      </c>
      <c r="U267" s="36"/>
      <c r="V267" s="36"/>
      <c r="W267" s="129"/>
      <c r="X267" s="36"/>
      <c r="Y267" s="36"/>
      <c r="Z267" s="36"/>
      <c r="AA267" s="125" t="s">
        <v>121</v>
      </c>
      <c r="AB267" s="173">
        <v>45755</v>
      </c>
      <c r="AC267" s="119">
        <v>25568</v>
      </c>
      <c r="AD267" s="36">
        <f t="shared" si="32"/>
        <v>38651075</v>
      </c>
      <c r="AE267" s="36" t="str">
        <f t="shared" si="33"/>
        <v>AU.KB2045-B-0208-DRE</v>
      </c>
      <c r="AF267" s="36">
        <v>1</v>
      </c>
      <c r="AG267" s="120">
        <f t="shared" si="34"/>
        <v>0.65</v>
      </c>
      <c r="AH267" s="36"/>
      <c r="AI267" s="124" t="s">
        <v>3036</v>
      </c>
      <c r="AJ267" s="342" t="s">
        <v>3037</v>
      </c>
      <c r="AK267" s="129" t="str">
        <f t="shared" ca="1" si="36"/>
        <v>Late</v>
      </c>
      <c r="AL267" s="268" t="str">
        <f t="shared" si="37"/>
        <v>April</v>
      </c>
      <c r="AM267" s="133">
        <f>YEAR(Table1[[#This Row],[ETA
As requested
dd.mm.yyyy]])</f>
        <v>2025</v>
      </c>
    </row>
    <row r="268" spans="1:39">
      <c r="A268" s="123" t="s">
        <v>83</v>
      </c>
      <c r="B268" s="36" t="s">
        <v>1170</v>
      </c>
      <c r="C268" s="117">
        <v>38651075</v>
      </c>
      <c r="D268" s="165">
        <v>45706</v>
      </c>
      <c r="E268" s="117" t="s">
        <v>108</v>
      </c>
      <c r="F268" s="36" t="str">
        <f>IFERROR(VLOOKUP(Table1[[#This Row],[Part Number]],DATABASE_FG!$C$6:D10257,2,FALSE)," ")</f>
        <v>094290032-0000</v>
      </c>
      <c r="G268" s="117">
        <f>IFERROR(_xlfn.XLOOKUP(Table1[[#This Row],[Part Number]],Table3[Part number],Table3[Drawing
 Revision]),"")</f>
        <v>0</v>
      </c>
      <c r="H268" s="118" cm="1">
        <f t="array" ref="H268">IFERROR(INDEX(PDB!$C:$AT,MATCH(E268,PDB!$B:$B,0),MATCH(YEAR(K268),0+PDB!$C$1:$AT$1,0)),"")</f>
        <v>0.65</v>
      </c>
      <c r="I268" s="36">
        <v>4</v>
      </c>
      <c r="J268" s="125">
        <f>IFERROR(Table1[[#This Row],[Quantity]]*Table1[[#This Row],[Price/Unit
EUR]]," ")</f>
        <v>2.6</v>
      </c>
      <c r="K268" s="126">
        <v>45748</v>
      </c>
      <c r="L268" s="36">
        <f>WEEKNUM(Table1[[#This Row],[ETA
As requested
dd.mm.yyyy]])</f>
        <v>14</v>
      </c>
      <c r="M268" s="36">
        <f>YEAR(Table1[[#This Row],[ETA
As requested
dd.mm.yyyy]])</f>
        <v>2025</v>
      </c>
      <c r="N268" s="36">
        <f>IFERROR(INDEX(DATABASE_FG!$H$5:$H$367, MATCH(E268, DATABASE_FG!$C$5:$C$367, 0)), " ")</f>
        <v>0</v>
      </c>
      <c r="O268" s="129" t="str">
        <f>IF(E268&lt;&gt;"", _xlfn.XLOOKUP(E268, DATABASE_FG!C:C, DATABASE_FG!F:F), " ")</f>
        <v>Strunjite</v>
      </c>
      <c r="P268" s="129">
        <f>IFERROR(INDEX(DATABASE_FG!$G$5:$G$367, MATCH(E268, DATABASE_FG!$C$5:$C$367, 0)), "Not Found")</f>
        <v>0</v>
      </c>
      <c r="Q268" s="36"/>
      <c r="R268" s="125" t="s">
        <v>678</v>
      </c>
      <c r="S268" s="123">
        <f>Table1[[#This Row],[Quantity]]/48</f>
        <v>8.3333333333333329E-2</v>
      </c>
      <c r="T268" s="36"/>
      <c r="U268" s="36"/>
      <c r="V268" s="36"/>
      <c r="W268" s="129"/>
      <c r="X268" s="36"/>
      <c r="Y268" s="36"/>
      <c r="Z268" s="36"/>
      <c r="AA268" s="125" t="s">
        <v>121</v>
      </c>
      <c r="AB268" s="173">
        <v>45785</v>
      </c>
      <c r="AC268" s="119">
        <v>25739</v>
      </c>
      <c r="AD268" s="36">
        <f t="shared" si="32"/>
        <v>38651075</v>
      </c>
      <c r="AE268" s="36" t="str">
        <f t="shared" si="33"/>
        <v>AU.KB2045-B-0208-DRE</v>
      </c>
      <c r="AF268" s="36">
        <v>4</v>
      </c>
      <c r="AG268" s="120">
        <f t="shared" si="34"/>
        <v>2.6</v>
      </c>
      <c r="AH268" s="36"/>
      <c r="AI268" s="124" t="s">
        <v>3039</v>
      </c>
      <c r="AJ268" s="342" t="s">
        <v>3040</v>
      </c>
      <c r="AK268" s="129" t="str">
        <f t="shared" ca="1" si="36"/>
        <v>Late</v>
      </c>
      <c r="AL268" s="268" t="str">
        <f t="shared" si="37"/>
        <v>April</v>
      </c>
      <c r="AM268" s="133">
        <f>YEAR(Table1[[#This Row],[ETA
As requested
dd.mm.yyyy]])</f>
        <v>2025</v>
      </c>
    </row>
    <row r="269" spans="1:39">
      <c r="A269" s="123" t="s">
        <v>83</v>
      </c>
      <c r="B269" s="36" t="s">
        <v>1170</v>
      </c>
      <c r="C269" s="117">
        <v>5325142</v>
      </c>
      <c r="D269" s="165">
        <v>45440</v>
      </c>
      <c r="E269" s="117" t="s">
        <v>108</v>
      </c>
      <c r="F269" s="36" t="str">
        <f>IFERROR(VLOOKUP(Table1[[#This Row],[Part Number]],DATABASE_FG!$C$6:D10258,2,FALSE)," ")</f>
        <v>094290032-0000</v>
      </c>
      <c r="G269" s="117">
        <f>IFERROR(_xlfn.XLOOKUP(Table1[[#This Row],[Part Number]],Table3[Part number],Table3[Drawing
 Revision]),"")</f>
        <v>0</v>
      </c>
      <c r="H269" s="118" cm="1">
        <f t="array" ref="H269">IFERROR(INDEX(PDB!$C:$AT,MATCH(E269,PDB!$B:$B,0),MATCH(YEAR(K269),0+PDB!$C$1:$AT$1,0)),"")</f>
        <v>0.65</v>
      </c>
      <c r="I269" s="36">
        <v>130</v>
      </c>
      <c r="J269" s="125">
        <f>IFERROR(Table1[[#This Row],[Quantity]]*Table1[[#This Row],[Price/Unit
EUR]]," ")</f>
        <v>84.5</v>
      </c>
      <c r="K269" s="126">
        <v>45751</v>
      </c>
      <c r="L269" s="36">
        <f>WEEKNUM(Table1[[#This Row],[ETA
As requested
dd.mm.yyyy]])</f>
        <v>14</v>
      </c>
      <c r="M269" s="36">
        <f>YEAR(Table1[[#This Row],[ETA
As requested
dd.mm.yyyy]])</f>
        <v>2025</v>
      </c>
      <c r="N269" s="36">
        <f>IFERROR(INDEX(DATABASE_FG!$H$5:$H$367, MATCH(E269, DATABASE_FG!$C$5:$C$367, 0)), " ")</f>
        <v>0</v>
      </c>
      <c r="O269" s="129" t="str">
        <f>IF(E269&lt;&gt;"", _xlfn.XLOOKUP(E269, DATABASE_FG!C:C, DATABASE_FG!F:F), " ")</f>
        <v>Strunjite</v>
      </c>
      <c r="P269" s="129">
        <f>IFERROR(INDEX(DATABASE_FG!$G$5:$G$367, MATCH(E269, DATABASE_FG!$C$5:$C$367, 0)), "Not Found")</f>
        <v>0</v>
      </c>
      <c r="Q269" s="36"/>
      <c r="R269" s="125" t="s">
        <v>678</v>
      </c>
      <c r="S269" s="123">
        <f>IFERROR(INDEX(DATABASE_FG!$L$5:$L$367, MATCH(E269, DATABASE_FG!$C$5:$C$367, 0)), " ")</f>
        <v>42</v>
      </c>
      <c r="T269" s="36" t="s">
        <v>679</v>
      </c>
      <c r="U269" s="36"/>
      <c r="V269" s="36"/>
      <c r="W269" s="129"/>
      <c r="X269" s="36"/>
      <c r="Y269" s="36"/>
      <c r="Z269" s="36"/>
      <c r="AA269" s="125" t="s">
        <v>121</v>
      </c>
      <c r="AB269" s="172">
        <v>45754</v>
      </c>
      <c r="AC269" s="119">
        <v>25547</v>
      </c>
      <c r="AD269" s="36">
        <f t="shared" si="32"/>
        <v>5325142</v>
      </c>
      <c r="AE269" s="36" t="str">
        <f t="shared" si="33"/>
        <v>AU.KB2045-B-0208-DRE</v>
      </c>
      <c r="AF269" s="36">
        <v>130</v>
      </c>
      <c r="AG269" s="120">
        <f t="shared" si="34"/>
        <v>84.5</v>
      </c>
      <c r="AH269" s="36"/>
      <c r="AI269" s="124"/>
      <c r="AJ269" s="122" t="s">
        <v>3041</v>
      </c>
      <c r="AK269" s="129" t="str">
        <f t="shared" ca="1" si="36"/>
        <v>Late</v>
      </c>
      <c r="AL269" s="268" t="str">
        <f t="shared" si="37"/>
        <v>April</v>
      </c>
      <c r="AM269" s="133">
        <f>YEAR(Table1[[#This Row],[ETA
As requested
dd.mm.yyyy]])</f>
        <v>2025</v>
      </c>
    </row>
    <row r="270" spans="1:39">
      <c r="A270" s="123" t="s">
        <v>83</v>
      </c>
      <c r="B270" s="36" t="s">
        <v>1170</v>
      </c>
      <c r="C270" s="117">
        <v>5325142</v>
      </c>
      <c r="D270" s="165">
        <v>45440</v>
      </c>
      <c r="E270" s="117" t="s">
        <v>108</v>
      </c>
      <c r="F270" s="36" t="str">
        <f>IFERROR(VLOOKUP(Table1[[#This Row],[Part Number]],DATABASE_FG!$C$6:D10259,2,FALSE)," ")</f>
        <v>094290032-0000</v>
      </c>
      <c r="G270" s="117">
        <f>IFERROR(_xlfn.XLOOKUP(Table1[[#This Row],[Part Number]],Table3[Part number],Table3[Drawing
 Revision]),"")</f>
        <v>0</v>
      </c>
      <c r="H270" s="118" cm="1">
        <f t="array" ref="H270">IFERROR(INDEX(PDB!$C:$AT,MATCH(E270,PDB!$B:$B,0),MATCH(YEAR(K270),0+PDB!$C$1:$AT$1,0)),"")</f>
        <v>0.65</v>
      </c>
      <c r="I270" s="36">
        <v>671</v>
      </c>
      <c r="J270" s="125">
        <f>IFERROR(Table1[[#This Row],[Quantity]]*Table1[[#This Row],[Price/Unit
EUR]]," ")</f>
        <v>436.15000000000003</v>
      </c>
      <c r="K270" s="126">
        <v>45751</v>
      </c>
      <c r="L270" s="36">
        <f>WEEKNUM(Table1[[#This Row],[ETA
As requested
dd.mm.yyyy]])</f>
        <v>14</v>
      </c>
      <c r="M270" s="36">
        <f>YEAR(Table1[[#This Row],[ETA
As requested
dd.mm.yyyy]])</f>
        <v>2025</v>
      </c>
      <c r="N270" s="36">
        <f>IFERROR(INDEX(DATABASE_FG!$H$5:$H$367, MATCH(E270, DATABASE_FG!$C$5:$C$367, 0)), " ")</f>
        <v>0</v>
      </c>
      <c r="O270" s="129" t="str">
        <f>IF(E270&lt;&gt;"", _xlfn.XLOOKUP(E270, DATABASE_FG!C:C, DATABASE_FG!F:F), " ")</f>
        <v>Strunjite</v>
      </c>
      <c r="P270" s="129">
        <f>IFERROR(INDEX(DATABASE_FG!$G$5:$G$367, MATCH(E270, DATABASE_FG!$C$5:$C$367, 0)), "Not Found")</f>
        <v>0</v>
      </c>
      <c r="Q270" s="36"/>
      <c r="R270" s="125" t="s">
        <v>678</v>
      </c>
      <c r="S270" s="123">
        <f>IFERROR(INDEX(DATABASE_FG!$L$5:$L$367, MATCH(E270, DATABASE_FG!$C$5:$C$367, 0)), " ")</f>
        <v>42</v>
      </c>
      <c r="T270" s="36" t="s">
        <v>679</v>
      </c>
      <c r="U270" s="36"/>
      <c r="V270" s="36"/>
      <c r="W270" s="129"/>
      <c r="X270" s="36"/>
      <c r="Y270" s="36"/>
      <c r="Z270" s="36"/>
      <c r="AA270" s="125" t="s">
        <v>121</v>
      </c>
      <c r="AB270" s="172">
        <v>45755</v>
      </c>
      <c r="AC270" s="119">
        <v>25569</v>
      </c>
      <c r="AD270" s="36">
        <f t="shared" si="32"/>
        <v>5325142</v>
      </c>
      <c r="AE270" s="36" t="str">
        <f t="shared" si="33"/>
        <v>AU.KB2045-B-0208-DRE</v>
      </c>
      <c r="AF270" s="36">
        <v>671</v>
      </c>
      <c r="AG270" s="120">
        <f t="shared" si="34"/>
        <v>436.15000000000003</v>
      </c>
      <c r="AH270" s="36"/>
      <c r="AI270" s="124"/>
      <c r="AJ270" s="122" t="s">
        <v>3042</v>
      </c>
      <c r="AK270" s="129" t="str">
        <f t="shared" ca="1" si="36"/>
        <v>Late</v>
      </c>
      <c r="AL270" s="268" t="str">
        <f t="shared" si="37"/>
        <v>April</v>
      </c>
      <c r="AM270" s="133">
        <f>YEAR(Table1[[#This Row],[ETA
As requested
dd.mm.yyyy]])</f>
        <v>2025</v>
      </c>
    </row>
    <row r="271" spans="1:39">
      <c r="A271" s="123" t="s">
        <v>83</v>
      </c>
      <c r="B271" s="36" t="s">
        <v>1170</v>
      </c>
      <c r="C271" s="117">
        <v>5325142</v>
      </c>
      <c r="D271" s="165">
        <v>45440</v>
      </c>
      <c r="E271" s="117" t="s">
        <v>108</v>
      </c>
      <c r="F271" s="36" t="str">
        <f>IFERROR(VLOOKUP(Table1[[#This Row],[Part Number]],DATABASE_FG!$C$6:D10260,2,FALSE)," ")</f>
        <v>094290032-0000</v>
      </c>
      <c r="G271" s="117">
        <f>IFERROR(_xlfn.XLOOKUP(Table1[[#This Row],[Part Number]],Table3[Part number],Table3[Drawing
 Revision]),"")</f>
        <v>0</v>
      </c>
      <c r="H271" s="118" cm="1">
        <f t="array" ref="H271">IFERROR(INDEX(PDB!$C:$AT,MATCH(E271,PDB!$B:$B,0),MATCH(YEAR(K271),0+PDB!$C$1:$AT$1,0)),"")</f>
        <v>0.65</v>
      </c>
      <c r="I271" s="36">
        <v>220</v>
      </c>
      <c r="J271" s="125">
        <f>IFERROR(Table1[[#This Row],[Quantity]]*Table1[[#This Row],[Price/Unit
EUR]]," ")</f>
        <v>143</v>
      </c>
      <c r="K271" s="126">
        <v>45751</v>
      </c>
      <c r="L271" s="36">
        <f>WEEKNUM(Table1[[#This Row],[ETA
As requested
dd.mm.yyyy]])</f>
        <v>14</v>
      </c>
      <c r="M271" s="36">
        <f>YEAR(Table1[[#This Row],[ETA
As requested
dd.mm.yyyy]])</f>
        <v>2025</v>
      </c>
      <c r="N271" s="36">
        <f>IFERROR(INDEX(DATABASE_FG!$H$5:$H$367, MATCH(E271, DATABASE_FG!$C$5:$C$367, 0)), " ")</f>
        <v>0</v>
      </c>
      <c r="O271" s="129" t="str">
        <f>IF(E271&lt;&gt;"", _xlfn.XLOOKUP(E271, DATABASE_FG!C:C, DATABASE_FG!F:F), " ")</f>
        <v>Strunjite</v>
      </c>
      <c r="P271" s="129">
        <f>IFERROR(INDEX(DATABASE_FG!$G$5:$G$367, MATCH(E271, DATABASE_FG!$C$5:$C$367, 0)), "Not Found")</f>
        <v>0</v>
      </c>
      <c r="Q271" s="36"/>
      <c r="R271" s="125" t="s">
        <v>678</v>
      </c>
      <c r="S271" s="123">
        <f>IFERROR(INDEX(DATABASE_FG!$L$5:$L$367, MATCH(E271, DATABASE_FG!$C$5:$C$367, 0)), " ")</f>
        <v>42</v>
      </c>
      <c r="T271" s="36" t="s">
        <v>679</v>
      </c>
      <c r="U271" s="36"/>
      <c r="V271" s="36"/>
      <c r="W271" s="129"/>
      <c r="X271" s="36"/>
      <c r="Y271" s="36"/>
      <c r="Z271" s="36"/>
      <c r="AA271" s="125" t="s">
        <v>121</v>
      </c>
      <c r="AB271" s="173">
        <v>45756</v>
      </c>
      <c r="AC271" s="119">
        <v>25572</v>
      </c>
      <c r="AD271" s="36">
        <f t="shared" si="32"/>
        <v>5325142</v>
      </c>
      <c r="AE271" s="36" t="str">
        <f t="shared" si="33"/>
        <v>AU.KB2045-B-0208-DRE</v>
      </c>
      <c r="AF271" s="36">
        <v>220</v>
      </c>
      <c r="AG271" s="120">
        <f t="shared" si="34"/>
        <v>143</v>
      </c>
      <c r="AH271" s="36"/>
      <c r="AI271" s="124"/>
      <c r="AJ271" s="122" t="s">
        <v>3043</v>
      </c>
      <c r="AK271" s="129" t="str">
        <f t="shared" ca="1" si="36"/>
        <v>Late</v>
      </c>
      <c r="AL271" s="268" t="str">
        <f t="shared" si="37"/>
        <v>April</v>
      </c>
      <c r="AM271" s="133">
        <f>YEAR(Table1[[#This Row],[ETA
As requested
dd.mm.yyyy]])</f>
        <v>2025</v>
      </c>
    </row>
    <row r="272" spans="1:39">
      <c r="A272" s="123" t="s">
        <v>83</v>
      </c>
      <c r="B272" s="36" t="s">
        <v>1170</v>
      </c>
      <c r="C272" s="117">
        <v>5325142</v>
      </c>
      <c r="D272" s="165">
        <v>45440</v>
      </c>
      <c r="E272" s="117" t="s">
        <v>108</v>
      </c>
      <c r="F272" s="36" t="str">
        <f>IFERROR(VLOOKUP(Table1[[#This Row],[Part Number]],DATABASE_FG!$C$6:D10261,2,FALSE)," ")</f>
        <v>094290032-0000</v>
      </c>
      <c r="G272" s="117">
        <f>IFERROR(_xlfn.XLOOKUP(Table1[[#This Row],[Part Number]],Table3[Part number],Table3[Drawing
 Revision]),"")</f>
        <v>0</v>
      </c>
      <c r="H272" s="118" cm="1">
        <f t="array" ref="H272">IFERROR(INDEX(PDB!$C:$AT,MATCH(E272,PDB!$B:$B,0),MATCH(YEAR(K272),0+PDB!$C$1:$AT$1,0)),"")</f>
        <v>0.65</v>
      </c>
      <c r="I272" s="36">
        <v>750</v>
      </c>
      <c r="J272" s="125">
        <f>IFERROR(Table1[[#This Row],[Quantity]]*Table1[[#This Row],[Price/Unit
EUR]]," ")</f>
        <v>487.5</v>
      </c>
      <c r="K272" s="126">
        <v>45751</v>
      </c>
      <c r="L272" s="36">
        <f>WEEKNUM(Table1[[#This Row],[ETA
As requested
dd.mm.yyyy]])</f>
        <v>14</v>
      </c>
      <c r="M272" s="36">
        <f>YEAR(Table1[[#This Row],[ETA
As requested
dd.mm.yyyy]])</f>
        <v>2025</v>
      </c>
      <c r="N272" s="36">
        <f>IFERROR(INDEX(DATABASE_FG!$H$5:$H$367, MATCH(E272, DATABASE_FG!$C$5:$C$367, 0)), " ")</f>
        <v>0</v>
      </c>
      <c r="O272" s="129" t="str">
        <f>IF(E272&lt;&gt;"", _xlfn.XLOOKUP(E272, DATABASE_FG!C:C, DATABASE_FG!F:F), " ")</f>
        <v>Strunjite</v>
      </c>
      <c r="P272" s="129">
        <f>IFERROR(INDEX(DATABASE_FG!$G$5:$G$367, MATCH(E272, DATABASE_FG!$C$5:$C$367, 0)), "Not Found")</f>
        <v>0</v>
      </c>
      <c r="Q272" s="36"/>
      <c r="R272" s="125" t="s">
        <v>678</v>
      </c>
      <c r="S272" s="123">
        <f>IFERROR(INDEX(DATABASE_FG!$L$5:$L$367, MATCH(E272, DATABASE_FG!$C$5:$C$367, 0)), " ")</f>
        <v>42</v>
      </c>
      <c r="T272" s="36" t="s">
        <v>679</v>
      </c>
      <c r="U272" s="36"/>
      <c r="V272" s="36"/>
      <c r="W272" s="129"/>
      <c r="X272" s="36"/>
      <c r="Y272" s="36"/>
      <c r="Z272" s="36"/>
      <c r="AA272" s="125" t="s">
        <v>121</v>
      </c>
      <c r="AB272" s="173">
        <v>45757</v>
      </c>
      <c r="AC272" s="119">
        <v>25577</v>
      </c>
      <c r="AD272" s="36">
        <f t="shared" si="32"/>
        <v>5325142</v>
      </c>
      <c r="AE272" s="36" t="str">
        <f t="shared" si="33"/>
        <v>AU.KB2045-B-0208-DRE</v>
      </c>
      <c r="AF272" s="36">
        <v>750</v>
      </c>
      <c r="AG272" s="120">
        <f t="shared" si="34"/>
        <v>487.5</v>
      </c>
      <c r="AH272" s="36"/>
      <c r="AI272" s="124"/>
      <c r="AJ272" s="122" t="s">
        <v>3044</v>
      </c>
      <c r="AK272" s="129" t="str">
        <f t="shared" ca="1" si="36"/>
        <v>Late</v>
      </c>
      <c r="AL272" s="268" t="str">
        <f t="shared" si="37"/>
        <v>April</v>
      </c>
      <c r="AM272" s="133">
        <f>YEAR(Table1[[#This Row],[ETA
As requested
dd.mm.yyyy]])</f>
        <v>2025</v>
      </c>
    </row>
    <row r="273" spans="1:39">
      <c r="A273" s="123" t="s">
        <v>83</v>
      </c>
      <c r="B273" s="36" t="s">
        <v>1170</v>
      </c>
      <c r="C273" s="117">
        <v>5325142</v>
      </c>
      <c r="D273" s="165">
        <v>45440</v>
      </c>
      <c r="E273" s="117" t="s">
        <v>108</v>
      </c>
      <c r="F273" s="36" t="str">
        <f>IFERROR(VLOOKUP(Table1[[#This Row],[Part Number]],DATABASE_FG!$C$6:D10262,2,FALSE)," ")</f>
        <v>094290032-0000</v>
      </c>
      <c r="G273" s="117">
        <f>IFERROR(_xlfn.XLOOKUP(Table1[[#This Row],[Part Number]],Table3[Part number],Table3[Drawing
 Revision]),"")</f>
        <v>0</v>
      </c>
      <c r="H273" s="118" cm="1">
        <f t="array" ref="H273">IFERROR(INDEX(PDB!$C:$AT,MATCH(E273,PDB!$B:$B,0),MATCH(YEAR(K273),0+PDB!$C$1:$AT$1,0)),"")</f>
        <v>0.65</v>
      </c>
      <c r="I273" s="36">
        <v>1353</v>
      </c>
      <c r="J273" s="125">
        <f>IFERROR(Table1[[#This Row],[Quantity]]*Table1[[#This Row],[Price/Unit
EUR]]," ")</f>
        <v>879.45</v>
      </c>
      <c r="K273" s="126">
        <v>45751</v>
      </c>
      <c r="L273" s="36">
        <f>WEEKNUM(Table1[[#This Row],[ETA
As requested
dd.mm.yyyy]])</f>
        <v>14</v>
      </c>
      <c r="M273" s="36">
        <f>YEAR(Table1[[#This Row],[ETA
As requested
dd.mm.yyyy]])</f>
        <v>2025</v>
      </c>
      <c r="N273" s="36">
        <f>IFERROR(INDEX(DATABASE_FG!$H$5:$H$367, MATCH(E273, DATABASE_FG!$C$5:$C$367, 0)), " ")</f>
        <v>0</v>
      </c>
      <c r="O273" s="129" t="str">
        <f>IF(E273&lt;&gt;"", _xlfn.XLOOKUP(E273, DATABASE_FG!C:C, DATABASE_FG!F:F), " ")</f>
        <v>Strunjite</v>
      </c>
      <c r="P273" s="129">
        <f>IFERROR(INDEX(DATABASE_FG!$G$5:$G$367, MATCH(E273, DATABASE_FG!$C$5:$C$367, 0)), "Not Found")</f>
        <v>0</v>
      </c>
      <c r="Q273" s="36"/>
      <c r="R273" s="125" t="s">
        <v>678</v>
      </c>
      <c r="S273" s="123">
        <f>IFERROR(INDEX(DATABASE_FG!$L$5:$L$367, MATCH(E273, DATABASE_FG!$C$5:$C$367, 0)), " ")</f>
        <v>42</v>
      </c>
      <c r="T273" s="36" t="s">
        <v>679</v>
      </c>
      <c r="U273" s="36"/>
      <c r="V273" s="36"/>
      <c r="W273" s="129"/>
      <c r="X273" s="36"/>
      <c r="Y273" s="36"/>
      <c r="Z273" s="36"/>
      <c r="AA273" s="125" t="s">
        <v>121</v>
      </c>
      <c r="AB273" s="173">
        <v>45762</v>
      </c>
      <c r="AC273" s="119">
        <v>25609</v>
      </c>
      <c r="AD273" s="36">
        <f t="shared" si="32"/>
        <v>5325142</v>
      </c>
      <c r="AE273" s="36" t="str">
        <f t="shared" si="33"/>
        <v>AU.KB2045-B-0208-DRE</v>
      </c>
      <c r="AF273" s="36">
        <v>1353</v>
      </c>
      <c r="AG273" s="120">
        <f t="shared" si="34"/>
        <v>879.45</v>
      </c>
      <c r="AH273" s="36"/>
      <c r="AI273" s="124"/>
      <c r="AJ273" s="122" t="s">
        <v>3045</v>
      </c>
      <c r="AK273" s="129" t="str">
        <f t="shared" ca="1" si="36"/>
        <v>Late</v>
      </c>
      <c r="AL273" s="268" t="str">
        <f t="shared" si="37"/>
        <v>April</v>
      </c>
      <c r="AM273" s="133">
        <f>YEAR(Table1[[#This Row],[ETA
As requested
dd.mm.yyyy]])</f>
        <v>2025</v>
      </c>
    </row>
    <row r="274" spans="1:39">
      <c r="A274" s="123" t="s">
        <v>83</v>
      </c>
      <c r="B274" s="36" t="s">
        <v>1170</v>
      </c>
      <c r="C274" s="117">
        <v>5325142</v>
      </c>
      <c r="D274" s="165">
        <v>45440</v>
      </c>
      <c r="E274" s="117" t="s">
        <v>108</v>
      </c>
      <c r="F274" s="36" t="str">
        <f>IFERROR(VLOOKUP(Table1[[#This Row],[Part Number]],DATABASE_FG!$C$6:D10263,2,FALSE)," ")</f>
        <v>094290032-0000</v>
      </c>
      <c r="G274" s="117">
        <f>IFERROR(_xlfn.XLOOKUP(Table1[[#This Row],[Part Number]],Table3[Part number],Table3[Drawing
 Revision]),"")</f>
        <v>0</v>
      </c>
      <c r="H274" s="118" cm="1">
        <f t="array" ref="H274">IFERROR(INDEX(PDB!$C:$AT,MATCH(E274,PDB!$B:$B,0),MATCH(YEAR(K274),0+PDB!$C$1:$AT$1,0)),"")</f>
        <v>0.65</v>
      </c>
      <c r="I274" s="36">
        <v>1572</v>
      </c>
      <c r="J274" s="125">
        <f>IFERROR(Table1[[#This Row],[Quantity]]*Table1[[#This Row],[Price/Unit
EUR]]," ")</f>
        <v>1021.8000000000001</v>
      </c>
      <c r="K274" s="126">
        <v>45751</v>
      </c>
      <c r="L274" s="36">
        <f>WEEKNUM(Table1[[#This Row],[ETA
As requested
dd.mm.yyyy]])</f>
        <v>14</v>
      </c>
      <c r="M274" s="36">
        <f>YEAR(Table1[[#This Row],[ETA
As requested
dd.mm.yyyy]])</f>
        <v>2025</v>
      </c>
      <c r="N274" s="36">
        <f>IFERROR(INDEX(DATABASE_FG!$H$5:$H$367, MATCH(E274, DATABASE_FG!$C$5:$C$367, 0)), " ")</f>
        <v>0</v>
      </c>
      <c r="O274" s="129" t="str">
        <f>IF(E274&lt;&gt;"", _xlfn.XLOOKUP(E274, DATABASE_FG!C:C, DATABASE_FG!F:F), " ")</f>
        <v>Strunjite</v>
      </c>
      <c r="P274" s="129">
        <f>IFERROR(INDEX(DATABASE_FG!$G$5:$G$367, MATCH(E274, DATABASE_FG!$C$5:$C$367, 0)), "Not Found")</f>
        <v>0</v>
      </c>
      <c r="Q274" s="36"/>
      <c r="R274" s="125" t="s">
        <v>678</v>
      </c>
      <c r="S274" s="123">
        <f>Table1[[#This Row],[Quantity]]/48</f>
        <v>32.75</v>
      </c>
      <c r="T274" s="36"/>
      <c r="U274" s="36"/>
      <c r="V274" s="36"/>
      <c r="W274" s="129"/>
      <c r="X274" s="36"/>
      <c r="Y274" s="36"/>
      <c r="Z274" s="36"/>
      <c r="AA274" s="125" t="s">
        <v>121</v>
      </c>
      <c r="AB274" s="173">
        <v>45764</v>
      </c>
      <c r="AC274" s="119">
        <v>25629</v>
      </c>
      <c r="AD274" s="36">
        <f t="shared" si="32"/>
        <v>5325142</v>
      </c>
      <c r="AE274" s="36" t="str">
        <f t="shared" si="33"/>
        <v>AU.KB2045-B-0208-DRE</v>
      </c>
      <c r="AF274" s="36">
        <v>1572</v>
      </c>
      <c r="AG274" s="120">
        <f t="shared" si="34"/>
        <v>1021.8000000000001</v>
      </c>
      <c r="AH274" s="36"/>
      <c r="AI274" s="124"/>
      <c r="AJ274" s="122" t="s">
        <v>3047</v>
      </c>
      <c r="AK274" s="129" t="str">
        <f t="shared" ca="1" si="36"/>
        <v>Late</v>
      </c>
      <c r="AL274" s="268" t="str">
        <f t="shared" si="37"/>
        <v>April</v>
      </c>
      <c r="AM274" s="133">
        <f>YEAR(Table1[[#This Row],[ETA
As requested
dd.mm.yyyy]])</f>
        <v>2025</v>
      </c>
    </row>
    <row r="275" spans="1:39">
      <c r="A275" s="123" t="s">
        <v>83</v>
      </c>
      <c r="B275" s="36" t="s">
        <v>1170</v>
      </c>
      <c r="C275" s="117">
        <v>5325142</v>
      </c>
      <c r="D275" s="165">
        <v>45440</v>
      </c>
      <c r="E275" s="117" t="s">
        <v>108</v>
      </c>
      <c r="F275" s="36" t="str">
        <f>IFERROR(VLOOKUP(Table1[[#This Row],[Part Number]],DATABASE_FG!$C$6:D10264,2,FALSE)," ")</f>
        <v>094290032-0000</v>
      </c>
      <c r="G275" s="117">
        <f>IFERROR(_xlfn.XLOOKUP(Table1[[#This Row],[Part Number]],Table3[Part number],Table3[Drawing
 Revision]),"")</f>
        <v>0</v>
      </c>
      <c r="H275" s="118" cm="1">
        <f t="array" ref="H275">IFERROR(INDEX(PDB!$C:$AT,MATCH(E275,PDB!$B:$B,0),MATCH(YEAR(K275),0+PDB!$C$1:$AT$1,0)),"")</f>
        <v>0.65</v>
      </c>
      <c r="I275" s="36">
        <v>290</v>
      </c>
      <c r="J275" s="125">
        <f>IFERROR(Table1[[#This Row],[Quantity]]*Table1[[#This Row],[Price/Unit
EUR]]," ")</f>
        <v>188.5</v>
      </c>
      <c r="K275" s="126">
        <v>45751</v>
      </c>
      <c r="L275" s="36">
        <f>WEEKNUM(Table1[[#This Row],[ETA
As requested
dd.mm.yyyy]])</f>
        <v>14</v>
      </c>
      <c r="M275" s="36">
        <f>YEAR(Table1[[#This Row],[ETA
As requested
dd.mm.yyyy]])</f>
        <v>2025</v>
      </c>
      <c r="N275" s="36">
        <f>IFERROR(INDEX(DATABASE_FG!$H$5:$H$367, MATCH(E275, DATABASE_FG!$C$5:$C$367, 0)), " ")</f>
        <v>0</v>
      </c>
      <c r="O275" s="129" t="str">
        <f>IF(E275&lt;&gt;"", _xlfn.XLOOKUP(E275, DATABASE_FG!C:C, DATABASE_FG!F:F), " ")</f>
        <v>Strunjite</v>
      </c>
      <c r="P275" s="129">
        <f>IFERROR(INDEX(DATABASE_FG!$G$5:$G$367, MATCH(E275, DATABASE_FG!$C$5:$C$367, 0)), "Not Found")</f>
        <v>0</v>
      </c>
      <c r="Q275" s="36"/>
      <c r="R275" s="125" t="s">
        <v>678</v>
      </c>
      <c r="S275" s="123">
        <f>Table1[[#This Row],[Quantity]]/48</f>
        <v>6.041666666666667</v>
      </c>
      <c r="T275" s="36"/>
      <c r="U275" s="36"/>
      <c r="V275" s="36"/>
      <c r="W275" s="129"/>
      <c r="X275" s="36"/>
      <c r="Y275" s="36"/>
      <c r="Z275" s="36"/>
      <c r="AA275" s="125" t="s">
        <v>121</v>
      </c>
      <c r="AB275" s="173">
        <v>45769</v>
      </c>
      <c r="AC275" s="119">
        <v>25653</v>
      </c>
      <c r="AD275" s="36">
        <f t="shared" si="32"/>
        <v>5325142</v>
      </c>
      <c r="AE275" s="36" t="str">
        <f t="shared" si="33"/>
        <v>AU.KB2045-B-0208-DRE</v>
      </c>
      <c r="AF275" s="36">
        <v>290</v>
      </c>
      <c r="AG275" s="120">
        <f t="shared" si="34"/>
        <v>188.5</v>
      </c>
      <c r="AH275" s="36"/>
      <c r="AI275" s="124"/>
      <c r="AJ275" s="122" t="s">
        <v>3049</v>
      </c>
      <c r="AK275" s="129" t="str">
        <f t="shared" ca="1" si="36"/>
        <v>Late</v>
      </c>
      <c r="AL275" s="268" t="str">
        <f t="shared" si="37"/>
        <v>April</v>
      </c>
      <c r="AM275" s="133">
        <f>YEAR(Table1[[#This Row],[ETA
As requested
dd.mm.yyyy]])</f>
        <v>2025</v>
      </c>
    </row>
    <row r="276" spans="1:39">
      <c r="A276" s="123" t="s">
        <v>83</v>
      </c>
      <c r="B276" s="36" t="s">
        <v>1170</v>
      </c>
      <c r="C276" s="117">
        <v>5325142</v>
      </c>
      <c r="D276" s="165">
        <v>45440</v>
      </c>
      <c r="E276" s="117" t="s">
        <v>108</v>
      </c>
      <c r="F276" s="36" t="str">
        <f>IFERROR(VLOOKUP(Table1[[#This Row],[Part Number]],DATABASE_FG!$C$6:D10265,2,FALSE)," ")</f>
        <v>094290032-0000</v>
      </c>
      <c r="G276" s="117">
        <f>IFERROR(_xlfn.XLOOKUP(Table1[[#This Row],[Part Number]],Table3[Part number],Table3[Drawing
 Revision]),"")</f>
        <v>0</v>
      </c>
      <c r="H276" s="118" cm="1">
        <f t="array" ref="H276">IFERROR(INDEX(PDB!$C:$AT,MATCH(E276,PDB!$B:$B,0),MATCH(YEAR(K276),0+PDB!$C$1:$AT$1,0)),"")</f>
        <v>0.65</v>
      </c>
      <c r="I276" s="36">
        <f>5500-130-671-220-750-1353-1572-290</f>
        <v>514</v>
      </c>
      <c r="J276" s="125">
        <f>IFERROR(Table1[[#This Row],[Quantity]]*Table1[[#This Row],[Price/Unit
EUR]]," ")</f>
        <v>334.1</v>
      </c>
      <c r="K276" s="126">
        <v>45751</v>
      </c>
      <c r="L276" s="36">
        <f>WEEKNUM(Table1[[#This Row],[ETA
As requested
dd.mm.yyyy]])</f>
        <v>14</v>
      </c>
      <c r="M276" s="36">
        <f>YEAR(Table1[[#This Row],[ETA
As requested
dd.mm.yyyy]])</f>
        <v>2025</v>
      </c>
      <c r="N276" s="36">
        <f>IFERROR(INDEX(DATABASE_FG!$H$5:$H$367, MATCH(E276, DATABASE_FG!$C$5:$C$367, 0)), " ")</f>
        <v>0</v>
      </c>
      <c r="O276" s="129" t="str">
        <f>IF(E276&lt;&gt;"", _xlfn.XLOOKUP(E276, DATABASE_FG!C:C, DATABASE_FG!F:F), " ")</f>
        <v>Strunjite</v>
      </c>
      <c r="P276" s="129">
        <f>IFERROR(INDEX(DATABASE_FG!$G$5:$G$367, MATCH(E276, DATABASE_FG!$C$5:$C$367, 0)), "Not Found")</f>
        <v>0</v>
      </c>
      <c r="Q276" s="36"/>
      <c r="R276" s="125" t="s">
        <v>678</v>
      </c>
      <c r="S276" s="123">
        <f>IFERROR(INDEX(DATABASE_FG!$L$5:$L$367, MATCH(E276, DATABASE_FG!$C$5:$C$367, 0)), " ")</f>
        <v>42</v>
      </c>
      <c r="T276" s="36" t="s">
        <v>679</v>
      </c>
      <c r="U276" s="36"/>
      <c r="V276" s="36"/>
      <c r="W276" s="129"/>
      <c r="X276" s="36"/>
      <c r="Y276" s="36"/>
      <c r="Z276" s="36"/>
      <c r="AA276" s="125" t="s">
        <v>121</v>
      </c>
      <c r="AB276" s="173">
        <v>45771</v>
      </c>
      <c r="AC276" s="119">
        <v>25665</v>
      </c>
      <c r="AD276" s="36">
        <f t="shared" si="32"/>
        <v>5325142</v>
      </c>
      <c r="AE276" s="36" t="str">
        <f t="shared" si="33"/>
        <v>AU.KB2045-B-0208-DRE</v>
      </c>
      <c r="AF276" s="36">
        <v>514</v>
      </c>
      <c r="AG276" s="120">
        <f t="shared" si="34"/>
        <v>334.1</v>
      </c>
      <c r="AH276" s="36"/>
      <c r="AI276" s="124"/>
      <c r="AJ276" s="122" t="s">
        <v>3051</v>
      </c>
      <c r="AK276" s="129" t="str">
        <f t="shared" ca="1" si="36"/>
        <v>Late</v>
      </c>
      <c r="AL276" s="268" t="str">
        <f t="shared" si="37"/>
        <v>April</v>
      </c>
      <c r="AM276" s="133">
        <f>YEAR(Table1[[#This Row],[ETA
As requested
dd.mm.yyyy]])</f>
        <v>2025</v>
      </c>
    </row>
    <row r="277" spans="1:39">
      <c r="A277" s="123" t="s">
        <v>83</v>
      </c>
      <c r="B277" s="36" t="s">
        <v>1170</v>
      </c>
      <c r="C277" s="117">
        <v>5325142</v>
      </c>
      <c r="D277" s="165">
        <v>45440</v>
      </c>
      <c r="E277" s="117" t="s">
        <v>108</v>
      </c>
      <c r="F277" s="36" t="str">
        <f>IFERROR(VLOOKUP(Table1[[#This Row],[Part Number]],DATABASE_FG!$C$6:D10266,2,FALSE)," ")</f>
        <v>094290032-0000</v>
      </c>
      <c r="G277" s="117">
        <f>IFERROR(_xlfn.XLOOKUP(Table1[[#This Row],[Part Number]],Table3[Part number],Table3[Drawing
 Revision]),"")</f>
        <v>0</v>
      </c>
      <c r="H277" s="118" cm="1">
        <f t="array" ref="H277">IFERROR(INDEX(PDB!$C:$AT,MATCH(E277,PDB!$B:$B,0),MATCH(YEAR(K277),0+PDB!$C$1:$AT$1,0)),"")</f>
        <v>0.65</v>
      </c>
      <c r="I277" s="36">
        <v>3598</v>
      </c>
      <c r="J277" s="125">
        <f>IFERROR(Table1[[#This Row],[Quantity]]*Table1[[#This Row],[Price/Unit
EUR]]," ")</f>
        <v>2338.7000000000003</v>
      </c>
      <c r="K277" s="126">
        <v>45785</v>
      </c>
      <c r="L277" s="36">
        <f>WEEKNUM(Table1[[#This Row],[ETA
As requested
dd.mm.yyyy]])</f>
        <v>19</v>
      </c>
      <c r="M277" s="36">
        <f>YEAR(Table1[[#This Row],[ETA
As requested
dd.mm.yyyy]])</f>
        <v>2025</v>
      </c>
      <c r="N277" s="36">
        <f>IFERROR(INDEX(DATABASE_FG!$H$5:$H$367, MATCH(E277, DATABASE_FG!$C$5:$C$367, 0)), " ")</f>
        <v>0</v>
      </c>
      <c r="O277" s="129" t="str">
        <f>IF(E277&lt;&gt;"", _xlfn.XLOOKUP(E277, DATABASE_FG!C:C, DATABASE_FG!F:F), " ")</f>
        <v>Strunjite</v>
      </c>
      <c r="P277" s="129">
        <f>IFERROR(INDEX(DATABASE_FG!$G$5:$G$367, MATCH(E277, DATABASE_FG!$C$5:$C$367, 0)), "Not Found")</f>
        <v>0</v>
      </c>
      <c r="Q277" s="36"/>
      <c r="R277" s="125"/>
      <c r="S277" s="123">
        <f>Table1[[#This Row],[Quantity]]/48</f>
        <v>74.958333333333329</v>
      </c>
      <c r="T277" s="36"/>
      <c r="U277" s="36"/>
      <c r="V277" s="36"/>
      <c r="W277" s="129"/>
      <c r="X277" s="36"/>
      <c r="Y277" s="36"/>
      <c r="Z277" s="36"/>
      <c r="AA277" s="125" t="s">
        <v>121</v>
      </c>
      <c r="AB277" s="173">
        <v>45783</v>
      </c>
      <c r="AC277" s="119">
        <v>25725</v>
      </c>
      <c r="AD277" s="36">
        <f t="shared" si="32"/>
        <v>5325142</v>
      </c>
      <c r="AE277" s="36" t="str">
        <f t="shared" si="33"/>
        <v>AU.KB2045-B-0208-DRE</v>
      </c>
      <c r="AF277" s="36">
        <v>3598</v>
      </c>
      <c r="AG277" s="120">
        <f t="shared" si="34"/>
        <v>2338.7000000000003</v>
      </c>
      <c r="AH277" s="36"/>
      <c r="AI277" s="124"/>
      <c r="AJ277" s="122" t="s">
        <v>3171</v>
      </c>
      <c r="AK277" s="129" t="str">
        <f t="shared" ca="1" si="36"/>
        <v>On Time</v>
      </c>
      <c r="AL277" s="268" t="str">
        <f t="shared" si="37"/>
        <v>May</v>
      </c>
      <c r="AM277" s="133">
        <f>YEAR(Table1[[#This Row],[ETA
As requested
dd.mm.yyyy]])</f>
        <v>2025</v>
      </c>
    </row>
    <row r="278" spans="1:39">
      <c r="A278" s="123" t="s">
        <v>83</v>
      </c>
      <c r="B278" s="36" t="s">
        <v>1170</v>
      </c>
      <c r="C278" s="117">
        <v>5325142</v>
      </c>
      <c r="D278" s="165">
        <v>45440</v>
      </c>
      <c r="E278" s="117" t="s">
        <v>108</v>
      </c>
      <c r="F278" s="36" t="str">
        <f>IFERROR(VLOOKUP(Table1[[#This Row],[Part Number]],DATABASE_FG!$C$6:D10267,2,FALSE)," ")</f>
        <v>094290032-0000</v>
      </c>
      <c r="G278" s="117">
        <f>IFERROR(_xlfn.XLOOKUP(Table1[[#This Row],[Part Number]],Table3[Part number],Table3[Drawing
 Revision]),"")</f>
        <v>0</v>
      </c>
      <c r="H278" s="118" cm="1">
        <f t="array" ref="H278">IFERROR(INDEX(PDB!$C:$AT,MATCH(E278,PDB!$B:$B,0),MATCH(YEAR(K278),0+PDB!$C$1:$AT$1,0)),"")</f>
        <v>0.65</v>
      </c>
      <c r="I278" s="36">
        <f>1500-598</f>
        <v>902</v>
      </c>
      <c r="J278" s="125">
        <f>IFERROR(Table1[[#This Row],[Quantity]]*Table1[[#This Row],[Price/Unit
EUR]]," ")</f>
        <v>586.30000000000007</v>
      </c>
      <c r="K278" s="126">
        <v>45792</v>
      </c>
      <c r="L278" s="36">
        <f>WEEKNUM(Table1[[#This Row],[ETA
As requested
dd.mm.yyyy]])</f>
        <v>20</v>
      </c>
      <c r="M278" s="36">
        <f>YEAR(Table1[[#This Row],[ETA
As requested
dd.mm.yyyy]])</f>
        <v>2025</v>
      </c>
      <c r="N278" s="36">
        <v>0</v>
      </c>
      <c r="O278" s="129" t="str">
        <f>IF(E278&lt;&gt;"", _xlfn.XLOOKUP(E278, DATABASE_FG!C:C, DATABASE_FG!F:F), " ")</f>
        <v>Strunjite</v>
      </c>
      <c r="P278" s="129">
        <f>IFERROR(INDEX(DATABASE_FG!$G$5:$G$367, MATCH(E278, DATABASE_FG!$C$5:$C$367, 0)), "Not Found")</f>
        <v>0</v>
      </c>
      <c r="Q278" s="36" t="s">
        <v>3035</v>
      </c>
      <c r="R278" s="125" t="s">
        <v>678</v>
      </c>
      <c r="S278" s="123">
        <f>IFERROR(INDEX(DATABASE_FG!$L$5:$L$367, MATCH(E278, DATABASE_FG!$C$5:$C$367, 0)), " ")</f>
        <v>42</v>
      </c>
      <c r="T278" s="36" t="s">
        <v>679</v>
      </c>
      <c r="U278" s="36"/>
      <c r="V278" s="36"/>
      <c r="W278" s="129"/>
      <c r="X278" s="36"/>
      <c r="Y278" s="36"/>
      <c r="Z278" s="36"/>
      <c r="AA278" s="125" t="s">
        <v>121</v>
      </c>
      <c r="AB278" s="173">
        <v>45785</v>
      </c>
      <c r="AC278" s="119">
        <v>25738</v>
      </c>
      <c r="AD278" s="36">
        <f t="shared" si="32"/>
        <v>5325142</v>
      </c>
      <c r="AE278" s="36" t="str">
        <f t="shared" si="33"/>
        <v>AU.KB2045-B-0208-DRE</v>
      </c>
      <c r="AF278" s="36">
        <v>902</v>
      </c>
      <c r="AG278" s="120">
        <f t="shared" si="34"/>
        <v>586.30000000000007</v>
      </c>
      <c r="AH278" s="36"/>
      <c r="AI278" s="124"/>
      <c r="AJ278" s="122" t="s">
        <v>3195</v>
      </c>
      <c r="AK278" s="129" t="str">
        <f t="shared" ca="1" si="36"/>
        <v>On Time</v>
      </c>
      <c r="AL278" s="268" t="str">
        <f t="shared" si="37"/>
        <v>May</v>
      </c>
      <c r="AM278" s="133">
        <f>YEAR(Table1[[#This Row],[ETA
As requested
dd.mm.yyyy]])</f>
        <v>2025</v>
      </c>
    </row>
    <row r="279" spans="1:39">
      <c r="A279" s="123" t="s">
        <v>83</v>
      </c>
      <c r="B279" s="36" t="s">
        <v>1170</v>
      </c>
      <c r="C279" s="117">
        <v>5325142</v>
      </c>
      <c r="D279" s="165">
        <v>45440</v>
      </c>
      <c r="E279" s="117" t="s">
        <v>108</v>
      </c>
      <c r="F279" s="36" t="str">
        <f>IFERROR(VLOOKUP(Table1[[#This Row],[Part Number]],DATABASE_FG!$C$6:D10268,2,FALSE)," ")</f>
        <v>094290032-0000</v>
      </c>
      <c r="G279" s="117">
        <f>IFERROR(_xlfn.XLOOKUP(Table1[[#This Row],[Part Number]],Table3[Part number],Table3[Drawing
 Revision]),"")</f>
        <v>0</v>
      </c>
      <c r="H279" s="118" cm="1">
        <f t="array" ref="H279">IFERROR(INDEX(PDB!$C:$AT,MATCH(E279,PDB!$B:$B,0),MATCH(YEAR(K279),0+PDB!$C$1:$AT$1,0)),"")</f>
        <v>0.65</v>
      </c>
      <c r="I279" s="36">
        <v>3960</v>
      </c>
      <c r="J279" s="125">
        <f>IFERROR(Table1[[#This Row],[Quantity]]*Table1[[#This Row],[Price/Unit
EUR]]," ")</f>
        <v>2574</v>
      </c>
      <c r="K279" s="126">
        <v>45810</v>
      </c>
      <c r="L279" s="36">
        <f>WEEKNUM(Table1[[#This Row],[ETA
As requested
dd.mm.yyyy]])</f>
        <v>23</v>
      </c>
      <c r="M279" s="36">
        <f>YEAR(Table1[[#This Row],[ETA
As requested
dd.mm.yyyy]])</f>
        <v>2025</v>
      </c>
      <c r="N279" s="36">
        <v>0</v>
      </c>
      <c r="O279" s="129" t="str">
        <f>IF(E279&lt;&gt;"", _xlfn.XLOOKUP(E279, DATABASE_FG!C:C, DATABASE_FG!F:F), " ")</f>
        <v>Strunjite</v>
      </c>
      <c r="P279" s="129">
        <f>IFERROR(INDEX(DATABASE_FG!$G$5:$G$367, MATCH(E279, DATABASE_FG!$C$5:$C$367, 0)), "Not Found")</f>
        <v>0</v>
      </c>
      <c r="Q279" s="36"/>
      <c r="R279" s="125"/>
      <c r="S279" s="123">
        <f>Table1[[#This Row],[Quantity]]/48</f>
        <v>82.5</v>
      </c>
      <c r="T279" s="36"/>
      <c r="U279" s="36"/>
      <c r="V279" s="36"/>
      <c r="W279" s="129"/>
      <c r="X279" s="36"/>
      <c r="Y279" s="36"/>
      <c r="Z279" s="36"/>
      <c r="AA279" s="125" t="s">
        <v>121</v>
      </c>
      <c r="AB279" s="173">
        <v>45838</v>
      </c>
      <c r="AC279" s="119">
        <v>260029</v>
      </c>
      <c r="AD279" s="36">
        <f t="shared" si="32"/>
        <v>5325142</v>
      </c>
      <c r="AE279" s="36" t="str">
        <f t="shared" si="33"/>
        <v>AU.KB2045-B-0208-DRE</v>
      </c>
      <c r="AF279" s="36">
        <v>3960</v>
      </c>
      <c r="AG279" s="120">
        <f t="shared" si="34"/>
        <v>2574</v>
      </c>
      <c r="AH279" s="36"/>
      <c r="AI279" s="124"/>
      <c r="AJ279" s="122" t="s">
        <v>3225</v>
      </c>
      <c r="AK279" s="129" t="str">
        <f t="shared" ca="1" si="36"/>
        <v>Late</v>
      </c>
      <c r="AL279" s="268" t="str">
        <f t="shared" si="37"/>
        <v>June</v>
      </c>
      <c r="AM279" s="133">
        <f>YEAR(Table1[[#This Row],[ETA
As requested
dd.mm.yyyy]])</f>
        <v>2025</v>
      </c>
    </row>
    <row r="280" spans="1:39">
      <c r="A280" s="123" t="s">
        <v>83</v>
      </c>
      <c r="B280" s="36" t="s">
        <v>1170</v>
      </c>
      <c r="C280" s="117">
        <v>5325142</v>
      </c>
      <c r="D280" s="165">
        <v>45440</v>
      </c>
      <c r="E280" s="117" t="s">
        <v>108</v>
      </c>
      <c r="F280" s="36" t="str">
        <f>IFERROR(VLOOKUP(Table1[[#This Row],[Part Number]],DATABASE_FG!$C$6:D10269,2,FALSE)," ")</f>
        <v>094290032-0000</v>
      </c>
      <c r="G280" s="117">
        <f>IFERROR(_xlfn.XLOOKUP(Table1[[#This Row],[Part Number]],Table3[Part number],Table3[Drawing
 Revision]),"")</f>
        <v>0</v>
      </c>
      <c r="H280" s="118" cm="1">
        <f t="array" ref="H280">IFERROR(INDEX(PDB!$C:$AT,MATCH(E280,PDB!$B:$B,0),MATCH(YEAR(K280),0+PDB!$C$1:$AT$1,0)),"")</f>
        <v>0.65</v>
      </c>
      <c r="I280" s="36">
        <f>4500-3960</f>
        <v>540</v>
      </c>
      <c r="J280" s="125">
        <f>IFERROR(Table1[[#This Row],[Quantity]]*Table1[[#This Row],[Price/Unit
EUR]]," ")</f>
        <v>351</v>
      </c>
      <c r="K280" s="126">
        <v>45810</v>
      </c>
      <c r="L280" s="36">
        <f>WEEKNUM(Table1[[#This Row],[ETA
As requested
dd.mm.yyyy]])</f>
        <v>23</v>
      </c>
      <c r="M280" s="36">
        <f>YEAR(Table1[[#This Row],[ETA
As requested
dd.mm.yyyy]])</f>
        <v>2025</v>
      </c>
      <c r="N280" s="36">
        <v>0</v>
      </c>
      <c r="O280" s="129" t="str">
        <f>IF(E280&lt;&gt;"", _xlfn.XLOOKUP(E280, DATABASE_FG!C:C, DATABASE_FG!F:F), " ")</f>
        <v>Strunjite</v>
      </c>
      <c r="P280" s="129">
        <f>IFERROR(INDEX(DATABASE_FG!$G$5:$G$367, MATCH(E280, DATABASE_FG!$C$5:$C$367, 0)), "Not Found")</f>
        <v>0</v>
      </c>
      <c r="Q280" s="36" t="s">
        <v>3035</v>
      </c>
      <c r="R280" s="125" t="s">
        <v>678</v>
      </c>
      <c r="S280" s="123">
        <f>IFERROR(INDEX(DATABASE_FG!$L$5:$L$367, MATCH(E280, DATABASE_FG!$C$5:$C$367, 0)), " ")</f>
        <v>42</v>
      </c>
      <c r="T280" s="36" t="s">
        <v>679</v>
      </c>
      <c r="U280" s="36"/>
      <c r="V280" s="36"/>
      <c r="W280" s="129"/>
      <c r="X280" s="36"/>
      <c r="Y280" s="36"/>
      <c r="Z280" s="36"/>
      <c r="AA280" s="125" t="s">
        <v>121</v>
      </c>
      <c r="AB280" s="173">
        <v>45876</v>
      </c>
      <c r="AC280" s="119"/>
      <c r="AD280" s="36" t="str">
        <f t="shared" si="32"/>
        <v/>
      </c>
      <c r="AE280" s="36" t="str">
        <f t="shared" si="33"/>
        <v/>
      </c>
      <c r="AF280" s="36">
        <v>0</v>
      </c>
      <c r="AG280" s="120">
        <f t="shared" si="34"/>
        <v>0</v>
      </c>
      <c r="AH280" s="36"/>
      <c r="AI280" s="124"/>
      <c r="AJ280" s="122"/>
      <c r="AK280" s="129" t="str">
        <f t="shared" ca="1" si="36"/>
        <v>Late</v>
      </c>
      <c r="AL280" s="268" t="str">
        <f t="shared" si="37"/>
        <v>June</v>
      </c>
      <c r="AM280" s="133">
        <f>YEAR(Table1[[#This Row],[ETA
As requested
dd.mm.yyyy]])</f>
        <v>2025</v>
      </c>
    </row>
    <row r="281" spans="1:39">
      <c r="A281" s="123" t="s">
        <v>83</v>
      </c>
      <c r="B281" s="36" t="s">
        <v>1170</v>
      </c>
      <c r="C281" s="210">
        <v>39546715</v>
      </c>
      <c r="D281" s="165">
        <v>45832</v>
      </c>
      <c r="E281" s="117" t="s">
        <v>108</v>
      </c>
      <c r="F281" s="36" t="str">
        <f>IFERROR(VLOOKUP(Table1[[#This Row],[Part Number]],DATABASE_FG!$C$6:D10270,2,FALSE)," ")</f>
        <v>094290032-0000</v>
      </c>
      <c r="G281" s="117">
        <f>IFERROR(_xlfn.XLOOKUP(Table1[[#This Row],[Part Number]],Table3[Part number],Table3[Drawing
 Revision]),"")</f>
        <v>0</v>
      </c>
      <c r="H281" s="118" cm="1">
        <f t="array" ref="H281">IFERROR(INDEX(PDB!$C:$AT,MATCH(E281,PDB!$B:$B,0),MATCH(YEAR(K281),0+PDB!$C$1:$AT$1,0)),"")</f>
        <v>0.65</v>
      </c>
      <c r="I281" s="36">
        <v>5</v>
      </c>
      <c r="J281" s="125">
        <f>IFERROR(Table1[[#This Row],[Quantity]]*Table1[[#This Row],[Price/Unit
EUR]]," ")</f>
        <v>3.25</v>
      </c>
      <c r="K281" s="126">
        <v>45840</v>
      </c>
      <c r="L281" s="36">
        <f>WEEKNUM(Table1[[#This Row],[ETA
As requested
dd.mm.yyyy]])</f>
        <v>27</v>
      </c>
      <c r="M281" s="36">
        <f>YEAR(Table1[[#This Row],[ETA
As requested
dd.mm.yyyy]])</f>
        <v>2025</v>
      </c>
      <c r="N281" s="36">
        <v>0</v>
      </c>
      <c r="O281" s="129" t="str">
        <f>IF(E281&lt;&gt;"", _xlfn.XLOOKUP(E281, DATABASE_FG!C:C, DATABASE_FG!F:F), " ")</f>
        <v>Strunjite</v>
      </c>
      <c r="P281" s="129">
        <f>IFERROR(INDEX(DATABASE_FG!$G$5:$G$367, MATCH(E281, DATABASE_FG!$C$5:$C$367, 0)), "Not Found")</f>
        <v>0</v>
      </c>
      <c r="Q281" s="36" t="s">
        <v>3035</v>
      </c>
      <c r="R281" s="125" t="s">
        <v>678</v>
      </c>
      <c r="S281" s="123">
        <f>IFERROR(INDEX(DATABASE_FG!$L$5:$L$367, MATCH(E281, DATABASE_FG!$C$5:$C$367, 0)), " ")</f>
        <v>42</v>
      </c>
      <c r="T281" s="36" t="s">
        <v>679</v>
      </c>
      <c r="U281" s="36"/>
      <c r="V281" s="36"/>
      <c r="W281" s="129"/>
      <c r="X281" s="36"/>
      <c r="Y281" s="36"/>
      <c r="Z281" s="36"/>
      <c r="AA281" s="125" t="s">
        <v>121</v>
      </c>
      <c r="AB281" s="173">
        <v>45848</v>
      </c>
      <c r="AC281" s="119" t="s">
        <v>3393</v>
      </c>
      <c r="AD281" s="36">
        <f t="shared" ref="AD281:AD344" si="38">IF(NOT(ISBLANK(AC281)), C281, "")</f>
        <v>39546715</v>
      </c>
      <c r="AE281" s="36" t="str">
        <f t="shared" ref="AE281:AE344" si="39">IF(NOT(ISBLANK(AC281)), E281, "")</f>
        <v>AU.KB2045-B-0208-DRE</v>
      </c>
      <c r="AF281" s="36">
        <v>5</v>
      </c>
      <c r="AG281" s="120">
        <f t="shared" ref="AG281:AG344" si="40">AF281*H281</f>
        <v>3.25</v>
      </c>
      <c r="AH281" s="36"/>
      <c r="AI281" s="124"/>
      <c r="AJ281" s="122" t="s">
        <v>3394</v>
      </c>
      <c r="AK281" s="129" t="str">
        <f t="shared" ref="AK281:AK296" ca="1" si="41">IF(AB281="", IF(K281 &lt; TODAY(), "Late", ""), IF(AB281 &lt;= K281 + 2, "On Time", "Late"))</f>
        <v>Late</v>
      </c>
      <c r="AL281" s="268" t="str">
        <f t="shared" si="37"/>
        <v>July</v>
      </c>
      <c r="AM281" s="133">
        <f>YEAR(Table1[[#This Row],[ETA
As requested
dd.mm.yyyy]])</f>
        <v>2025</v>
      </c>
    </row>
    <row r="282" spans="1:39">
      <c r="A282" s="123" t="s">
        <v>83</v>
      </c>
      <c r="B282" s="36" t="s">
        <v>1170</v>
      </c>
      <c r="C282" s="210">
        <v>39717774</v>
      </c>
      <c r="D282" s="165">
        <v>45855</v>
      </c>
      <c r="E282" s="117" t="s">
        <v>108</v>
      </c>
      <c r="F282" s="36" t="str">
        <f>IFERROR(VLOOKUP(Table1[[#This Row],[Part Number]],DATABASE_FG!$C$6:D10271,2,FALSE)," ")</f>
        <v>094290032-0000</v>
      </c>
      <c r="G282" s="117">
        <f>IFERROR(_xlfn.XLOOKUP(Table1[[#This Row],[Part Number]],Table3[Part number],Table3[Drawing
 Revision]),"")</f>
        <v>0</v>
      </c>
      <c r="H282" s="118" cm="1">
        <f t="array" ref="H282">IFERROR(INDEX(PDB!$C:$AT,MATCH(E282,PDB!$B:$B,0),MATCH(YEAR(K282),0+PDB!$C$1:$AT$1,0)),"")</f>
        <v>0.65</v>
      </c>
      <c r="I282" s="36">
        <v>5</v>
      </c>
      <c r="J282" s="125">
        <f>IFERROR(Table1[[#This Row],[Quantity]]*Table1[[#This Row],[Price/Unit
EUR]]," ")</f>
        <v>3.25</v>
      </c>
      <c r="K282" s="126">
        <v>45856</v>
      </c>
      <c r="L282" s="36">
        <f>WEEKNUM(Table1[[#This Row],[ETA
As requested
dd.mm.yyyy]])</f>
        <v>29</v>
      </c>
      <c r="M282" s="36">
        <f>YEAR(Table1[[#This Row],[ETA
As requested
dd.mm.yyyy]])</f>
        <v>2025</v>
      </c>
      <c r="N282" s="36">
        <v>0</v>
      </c>
      <c r="O282" s="129" t="str">
        <f>IF(E282&lt;&gt;"", _xlfn.XLOOKUP(E282, DATABASE_FG!C:C, DATABASE_FG!F:F), " ")</f>
        <v>Strunjite</v>
      </c>
      <c r="P282" s="129">
        <f>IFERROR(INDEX(DATABASE_FG!$G$5:$G$367, MATCH(E282, DATABASE_FG!$C$5:$C$367, 0)), "Not Found")</f>
        <v>0</v>
      </c>
      <c r="Q282" s="36" t="s">
        <v>3035</v>
      </c>
      <c r="R282" s="125" t="s">
        <v>678</v>
      </c>
      <c r="S282" s="123">
        <f>IFERROR(INDEX(DATABASE_FG!$L$5:$L$367, MATCH(E282, DATABASE_FG!$C$5:$C$367, 0)), " ")</f>
        <v>42</v>
      </c>
      <c r="T282" s="36" t="s">
        <v>679</v>
      </c>
      <c r="U282" s="36"/>
      <c r="V282" s="36"/>
      <c r="W282" s="129"/>
      <c r="X282" s="36"/>
      <c r="Y282" s="36"/>
      <c r="Z282" s="36"/>
      <c r="AA282" s="125" t="s">
        <v>121</v>
      </c>
      <c r="AB282" s="173">
        <v>45859</v>
      </c>
      <c r="AC282" s="119" t="s">
        <v>3431</v>
      </c>
      <c r="AD282" s="36">
        <f t="shared" si="38"/>
        <v>39717774</v>
      </c>
      <c r="AE282" s="36" t="str">
        <f t="shared" si="39"/>
        <v>AU.KB2045-B-0208-DRE</v>
      </c>
      <c r="AF282" s="36">
        <v>5</v>
      </c>
      <c r="AG282" s="120">
        <f t="shared" si="40"/>
        <v>3.25</v>
      </c>
      <c r="AH282" s="36"/>
      <c r="AI282" s="124"/>
      <c r="AJ282" s="122" t="s">
        <v>3432</v>
      </c>
      <c r="AK282" s="129" t="str">
        <f t="shared" ca="1" si="41"/>
        <v>Late</v>
      </c>
      <c r="AL282" s="268" t="str">
        <f t="shared" si="37"/>
        <v>July</v>
      </c>
      <c r="AM282" s="133">
        <f>YEAR(Table1[[#This Row],[ETA
As requested
dd.mm.yyyy]])</f>
        <v>2025</v>
      </c>
    </row>
    <row r="283" spans="1:39">
      <c r="A283" s="123" t="s">
        <v>83</v>
      </c>
      <c r="B283" s="36" t="s">
        <v>1170</v>
      </c>
      <c r="C283" s="210">
        <v>39717774</v>
      </c>
      <c r="D283" s="165">
        <v>45855</v>
      </c>
      <c r="E283" s="117" t="s">
        <v>108</v>
      </c>
      <c r="F283" s="36" t="str">
        <f>IFERROR(VLOOKUP(Table1[[#This Row],[Part Number]],DATABASE_FG!$C$6:D10272,2,FALSE)," ")</f>
        <v>094290032-0000</v>
      </c>
      <c r="G283" s="117">
        <f>IFERROR(_xlfn.XLOOKUP(Table1[[#This Row],[Part Number]],Table3[Part number],Table3[Drawing
 Revision]),"")</f>
        <v>0</v>
      </c>
      <c r="H283" s="118" cm="1">
        <f t="array" ref="H283">IFERROR(INDEX(PDB!$C:$AT,MATCH(E283,PDB!$B:$B,0),MATCH(YEAR(K283),0+PDB!$C$1:$AT$1,0)),"")</f>
        <v>0.65</v>
      </c>
      <c r="I283" s="36">
        <v>5</v>
      </c>
      <c r="J283" s="125">
        <f>IFERROR(Table1[[#This Row],[Quantity]]*Table1[[#This Row],[Price/Unit
EUR]]," ")</f>
        <v>3.25</v>
      </c>
      <c r="K283" s="126">
        <v>45856</v>
      </c>
      <c r="L283" s="36">
        <f>WEEKNUM(Table1[[#This Row],[ETA
As requested
dd.mm.yyyy]])</f>
        <v>29</v>
      </c>
      <c r="M283" s="36">
        <f>YEAR(Table1[[#This Row],[ETA
As requested
dd.mm.yyyy]])</f>
        <v>2025</v>
      </c>
      <c r="N283" s="36">
        <v>0</v>
      </c>
      <c r="O283" s="129" t="str">
        <f>IF(E283&lt;&gt;"", _xlfn.XLOOKUP(E283, DATABASE_FG!C:C, DATABASE_FG!F:F), " ")</f>
        <v>Strunjite</v>
      </c>
      <c r="P283" s="129">
        <f>IFERROR(INDEX(DATABASE_FG!$G$5:$G$367, MATCH(E283, DATABASE_FG!$C$5:$C$367, 0)), "Not Found")</f>
        <v>0</v>
      </c>
      <c r="Q283" s="36" t="s">
        <v>3035</v>
      </c>
      <c r="R283" s="125" t="s">
        <v>678</v>
      </c>
      <c r="S283" s="123">
        <f>IFERROR(INDEX(DATABASE_FG!$L$5:$L$367, MATCH(E283, DATABASE_FG!$C$5:$C$367, 0)), " ")</f>
        <v>42</v>
      </c>
      <c r="T283" s="36" t="s">
        <v>679</v>
      </c>
      <c r="U283" s="36"/>
      <c r="V283" s="36"/>
      <c r="W283" s="129"/>
      <c r="X283" s="36"/>
      <c r="Y283" s="36"/>
      <c r="Z283" s="36"/>
      <c r="AA283" s="125" t="s">
        <v>121</v>
      </c>
      <c r="AB283" s="172">
        <v>45875</v>
      </c>
      <c r="AC283" s="119" t="s">
        <v>3440</v>
      </c>
      <c r="AD283" s="36">
        <f t="shared" si="38"/>
        <v>39717774</v>
      </c>
      <c r="AE283" s="36" t="str">
        <f t="shared" si="39"/>
        <v>AU.KB2045-B-0208-DRE</v>
      </c>
      <c r="AF283" s="36">
        <v>5</v>
      </c>
      <c r="AG283" s="120">
        <f t="shared" si="40"/>
        <v>3.25</v>
      </c>
      <c r="AH283" s="36"/>
      <c r="AI283" s="124"/>
      <c r="AJ283" s="122" t="s">
        <v>3441</v>
      </c>
      <c r="AK283" s="129" t="str">
        <f t="shared" ca="1" si="41"/>
        <v>Late</v>
      </c>
      <c r="AL283" s="268" t="str">
        <f t="shared" si="37"/>
        <v>July</v>
      </c>
      <c r="AM283" s="133">
        <f>YEAR(Table1[[#This Row],[ETA
As requested
dd.mm.yyyy]])</f>
        <v>2025</v>
      </c>
    </row>
    <row r="284" spans="1:39">
      <c r="A284" s="123" t="s">
        <v>83</v>
      </c>
      <c r="B284" s="36" t="s">
        <v>1170</v>
      </c>
      <c r="C284" s="117">
        <v>5325142</v>
      </c>
      <c r="D284" s="165">
        <v>45440</v>
      </c>
      <c r="E284" s="117" t="s">
        <v>108</v>
      </c>
      <c r="F284" s="36" t="str">
        <f>IFERROR(VLOOKUP(Table1[[#This Row],[Part Number]],DATABASE_FG!$C$6:D10273,2,FALSE)," ")</f>
        <v>094290032-0000</v>
      </c>
      <c r="G284" s="117">
        <f>IFERROR(_xlfn.XLOOKUP(Table1[[#This Row],[Part Number]],Table3[Part number],Table3[Drawing
 Revision]),"")</f>
        <v>0</v>
      </c>
      <c r="H284" s="118" cm="1">
        <f t="array" ref="H284">IFERROR(INDEX(PDB!$C:$AT,MATCH(E284,PDB!$B:$B,0),MATCH(YEAR(K284),0+PDB!$C$1:$AT$1,0)),"")</f>
        <v>0.65</v>
      </c>
      <c r="I284" s="36">
        <v>3500</v>
      </c>
      <c r="J284" s="125">
        <f>IFERROR(Table1[[#This Row],[Quantity]]*Table1[[#This Row],[Price/Unit
EUR]]," ")</f>
        <v>2275</v>
      </c>
      <c r="K284" s="126">
        <v>45868</v>
      </c>
      <c r="L284" s="36">
        <f>WEEKNUM(Table1[[#This Row],[ETA
As requested
dd.mm.yyyy]])</f>
        <v>31</v>
      </c>
      <c r="M284" s="36">
        <f>YEAR(Table1[[#This Row],[ETA
As requested
dd.mm.yyyy]])</f>
        <v>2025</v>
      </c>
      <c r="N284" s="36">
        <v>0</v>
      </c>
      <c r="O284" s="129" t="str">
        <f>IF(E284&lt;&gt;"", _xlfn.XLOOKUP(E284, DATABASE_FG!C:C, DATABASE_FG!F:F), " ")</f>
        <v>Strunjite</v>
      </c>
      <c r="P284" s="129">
        <f>IFERROR(INDEX(DATABASE_FG!$G$5:$G$367, MATCH(E284, DATABASE_FG!$C$5:$C$367, 0)), "Not Found")</f>
        <v>0</v>
      </c>
      <c r="Q284" s="36" t="s">
        <v>3035</v>
      </c>
      <c r="R284" s="125" t="s">
        <v>678</v>
      </c>
      <c r="S284" s="123">
        <f>IFERROR(INDEX(DATABASE_FG!$L$5:$L$367, MATCH(E284, DATABASE_FG!$C$5:$C$367, 0)), " ")</f>
        <v>42</v>
      </c>
      <c r="T284" s="36" t="s">
        <v>679</v>
      </c>
      <c r="U284" s="36"/>
      <c r="V284" s="36"/>
      <c r="W284" s="129"/>
      <c r="X284" s="36"/>
      <c r="Y284" s="36"/>
      <c r="Z284" s="36"/>
      <c r="AA284" s="125" t="s">
        <v>121</v>
      </c>
      <c r="AB284" s="172">
        <v>45876</v>
      </c>
      <c r="AC284" s="119"/>
      <c r="AD284" s="36" t="str">
        <f t="shared" si="38"/>
        <v/>
      </c>
      <c r="AE284" s="36" t="str">
        <f t="shared" si="39"/>
        <v/>
      </c>
      <c r="AF284" s="36">
        <v>0</v>
      </c>
      <c r="AG284" s="120">
        <f t="shared" si="40"/>
        <v>0</v>
      </c>
      <c r="AH284" s="36"/>
      <c r="AI284" s="124"/>
      <c r="AJ284" s="122"/>
      <c r="AK284" s="129" t="str">
        <f t="shared" ca="1" si="41"/>
        <v>Late</v>
      </c>
      <c r="AL284" s="268" t="str">
        <f t="shared" si="37"/>
        <v>July</v>
      </c>
      <c r="AM284" s="133">
        <f>YEAR(Table1[[#This Row],[ETA
As requested
dd.mm.yyyy]])</f>
        <v>2025</v>
      </c>
    </row>
    <row r="285" spans="1:39">
      <c r="A285" s="123" t="s">
        <v>83</v>
      </c>
      <c r="B285" s="36" t="s">
        <v>1170</v>
      </c>
      <c r="C285" s="117">
        <v>5325142</v>
      </c>
      <c r="D285" s="165">
        <v>45440</v>
      </c>
      <c r="E285" s="117" t="s">
        <v>108</v>
      </c>
      <c r="F285" s="36" t="str">
        <f>IFERROR(VLOOKUP(Table1[[#This Row],[Part Number]],DATABASE_FG!$C$6:D10274,2,FALSE)," ")</f>
        <v>094290032-0000</v>
      </c>
      <c r="G285" s="117">
        <f>IFERROR(_xlfn.XLOOKUP(Table1[[#This Row],[Part Number]],Table3[Part number],Table3[Drawing
 Revision]),"")</f>
        <v>0</v>
      </c>
      <c r="H285" s="118" cm="1">
        <f t="array" ref="H285">IFERROR(INDEX(PDB!$C:$AT,MATCH(E285,PDB!$B:$B,0),MATCH(YEAR(K285),0+PDB!$C$1:$AT$1,0)),"")</f>
        <v>0.65</v>
      </c>
      <c r="I285" s="36">
        <v>3000</v>
      </c>
      <c r="J285" s="125">
        <f>IFERROR(Table1[[#This Row],[Quantity]]*Table1[[#This Row],[Price/Unit
EUR]]," ")</f>
        <v>1950</v>
      </c>
      <c r="K285" s="126">
        <v>45874</v>
      </c>
      <c r="L285" s="36">
        <f>WEEKNUM(Table1[[#This Row],[ETA
As requested
dd.mm.yyyy]])</f>
        <v>32</v>
      </c>
      <c r="M285" s="36">
        <f>YEAR(Table1[[#This Row],[ETA
As requested
dd.mm.yyyy]])</f>
        <v>2025</v>
      </c>
      <c r="N285" s="36">
        <v>0</v>
      </c>
      <c r="O285" s="129" t="str">
        <f>IF(E285&lt;&gt;"", _xlfn.XLOOKUP(E285, DATABASE_FG!C:C, DATABASE_FG!F:F), " ")</f>
        <v>Strunjite</v>
      </c>
      <c r="P285" s="129">
        <f>IFERROR(INDEX(DATABASE_FG!$G$5:$G$367, MATCH(E285, DATABASE_FG!$C$5:$C$367, 0)), "Not Found")</f>
        <v>0</v>
      </c>
      <c r="Q285" s="36" t="s">
        <v>3035</v>
      </c>
      <c r="R285" s="125" t="s">
        <v>678</v>
      </c>
      <c r="S285" s="123">
        <f>IFERROR(INDEX(DATABASE_FG!$L$5:$L$367, MATCH(E285, DATABASE_FG!$C$5:$C$367, 0)), " ")</f>
        <v>42</v>
      </c>
      <c r="T285" s="36" t="s">
        <v>679</v>
      </c>
      <c r="U285" s="36"/>
      <c r="V285" s="36"/>
      <c r="W285" s="129"/>
      <c r="X285" s="36"/>
      <c r="Y285" s="36"/>
      <c r="Z285" s="36"/>
      <c r="AA285" s="125" t="s">
        <v>121</v>
      </c>
      <c r="AB285" s="172">
        <v>45876</v>
      </c>
      <c r="AC285" s="119"/>
      <c r="AD285" s="36" t="str">
        <f t="shared" si="38"/>
        <v/>
      </c>
      <c r="AE285" s="36" t="str">
        <f t="shared" si="39"/>
        <v/>
      </c>
      <c r="AF285" s="36">
        <v>0</v>
      </c>
      <c r="AG285" s="120">
        <f t="shared" si="40"/>
        <v>0</v>
      </c>
      <c r="AH285" s="36"/>
      <c r="AI285" s="124"/>
      <c r="AJ285" s="122"/>
      <c r="AK285" s="129" t="str">
        <f t="shared" ca="1" si="41"/>
        <v>On Time</v>
      </c>
      <c r="AL285" s="268" t="str">
        <f t="shared" si="37"/>
        <v>August</v>
      </c>
      <c r="AM285" s="133">
        <f>YEAR(Table1[[#This Row],[ETA
As requested
dd.mm.yyyy]])</f>
        <v>2025</v>
      </c>
    </row>
    <row r="286" spans="1:39">
      <c r="A286" s="123" t="s">
        <v>83</v>
      </c>
      <c r="B286" s="36" t="s">
        <v>1170</v>
      </c>
      <c r="C286" s="117">
        <v>5325142</v>
      </c>
      <c r="D286" s="165">
        <v>45440</v>
      </c>
      <c r="E286" s="117" t="s">
        <v>108</v>
      </c>
      <c r="F286" s="36" t="str">
        <f>IFERROR(VLOOKUP(Table1[[#This Row],[Part Number]],DATABASE_FG!$C$6:D10275,2,FALSE)," ")</f>
        <v>094290032-0000</v>
      </c>
      <c r="G286" s="117">
        <f>IFERROR(_xlfn.XLOOKUP(Table1[[#This Row],[Part Number]],Table3[Part number],Table3[Drawing
 Revision]),"")</f>
        <v>0</v>
      </c>
      <c r="H286" s="118" cm="1">
        <f t="array" ref="H286">IFERROR(INDEX(PDB!$C:$AT,MATCH(E286,PDB!$B:$B,0),MATCH(YEAR(K286),0+PDB!$C$1:$AT$1,0)),"")</f>
        <v>0.65</v>
      </c>
      <c r="I286" s="36">
        <v>632</v>
      </c>
      <c r="J286" s="125">
        <f>IFERROR(Table1[[#This Row],[Quantity]]*Table1[[#This Row],[Price/Unit
EUR]]," ")</f>
        <v>410.8</v>
      </c>
      <c r="K286" s="126">
        <v>45930</v>
      </c>
      <c r="L286" s="36">
        <f>WEEKNUM(Table1[[#This Row],[ETA
As requested
dd.mm.yyyy]])</f>
        <v>40</v>
      </c>
      <c r="M286" s="36">
        <f>YEAR(Table1[[#This Row],[ETA
As requested
dd.mm.yyyy]])</f>
        <v>2025</v>
      </c>
      <c r="N286" s="36">
        <v>0</v>
      </c>
      <c r="O286" s="129" t="str">
        <f>IF(E286&lt;&gt;"", _xlfn.XLOOKUP(E286, DATABASE_FG!C:C, DATABASE_FG!F:F), " ")</f>
        <v>Strunjite</v>
      </c>
      <c r="P286" s="129">
        <f>IFERROR(INDEX(DATABASE_FG!$G$5:$G$367, MATCH(E286, DATABASE_FG!$C$5:$C$367, 0)), "Not Found")</f>
        <v>0</v>
      </c>
      <c r="Q286" s="36" t="s">
        <v>3035</v>
      </c>
      <c r="R286" s="125" t="s">
        <v>678</v>
      </c>
      <c r="S286" s="123">
        <f>IFERROR(INDEX(DATABASE_FG!$L$5:$L$367, MATCH(E286, DATABASE_FG!$C$5:$C$367, 0)), " ")</f>
        <v>42</v>
      </c>
      <c r="T286" s="36" t="s">
        <v>679</v>
      </c>
      <c r="U286" s="36"/>
      <c r="V286" s="36"/>
      <c r="W286" s="129"/>
      <c r="X286" s="36"/>
      <c r="Y286" s="36"/>
      <c r="Z286" s="36"/>
      <c r="AA286" s="125" t="s">
        <v>121</v>
      </c>
      <c r="AB286" s="172">
        <v>45894</v>
      </c>
      <c r="AC286" s="119" t="s">
        <v>3725</v>
      </c>
      <c r="AD286" s="36">
        <f t="shared" si="38"/>
        <v>5325142</v>
      </c>
      <c r="AE286" s="36" t="str">
        <f t="shared" si="39"/>
        <v>AU.KB2045-B-0208-DRE</v>
      </c>
      <c r="AF286" s="36">
        <v>632</v>
      </c>
      <c r="AG286" s="120">
        <f t="shared" si="40"/>
        <v>410.8</v>
      </c>
      <c r="AH286" s="36"/>
      <c r="AI286" s="124"/>
      <c r="AJ286" s="122" t="s">
        <v>3726</v>
      </c>
      <c r="AK286" s="129" t="str">
        <f t="shared" ca="1" si="41"/>
        <v>On Time</v>
      </c>
      <c r="AL286" s="268" t="str">
        <f t="shared" si="37"/>
        <v>September</v>
      </c>
      <c r="AM286" s="133">
        <f>YEAR(Table1[[#This Row],[ETA
As requested
dd.mm.yyyy]])</f>
        <v>2025</v>
      </c>
    </row>
    <row r="287" spans="1:39">
      <c r="A287" s="123" t="s">
        <v>83</v>
      </c>
      <c r="B287" s="36" t="s">
        <v>1170</v>
      </c>
      <c r="C287" s="117">
        <v>5325142</v>
      </c>
      <c r="D287" s="165">
        <v>45440</v>
      </c>
      <c r="E287" s="117" t="s">
        <v>108</v>
      </c>
      <c r="F287" s="36" t="str">
        <f>IFERROR(VLOOKUP(Table1[[#This Row],[Part Number]],DATABASE_FG!$C$6:D10276,2,FALSE)," ")</f>
        <v>094290032-0000</v>
      </c>
      <c r="G287" s="117">
        <f>IFERROR(_xlfn.XLOOKUP(Table1[[#This Row],[Part Number]],Table3[Part number],Table3[Drawing
 Revision]),"")</f>
        <v>0</v>
      </c>
      <c r="H287" s="118" cm="1">
        <f t="array" ref="H287">IFERROR(INDEX(PDB!$C:$AT,MATCH(E287,PDB!$B:$B,0),MATCH(YEAR(K287),0+PDB!$C$1:$AT$1,0)),"")</f>
        <v>0.65</v>
      </c>
      <c r="I287" s="36">
        <v>470</v>
      </c>
      <c r="J287" s="125">
        <f>IFERROR(Table1[[#This Row],[Quantity]]*Table1[[#This Row],[Price/Unit
EUR]]," ")</f>
        <v>305.5</v>
      </c>
      <c r="K287" s="126">
        <v>45930</v>
      </c>
      <c r="L287" s="36">
        <f>WEEKNUM(Table1[[#This Row],[ETA
As requested
dd.mm.yyyy]])</f>
        <v>40</v>
      </c>
      <c r="M287" s="36">
        <f>YEAR(Table1[[#This Row],[ETA
As requested
dd.mm.yyyy]])</f>
        <v>2025</v>
      </c>
      <c r="N287" s="36">
        <v>0</v>
      </c>
      <c r="O287" s="129" t="str">
        <f>IF(E287&lt;&gt;"", _xlfn.XLOOKUP(E287, DATABASE_FG!C:C, DATABASE_FG!F:F), " ")</f>
        <v>Strunjite</v>
      </c>
      <c r="P287" s="129">
        <f>IFERROR(INDEX(DATABASE_FG!$G$5:$G$367, MATCH(E287, DATABASE_FG!$C$5:$C$367, 0)), "Not Found")</f>
        <v>0</v>
      </c>
      <c r="Q287" s="36" t="s">
        <v>3035</v>
      </c>
      <c r="R287" s="125" t="s">
        <v>678</v>
      </c>
      <c r="S287" s="123">
        <f>IFERROR(INDEX(DATABASE_FG!$L$5:$L$367, MATCH(E287, DATABASE_FG!$C$5:$C$367, 0)), " ")</f>
        <v>42</v>
      </c>
      <c r="T287" s="36" t="s">
        <v>679</v>
      </c>
      <c r="U287" s="36"/>
      <c r="V287" s="36"/>
      <c r="W287" s="129"/>
      <c r="X287" s="36"/>
      <c r="Y287" s="36"/>
      <c r="Z287" s="36"/>
      <c r="AA287" s="125" t="s">
        <v>121</v>
      </c>
      <c r="AB287" s="172">
        <v>45896</v>
      </c>
      <c r="AC287" s="119" t="s">
        <v>3727</v>
      </c>
      <c r="AD287" s="36">
        <f t="shared" si="38"/>
        <v>5325142</v>
      </c>
      <c r="AE287" s="36" t="str">
        <f t="shared" si="39"/>
        <v>AU.KB2045-B-0208-DRE</v>
      </c>
      <c r="AF287" s="36">
        <v>470</v>
      </c>
      <c r="AG287" s="120">
        <f t="shared" si="40"/>
        <v>305.5</v>
      </c>
      <c r="AH287" s="36"/>
      <c r="AI287" s="124"/>
      <c r="AJ287" s="122" t="s">
        <v>3728</v>
      </c>
      <c r="AK287" s="129" t="str">
        <f t="shared" ca="1" si="41"/>
        <v>On Time</v>
      </c>
      <c r="AL287" s="268" t="str">
        <f t="shared" si="37"/>
        <v>September</v>
      </c>
      <c r="AM287" s="133">
        <f>YEAR(Table1[[#This Row],[ETA
As requested
dd.mm.yyyy]])</f>
        <v>2025</v>
      </c>
    </row>
    <row r="288" spans="1:39">
      <c r="A288" s="123" t="s">
        <v>83</v>
      </c>
      <c r="B288" s="36" t="s">
        <v>1170</v>
      </c>
      <c r="C288" s="117">
        <v>5325142</v>
      </c>
      <c r="D288" s="165">
        <v>45440</v>
      </c>
      <c r="E288" s="117" t="s">
        <v>108</v>
      </c>
      <c r="F288" s="36" t="str">
        <f>IFERROR(VLOOKUP(Table1[[#This Row],[Part Number]],DATABASE_FG!$C$6:D10277,2,FALSE)," ")</f>
        <v>094290032-0000</v>
      </c>
      <c r="G288" s="117">
        <f>IFERROR(_xlfn.XLOOKUP(Table1[[#This Row],[Part Number]],Table3[Part number],Table3[Drawing
 Revision]),"")</f>
        <v>0</v>
      </c>
      <c r="H288" s="118" cm="1">
        <f t="array" ref="H288">IFERROR(INDEX(PDB!$C:$AT,MATCH(E288,PDB!$B:$B,0),MATCH(YEAR(K288),0+PDB!$C$1:$AT$1,0)),"")</f>
        <v>0.65</v>
      </c>
      <c r="I288" s="36">
        <v>150</v>
      </c>
      <c r="J288" s="125">
        <f>IFERROR(Table1[[#This Row],[Quantity]]*Table1[[#This Row],[Price/Unit
EUR]]," ")</f>
        <v>97.5</v>
      </c>
      <c r="K288" s="126">
        <v>45930</v>
      </c>
      <c r="L288" s="36">
        <f>WEEKNUM(Table1[[#This Row],[ETA
As requested
dd.mm.yyyy]])</f>
        <v>40</v>
      </c>
      <c r="M288" s="36">
        <f>YEAR(Table1[[#This Row],[ETA
As requested
dd.mm.yyyy]])</f>
        <v>2025</v>
      </c>
      <c r="N288" s="36">
        <v>0</v>
      </c>
      <c r="O288" s="129" t="str">
        <f>IF(E288&lt;&gt;"", _xlfn.XLOOKUP(E288, DATABASE_FG!C:C, DATABASE_FG!F:F), " ")</f>
        <v>Strunjite</v>
      </c>
      <c r="P288" s="129">
        <f>IFERROR(INDEX(DATABASE_FG!$G$5:$G$367, MATCH(E288, DATABASE_FG!$C$5:$C$367, 0)), "Not Found")</f>
        <v>0</v>
      </c>
      <c r="Q288" s="36" t="s">
        <v>3035</v>
      </c>
      <c r="R288" s="125" t="s">
        <v>678</v>
      </c>
      <c r="S288" s="123">
        <f>IFERROR(INDEX(DATABASE_FG!$L$5:$L$367, MATCH(E288, DATABASE_FG!$C$5:$C$367, 0)), " ")</f>
        <v>42</v>
      </c>
      <c r="T288" s="36" t="s">
        <v>679</v>
      </c>
      <c r="U288" s="36"/>
      <c r="V288" s="36"/>
      <c r="W288" s="129"/>
      <c r="X288" s="36"/>
      <c r="Y288" s="36"/>
      <c r="Z288" s="36"/>
      <c r="AA288" s="125" t="s">
        <v>121</v>
      </c>
      <c r="AB288" s="172">
        <v>45897</v>
      </c>
      <c r="AC288" s="119" t="s">
        <v>3729</v>
      </c>
      <c r="AD288" s="36">
        <f t="shared" si="38"/>
        <v>5325142</v>
      </c>
      <c r="AE288" s="36" t="str">
        <f t="shared" si="39"/>
        <v>AU.KB2045-B-0208-DRE</v>
      </c>
      <c r="AF288" s="36">
        <v>150</v>
      </c>
      <c r="AG288" s="120">
        <f t="shared" si="40"/>
        <v>97.5</v>
      </c>
      <c r="AH288" s="36"/>
      <c r="AI288" s="124"/>
      <c r="AJ288" s="122" t="s">
        <v>3730</v>
      </c>
      <c r="AK288" s="129" t="str">
        <f t="shared" ca="1" si="41"/>
        <v>On Time</v>
      </c>
      <c r="AL288" s="268" t="str">
        <f t="shared" si="37"/>
        <v>September</v>
      </c>
      <c r="AM288" s="133">
        <f>YEAR(Table1[[#This Row],[ETA
As requested
dd.mm.yyyy]])</f>
        <v>2025</v>
      </c>
    </row>
    <row r="289" spans="1:40">
      <c r="A289" s="123" t="s">
        <v>83</v>
      </c>
      <c r="B289" s="36" t="s">
        <v>2464</v>
      </c>
      <c r="C289" s="117">
        <v>5325142</v>
      </c>
      <c r="D289" s="165">
        <v>45440</v>
      </c>
      <c r="E289" s="117" t="s">
        <v>108</v>
      </c>
      <c r="F289" s="36" t="str">
        <f>IFERROR(VLOOKUP(Table1[[#This Row],[Part Number]],DATABASE_FG!$C$6:D10278,2,FALSE)," ")</f>
        <v>094290032-0000</v>
      </c>
      <c r="G289" s="117">
        <f>IFERROR(_xlfn.XLOOKUP(Table1[[#This Row],[Part Number]],Table3[Part number],Table3[Drawing
 Revision]),"")</f>
        <v>0</v>
      </c>
      <c r="H289" s="118" cm="1">
        <f t="array" ref="H289">IFERROR(INDEX(PDB!$C:$AT,MATCH(E289,PDB!$B:$B,0),MATCH(YEAR(K289),0+PDB!$C$1:$AT$1,0)),"")</f>
        <v>0.65</v>
      </c>
      <c r="I289" s="36">
        <v>129</v>
      </c>
      <c r="J289" s="125">
        <f>IFERROR(Table1[[#This Row],[Quantity]]*Table1[[#This Row],[Price/Unit
EUR]]," ")</f>
        <v>83.850000000000009</v>
      </c>
      <c r="K289" s="126">
        <v>45930</v>
      </c>
      <c r="L289" s="36">
        <f>WEEKNUM(Table1[[#This Row],[ETA
As requested
dd.mm.yyyy]])</f>
        <v>40</v>
      </c>
      <c r="M289" s="36">
        <f>YEAR(Table1[[#This Row],[ETA
As requested
dd.mm.yyyy]])</f>
        <v>2025</v>
      </c>
      <c r="N289" s="36">
        <v>0</v>
      </c>
      <c r="O289" s="129" t="str">
        <f>IF(E289&lt;&gt;"", _xlfn.XLOOKUP(E289, DATABASE_FG!C:C, DATABASE_FG!F:F), " ")</f>
        <v>Strunjite</v>
      </c>
      <c r="P289" s="129">
        <f>IFERROR(INDEX(DATABASE_FG!$G$5:$G$367, MATCH(E289, DATABASE_FG!$C$5:$C$367, 0)), "Not Found")</f>
        <v>0</v>
      </c>
      <c r="Q289" s="36" t="s">
        <v>3035</v>
      </c>
      <c r="R289" s="125" t="s">
        <v>678</v>
      </c>
      <c r="S289" s="123">
        <f>IFERROR(INDEX(DATABASE_FG!$L$5:$L$367, MATCH(E289, DATABASE_FG!$C$5:$C$367, 0)), " ")</f>
        <v>42</v>
      </c>
      <c r="T289" s="36" t="s">
        <v>679</v>
      </c>
      <c r="U289" s="36"/>
      <c r="V289" s="36"/>
      <c r="W289" s="129"/>
      <c r="X289" s="36"/>
      <c r="Y289" s="36"/>
      <c r="Z289" s="36"/>
      <c r="AA289" s="125" t="s">
        <v>121</v>
      </c>
      <c r="AB289" s="172">
        <v>45905</v>
      </c>
      <c r="AC289" s="119" t="s">
        <v>3731</v>
      </c>
      <c r="AD289" s="36">
        <f t="shared" si="38"/>
        <v>5325142</v>
      </c>
      <c r="AE289" s="36" t="str">
        <f t="shared" si="39"/>
        <v>AU.KB2045-B-0208-DRE</v>
      </c>
      <c r="AF289" s="36">
        <v>129</v>
      </c>
      <c r="AG289" s="120">
        <f t="shared" si="40"/>
        <v>83.850000000000009</v>
      </c>
      <c r="AH289" s="36"/>
      <c r="AI289" s="124"/>
      <c r="AJ289" s="122" t="s">
        <v>3732</v>
      </c>
      <c r="AK289" s="129" t="str">
        <f t="shared" ca="1" si="41"/>
        <v>On Time</v>
      </c>
      <c r="AL289" s="268" t="str">
        <f t="shared" si="37"/>
        <v>September</v>
      </c>
      <c r="AM289" s="133">
        <f>YEAR(Table1[[#This Row],[ETA
As requested
dd.mm.yyyy]])</f>
        <v>2025</v>
      </c>
    </row>
    <row r="290" spans="1:40">
      <c r="A290" s="123" t="s">
        <v>83</v>
      </c>
      <c r="B290" s="36" t="s">
        <v>2464</v>
      </c>
      <c r="C290" s="117">
        <v>5325142</v>
      </c>
      <c r="D290" s="165">
        <v>45440</v>
      </c>
      <c r="E290" s="117" t="s">
        <v>108</v>
      </c>
      <c r="F290" s="36" t="str">
        <f>IFERROR(VLOOKUP(Table1[[#This Row],[Part Number]],DATABASE_FG!$C$6:D10279,2,FALSE)," ")</f>
        <v>094290032-0000</v>
      </c>
      <c r="G290" s="117">
        <f>IFERROR(_xlfn.XLOOKUP(Table1[[#This Row],[Part Number]],Table3[Part number],Table3[Drawing
 Revision]),"")</f>
        <v>0</v>
      </c>
      <c r="H290" s="118" cm="1">
        <f t="array" ref="H290">IFERROR(INDEX(PDB!$C:$AT,MATCH(E290,PDB!$B:$B,0),MATCH(YEAR(K290),0+PDB!$C$1:$AT$1,0)),"")</f>
        <v>0.65</v>
      </c>
      <c r="I290" s="36">
        <v>1080</v>
      </c>
      <c r="J290" s="125">
        <f>IFERROR(Table1[[#This Row],[Quantity]]*Table1[[#This Row],[Price/Unit
EUR]]," ")</f>
        <v>702</v>
      </c>
      <c r="K290" s="126">
        <v>45930</v>
      </c>
      <c r="L290" s="36">
        <f>WEEKNUM(Table1[[#This Row],[ETA
As requested
dd.mm.yyyy]])</f>
        <v>40</v>
      </c>
      <c r="M290" s="36">
        <f>YEAR(Table1[[#This Row],[ETA
As requested
dd.mm.yyyy]])</f>
        <v>2025</v>
      </c>
      <c r="N290" s="36">
        <v>0</v>
      </c>
      <c r="O290" s="129" t="str">
        <f>IF(E290&lt;&gt;"", _xlfn.XLOOKUP(E290, DATABASE_FG!C:C, DATABASE_FG!F:F), " ")</f>
        <v>Strunjite</v>
      </c>
      <c r="P290" s="129">
        <f>IFERROR(INDEX(DATABASE_FG!$G$5:$G$367, MATCH(E290, DATABASE_FG!$C$5:$C$367, 0)), "Not Found")</f>
        <v>0</v>
      </c>
      <c r="Q290" s="36" t="s">
        <v>3035</v>
      </c>
      <c r="R290" s="125" t="s">
        <v>678</v>
      </c>
      <c r="S290" s="123">
        <f>IFERROR(INDEX(DATABASE_FG!$L$5:$L$367, MATCH(E290, DATABASE_FG!$C$5:$C$367, 0)), " ")</f>
        <v>42</v>
      </c>
      <c r="T290" s="36" t="s">
        <v>679</v>
      </c>
      <c r="U290" s="36"/>
      <c r="V290" s="36"/>
      <c r="W290" s="129"/>
      <c r="X290" s="36"/>
      <c r="Y290" s="36"/>
      <c r="Z290" s="36"/>
      <c r="AA290" s="125" t="s">
        <v>121</v>
      </c>
      <c r="AB290" s="173">
        <v>45916</v>
      </c>
      <c r="AC290" s="119" t="s">
        <v>3735</v>
      </c>
      <c r="AD290" s="36">
        <f t="shared" si="38"/>
        <v>5325142</v>
      </c>
      <c r="AE290" s="36" t="str">
        <f t="shared" si="39"/>
        <v>AU.KB2045-B-0208-DRE</v>
      </c>
      <c r="AF290" s="36">
        <v>1080</v>
      </c>
      <c r="AG290" s="120">
        <f t="shared" si="40"/>
        <v>702</v>
      </c>
      <c r="AH290" s="36"/>
      <c r="AI290" s="124" t="s">
        <v>3736</v>
      </c>
      <c r="AJ290" s="122"/>
      <c r="AK290" s="129" t="str">
        <f t="shared" ca="1" si="41"/>
        <v>On Time</v>
      </c>
      <c r="AL290" s="268" t="str">
        <f t="shared" si="37"/>
        <v>September</v>
      </c>
      <c r="AM290" s="133">
        <f>YEAR(Table1[[#This Row],[ETA
As requested
dd.mm.yyyy]])</f>
        <v>2025</v>
      </c>
    </row>
    <row r="291" spans="1:40">
      <c r="A291" s="123" t="s">
        <v>83</v>
      </c>
      <c r="B291" s="36" t="s">
        <v>2464</v>
      </c>
      <c r="C291" s="117">
        <v>5325142</v>
      </c>
      <c r="D291" s="165">
        <v>45440</v>
      </c>
      <c r="E291" s="117" t="s">
        <v>108</v>
      </c>
      <c r="F291" s="36" t="str">
        <f>IFERROR(VLOOKUP(Table1[[#This Row],[Part Number]],DATABASE_FG!$C$6:D10280,2,FALSE)," ")</f>
        <v>094290032-0000</v>
      </c>
      <c r="G291" s="117">
        <f>IFERROR(_xlfn.XLOOKUP(Table1[[#This Row],[Part Number]],Table3[Part number],Table3[Drawing
 Revision]),"")</f>
        <v>0</v>
      </c>
      <c r="H291" s="118" cm="1">
        <f t="array" ref="H291">IFERROR(INDEX(PDB!$C:$AT,MATCH(E291,PDB!$B:$B,0),MATCH(YEAR(K291),0+PDB!$C$1:$AT$1,0)),"")</f>
        <v>0.65</v>
      </c>
      <c r="I291" s="36">
        <v>1080</v>
      </c>
      <c r="J291" s="125">
        <f>IFERROR(Table1[[#This Row],[Quantity]]*Table1[[#This Row],[Price/Unit
EUR]]," ")</f>
        <v>702</v>
      </c>
      <c r="K291" s="126">
        <v>45930</v>
      </c>
      <c r="L291" s="36">
        <f>WEEKNUM(Table1[[#This Row],[ETA
As requested
dd.mm.yyyy]])</f>
        <v>40</v>
      </c>
      <c r="M291" s="36">
        <f>YEAR(Table1[[#This Row],[ETA
As requested
dd.mm.yyyy]])</f>
        <v>2025</v>
      </c>
      <c r="N291" s="36">
        <v>0</v>
      </c>
      <c r="O291" s="129" t="str">
        <f>IF(E291&lt;&gt;"", _xlfn.XLOOKUP(E291, DATABASE_FG!C:C, DATABASE_FG!F:F), " ")</f>
        <v>Strunjite</v>
      </c>
      <c r="P291" s="129">
        <f>IFERROR(INDEX(DATABASE_FG!$G$5:$G$367, MATCH(E291, DATABASE_FG!$C$5:$C$367, 0)), "Not Found")</f>
        <v>0</v>
      </c>
      <c r="Q291" s="36" t="s">
        <v>3035</v>
      </c>
      <c r="R291" s="125" t="s">
        <v>678</v>
      </c>
      <c r="S291" s="123">
        <f>IFERROR(INDEX(DATABASE_FG!$L$5:$L$367, MATCH(E291, DATABASE_FG!$C$5:$C$367, 0)), " ")</f>
        <v>42</v>
      </c>
      <c r="T291" s="36" t="s">
        <v>679</v>
      </c>
      <c r="U291" s="36"/>
      <c r="V291" s="36"/>
      <c r="W291" s="129"/>
      <c r="X291" s="36"/>
      <c r="Y291" s="36"/>
      <c r="Z291" s="36"/>
      <c r="AA291" s="125" t="s">
        <v>121</v>
      </c>
      <c r="AB291" s="173">
        <v>45917</v>
      </c>
      <c r="AC291" s="119" t="s">
        <v>3737</v>
      </c>
      <c r="AD291" s="36">
        <f t="shared" si="38"/>
        <v>5325142</v>
      </c>
      <c r="AE291" s="36" t="str">
        <f t="shared" si="39"/>
        <v>AU.KB2045-B-0208-DRE</v>
      </c>
      <c r="AF291" s="36">
        <v>1080</v>
      </c>
      <c r="AG291" s="120">
        <f t="shared" si="40"/>
        <v>702</v>
      </c>
      <c r="AH291" s="36"/>
      <c r="AI291" s="124" t="s">
        <v>3738</v>
      </c>
      <c r="AJ291" s="122"/>
      <c r="AK291" s="129" t="str">
        <f t="shared" ca="1" si="41"/>
        <v>On Time</v>
      </c>
      <c r="AL291" s="268" t="str">
        <f t="shared" si="37"/>
        <v>September</v>
      </c>
      <c r="AM291" s="133">
        <f>YEAR(Table1[[#This Row],[ETA
As requested
dd.mm.yyyy]])</f>
        <v>2025</v>
      </c>
    </row>
    <row r="292" spans="1:40">
      <c r="A292" s="123" t="s">
        <v>83</v>
      </c>
      <c r="B292" s="36" t="s">
        <v>2464</v>
      </c>
      <c r="C292" s="117">
        <v>5325142</v>
      </c>
      <c r="D292" s="165">
        <v>45440</v>
      </c>
      <c r="E292" s="117" t="s">
        <v>108</v>
      </c>
      <c r="F292" s="36" t="str">
        <f>IFERROR(VLOOKUP(Table1[[#This Row],[Part Number]],DATABASE_FG!$C$6:D10281,2,FALSE)," ")</f>
        <v>094290032-0000</v>
      </c>
      <c r="G292" s="117">
        <f>IFERROR(_xlfn.XLOOKUP(Table1[[#This Row],[Part Number]],Table3[Part number],Table3[Drawing
 Revision]),"")</f>
        <v>0</v>
      </c>
      <c r="H292" s="118" cm="1">
        <f t="array" ref="H292">IFERROR(INDEX(PDB!$C:$AT,MATCH(E292,PDB!$B:$B,0),MATCH(YEAR(K292),0+PDB!$C$1:$AT$1,0)),"")</f>
        <v>0.65</v>
      </c>
      <c r="I292" s="36">
        <v>300</v>
      </c>
      <c r="J292" s="125">
        <f>IFERROR(Table1[[#This Row],[Quantity]]*Table1[[#This Row],[Price/Unit
EUR]]," ")</f>
        <v>195</v>
      </c>
      <c r="K292" s="126">
        <v>45930</v>
      </c>
      <c r="L292" s="36">
        <f>WEEKNUM(Table1[[#This Row],[ETA
As requested
dd.mm.yyyy]])</f>
        <v>40</v>
      </c>
      <c r="M292" s="36">
        <f>YEAR(Table1[[#This Row],[ETA
As requested
dd.mm.yyyy]])</f>
        <v>2025</v>
      </c>
      <c r="N292" s="36">
        <v>0</v>
      </c>
      <c r="O292" s="129" t="str">
        <f>IF(E292&lt;&gt;"", _xlfn.XLOOKUP(E292, DATABASE_FG!C:C, DATABASE_FG!F:F), " ")</f>
        <v>Strunjite</v>
      </c>
      <c r="P292" s="129">
        <f>IFERROR(INDEX(DATABASE_FG!$G$5:$G$367, MATCH(E292, DATABASE_FG!$C$5:$C$367, 0)), "Not Found")</f>
        <v>0</v>
      </c>
      <c r="Q292" s="36" t="s">
        <v>3035</v>
      </c>
      <c r="R292" s="125" t="s">
        <v>678</v>
      </c>
      <c r="S292" s="123">
        <f>Table1[[#This Row],[Quantity]]/48</f>
        <v>6.25</v>
      </c>
      <c r="T292" s="36"/>
      <c r="U292" s="36"/>
      <c r="V292" s="36"/>
      <c r="W292" s="129"/>
      <c r="X292" s="36"/>
      <c r="Y292" s="36"/>
      <c r="Z292" s="36"/>
      <c r="AA292" s="125" t="s">
        <v>121</v>
      </c>
      <c r="AB292" s="173">
        <v>45918</v>
      </c>
      <c r="AC292" s="119" t="s">
        <v>3741</v>
      </c>
      <c r="AD292" s="36">
        <f t="shared" si="38"/>
        <v>5325142</v>
      </c>
      <c r="AE292" s="36" t="str">
        <f t="shared" si="39"/>
        <v>AU.KB2045-B-0208-DRE</v>
      </c>
      <c r="AF292" s="36">
        <v>300</v>
      </c>
      <c r="AG292" s="120">
        <f t="shared" si="40"/>
        <v>195</v>
      </c>
      <c r="AH292" s="36"/>
      <c r="AI292" s="124"/>
      <c r="AJ292" s="122" t="s">
        <v>3742</v>
      </c>
      <c r="AK292" s="129" t="str">
        <f t="shared" ca="1" si="41"/>
        <v>On Time</v>
      </c>
      <c r="AL292" s="268" t="str">
        <f t="shared" si="37"/>
        <v>September</v>
      </c>
      <c r="AM292" s="133">
        <f>YEAR(Table1[[#This Row],[ETA
As requested
dd.mm.yyyy]])</f>
        <v>2025</v>
      </c>
      <c r="AN292" s="191"/>
    </row>
    <row r="293" spans="1:40">
      <c r="A293" s="123" t="s">
        <v>83</v>
      </c>
      <c r="B293" s="36" t="s">
        <v>2464</v>
      </c>
      <c r="C293" s="117">
        <v>5325142</v>
      </c>
      <c r="D293" s="165">
        <v>45440</v>
      </c>
      <c r="E293" s="117" t="s">
        <v>108</v>
      </c>
      <c r="F293" s="36" t="str">
        <f>IFERROR(VLOOKUP(Table1[[#This Row],[Part Number]],DATABASE_FG!$C$6:D10282,2,FALSE)," ")</f>
        <v>094290032-0000</v>
      </c>
      <c r="G293" s="117">
        <f>IFERROR(_xlfn.XLOOKUP(Table1[[#This Row],[Part Number]],Table3[Part number],Table3[Drawing
 Revision]),"")</f>
        <v>0</v>
      </c>
      <c r="H293" s="118" cm="1">
        <f t="array" ref="H293">IFERROR(INDEX(PDB!$C:$AT,MATCH(E293,PDB!$B:$B,0),MATCH(YEAR(K293),0+PDB!$C$1:$AT$1,0)),"")</f>
        <v>0.65</v>
      </c>
      <c r="I293" s="36">
        <v>598</v>
      </c>
      <c r="J293" s="125">
        <f>IFERROR(Table1[[#This Row],[Quantity]]*Table1[[#This Row],[Price/Unit
EUR]]," ")</f>
        <v>388.7</v>
      </c>
      <c r="K293" s="126">
        <v>45930</v>
      </c>
      <c r="L293" s="36">
        <f>WEEKNUM(Table1[[#This Row],[ETA
As requested
dd.mm.yyyy]])</f>
        <v>40</v>
      </c>
      <c r="M293" s="36">
        <f>YEAR(Table1[[#This Row],[ETA
As requested
dd.mm.yyyy]])</f>
        <v>2025</v>
      </c>
      <c r="N293" s="36">
        <v>0</v>
      </c>
      <c r="O293" s="129" t="str">
        <f>IF(E293&lt;&gt;"", _xlfn.XLOOKUP(E293, DATABASE_FG!C:C, DATABASE_FG!F:F), " ")</f>
        <v>Strunjite</v>
      </c>
      <c r="P293" s="129">
        <f>IFERROR(INDEX(DATABASE_FG!$G$5:$G$367, MATCH(E293, DATABASE_FG!$C$5:$C$367, 0)), "Not Found")</f>
        <v>0</v>
      </c>
      <c r="Q293" s="36" t="s">
        <v>3035</v>
      </c>
      <c r="R293" s="125" t="s">
        <v>678</v>
      </c>
      <c r="S293" s="123">
        <f>Table1[[#This Row],[Quantity]]/48</f>
        <v>12.458333333333334</v>
      </c>
      <c r="T293" s="36"/>
      <c r="U293" s="36"/>
      <c r="V293" s="36"/>
      <c r="W293" s="129"/>
      <c r="X293" s="36"/>
      <c r="Y293" s="36"/>
      <c r="Z293" s="36"/>
      <c r="AA293" s="125" t="s">
        <v>121</v>
      </c>
      <c r="AB293" s="172">
        <v>45919</v>
      </c>
      <c r="AC293" s="119" t="s">
        <v>3745</v>
      </c>
      <c r="AD293" s="36">
        <f t="shared" si="38"/>
        <v>5325142</v>
      </c>
      <c r="AE293" s="36" t="str">
        <f t="shared" si="39"/>
        <v>AU.KB2045-B-0208-DRE</v>
      </c>
      <c r="AF293" s="36">
        <v>598</v>
      </c>
      <c r="AG293" s="120">
        <f t="shared" si="40"/>
        <v>388.7</v>
      </c>
      <c r="AH293" s="36"/>
      <c r="AI293" s="124"/>
      <c r="AJ293" s="122" t="s">
        <v>3746</v>
      </c>
      <c r="AK293" s="129" t="str">
        <f t="shared" ca="1" si="41"/>
        <v>On Time</v>
      </c>
      <c r="AL293" s="268" t="str">
        <f t="shared" si="37"/>
        <v>September</v>
      </c>
      <c r="AM293" s="133">
        <f>YEAR(Table1[[#This Row],[ETA
As requested
dd.mm.yyyy]])</f>
        <v>2025</v>
      </c>
      <c r="AN293" s="191"/>
    </row>
    <row r="294" spans="1:40">
      <c r="A294" s="123" t="s">
        <v>83</v>
      </c>
      <c r="B294" s="36" t="s">
        <v>2464</v>
      </c>
      <c r="C294" s="117">
        <v>5325142</v>
      </c>
      <c r="D294" s="165">
        <v>45440</v>
      </c>
      <c r="E294" s="117" t="s">
        <v>108</v>
      </c>
      <c r="F294" s="36" t="str">
        <f>IFERROR(VLOOKUP(Table1[[#This Row],[Part Number]],DATABASE_FG!$C$6:D10283,2,FALSE)," ")</f>
        <v>094290032-0000</v>
      </c>
      <c r="G294" s="117">
        <f>IFERROR(_xlfn.XLOOKUP(Table1[[#This Row],[Part Number]],Table3[Part number],Table3[Drawing
 Revision]),"")</f>
        <v>0</v>
      </c>
      <c r="H294" s="118" cm="1">
        <f t="array" ref="H294">IFERROR(INDEX(PDB!$C:$AT,MATCH(E294,PDB!$B:$B,0),MATCH(YEAR(K294),0+PDB!$C$1:$AT$1,0)),"")</f>
        <v>0.65</v>
      </c>
      <c r="I294" s="36">
        <v>1805</v>
      </c>
      <c r="J294" s="125">
        <v>4004.65</v>
      </c>
      <c r="K294" s="126">
        <v>45930</v>
      </c>
      <c r="L294" s="36">
        <v>40</v>
      </c>
      <c r="M294" s="36">
        <v>2025</v>
      </c>
      <c r="N294" s="36">
        <v>0</v>
      </c>
      <c r="O294" s="129" t="s">
        <v>107</v>
      </c>
      <c r="P294" s="129">
        <v>0</v>
      </c>
      <c r="Q294" s="36" t="s">
        <v>3035</v>
      </c>
      <c r="R294" s="125" t="s">
        <v>678</v>
      </c>
      <c r="S294" s="123" t="s">
        <v>3</v>
      </c>
      <c r="T294" s="36"/>
      <c r="U294" s="36"/>
      <c r="V294" s="36" t="s">
        <v>2720</v>
      </c>
      <c r="W294" s="129" t="s">
        <v>2720</v>
      </c>
      <c r="X294" s="36"/>
      <c r="Y294" s="36">
        <v>0</v>
      </c>
      <c r="Z294" s="36"/>
      <c r="AA294" s="125" t="s">
        <v>121</v>
      </c>
      <c r="AB294" s="172">
        <v>45924</v>
      </c>
      <c r="AC294" s="119">
        <v>2025194</v>
      </c>
      <c r="AD294" s="36">
        <f t="shared" si="38"/>
        <v>5325142</v>
      </c>
      <c r="AE294" s="36" t="str">
        <f t="shared" si="39"/>
        <v>AU.KB2045-B-0208-DRE</v>
      </c>
      <c r="AF294" s="36">
        <v>1805</v>
      </c>
      <c r="AG294" s="120">
        <f t="shared" si="40"/>
        <v>1173.25</v>
      </c>
      <c r="AH294" s="36"/>
      <c r="AI294" s="124"/>
      <c r="AJ294" s="122" t="s">
        <v>3767</v>
      </c>
      <c r="AK294" s="129" t="str">
        <f t="shared" ca="1" si="41"/>
        <v>On Time</v>
      </c>
      <c r="AL294" s="268" t="str">
        <f t="shared" si="37"/>
        <v>September</v>
      </c>
      <c r="AM294" s="133">
        <f>YEAR(Table1[[#This Row],[ETA
As requested
dd.mm.yyyy]])</f>
        <v>2025</v>
      </c>
      <c r="AN294" s="191"/>
    </row>
    <row r="295" spans="1:40">
      <c r="A295" s="123" t="s">
        <v>83</v>
      </c>
      <c r="B295" s="36" t="s">
        <v>2464</v>
      </c>
      <c r="C295" s="117">
        <v>5325142</v>
      </c>
      <c r="D295" s="165">
        <v>45440</v>
      </c>
      <c r="E295" s="117" t="s">
        <v>108</v>
      </c>
      <c r="F295" s="36" t="str">
        <f>IFERROR(VLOOKUP(Table1[[#This Row],[Part Number]],DATABASE_FG!$C$6:D10284,2,FALSE)," ")</f>
        <v>094290032-0000</v>
      </c>
      <c r="G295" s="117">
        <f>IFERROR(_xlfn.XLOOKUP(Table1[[#This Row],[Part Number]],Table3[Part number],Table3[Drawing
 Revision]),"")</f>
        <v>0</v>
      </c>
      <c r="H295" s="118" cm="1">
        <f t="array" ref="H295">IFERROR(INDEX(PDB!$C:$AT,MATCH(E295,PDB!$B:$B,0),MATCH(YEAR(K295),0+PDB!$C$1:$AT$1,0)),"")</f>
        <v>0.65</v>
      </c>
      <c r="I295" s="36">
        <v>720</v>
      </c>
      <c r="J295" s="125">
        <v>2441.4</v>
      </c>
      <c r="K295" s="126">
        <v>45930</v>
      </c>
      <c r="L295" s="36">
        <v>40</v>
      </c>
      <c r="M295" s="36">
        <v>2025</v>
      </c>
      <c r="N295" s="36">
        <v>0</v>
      </c>
      <c r="O295" s="129" t="s">
        <v>107</v>
      </c>
      <c r="P295" s="129">
        <v>0</v>
      </c>
      <c r="Q295" s="36" t="s">
        <v>3035</v>
      </c>
      <c r="R295" s="125" t="s">
        <v>678</v>
      </c>
      <c r="S295" s="123" t="s">
        <v>3</v>
      </c>
      <c r="T295" s="36"/>
      <c r="U295" s="36"/>
      <c r="V295" s="36" t="s">
        <v>2720</v>
      </c>
      <c r="W295" s="129" t="s">
        <v>2720</v>
      </c>
      <c r="X295" s="36"/>
      <c r="Y295" s="36">
        <v>0</v>
      </c>
      <c r="Z295" s="36"/>
      <c r="AA295" s="125" t="s">
        <v>121</v>
      </c>
      <c r="AB295" s="173">
        <v>45925</v>
      </c>
      <c r="AC295" s="119">
        <v>2025196</v>
      </c>
      <c r="AD295" s="36">
        <f t="shared" si="38"/>
        <v>5325142</v>
      </c>
      <c r="AE295" s="36" t="str">
        <f t="shared" si="39"/>
        <v>AU.KB2045-B-0208-DRE</v>
      </c>
      <c r="AF295" s="36">
        <v>720</v>
      </c>
      <c r="AG295" s="120">
        <f t="shared" si="40"/>
        <v>468</v>
      </c>
      <c r="AH295" s="36"/>
      <c r="AI295" s="124"/>
      <c r="AJ295" s="122" t="s">
        <v>3754</v>
      </c>
      <c r="AK295" s="129" t="str">
        <f t="shared" ca="1" si="41"/>
        <v>On Time</v>
      </c>
      <c r="AL295" s="268" t="str">
        <f t="shared" si="37"/>
        <v>September</v>
      </c>
      <c r="AM295" s="133">
        <f>YEAR(Table1[[#This Row],[ETA
As requested
dd.mm.yyyy]])</f>
        <v>2025</v>
      </c>
      <c r="AN295" s="191"/>
    </row>
    <row r="296" spans="1:40">
      <c r="A296" s="123" t="s">
        <v>83</v>
      </c>
      <c r="B296" s="36" t="s">
        <v>2464</v>
      </c>
      <c r="C296" s="117">
        <v>5325142</v>
      </c>
      <c r="D296" s="165">
        <v>45440</v>
      </c>
      <c r="E296" s="117" t="s">
        <v>108</v>
      </c>
      <c r="F296" s="36" t="str">
        <f>IFERROR(VLOOKUP(Table1[[#This Row],[Part Number]],DATABASE_FG!$C$6:D10285,2,FALSE)," ")</f>
        <v>094290032-0000</v>
      </c>
      <c r="G296" s="117">
        <f>IFERROR(_xlfn.XLOOKUP(Table1[[#This Row],[Part Number]],Table3[Part number],Table3[Drawing
 Revision]),"")</f>
        <v>0</v>
      </c>
      <c r="H296" s="118" cm="1">
        <f t="array" ref="H296">IFERROR(INDEX(PDB!$C:$AT,MATCH(E296,PDB!$B:$B,0),MATCH(YEAR(K296),0+PDB!$C$1:$AT$1,0)),"")</f>
        <v>0.65</v>
      </c>
      <c r="I296" s="36">
        <v>395</v>
      </c>
      <c r="J296" s="125">
        <f>IFERROR(Table1[[#This Row],[Quantity]]*Table1[[#This Row],[Price/Unit
EUR]]," ")</f>
        <v>256.75</v>
      </c>
      <c r="K296" s="126">
        <v>45930</v>
      </c>
      <c r="L296" s="36">
        <f>WEEKNUM(Table1[[#This Row],[ETA
As requested
dd.mm.yyyy]])</f>
        <v>40</v>
      </c>
      <c r="M296" s="36">
        <f>YEAR(Table1[[#This Row],[ETA
As requested
dd.mm.yyyy]])</f>
        <v>2025</v>
      </c>
      <c r="N296" s="36">
        <v>0</v>
      </c>
      <c r="O296" s="129" t="str">
        <f>IF(E296&lt;&gt;"", _xlfn.XLOOKUP(E296, DATABASE_FG!C:C, DATABASE_FG!F:F), " ")</f>
        <v>Strunjite</v>
      </c>
      <c r="P296" s="129">
        <f>IFERROR(INDEX(DATABASE_FG!$G$5:$G$367, MATCH(E296, DATABASE_FG!$C$5:$C$367, 0)), "Not Found")</f>
        <v>0</v>
      </c>
      <c r="Q296" s="36" t="s">
        <v>3035</v>
      </c>
      <c r="R296" s="125" t="s">
        <v>678</v>
      </c>
      <c r="S296" s="123">
        <f>Table1[[#This Row],[Quantity]]/48</f>
        <v>8.2291666666666661</v>
      </c>
      <c r="T296" s="36"/>
      <c r="U296" s="36"/>
      <c r="V296" s="36"/>
      <c r="W296" s="129"/>
      <c r="X296" s="36"/>
      <c r="Y296" s="36"/>
      <c r="Z296" s="36"/>
      <c r="AA296" s="125" t="s">
        <v>121</v>
      </c>
      <c r="AB296" s="173">
        <v>45926</v>
      </c>
      <c r="AC296" s="119" t="s">
        <v>3768</v>
      </c>
      <c r="AD296" s="36">
        <f t="shared" si="38"/>
        <v>5325142</v>
      </c>
      <c r="AE296" s="36" t="str">
        <f t="shared" si="39"/>
        <v>AU.KB2045-B-0208-DRE</v>
      </c>
      <c r="AF296" s="36">
        <v>395</v>
      </c>
      <c r="AG296" s="120">
        <f t="shared" si="40"/>
        <v>256.75</v>
      </c>
      <c r="AH296" s="36"/>
      <c r="AI296" s="124"/>
      <c r="AJ296" s="122" t="s">
        <v>3769</v>
      </c>
      <c r="AK296" s="129" t="str">
        <f t="shared" ca="1" si="41"/>
        <v>On Time</v>
      </c>
      <c r="AL296" s="268" t="str">
        <f t="shared" si="37"/>
        <v>September</v>
      </c>
      <c r="AM296" s="133">
        <f>YEAR(Table1[[#This Row],[ETA
As requested
dd.mm.yyyy]])</f>
        <v>2025</v>
      </c>
      <c r="AN296" s="191"/>
    </row>
    <row r="297" spans="1:40">
      <c r="A297" s="123" t="s">
        <v>83</v>
      </c>
      <c r="B297" s="36" t="s">
        <v>2464</v>
      </c>
      <c r="C297" s="117">
        <v>5325142</v>
      </c>
      <c r="D297" s="165">
        <v>45440</v>
      </c>
      <c r="E297" s="117" t="s">
        <v>108</v>
      </c>
      <c r="F297" s="36" t="str">
        <f>IFERROR(VLOOKUP(Table1[[#This Row],[Part Number]],DATABASE_FG!$C$6:D10286,2,FALSE)," ")</f>
        <v>094290032-0000</v>
      </c>
      <c r="G297" s="117">
        <f>IFERROR(_xlfn.XLOOKUP(Table1[[#This Row],[Part Number]],Table3[Part number],Table3[Drawing
 Revision]),"")</f>
        <v>0</v>
      </c>
      <c r="H297" s="118" cm="1">
        <f t="array" ref="H297">IFERROR(INDEX(PDB!$C:$AT,MATCH(E297,PDB!$B:$B,0),MATCH(YEAR(K297),0+PDB!$C$1:$AT$1,0)),"")</f>
        <v>0.65</v>
      </c>
      <c r="I297" s="36">
        <v>434</v>
      </c>
      <c r="J297" s="125">
        <v>1773.2</v>
      </c>
      <c r="K297" s="126">
        <v>45930</v>
      </c>
      <c r="L297" s="36">
        <v>40</v>
      </c>
      <c r="M297" s="36">
        <v>2025</v>
      </c>
      <c r="N297" s="36">
        <v>0</v>
      </c>
      <c r="O297" s="129" t="s">
        <v>107</v>
      </c>
      <c r="P297" s="129">
        <v>0</v>
      </c>
      <c r="Q297" s="36" t="s">
        <v>3035</v>
      </c>
      <c r="R297" s="125" t="s">
        <v>678</v>
      </c>
      <c r="S297" s="123" t="s">
        <v>3</v>
      </c>
      <c r="T297" s="36"/>
      <c r="U297" s="36"/>
      <c r="V297" s="36" t="s">
        <v>2720</v>
      </c>
      <c r="W297" s="129" t="s">
        <v>2720</v>
      </c>
      <c r="X297" s="36"/>
      <c r="Y297" s="36">
        <v>0</v>
      </c>
      <c r="Z297" s="36"/>
      <c r="AA297" s="125" t="s">
        <v>121</v>
      </c>
      <c r="AB297" s="173">
        <v>45929</v>
      </c>
      <c r="AC297" s="119" t="s">
        <v>3770</v>
      </c>
      <c r="AD297" s="36">
        <f t="shared" si="38"/>
        <v>5325142</v>
      </c>
      <c r="AE297" s="36" t="str">
        <f t="shared" si="39"/>
        <v>AU.KB2045-B-0208-DRE</v>
      </c>
      <c r="AF297" s="36">
        <v>434</v>
      </c>
      <c r="AG297" s="120">
        <f t="shared" si="40"/>
        <v>282.10000000000002</v>
      </c>
      <c r="AH297" s="36"/>
      <c r="AI297" s="124"/>
      <c r="AJ297" s="122" t="s">
        <v>3771</v>
      </c>
      <c r="AK297" s="129"/>
      <c r="AL297" s="268" t="str">
        <f t="shared" si="37"/>
        <v>September</v>
      </c>
      <c r="AM297" s="133">
        <f>YEAR(Table1[[#This Row],[ETA
As requested
dd.mm.yyyy]])</f>
        <v>2025</v>
      </c>
      <c r="AN297" s="191"/>
    </row>
    <row r="298" spans="1:40">
      <c r="A298" s="123" t="s">
        <v>83</v>
      </c>
      <c r="B298" s="36" t="s">
        <v>2464</v>
      </c>
      <c r="C298" s="117">
        <v>5325142</v>
      </c>
      <c r="D298" s="165">
        <v>45440</v>
      </c>
      <c r="E298" s="117" t="s">
        <v>108</v>
      </c>
      <c r="F298" s="36" t="str">
        <f>IFERROR(VLOOKUP(Table1[[#This Row],[Part Number]],DATABASE_FG!$C$6:D10287,2,FALSE)," ")</f>
        <v>094290032-0000</v>
      </c>
      <c r="G298" s="117">
        <f>IFERROR(_xlfn.XLOOKUP(Table1[[#This Row],[Part Number]],Table3[Part number],Table3[Drawing
 Revision]),"")</f>
        <v>0</v>
      </c>
      <c r="H298" s="118" cm="1">
        <f t="array" ref="H298">IFERROR(INDEX(PDB!$C:$AT,MATCH(E298,PDB!$B:$B,0),MATCH(YEAR(K298),0+PDB!$C$1:$AT$1,0)),"")</f>
        <v>0.65</v>
      </c>
      <c r="I298" s="36">
        <v>360</v>
      </c>
      <c r="J298" s="125">
        <f>IFERROR(Table1[[#This Row],[Quantity]]*Table1[[#This Row],[Price/Unit
EUR]]," ")</f>
        <v>234</v>
      </c>
      <c r="K298" s="126">
        <v>45930</v>
      </c>
      <c r="L298" s="36">
        <f>WEEKNUM(Table1[[#This Row],[ETA
As requested
dd.mm.yyyy]])</f>
        <v>40</v>
      </c>
      <c r="M298" s="36">
        <f>YEAR(Table1[[#This Row],[ETA
As requested
dd.mm.yyyy]])</f>
        <v>2025</v>
      </c>
      <c r="N298" s="36">
        <v>0</v>
      </c>
      <c r="O298" s="129" t="str">
        <f>IF(E298&lt;&gt;"", _xlfn.XLOOKUP(E298, DATABASE_FG!C:C, DATABASE_FG!F:F), " ")</f>
        <v>Strunjite</v>
      </c>
      <c r="P298" s="129">
        <f>IFERROR(INDEX(DATABASE_FG!$G$5:$G$367, MATCH(E298, DATABASE_FG!$C$5:$C$367, 0)), "Not Found")</f>
        <v>0</v>
      </c>
      <c r="Q298" s="36" t="s">
        <v>3035</v>
      </c>
      <c r="R298" s="125" t="s">
        <v>678</v>
      </c>
      <c r="S298" s="123">
        <f>Table1[[#This Row],[Quantity]]/48</f>
        <v>7.5</v>
      </c>
      <c r="T298" s="36"/>
      <c r="U298" s="36"/>
      <c r="V298" s="36"/>
      <c r="W298" s="129"/>
      <c r="X298" s="36"/>
      <c r="Y298" s="36"/>
      <c r="Z298" s="36"/>
      <c r="AA298" s="125" t="s">
        <v>121</v>
      </c>
      <c r="AB298" s="173">
        <v>45930</v>
      </c>
      <c r="AC298" s="119" t="s">
        <v>3772</v>
      </c>
      <c r="AD298" s="36">
        <f t="shared" si="38"/>
        <v>5325142</v>
      </c>
      <c r="AE298" s="36" t="str">
        <f t="shared" si="39"/>
        <v>AU.KB2045-B-0208-DRE</v>
      </c>
      <c r="AF298" s="36">
        <v>360</v>
      </c>
      <c r="AG298" s="120">
        <f t="shared" si="40"/>
        <v>234</v>
      </c>
      <c r="AH298" s="36"/>
      <c r="AI298" s="124"/>
      <c r="AJ298" s="122" t="s">
        <v>3773</v>
      </c>
      <c r="AK298" s="129" t="str">
        <f t="shared" ref="AK298:AK361" ca="1" si="42">IF(AB298="", IF(K298 &lt; TODAY(), "Late", ""), IF(AB298 &lt;= K298 + 2, "On Time", "Late"))</f>
        <v>On Time</v>
      </c>
      <c r="AL298" s="268" t="str">
        <f t="shared" ref="AL298" si="43">TEXT(K298,"mmmm")</f>
        <v>September</v>
      </c>
      <c r="AM298" s="133">
        <f>YEAR(Table1[[#This Row],[ETA
As requested
dd.mm.yyyy]])</f>
        <v>2025</v>
      </c>
      <c r="AN298" s="191"/>
    </row>
    <row r="299" spans="1:40">
      <c r="A299" s="123" t="s">
        <v>83</v>
      </c>
      <c r="B299" s="36" t="s">
        <v>2464</v>
      </c>
      <c r="C299" s="117">
        <v>5325142</v>
      </c>
      <c r="D299" s="165">
        <v>45440</v>
      </c>
      <c r="E299" s="117" t="s">
        <v>108</v>
      </c>
      <c r="F299" s="36" t="str">
        <f>IFERROR(VLOOKUP(Table1[[#This Row],[Part Number]],DATABASE_FG!$C$6:D10288,2,FALSE)," ")</f>
        <v>094290032-0000</v>
      </c>
      <c r="G299" s="117">
        <f>IFERROR(_xlfn.XLOOKUP(Table1[[#This Row],[Part Number]],Table3[Part number],Table3[Drawing
 Revision]),"")</f>
        <v>0</v>
      </c>
      <c r="H299" s="118" cm="1">
        <f t="array" ref="H299">IFERROR(INDEX(PDB!$C:$AT,MATCH(E299,PDB!$B:$B,0),MATCH(YEAR(K299),0+PDB!$C$1:$AT$1,0)),"")</f>
        <v>0.65</v>
      </c>
      <c r="I299" s="36">
        <v>360</v>
      </c>
      <c r="J299" s="125">
        <f>IFERROR(Table1[[#This Row],[Quantity]]*Table1[[#This Row],[Price/Unit
EUR]]," ")</f>
        <v>234</v>
      </c>
      <c r="K299" s="126">
        <v>45930</v>
      </c>
      <c r="L299" s="36">
        <f>WEEKNUM(Table1[[#This Row],[ETA
As requested
dd.mm.yyyy]])</f>
        <v>40</v>
      </c>
      <c r="M299" s="36">
        <f>YEAR(Table1[[#This Row],[ETA
As requested
dd.mm.yyyy]])</f>
        <v>2025</v>
      </c>
      <c r="N299" s="36">
        <v>0</v>
      </c>
      <c r="O299" s="129" t="str">
        <f>IF(E299&lt;&gt;"", _xlfn.XLOOKUP(E299, DATABASE_FG!C:C, DATABASE_FG!F:F), " ")</f>
        <v>Strunjite</v>
      </c>
      <c r="P299" s="129">
        <f>IFERROR(INDEX(DATABASE_FG!$G$5:$G$367, MATCH(E299, DATABASE_FG!$C$5:$C$367, 0)), "Not Found")</f>
        <v>0</v>
      </c>
      <c r="Q299" s="36" t="s">
        <v>3035</v>
      </c>
      <c r="R299" s="125" t="s">
        <v>678</v>
      </c>
      <c r="S299" s="123">
        <f>Table1[[#This Row],[Quantity]]/48</f>
        <v>7.5</v>
      </c>
      <c r="T299" s="36"/>
      <c r="U299" s="36"/>
      <c r="V299" s="36"/>
      <c r="W299" s="129"/>
      <c r="X299" s="36"/>
      <c r="Y299" s="36"/>
      <c r="Z299" s="36"/>
      <c r="AA299" s="125" t="s">
        <v>121</v>
      </c>
      <c r="AB299" s="173">
        <v>45930</v>
      </c>
      <c r="AC299" s="119" t="s">
        <v>3774</v>
      </c>
      <c r="AD299" s="36">
        <f t="shared" si="38"/>
        <v>5325142</v>
      </c>
      <c r="AE299" s="36" t="str">
        <f t="shared" si="39"/>
        <v>AU.KB2045-B-0208-DRE</v>
      </c>
      <c r="AF299" s="36">
        <v>360</v>
      </c>
      <c r="AG299" s="120">
        <f t="shared" si="40"/>
        <v>234</v>
      </c>
      <c r="AH299" s="36"/>
      <c r="AI299" s="124"/>
      <c r="AJ299" s="122" t="s">
        <v>3775</v>
      </c>
      <c r="AK299" s="129" t="str">
        <f t="shared" ca="1" si="42"/>
        <v>On Time</v>
      </c>
      <c r="AL299" s="268" t="str">
        <f>TEXT(K299,"mmmm")</f>
        <v>September</v>
      </c>
      <c r="AM299" s="133">
        <f>YEAR(Table1[[#This Row],[ETA
As requested
dd.mm.yyyy]])</f>
        <v>2025</v>
      </c>
      <c r="AN299" s="191"/>
    </row>
    <row r="300" spans="1:40">
      <c r="A300" s="123" t="s">
        <v>83</v>
      </c>
      <c r="B300" s="36" t="s">
        <v>2464</v>
      </c>
      <c r="C300" s="117">
        <v>5325142</v>
      </c>
      <c r="D300" s="165">
        <v>45440</v>
      </c>
      <c r="E300" s="117" t="s">
        <v>108</v>
      </c>
      <c r="F300" s="36" t="str">
        <f>IFERROR(VLOOKUP(Table1[[#This Row],[Part Number]],DATABASE_FG!$C$6:D10289,2,FALSE)," ")</f>
        <v>094290032-0000</v>
      </c>
      <c r="G300" s="117">
        <f>IFERROR(_xlfn.XLOOKUP(Table1[[#This Row],[Part Number]],Table3[Part number],Table3[Drawing
 Revision]),"")</f>
        <v>0</v>
      </c>
      <c r="H300" s="118" cm="1">
        <f t="array" ref="H300">IFERROR(INDEX(PDB!$C:$AT,MATCH(E300,PDB!$B:$B,0),MATCH(YEAR(K300),0+PDB!$C$1:$AT$1,0)),"")</f>
        <v>0.65</v>
      </c>
      <c r="I300" s="36">
        <v>630</v>
      </c>
      <c r="J300" s="125">
        <f>IFERROR(Table1[[#This Row],[Quantity]]*Table1[[#This Row],[Price/Unit
EUR]]," ")</f>
        <v>409.5</v>
      </c>
      <c r="K300" s="126">
        <v>45930</v>
      </c>
      <c r="L300" s="36">
        <f>WEEKNUM(Table1[[#This Row],[ETA
As requested
dd.mm.yyyy]])</f>
        <v>40</v>
      </c>
      <c r="M300" s="36">
        <f>YEAR(Table1[[#This Row],[ETA
As requested
dd.mm.yyyy]])</f>
        <v>2025</v>
      </c>
      <c r="N300" s="36">
        <v>0</v>
      </c>
      <c r="O300" s="129" t="str">
        <f>IF(E300&lt;&gt;"", _xlfn.XLOOKUP(E300, DATABASE_FG!C:C, DATABASE_FG!F:F), " ")</f>
        <v>Strunjite</v>
      </c>
      <c r="P300" s="129">
        <f>IFERROR(INDEX(DATABASE_FG!$G$5:$G$367, MATCH(E300, DATABASE_FG!$C$5:$C$367, 0)), "Not Found")</f>
        <v>0</v>
      </c>
      <c r="Q300" s="36" t="s">
        <v>3035</v>
      </c>
      <c r="R300" s="125" t="s">
        <v>678</v>
      </c>
      <c r="S300" s="123">
        <f>Table1[[#This Row],[Quantity]]/48</f>
        <v>13.125</v>
      </c>
      <c r="T300" s="36"/>
      <c r="U300" s="36"/>
      <c r="V300" s="36"/>
      <c r="W300" s="129"/>
      <c r="X300" s="36"/>
      <c r="Y300" s="36"/>
      <c r="Z300" s="36"/>
      <c r="AA300" s="125" t="s">
        <v>121</v>
      </c>
      <c r="AB300" s="173">
        <v>45930</v>
      </c>
      <c r="AC300" s="119" t="s">
        <v>3776</v>
      </c>
      <c r="AD300" s="36">
        <f t="shared" si="38"/>
        <v>5325142</v>
      </c>
      <c r="AE300" s="36" t="str">
        <f t="shared" si="39"/>
        <v>AU.KB2045-B-0208-DRE</v>
      </c>
      <c r="AF300" s="36">
        <v>630</v>
      </c>
      <c r="AG300" s="120">
        <f t="shared" si="40"/>
        <v>409.5</v>
      </c>
      <c r="AH300" s="36"/>
      <c r="AI300" s="124"/>
      <c r="AJ300" s="122" t="s">
        <v>3777</v>
      </c>
      <c r="AK300" s="129" t="str">
        <f t="shared" ca="1" si="42"/>
        <v>On Time</v>
      </c>
      <c r="AL300" s="268" t="str">
        <f>TEXT(K300,"mmmm")</f>
        <v>September</v>
      </c>
      <c r="AM300" s="133">
        <f>YEAR(Table1[[#This Row],[ETA
As requested
dd.mm.yyyy]])</f>
        <v>2025</v>
      </c>
      <c r="AN300" s="191"/>
    </row>
    <row r="301" spans="1:40">
      <c r="A301" s="123" t="s">
        <v>83</v>
      </c>
      <c r="B301" s="36" t="s">
        <v>2464</v>
      </c>
      <c r="C301" s="117">
        <v>5325142</v>
      </c>
      <c r="D301" s="165">
        <v>45440</v>
      </c>
      <c r="E301" s="117" t="s">
        <v>108</v>
      </c>
      <c r="F301" s="36" t="str">
        <f>IFERROR(VLOOKUP(Table1[[#This Row],[Part Number]],DATABASE_FG!$C$6:D10290,2,FALSE)," ")</f>
        <v>094290032-0000</v>
      </c>
      <c r="G301" s="117">
        <f>IFERROR(_xlfn.XLOOKUP(Table1[[#This Row],[Part Number]],Table3[Part number],Table3[Drawing
 Revision]),"")</f>
        <v>0</v>
      </c>
      <c r="H301" s="118" cm="1">
        <f t="array" ref="H301">IFERROR(INDEX(PDB!$C:$AT,MATCH(E301,PDB!$B:$B,0),MATCH(YEAR(K301),0+PDB!$C$1:$AT$1,0)),"")</f>
        <v>0.65</v>
      </c>
      <c r="I301" s="36">
        <v>331</v>
      </c>
      <c r="J301" s="125">
        <f>IFERROR(Table1[[#This Row],[Quantity]]*Table1[[#This Row],[Price/Unit
EUR]]," ")</f>
        <v>215.15</v>
      </c>
      <c r="K301" s="126">
        <v>45930</v>
      </c>
      <c r="L301" s="36">
        <f>WEEKNUM(Table1[[#This Row],[ETA
As requested
dd.mm.yyyy]])</f>
        <v>40</v>
      </c>
      <c r="M301" s="36">
        <f>YEAR(Table1[[#This Row],[ETA
As requested
dd.mm.yyyy]])</f>
        <v>2025</v>
      </c>
      <c r="N301" s="36">
        <v>0</v>
      </c>
      <c r="O301" s="129" t="str">
        <f>IF(E301&lt;&gt;"", _xlfn.XLOOKUP(E301, DATABASE_FG!C:C, DATABASE_FG!F:F), " ")</f>
        <v>Strunjite</v>
      </c>
      <c r="P301" s="129">
        <f>IFERROR(INDEX(DATABASE_FG!$G$5:$G$367, MATCH(E301, DATABASE_FG!$C$5:$C$367, 0)), "Not Found")</f>
        <v>0</v>
      </c>
      <c r="Q301" s="36" t="s">
        <v>3035</v>
      </c>
      <c r="R301" s="125" t="s">
        <v>678</v>
      </c>
      <c r="S301" s="123">
        <f>Table1[[#This Row],[Quantity]]/48</f>
        <v>6.895833333333333</v>
      </c>
      <c r="T301" s="36"/>
      <c r="U301" s="36"/>
      <c r="V301" s="36"/>
      <c r="W301" s="129"/>
      <c r="X301" s="36"/>
      <c r="Y301" s="36"/>
      <c r="Z301" s="36"/>
      <c r="AA301" s="125" t="s">
        <v>121</v>
      </c>
      <c r="AB301" s="173">
        <v>45930</v>
      </c>
      <c r="AC301" s="119" t="s">
        <v>3778</v>
      </c>
      <c r="AD301" s="36">
        <f t="shared" si="38"/>
        <v>5325142</v>
      </c>
      <c r="AE301" s="36" t="str">
        <f t="shared" si="39"/>
        <v>AU.KB2045-B-0208-DRE</v>
      </c>
      <c r="AF301" s="36">
        <v>331</v>
      </c>
      <c r="AG301" s="120">
        <f t="shared" si="40"/>
        <v>215.15</v>
      </c>
      <c r="AH301" s="36"/>
      <c r="AI301" s="124"/>
      <c r="AJ301" s="122" t="s">
        <v>3779</v>
      </c>
      <c r="AK301" s="129" t="str">
        <f t="shared" ca="1" si="42"/>
        <v>On Time</v>
      </c>
      <c r="AL301" s="268" t="str">
        <f>TEXT(K301,"mmmm")</f>
        <v>September</v>
      </c>
      <c r="AM301" s="133">
        <f>YEAR(Table1[[#This Row],[ETA
As requested
dd.mm.yyyy]])</f>
        <v>2025</v>
      </c>
      <c r="AN301" s="191"/>
    </row>
    <row r="302" spans="1:40">
      <c r="A302" s="123" t="s">
        <v>83</v>
      </c>
      <c r="B302" s="36" t="s">
        <v>2464</v>
      </c>
      <c r="C302" s="117">
        <v>5325142</v>
      </c>
      <c r="D302" s="165">
        <v>45440</v>
      </c>
      <c r="E302" s="117" t="s">
        <v>108</v>
      </c>
      <c r="F302" s="36" t="str">
        <f>IFERROR(VLOOKUP(Table1[[#This Row],[Part Number]],DATABASE_FG!$C$6:D10291,2,FALSE)," ")</f>
        <v>094290032-0000</v>
      </c>
      <c r="G302" s="117">
        <f>IFERROR(_xlfn.XLOOKUP(Table1[[#This Row],[Part Number]],Table3[Part number],Table3[Drawing
 Revision]),"")</f>
        <v>0</v>
      </c>
      <c r="H302" s="118" cm="1">
        <f t="array" ref="H302">IFERROR(INDEX(PDB!$C:$AT,MATCH(E302,PDB!$B:$B,0),MATCH(YEAR(K302),0+PDB!$C$1:$AT$1,0)),"")</f>
        <v>0.65</v>
      </c>
      <c r="I302" s="36">
        <v>353</v>
      </c>
      <c r="J302" s="125">
        <f>IFERROR(Table1[[#This Row],[Quantity]]*Table1[[#This Row],[Price/Unit
EUR]]," ")</f>
        <v>229.45000000000002</v>
      </c>
      <c r="K302" s="126">
        <v>45930</v>
      </c>
      <c r="L302" s="36">
        <f>WEEKNUM(Table1[[#This Row],[ETA
As requested
dd.mm.yyyy]])</f>
        <v>40</v>
      </c>
      <c r="M302" s="36">
        <f>YEAR(Table1[[#This Row],[ETA
As requested
dd.mm.yyyy]])</f>
        <v>2025</v>
      </c>
      <c r="N302" s="36">
        <v>0</v>
      </c>
      <c r="O302" s="129" t="str">
        <f>IF(E302&lt;&gt;"", _xlfn.XLOOKUP(E302, DATABASE_FG!C:C, DATABASE_FG!F:F), " ")</f>
        <v>Strunjite</v>
      </c>
      <c r="P302" s="129">
        <f>IFERROR(INDEX(DATABASE_FG!$G$5:$G$367, MATCH(E302, DATABASE_FG!$C$5:$C$367, 0)), "Not Found")</f>
        <v>0</v>
      </c>
      <c r="Q302" s="36" t="s">
        <v>3035</v>
      </c>
      <c r="R302" s="125" t="s">
        <v>678</v>
      </c>
      <c r="S302" s="123">
        <f>Table1[[#This Row],[Quantity]]/48</f>
        <v>7.354166666666667</v>
      </c>
      <c r="T302" s="36"/>
      <c r="U302" s="36"/>
      <c r="V302" s="36"/>
      <c r="W302" s="129"/>
      <c r="X302" s="36"/>
      <c r="Y302" s="36"/>
      <c r="Z302" s="36"/>
      <c r="AA302" s="125" t="s">
        <v>121</v>
      </c>
      <c r="AB302" s="173">
        <v>45937</v>
      </c>
      <c r="AC302" s="119" t="s">
        <v>3780</v>
      </c>
      <c r="AD302" s="36">
        <f t="shared" si="38"/>
        <v>5325142</v>
      </c>
      <c r="AE302" s="36" t="str">
        <f t="shared" si="39"/>
        <v>AU.KB2045-B-0208-DRE</v>
      </c>
      <c r="AF302" s="36">
        <v>353</v>
      </c>
      <c r="AG302" s="120">
        <f t="shared" si="40"/>
        <v>229.45000000000002</v>
      </c>
      <c r="AH302" s="36"/>
      <c r="AI302" s="124"/>
      <c r="AJ302" s="122" t="s">
        <v>3781</v>
      </c>
      <c r="AK302" s="129" t="str">
        <f t="shared" ca="1" si="42"/>
        <v>Late</v>
      </c>
      <c r="AL302" s="268" t="str">
        <f t="shared" ref="AL302" si="44">TEXT(K302,"mmmm")</f>
        <v>September</v>
      </c>
      <c r="AM302" s="133">
        <f>YEAR(Table1[[#This Row],[ETA
As requested
dd.mm.yyyy]])</f>
        <v>2025</v>
      </c>
      <c r="AN302" s="191"/>
    </row>
    <row r="303" spans="1:40">
      <c r="A303" s="123" t="s">
        <v>83</v>
      </c>
      <c r="B303" s="36" t="s">
        <v>2464</v>
      </c>
      <c r="C303" s="117">
        <v>5325142</v>
      </c>
      <c r="D303" s="165">
        <v>45440</v>
      </c>
      <c r="E303" s="117" t="s">
        <v>108</v>
      </c>
      <c r="F303" s="36" t="str">
        <f>IFERROR(VLOOKUP(Table1[[#This Row],[Part Number]],DATABASE_FG!$C$6:D10292,2,FALSE)," ")</f>
        <v>094290032-0000</v>
      </c>
      <c r="G303" s="117">
        <f>IFERROR(_xlfn.XLOOKUP(Table1[[#This Row],[Part Number]],Table3[Part number],Table3[Drawing
 Revision]),"")</f>
        <v>0</v>
      </c>
      <c r="H303" s="118" cm="1">
        <f t="array" ref="H303">IFERROR(INDEX(PDB!$C:$AT,MATCH(E303,PDB!$B:$B,0),MATCH(YEAR(K303),0+PDB!$C$1:$AT$1,0)),"")</f>
        <v>0.65</v>
      </c>
      <c r="I303" s="36">
        <f>10000-632-470-150-129-1080-1080-300-598-1805-720-308-434-360-360-630-331-353</f>
        <v>260</v>
      </c>
      <c r="J303" s="125">
        <f>IFERROR(Table1[[#This Row],[Quantity]]*Table1[[#This Row],[Price/Unit
EUR]]," ")</f>
        <v>169</v>
      </c>
      <c r="K303" s="126">
        <v>45930</v>
      </c>
      <c r="L303" s="36">
        <f>WEEKNUM(Table1[[#This Row],[ETA
As requested
dd.mm.yyyy]])</f>
        <v>40</v>
      </c>
      <c r="M303" s="36">
        <f>YEAR(Table1[[#This Row],[ETA
As requested
dd.mm.yyyy]])</f>
        <v>2025</v>
      </c>
      <c r="N303" s="36">
        <v>0</v>
      </c>
      <c r="O303" s="129" t="str">
        <f>IF(E303&lt;&gt;"", _xlfn.XLOOKUP(E303, DATABASE_FG!C:C, DATABASE_FG!F:F), " ")</f>
        <v>Strunjite</v>
      </c>
      <c r="P303" s="129">
        <f>IFERROR(INDEX(DATABASE_FG!$G$5:$G$367, MATCH(E303, DATABASE_FG!$C$5:$C$367, 0)), "Not Found")</f>
        <v>0</v>
      </c>
      <c r="Q303" s="36" t="s">
        <v>3035</v>
      </c>
      <c r="R303" s="125" t="s">
        <v>678</v>
      </c>
      <c r="S303" s="123">
        <f>IFERROR(INDEX(DATABASE_FG!$L$5:$L$367, MATCH(E303, DATABASE_FG!$C$5:$C$367, 0)), " ")</f>
        <v>42</v>
      </c>
      <c r="T303" s="36" t="s">
        <v>679</v>
      </c>
      <c r="U303" s="36"/>
      <c r="V303" s="36"/>
      <c r="W303" s="129"/>
      <c r="X303" s="36"/>
      <c r="Y303" s="36"/>
      <c r="Z303" s="36"/>
      <c r="AA303" s="125" t="s">
        <v>121</v>
      </c>
      <c r="AB303" s="173">
        <v>45939</v>
      </c>
      <c r="AC303" s="119" t="s">
        <v>3782</v>
      </c>
      <c r="AD303" s="36">
        <f t="shared" si="38"/>
        <v>5325142</v>
      </c>
      <c r="AE303" s="36" t="str">
        <f t="shared" si="39"/>
        <v>AU.KB2045-B-0208-DRE</v>
      </c>
      <c r="AF303" s="36">
        <v>260</v>
      </c>
      <c r="AG303" s="120">
        <f t="shared" si="40"/>
        <v>169</v>
      </c>
      <c r="AH303" s="36"/>
      <c r="AI303" s="124"/>
      <c r="AJ303" s="122" t="s">
        <v>3783</v>
      </c>
      <c r="AK303" s="129" t="str">
        <f t="shared" ca="1" si="42"/>
        <v>Late</v>
      </c>
      <c r="AL303" s="268" t="str">
        <f t="shared" ref="AL303:AL334" si="45">TEXT(K303,"mmmm")</f>
        <v>September</v>
      </c>
      <c r="AM303" s="133">
        <f>YEAR(Table1[[#This Row],[ETA
As requested
dd.mm.yyyy]])</f>
        <v>2025</v>
      </c>
    </row>
    <row r="304" spans="1:40">
      <c r="A304" s="123" t="s">
        <v>83</v>
      </c>
      <c r="B304" s="36" t="s">
        <v>2464</v>
      </c>
      <c r="C304" s="117">
        <v>5325142</v>
      </c>
      <c r="D304" s="165">
        <v>45440</v>
      </c>
      <c r="E304" s="117" t="s">
        <v>108</v>
      </c>
      <c r="F304" s="36" t="str">
        <f>IFERROR(VLOOKUP(Table1[[#This Row],[Part Number]],DATABASE_FG!$C$6:D10293,2,FALSE)," ")</f>
        <v>094290032-0000</v>
      </c>
      <c r="G304" s="117">
        <f>IFERROR(_xlfn.XLOOKUP(Table1[[#This Row],[Part Number]],Table3[Part number],Table3[Drawing
 Revision]),"")</f>
        <v>0</v>
      </c>
      <c r="H304" s="118" cm="1">
        <f t="array" ref="H304">IFERROR(INDEX(PDB!$C:$AT,MATCH(E304,PDB!$B:$B,0),MATCH(YEAR(K304),0+PDB!$C$1:$AT$1,0)),"")</f>
        <v>0.65</v>
      </c>
      <c r="I304" s="36">
        <v>460</v>
      </c>
      <c r="J304" s="125">
        <f>IFERROR(Table1[[#This Row],[Quantity]]*Table1[[#This Row],[Price/Unit
EUR]]," ")</f>
        <v>299</v>
      </c>
      <c r="K304" s="126">
        <v>45960</v>
      </c>
      <c r="L304" s="36">
        <f>WEEKNUM(Table1[[#This Row],[ETA
As requested
dd.mm.yyyy]])</f>
        <v>44</v>
      </c>
      <c r="M304" s="36">
        <f>YEAR(Table1[[#This Row],[ETA
As requested
dd.mm.yyyy]])</f>
        <v>2025</v>
      </c>
      <c r="N304" s="36">
        <v>0</v>
      </c>
      <c r="O304" s="129" t="str">
        <f>IF(E304&lt;&gt;"", _xlfn.XLOOKUP(E304, DATABASE_FG!C:C, DATABASE_FG!F:F), " ")</f>
        <v>Strunjite</v>
      </c>
      <c r="P304" s="129">
        <f>IFERROR(INDEX(DATABASE_FG!$G$5:$G$367, MATCH(E304, DATABASE_FG!$C$5:$C$367, 0)), "Not Found")</f>
        <v>0</v>
      </c>
      <c r="Q304" s="36" t="s">
        <v>3035</v>
      </c>
      <c r="R304" s="125" t="s">
        <v>678</v>
      </c>
      <c r="S304" s="123">
        <f>Table1[[#This Row],[Quantity]]/48</f>
        <v>9.5833333333333339</v>
      </c>
      <c r="T304" s="36"/>
      <c r="U304" s="36"/>
      <c r="V304" s="36"/>
      <c r="W304" s="129"/>
      <c r="X304" s="36"/>
      <c r="Y304" s="36"/>
      <c r="Z304" s="36"/>
      <c r="AA304" s="125" t="s">
        <v>121</v>
      </c>
      <c r="AB304" s="173">
        <v>45939</v>
      </c>
      <c r="AC304" s="119" t="s">
        <v>3782</v>
      </c>
      <c r="AD304" s="36">
        <f t="shared" si="38"/>
        <v>5325142</v>
      </c>
      <c r="AE304" s="36" t="str">
        <f t="shared" si="39"/>
        <v>AU.KB2045-B-0208-DRE</v>
      </c>
      <c r="AF304" s="36">
        <v>460</v>
      </c>
      <c r="AG304" s="120">
        <f t="shared" si="40"/>
        <v>299</v>
      </c>
      <c r="AH304" s="36"/>
      <c r="AI304" s="124"/>
      <c r="AJ304" s="122" t="s">
        <v>3783</v>
      </c>
      <c r="AK304" s="129" t="str">
        <f t="shared" ca="1" si="42"/>
        <v>On Time</v>
      </c>
      <c r="AL304" s="268" t="str">
        <f t="shared" si="45"/>
        <v>October</v>
      </c>
      <c r="AM304" s="133">
        <f>YEAR(Table1[[#This Row],[ETA
As requested
dd.mm.yyyy]])</f>
        <v>2025</v>
      </c>
      <c r="AN304" s="191"/>
    </row>
    <row r="305" spans="1:40">
      <c r="A305" s="123" t="s">
        <v>83</v>
      </c>
      <c r="B305" s="36" t="s">
        <v>2464</v>
      </c>
      <c r="C305" s="117">
        <v>5325142</v>
      </c>
      <c r="D305" s="165">
        <v>45440</v>
      </c>
      <c r="E305" s="117" t="s">
        <v>108</v>
      </c>
      <c r="F305" s="36" t="str">
        <f>IFERROR(VLOOKUP(Table1[[#This Row],[Part Number]],DATABASE_FG!$C$6:D10294,2,FALSE)," ")</f>
        <v>094290032-0000</v>
      </c>
      <c r="G305" s="117">
        <f>IFERROR(_xlfn.XLOOKUP(Table1[[#This Row],[Part Number]],Table3[Part number],Table3[Drawing
 Revision]),"")</f>
        <v>0</v>
      </c>
      <c r="H305" s="118" cm="1">
        <f t="array" ref="H305">IFERROR(INDEX(PDB!$C:$AT,MATCH(E305,PDB!$B:$B,0),MATCH(YEAR(K305),0+PDB!$C$1:$AT$1,0)),"")</f>
        <v>0.65</v>
      </c>
      <c r="I305" s="36">
        <v>1475</v>
      </c>
      <c r="J305" s="125">
        <f>IFERROR(Table1[[#This Row],[Quantity]]*Table1[[#This Row],[Price/Unit
EUR]]," ")</f>
        <v>958.75</v>
      </c>
      <c r="K305" s="126">
        <v>45960</v>
      </c>
      <c r="L305" s="36">
        <f>WEEKNUM(Table1[[#This Row],[ETA
As requested
dd.mm.yyyy]])</f>
        <v>44</v>
      </c>
      <c r="M305" s="36">
        <f>YEAR(Table1[[#This Row],[ETA
As requested
dd.mm.yyyy]])</f>
        <v>2025</v>
      </c>
      <c r="N305" s="36">
        <v>0</v>
      </c>
      <c r="O305" s="129" t="str">
        <f>IF(E305&lt;&gt;"", _xlfn.XLOOKUP(E305, DATABASE_FG!C:C, DATABASE_FG!F:F), " ")</f>
        <v>Strunjite</v>
      </c>
      <c r="P305" s="129">
        <f>IFERROR(INDEX(DATABASE_FG!$G$5:$G$367, MATCH(E305, DATABASE_FG!$C$5:$C$367, 0)), "Not Found")</f>
        <v>0</v>
      </c>
      <c r="Q305" s="36" t="s">
        <v>3035</v>
      </c>
      <c r="R305" s="125" t="s">
        <v>678</v>
      </c>
      <c r="S305" s="123">
        <f>Table1[[#This Row],[Quantity]]/48</f>
        <v>30.729166666666668</v>
      </c>
      <c r="T305" s="36"/>
      <c r="U305" s="36"/>
      <c r="V305" s="36"/>
      <c r="W305" s="129"/>
      <c r="X305" s="36"/>
      <c r="Y305" s="36"/>
      <c r="Z305" s="36"/>
      <c r="AA305" s="125" t="s">
        <v>121</v>
      </c>
      <c r="AB305" s="173">
        <v>45944</v>
      </c>
      <c r="AC305" s="119" t="s">
        <v>4338</v>
      </c>
      <c r="AD305" s="36">
        <f t="shared" si="38"/>
        <v>5325142</v>
      </c>
      <c r="AE305" s="36" t="str">
        <f t="shared" si="39"/>
        <v>AU.KB2045-B-0208-DRE</v>
      </c>
      <c r="AF305" s="36">
        <v>1475</v>
      </c>
      <c r="AG305" s="120">
        <f t="shared" si="40"/>
        <v>958.75</v>
      </c>
      <c r="AH305" s="36"/>
      <c r="AI305" s="124"/>
      <c r="AJ305" s="122" t="s">
        <v>4343</v>
      </c>
      <c r="AK305" s="129" t="str">
        <f t="shared" ca="1" si="42"/>
        <v>On Time</v>
      </c>
      <c r="AL305" s="268" t="str">
        <f t="shared" si="45"/>
        <v>October</v>
      </c>
      <c r="AM305" s="133">
        <f>YEAR(Table1[[#This Row],[ETA
As requested
dd.mm.yyyy]])</f>
        <v>2025</v>
      </c>
      <c r="AN305" s="191"/>
    </row>
    <row r="306" spans="1:40">
      <c r="A306" s="123" t="s">
        <v>83</v>
      </c>
      <c r="B306" s="36" t="s">
        <v>2464</v>
      </c>
      <c r="C306" s="117">
        <v>5325142</v>
      </c>
      <c r="D306" s="165">
        <v>45440</v>
      </c>
      <c r="E306" s="117" t="s">
        <v>108</v>
      </c>
      <c r="F306" s="36" t="str">
        <f>IFERROR(VLOOKUP(Table1[[#This Row],[Part Number]],DATABASE_FG!$C$6:D10295,2,FALSE)," ")</f>
        <v>094290032-0000</v>
      </c>
      <c r="G306" s="117">
        <f>IFERROR(_xlfn.XLOOKUP(Table1[[#This Row],[Part Number]],Table3[Part number],Table3[Drawing
 Revision]),"")</f>
        <v>0</v>
      </c>
      <c r="H306" s="118" cm="1">
        <f t="array" ref="H306">IFERROR(INDEX(PDB!$C:$AT,MATCH(E306,PDB!$B:$B,0),MATCH(YEAR(K306),0+PDB!$C$1:$AT$1,0)),"")</f>
        <v>0.65</v>
      </c>
      <c r="I306" s="36">
        <v>517</v>
      </c>
      <c r="J306" s="125">
        <f>IFERROR(Table1[[#This Row],[Quantity]]*Table1[[#This Row],[Price/Unit
EUR]]," ")</f>
        <v>336.05</v>
      </c>
      <c r="K306" s="126">
        <v>45960</v>
      </c>
      <c r="L306" s="36">
        <f>WEEKNUM(Table1[[#This Row],[ETA
As requested
dd.mm.yyyy]])</f>
        <v>44</v>
      </c>
      <c r="M306" s="36">
        <f>YEAR(Table1[[#This Row],[ETA
As requested
dd.mm.yyyy]])</f>
        <v>2025</v>
      </c>
      <c r="N306" s="36">
        <v>0</v>
      </c>
      <c r="O306" s="129" t="str">
        <f>IF(E306&lt;&gt;"", _xlfn.XLOOKUP(E306, DATABASE_FG!C:C, DATABASE_FG!F:F), " ")</f>
        <v>Strunjite</v>
      </c>
      <c r="P306" s="129">
        <f>IFERROR(INDEX(DATABASE_FG!$G$5:$G$367, MATCH(E306, DATABASE_FG!$C$5:$C$367, 0)), "Not Found")</f>
        <v>0</v>
      </c>
      <c r="Q306" s="36" t="s">
        <v>3035</v>
      </c>
      <c r="R306" s="125" t="s">
        <v>678</v>
      </c>
      <c r="S306" s="123">
        <f>Table1[[#This Row],[Quantity]]/48</f>
        <v>10.770833333333334</v>
      </c>
      <c r="T306" s="36"/>
      <c r="U306" s="36"/>
      <c r="V306" s="36"/>
      <c r="W306" s="129"/>
      <c r="X306" s="36"/>
      <c r="Y306" s="36"/>
      <c r="Z306" s="36"/>
      <c r="AA306" s="125" t="s">
        <v>121</v>
      </c>
      <c r="AB306" s="173">
        <v>45946</v>
      </c>
      <c r="AC306" s="119" t="s">
        <v>4350</v>
      </c>
      <c r="AD306" s="36">
        <f t="shared" si="38"/>
        <v>5325142</v>
      </c>
      <c r="AE306" s="36" t="str">
        <f t="shared" si="39"/>
        <v>AU.KB2045-B-0208-DRE</v>
      </c>
      <c r="AF306" s="36">
        <v>517</v>
      </c>
      <c r="AG306" s="120">
        <f t="shared" si="40"/>
        <v>336.05</v>
      </c>
      <c r="AH306" s="36"/>
      <c r="AI306" s="124"/>
      <c r="AJ306" s="122" t="s">
        <v>4368</v>
      </c>
      <c r="AK306" s="129" t="str">
        <f t="shared" ca="1" si="42"/>
        <v>On Time</v>
      </c>
      <c r="AL306" s="268" t="str">
        <f t="shared" si="45"/>
        <v>October</v>
      </c>
      <c r="AM306" s="133">
        <f>YEAR(Table1[[#This Row],[ETA
As requested
dd.mm.yyyy]])</f>
        <v>2025</v>
      </c>
      <c r="AN306" s="191"/>
    </row>
    <row r="307" spans="1:40">
      <c r="A307" s="123" t="s">
        <v>83</v>
      </c>
      <c r="B307" s="36" t="s">
        <v>2464</v>
      </c>
      <c r="C307" s="117">
        <v>5325142</v>
      </c>
      <c r="D307" s="165">
        <v>45440</v>
      </c>
      <c r="E307" s="117" t="s">
        <v>108</v>
      </c>
      <c r="F307" s="36" t="str">
        <f>IFERROR(VLOOKUP(Table1[[#This Row],[Part Number]],DATABASE_FG!$C$6:D10296,2,FALSE)," ")</f>
        <v>094290032-0000</v>
      </c>
      <c r="G307" s="117">
        <f>IFERROR(_xlfn.XLOOKUP(Table1[[#This Row],[Part Number]],Table3[Part number],Table3[Drawing
 Revision]),"")</f>
        <v>0</v>
      </c>
      <c r="H307" s="118" cm="1">
        <f t="array" ref="H307">IFERROR(INDEX(PDB!$C:$AT,MATCH(E307,PDB!$B:$B,0),MATCH(YEAR(K307),0+PDB!$C$1:$AT$1,0)),"")</f>
        <v>0.65</v>
      </c>
      <c r="I307" s="36">
        <v>336</v>
      </c>
      <c r="J307" s="125">
        <f>IFERROR(Table1[[#This Row],[Quantity]]*Table1[[#This Row],[Price/Unit
EUR]]," ")</f>
        <v>218.4</v>
      </c>
      <c r="K307" s="126">
        <v>45960</v>
      </c>
      <c r="L307" s="36">
        <f>WEEKNUM(Table1[[#This Row],[ETA
As requested
dd.mm.yyyy]])</f>
        <v>44</v>
      </c>
      <c r="M307" s="36">
        <f>YEAR(Table1[[#This Row],[ETA
As requested
dd.mm.yyyy]])</f>
        <v>2025</v>
      </c>
      <c r="N307" s="36">
        <v>0</v>
      </c>
      <c r="O307" s="129" t="str">
        <f>IF(E307&lt;&gt;"", _xlfn.XLOOKUP(E307, DATABASE_FG!C:C, DATABASE_FG!F:F), " ")</f>
        <v>Strunjite</v>
      </c>
      <c r="P307" s="129">
        <f>IFERROR(INDEX(DATABASE_FG!$G$5:$G$367, MATCH(E307, DATABASE_FG!$C$5:$C$367, 0)), "Not Found")</f>
        <v>0</v>
      </c>
      <c r="Q307" s="36" t="s">
        <v>3035</v>
      </c>
      <c r="R307" s="125" t="s">
        <v>678</v>
      </c>
      <c r="S307" s="123">
        <f>Table1[[#This Row],[Quantity]]/48</f>
        <v>7</v>
      </c>
      <c r="T307" s="36"/>
      <c r="U307" s="36"/>
      <c r="V307" s="36"/>
      <c r="W307" s="129"/>
      <c r="X307" s="36"/>
      <c r="Y307" s="36"/>
      <c r="Z307" s="36"/>
      <c r="AA307" s="125" t="s">
        <v>121</v>
      </c>
      <c r="AB307" s="173">
        <v>45947</v>
      </c>
      <c r="AC307" s="119" t="s">
        <v>4359</v>
      </c>
      <c r="AD307" s="36">
        <f t="shared" si="38"/>
        <v>5325142</v>
      </c>
      <c r="AE307" s="36" t="str">
        <f t="shared" si="39"/>
        <v>AU.KB2045-B-0208-DRE</v>
      </c>
      <c r="AF307" s="36">
        <v>336</v>
      </c>
      <c r="AG307" s="120">
        <f t="shared" si="40"/>
        <v>218.4</v>
      </c>
      <c r="AH307" s="36"/>
      <c r="AI307" s="124"/>
      <c r="AJ307" s="122" t="s">
        <v>4370</v>
      </c>
      <c r="AK307" s="129" t="str">
        <f t="shared" ca="1" si="42"/>
        <v>On Time</v>
      </c>
      <c r="AL307" s="268" t="str">
        <f t="shared" si="45"/>
        <v>October</v>
      </c>
      <c r="AM307" s="133">
        <f>YEAR(Table1[[#This Row],[ETA
As requested
dd.mm.yyyy]])</f>
        <v>2025</v>
      </c>
      <c r="AN307" s="191"/>
    </row>
    <row r="308" spans="1:40">
      <c r="A308" s="123" t="s">
        <v>83</v>
      </c>
      <c r="B308" s="36" t="s">
        <v>2464</v>
      </c>
      <c r="C308" s="117">
        <v>5325142</v>
      </c>
      <c r="D308" s="165">
        <v>45440</v>
      </c>
      <c r="E308" s="117" t="s">
        <v>108</v>
      </c>
      <c r="F308" s="36" t="str">
        <f>IFERROR(VLOOKUP(Table1[[#This Row],[Part Number]],DATABASE_FG!$C$6:D10297,2,FALSE)," ")</f>
        <v>094290032-0000</v>
      </c>
      <c r="G308" s="117">
        <f>IFERROR(_xlfn.XLOOKUP(Table1[[#This Row],[Part Number]],Table3[Part number],Table3[Drawing
 Revision]),"")</f>
        <v>0</v>
      </c>
      <c r="H308" s="118" cm="1">
        <f t="array" ref="H308">IFERROR(INDEX(PDB!$C:$AT,MATCH(E308,PDB!$B:$B,0),MATCH(YEAR(K308),0+PDB!$C$1:$AT$1,0)),"")</f>
        <v>0.65</v>
      </c>
      <c r="I308" s="36">
        <v>784</v>
      </c>
      <c r="J308" s="125">
        <f>IFERROR(Table1[[#This Row],[Quantity]]*Table1[[#This Row],[Price/Unit
EUR]]," ")</f>
        <v>509.6</v>
      </c>
      <c r="K308" s="126">
        <v>45960</v>
      </c>
      <c r="L308" s="36">
        <f>WEEKNUM(Table1[[#This Row],[ETA
As requested
dd.mm.yyyy]])</f>
        <v>44</v>
      </c>
      <c r="M308" s="36">
        <f>YEAR(Table1[[#This Row],[ETA
As requested
dd.mm.yyyy]])</f>
        <v>2025</v>
      </c>
      <c r="N308" s="36">
        <v>0</v>
      </c>
      <c r="O308" s="129" t="str">
        <f>IF(E308&lt;&gt;"", _xlfn.XLOOKUP(E308, DATABASE_FG!C:C, DATABASE_FG!F:F), " ")</f>
        <v>Strunjite</v>
      </c>
      <c r="P308" s="129">
        <f>IFERROR(INDEX(DATABASE_FG!$G$5:$G$367, MATCH(E308, DATABASE_FG!$C$5:$C$367, 0)), "Not Found")</f>
        <v>0</v>
      </c>
      <c r="Q308" s="36" t="s">
        <v>3035</v>
      </c>
      <c r="R308" s="125" t="s">
        <v>678</v>
      </c>
      <c r="S308" s="123">
        <f>Table1[[#This Row],[Quantity]]/48</f>
        <v>16.333333333333332</v>
      </c>
      <c r="T308" s="36"/>
      <c r="U308" s="36"/>
      <c r="V308" s="36"/>
      <c r="W308" s="129"/>
      <c r="X308" s="36"/>
      <c r="Y308" s="36"/>
      <c r="Z308" s="36"/>
      <c r="AA308" s="125" t="s">
        <v>121</v>
      </c>
      <c r="AB308" s="172">
        <v>45951</v>
      </c>
      <c r="AC308" s="119" t="s">
        <v>4381</v>
      </c>
      <c r="AD308" s="36">
        <f t="shared" si="38"/>
        <v>5325142</v>
      </c>
      <c r="AE308" s="36" t="str">
        <f t="shared" si="39"/>
        <v>AU.KB2045-B-0208-DRE</v>
      </c>
      <c r="AF308" s="36">
        <v>784</v>
      </c>
      <c r="AG308" s="120">
        <f t="shared" si="40"/>
        <v>509.6</v>
      </c>
      <c r="AH308" s="36"/>
      <c r="AI308" s="124"/>
      <c r="AJ308" s="122" t="s">
        <v>4390</v>
      </c>
      <c r="AK308" s="129" t="str">
        <f t="shared" ca="1" si="42"/>
        <v>On Time</v>
      </c>
      <c r="AL308" s="268" t="str">
        <f t="shared" si="45"/>
        <v>October</v>
      </c>
      <c r="AM308" s="133">
        <f>YEAR(Table1[[#This Row],[ETA
As requested
dd.mm.yyyy]])</f>
        <v>2025</v>
      </c>
      <c r="AN308" s="191"/>
    </row>
    <row r="309" spans="1:40">
      <c r="A309" s="123" t="s">
        <v>83</v>
      </c>
      <c r="B309" s="36" t="s">
        <v>2464</v>
      </c>
      <c r="C309" s="117">
        <v>5325142</v>
      </c>
      <c r="D309" s="165">
        <v>45440</v>
      </c>
      <c r="E309" s="117" t="s">
        <v>108</v>
      </c>
      <c r="F309" s="36" t="str">
        <f>IFERROR(VLOOKUP(Table1[[#This Row],[Part Number]],DATABASE_FG!$C$6:D10298,2,FALSE)," ")</f>
        <v>094290032-0000</v>
      </c>
      <c r="G309" s="117">
        <f>IFERROR(_xlfn.XLOOKUP(Table1[[#This Row],[Part Number]],Table3[Part number],Table3[Drawing
 Revision]),"")</f>
        <v>0</v>
      </c>
      <c r="H309" s="118" cm="1">
        <f t="array" ref="H309">IFERROR(INDEX(PDB!$C:$AT,MATCH(E309,PDB!$B:$B,0),MATCH(YEAR(K309),0+PDB!$C$1:$AT$1,0)),"")</f>
        <v>0.65</v>
      </c>
      <c r="I309" s="36">
        <v>1409</v>
      </c>
      <c r="J309" s="125">
        <f>IFERROR(Table1[[#This Row],[Quantity]]*Table1[[#This Row],[Price/Unit
EUR]]," ")</f>
        <v>915.85</v>
      </c>
      <c r="K309" s="126">
        <v>45991</v>
      </c>
      <c r="L309" s="36">
        <f>WEEKNUM(Table1[[#This Row],[ETA
As requested
dd.mm.yyyy]])</f>
        <v>49</v>
      </c>
      <c r="M309" s="36">
        <f>YEAR(Table1[[#This Row],[ETA
As requested
dd.mm.yyyy]])</f>
        <v>2025</v>
      </c>
      <c r="N309" s="36">
        <v>0</v>
      </c>
      <c r="O309" s="129" t="str">
        <f>IF(E309&lt;&gt;"", _xlfn.XLOOKUP(E309, DATABASE_FG!C:C, DATABASE_FG!F:F), " ")</f>
        <v>Strunjite</v>
      </c>
      <c r="P309" s="129">
        <f>IFERROR(INDEX(DATABASE_FG!$G$5:$G$367, MATCH(E309, DATABASE_FG!$C$5:$C$367, 0)), "Not Found")</f>
        <v>0</v>
      </c>
      <c r="Q309" s="36" t="s">
        <v>3035</v>
      </c>
      <c r="R309" s="125" t="s">
        <v>678</v>
      </c>
      <c r="S309" s="123">
        <f>Table1[[#This Row],[Quantity]]/48</f>
        <v>29.354166666666668</v>
      </c>
      <c r="T309" s="36"/>
      <c r="U309" s="36"/>
      <c r="V309" s="36"/>
      <c r="W309" s="129"/>
      <c r="X309" s="36"/>
      <c r="Y309" s="36"/>
      <c r="Z309" s="36"/>
      <c r="AA309" s="125" t="s">
        <v>121</v>
      </c>
      <c r="AB309" s="172">
        <v>45965</v>
      </c>
      <c r="AC309" s="119" t="s">
        <v>4458</v>
      </c>
      <c r="AD309" s="36">
        <f>IF(NOT(ISBLANK(AC309)), C309, "")</f>
        <v>5325142</v>
      </c>
      <c r="AE309" s="36" t="str">
        <f>IF(NOT(ISBLANK(AC309)), E309, "")</f>
        <v>AU.KB2045-B-0208-DRE</v>
      </c>
      <c r="AF309" s="36">
        <v>1409</v>
      </c>
      <c r="AG309" s="120">
        <f>AF309*H309</f>
        <v>915.85</v>
      </c>
      <c r="AH309" s="36"/>
      <c r="AI309" s="124"/>
      <c r="AJ309" s="122" t="s">
        <v>4475</v>
      </c>
      <c r="AK309" s="129" t="str">
        <f ca="1">IF(AB309="", IF(K309 &lt; TODAY(), "Late", ""), IF(AB309 &lt;= K309 + 2, "On Time", "Late"))</f>
        <v>On Time</v>
      </c>
      <c r="AL309" s="268" t="str">
        <f>TEXT(K309,"mmmm")</f>
        <v>November</v>
      </c>
      <c r="AM309" s="133">
        <f>YEAR(Table1[[#This Row],[ETA
As requested
dd.mm.yyyy]])</f>
        <v>2025</v>
      </c>
      <c r="AN309" s="191"/>
    </row>
    <row r="310" spans="1:40">
      <c r="A310" s="123" t="s">
        <v>83</v>
      </c>
      <c r="B310" s="36" t="s">
        <v>2464</v>
      </c>
      <c r="C310" s="117">
        <v>5325142</v>
      </c>
      <c r="D310" s="165">
        <v>45440</v>
      </c>
      <c r="E310" s="117" t="s">
        <v>108</v>
      </c>
      <c r="F310" s="36" t="str">
        <f>IFERROR(VLOOKUP(Table1[[#This Row],[Part Number]],DATABASE_FG!$C$6:D10299,2,FALSE)," ")</f>
        <v>094290032-0000</v>
      </c>
      <c r="G310" s="117">
        <f>IFERROR(_xlfn.XLOOKUP(Table1[[#This Row],[Part Number]],Table3[Part number],Table3[Drawing
 Revision]),"")</f>
        <v>0</v>
      </c>
      <c r="H310" s="118" cm="1">
        <f t="array" ref="H310">IFERROR(INDEX(PDB!$C:$AT,MATCH(E310,PDB!$B:$B,0),MATCH(YEAR(K310),0+PDB!$C$1:$AT$1,0)),"")</f>
        <v>0.65</v>
      </c>
      <c r="I310" s="36">
        <f>1707-1409-185</f>
        <v>113</v>
      </c>
      <c r="J310" s="125">
        <f>IFERROR(Table1[[#This Row],[Quantity]]*Table1[[#This Row],[Price/Unit
EUR]]," ")</f>
        <v>73.45</v>
      </c>
      <c r="K310" s="126">
        <v>45991</v>
      </c>
      <c r="L310" s="36">
        <f>WEEKNUM(Table1[[#This Row],[ETA
As requested
dd.mm.yyyy]])</f>
        <v>49</v>
      </c>
      <c r="M310" s="36">
        <f>YEAR(Table1[[#This Row],[ETA
As requested
dd.mm.yyyy]])</f>
        <v>2025</v>
      </c>
      <c r="N310" s="36">
        <v>0</v>
      </c>
      <c r="O310" s="129" t="str">
        <f>IF(E310&lt;&gt;"", _xlfn.XLOOKUP(E310, DATABASE_FG!C:C, DATABASE_FG!F:F), " ")</f>
        <v>Strunjite</v>
      </c>
      <c r="P310" s="129">
        <f>IFERROR(INDEX(DATABASE_FG!$G$5:$G$367, MATCH(E310, DATABASE_FG!$C$5:$C$367, 0)), "Not Found")</f>
        <v>0</v>
      </c>
      <c r="Q310" s="36" t="s">
        <v>3035</v>
      </c>
      <c r="R310" s="125" t="s">
        <v>678</v>
      </c>
      <c r="S310" s="123">
        <f>IFERROR(INDEX(DATABASE_FG!$L$5:$L$367, MATCH(E310, DATABASE_FG!$C$5:$C$367, 0)), " ")</f>
        <v>42</v>
      </c>
      <c r="T310" s="36" t="s">
        <v>679</v>
      </c>
      <c r="U310" s="36"/>
      <c r="V310" s="36"/>
      <c r="W310" s="129"/>
      <c r="X310" s="36"/>
      <c r="Y310" s="36"/>
      <c r="Z310" s="36"/>
      <c r="AA310" s="125" t="s">
        <v>3</v>
      </c>
      <c r="AB310" s="172"/>
      <c r="AC310" s="119"/>
      <c r="AD310" s="36" t="str">
        <f t="shared" si="38"/>
        <v/>
      </c>
      <c r="AE310" s="36" t="str">
        <f t="shared" si="39"/>
        <v/>
      </c>
      <c r="AF310" s="36"/>
      <c r="AG310" s="120">
        <f t="shared" si="40"/>
        <v>0</v>
      </c>
      <c r="AH310" s="36"/>
      <c r="AI310" s="124"/>
      <c r="AJ310" s="122"/>
      <c r="AK310" s="129" t="str">
        <f t="shared" ca="1" si="42"/>
        <v/>
      </c>
      <c r="AL310" s="268" t="str">
        <f t="shared" si="45"/>
        <v>November</v>
      </c>
      <c r="AM310" s="133">
        <f>YEAR(Table1[[#This Row],[ETA
As requested
dd.mm.yyyy]])</f>
        <v>2025</v>
      </c>
    </row>
    <row r="311" spans="1:40">
      <c r="A311" s="123" t="s">
        <v>83</v>
      </c>
      <c r="B311" s="36" t="s">
        <v>2464</v>
      </c>
      <c r="C311" s="117">
        <v>5325142</v>
      </c>
      <c r="D311" s="165">
        <v>45440</v>
      </c>
      <c r="E311" s="117" t="s">
        <v>108</v>
      </c>
      <c r="F311" s="36" t="str">
        <f>IFERROR(VLOOKUP(Table1[[#This Row],[Part Number]],DATABASE_FG!$C$6:D10300,2,FALSE)," ")</f>
        <v>094290032-0000</v>
      </c>
      <c r="G311" s="117">
        <f>IFERROR(_xlfn.XLOOKUP(Table1[[#This Row],[Part Number]],Table3[Part number],Table3[Drawing
 Revision]),"")</f>
        <v>0</v>
      </c>
      <c r="H311" s="118" cm="1">
        <f t="array" ref="H311">IFERROR(INDEX(PDB!$C:$AT,MATCH(E311,PDB!$B:$B,0),MATCH(YEAR(K311),0+PDB!$C$1:$AT$1,0)),"")</f>
        <v>0.65</v>
      </c>
      <c r="I311" s="36">
        <v>5000</v>
      </c>
      <c r="J311" s="125">
        <f>IFERROR(Table1[[#This Row],[Quantity]]*Table1[[#This Row],[Price/Unit
EUR]]," ")</f>
        <v>3250</v>
      </c>
      <c r="K311" s="126">
        <v>46011</v>
      </c>
      <c r="L311" s="36">
        <f>WEEKNUM(Table1[[#This Row],[ETA
As requested
dd.mm.yyyy]])</f>
        <v>51</v>
      </c>
      <c r="M311" s="36">
        <f>YEAR(Table1[[#This Row],[ETA
As requested
dd.mm.yyyy]])</f>
        <v>2025</v>
      </c>
      <c r="N311" s="36">
        <v>0</v>
      </c>
      <c r="O311" s="129" t="str">
        <f>IF(E311&lt;&gt;"", _xlfn.XLOOKUP(E311, DATABASE_FG!C:C, DATABASE_FG!F:F), " ")</f>
        <v>Strunjite</v>
      </c>
      <c r="P311" s="129">
        <f>IFERROR(INDEX(DATABASE_FG!$G$5:$G$367, MATCH(E311, DATABASE_FG!$C$5:$C$367, 0)), "Not Found")</f>
        <v>0</v>
      </c>
      <c r="Q311" s="36" t="s">
        <v>3035</v>
      </c>
      <c r="R311" s="125" t="s">
        <v>678</v>
      </c>
      <c r="S311" s="123">
        <f>IFERROR(INDEX(DATABASE_FG!$L$5:$L$367, MATCH(E311, DATABASE_FG!$C$5:$C$367, 0)), " ")</f>
        <v>42</v>
      </c>
      <c r="T311" s="36" t="s">
        <v>679</v>
      </c>
      <c r="U311" s="36"/>
      <c r="V311" s="36"/>
      <c r="W311" s="129"/>
      <c r="X311" s="36"/>
      <c r="Y311" s="36"/>
      <c r="Z311" s="36"/>
      <c r="AA311" s="125" t="s">
        <v>3</v>
      </c>
      <c r="AB311" s="172"/>
      <c r="AC311" s="119"/>
      <c r="AD311" s="36" t="str">
        <f t="shared" si="38"/>
        <v/>
      </c>
      <c r="AE311" s="36" t="str">
        <f t="shared" si="39"/>
        <v/>
      </c>
      <c r="AF311" s="36"/>
      <c r="AG311" s="120">
        <f t="shared" si="40"/>
        <v>0</v>
      </c>
      <c r="AH311" s="36"/>
      <c r="AI311" s="124"/>
      <c r="AJ311" s="122"/>
      <c r="AK311" s="129" t="str">
        <f t="shared" ca="1" si="42"/>
        <v/>
      </c>
      <c r="AL311" s="268" t="str">
        <f t="shared" si="45"/>
        <v>December</v>
      </c>
      <c r="AM311" s="133">
        <f>YEAR(Table1[[#This Row],[ETA
As requested
dd.mm.yyyy]])</f>
        <v>2025</v>
      </c>
    </row>
    <row r="312" spans="1:40" hidden="1">
      <c r="A312" s="123" t="s">
        <v>83</v>
      </c>
      <c r="B312" s="36" t="s">
        <v>1170</v>
      </c>
      <c r="C312" s="117">
        <v>36508670</v>
      </c>
      <c r="D312" s="165">
        <v>45378</v>
      </c>
      <c r="E312" s="117" t="s">
        <v>109</v>
      </c>
      <c r="F312" s="36" t="str">
        <f>IFERROR(VLOOKUP(Table1[[#This Row],[Part Number]],DATABASE_FG!$C$6:D10301,2,FALSE)," ")</f>
        <v xml:space="preserve">094290350-0000 </v>
      </c>
      <c r="G312" s="117">
        <f>IFERROR(_xlfn.XLOOKUP(Table1[[#This Row],[Part Number]],Table3[Part number],Table3[Drawing
 Revision]),"")</f>
        <v>0</v>
      </c>
      <c r="H312" s="118" cm="1">
        <f t="array" ref="H312">IFERROR(INDEX(PDB!$C:$AT,MATCH(E312,PDB!$B:$B,0),MATCH(YEAR(K312),0+PDB!$C$1:$AT$1,0)),"")</f>
        <v>0.94</v>
      </c>
      <c r="I312" s="36">
        <v>2500</v>
      </c>
      <c r="J312" s="125">
        <f>IFERROR(Table1[[#This Row],[Quantity]]*Table1[[#This Row],[Price/Unit
EUR]]," ")</f>
        <v>2350</v>
      </c>
      <c r="K312" s="126">
        <v>45384</v>
      </c>
      <c r="L312" s="36">
        <f>WEEKNUM(Table1[[#This Row],[ETA
As requested
dd.mm.yyyy]])</f>
        <v>14</v>
      </c>
      <c r="M312" s="36">
        <f>YEAR(Table1[[#This Row],[ETA
As requested
dd.mm.yyyy]])</f>
        <v>2024</v>
      </c>
      <c r="N312" s="36">
        <f>IFERROR(INDEX(DATABASE_FG!$H$5:$H$367, MATCH(E312, DATABASE_FG!$C$5:$C$367, 0)), " ")</f>
        <v>0</v>
      </c>
      <c r="O312" s="129" t="str">
        <f>IF(E312&lt;&gt;"", _xlfn.XLOOKUP(E312, DATABASE_FG!C:C, DATABASE_FG!F:F), " ")</f>
        <v>Strunjite</v>
      </c>
      <c r="P312" s="129">
        <f>IFERROR(INDEX(DATABASE_FG!$G$5:$G$367, MATCH(E312, DATABASE_FG!$C$5:$C$367, 0)), "Not Found")</f>
        <v>0</v>
      </c>
      <c r="Q312" s="36"/>
      <c r="R312" s="125" t="s">
        <v>678</v>
      </c>
      <c r="S312" s="123">
        <f>IFERROR(INDEX(DATABASE_FG!$L$5:$L$367, MATCH(E312, DATABASE_FG!$C$5:$C$367, 0)), " ")</f>
        <v>42</v>
      </c>
      <c r="T312" s="36" t="s">
        <v>679</v>
      </c>
      <c r="U312" s="36"/>
      <c r="V312" s="36"/>
      <c r="W312" s="129"/>
      <c r="X312" s="36"/>
      <c r="Y312" s="36"/>
      <c r="Z312" s="36">
        <v>241313</v>
      </c>
      <c r="AA312" s="125" t="s">
        <v>121</v>
      </c>
      <c r="AB312" s="173">
        <v>45384</v>
      </c>
      <c r="AC312" s="119">
        <v>2024299</v>
      </c>
      <c r="AD312" s="36">
        <f t="shared" si="38"/>
        <v>36508670</v>
      </c>
      <c r="AE312" s="36" t="str">
        <f t="shared" si="39"/>
        <v>AU.KB3068-B-0208-DRE</v>
      </c>
      <c r="AF312" s="36">
        <v>2000</v>
      </c>
      <c r="AG312" s="120">
        <f t="shared" si="40"/>
        <v>1880</v>
      </c>
      <c r="AH312" s="36"/>
      <c r="AI312" s="124"/>
      <c r="AJ312" s="122" t="s">
        <v>1260</v>
      </c>
      <c r="AK312" s="129" t="str">
        <f t="shared" ca="1" si="42"/>
        <v>On Time</v>
      </c>
      <c r="AL312" s="268" t="str">
        <f t="shared" si="45"/>
        <v>April</v>
      </c>
      <c r="AM312" s="133">
        <f>YEAR(Table1[[#This Row],[ETA
As requested
dd.mm.yyyy]])</f>
        <v>2024</v>
      </c>
    </row>
    <row r="313" spans="1:40" hidden="1">
      <c r="A313" s="123" t="s">
        <v>83</v>
      </c>
      <c r="B313" s="36" t="s">
        <v>1170</v>
      </c>
      <c r="C313" s="117">
        <v>36508670</v>
      </c>
      <c r="D313" s="165">
        <v>45378</v>
      </c>
      <c r="E313" s="117" t="s">
        <v>109</v>
      </c>
      <c r="F313" s="36" t="str">
        <f>IFERROR(VLOOKUP(Table1[[#This Row],[Part Number]],DATABASE_FG!$C$6:D10302,2,FALSE)," ")</f>
        <v xml:space="preserve">094290350-0000 </v>
      </c>
      <c r="G313" s="117">
        <f>IFERROR(_xlfn.XLOOKUP(Table1[[#This Row],[Part Number]],Table3[Part number],Table3[Drawing
 Revision]),"")</f>
        <v>0</v>
      </c>
      <c r="H313" s="118" cm="1">
        <f t="array" ref="H313">IFERROR(INDEX(PDB!$C:$AT,MATCH(E313,PDB!$B:$B,0),MATCH(YEAR(K313),0+PDB!$C$1:$AT$1,0)),"")</f>
        <v>0.94</v>
      </c>
      <c r="I313" s="36"/>
      <c r="J313" s="125">
        <f>IFERROR(Table1[[#This Row],[Quantity]]*Table1[[#This Row],[Price/Unit
EUR]]," ")</f>
        <v>0</v>
      </c>
      <c r="K313" s="126">
        <v>45385</v>
      </c>
      <c r="L313" s="36">
        <f>WEEKNUM(Table1[[#This Row],[ETA
As requested
dd.mm.yyyy]])</f>
        <v>14</v>
      </c>
      <c r="M313" s="36">
        <f>YEAR(Table1[[#This Row],[ETA
As requested
dd.mm.yyyy]])</f>
        <v>2024</v>
      </c>
      <c r="N313" s="36">
        <f>IFERROR(INDEX(DATABASE_FG!$H$5:$H$367, MATCH(E313, DATABASE_FG!$C$5:$C$367, 0)), " ")</f>
        <v>0</v>
      </c>
      <c r="O313" s="129" t="str">
        <f>IF(E313&lt;&gt;"", _xlfn.XLOOKUP(E313, DATABASE_FG!C:C, DATABASE_FG!F:F), " ")</f>
        <v>Strunjite</v>
      </c>
      <c r="P313" s="129">
        <f>IFERROR(INDEX(DATABASE_FG!$G$5:$G$367, MATCH(E313, DATABASE_FG!$C$5:$C$367, 0)), "Not Found")</f>
        <v>0</v>
      </c>
      <c r="Q313" s="36"/>
      <c r="R313" s="125" t="s">
        <v>678</v>
      </c>
      <c r="S313" s="123">
        <f>IFERROR(INDEX(DATABASE_FG!$L$5:$L$367, MATCH(E313, DATABASE_FG!$C$5:$C$367, 0)), " ")</f>
        <v>42</v>
      </c>
      <c r="T313" s="36" t="s">
        <v>679</v>
      </c>
      <c r="U313" s="36"/>
      <c r="V313" s="36"/>
      <c r="W313" s="129"/>
      <c r="X313" s="36"/>
      <c r="Y313" s="36"/>
      <c r="Z313" s="36"/>
      <c r="AA313" s="125" t="s">
        <v>121</v>
      </c>
      <c r="AB313" s="173">
        <v>45386</v>
      </c>
      <c r="AC313" s="119">
        <v>2024304</v>
      </c>
      <c r="AD313" s="36">
        <f t="shared" si="38"/>
        <v>36508670</v>
      </c>
      <c r="AE313" s="36" t="str">
        <f t="shared" si="39"/>
        <v>AU.KB3068-B-0208-DRE</v>
      </c>
      <c r="AF313" s="36">
        <v>500</v>
      </c>
      <c r="AG313" s="120">
        <f t="shared" si="40"/>
        <v>470</v>
      </c>
      <c r="AH313" s="36"/>
      <c r="AI313" s="124"/>
      <c r="AJ313" s="122" t="s">
        <v>1274</v>
      </c>
      <c r="AK313" s="129" t="str">
        <f t="shared" ca="1" si="42"/>
        <v>On Time</v>
      </c>
      <c r="AL313" s="268" t="str">
        <f t="shared" si="45"/>
        <v>April</v>
      </c>
      <c r="AM313" s="133">
        <f>YEAR(Table1[[#This Row],[ETA
As requested
dd.mm.yyyy]])</f>
        <v>2024</v>
      </c>
    </row>
    <row r="314" spans="1:40" hidden="1">
      <c r="A314" s="123" t="s">
        <v>83</v>
      </c>
      <c r="B314" s="36" t="s">
        <v>1170</v>
      </c>
      <c r="C314" s="117">
        <v>36570617</v>
      </c>
      <c r="D314" s="165">
        <v>45398</v>
      </c>
      <c r="E314" s="117" t="s">
        <v>109</v>
      </c>
      <c r="F314" s="36" t="str">
        <f>IFERROR(VLOOKUP(Table1[[#This Row],[Part Number]],DATABASE_FG!$C$6:D10303,2,FALSE)," ")</f>
        <v xml:space="preserve">094290350-0000 </v>
      </c>
      <c r="G314" s="117">
        <f>IFERROR(_xlfn.XLOOKUP(Table1[[#This Row],[Part Number]],Table3[Part number],Table3[Drawing
 Revision]),"")</f>
        <v>0</v>
      </c>
      <c r="H314" s="118" cm="1">
        <f t="array" ref="H314">IFERROR(INDEX(PDB!$C:$AT,MATCH(E314,PDB!$B:$B,0),MATCH(YEAR(K314),0+PDB!$C$1:$AT$1,0)),"")</f>
        <v>0.94</v>
      </c>
      <c r="I314" s="36">
        <v>700</v>
      </c>
      <c r="J314" s="125">
        <f>IFERROR(Table1[[#This Row],[Quantity]]*Table1[[#This Row],[Price/Unit
EUR]]," ")</f>
        <v>658</v>
      </c>
      <c r="K314" s="126">
        <v>45404</v>
      </c>
      <c r="L314" s="36">
        <f>WEEKNUM(Table1[[#This Row],[ETA
As requested
dd.mm.yyyy]])</f>
        <v>17</v>
      </c>
      <c r="M314" s="36">
        <f>YEAR(Table1[[#This Row],[ETA
As requested
dd.mm.yyyy]])</f>
        <v>2024</v>
      </c>
      <c r="N314" s="36">
        <f>IFERROR(INDEX(DATABASE_FG!$H$5:$H$367, MATCH(E314, DATABASE_FG!$C$5:$C$367, 0)), " ")</f>
        <v>0</v>
      </c>
      <c r="O314" s="129" t="str">
        <f>IF(E314&lt;&gt;"", _xlfn.XLOOKUP(E314, DATABASE_FG!C:C, DATABASE_FG!F:F), " ")</f>
        <v>Strunjite</v>
      </c>
      <c r="P314" s="129">
        <f>IFERROR(INDEX(DATABASE_FG!$G$5:$G$367, MATCH(E314, DATABASE_FG!$C$5:$C$367, 0)), "Not Found")</f>
        <v>0</v>
      </c>
      <c r="Q314" s="36"/>
      <c r="R314" s="125" t="s">
        <v>678</v>
      </c>
      <c r="S314" s="123">
        <f>IFERROR(INDEX(DATABASE_FG!$L$5:$L$367, MATCH(E314, DATABASE_FG!$C$5:$C$367, 0)), " ")</f>
        <v>42</v>
      </c>
      <c r="T314" s="36" t="s">
        <v>679</v>
      </c>
      <c r="U314" s="36"/>
      <c r="V314" s="36"/>
      <c r="W314" s="129"/>
      <c r="X314" s="36"/>
      <c r="Y314" s="36"/>
      <c r="Z314" s="36">
        <v>241313</v>
      </c>
      <c r="AA314" s="125" t="s">
        <v>677</v>
      </c>
      <c r="AB314" s="173">
        <v>45398</v>
      </c>
      <c r="AC314" s="119">
        <v>2024368</v>
      </c>
      <c r="AD314" s="36">
        <f t="shared" si="38"/>
        <v>36570617</v>
      </c>
      <c r="AE314" s="36" t="str">
        <f t="shared" si="39"/>
        <v>AU.KB3068-B-0208-DRE</v>
      </c>
      <c r="AF314" s="36">
        <v>700</v>
      </c>
      <c r="AG314" s="120">
        <f t="shared" si="40"/>
        <v>658</v>
      </c>
      <c r="AH314" s="36"/>
      <c r="AI314" s="124"/>
      <c r="AJ314" s="122" t="s">
        <v>1383</v>
      </c>
      <c r="AK314" s="129" t="str">
        <f t="shared" ca="1" si="42"/>
        <v>On Time</v>
      </c>
      <c r="AL314" s="268" t="str">
        <f t="shared" si="45"/>
        <v>April</v>
      </c>
      <c r="AM314" s="133">
        <f>YEAR(Table1[[#This Row],[ETA
As requested
dd.mm.yyyy]])</f>
        <v>2024</v>
      </c>
    </row>
    <row r="315" spans="1:40" hidden="1">
      <c r="A315" s="123" t="s">
        <v>83</v>
      </c>
      <c r="B315" s="36" t="s">
        <v>1170</v>
      </c>
      <c r="C315" s="117">
        <v>36636071</v>
      </c>
      <c r="D315" s="165">
        <v>45400</v>
      </c>
      <c r="E315" s="117" t="s">
        <v>109</v>
      </c>
      <c r="F315" s="36" t="str">
        <f>IFERROR(VLOOKUP(Table1[[#This Row],[Part Number]],DATABASE_FG!$C$6:D10304,2,FALSE)," ")</f>
        <v xml:space="preserve">094290350-0000 </v>
      </c>
      <c r="G315" s="117">
        <f>IFERROR(_xlfn.XLOOKUP(Table1[[#This Row],[Part Number]],Table3[Part number],Table3[Drawing
 Revision]),"")</f>
        <v>0</v>
      </c>
      <c r="H315" s="118" cm="1">
        <f t="array" ref="H315">IFERROR(INDEX(PDB!$C:$AT,MATCH(E315,PDB!$B:$B,0),MATCH(YEAR(K315),0+PDB!$C$1:$AT$1,0)),"")</f>
        <v>0.94</v>
      </c>
      <c r="I315" s="36">
        <v>1500</v>
      </c>
      <c r="J315" s="125">
        <f>IFERROR(Table1[[#This Row],[Quantity]]*Table1[[#This Row],[Price/Unit
EUR]]," ")</f>
        <v>1410</v>
      </c>
      <c r="K315" s="126">
        <v>45412</v>
      </c>
      <c r="L315" s="36">
        <f>WEEKNUM(Table1[[#This Row],[ETA
As requested
dd.mm.yyyy]])</f>
        <v>18</v>
      </c>
      <c r="M315" s="36">
        <f>YEAR(Table1[[#This Row],[ETA
As requested
dd.mm.yyyy]])</f>
        <v>2024</v>
      </c>
      <c r="N315" s="36">
        <f>IFERROR(INDEX(DATABASE_FG!$H$5:$H$367, MATCH(E315, DATABASE_FG!$C$5:$C$367, 0)), " ")</f>
        <v>0</v>
      </c>
      <c r="O315" s="129" t="str">
        <f>IF(E315&lt;&gt;"", _xlfn.XLOOKUP(E315, DATABASE_FG!C:C, DATABASE_FG!F:F), " ")</f>
        <v>Strunjite</v>
      </c>
      <c r="P315" s="129">
        <f>IFERROR(INDEX(DATABASE_FG!$G$5:$G$367, MATCH(E315, DATABASE_FG!$C$5:$C$367, 0)), "Not Found")</f>
        <v>0</v>
      </c>
      <c r="Q315" s="36"/>
      <c r="R315" s="125" t="s">
        <v>678</v>
      </c>
      <c r="S315" s="123">
        <f>IFERROR(INDEX(DATABASE_FG!$L$5:$L$367, MATCH(E315, DATABASE_FG!$C$5:$C$367, 0)), " ")</f>
        <v>42</v>
      </c>
      <c r="T315" s="36" t="s">
        <v>679</v>
      </c>
      <c r="U315" s="36"/>
      <c r="V315" s="36"/>
      <c r="W315" s="129"/>
      <c r="X315" s="36"/>
      <c r="Y315" s="36"/>
      <c r="Z315" s="36">
        <v>241313</v>
      </c>
      <c r="AA315" s="125" t="s">
        <v>677</v>
      </c>
      <c r="AB315" s="173">
        <v>45419</v>
      </c>
      <c r="AC315" s="119">
        <v>2024433</v>
      </c>
      <c r="AD315" s="36">
        <f t="shared" si="38"/>
        <v>36636071</v>
      </c>
      <c r="AE315" s="36" t="str">
        <f t="shared" si="39"/>
        <v>AU.KB3068-B-0208-DRE</v>
      </c>
      <c r="AF315" s="36">
        <v>1500</v>
      </c>
      <c r="AG315" s="120">
        <f t="shared" si="40"/>
        <v>1410</v>
      </c>
      <c r="AH315" s="36"/>
      <c r="AI315" s="124"/>
      <c r="AJ315" s="122" t="s">
        <v>1417</v>
      </c>
      <c r="AK315" s="129" t="str">
        <f t="shared" ca="1" si="42"/>
        <v>Late</v>
      </c>
      <c r="AL315" s="268" t="str">
        <f t="shared" si="45"/>
        <v>April</v>
      </c>
      <c r="AM315" s="133">
        <f>YEAR(Table1[[#This Row],[ETA
As requested
dd.mm.yyyy]])</f>
        <v>2024</v>
      </c>
    </row>
    <row r="316" spans="1:40" hidden="1">
      <c r="A316" s="123" t="s">
        <v>83</v>
      </c>
      <c r="B316" s="36" t="s">
        <v>1170</v>
      </c>
      <c r="C316" s="117">
        <v>36636074</v>
      </c>
      <c r="D316" s="165">
        <v>45400</v>
      </c>
      <c r="E316" s="117" t="s">
        <v>109</v>
      </c>
      <c r="F316" s="36" t="str">
        <f>IFERROR(VLOOKUP(Table1[[#This Row],[Part Number]],DATABASE_FG!$C$6:D10305,2,FALSE)," ")</f>
        <v xml:space="preserve">094290350-0000 </v>
      </c>
      <c r="G316" s="117">
        <f>IFERROR(_xlfn.XLOOKUP(Table1[[#This Row],[Part Number]],Table3[Part number],Table3[Drawing
 Revision]),"")</f>
        <v>0</v>
      </c>
      <c r="H316" s="118" cm="1">
        <f t="array" ref="H316">IFERROR(INDEX(PDB!$C:$AT,MATCH(E316,PDB!$B:$B,0),MATCH(YEAR(K316),0+PDB!$C$1:$AT$1,0)),"")</f>
        <v>0.94</v>
      </c>
      <c r="I316" s="36">
        <v>1500</v>
      </c>
      <c r="J316" s="125">
        <f>IFERROR(Table1[[#This Row],[Quantity]]*Table1[[#This Row],[Price/Unit
EUR]]," ")</f>
        <v>1410</v>
      </c>
      <c r="K316" s="126">
        <v>45419</v>
      </c>
      <c r="L316" s="36">
        <f>WEEKNUM(Table1[[#This Row],[ETA
As requested
dd.mm.yyyy]])</f>
        <v>19</v>
      </c>
      <c r="M316" s="36">
        <f>YEAR(Table1[[#This Row],[ETA
As requested
dd.mm.yyyy]])</f>
        <v>2024</v>
      </c>
      <c r="N316" s="36">
        <f>IFERROR(INDEX(DATABASE_FG!$H$5:$H$367, MATCH(E316, DATABASE_FG!$C$5:$C$367, 0)), " ")</f>
        <v>0</v>
      </c>
      <c r="O316" s="129" t="str">
        <f>IF(E316&lt;&gt;"", _xlfn.XLOOKUP(E316, DATABASE_FG!C:C, DATABASE_FG!F:F), " ")</f>
        <v>Strunjite</v>
      </c>
      <c r="P316" s="129">
        <f>IFERROR(INDEX(DATABASE_FG!$G$5:$G$367, MATCH(E316, DATABASE_FG!$C$5:$C$367, 0)), "Not Found")</f>
        <v>0</v>
      </c>
      <c r="Q316" s="36"/>
      <c r="R316" s="125" t="s">
        <v>678</v>
      </c>
      <c r="S316" s="123">
        <f>IFERROR(INDEX(DATABASE_FG!$L$5:$L$367, MATCH(E316, DATABASE_FG!$C$5:$C$367, 0)), " ")</f>
        <v>42</v>
      </c>
      <c r="T316" s="36" t="s">
        <v>679</v>
      </c>
      <c r="U316" s="36"/>
      <c r="V316" s="36"/>
      <c r="W316" s="129"/>
      <c r="X316" s="36"/>
      <c r="Y316" s="36"/>
      <c r="Z316" s="36">
        <v>241809</v>
      </c>
      <c r="AA316" s="125" t="s">
        <v>121</v>
      </c>
      <c r="AB316" s="173">
        <v>45421</v>
      </c>
      <c r="AC316" s="119">
        <v>2024448</v>
      </c>
      <c r="AD316" s="36">
        <f t="shared" si="38"/>
        <v>36636074</v>
      </c>
      <c r="AE316" s="36" t="str">
        <f t="shared" si="39"/>
        <v>AU.KB3068-B-0208-DRE</v>
      </c>
      <c r="AF316" s="36">
        <v>149</v>
      </c>
      <c r="AG316" s="120">
        <f t="shared" si="40"/>
        <v>140.06</v>
      </c>
      <c r="AH316" s="36"/>
      <c r="AI316" s="124"/>
      <c r="AJ316" s="122" t="s">
        <v>1456</v>
      </c>
      <c r="AK316" s="129" t="str">
        <f t="shared" ca="1" si="42"/>
        <v>On Time</v>
      </c>
      <c r="AL316" s="268" t="str">
        <f t="shared" si="45"/>
        <v>May</v>
      </c>
      <c r="AM316" s="133">
        <f>YEAR(Table1[[#This Row],[ETA
As requested
dd.mm.yyyy]])</f>
        <v>2024</v>
      </c>
    </row>
    <row r="317" spans="1:40" hidden="1">
      <c r="A317" s="123" t="s">
        <v>83</v>
      </c>
      <c r="B317" s="36" t="s">
        <v>1170</v>
      </c>
      <c r="C317" s="117">
        <v>36636074</v>
      </c>
      <c r="D317" s="165">
        <v>45400</v>
      </c>
      <c r="E317" s="117" t="s">
        <v>109</v>
      </c>
      <c r="F317" s="36" t="str">
        <f>IFERROR(VLOOKUP(Table1[[#This Row],[Part Number]],DATABASE_FG!$C$6:D10306,2,FALSE)," ")</f>
        <v xml:space="preserve">094290350-0000 </v>
      </c>
      <c r="G317" s="117">
        <f>IFERROR(_xlfn.XLOOKUP(Table1[[#This Row],[Part Number]],Table3[Part number],Table3[Drawing
 Revision]),"")</f>
        <v>0</v>
      </c>
      <c r="H317" s="118" cm="1">
        <f t="array" ref="H317">IFERROR(INDEX(PDB!$C:$AT,MATCH(E317,PDB!$B:$B,0),MATCH(YEAR(K317),0+PDB!$C$1:$AT$1,0)),"")</f>
        <v>0.94</v>
      </c>
      <c r="I317" s="36"/>
      <c r="J317" s="125">
        <f>IFERROR(Table1[[#This Row],[Quantity]]*Table1[[#This Row],[Price/Unit
EUR]]," ")</f>
        <v>0</v>
      </c>
      <c r="K317" s="126">
        <v>45419</v>
      </c>
      <c r="L317" s="36">
        <f>WEEKNUM(Table1[[#This Row],[ETA
As requested
dd.mm.yyyy]])</f>
        <v>19</v>
      </c>
      <c r="M317" s="36">
        <f>YEAR(Table1[[#This Row],[ETA
As requested
dd.mm.yyyy]])</f>
        <v>2024</v>
      </c>
      <c r="N317" s="36">
        <f>IFERROR(INDEX(DATABASE_FG!$H$5:$H$367, MATCH(E317, DATABASE_FG!$C$5:$C$367, 0)), " ")</f>
        <v>0</v>
      </c>
      <c r="O317" s="129" t="str">
        <f>IF(E317&lt;&gt;"", _xlfn.XLOOKUP(E317, DATABASE_FG!C:C, DATABASE_FG!F:F), " ")</f>
        <v>Strunjite</v>
      </c>
      <c r="P317" s="129">
        <f>IFERROR(INDEX(DATABASE_FG!$G$5:$G$367, MATCH(E317, DATABASE_FG!$C$5:$C$367, 0)), "Not Found")</f>
        <v>0</v>
      </c>
      <c r="Q317" s="36"/>
      <c r="R317" s="125" t="s">
        <v>678</v>
      </c>
      <c r="S317" s="123">
        <f>IFERROR(INDEX(DATABASE_FG!$L$5:$L$367, MATCH(E317, DATABASE_FG!$C$5:$C$367, 0)), " ")</f>
        <v>42</v>
      </c>
      <c r="T317" s="36" t="s">
        <v>679</v>
      </c>
      <c r="U317" s="36"/>
      <c r="V317" s="36"/>
      <c r="W317" s="129"/>
      <c r="X317" s="36"/>
      <c r="Y317" s="36"/>
      <c r="Z317" s="36"/>
      <c r="AA317" s="125" t="s">
        <v>121</v>
      </c>
      <c r="AB317" s="173">
        <v>45421</v>
      </c>
      <c r="AC317" s="119">
        <v>2024444</v>
      </c>
      <c r="AD317" s="36">
        <f t="shared" si="38"/>
        <v>36636074</v>
      </c>
      <c r="AE317" s="36" t="str">
        <f t="shared" si="39"/>
        <v>AU.KB3068-B-0208-DRE</v>
      </c>
      <c r="AF317" s="36">
        <v>14</v>
      </c>
      <c r="AG317" s="120">
        <f t="shared" si="40"/>
        <v>13.16</v>
      </c>
      <c r="AH317" s="36"/>
      <c r="AI317" s="124"/>
      <c r="AJ317" s="122" t="s">
        <v>1457</v>
      </c>
      <c r="AK317" s="129" t="str">
        <f t="shared" ca="1" si="42"/>
        <v>On Time</v>
      </c>
      <c r="AL317" s="268" t="str">
        <f t="shared" si="45"/>
        <v>May</v>
      </c>
      <c r="AM317" s="133">
        <f>YEAR(Table1[[#This Row],[ETA
As requested
dd.mm.yyyy]])</f>
        <v>2024</v>
      </c>
    </row>
    <row r="318" spans="1:40" hidden="1">
      <c r="A318" s="123" t="s">
        <v>83</v>
      </c>
      <c r="B318" s="36" t="s">
        <v>1170</v>
      </c>
      <c r="C318" s="117">
        <v>36636074</v>
      </c>
      <c r="D318" s="165">
        <v>45400</v>
      </c>
      <c r="E318" s="117" t="s">
        <v>109</v>
      </c>
      <c r="F318" s="36" t="str">
        <f>IFERROR(VLOOKUP(Table1[[#This Row],[Part Number]],DATABASE_FG!$C$6:D10307,2,FALSE)," ")</f>
        <v xml:space="preserve">094290350-0000 </v>
      </c>
      <c r="G318" s="117">
        <f>IFERROR(_xlfn.XLOOKUP(Table1[[#This Row],[Part Number]],Table3[Part number],Table3[Drawing
 Revision]),"")</f>
        <v>0</v>
      </c>
      <c r="H318" s="118" cm="1">
        <f t="array" ref="H318">IFERROR(INDEX(PDB!$C:$AT,MATCH(E318,PDB!$B:$B,0),MATCH(YEAR(K318),0+PDB!$C$1:$AT$1,0)),"")</f>
        <v>0.94</v>
      </c>
      <c r="I318" s="36"/>
      <c r="J318" s="125">
        <f>IFERROR(Table1[[#This Row],[Quantity]]*Table1[[#This Row],[Price/Unit
EUR]]," ")</f>
        <v>0</v>
      </c>
      <c r="K318" s="126">
        <v>45419</v>
      </c>
      <c r="L318" s="36">
        <f>WEEKNUM(Table1[[#This Row],[ETA
As requested
dd.mm.yyyy]])</f>
        <v>19</v>
      </c>
      <c r="M318" s="36">
        <f>YEAR(Table1[[#This Row],[ETA
As requested
dd.mm.yyyy]])</f>
        <v>2024</v>
      </c>
      <c r="N318" s="36">
        <f>IFERROR(INDEX(DATABASE_FG!$H$5:$H$367, MATCH(E318, DATABASE_FG!$C$5:$C$367, 0)), " ")</f>
        <v>0</v>
      </c>
      <c r="O318" s="129" t="str">
        <f>IF(E318&lt;&gt;"", _xlfn.XLOOKUP(E318, DATABASE_FG!C:C, DATABASE_FG!F:F), " ")</f>
        <v>Strunjite</v>
      </c>
      <c r="P318" s="129">
        <f>IFERROR(INDEX(DATABASE_FG!$G$5:$G$367, MATCH(E318, DATABASE_FG!$C$5:$C$367, 0)), "Not Found")</f>
        <v>0</v>
      </c>
      <c r="Q318" s="36"/>
      <c r="R318" s="125" t="s">
        <v>678</v>
      </c>
      <c r="S318" s="123">
        <f>IFERROR(INDEX(DATABASE_FG!$L$5:$L$367, MATCH(E318, DATABASE_FG!$C$5:$C$367, 0)), " ")</f>
        <v>42</v>
      </c>
      <c r="T318" s="36" t="s">
        <v>679</v>
      </c>
      <c r="U318" s="36"/>
      <c r="V318" s="36"/>
      <c r="W318" s="129"/>
      <c r="X318" s="36"/>
      <c r="Y318" s="36"/>
      <c r="Z318" s="36"/>
      <c r="AA318" s="125" t="s">
        <v>121</v>
      </c>
      <c r="AB318" s="173">
        <v>45422</v>
      </c>
      <c r="AC318" s="119">
        <v>2024457</v>
      </c>
      <c r="AD318" s="36">
        <f t="shared" si="38"/>
        <v>36636074</v>
      </c>
      <c r="AE318" s="36" t="str">
        <f t="shared" si="39"/>
        <v>AU.KB3068-B-0208-DRE</v>
      </c>
      <c r="AF318" s="36">
        <v>5</v>
      </c>
      <c r="AG318" s="120">
        <f t="shared" si="40"/>
        <v>4.6999999999999993</v>
      </c>
      <c r="AH318" s="36"/>
      <c r="AI318" s="124"/>
      <c r="AJ318" s="122" t="s">
        <v>1459</v>
      </c>
      <c r="AK318" s="129" t="str">
        <f t="shared" ca="1" si="42"/>
        <v>Late</v>
      </c>
      <c r="AL318" s="268" t="str">
        <f t="shared" si="45"/>
        <v>May</v>
      </c>
      <c r="AM318" s="133">
        <f>YEAR(Table1[[#This Row],[ETA
As requested
dd.mm.yyyy]])</f>
        <v>2024</v>
      </c>
    </row>
    <row r="319" spans="1:40" hidden="1">
      <c r="A319" s="123" t="s">
        <v>83</v>
      </c>
      <c r="B319" s="36" t="s">
        <v>1170</v>
      </c>
      <c r="C319" s="117">
        <v>36636074</v>
      </c>
      <c r="D319" s="165">
        <v>45400</v>
      </c>
      <c r="E319" s="117" t="s">
        <v>109</v>
      </c>
      <c r="F319" s="36" t="str">
        <f>IFERROR(VLOOKUP(Table1[[#This Row],[Part Number]],DATABASE_FG!$C$6:D10308,2,FALSE)," ")</f>
        <v xml:space="preserve">094290350-0000 </v>
      </c>
      <c r="G319" s="117">
        <f>IFERROR(_xlfn.XLOOKUP(Table1[[#This Row],[Part Number]],Table3[Part number],Table3[Drawing
 Revision]),"")</f>
        <v>0</v>
      </c>
      <c r="H319" s="118" cm="1">
        <f t="array" ref="H319">IFERROR(INDEX(PDB!$C:$AT,MATCH(E319,PDB!$B:$B,0),MATCH(YEAR(K319),0+PDB!$C$1:$AT$1,0)),"")</f>
        <v>0.94</v>
      </c>
      <c r="I319" s="36"/>
      <c r="J319" s="125">
        <f>IFERROR(Table1[[#This Row],[Quantity]]*Table1[[#This Row],[Price/Unit
EUR]]," ")</f>
        <v>0</v>
      </c>
      <c r="K319" s="126">
        <v>45419</v>
      </c>
      <c r="L319" s="36">
        <f>WEEKNUM(Table1[[#This Row],[ETA
As requested
dd.mm.yyyy]])</f>
        <v>19</v>
      </c>
      <c r="M319" s="36">
        <f>YEAR(Table1[[#This Row],[ETA
As requested
dd.mm.yyyy]])</f>
        <v>2024</v>
      </c>
      <c r="N319" s="36">
        <f>IFERROR(INDEX(DATABASE_FG!$H$5:$H$367, MATCH(E319, DATABASE_FG!$C$5:$C$367, 0)), " ")</f>
        <v>0</v>
      </c>
      <c r="O319" s="129" t="str">
        <f>IF(E319&lt;&gt;"", _xlfn.XLOOKUP(E319, DATABASE_FG!C:C, DATABASE_FG!F:F), " ")</f>
        <v>Strunjite</v>
      </c>
      <c r="P319" s="129">
        <f>IFERROR(INDEX(DATABASE_FG!$G$5:$G$367, MATCH(E319, DATABASE_FG!$C$5:$C$367, 0)), "Not Found")</f>
        <v>0</v>
      </c>
      <c r="Q319" s="36"/>
      <c r="R319" s="125" t="s">
        <v>678</v>
      </c>
      <c r="S319" s="123">
        <f>IFERROR(INDEX(DATABASE_FG!$L$5:$L$367, MATCH(E319, DATABASE_FG!$C$5:$C$367, 0)), " ")</f>
        <v>42</v>
      </c>
      <c r="T319" s="36" t="s">
        <v>679</v>
      </c>
      <c r="U319" s="36"/>
      <c r="V319" s="36"/>
      <c r="W319" s="129"/>
      <c r="X319" s="36"/>
      <c r="Y319" s="36"/>
      <c r="Z319" s="36"/>
      <c r="AA319" s="125" t="s">
        <v>121</v>
      </c>
      <c r="AB319" s="172">
        <v>45426</v>
      </c>
      <c r="AC319" s="119">
        <v>2024473</v>
      </c>
      <c r="AD319" s="36">
        <f t="shared" si="38"/>
        <v>36636074</v>
      </c>
      <c r="AE319" s="36" t="str">
        <f t="shared" si="39"/>
        <v>AU.KB3068-B-0208-DRE</v>
      </c>
      <c r="AF319" s="36">
        <v>1332</v>
      </c>
      <c r="AG319" s="120">
        <f t="shared" si="40"/>
        <v>1252.08</v>
      </c>
      <c r="AH319" s="36"/>
      <c r="AI319" s="124"/>
      <c r="AJ319" s="122" t="s">
        <v>1461</v>
      </c>
      <c r="AK319" s="129" t="str">
        <f t="shared" ca="1" si="42"/>
        <v>Late</v>
      </c>
      <c r="AL319" s="268" t="str">
        <f t="shared" si="45"/>
        <v>May</v>
      </c>
      <c r="AM319" s="133">
        <f>YEAR(Table1[[#This Row],[ETA
As requested
dd.mm.yyyy]])</f>
        <v>2024</v>
      </c>
    </row>
    <row r="320" spans="1:40" hidden="1">
      <c r="A320" s="123" t="s">
        <v>83</v>
      </c>
      <c r="B320" s="36" t="s">
        <v>1170</v>
      </c>
      <c r="C320" s="117">
        <v>36880802</v>
      </c>
      <c r="D320" s="165">
        <v>45442</v>
      </c>
      <c r="E320" s="117" t="s">
        <v>109</v>
      </c>
      <c r="F320" s="36" t="str">
        <f>IFERROR(VLOOKUP(Table1[[#This Row],[Part Number]],DATABASE_FG!$C$6:D10309,2,FALSE)," ")</f>
        <v xml:space="preserve">094290350-0000 </v>
      </c>
      <c r="G320" s="117">
        <f>IFERROR(_xlfn.XLOOKUP(Table1[[#This Row],[Part Number]],Table3[Part number],Table3[Drawing
 Revision]),"")</f>
        <v>0</v>
      </c>
      <c r="H320" s="118" cm="1">
        <f t="array" ref="H320">IFERROR(INDEX(PDB!$C:$AT,MATCH(E320,PDB!$B:$B,0),MATCH(YEAR(K320),0+PDB!$C$1:$AT$1,0)),"")</f>
        <v>0.94</v>
      </c>
      <c r="I320" s="36">
        <v>2000</v>
      </c>
      <c r="J320" s="125">
        <f>IFERROR(Table1[[#This Row],[Quantity]]*Table1[[#This Row],[Price/Unit
EUR]]," ")</f>
        <v>1880</v>
      </c>
      <c r="K320" s="126">
        <v>45447</v>
      </c>
      <c r="L320" s="36">
        <f>WEEKNUM(Table1[[#This Row],[ETA
As requested
dd.mm.yyyy]])</f>
        <v>23</v>
      </c>
      <c r="M320" s="36">
        <f>YEAR(Table1[[#This Row],[ETA
As requested
dd.mm.yyyy]])</f>
        <v>2024</v>
      </c>
      <c r="N320" s="36">
        <f>IFERROR(INDEX(DATABASE_FG!$H$5:$H$367, MATCH(E320, DATABASE_FG!$C$5:$C$367, 0)), " ")</f>
        <v>0</v>
      </c>
      <c r="O320" s="129" t="str">
        <f>IF(E320&lt;&gt;"", _xlfn.XLOOKUP(E320, DATABASE_FG!C:C, DATABASE_FG!F:F), " ")</f>
        <v>Strunjite</v>
      </c>
      <c r="P320" s="129">
        <f>IFERROR(INDEX(DATABASE_FG!$G$5:$G$367, MATCH(E320, DATABASE_FG!$C$5:$C$367, 0)), "Not Found")</f>
        <v>0</v>
      </c>
      <c r="Q320" s="36"/>
      <c r="R320" s="125" t="s">
        <v>678</v>
      </c>
      <c r="S320" s="123">
        <f>IFERROR(INDEX(DATABASE_FG!$L$5:$L$367, MATCH(E320, DATABASE_FG!$C$5:$C$367, 0)), " ")</f>
        <v>42</v>
      </c>
      <c r="T320" s="36" t="s">
        <v>679</v>
      </c>
      <c r="U320" s="36"/>
      <c r="V320" s="36"/>
      <c r="W320" s="129"/>
      <c r="X320" s="36"/>
      <c r="Y320" s="36"/>
      <c r="Z320" s="36">
        <v>242203</v>
      </c>
      <c r="AA320" s="125" t="s">
        <v>121</v>
      </c>
      <c r="AB320" s="172">
        <v>45447</v>
      </c>
      <c r="AC320" s="119">
        <v>2024602</v>
      </c>
      <c r="AD320" s="36">
        <f t="shared" si="38"/>
        <v>36880802</v>
      </c>
      <c r="AE320" s="36" t="str">
        <f t="shared" si="39"/>
        <v>AU.KB3068-B-0208-DRE</v>
      </c>
      <c r="AF320" s="36">
        <v>682</v>
      </c>
      <c r="AG320" s="120">
        <f t="shared" si="40"/>
        <v>641.07999999999993</v>
      </c>
      <c r="AH320" s="36"/>
      <c r="AI320" s="124"/>
      <c r="AJ320" s="122" t="s">
        <v>1601</v>
      </c>
      <c r="AK320" s="129" t="str">
        <f t="shared" ca="1" si="42"/>
        <v>On Time</v>
      </c>
      <c r="AL320" s="268" t="str">
        <f t="shared" si="45"/>
        <v>June</v>
      </c>
      <c r="AM320" s="133">
        <f>YEAR(Table1[[#This Row],[ETA
As requested
dd.mm.yyyy]])</f>
        <v>2024</v>
      </c>
    </row>
    <row r="321" spans="1:39" hidden="1">
      <c r="A321" s="123" t="s">
        <v>83</v>
      </c>
      <c r="B321" s="36" t="s">
        <v>1170</v>
      </c>
      <c r="C321" s="117">
        <v>36880802</v>
      </c>
      <c r="D321" s="165">
        <v>45442</v>
      </c>
      <c r="E321" s="117" t="s">
        <v>109</v>
      </c>
      <c r="F321" s="36" t="str">
        <f>IFERROR(VLOOKUP(Table1[[#This Row],[Part Number]],DATABASE_FG!$C$6:D10310,2,FALSE)," ")</f>
        <v xml:space="preserve">094290350-0000 </v>
      </c>
      <c r="G321" s="117">
        <f>IFERROR(_xlfn.XLOOKUP(Table1[[#This Row],[Part Number]],Table3[Part number],Table3[Drawing
 Revision]),"")</f>
        <v>0</v>
      </c>
      <c r="H321" s="118" cm="1">
        <f t="array" ref="H321">IFERROR(INDEX(PDB!$C:$AT,MATCH(E321,PDB!$B:$B,0),MATCH(YEAR(K321),0+PDB!$C$1:$AT$1,0)),"")</f>
        <v>0.94</v>
      </c>
      <c r="I321" s="36"/>
      <c r="J321" s="125">
        <f>IFERROR(Table1[[#This Row],[Quantity]]*Table1[[#This Row],[Price/Unit
EUR]]," ")</f>
        <v>0</v>
      </c>
      <c r="K321" s="126">
        <v>45447</v>
      </c>
      <c r="L321" s="36">
        <f>WEEKNUM(Table1[[#This Row],[ETA
As requested
dd.mm.yyyy]])</f>
        <v>23</v>
      </c>
      <c r="M321" s="36">
        <f>YEAR(Table1[[#This Row],[ETA
As requested
dd.mm.yyyy]])</f>
        <v>2024</v>
      </c>
      <c r="N321" s="36">
        <f>IFERROR(INDEX(DATABASE_FG!$H$5:$H$367, MATCH(E321, DATABASE_FG!$C$5:$C$367, 0)), " ")</f>
        <v>0</v>
      </c>
      <c r="O321" s="129" t="str">
        <f>IF(E321&lt;&gt;"", _xlfn.XLOOKUP(E321, DATABASE_FG!C:C, DATABASE_FG!F:F), " ")</f>
        <v>Strunjite</v>
      </c>
      <c r="P321" s="129">
        <f>IFERROR(INDEX(DATABASE_FG!$G$5:$G$367, MATCH(E321, DATABASE_FG!$C$5:$C$367, 0)), "Not Found")</f>
        <v>0</v>
      </c>
      <c r="Q321" s="36"/>
      <c r="R321" s="125" t="s">
        <v>678</v>
      </c>
      <c r="S321" s="123">
        <f>IFERROR(INDEX(DATABASE_FG!$L$5:$L$367, MATCH(E321, DATABASE_FG!$C$5:$C$367, 0)), " ")</f>
        <v>42</v>
      </c>
      <c r="T321" s="36" t="s">
        <v>679</v>
      </c>
      <c r="U321" s="36"/>
      <c r="V321" s="36"/>
      <c r="W321" s="129"/>
      <c r="X321" s="36"/>
      <c r="Y321" s="36"/>
      <c r="Z321" s="36"/>
      <c r="AA321" s="125" t="s">
        <v>121</v>
      </c>
      <c r="AB321" s="172">
        <v>45456</v>
      </c>
      <c r="AC321" s="119">
        <v>2024652</v>
      </c>
      <c r="AD321" s="36">
        <f t="shared" si="38"/>
        <v>36880802</v>
      </c>
      <c r="AE321" s="36" t="str">
        <f t="shared" si="39"/>
        <v>AU.KB3068-B-0208-DRE</v>
      </c>
      <c r="AF321" s="36">
        <v>152</v>
      </c>
      <c r="AG321" s="120">
        <f t="shared" si="40"/>
        <v>142.88</v>
      </c>
      <c r="AH321" s="36"/>
      <c r="AI321" s="124"/>
      <c r="AJ321" s="122" t="s">
        <v>1609</v>
      </c>
      <c r="AK321" s="129" t="str">
        <f t="shared" ca="1" si="42"/>
        <v>Late</v>
      </c>
      <c r="AL321" s="268" t="str">
        <f t="shared" si="45"/>
        <v>June</v>
      </c>
      <c r="AM321" s="133">
        <f>YEAR(Table1[[#This Row],[ETA
As requested
dd.mm.yyyy]])</f>
        <v>2024</v>
      </c>
    </row>
    <row r="322" spans="1:39" hidden="1">
      <c r="A322" s="123" t="s">
        <v>83</v>
      </c>
      <c r="B322" s="36" t="s">
        <v>1170</v>
      </c>
      <c r="C322" s="117">
        <v>36880802</v>
      </c>
      <c r="D322" s="165">
        <v>45442</v>
      </c>
      <c r="E322" s="117" t="s">
        <v>109</v>
      </c>
      <c r="F322" s="36" t="str">
        <f>IFERROR(VLOOKUP(Table1[[#This Row],[Part Number]],DATABASE_FG!$C$6:D10311,2,FALSE)," ")</f>
        <v xml:space="preserve">094290350-0000 </v>
      </c>
      <c r="G322" s="117">
        <f>IFERROR(_xlfn.XLOOKUP(Table1[[#This Row],[Part Number]],Table3[Part number],Table3[Drawing
 Revision]),"")</f>
        <v>0</v>
      </c>
      <c r="H322" s="118" cm="1">
        <f t="array" ref="H322">IFERROR(INDEX(PDB!$C:$AT,MATCH(E322,PDB!$B:$B,0),MATCH(YEAR(K322),0+PDB!$C$1:$AT$1,0)),"")</f>
        <v>0.94</v>
      </c>
      <c r="I322" s="36"/>
      <c r="J322" s="125">
        <f>IFERROR(Table1[[#This Row],[Quantity]]*Table1[[#This Row],[Price/Unit
EUR]]," ")</f>
        <v>0</v>
      </c>
      <c r="K322" s="126">
        <v>45447</v>
      </c>
      <c r="L322" s="36">
        <f>WEEKNUM(Table1[[#This Row],[ETA
As requested
dd.mm.yyyy]])</f>
        <v>23</v>
      </c>
      <c r="M322" s="36">
        <f>YEAR(Table1[[#This Row],[ETA
As requested
dd.mm.yyyy]])</f>
        <v>2024</v>
      </c>
      <c r="N322" s="36">
        <f>IFERROR(INDEX(DATABASE_FG!$H$5:$H$367, MATCH(E322, DATABASE_FG!$C$5:$C$367, 0)), " ")</f>
        <v>0</v>
      </c>
      <c r="O322" s="129" t="str">
        <f>IF(E322&lt;&gt;"", _xlfn.XLOOKUP(E322, DATABASE_FG!C:C, DATABASE_FG!F:F), " ")</f>
        <v>Strunjite</v>
      </c>
      <c r="P322" s="129">
        <f>IFERROR(INDEX(DATABASE_FG!$G$5:$G$367, MATCH(E322, DATABASE_FG!$C$5:$C$367, 0)), "Not Found")</f>
        <v>0</v>
      </c>
      <c r="Q322" s="36"/>
      <c r="R322" s="125" t="s">
        <v>678</v>
      </c>
      <c r="S322" s="123">
        <f>IFERROR(INDEX(DATABASE_FG!$L$5:$L$367, MATCH(E322, DATABASE_FG!$C$5:$C$367, 0)), " ")</f>
        <v>42</v>
      </c>
      <c r="T322" s="36" t="s">
        <v>679</v>
      </c>
      <c r="U322" s="36"/>
      <c r="V322" s="36"/>
      <c r="W322" s="129"/>
      <c r="X322" s="36"/>
      <c r="Y322" s="36"/>
      <c r="Z322" s="36"/>
      <c r="AA322" s="125" t="s">
        <v>121</v>
      </c>
      <c r="AB322" s="173">
        <v>45457</v>
      </c>
      <c r="AC322" s="119">
        <v>2024665</v>
      </c>
      <c r="AD322" s="36">
        <f t="shared" si="38"/>
        <v>36880802</v>
      </c>
      <c r="AE322" s="36" t="str">
        <f t="shared" si="39"/>
        <v>AU.KB3068-B-0208-DRE</v>
      </c>
      <c r="AF322" s="36">
        <v>304</v>
      </c>
      <c r="AG322" s="120">
        <f t="shared" si="40"/>
        <v>285.76</v>
      </c>
      <c r="AH322" s="36" t="s">
        <v>1610</v>
      </c>
      <c r="AI322" s="124"/>
      <c r="AJ322" s="122" t="s">
        <v>1611</v>
      </c>
      <c r="AK322" s="129" t="str">
        <f t="shared" ca="1" si="42"/>
        <v>Late</v>
      </c>
      <c r="AL322" s="268" t="str">
        <f t="shared" si="45"/>
        <v>June</v>
      </c>
      <c r="AM322" s="133">
        <f>YEAR(Table1[[#This Row],[ETA
As requested
dd.mm.yyyy]])</f>
        <v>2024</v>
      </c>
    </row>
    <row r="323" spans="1:39" hidden="1">
      <c r="A323" s="123" t="s">
        <v>83</v>
      </c>
      <c r="B323" s="36" t="s">
        <v>1170</v>
      </c>
      <c r="C323" s="117">
        <v>36880802</v>
      </c>
      <c r="D323" s="165">
        <v>45442</v>
      </c>
      <c r="E323" s="117" t="s">
        <v>109</v>
      </c>
      <c r="F323" s="36" t="str">
        <f>IFERROR(VLOOKUP(Table1[[#This Row],[Part Number]],DATABASE_FG!$C$6:D10312,2,FALSE)," ")</f>
        <v xml:space="preserve">094290350-0000 </v>
      </c>
      <c r="G323" s="117">
        <f>IFERROR(_xlfn.XLOOKUP(Table1[[#This Row],[Part Number]],Table3[Part number],Table3[Drawing
 Revision]),"")</f>
        <v>0</v>
      </c>
      <c r="H323" s="118" cm="1">
        <f t="array" ref="H323">IFERROR(INDEX(PDB!$C:$AT,MATCH(E323,PDB!$B:$B,0),MATCH(YEAR(K323),0+PDB!$C$1:$AT$1,0)),"")</f>
        <v>0.94</v>
      </c>
      <c r="I323" s="36"/>
      <c r="J323" s="125">
        <f>IFERROR(Table1[[#This Row],[Quantity]]*Table1[[#This Row],[Price/Unit
EUR]]," ")</f>
        <v>0</v>
      </c>
      <c r="K323" s="126">
        <v>45447</v>
      </c>
      <c r="L323" s="36">
        <f>WEEKNUM(Table1[[#This Row],[ETA
As requested
dd.mm.yyyy]])</f>
        <v>23</v>
      </c>
      <c r="M323" s="36">
        <f>YEAR(Table1[[#This Row],[ETA
As requested
dd.mm.yyyy]])</f>
        <v>2024</v>
      </c>
      <c r="N323" s="36">
        <f>IFERROR(INDEX(DATABASE_FG!$H$5:$H$367, MATCH(E323, DATABASE_FG!$C$5:$C$367, 0)), " ")</f>
        <v>0</v>
      </c>
      <c r="O323" s="129" t="str">
        <f>IF(E323&lt;&gt;"", _xlfn.XLOOKUP(E323, DATABASE_FG!C:C, DATABASE_FG!F:F), " ")</f>
        <v>Strunjite</v>
      </c>
      <c r="P323" s="129">
        <f>IFERROR(INDEX(DATABASE_FG!$G$5:$G$367, MATCH(E323, DATABASE_FG!$C$5:$C$367, 0)), "Not Found")</f>
        <v>0</v>
      </c>
      <c r="Q323" s="36"/>
      <c r="R323" s="125" t="s">
        <v>678</v>
      </c>
      <c r="S323" s="123">
        <f>IFERROR(INDEX(DATABASE_FG!$L$5:$L$367, MATCH(E323, DATABASE_FG!$C$5:$C$367, 0)), " ")</f>
        <v>42</v>
      </c>
      <c r="T323" s="36" t="s">
        <v>679</v>
      </c>
      <c r="U323" s="36"/>
      <c r="V323" s="36"/>
      <c r="W323" s="129"/>
      <c r="X323" s="36"/>
      <c r="Y323" s="36"/>
      <c r="Z323" s="36"/>
      <c r="AA323" s="125" t="s">
        <v>121</v>
      </c>
      <c r="AB323" s="173">
        <v>45460</v>
      </c>
      <c r="AC323" s="119">
        <v>2024670</v>
      </c>
      <c r="AD323" s="36">
        <f t="shared" si="38"/>
        <v>36880802</v>
      </c>
      <c r="AE323" s="36" t="str">
        <f t="shared" si="39"/>
        <v>AU.KB3068-B-0208-DRE</v>
      </c>
      <c r="AF323" s="36">
        <v>145</v>
      </c>
      <c r="AG323" s="120">
        <f t="shared" si="40"/>
        <v>136.29999999999998</v>
      </c>
      <c r="AH323" s="36"/>
      <c r="AI323" s="124"/>
      <c r="AJ323" s="122" t="s">
        <v>1613</v>
      </c>
      <c r="AK323" s="129" t="str">
        <f t="shared" ca="1" si="42"/>
        <v>Late</v>
      </c>
      <c r="AL323" s="268" t="str">
        <f t="shared" si="45"/>
        <v>June</v>
      </c>
      <c r="AM323" s="133">
        <f>YEAR(Table1[[#This Row],[ETA
As requested
dd.mm.yyyy]])</f>
        <v>2024</v>
      </c>
    </row>
    <row r="324" spans="1:39" hidden="1">
      <c r="A324" s="123" t="s">
        <v>83</v>
      </c>
      <c r="B324" s="36" t="s">
        <v>1170</v>
      </c>
      <c r="C324" s="117">
        <v>36880802</v>
      </c>
      <c r="D324" s="165">
        <v>45442</v>
      </c>
      <c r="E324" s="117" t="s">
        <v>109</v>
      </c>
      <c r="F324" s="36" t="str">
        <f>IFERROR(VLOOKUP(Table1[[#This Row],[Part Number]],DATABASE_FG!$C$6:D10313,2,FALSE)," ")</f>
        <v xml:space="preserve">094290350-0000 </v>
      </c>
      <c r="G324" s="117">
        <f>IFERROR(_xlfn.XLOOKUP(Table1[[#This Row],[Part Number]],Table3[Part number],Table3[Drawing
 Revision]),"")</f>
        <v>0</v>
      </c>
      <c r="H324" s="118" cm="1">
        <f t="array" ref="H324">IFERROR(INDEX(PDB!$C:$AT,MATCH(E324,PDB!$B:$B,0),MATCH(YEAR(K324),0+PDB!$C$1:$AT$1,0)),"")</f>
        <v>0.94</v>
      </c>
      <c r="I324" s="36"/>
      <c r="J324" s="125">
        <f>IFERROR(Table1[[#This Row],[Quantity]]*Table1[[#This Row],[Price/Unit
EUR]]," ")</f>
        <v>0</v>
      </c>
      <c r="K324" s="126">
        <v>45447</v>
      </c>
      <c r="L324" s="36">
        <f>WEEKNUM(Table1[[#This Row],[ETA
As requested
dd.mm.yyyy]])</f>
        <v>23</v>
      </c>
      <c r="M324" s="36">
        <f>YEAR(Table1[[#This Row],[ETA
As requested
dd.mm.yyyy]])</f>
        <v>2024</v>
      </c>
      <c r="N324" s="36">
        <f>IFERROR(INDEX(DATABASE_FG!$H$5:$H$367, MATCH(E324, DATABASE_FG!$C$5:$C$367, 0)), " ")</f>
        <v>0</v>
      </c>
      <c r="O324" s="129" t="str">
        <f>IF(E324&lt;&gt;"", _xlfn.XLOOKUP(E324, DATABASE_FG!C:C, DATABASE_FG!F:F), " ")</f>
        <v>Strunjite</v>
      </c>
      <c r="P324" s="129">
        <f>IFERROR(INDEX(DATABASE_FG!$G$5:$G$367, MATCH(E324, DATABASE_FG!$C$5:$C$367, 0)), "Not Found")</f>
        <v>0</v>
      </c>
      <c r="Q324" s="36"/>
      <c r="R324" s="125" t="s">
        <v>678</v>
      </c>
      <c r="S324" s="123">
        <f>IFERROR(INDEX(DATABASE_FG!$L$5:$L$367, MATCH(E324, DATABASE_FG!$C$5:$C$367, 0)), " ")</f>
        <v>42</v>
      </c>
      <c r="T324" s="36" t="s">
        <v>679</v>
      </c>
      <c r="U324" s="36"/>
      <c r="V324" s="36"/>
      <c r="W324" s="129"/>
      <c r="X324" s="36"/>
      <c r="Y324" s="36"/>
      <c r="Z324" s="36"/>
      <c r="AA324" s="125" t="s">
        <v>121</v>
      </c>
      <c r="AB324" s="172">
        <v>45468</v>
      </c>
      <c r="AC324" s="119">
        <v>2024719</v>
      </c>
      <c r="AD324" s="36">
        <f t="shared" si="38"/>
        <v>36880802</v>
      </c>
      <c r="AE324" s="36" t="str">
        <f t="shared" si="39"/>
        <v>AU.KB3068-B-0208-DRE</v>
      </c>
      <c r="AF324" s="36">
        <v>115</v>
      </c>
      <c r="AG324" s="120">
        <f t="shared" si="40"/>
        <v>108.1</v>
      </c>
      <c r="AH324" s="36"/>
      <c r="AI324" s="124"/>
      <c r="AJ324" s="122" t="s">
        <v>1620</v>
      </c>
      <c r="AK324" s="129" t="str">
        <f t="shared" ca="1" si="42"/>
        <v>Late</v>
      </c>
      <c r="AL324" s="268" t="str">
        <f t="shared" si="45"/>
        <v>June</v>
      </c>
      <c r="AM324" s="133">
        <f>YEAR(Table1[[#This Row],[ETA
As requested
dd.mm.yyyy]])</f>
        <v>2024</v>
      </c>
    </row>
    <row r="325" spans="1:39" hidden="1">
      <c r="A325" s="123" t="s">
        <v>83</v>
      </c>
      <c r="B325" s="36" t="s">
        <v>1170</v>
      </c>
      <c r="C325" s="117">
        <v>36880802</v>
      </c>
      <c r="D325" s="165">
        <v>45442</v>
      </c>
      <c r="E325" s="117" t="s">
        <v>109</v>
      </c>
      <c r="F325" s="36" t="str">
        <f>IFERROR(VLOOKUP(Table1[[#This Row],[Part Number]],DATABASE_FG!$C$6:D10314,2,FALSE)," ")</f>
        <v xml:space="preserve">094290350-0000 </v>
      </c>
      <c r="G325" s="117">
        <f>IFERROR(_xlfn.XLOOKUP(Table1[[#This Row],[Part Number]],Table3[Part number],Table3[Drawing
 Revision]),"")</f>
        <v>0</v>
      </c>
      <c r="H325" s="118" cm="1">
        <f t="array" ref="H325">IFERROR(INDEX(PDB!$C:$AT,MATCH(E325,PDB!$B:$B,0),MATCH(YEAR(K325),0+PDB!$C$1:$AT$1,0)),"")</f>
        <v>0.94</v>
      </c>
      <c r="I325" s="36"/>
      <c r="J325" s="125">
        <f>IFERROR(Table1[[#This Row],[Quantity]]*Table1[[#This Row],[Price/Unit
EUR]]," ")</f>
        <v>0</v>
      </c>
      <c r="K325" s="126">
        <v>45447</v>
      </c>
      <c r="L325" s="36">
        <f>WEEKNUM(Table1[[#This Row],[ETA
As requested
dd.mm.yyyy]])</f>
        <v>23</v>
      </c>
      <c r="M325" s="36">
        <f>YEAR(Table1[[#This Row],[ETA
As requested
dd.mm.yyyy]])</f>
        <v>2024</v>
      </c>
      <c r="N325" s="36">
        <f>IFERROR(INDEX(DATABASE_FG!$H$5:$H$367, MATCH(E325, DATABASE_FG!$C$5:$C$367, 0)), " ")</f>
        <v>0</v>
      </c>
      <c r="O325" s="129" t="str">
        <f>IF(E325&lt;&gt;"", _xlfn.XLOOKUP(E325, DATABASE_FG!C:C, DATABASE_FG!F:F), " ")</f>
        <v>Strunjite</v>
      </c>
      <c r="P325" s="129">
        <f>IFERROR(INDEX(DATABASE_FG!$G$5:$G$367, MATCH(E325, DATABASE_FG!$C$5:$C$367, 0)), "Not Found")</f>
        <v>0</v>
      </c>
      <c r="Q325" s="36"/>
      <c r="R325" s="125" t="s">
        <v>678</v>
      </c>
      <c r="S325" s="123">
        <f>IFERROR(INDEX(DATABASE_FG!$L$5:$L$367, MATCH(E325, DATABASE_FG!$C$5:$C$367, 0)), " ")</f>
        <v>42</v>
      </c>
      <c r="T325" s="36" t="s">
        <v>679</v>
      </c>
      <c r="U325" s="36"/>
      <c r="V325" s="36"/>
      <c r="W325" s="129"/>
      <c r="X325" s="36"/>
      <c r="Y325" s="36"/>
      <c r="Z325" s="36"/>
      <c r="AA325" s="125" t="s">
        <v>121</v>
      </c>
      <c r="AB325" s="173">
        <v>45469</v>
      </c>
      <c r="AC325" s="119">
        <v>2024724</v>
      </c>
      <c r="AD325" s="36">
        <f t="shared" si="38"/>
        <v>36880802</v>
      </c>
      <c r="AE325" s="36" t="str">
        <f t="shared" si="39"/>
        <v>AU.KB3068-B-0208-DRE</v>
      </c>
      <c r="AF325" s="36">
        <v>309</v>
      </c>
      <c r="AG325" s="120">
        <f t="shared" si="40"/>
        <v>290.45999999999998</v>
      </c>
      <c r="AH325" s="36"/>
      <c r="AI325" s="124"/>
      <c r="AJ325" s="122" t="s">
        <v>1621</v>
      </c>
      <c r="AK325" s="129" t="str">
        <f t="shared" ca="1" si="42"/>
        <v>Late</v>
      </c>
      <c r="AL325" s="268" t="str">
        <f t="shared" si="45"/>
        <v>June</v>
      </c>
      <c r="AM325" s="133">
        <f>YEAR(Table1[[#This Row],[ETA
As requested
dd.mm.yyyy]])</f>
        <v>2024</v>
      </c>
    </row>
    <row r="326" spans="1:39" hidden="1">
      <c r="A326" s="123" t="s">
        <v>83</v>
      </c>
      <c r="B326" s="36" t="s">
        <v>1170</v>
      </c>
      <c r="C326" s="117">
        <v>36880802</v>
      </c>
      <c r="D326" s="165">
        <v>45442</v>
      </c>
      <c r="E326" s="117" t="s">
        <v>109</v>
      </c>
      <c r="F326" s="36" t="str">
        <f>IFERROR(VLOOKUP(Table1[[#This Row],[Part Number]],DATABASE_FG!$C$6:D10315,2,FALSE)," ")</f>
        <v xml:space="preserve">094290350-0000 </v>
      </c>
      <c r="G326" s="117">
        <f>IFERROR(_xlfn.XLOOKUP(Table1[[#This Row],[Part Number]],Table3[Part number],Table3[Drawing
 Revision]),"")</f>
        <v>0</v>
      </c>
      <c r="H326" s="118" cm="1">
        <f t="array" ref="H326">IFERROR(INDEX(PDB!$C:$AT,MATCH(E326,PDB!$B:$B,0),MATCH(YEAR(K326),0+PDB!$C$1:$AT$1,0)),"")</f>
        <v>0.94</v>
      </c>
      <c r="I326" s="36"/>
      <c r="J326" s="125">
        <f>IFERROR(Table1[[#This Row],[Quantity]]*Table1[[#This Row],[Price/Unit
EUR]]," ")</f>
        <v>0</v>
      </c>
      <c r="K326" s="126">
        <v>45447</v>
      </c>
      <c r="L326" s="36">
        <f>WEEKNUM(Table1[[#This Row],[ETA
As requested
dd.mm.yyyy]])</f>
        <v>23</v>
      </c>
      <c r="M326" s="36">
        <f>YEAR(Table1[[#This Row],[ETA
As requested
dd.mm.yyyy]])</f>
        <v>2024</v>
      </c>
      <c r="N326" s="36">
        <f>IFERROR(INDEX(DATABASE_FG!$H$5:$H$367, MATCH(E326, DATABASE_FG!$C$5:$C$367, 0)), " ")</f>
        <v>0</v>
      </c>
      <c r="O326" s="129" t="str">
        <f>IF(E326&lt;&gt;"", _xlfn.XLOOKUP(E326, DATABASE_FG!C:C, DATABASE_FG!F:F), " ")</f>
        <v>Strunjite</v>
      </c>
      <c r="P326" s="129">
        <f>IFERROR(INDEX(DATABASE_FG!$G$5:$G$367, MATCH(E326, DATABASE_FG!$C$5:$C$367, 0)), "Not Found")</f>
        <v>0</v>
      </c>
      <c r="Q326" s="36"/>
      <c r="R326" s="125" t="s">
        <v>678</v>
      </c>
      <c r="S326" s="123">
        <f>IFERROR(INDEX(DATABASE_FG!$L$5:$L$367, MATCH(E326, DATABASE_FG!$C$5:$C$367, 0)), " ")</f>
        <v>42</v>
      </c>
      <c r="T326" s="36" t="s">
        <v>679</v>
      </c>
      <c r="U326" s="36"/>
      <c r="V326" s="36"/>
      <c r="W326" s="129"/>
      <c r="X326" s="36"/>
      <c r="Y326" s="36"/>
      <c r="Z326" s="36"/>
      <c r="AA326" s="125" t="s">
        <v>121</v>
      </c>
      <c r="AB326" s="172">
        <v>45470</v>
      </c>
      <c r="AC326" s="119">
        <v>2024732</v>
      </c>
      <c r="AD326" s="36">
        <f t="shared" si="38"/>
        <v>36880802</v>
      </c>
      <c r="AE326" s="36" t="str">
        <f t="shared" si="39"/>
        <v>AU.KB3068-B-0208-DRE</v>
      </c>
      <c r="AF326" s="36">
        <v>40</v>
      </c>
      <c r="AG326" s="120">
        <f t="shared" si="40"/>
        <v>37.599999999999994</v>
      </c>
      <c r="AH326" s="36"/>
      <c r="AI326" s="124"/>
      <c r="AJ326" s="122" t="s">
        <v>1622</v>
      </c>
      <c r="AK326" s="129" t="str">
        <f t="shared" ca="1" si="42"/>
        <v>Late</v>
      </c>
      <c r="AL326" s="268" t="str">
        <f t="shared" si="45"/>
        <v>June</v>
      </c>
      <c r="AM326" s="133">
        <f>YEAR(Table1[[#This Row],[ETA
As requested
dd.mm.yyyy]])</f>
        <v>2024</v>
      </c>
    </row>
    <row r="327" spans="1:39" hidden="1">
      <c r="A327" s="123" t="s">
        <v>83</v>
      </c>
      <c r="B327" s="36" t="s">
        <v>1170</v>
      </c>
      <c r="C327" s="117">
        <v>36880802</v>
      </c>
      <c r="D327" s="165">
        <v>45442</v>
      </c>
      <c r="E327" s="117" t="s">
        <v>109</v>
      </c>
      <c r="F327" s="36" t="str">
        <f>IFERROR(VLOOKUP(Table1[[#This Row],[Part Number]],DATABASE_FG!$C$6:D10316,2,FALSE)," ")</f>
        <v xml:space="preserve">094290350-0000 </v>
      </c>
      <c r="G327" s="117">
        <f>IFERROR(_xlfn.XLOOKUP(Table1[[#This Row],[Part Number]],Table3[Part number],Table3[Drawing
 Revision]),"")</f>
        <v>0</v>
      </c>
      <c r="H327" s="118" cm="1">
        <f t="array" ref="H327">IFERROR(INDEX(PDB!$C:$AT,MATCH(E327,PDB!$B:$B,0),MATCH(YEAR(K327),0+PDB!$C$1:$AT$1,0)),"")</f>
        <v>0.94</v>
      </c>
      <c r="I327" s="36"/>
      <c r="J327" s="125">
        <f>IFERROR(Table1[[#This Row],[Quantity]]*Table1[[#This Row],[Price/Unit
EUR]]," ")</f>
        <v>0</v>
      </c>
      <c r="K327" s="126">
        <v>45447</v>
      </c>
      <c r="L327" s="36">
        <f>WEEKNUM(Table1[[#This Row],[ETA
As requested
dd.mm.yyyy]])</f>
        <v>23</v>
      </c>
      <c r="M327" s="36">
        <f>YEAR(Table1[[#This Row],[ETA
As requested
dd.mm.yyyy]])</f>
        <v>2024</v>
      </c>
      <c r="N327" s="36">
        <f>IFERROR(INDEX(DATABASE_FG!$H$5:$H$367, MATCH(E327, DATABASE_FG!$C$5:$C$367, 0)), " ")</f>
        <v>0</v>
      </c>
      <c r="O327" s="129" t="str">
        <f>IF(E327&lt;&gt;"", _xlfn.XLOOKUP(E327, DATABASE_FG!C:C, DATABASE_FG!F:F), " ")</f>
        <v>Strunjite</v>
      </c>
      <c r="P327" s="129">
        <f>IFERROR(INDEX(DATABASE_FG!$G$5:$G$367, MATCH(E327, DATABASE_FG!$C$5:$C$367, 0)), "Not Found")</f>
        <v>0</v>
      </c>
      <c r="Q327" s="36"/>
      <c r="R327" s="125" t="s">
        <v>678</v>
      </c>
      <c r="S327" s="123">
        <f>IFERROR(INDEX(DATABASE_FG!$L$5:$L$367, MATCH(E327, DATABASE_FG!$C$5:$C$367, 0)), " ")</f>
        <v>42</v>
      </c>
      <c r="T327" s="36" t="s">
        <v>679</v>
      </c>
      <c r="U327" s="36"/>
      <c r="V327" s="36"/>
      <c r="W327" s="129"/>
      <c r="X327" s="36"/>
      <c r="Y327" s="36"/>
      <c r="Z327" s="36"/>
      <c r="AA327" s="125" t="s">
        <v>121</v>
      </c>
      <c r="AB327" s="173">
        <v>45470</v>
      </c>
      <c r="AC327" s="119">
        <v>20232176</v>
      </c>
      <c r="AD327" s="36">
        <f t="shared" si="38"/>
        <v>36880802</v>
      </c>
      <c r="AE327" s="36" t="str">
        <f t="shared" si="39"/>
        <v>AU.KB3068-B-0208-DRE</v>
      </c>
      <c r="AF327" s="36">
        <v>108</v>
      </c>
      <c r="AG327" s="120">
        <f t="shared" si="40"/>
        <v>101.52</v>
      </c>
      <c r="AH327" s="36"/>
      <c r="AI327" s="124"/>
      <c r="AJ327" s="122" t="s">
        <v>1623</v>
      </c>
      <c r="AK327" s="129" t="str">
        <f t="shared" ca="1" si="42"/>
        <v>Late</v>
      </c>
      <c r="AL327" s="268" t="str">
        <f t="shared" si="45"/>
        <v>June</v>
      </c>
      <c r="AM327" s="133">
        <f>YEAR(Table1[[#This Row],[ETA
As requested
dd.mm.yyyy]])</f>
        <v>2024</v>
      </c>
    </row>
    <row r="328" spans="1:39" hidden="1">
      <c r="A328" s="123" t="s">
        <v>83</v>
      </c>
      <c r="B328" s="36" t="s">
        <v>1170</v>
      </c>
      <c r="C328" s="117">
        <v>36880802</v>
      </c>
      <c r="D328" s="165">
        <v>45442</v>
      </c>
      <c r="E328" s="117" t="s">
        <v>109</v>
      </c>
      <c r="F328" s="36" t="str">
        <f>IFERROR(VLOOKUP(Table1[[#This Row],[Part Number]],DATABASE_FG!$C$6:D10317,2,FALSE)," ")</f>
        <v xml:space="preserve">094290350-0000 </v>
      </c>
      <c r="G328" s="117">
        <f>IFERROR(_xlfn.XLOOKUP(Table1[[#This Row],[Part Number]],Table3[Part number],Table3[Drawing
 Revision]),"")</f>
        <v>0</v>
      </c>
      <c r="H328" s="118" cm="1">
        <f t="array" ref="H328">IFERROR(INDEX(PDB!$C:$AT,MATCH(E328,PDB!$B:$B,0),MATCH(YEAR(K328),0+PDB!$C$1:$AT$1,0)),"")</f>
        <v>0.94</v>
      </c>
      <c r="I328" s="36"/>
      <c r="J328" s="125">
        <f>IFERROR(Table1[[#This Row],[Quantity]]*Table1[[#This Row],[Price/Unit
EUR]]," ")</f>
        <v>0</v>
      </c>
      <c r="K328" s="126">
        <v>45447</v>
      </c>
      <c r="L328" s="36">
        <f>WEEKNUM(Table1[[#This Row],[ETA
As requested
dd.mm.yyyy]])</f>
        <v>23</v>
      </c>
      <c r="M328" s="36">
        <f>YEAR(Table1[[#This Row],[ETA
As requested
dd.mm.yyyy]])</f>
        <v>2024</v>
      </c>
      <c r="N328" s="36">
        <f>IFERROR(INDEX(DATABASE_FG!$H$5:$H$367, MATCH(E328, DATABASE_FG!$C$5:$C$367, 0)), " ")</f>
        <v>0</v>
      </c>
      <c r="O328" s="129" t="str">
        <f>IF(E328&lt;&gt;"", _xlfn.XLOOKUP(E328, DATABASE_FG!C:C, DATABASE_FG!F:F), " ")</f>
        <v>Strunjite</v>
      </c>
      <c r="P328" s="129">
        <f>IFERROR(INDEX(DATABASE_FG!$G$5:$G$367, MATCH(E328, DATABASE_FG!$C$5:$C$367, 0)), "Not Found")</f>
        <v>0</v>
      </c>
      <c r="Q328" s="36"/>
      <c r="R328" s="125" t="s">
        <v>678</v>
      </c>
      <c r="S328" s="123">
        <f>IFERROR(INDEX(DATABASE_FG!$L$5:$L$367, MATCH(E328, DATABASE_FG!$C$5:$C$367, 0)), " ")</f>
        <v>42</v>
      </c>
      <c r="T328" s="36" t="s">
        <v>679</v>
      </c>
      <c r="U328" s="36"/>
      <c r="V328" s="36"/>
      <c r="W328" s="129"/>
      <c r="X328" s="36"/>
      <c r="Y328" s="36"/>
      <c r="Z328" s="36"/>
      <c r="AA328" s="125" t="s">
        <v>121</v>
      </c>
      <c r="AB328" s="173">
        <v>45471</v>
      </c>
      <c r="AC328" s="119">
        <v>2024744</v>
      </c>
      <c r="AD328" s="36">
        <f t="shared" si="38"/>
        <v>36880802</v>
      </c>
      <c r="AE328" s="36" t="str">
        <f t="shared" si="39"/>
        <v>AU.KB3068-B-0208-DRE</v>
      </c>
      <c r="AF328" s="36">
        <v>154</v>
      </c>
      <c r="AG328" s="120">
        <f t="shared" si="40"/>
        <v>144.76</v>
      </c>
      <c r="AH328" s="36"/>
      <c r="AI328" s="124"/>
      <c r="AJ328" s="122" t="s">
        <v>1624</v>
      </c>
      <c r="AK328" s="129" t="str">
        <f t="shared" ca="1" si="42"/>
        <v>Late</v>
      </c>
      <c r="AL328" s="268" t="str">
        <f t="shared" si="45"/>
        <v>June</v>
      </c>
      <c r="AM328" s="133">
        <f>YEAR(Table1[[#This Row],[ETA
As requested
dd.mm.yyyy]])</f>
        <v>2024</v>
      </c>
    </row>
    <row r="329" spans="1:39" hidden="1">
      <c r="A329" s="123" t="s">
        <v>83</v>
      </c>
      <c r="B329" s="36" t="s">
        <v>1170</v>
      </c>
      <c r="C329" s="117">
        <v>36880804</v>
      </c>
      <c r="D329" s="165">
        <v>45442</v>
      </c>
      <c r="E329" s="117" t="s">
        <v>109</v>
      </c>
      <c r="F329" s="36" t="str">
        <f>IFERROR(VLOOKUP(Table1[[#This Row],[Part Number]],DATABASE_FG!$C$6:D10318,2,FALSE)," ")</f>
        <v xml:space="preserve">094290350-0000 </v>
      </c>
      <c r="G329" s="117">
        <f>IFERROR(_xlfn.XLOOKUP(Table1[[#This Row],[Part Number]],Table3[Part number],Table3[Drawing
 Revision]),"")</f>
        <v>0</v>
      </c>
      <c r="H329" s="118" cm="1">
        <f t="array" ref="H329">IFERROR(INDEX(PDB!$C:$AT,MATCH(E329,PDB!$B:$B,0),MATCH(YEAR(K329),0+PDB!$C$1:$AT$1,0)),"")</f>
        <v>0.94</v>
      </c>
      <c r="I329" s="36">
        <v>1000</v>
      </c>
      <c r="J329" s="125">
        <f>IFERROR(Table1[[#This Row],[Quantity]]*Table1[[#This Row],[Price/Unit
EUR]]," ")</f>
        <v>940</v>
      </c>
      <c r="K329" s="126">
        <v>45454</v>
      </c>
      <c r="L329" s="36">
        <f>WEEKNUM(Table1[[#This Row],[ETA
As requested
dd.mm.yyyy]])</f>
        <v>24</v>
      </c>
      <c r="M329" s="36">
        <f>YEAR(Table1[[#This Row],[ETA
As requested
dd.mm.yyyy]])</f>
        <v>2024</v>
      </c>
      <c r="N329" s="36">
        <f>IFERROR(INDEX(DATABASE_FG!$H$5:$H$367, MATCH(E329, DATABASE_FG!$C$5:$C$367, 0)), " ")</f>
        <v>0</v>
      </c>
      <c r="O329" s="129" t="str">
        <f>IF(E329&lt;&gt;"", _xlfn.XLOOKUP(E329, DATABASE_FG!C:C, DATABASE_FG!F:F), " ")</f>
        <v>Strunjite</v>
      </c>
      <c r="P329" s="129">
        <f>IFERROR(INDEX(DATABASE_FG!$G$5:$G$367, MATCH(E329, DATABASE_FG!$C$5:$C$367, 0)), "Not Found")</f>
        <v>0</v>
      </c>
      <c r="Q329" s="36"/>
      <c r="R329" s="125" t="s">
        <v>678</v>
      </c>
      <c r="S329" s="123">
        <f>IFERROR(INDEX(DATABASE_FG!$L$5:$L$367, MATCH(E329, DATABASE_FG!$C$5:$C$367, 0)), " ")</f>
        <v>42</v>
      </c>
      <c r="T329" s="36" t="s">
        <v>679</v>
      </c>
      <c r="U329" s="36"/>
      <c r="V329" s="36"/>
      <c r="W329" s="129"/>
      <c r="X329" s="36"/>
      <c r="Y329" s="36"/>
      <c r="Z329" s="36">
        <v>242603</v>
      </c>
      <c r="AA329" s="125" t="s">
        <v>121</v>
      </c>
      <c r="AB329" s="173">
        <v>45471</v>
      </c>
      <c r="AC329" s="119">
        <v>2024745</v>
      </c>
      <c r="AD329" s="36">
        <f t="shared" si="38"/>
        <v>36880804</v>
      </c>
      <c r="AE329" s="36" t="str">
        <f t="shared" si="39"/>
        <v>AU.KB3068-B-0208-DRE</v>
      </c>
      <c r="AF329" s="36">
        <v>177</v>
      </c>
      <c r="AG329" s="120">
        <f t="shared" si="40"/>
        <v>166.38</v>
      </c>
      <c r="AH329" s="36"/>
      <c r="AI329" s="124"/>
      <c r="AJ329" s="122" t="s">
        <v>1661</v>
      </c>
      <c r="AK329" s="129" t="str">
        <f t="shared" ca="1" si="42"/>
        <v>Late</v>
      </c>
      <c r="AL329" s="268" t="str">
        <f t="shared" si="45"/>
        <v>June</v>
      </c>
      <c r="AM329" s="133">
        <f>YEAR(Table1[[#This Row],[ETA
As requested
dd.mm.yyyy]])</f>
        <v>2024</v>
      </c>
    </row>
    <row r="330" spans="1:39" hidden="1">
      <c r="A330" s="123" t="s">
        <v>83</v>
      </c>
      <c r="B330" s="36" t="s">
        <v>1170</v>
      </c>
      <c r="C330" s="117">
        <v>36880804</v>
      </c>
      <c r="D330" s="165">
        <v>45442</v>
      </c>
      <c r="E330" s="117" t="s">
        <v>109</v>
      </c>
      <c r="F330" s="36" t="str">
        <f>IFERROR(VLOOKUP(Table1[[#This Row],[Part Number]],DATABASE_FG!$C$6:D10319,2,FALSE)," ")</f>
        <v xml:space="preserve">094290350-0000 </v>
      </c>
      <c r="G330" s="117">
        <f>IFERROR(_xlfn.XLOOKUP(Table1[[#This Row],[Part Number]],Table3[Part number],Table3[Drawing
 Revision]),"")</f>
        <v>0</v>
      </c>
      <c r="H330" s="118" cm="1">
        <f t="array" ref="H330">IFERROR(INDEX(PDB!$C:$AT,MATCH(E330,PDB!$B:$B,0),MATCH(YEAR(K330),0+PDB!$C$1:$AT$1,0)),"")</f>
        <v>0.94</v>
      </c>
      <c r="I330" s="36">
        <v>0</v>
      </c>
      <c r="J330" s="125">
        <f>IFERROR(Table1[[#This Row],[Quantity]]*Table1[[#This Row],[Price/Unit
EUR]]," ")</f>
        <v>0</v>
      </c>
      <c r="K330" s="126">
        <v>45454</v>
      </c>
      <c r="L330" s="36">
        <f>WEEKNUM(Table1[[#This Row],[ETA
As requested
dd.mm.yyyy]])</f>
        <v>24</v>
      </c>
      <c r="M330" s="36">
        <f>YEAR(Table1[[#This Row],[ETA
As requested
dd.mm.yyyy]])</f>
        <v>2024</v>
      </c>
      <c r="N330" s="36">
        <f>IFERROR(INDEX(DATABASE_FG!$H$5:$H$367, MATCH(E330, DATABASE_FG!$C$5:$C$367, 0)), " ")</f>
        <v>0</v>
      </c>
      <c r="O330" s="129" t="str">
        <f>IF(E330&lt;&gt;"", _xlfn.XLOOKUP(E330, DATABASE_FG!C:C, DATABASE_FG!F:F), " ")</f>
        <v>Strunjite</v>
      </c>
      <c r="P330" s="129">
        <f>IFERROR(INDEX(DATABASE_FG!$G$5:$G$367, MATCH(E330, DATABASE_FG!$C$5:$C$367, 0)), "Not Found")</f>
        <v>0</v>
      </c>
      <c r="Q330" s="36"/>
      <c r="R330" s="125" t="s">
        <v>678</v>
      </c>
      <c r="S330" s="123">
        <f>IFERROR(INDEX(DATABASE_FG!$L$5:$L$367, MATCH(E330, DATABASE_FG!$C$5:$C$367, 0)), " ")</f>
        <v>42</v>
      </c>
      <c r="T330" s="36" t="s">
        <v>679</v>
      </c>
      <c r="U330" s="36"/>
      <c r="V330" s="36"/>
      <c r="W330" s="129"/>
      <c r="X330" s="36"/>
      <c r="Y330" s="36"/>
      <c r="Z330" s="36"/>
      <c r="AA330" s="125" t="s">
        <v>121</v>
      </c>
      <c r="AB330" s="173">
        <v>45474</v>
      </c>
      <c r="AC330" s="119">
        <v>2024753</v>
      </c>
      <c r="AD330" s="36">
        <f t="shared" si="38"/>
        <v>36880804</v>
      </c>
      <c r="AE330" s="36" t="str">
        <f t="shared" si="39"/>
        <v>AU.KB3068-B-0208-DRE</v>
      </c>
      <c r="AF330" s="36">
        <v>480</v>
      </c>
      <c r="AG330" s="120">
        <f t="shared" si="40"/>
        <v>451.2</v>
      </c>
      <c r="AH330" s="36"/>
      <c r="AI330" s="124"/>
      <c r="AJ330" s="122" t="s">
        <v>1664</v>
      </c>
      <c r="AK330" s="129" t="str">
        <f t="shared" ca="1" si="42"/>
        <v>Late</v>
      </c>
      <c r="AL330" s="268" t="str">
        <f t="shared" si="45"/>
        <v>June</v>
      </c>
      <c r="AM330" s="133">
        <f>YEAR(Table1[[#This Row],[ETA
As requested
dd.mm.yyyy]])</f>
        <v>2024</v>
      </c>
    </row>
    <row r="331" spans="1:39" hidden="1">
      <c r="A331" s="123" t="s">
        <v>83</v>
      </c>
      <c r="B331" s="36" t="s">
        <v>1170</v>
      </c>
      <c r="C331" s="117">
        <v>36880804</v>
      </c>
      <c r="D331" s="165">
        <v>45442</v>
      </c>
      <c r="E331" s="117" t="s">
        <v>109</v>
      </c>
      <c r="F331" s="36" t="str">
        <f>IFERROR(VLOOKUP(Table1[[#This Row],[Part Number]],DATABASE_FG!$C$6:D10320,2,FALSE)," ")</f>
        <v xml:space="preserve">094290350-0000 </v>
      </c>
      <c r="G331" s="117">
        <f>IFERROR(_xlfn.XLOOKUP(Table1[[#This Row],[Part Number]],Table3[Part number],Table3[Drawing
 Revision]),"")</f>
        <v>0</v>
      </c>
      <c r="H331" s="118" cm="1">
        <f t="array" ref="H331">IFERROR(INDEX(PDB!$C:$AT,MATCH(E331,PDB!$B:$B,0),MATCH(YEAR(K331),0+PDB!$C$1:$AT$1,0)),"")</f>
        <v>0.94</v>
      </c>
      <c r="I331" s="36">
        <v>0</v>
      </c>
      <c r="J331" s="125">
        <f>IFERROR(Table1[[#This Row],[Quantity]]*Table1[[#This Row],[Price/Unit
EUR]]," ")</f>
        <v>0</v>
      </c>
      <c r="K331" s="126">
        <v>45454</v>
      </c>
      <c r="L331" s="36">
        <f>WEEKNUM(Table1[[#This Row],[ETA
As requested
dd.mm.yyyy]])</f>
        <v>24</v>
      </c>
      <c r="M331" s="36">
        <f>YEAR(Table1[[#This Row],[ETA
As requested
dd.mm.yyyy]])</f>
        <v>2024</v>
      </c>
      <c r="N331" s="36">
        <f>IFERROR(INDEX(DATABASE_FG!$H$5:$H$367, MATCH(E331, DATABASE_FG!$C$5:$C$367, 0)), " ")</f>
        <v>0</v>
      </c>
      <c r="O331" s="129" t="str">
        <f>IF(E331&lt;&gt;"", _xlfn.XLOOKUP(E331, DATABASE_FG!C:C, DATABASE_FG!F:F), " ")</f>
        <v>Strunjite</v>
      </c>
      <c r="P331" s="129">
        <f>IFERROR(INDEX(DATABASE_FG!$G$5:$G$367, MATCH(E331, DATABASE_FG!$C$5:$C$367, 0)), "Not Found")</f>
        <v>0</v>
      </c>
      <c r="Q331" s="36"/>
      <c r="R331" s="125" t="s">
        <v>678</v>
      </c>
      <c r="S331" s="123">
        <f>IFERROR(INDEX(DATABASE_FG!$L$5:$L$367, MATCH(E331, DATABASE_FG!$C$5:$C$367, 0)), " ")</f>
        <v>42</v>
      </c>
      <c r="T331" s="36" t="s">
        <v>679</v>
      </c>
      <c r="U331" s="36"/>
      <c r="V331" s="36"/>
      <c r="W331" s="129"/>
      <c r="X331" s="36"/>
      <c r="Y331" s="36"/>
      <c r="Z331" s="36"/>
      <c r="AA331" s="125" t="s">
        <v>121</v>
      </c>
      <c r="AB331" s="173">
        <v>45475</v>
      </c>
      <c r="AC331" s="119">
        <v>2024772</v>
      </c>
      <c r="AD331" s="36">
        <f t="shared" si="38"/>
        <v>36880804</v>
      </c>
      <c r="AE331" s="36" t="str">
        <f t="shared" si="39"/>
        <v>AU.KB3068-B-0208-DRE</v>
      </c>
      <c r="AF331" s="36">
        <v>253</v>
      </c>
      <c r="AG331" s="120">
        <f t="shared" si="40"/>
        <v>237.82</v>
      </c>
      <c r="AH331" s="36"/>
      <c r="AI331" s="124"/>
      <c r="AJ331" s="122" t="s">
        <v>1666</v>
      </c>
      <c r="AK331" s="129" t="str">
        <f t="shared" ca="1" si="42"/>
        <v>Late</v>
      </c>
      <c r="AL331" s="268" t="str">
        <f t="shared" si="45"/>
        <v>June</v>
      </c>
      <c r="AM331" s="133">
        <f>YEAR(Table1[[#This Row],[ETA
As requested
dd.mm.yyyy]])</f>
        <v>2024</v>
      </c>
    </row>
    <row r="332" spans="1:39" hidden="1">
      <c r="A332" s="123" t="s">
        <v>83</v>
      </c>
      <c r="B332" s="36" t="s">
        <v>1170</v>
      </c>
      <c r="C332" s="117">
        <v>36880804</v>
      </c>
      <c r="D332" s="165">
        <v>45442</v>
      </c>
      <c r="E332" s="117" t="s">
        <v>109</v>
      </c>
      <c r="F332" s="36" t="str">
        <f>IFERROR(VLOOKUP(Table1[[#This Row],[Part Number]],DATABASE_FG!$C$6:D10321,2,FALSE)," ")</f>
        <v xml:space="preserve">094290350-0000 </v>
      </c>
      <c r="G332" s="117">
        <f>IFERROR(_xlfn.XLOOKUP(Table1[[#This Row],[Part Number]],Table3[Part number],Table3[Drawing
 Revision]),"")</f>
        <v>0</v>
      </c>
      <c r="H332" s="118" cm="1">
        <f t="array" ref="H332">IFERROR(INDEX(PDB!$C:$AT,MATCH(E332,PDB!$B:$B,0),MATCH(YEAR(K332),0+PDB!$C$1:$AT$1,0)),"")</f>
        <v>0.94</v>
      </c>
      <c r="I332" s="36">
        <v>0</v>
      </c>
      <c r="J332" s="125">
        <f>IFERROR(Table1[[#This Row],[Quantity]]*Table1[[#This Row],[Price/Unit
EUR]]," ")</f>
        <v>0</v>
      </c>
      <c r="K332" s="126">
        <v>45454</v>
      </c>
      <c r="L332" s="36">
        <f>WEEKNUM(Table1[[#This Row],[ETA
As requested
dd.mm.yyyy]])</f>
        <v>24</v>
      </c>
      <c r="M332" s="36">
        <f>YEAR(Table1[[#This Row],[ETA
As requested
dd.mm.yyyy]])</f>
        <v>2024</v>
      </c>
      <c r="N332" s="36">
        <f>IFERROR(INDEX(DATABASE_FG!$H$5:$H$367, MATCH(E332, DATABASE_FG!$C$5:$C$367, 0)), " ")</f>
        <v>0</v>
      </c>
      <c r="O332" s="129" t="str">
        <f>IF(E332&lt;&gt;"", _xlfn.XLOOKUP(E332, DATABASE_FG!C:C, DATABASE_FG!F:F), " ")</f>
        <v>Strunjite</v>
      </c>
      <c r="P332" s="129">
        <f>IFERROR(INDEX(DATABASE_FG!$G$5:$G$367, MATCH(E332, DATABASE_FG!$C$5:$C$367, 0)), "Not Found")</f>
        <v>0</v>
      </c>
      <c r="Q332" s="36"/>
      <c r="R332" s="125" t="s">
        <v>678</v>
      </c>
      <c r="S332" s="123">
        <f>IFERROR(INDEX(DATABASE_FG!$L$5:$L$367, MATCH(E332, DATABASE_FG!$C$5:$C$367, 0)), " ")</f>
        <v>42</v>
      </c>
      <c r="T332" s="36" t="s">
        <v>679</v>
      </c>
      <c r="U332" s="36"/>
      <c r="V332" s="36"/>
      <c r="W332" s="129"/>
      <c r="X332" s="36"/>
      <c r="Y332" s="36"/>
      <c r="Z332" s="36"/>
      <c r="AA332" s="125" t="s">
        <v>121</v>
      </c>
      <c r="AB332" s="173">
        <v>45476</v>
      </c>
      <c r="AC332" s="119">
        <v>2024781</v>
      </c>
      <c r="AD332" s="36">
        <f t="shared" si="38"/>
        <v>36880804</v>
      </c>
      <c r="AE332" s="36" t="str">
        <f t="shared" si="39"/>
        <v>AU.KB3068-B-0208-DRE</v>
      </c>
      <c r="AF332" s="36">
        <v>49</v>
      </c>
      <c r="AG332" s="120">
        <f t="shared" si="40"/>
        <v>46.059999999999995</v>
      </c>
      <c r="AH332" s="36"/>
      <c r="AI332" s="124"/>
      <c r="AJ332" s="122" t="s">
        <v>1667</v>
      </c>
      <c r="AK332" s="129" t="str">
        <f t="shared" ca="1" si="42"/>
        <v>Late</v>
      </c>
      <c r="AL332" s="268" t="str">
        <f t="shared" si="45"/>
        <v>June</v>
      </c>
      <c r="AM332" s="133">
        <f>YEAR(Table1[[#This Row],[ETA
As requested
dd.mm.yyyy]])</f>
        <v>2024</v>
      </c>
    </row>
    <row r="333" spans="1:39" hidden="1">
      <c r="A333" s="123" t="s">
        <v>83</v>
      </c>
      <c r="B333" s="36" t="s">
        <v>1170</v>
      </c>
      <c r="C333" s="117">
        <v>36880804</v>
      </c>
      <c r="D333" s="165">
        <v>45442</v>
      </c>
      <c r="E333" s="117" t="s">
        <v>109</v>
      </c>
      <c r="F333" s="36" t="str">
        <f>IFERROR(VLOOKUP(Table1[[#This Row],[Part Number]],DATABASE_FG!$C$6:D10322,2,FALSE)," ")</f>
        <v xml:space="preserve">094290350-0000 </v>
      </c>
      <c r="G333" s="117">
        <f>IFERROR(_xlfn.XLOOKUP(Table1[[#This Row],[Part Number]],Table3[Part number],Table3[Drawing
 Revision]),"")</f>
        <v>0</v>
      </c>
      <c r="H333" s="118" cm="1">
        <f t="array" ref="H333">IFERROR(INDEX(PDB!$C:$AT,MATCH(E333,PDB!$B:$B,0),MATCH(YEAR(K333),0+PDB!$C$1:$AT$1,0)),"")</f>
        <v>0.94</v>
      </c>
      <c r="I333" s="36">
        <v>0</v>
      </c>
      <c r="J333" s="125">
        <f>IFERROR(Table1[[#This Row],[Quantity]]*Table1[[#This Row],[Price/Unit
EUR]]," ")</f>
        <v>0</v>
      </c>
      <c r="K333" s="126">
        <v>45454</v>
      </c>
      <c r="L333" s="36">
        <f>WEEKNUM(Table1[[#This Row],[ETA
As requested
dd.mm.yyyy]])</f>
        <v>24</v>
      </c>
      <c r="M333" s="36">
        <f>YEAR(Table1[[#This Row],[ETA
As requested
dd.mm.yyyy]])</f>
        <v>2024</v>
      </c>
      <c r="N333" s="36">
        <f>IFERROR(INDEX(DATABASE_FG!$H$5:$H$367, MATCH(E333, DATABASE_FG!$C$5:$C$367, 0)), " ")</f>
        <v>0</v>
      </c>
      <c r="O333" s="129" t="str">
        <f>IF(E333&lt;&gt;"", _xlfn.XLOOKUP(E333, DATABASE_FG!C:C, DATABASE_FG!F:F), " ")</f>
        <v>Strunjite</v>
      </c>
      <c r="P333" s="129">
        <f>IFERROR(INDEX(DATABASE_FG!$G$5:$G$367, MATCH(E333, DATABASE_FG!$C$5:$C$367, 0)), "Not Found")</f>
        <v>0</v>
      </c>
      <c r="Q333" s="36"/>
      <c r="R333" s="125" t="s">
        <v>678</v>
      </c>
      <c r="S333" s="123">
        <f>IFERROR(INDEX(DATABASE_FG!$L$5:$L$367, MATCH(E333, DATABASE_FG!$C$5:$C$367, 0)), " ")</f>
        <v>42</v>
      </c>
      <c r="T333" s="36" t="s">
        <v>679</v>
      </c>
      <c r="U333" s="36"/>
      <c r="V333" s="36"/>
      <c r="W333" s="129"/>
      <c r="X333" s="36"/>
      <c r="Y333" s="36"/>
      <c r="Z333" s="36"/>
      <c r="AA333" s="125" t="s">
        <v>121</v>
      </c>
      <c r="AB333" s="173">
        <v>45477</v>
      </c>
      <c r="AC333" s="119">
        <v>2024797</v>
      </c>
      <c r="AD333" s="36">
        <f t="shared" si="38"/>
        <v>36880804</v>
      </c>
      <c r="AE333" s="36" t="str">
        <f t="shared" si="39"/>
        <v>AU.KB3068-B-0208-DRE</v>
      </c>
      <c r="AF333" s="36">
        <v>41</v>
      </c>
      <c r="AG333" s="120">
        <f t="shared" si="40"/>
        <v>38.54</v>
      </c>
      <c r="AH333" s="36"/>
      <c r="AI333" s="124"/>
      <c r="AJ333" s="122" t="s">
        <v>1668</v>
      </c>
      <c r="AK333" s="129" t="str">
        <f t="shared" ca="1" si="42"/>
        <v>Late</v>
      </c>
      <c r="AL333" s="268" t="str">
        <f t="shared" si="45"/>
        <v>June</v>
      </c>
      <c r="AM333" s="133">
        <f>YEAR(Table1[[#This Row],[ETA
As requested
dd.mm.yyyy]])</f>
        <v>2024</v>
      </c>
    </row>
    <row r="334" spans="1:39" hidden="1">
      <c r="A334" s="123" t="s">
        <v>83</v>
      </c>
      <c r="B334" s="36" t="s">
        <v>1170</v>
      </c>
      <c r="C334" s="117">
        <v>37146432</v>
      </c>
      <c r="D334" s="165">
        <v>45476</v>
      </c>
      <c r="E334" s="117" t="s">
        <v>109</v>
      </c>
      <c r="F334" s="36" t="str">
        <f>IFERROR(VLOOKUP(Table1[[#This Row],[Part Number]],DATABASE_FG!$C$6:D10323,2,FALSE)," ")</f>
        <v xml:space="preserve">094290350-0000 </v>
      </c>
      <c r="G334" s="117">
        <f>IFERROR(_xlfn.XLOOKUP(Table1[[#This Row],[Part Number]],Table3[Part number],Table3[Drawing
 Revision]),"")</f>
        <v>0</v>
      </c>
      <c r="H334" s="118" cm="1">
        <f t="array" ref="H334">IFERROR(INDEX(PDB!$C:$AT,MATCH(E334,PDB!$B:$B,0),MATCH(YEAR(K334),0+PDB!$C$1:$AT$1,0)),"")</f>
        <v>0.94</v>
      </c>
      <c r="I334" s="36">
        <v>2000</v>
      </c>
      <c r="J334" s="125">
        <f>IFERROR(Table1[[#This Row],[Quantity]]*Table1[[#This Row],[Price/Unit
EUR]]," ")</f>
        <v>1880</v>
      </c>
      <c r="K334" s="126">
        <v>45477</v>
      </c>
      <c r="L334" s="36">
        <f>WEEKNUM(Table1[[#This Row],[ETA
As requested
dd.mm.yyyy]])</f>
        <v>27</v>
      </c>
      <c r="M334" s="36">
        <f>YEAR(Table1[[#This Row],[ETA
As requested
dd.mm.yyyy]])</f>
        <v>2024</v>
      </c>
      <c r="N334" s="36">
        <f>IFERROR(INDEX(DATABASE_FG!$H$5:$H$367, MATCH(E334, DATABASE_FG!$C$5:$C$367, 0)), " ")</f>
        <v>0</v>
      </c>
      <c r="O334" s="129" t="str">
        <f>IF(E334&lt;&gt;"", _xlfn.XLOOKUP(E334, DATABASE_FG!C:C, DATABASE_FG!F:F), " ")</f>
        <v>Strunjite</v>
      </c>
      <c r="P334" s="129">
        <f>IFERROR(INDEX(DATABASE_FG!$G$5:$G$367, MATCH(E334, DATABASE_FG!$C$5:$C$367, 0)), "Not Found")</f>
        <v>0</v>
      </c>
      <c r="Q334" s="36"/>
      <c r="R334" s="125" t="s">
        <v>678</v>
      </c>
      <c r="S334" s="123">
        <f>IFERROR(INDEX(DATABASE_FG!$L$5:$L$367, MATCH(E334, DATABASE_FG!$C$5:$C$367, 0)), " ")</f>
        <v>42</v>
      </c>
      <c r="T334" s="36" t="s">
        <v>679</v>
      </c>
      <c r="U334" s="36"/>
      <c r="V334" s="36"/>
      <c r="W334" s="129"/>
      <c r="X334" s="36"/>
      <c r="Y334" s="36"/>
      <c r="Z334" s="36">
        <v>242905</v>
      </c>
      <c r="AA334" s="125" t="s">
        <v>121</v>
      </c>
      <c r="AB334" s="173">
        <v>45477</v>
      </c>
      <c r="AC334" s="119">
        <v>2024798</v>
      </c>
      <c r="AD334" s="36">
        <f t="shared" si="38"/>
        <v>37146432</v>
      </c>
      <c r="AE334" s="36" t="str">
        <f t="shared" si="39"/>
        <v>AU.KB3068-B-0208-DRE</v>
      </c>
      <c r="AF334" s="36">
        <v>68</v>
      </c>
      <c r="AG334" s="120">
        <f t="shared" si="40"/>
        <v>63.919999999999995</v>
      </c>
      <c r="AH334" s="36"/>
      <c r="AI334" s="124"/>
      <c r="AJ334" s="122" t="s">
        <v>1768</v>
      </c>
      <c r="AK334" s="129" t="str">
        <f t="shared" ca="1" si="42"/>
        <v>On Time</v>
      </c>
      <c r="AL334" s="268" t="str">
        <f t="shared" si="45"/>
        <v>July</v>
      </c>
      <c r="AM334" s="133">
        <f>YEAR(Table1[[#This Row],[ETA
As requested
dd.mm.yyyy]])</f>
        <v>2024</v>
      </c>
    </row>
    <row r="335" spans="1:39" hidden="1">
      <c r="A335" s="123" t="s">
        <v>83</v>
      </c>
      <c r="B335" s="36" t="s">
        <v>1170</v>
      </c>
      <c r="C335" s="117">
        <v>37146432</v>
      </c>
      <c r="D335" s="165">
        <v>45476</v>
      </c>
      <c r="E335" s="117" t="s">
        <v>109</v>
      </c>
      <c r="F335" s="36" t="str">
        <f>IFERROR(VLOOKUP(Table1[[#This Row],[Part Number]],DATABASE_FG!$C$6:D10324,2,FALSE)," ")</f>
        <v xml:space="preserve">094290350-0000 </v>
      </c>
      <c r="G335" s="117">
        <f>IFERROR(_xlfn.XLOOKUP(Table1[[#This Row],[Part Number]],Table3[Part number],Table3[Drawing
 Revision]),"")</f>
        <v>0</v>
      </c>
      <c r="H335" s="118" cm="1">
        <f t="array" ref="H335">IFERROR(INDEX(PDB!$C:$AT,MATCH(E335,PDB!$B:$B,0),MATCH(YEAR(K335),0+PDB!$C$1:$AT$1,0)),"")</f>
        <v>0.94</v>
      </c>
      <c r="I335" s="36">
        <v>0</v>
      </c>
      <c r="J335" s="125">
        <f>IFERROR(Table1[[#This Row],[Quantity]]*Table1[[#This Row],[Price/Unit
EUR]]," ")</f>
        <v>0</v>
      </c>
      <c r="K335" s="126">
        <v>45477</v>
      </c>
      <c r="L335" s="36">
        <f>WEEKNUM(Table1[[#This Row],[ETA
As requested
dd.mm.yyyy]])</f>
        <v>27</v>
      </c>
      <c r="M335" s="36">
        <f>YEAR(Table1[[#This Row],[ETA
As requested
dd.mm.yyyy]])</f>
        <v>2024</v>
      </c>
      <c r="N335" s="36">
        <f>IFERROR(INDEX(DATABASE_FG!$H$5:$H$367, MATCH(E335, DATABASE_FG!$C$5:$C$367, 0)), " ")</f>
        <v>0</v>
      </c>
      <c r="O335" s="129" t="str">
        <f>IF(E335&lt;&gt;"", _xlfn.XLOOKUP(E335, DATABASE_FG!C:C, DATABASE_FG!F:F), " ")</f>
        <v>Strunjite</v>
      </c>
      <c r="P335" s="129">
        <f>IFERROR(INDEX(DATABASE_FG!$G$5:$G$367, MATCH(E335, DATABASE_FG!$C$5:$C$367, 0)), "Not Found")</f>
        <v>0</v>
      </c>
      <c r="Q335" s="36"/>
      <c r="R335" s="125" t="s">
        <v>678</v>
      </c>
      <c r="S335" s="123">
        <f>IFERROR(INDEX(DATABASE_FG!$L$5:$L$367, MATCH(E335, DATABASE_FG!$C$5:$C$367, 0)), " ")</f>
        <v>42</v>
      </c>
      <c r="T335" s="36" t="s">
        <v>679</v>
      </c>
      <c r="U335" s="36"/>
      <c r="V335" s="36"/>
      <c r="W335" s="129"/>
      <c r="X335" s="36"/>
      <c r="Y335" s="36"/>
      <c r="Z335" s="36"/>
      <c r="AA335" s="125" t="s">
        <v>121</v>
      </c>
      <c r="AB335" s="173">
        <v>45491</v>
      </c>
      <c r="AC335" s="119">
        <v>2024872</v>
      </c>
      <c r="AD335" s="36">
        <f t="shared" si="38"/>
        <v>37146432</v>
      </c>
      <c r="AE335" s="36" t="str">
        <f t="shared" si="39"/>
        <v>AU.KB3068-B-0208-DRE</v>
      </c>
      <c r="AF335" s="36">
        <v>200</v>
      </c>
      <c r="AG335" s="120">
        <f t="shared" si="40"/>
        <v>188</v>
      </c>
      <c r="AH335" s="36"/>
      <c r="AI335" s="124"/>
      <c r="AJ335" s="122" t="s">
        <v>1780</v>
      </c>
      <c r="AK335" s="129" t="str">
        <f t="shared" ca="1" si="42"/>
        <v>Late</v>
      </c>
      <c r="AL335" s="268" t="str">
        <f t="shared" ref="AL335:AL366" si="46">TEXT(K335,"mmmm")</f>
        <v>July</v>
      </c>
      <c r="AM335" s="133">
        <f>YEAR(Table1[[#This Row],[ETA
As requested
dd.mm.yyyy]])</f>
        <v>2024</v>
      </c>
    </row>
    <row r="336" spans="1:39" hidden="1">
      <c r="A336" s="123" t="s">
        <v>83</v>
      </c>
      <c r="B336" s="36" t="s">
        <v>1170</v>
      </c>
      <c r="C336" s="117">
        <v>37146432</v>
      </c>
      <c r="D336" s="165">
        <v>45476</v>
      </c>
      <c r="E336" s="117" t="s">
        <v>109</v>
      </c>
      <c r="F336" s="36" t="str">
        <f>IFERROR(VLOOKUP(Table1[[#This Row],[Part Number]],DATABASE_FG!$C$6:D10325,2,FALSE)," ")</f>
        <v xml:space="preserve">094290350-0000 </v>
      </c>
      <c r="G336" s="117">
        <f>IFERROR(_xlfn.XLOOKUP(Table1[[#This Row],[Part Number]],Table3[Part number],Table3[Drawing
 Revision]),"")</f>
        <v>0</v>
      </c>
      <c r="H336" s="118" cm="1">
        <f t="array" ref="H336">IFERROR(INDEX(PDB!$C:$AT,MATCH(E336,PDB!$B:$B,0),MATCH(YEAR(K336),0+PDB!$C$1:$AT$1,0)),"")</f>
        <v>0.94</v>
      </c>
      <c r="I336" s="36">
        <v>0</v>
      </c>
      <c r="J336" s="125">
        <f>IFERROR(Table1[[#This Row],[Quantity]]*Table1[[#This Row],[Price/Unit
EUR]]," ")</f>
        <v>0</v>
      </c>
      <c r="K336" s="126">
        <v>45477</v>
      </c>
      <c r="L336" s="36">
        <f>WEEKNUM(Table1[[#This Row],[ETA
As requested
dd.mm.yyyy]])</f>
        <v>27</v>
      </c>
      <c r="M336" s="36">
        <f>YEAR(Table1[[#This Row],[ETA
As requested
dd.mm.yyyy]])</f>
        <v>2024</v>
      </c>
      <c r="N336" s="36">
        <f>IFERROR(INDEX(DATABASE_FG!$H$5:$H$367, MATCH(E336, DATABASE_FG!$C$5:$C$367, 0)), " ")</f>
        <v>0</v>
      </c>
      <c r="O336" s="129" t="str">
        <f>IF(E336&lt;&gt;"", _xlfn.XLOOKUP(E336, DATABASE_FG!C:C, DATABASE_FG!F:F), " ")</f>
        <v>Strunjite</v>
      </c>
      <c r="P336" s="129">
        <f>IFERROR(INDEX(DATABASE_FG!$G$5:$G$367, MATCH(E336, DATABASE_FG!$C$5:$C$367, 0)), "Not Found")</f>
        <v>0</v>
      </c>
      <c r="Q336" s="36"/>
      <c r="R336" s="125" t="s">
        <v>678</v>
      </c>
      <c r="S336" s="123">
        <f>IFERROR(INDEX(DATABASE_FG!$L$5:$L$367, MATCH(E336, DATABASE_FG!$C$5:$C$367, 0)), " ")</f>
        <v>42</v>
      </c>
      <c r="T336" s="36" t="s">
        <v>679</v>
      </c>
      <c r="U336" s="36"/>
      <c r="V336" s="36"/>
      <c r="W336" s="129"/>
      <c r="X336" s="36"/>
      <c r="Y336" s="36"/>
      <c r="Z336" s="36"/>
      <c r="AA336" s="125" t="s">
        <v>121</v>
      </c>
      <c r="AB336" s="173">
        <v>45492</v>
      </c>
      <c r="AC336" s="119">
        <v>2024884</v>
      </c>
      <c r="AD336" s="36">
        <f t="shared" si="38"/>
        <v>37146432</v>
      </c>
      <c r="AE336" s="36" t="str">
        <f t="shared" si="39"/>
        <v>AU.KB3068-B-0208-DRE</v>
      </c>
      <c r="AF336" s="36">
        <v>320</v>
      </c>
      <c r="AG336" s="120">
        <f t="shared" si="40"/>
        <v>300.79999999999995</v>
      </c>
      <c r="AH336" s="36"/>
      <c r="AI336" s="124"/>
      <c r="AJ336" s="122" t="s">
        <v>1781</v>
      </c>
      <c r="AK336" s="129" t="str">
        <f t="shared" ca="1" si="42"/>
        <v>Late</v>
      </c>
      <c r="AL336" s="268" t="str">
        <f t="shared" si="46"/>
        <v>July</v>
      </c>
      <c r="AM336" s="133">
        <f>YEAR(Table1[[#This Row],[ETA
As requested
dd.mm.yyyy]])</f>
        <v>2024</v>
      </c>
    </row>
    <row r="337" spans="1:39" hidden="1">
      <c r="A337" s="123" t="s">
        <v>83</v>
      </c>
      <c r="B337" s="36" t="s">
        <v>1170</v>
      </c>
      <c r="C337" s="117">
        <v>37146432</v>
      </c>
      <c r="D337" s="165">
        <v>45476</v>
      </c>
      <c r="E337" s="117" t="s">
        <v>109</v>
      </c>
      <c r="F337" s="36" t="str">
        <f>IFERROR(VLOOKUP(Table1[[#This Row],[Part Number]],DATABASE_FG!$C$6:D10326,2,FALSE)," ")</f>
        <v xml:space="preserve">094290350-0000 </v>
      </c>
      <c r="G337" s="117">
        <f>IFERROR(_xlfn.XLOOKUP(Table1[[#This Row],[Part Number]],Table3[Part number],Table3[Drawing
 Revision]),"")</f>
        <v>0</v>
      </c>
      <c r="H337" s="118" cm="1">
        <f t="array" ref="H337">IFERROR(INDEX(PDB!$C:$AT,MATCH(E337,PDB!$B:$B,0),MATCH(YEAR(K337),0+PDB!$C$1:$AT$1,0)),"")</f>
        <v>0.94</v>
      </c>
      <c r="I337" s="36">
        <v>0</v>
      </c>
      <c r="J337" s="125">
        <f>IFERROR(Table1[[#This Row],[Quantity]]*Table1[[#This Row],[Price/Unit
EUR]]," ")</f>
        <v>0</v>
      </c>
      <c r="K337" s="126">
        <v>45477</v>
      </c>
      <c r="L337" s="36">
        <f>WEEKNUM(Table1[[#This Row],[ETA
As requested
dd.mm.yyyy]])</f>
        <v>27</v>
      </c>
      <c r="M337" s="36">
        <f>YEAR(Table1[[#This Row],[ETA
As requested
dd.mm.yyyy]])</f>
        <v>2024</v>
      </c>
      <c r="N337" s="36">
        <f>IFERROR(INDEX(DATABASE_FG!$H$5:$H$367, MATCH(E337, DATABASE_FG!$C$5:$C$367, 0)), " ")</f>
        <v>0</v>
      </c>
      <c r="O337" s="129" t="str">
        <f>IF(E337&lt;&gt;"", _xlfn.XLOOKUP(E337, DATABASE_FG!C:C, DATABASE_FG!F:F), " ")</f>
        <v>Strunjite</v>
      </c>
      <c r="P337" s="129">
        <f>IFERROR(INDEX(DATABASE_FG!$G$5:$G$367, MATCH(E337, DATABASE_FG!$C$5:$C$367, 0)), "Not Found")</f>
        <v>0</v>
      </c>
      <c r="Q337" s="36"/>
      <c r="R337" s="125" t="s">
        <v>678</v>
      </c>
      <c r="S337" s="123">
        <f>IFERROR(INDEX(DATABASE_FG!$L$5:$L$367, MATCH(E337, DATABASE_FG!$C$5:$C$367, 0)), " ")</f>
        <v>42</v>
      </c>
      <c r="T337" s="36" t="s">
        <v>679</v>
      </c>
      <c r="U337" s="36"/>
      <c r="V337" s="36"/>
      <c r="W337" s="129"/>
      <c r="X337" s="36"/>
      <c r="Y337" s="36"/>
      <c r="Z337" s="36"/>
      <c r="AA337" s="125" t="s">
        <v>121</v>
      </c>
      <c r="AB337" s="173">
        <v>45495</v>
      </c>
      <c r="AC337" s="119">
        <v>2024891</v>
      </c>
      <c r="AD337" s="36">
        <f t="shared" si="38"/>
        <v>37146432</v>
      </c>
      <c r="AE337" s="36" t="str">
        <f t="shared" si="39"/>
        <v>AU.KB3068-B-0208-DRE</v>
      </c>
      <c r="AF337" s="36">
        <v>480</v>
      </c>
      <c r="AG337" s="120">
        <f t="shared" si="40"/>
        <v>451.2</v>
      </c>
      <c r="AH337" s="36"/>
      <c r="AI337" s="124"/>
      <c r="AJ337" s="122" t="s">
        <v>1782</v>
      </c>
      <c r="AK337" s="129" t="str">
        <f t="shared" ca="1" si="42"/>
        <v>Late</v>
      </c>
      <c r="AL337" s="268" t="str">
        <f t="shared" si="46"/>
        <v>July</v>
      </c>
      <c r="AM337" s="133">
        <f>YEAR(Table1[[#This Row],[ETA
As requested
dd.mm.yyyy]])</f>
        <v>2024</v>
      </c>
    </row>
    <row r="338" spans="1:39" hidden="1">
      <c r="A338" s="123" t="s">
        <v>83</v>
      </c>
      <c r="B338" s="36" t="s">
        <v>1170</v>
      </c>
      <c r="C338" s="117">
        <v>37146432</v>
      </c>
      <c r="D338" s="165">
        <v>45477</v>
      </c>
      <c r="E338" s="117" t="s">
        <v>109</v>
      </c>
      <c r="F338" s="36" t="str">
        <f>IFERROR(VLOOKUP(Table1[[#This Row],[Part Number]],DATABASE_FG!$C$6:D10327,2,FALSE)," ")</f>
        <v xml:space="preserve">094290350-0000 </v>
      </c>
      <c r="G338" s="117">
        <f>IFERROR(_xlfn.XLOOKUP(Table1[[#This Row],[Part Number]],Table3[Part number],Table3[Drawing
 Revision]),"")</f>
        <v>0</v>
      </c>
      <c r="H338" s="118" cm="1">
        <f t="array" ref="H338">IFERROR(INDEX(PDB!$C:$AT,MATCH(E338,PDB!$B:$B,0),MATCH(YEAR(K338),0+PDB!$C$1:$AT$1,0)),"")</f>
        <v>0.94</v>
      </c>
      <c r="I338" s="36">
        <v>0</v>
      </c>
      <c r="J338" s="125">
        <f>IFERROR(Table1[[#This Row],[Quantity]]*Table1[[#This Row],[Price/Unit
EUR]]," ")</f>
        <v>0</v>
      </c>
      <c r="K338" s="126">
        <v>45477</v>
      </c>
      <c r="L338" s="36">
        <f>WEEKNUM(Table1[[#This Row],[ETA
As requested
dd.mm.yyyy]])</f>
        <v>27</v>
      </c>
      <c r="M338" s="36">
        <f>YEAR(Table1[[#This Row],[ETA
As requested
dd.mm.yyyy]])</f>
        <v>2024</v>
      </c>
      <c r="N338" s="36">
        <f>IFERROR(INDEX(DATABASE_FG!$H$5:$H$367, MATCH(E338, DATABASE_FG!$C$5:$C$367, 0)), " ")</f>
        <v>0</v>
      </c>
      <c r="O338" s="129" t="str">
        <f>IF(E338&lt;&gt;"", _xlfn.XLOOKUP(E338, DATABASE_FG!C:C, DATABASE_FG!F:F), " ")</f>
        <v>Strunjite</v>
      </c>
      <c r="P338" s="129">
        <f>IFERROR(INDEX(DATABASE_FG!$G$5:$G$367, MATCH(E338, DATABASE_FG!$C$5:$C$367, 0)), "Not Found")</f>
        <v>0</v>
      </c>
      <c r="Q338" s="36"/>
      <c r="R338" s="125" t="s">
        <v>678</v>
      </c>
      <c r="S338" s="123">
        <f>IFERROR(INDEX(DATABASE_FG!$L$5:$L$367, MATCH(E338, DATABASE_FG!$C$5:$C$367, 0)), " ")</f>
        <v>42</v>
      </c>
      <c r="T338" s="36" t="s">
        <v>679</v>
      </c>
      <c r="U338" s="36"/>
      <c r="V338" s="36"/>
      <c r="W338" s="129"/>
      <c r="X338" s="36"/>
      <c r="Y338" s="36"/>
      <c r="Z338" s="36"/>
      <c r="AA338" s="125" t="s">
        <v>121</v>
      </c>
      <c r="AB338" s="173">
        <v>45496</v>
      </c>
      <c r="AC338" s="119">
        <v>2024904</v>
      </c>
      <c r="AD338" s="36">
        <f t="shared" si="38"/>
        <v>37146432</v>
      </c>
      <c r="AE338" s="36" t="str">
        <f t="shared" si="39"/>
        <v>AU.KB3068-B-0208-DRE</v>
      </c>
      <c r="AF338" s="36">
        <v>533</v>
      </c>
      <c r="AG338" s="120">
        <f t="shared" si="40"/>
        <v>501.02</v>
      </c>
      <c r="AH338" s="36"/>
      <c r="AI338" s="124"/>
      <c r="AJ338" s="122" t="s">
        <v>1784</v>
      </c>
      <c r="AK338" s="129" t="str">
        <f t="shared" ca="1" si="42"/>
        <v>Late</v>
      </c>
      <c r="AL338" s="268" t="str">
        <f t="shared" si="46"/>
        <v>July</v>
      </c>
      <c r="AM338" s="133">
        <f>YEAR(Table1[[#This Row],[ETA
As requested
dd.mm.yyyy]])</f>
        <v>2024</v>
      </c>
    </row>
    <row r="339" spans="1:39" hidden="1">
      <c r="A339" s="123" t="s">
        <v>83</v>
      </c>
      <c r="B339" s="36" t="s">
        <v>1170</v>
      </c>
      <c r="C339" s="117">
        <v>37146432</v>
      </c>
      <c r="D339" s="165">
        <v>45477</v>
      </c>
      <c r="E339" s="117" t="s">
        <v>109</v>
      </c>
      <c r="F339" s="36" t="str">
        <f>IFERROR(VLOOKUP(Table1[[#This Row],[Part Number]],DATABASE_FG!$C$6:D10328,2,FALSE)," ")</f>
        <v xml:space="preserve">094290350-0000 </v>
      </c>
      <c r="G339" s="117">
        <f>IFERROR(_xlfn.XLOOKUP(Table1[[#This Row],[Part Number]],Table3[Part number],Table3[Drawing
 Revision]),"")</f>
        <v>0</v>
      </c>
      <c r="H339" s="118" cm="1">
        <f t="array" ref="H339">IFERROR(INDEX(PDB!$C:$AT,MATCH(E339,PDB!$B:$B,0),MATCH(YEAR(K339),0+PDB!$C$1:$AT$1,0)),"")</f>
        <v>0.94</v>
      </c>
      <c r="I339" s="36">
        <v>0</v>
      </c>
      <c r="J339" s="125">
        <f>IFERROR(Table1[[#This Row],[Quantity]]*Table1[[#This Row],[Price/Unit
EUR]]," ")</f>
        <v>0</v>
      </c>
      <c r="K339" s="126">
        <v>45477</v>
      </c>
      <c r="L339" s="36">
        <f>WEEKNUM(Table1[[#This Row],[ETA
As requested
dd.mm.yyyy]])</f>
        <v>27</v>
      </c>
      <c r="M339" s="36">
        <f>YEAR(Table1[[#This Row],[ETA
As requested
dd.mm.yyyy]])</f>
        <v>2024</v>
      </c>
      <c r="N339" s="36">
        <f>IFERROR(INDEX(DATABASE_FG!$H$5:$H$367, MATCH(E339, DATABASE_FG!$C$5:$C$367, 0)), " ")</f>
        <v>0</v>
      </c>
      <c r="O339" s="129" t="str">
        <f>IF(E339&lt;&gt;"", _xlfn.XLOOKUP(E339, DATABASE_FG!C:C, DATABASE_FG!F:F), " ")</f>
        <v>Strunjite</v>
      </c>
      <c r="P339" s="129">
        <f>IFERROR(INDEX(DATABASE_FG!$G$5:$G$367, MATCH(E339, DATABASE_FG!$C$5:$C$367, 0)), "Not Found")</f>
        <v>0</v>
      </c>
      <c r="Q339" s="36"/>
      <c r="R339" s="125" t="s">
        <v>678</v>
      </c>
      <c r="S339" s="123">
        <f>IFERROR(INDEX(DATABASE_FG!$L$5:$L$367, MATCH(E339, DATABASE_FG!$C$5:$C$367, 0)), " ")</f>
        <v>42</v>
      </c>
      <c r="T339" s="36" t="s">
        <v>679</v>
      </c>
      <c r="U339" s="36"/>
      <c r="V339" s="36"/>
      <c r="W339" s="129"/>
      <c r="X339" s="36"/>
      <c r="Y339" s="36"/>
      <c r="Z339" s="36"/>
      <c r="AA339" s="125" t="s">
        <v>121</v>
      </c>
      <c r="AB339" s="173">
        <v>45497</v>
      </c>
      <c r="AC339" s="119">
        <v>2024912</v>
      </c>
      <c r="AD339" s="36">
        <f t="shared" si="38"/>
        <v>37146432</v>
      </c>
      <c r="AE339" s="36" t="str">
        <f t="shared" si="39"/>
        <v>AU.KB3068-B-0208-DRE</v>
      </c>
      <c r="AF339" s="36">
        <v>373</v>
      </c>
      <c r="AG339" s="120">
        <f t="shared" si="40"/>
        <v>350.62</v>
      </c>
      <c r="AH339" s="36"/>
      <c r="AI339" s="124"/>
      <c r="AJ339" s="122" t="s">
        <v>1786</v>
      </c>
      <c r="AK339" s="129" t="str">
        <f t="shared" ca="1" si="42"/>
        <v>Late</v>
      </c>
      <c r="AL339" s="268" t="str">
        <f t="shared" si="46"/>
        <v>July</v>
      </c>
      <c r="AM339" s="133">
        <f>YEAR(Table1[[#This Row],[ETA
As requested
dd.mm.yyyy]])</f>
        <v>2024</v>
      </c>
    </row>
    <row r="340" spans="1:39" hidden="1">
      <c r="A340" s="123" t="s">
        <v>83</v>
      </c>
      <c r="B340" s="36" t="s">
        <v>1170</v>
      </c>
      <c r="C340" s="117">
        <v>37146432</v>
      </c>
      <c r="D340" s="165">
        <v>45477</v>
      </c>
      <c r="E340" s="117" t="s">
        <v>109</v>
      </c>
      <c r="F340" s="36" t="str">
        <f>IFERROR(VLOOKUP(Table1[[#This Row],[Part Number]],DATABASE_FG!$C$6:D10329,2,FALSE)," ")</f>
        <v xml:space="preserve">094290350-0000 </v>
      </c>
      <c r="G340" s="117">
        <f>IFERROR(_xlfn.XLOOKUP(Table1[[#This Row],[Part Number]],Table3[Part number],Table3[Drawing
 Revision]),"")</f>
        <v>0</v>
      </c>
      <c r="H340" s="118" cm="1">
        <f t="array" ref="H340">IFERROR(INDEX(PDB!$C:$AT,MATCH(E340,PDB!$B:$B,0),MATCH(YEAR(K340),0+PDB!$C$1:$AT$1,0)),"")</f>
        <v>0.94</v>
      </c>
      <c r="I340" s="36">
        <v>0</v>
      </c>
      <c r="J340" s="125">
        <f>IFERROR(Table1[[#This Row],[Quantity]]*Table1[[#This Row],[Price/Unit
EUR]]," ")</f>
        <v>0</v>
      </c>
      <c r="K340" s="126">
        <v>45477</v>
      </c>
      <c r="L340" s="36">
        <f>WEEKNUM(Table1[[#This Row],[ETA
As requested
dd.mm.yyyy]])</f>
        <v>27</v>
      </c>
      <c r="M340" s="36">
        <f>YEAR(Table1[[#This Row],[ETA
As requested
dd.mm.yyyy]])</f>
        <v>2024</v>
      </c>
      <c r="N340" s="36">
        <f>IFERROR(INDEX(DATABASE_FG!$H$5:$H$367, MATCH(E340, DATABASE_FG!$C$5:$C$367, 0)), " ")</f>
        <v>0</v>
      </c>
      <c r="O340" s="129" t="str">
        <f>IF(E340&lt;&gt;"", _xlfn.XLOOKUP(E340, DATABASE_FG!C:C, DATABASE_FG!F:F), " ")</f>
        <v>Strunjite</v>
      </c>
      <c r="P340" s="129">
        <f>IFERROR(INDEX(DATABASE_FG!$G$5:$G$367, MATCH(E340, DATABASE_FG!$C$5:$C$367, 0)), "Not Found")</f>
        <v>0</v>
      </c>
      <c r="Q340" s="36"/>
      <c r="R340" s="125" t="s">
        <v>678</v>
      </c>
      <c r="S340" s="123">
        <f>IFERROR(INDEX(DATABASE_FG!$L$5:$L$367, MATCH(E340, DATABASE_FG!$C$5:$C$367, 0)), " ")</f>
        <v>42</v>
      </c>
      <c r="T340" s="36" t="s">
        <v>679</v>
      </c>
      <c r="U340" s="36"/>
      <c r="V340" s="36"/>
      <c r="W340" s="129"/>
      <c r="X340" s="36"/>
      <c r="Y340" s="36"/>
      <c r="Z340" s="36"/>
      <c r="AA340" s="125" t="s">
        <v>121</v>
      </c>
      <c r="AB340" s="173">
        <v>45498</v>
      </c>
      <c r="AC340" s="119">
        <v>2024922</v>
      </c>
      <c r="AD340" s="36">
        <f t="shared" si="38"/>
        <v>37146432</v>
      </c>
      <c r="AE340" s="36" t="str">
        <f t="shared" si="39"/>
        <v>AU.KB3068-B-0208-DRE</v>
      </c>
      <c r="AF340" s="36">
        <v>26</v>
      </c>
      <c r="AG340" s="120">
        <f t="shared" si="40"/>
        <v>24.439999999999998</v>
      </c>
      <c r="AH340" s="36"/>
      <c r="AI340" s="124"/>
      <c r="AJ340" s="122" t="s">
        <v>1787</v>
      </c>
      <c r="AK340" s="129" t="str">
        <f t="shared" ca="1" si="42"/>
        <v>Late</v>
      </c>
      <c r="AL340" s="268" t="str">
        <f t="shared" si="46"/>
        <v>July</v>
      </c>
      <c r="AM340" s="133">
        <f>YEAR(Table1[[#This Row],[ETA
As requested
dd.mm.yyyy]])</f>
        <v>2024</v>
      </c>
    </row>
    <row r="341" spans="1:39" hidden="1">
      <c r="A341" s="123" t="s">
        <v>83</v>
      </c>
      <c r="B341" s="36" t="s">
        <v>1170</v>
      </c>
      <c r="C341" s="117">
        <v>37146437</v>
      </c>
      <c r="D341" s="165">
        <v>45476</v>
      </c>
      <c r="E341" s="117" t="s">
        <v>109</v>
      </c>
      <c r="F341" s="36" t="str">
        <f>IFERROR(VLOOKUP(Table1[[#This Row],[Part Number]],DATABASE_FG!$C$6:D10330,2,FALSE)," ")</f>
        <v xml:space="preserve">094290350-0000 </v>
      </c>
      <c r="G341" s="117">
        <f>IFERROR(_xlfn.XLOOKUP(Table1[[#This Row],[Part Number]],Table3[Part number],Table3[Drawing
 Revision]),"")</f>
        <v>0</v>
      </c>
      <c r="H341" s="118" cm="1">
        <f t="array" ref="H341">IFERROR(INDEX(PDB!$C:$AT,MATCH(E341,PDB!$B:$B,0),MATCH(YEAR(K341),0+PDB!$C$1:$AT$1,0)),"")</f>
        <v>0.94</v>
      </c>
      <c r="I341" s="36">
        <v>2000</v>
      </c>
      <c r="J341" s="125">
        <f>IFERROR(Table1[[#This Row],[Quantity]]*Table1[[#This Row],[Price/Unit
EUR]]," ")</f>
        <v>1880</v>
      </c>
      <c r="K341" s="126">
        <v>45482</v>
      </c>
      <c r="L341" s="36">
        <f>WEEKNUM(Table1[[#This Row],[ETA
As requested
dd.mm.yyyy]])</f>
        <v>28</v>
      </c>
      <c r="M341" s="36">
        <f>YEAR(Table1[[#This Row],[ETA
As requested
dd.mm.yyyy]])</f>
        <v>2024</v>
      </c>
      <c r="N341" s="36">
        <f>IFERROR(INDEX(DATABASE_FG!$H$5:$H$367, MATCH(E341, DATABASE_FG!$C$5:$C$367, 0)), " ")</f>
        <v>0</v>
      </c>
      <c r="O341" s="129" t="str">
        <f>IF(E341&lt;&gt;"", _xlfn.XLOOKUP(E341, DATABASE_FG!C:C, DATABASE_FG!F:F), " ")</f>
        <v>Strunjite</v>
      </c>
      <c r="P341" s="129">
        <f>IFERROR(INDEX(DATABASE_FG!$G$5:$G$367, MATCH(E341, DATABASE_FG!$C$5:$C$367, 0)), "Not Found")</f>
        <v>0</v>
      </c>
      <c r="Q341" s="36"/>
      <c r="R341" s="125" t="s">
        <v>678</v>
      </c>
      <c r="S341" s="123">
        <f>IFERROR(INDEX(DATABASE_FG!$L$5:$L$367, MATCH(E341, DATABASE_FG!$C$5:$C$367, 0)), " ")</f>
        <v>42</v>
      </c>
      <c r="T341" s="36" t="s">
        <v>679</v>
      </c>
      <c r="U341" s="36"/>
      <c r="V341" s="36"/>
      <c r="W341" s="129"/>
      <c r="X341" s="36"/>
      <c r="Y341" s="36"/>
      <c r="Z341" s="36"/>
      <c r="AA341" s="125" t="s">
        <v>121</v>
      </c>
      <c r="AB341" s="173">
        <v>45498</v>
      </c>
      <c r="AC341" s="119">
        <v>2024923</v>
      </c>
      <c r="AD341" s="36">
        <f t="shared" si="38"/>
        <v>37146437</v>
      </c>
      <c r="AE341" s="36" t="str">
        <f t="shared" si="39"/>
        <v>AU.KB3068-B-0208-DRE</v>
      </c>
      <c r="AF341" s="36">
        <v>81</v>
      </c>
      <c r="AG341" s="120">
        <f t="shared" si="40"/>
        <v>76.14</v>
      </c>
      <c r="AH341" s="36"/>
      <c r="AI341" s="124"/>
      <c r="AJ341" s="122" t="s">
        <v>1808</v>
      </c>
      <c r="AK341" s="129" t="str">
        <f t="shared" ca="1" si="42"/>
        <v>Late</v>
      </c>
      <c r="AL341" s="268" t="str">
        <f t="shared" si="46"/>
        <v>July</v>
      </c>
      <c r="AM341" s="133">
        <f>YEAR(Table1[[#This Row],[ETA
As requested
dd.mm.yyyy]])</f>
        <v>2024</v>
      </c>
    </row>
    <row r="342" spans="1:39" hidden="1">
      <c r="A342" s="123" t="s">
        <v>83</v>
      </c>
      <c r="B342" s="36" t="s">
        <v>1170</v>
      </c>
      <c r="C342" s="117">
        <v>37146437</v>
      </c>
      <c r="D342" s="165">
        <v>45476</v>
      </c>
      <c r="E342" s="117" t="s">
        <v>109</v>
      </c>
      <c r="F342" s="36" t="str">
        <f>IFERROR(VLOOKUP(Table1[[#This Row],[Part Number]],DATABASE_FG!$C$6:D10331,2,FALSE)," ")</f>
        <v xml:space="preserve">094290350-0000 </v>
      </c>
      <c r="G342" s="117">
        <f>IFERROR(_xlfn.XLOOKUP(Table1[[#This Row],[Part Number]],Table3[Part number],Table3[Drawing
 Revision]),"")</f>
        <v>0</v>
      </c>
      <c r="H342" s="118" cm="1">
        <f t="array" ref="H342">IFERROR(INDEX(PDB!$C:$AT,MATCH(E342,PDB!$B:$B,0),MATCH(YEAR(K342),0+PDB!$C$1:$AT$1,0)),"")</f>
        <v>0.94</v>
      </c>
      <c r="I342" s="36">
        <v>0</v>
      </c>
      <c r="J342" s="125">
        <f>IFERROR(Table1[[#This Row],[Quantity]]*Table1[[#This Row],[Price/Unit
EUR]]," ")</f>
        <v>0</v>
      </c>
      <c r="K342" s="126">
        <v>45482</v>
      </c>
      <c r="L342" s="36">
        <f>WEEKNUM(Table1[[#This Row],[ETA
As requested
dd.mm.yyyy]])</f>
        <v>28</v>
      </c>
      <c r="M342" s="36">
        <f>YEAR(Table1[[#This Row],[ETA
As requested
dd.mm.yyyy]])</f>
        <v>2024</v>
      </c>
      <c r="N342" s="36">
        <f>IFERROR(INDEX(DATABASE_FG!$H$5:$H$367, MATCH(E342, DATABASE_FG!$C$5:$C$367, 0)), " ")</f>
        <v>0</v>
      </c>
      <c r="O342" s="129" t="str">
        <f>IF(E342&lt;&gt;"", _xlfn.XLOOKUP(E342, DATABASE_FG!C:C, DATABASE_FG!F:F), " ")</f>
        <v>Strunjite</v>
      </c>
      <c r="P342" s="129">
        <f>IFERROR(INDEX(DATABASE_FG!$G$5:$G$367, MATCH(E342, DATABASE_FG!$C$5:$C$367, 0)), "Not Found")</f>
        <v>0</v>
      </c>
      <c r="Q342" s="36"/>
      <c r="R342" s="125" t="s">
        <v>678</v>
      </c>
      <c r="S342" s="123">
        <f>IFERROR(INDEX(DATABASE_FG!$L$5:$L$367, MATCH(E342, DATABASE_FG!$C$5:$C$367, 0)), " ")</f>
        <v>42</v>
      </c>
      <c r="T342" s="36" t="s">
        <v>679</v>
      </c>
      <c r="U342" s="36"/>
      <c r="V342" s="36"/>
      <c r="W342" s="129"/>
      <c r="X342" s="36"/>
      <c r="Y342" s="36"/>
      <c r="Z342" s="36"/>
      <c r="AA342" s="125" t="s">
        <v>121</v>
      </c>
      <c r="AB342" s="173">
        <v>45499</v>
      </c>
      <c r="AC342" s="119">
        <v>2024929</v>
      </c>
      <c r="AD342" s="36">
        <f t="shared" si="38"/>
        <v>37146437</v>
      </c>
      <c r="AE342" s="36" t="str">
        <f t="shared" si="39"/>
        <v>AU.KB3068-B-0208-DRE</v>
      </c>
      <c r="AF342" s="36">
        <v>233</v>
      </c>
      <c r="AG342" s="120">
        <f t="shared" si="40"/>
        <v>219.01999999999998</v>
      </c>
      <c r="AH342" s="36"/>
      <c r="AI342" s="124"/>
      <c r="AJ342" s="122" t="s">
        <v>1810</v>
      </c>
      <c r="AK342" s="129" t="str">
        <f t="shared" ca="1" si="42"/>
        <v>Late</v>
      </c>
      <c r="AL342" s="268" t="str">
        <f t="shared" si="46"/>
        <v>July</v>
      </c>
      <c r="AM342" s="133">
        <f>YEAR(Table1[[#This Row],[ETA
As requested
dd.mm.yyyy]])</f>
        <v>2024</v>
      </c>
    </row>
    <row r="343" spans="1:39" hidden="1">
      <c r="A343" s="123" t="s">
        <v>83</v>
      </c>
      <c r="B343" s="36" t="s">
        <v>1170</v>
      </c>
      <c r="C343" s="117">
        <v>37146437</v>
      </c>
      <c r="D343" s="165">
        <v>45476</v>
      </c>
      <c r="E343" s="117" t="s">
        <v>109</v>
      </c>
      <c r="F343" s="36" t="str">
        <f>IFERROR(VLOOKUP(Table1[[#This Row],[Part Number]],DATABASE_FG!$C$6:D10332,2,FALSE)," ")</f>
        <v xml:space="preserve">094290350-0000 </v>
      </c>
      <c r="G343" s="117">
        <f>IFERROR(_xlfn.XLOOKUP(Table1[[#This Row],[Part Number]],Table3[Part number],Table3[Drawing
 Revision]),"")</f>
        <v>0</v>
      </c>
      <c r="H343" s="118" cm="1">
        <f t="array" ref="H343">IFERROR(INDEX(PDB!$C:$AT,MATCH(E343,PDB!$B:$B,0),MATCH(YEAR(K343),0+PDB!$C$1:$AT$1,0)),"")</f>
        <v>0.94</v>
      </c>
      <c r="I343" s="36">
        <v>0</v>
      </c>
      <c r="J343" s="125">
        <f>IFERROR(Table1[[#This Row],[Quantity]]*Table1[[#This Row],[Price/Unit
EUR]]," ")</f>
        <v>0</v>
      </c>
      <c r="K343" s="126">
        <v>45482</v>
      </c>
      <c r="L343" s="36">
        <f>WEEKNUM(Table1[[#This Row],[ETA
As requested
dd.mm.yyyy]])</f>
        <v>28</v>
      </c>
      <c r="M343" s="36">
        <f>YEAR(Table1[[#This Row],[ETA
As requested
dd.mm.yyyy]])</f>
        <v>2024</v>
      </c>
      <c r="N343" s="36">
        <f>IFERROR(INDEX(DATABASE_FG!$H$5:$H$367, MATCH(E343, DATABASE_FG!$C$5:$C$367, 0)), " ")</f>
        <v>0</v>
      </c>
      <c r="O343" s="129" t="str">
        <f>IF(E343&lt;&gt;"", _xlfn.XLOOKUP(E343, DATABASE_FG!C:C, DATABASE_FG!F:F), " ")</f>
        <v>Strunjite</v>
      </c>
      <c r="P343" s="129">
        <f>IFERROR(INDEX(DATABASE_FG!$G$5:$G$367, MATCH(E343, DATABASE_FG!$C$5:$C$367, 0)), "Not Found")</f>
        <v>0</v>
      </c>
      <c r="Q343" s="36"/>
      <c r="R343" s="125" t="s">
        <v>678</v>
      </c>
      <c r="S343" s="123">
        <f>IFERROR(INDEX(DATABASE_FG!$L$5:$L$367, MATCH(E343, DATABASE_FG!$C$5:$C$367, 0)), " ")</f>
        <v>42</v>
      </c>
      <c r="T343" s="36" t="s">
        <v>679</v>
      </c>
      <c r="U343" s="36"/>
      <c r="V343" s="36"/>
      <c r="W343" s="129"/>
      <c r="X343" s="36"/>
      <c r="Y343" s="36"/>
      <c r="Z343" s="36"/>
      <c r="AA343" s="125" t="s">
        <v>121</v>
      </c>
      <c r="AB343" s="173">
        <v>45502</v>
      </c>
      <c r="AC343" s="119">
        <v>2024938</v>
      </c>
      <c r="AD343" s="36">
        <f t="shared" si="38"/>
        <v>37146437</v>
      </c>
      <c r="AE343" s="36" t="str">
        <f t="shared" si="39"/>
        <v>AU.KB3068-B-0208-DRE</v>
      </c>
      <c r="AF343" s="36">
        <v>470</v>
      </c>
      <c r="AG343" s="120">
        <f t="shared" si="40"/>
        <v>441.79999999999995</v>
      </c>
      <c r="AH343" s="36"/>
      <c r="AI343" s="124"/>
      <c r="AJ343" s="122" t="s">
        <v>1811</v>
      </c>
      <c r="AK343" s="129" t="str">
        <f t="shared" ca="1" si="42"/>
        <v>Late</v>
      </c>
      <c r="AL343" s="268" t="str">
        <f t="shared" si="46"/>
        <v>July</v>
      </c>
      <c r="AM343" s="133">
        <f>YEAR(Table1[[#This Row],[ETA
As requested
dd.mm.yyyy]])</f>
        <v>2024</v>
      </c>
    </row>
    <row r="344" spans="1:39" hidden="1">
      <c r="A344" s="123" t="s">
        <v>83</v>
      </c>
      <c r="B344" s="36" t="s">
        <v>1170</v>
      </c>
      <c r="C344" s="117">
        <v>37146437</v>
      </c>
      <c r="D344" s="165">
        <v>45476</v>
      </c>
      <c r="E344" s="117" t="s">
        <v>109</v>
      </c>
      <c r="F344" s="36" t="str">
        <f>IFERROR(VLOOKUP(Table1[[#This Row],[Part Number]],DATABASE_FG!$C$6:D10333,2,FALSE)," ")</f>
        <v xml:space="preserve">094290350-0000 </v>
      </c>
      <c r="G344" s="117">
        <f>IFERROR(_xlfn.XLOOKUP(Table1[[#This Row],[Part Number]],Table3[Part number],Table3[Drawing
 Revision]),"")</f>
        <v>0</v>
      </c>
      <c r="H344" s="118" cm="1">
        <f t="array" ref="H344">IFERROR(INDEX(PDB!$C:$AT,MATCH(E344,PDB!$B:$B,0),MATCH(YEAR(K344),0+PDB!$C$1:$AT$1,0)),"")</f>
        <v>0.94</v>
      </c>
      <c r="I344" s="36">
        <v>0</v>
      </c>
      <c r="J344" s="125">
        <f>IFERROR(Table1[[#This Row],[Quantity]]*Table1[[#This Row],[Price/Unit
EUR]]," ")</f>
        <v>0</v>
      </c>
      <c r="K344" s="126">
        <v>45482</v>
      </c>
      <c r="L344" s="36">
        <f>WEEKNUM(Table1[[#This Row],[ETA
As requested
dd.mm.yyyy]])</f>
        <v>28</v>
      </c>
      <c r="M344" s="36">
        <f>YEAR(Table1[[#This Row],[ETA
As requested
dd.mm.yyyy]])</f>
        <v>2024</v>
      </c>
      <c r="N344" s="36">
        <f>IFERROR(INDEX(DATABASE_FG!$H$5:$H$367, MATCH(E344, DATABASE_FG!$C$5:$C$367, 0)), " ")</f>
        <v>0</v>
      </c>
      <c r="O344" s="129" t="str">
        <f>IF(E344&lt;&gt;"", _xlfn.XLOOKUP(E344, DATABASE_FG!C:C, DATABASE_FG!F:F), " ")</f>
        <v>Strunjite</v>
      </c>
      <c r="P344" s="129">
        <f>IFERROR(INDEX(DATABASE_FG!$G$5:$G$367, MATCH(E344, DATABASE_FG!$C$5:$C$367, 0)), "Not Found")</f>
        <v>0</v>
      </c>
      <c r="Q344" s="36"/>
      <c r="R344" s="125" t="s">
        <v>678</v>
      </c>
      <c r="S344" s="123">
        <f>IFERROR(INDEX(DATABASE_FG!$L$5:$L$367, MATCH(E344, DATABASE_FG!$C$5:$C$367, 0)), " ")</f>
        <v>42</v>
      </c>
      <c r="T344" s="36" t="s">
        <v>679</v>
      </c>
      <c r="U344" s="36"/>
      <c r="V344" s="36"/>
      <c r="W344" s="129"/>
      <c r="X344" s="36"/>
      <c r="Y344" s="36"/>
      <c r="Z344" s="36"/>
      <c r="AA344" s="125" t="s">
        <v>121</v>
      </c>
      <c r="AB344" s="173">
        <v>45503</v>
      </c>
      <c r="AC344" s="119">
        <v>2024944</v>
      </c>
      <c r="AD344" s="36">
        <f t="shared" si="38"/>
        <v>37146437</v>
      </c>
      <c r="AE344" s="36" t="str">
        <f t="shared" si="39"/>
        <v>AU.KB3068-B-0208-DRE</v>
      </c>
      <c r="AF344" s="36">
        <v>200</v>
      </c>
      <c r="AG344" s="120">
        <f t="shared" si="40"/>
        <v>188</v>
      </c>
      <c r="AH344" s="36"/>
      <c r="AI344" s="124"/>
      <c r="AJ344" s="122" t="s">
        <v>1812</v>
      </c>
      <c r="AK344" s="129" t="str">
        <f t="shared" ca="1" si="42"/>
        <v>Late</v>
      </c>
      <c r="AL344" s="268" t="str">
        <f t="shared" si="46"/>
        <v>July</v>
      </c>
      <c r="AM344" s="133">
        <f>YEAR(Table1[[#This Row],[ETA
As requested
dd.mm.yyyy]])</f>
        <v>2024</v>
      </c>
    </row>
    <row r="345" spans="1:39" hidden="1">
      <c r="A345" s="123" t="s">
        <v>83</v>
      </c>
      <c r="B345" s="36" t="s">
        <v>1170</v>
      </c>
      <c r="C345" s="117">
        <v>37146437</v>
      </c>
      <c r="D345" s="165">
        <v>45476</v>
      </c>
      <c r="E345" s="117" t="s">
        <v>109</v>
      </c>
      <c r="F345" s="36" t="str">
        <f>IFERROR(VLOOKUP(Table1[[#This Row],[Part Number]],DATABASE_FG!$C$6:D10334,2,FALSE)," ")</f>
        <v xml:space="preserve">094290350-0000 </v>
      </c>
      <c r="G345" s="117">
        <f>IFERROR(_xlfn.XLOOKUP(Table1[[#This Row],[Part Number]],Table3[Part number],Table3[Drawing
 Revision]),"")</f>
        <v>0</v>
      </c>
      <c r="H345" s="118" cm="1">
        <f t="array" ref="H345">IFERROR(INDEX(PDB!$C:$AT,MATCH(E345,PDB!$B:$B,0),MATCH(YEAR(K345),0+PDB!$C$1:$AT$1,0)),"")</f>
        <v>0.94</v>
      </c>
      <c r="I345" s="36">
        <v>0</v>
      </c>
      <c r="J345" s="125">
        <f>IFERROR(Table1[[#This Row],[Quantity]]*Table1[[#This Row],[Price/Unit
EUR]]," ")</f>
        <v>0</v>
      </c>
      <c r="K345" s="126">
        <v>45482</v>
      </c>
      <c r="L345" s="36">
        <f>WEEKNUM(Table1[[#This Row],[ETA
As requested
dd.mm.yyyy]])</f>
        <v>28</v>
      </c>
      <c r="M345" s="36">
        <f>YEAR(Table1[[#This Row],[ETA
As requested
dd.mm.yyyy]])</f>
        <v>2024</v>
      </c>
      <c r="N345" s="36">
        <f>IFERROR(INDEX(DATABASE_FG!$H$5:$H$367, MATCH(E345, DATABASE_FG!$C$5:$C$367, 0)), " ")</f>
        <v>0</v>
      </c>
      <c r="O345" s="129" t="str">
        <f>IF(E345&lt;&gt;"", _xlfn.XLOOKUP(E345, DATABASE_FG!C:C, DATABASE_FG!F:F), " ")</f>
        <v>Strunjite</v>
      </c>
      <c r="P345" s="129">
        <f>IFERROR(INDEX(DATABASE_FG!$G$5:$G$367, MATCH(E345, DATABASE_FG!$C$5:$C$367, 0)), "Not Found")</f>
        <v>0</v>
      </c>
      <c r="Q345" s="36"/>
      <c r="R345" s="125" t="s">
        <v>678</v>
      </c>
      <c r="S345" s="123">
        <f>IFERROR(INDEX(DATABASE_FG!$L$5:$L$367, MATCH(E345, DATABASE_FG!$C$5:$C$367, 0)), " ")</f>
        <v>42</v>
      </c>
      <c r="T345" s="36" t="s">
        <v>679</v>
      </c>
      <c r="U345" s="36"/>
      <c r="V345" s="36"/>
      <c r="W345" s="129"/>
      <c r="X345" s="36"/>
      <c r="Y345" s="36"/>
      <c r="Z345" s="36"/>
      <c r="AA345" s="125" t="s">
        <v>121</v>
      </c>
      <c r="AB345" s="173">
        <v>45504</v>
      </c>
      <c r="AC345" s="119">
        <v>2024952</v>
      </c>
      <c r="AD345" s="36">
        <f t="shared" ref="AD345:AD413" si="47">IF(NOT(ISBLANK(AC345)), C345, "")</f>
        <v>37146437</v>
      </c>
      <c r="AE345" s="36" t="str">
        <f t="shared" ref="AE345:AE413" si="48">IF(NOT(ISBLANK(AC345)), E345, "")</f>
        <v>AU.KB3068-B-0208-DRE</v>
      </c>
      <c r="AF345" s="36">
        <v>189</v>
      </c>
      <c r="AG345" s="120">
        <f t="shared" ref="AG345:AG413" si="49">AF345*H345</f>
        <v>177.66</v>
      </c>
      <c r="AH345" s="36"/>
      <c r="AI345" s="124"/>
      <c r="AJ345" s="122" t="s">
        <v>1813</v>
      </c>
      <c r="AK345" s="129" t="str">
        <f t="shared" ca="1" si="42"/>
        <v>Late</v>
      </c>
      <c r="AL345" s="268" t="str">
        <f t="shared" si="46"/>
        <v>July</v>
      </c>
      <c r="AM345" s="133">
        <f>YEAR(Table1[[#This Row],[ETA
As requested
dd.mm.yyyy]])</f>
        <v>2024</v>
      </c>
    </row>
    <row r="346" spans="1:39" hidden="1">
      <c r="A346" s="123" t="s">
        <v>83</v>
      </c>
      <c r="B346" s="36" t="s">
        <v>1170</v>
      </c>
      <c r="C346" s="117">
        <v>37146437</v>
      </c>
      <c r="D346" s="165">
        <v>45476</v>
      </c>
      <c r="E346" s="117" t="s">
        <v>109</v>
      </c>
      <c r="F346" s="36" t="str">
        <f>IFERROR(VLOOKUP(Table1[[#This Row],[Part Number]],DATABASE_FG!$C$6:D10335,2,FALSE)," ")</f>
        <v xml:space="preserve">094290350-0000 </v>
      </c>
      <c r="G346" s="117">
        <f>IFERROR(_xlfn.XLOOKUP(Table1[[#This Row],[Part Number]],Table3[Part number],Table3[Drawing
 Revision]),"")</f>
        <v>0</v>
      </c>
      <c r="H346" s="118" cm="1">
        <f t="array" ref="H346">IFERROR(INDEX(PDB!$C:$AT,MATCH(E346,PDB!$B:$B,0),MATCH(YEAR(K346),0+PDB!$C$1:$AT$1,0)),"")</f>
        <v>0.94</v>
      </c>
      <c r="I346" s="36">
        <v>0</v>
      </c>
      <c r="J346" s="125">
        <f>IFERROR(Table1[[#This Row],[Quantity]]*Table1[[#This Row],[Price/Unit
EUR]]," ")</f>
        <v>0</v>
      </c>
      <c r="K346" s="126">
        <v>45482</v>
      </c>
      <c r="L346" s="36">
        <f>WEEKNUM(Table1[[#This Row],[ETA
As requested
dd.mm.yyyy]])</f>
        <v>28</v>
      </c>
      <c r="M346" s="36">
        <f>YEAR(Table1[[#This Row],[ETA
As requested
dd.mm.yyyy]])</f>
        <v>2024</v>
      </c>
      <c r="N346" s="36">
        <f>IFERROR(INDEX(DATABASE_FG!$H$5:$H$367, MATCH(E346, DATABASE_FG!$C$5:$C$367, 0)), " ")</f>
        <v>0</v>
      </c>
      <c r="O346" s="129" t="str">
        <f>IF(E346&lt;&gt;"", _xlfn.XLOOKUP(E346, DATABASE_FG!C:C, DATABASE_FG!F:F), " ")</f>
        <v>Strunjite</v>
      </c>
      <c r="P346" s="129">
        <f>IFERROR(INDEX(DATABASE_FG!$G$5:$G$367, MATCH(E346, DATABASE_FG!$C$5:$C$367, 0)), "Not Found")</f>
        <v>0</v>
      </c>
      <c r="Q346" s="36"/>
      <c r="R346" s="125" t="s">
        <v>678</v>
      </c>
      <c r="S346" s="123">
        <f>IFERROR(INDEX(DATABASE_FG!$L$5:$L$367, MATCH(E346, DATABASE_FG!$C$5:$C$367, 0)), " ")</f>
        <v>42</v>
      </c>
      <c r="T346" s="36" t="s">
        <v>679</v>
      </c>
      <c r="U346" s="36"/>
      <c r="V346" s="36"/>
      <c r="W346" s="129"/>
      <c r="X346" s="36"/>
      <c r="Y346" s="36"/>
      <c r="Z346" s="36"/>
      <c r="AA346" s="125" t="s">
        <v>121</v>
      </c>
      <c r="AB346" s="173">
        <v>45505</v>
      </c>
      <c r="AC346" s="119">
        <v>2024962</v>
      </c>
      <c r="AD346" s="36">
        <f t="shared" si="47"/>
        <v>37146437</v>
      </c>
      <c r="AE346" s="36" t="str">
        <f t="shared" si="48"/>
        <v>AU.KB3068-B-0208-DRE</v>
      </c>
      <c r="AF346" s="36">
        <v>431</v>
      </c>
      <c r="AG346" s="120">
        <f t="shared" si="49"/>
        <v>405.14</v>
      </c>
      <c r="AH346" s="36"/>
      <c r="AI346" s="124"/>
      <c r="AJ346" s="122" t="s">
        <v>1814</v>
      </c>
      <c r="AK346" s="129" t="str">
        <f t="shared" ca="1" si="42"/>
        <v>Late</v>
      </c>
      <c r="AL346" s="268" t="str">
        <f t="shared" si="46"/>
        <v>July</v>
      </c>
      <c r="AM346" s="133">
        <f>YEAR(Table1[[#This Row],[ETA
As requested
dd.mm.yyyy]])</f>
        <v>2024</v>
      </c>
    </row>
    <row r="347" spans="1:39" hidden="1">
      <c r="A347" s="123" t="s">
        <v>83</v>
      </c>
      <c r="B347" s="36" t="s">
        <v>1170</v>
      </c>
      <c r="C347" s="117">
        <v>37146437</v>
      </c>
      <c r="D347" s="165">
        <v>45476</v>
      </c>
      <c r="E347" s="117" t="s">
        <v>109</v>
      </c>
      <c r="F347" s="36" t="str">
        <f>IFERROR(VLOOKUP(Table1[[#This Row],[Part Number]],DATABASE_FG!$C$6:D10336,2,FALSE)," ")</f>
        <v xml:space="preserve">094290350-0000 </v>
      </c>
      <c r="G347" s="117">
        <f>IFERROR(_xlfn.XLOOKUP(Table1[[#This Row],[Part Number]],Table3[Part number],Table3[Drawing
 Revision]),"")</f>
        <v>0</v>
      </c>
      <c r="H347" s="118" cm="1">
        <f t="array" ref="H347">IFERROR(INDEX(PDB!$C:$AT,MATCH(E347,PDB!$B:$B,0),MATCH(YEAR(K347),0+PDB!$C$1:$AT$1,0)),"")</f>
        <v>0.94</v>
      </c>
      <c r="I347" s="36">
        <v>0</v>
      </c>
      <c r="J347" s="125">
        <f>IFERROR(Table1[[#This Row],[Quantity]]*Table1[[#This Row],[Price/Unit
EUR]]," ")</f>
        <v>0</v>
      </c>
      <c r="K347" s="126">
        <v>45482</v>
      </c>
      <c r="L347" s="36">
        <f>WEEKNUM(Table1[[#This Row],[ETA
As requested
dd.mm.yyyy]])</f>
        <v>28</v>
      </c>
      <c r="M347" s="36">
        <f>YEAR(Table1[[#This Row],[ETA
As requested
dd.mm.yyyy]])</f>
        <v>2024</v>
      </c>
      <c r="N347" s="36">
        <f>IFERROR(INDEX(DATABASE_FG!$H$5:$H$367, MATCH(E347, DATABASE_FG!$C$5:$C$367, 0)), " ")</f>
        <v>0</v>
      </c>
      <c r="O347" s="129" t="str">
        <f>IF(E347&lt;&gt;"", _xlfn.XLOOKUP(E347, DATABASE_FG!C:C, DATABASE_FG!F:F), " ")</f>
        <v>Strunjite</v>
      </c>
      <c r="P347" s="129">
        <f>IFERROR(INDEX(DATABASE_FG!$G$5:$G$367, MATCH(E347, DATABASE_FG!$C$5:$C$367, 0)), "Not Found")</f>
        <v>0</v>
      </c>
      <c r="Q347" s="36"/>
      <c r="R347" s="125" t="s">
        <v>678</v>
      </c>
      <c r="S347" s="123">
        <f>IFERROR(INDEX(DATABASE_FG!$L$5:$L$367, MATCH(E347, DATABASE_FG!$C$5:$C$367, 0)), " ")</f>
        <v>42</v>
      </c>
      <c r="T347" s="36" t="s">
        <v>679</v>
      </c>
      <c r="U347" s="36"/>
      <c r="V347" s="36"/>
      <c r="W347" s="129"/>
      <c r="X347" s="36"/>
      <c r="Y347" s="36"/>
      <c r="Z347" s="36"/>
      <c r="AA347" s="125" t="s">
        <v>121</v>
      </c>
      <c r="AB347" s="173">
        <v>45506</v>
      </c>
      <c r="AC347" s="119">
        <v>2024968</v>
      </c>
      <c r="AD347" s="36">
        <f t="shared" si="47"/>
        <v>37146437</v>
      </c>
      <c r="AE347" s="36" t="str">
        <f t="shared" si="48"/>
        <v>AU.KB3068-B-0208-DRE</v>
      </c>
      <c r="AF347" s="36">
        <v>396</v>
      </c>
      <c r="AG347" s="120">
        <f t="shared" si="49"/>
        <v>372.23999999999995</v>
      </c>
      <c r="AH347" s="36"/>
      <c r="AI347" s="124"/>
      <c r="AJ347" s="122" t="s">
        <v>1815</v>
      </c>
      <c r="AK347" s="129" t="str">
        <f t="shared" ca="1" si="42"/>
        <v>Late</v>
      </c>
      <c r="AL347" s="268" t="str">
        <f t="shared" si="46"/>
        <v>July</v>
      </c>
      <c r="AM347" s="133">
        <f>YEAR(Table1[[#This Row],[ETA
As requested
dd.mm.yyyy]])</f>
        <v>2024</v>
      </c>
    </row>
    <row r="348" spans="1:39" hidden="1">
      <c r="A348" s="123" t="s">
        <v>83</v>
      </c>
      <c r="B348" s="36" t="s">
        <v>1170</v>
      </c>
      <c r="C348" s="117">
        <v>37146440</v>
      </c>
      <c r="D348" s="165">
        <v>45476</v>
      </c>
      <c r="E348" s="117" t="s">
        <v>109</v>
      </c>
      <c r="F348" s="36" t="str">
        <f>IFERROR(VLOOKUP(Table1[[#This Row],[Part Number]],DATABASE_FG!$C$6:D10337,2,FALSE)," ")</f>
        <v xml:space="preserve">094290350-0000 </v>
      </c>
      <c r="G348" s="117">
        <f>IFERROR(_xlfn.XLOOKUP(Table1[[#This Row],[Part Number]],Table3[Part number],Table3[Drawing
 Revision]),"")</f>
        <v>0</v>
      </c>
      <c r="H348" s="118" cm="1">
        <f t="array" ref="H348">IFERROR(INDEX(PDB!$C:$AT,MATCH(E348,PDB!$B:$B,0),MATCH(YEAR(K348),0+PDB!$C$1:$AT$1,0)),"")</f>
        <v>0.94</v>
      </c>
      <c r="I348" s="36">
        <v>2000</v>
      </c>
      <c r="J348" s="125">
        <f>IFERROR(Table1[[#This Row],[Quantity]]*Table1[[#This Row],[Price/Unit
EUR]]," ")</f>
        <v>1880</v>
      </c>
      <c r="K348" s="126">
        <v>45502</v>
      </c>
      <c r="L348" s="36">
        <f>WEEKNUM(Table1[[#This Row],[ETA
As requested
dd.mm.yyyy]])</f>
        <v>31</v>
      </c>
      <c r="M348" s="36">
        <f>YEAR(Table1[[#This Row],[ETA
As requested
dd.mm.yyyy]])</f>
        <v>2024</v>
      </c>
      <c r="N348" s="36">
        <f>IFERROR(INDEX(DATABASE_FG!$H$5:$H$367, MATCH(E348, DATABASE_FG!$C$5:$C$367, 0)), " ")</f>
        <v>0</v>
      </c>
      <c r="O348" s="129" t="str">
        <f>IF(E348&lt;&gt;"", _xlfn.XLOOKUP(E348, DATABASE_FG!C:C, DATABASE_FG!F:F), " ")</f>
        <v>Strunjite</v>
      </c>
      <c r="P348" s="129">
        <f>IFERROR(INDEX(DATABASE_FG!$G$5:$G$367, MATCH(E348, DATABASE_FG!$C$5:$C$367, 0)), "Not Found")</f>
        <v>0</v>
      </c>
      <c r="Q348" s="36"/>
      <c r="R348" s="125" t="s">
        <v>678</v>
      </c>
      <c r="S348" s="123">
        <f>IFERROR(INDEX(DATABASE_FG!$L$5:$L$367, MATCH(E348, DATABASE_FG!$C$5:$C$367, 0)), " ")</f>
        <v>42</v>
      </c>
      <c r="T348" s="36" t="s">
        <v>679</v>
      </c>
      <c r="U348" s="36"/>
      <c r="V348" s="36"/>
      <c r="W348" s="129"/>
      <c r="X348" s="36"/>
      <c r="Y348" s="36"/>
      <c r="Z348" s="36"/>
      <c r="AA348" s="125" t="s">
        <v>121</v>
      </c>
      <c r="AB348" s="173">
        <v>45506</v>
      </c>
      <c r="AC348" s="119">
        <v>2024969</v>
      </c>
      <c r="AD348" s="36">
        <f t="shared" si="47"/>
        <v>37146440</v>
      </c>
      <c r="AE348" s="36" t="str">
        <f t="shared" si="48"/>
        <v>AU.KB3068-B-0208-DRE</v>
      </c>
      <c r="AF348" s="36">
        <f>563-396</f>
        <v>167</v>
      </c>
      <c r="AG348" s="120">
        <f t="shared" si="49"/>
        <v>156.97999999999999</v>
      </c>
      <c r="AH348" s="36"/>
      <c r="AI348" s="124"/>
      <c r="AJ348" s="122" t="s">
        <v>1879</v>
      </c>
      <c r="AK348" s="129" t="str">
        <f t="shared" ca="1" si="42"/>
        <v>Late</v>
      </c>
      <c r="AL348" s="268" t="str">
        <f t="shared" si="46"/>
        <v>July</v>
      </c>
      <c r="AM348" s="133">
        <f>YEAR(Table1[[#This Row],[ETA
As requested
dd.mm.yyyy]])</f>
        <v>2024</v>
      </c>
    </row>
    <row r="349" spans="1:39" hidden="1">
      <c r="A349" s="123" t="s">
        <v>83</v>
      </c>
      <c r="B349" s="36" t="s">
        <v>1170</v>
      </c>
      <c r="C349" s="117">
        <v>37146440</v>
      </c>
      <c r="D349" s="165">
        <v>45476</v>
      </c>
      <c r="E349" s="117" t="s">
        <v>109</v>
      </c>
      <c r="F349" s="36" t="str">
        <f>IFERROR(VLOOKUP(Table1[[#This Row],[Part Number]],DATABASE_FG!$C$6:D10338,2,FALSE)," ")</f>
        <v xml:space="preserve">094290350-0000 </v>
      </c>
      <c r="G349" s="117">
        <f>IFERROR(_xlfn.XLOOKUP(Table1[[#This Row],[Part Number]],Table3[Part number],Table3[Drawing
 Revision]),"")</f>
        <v>0</v>
      </c>
      <c r="H349" s="118" cm="1">
        <f t="array" ref="H349">IFERROR(INDEX(PDB!$C:$AT,MATCH(E349,PDB!$B:$B,0),MATCH(YEAR(K349),0+PDB!$C$1:$AT$1,0)),"")</f>
        <v>0.94</v>
      </c>
      <c r="I349" s="36">
        <v>0</v>
      </c>
      <c r="J349" s="125">
        <f>IFERROR(Table1[[#This Row],[Quantity]]*Table1[[#This Row],[Price/Unit
EUR]]," ")</f>
        <v>0</v>
      </c>
      <c r="K349" s="126">
        <v>45502</v>
      </c>
      <c r="L349" s="36">
        <f>WEEKNUM(Table1[[#This Row],[ETA
As requested
dd.mm.yyyy]])</f>
        <v>31</v>
      </c>
      <c r="M349" s="36">
        <f>YEAR(Table1[[#This Row],[ETA
As requested
dd.mm.yyyy]])</f>
        <v>2024</v>
      </c>
      <c r="N349" s="36">
        <f>IFERROR(INDEX(DATABASE_FG!$H$5:$H$367, MATCH(E349, DATABASE_FG!$C$5:$C$367, 0)), " ")</f>
        <v>0</v>
      </c>
      <c r="O349" s="129" t="str">
        <f>IF(E349&lt;&gt;"", _xlfn.XLOOKUP(E349, DATABASE_FG!C:C, DATABASE_FG!F:F), " ")</f>
        <v>Strunjite</v>
      </c>
      <c r="P349" s="129">
        <f>IFERROR(INDEX(DATABASE_FG!$G$5:$G$367, MATCH(E349, DATABASE_FG!$C$5:$C$367, 0)), "Not Found")</f>
        <v>0</v>
      </c>
      <c r="Q349" s="36"/>
      <c r="R349" s="125" t="s">
        <v>678</v>
      </c>
      <c r="S349" s="123">
        <f>IFERROR(INDEX(DATABASE_FG!$L$5:$L$367, MATCH(E349, DATABASE_FG!$C$5:$C$367, 0)), " ")</f>
        <v>42</v>
      </c>
      <c r="T349" s="36" t="s">
        <v>679</v>
      </c>
      <c r="U349" s="36"/>
      <c r="V349" s="36"/>
      <c r="W349" s="129"/>
      <c r="X349" s="36"/>
      <c r="Y349" s="36"/>
      <c r="Z349" s="36"/>
      <c r="AA349" s="125" t="s">
        <v>121</v>
      </c>
      <c r="AB349" s="173">
        <v>45509</v>
      </c>
      <c r="AC349" s="119">
        <v>2024979</v>
      </c>
      <c r="AD349" s="36">
        <f t="shared" si="47"/>
        <v>37146440</v>
      </c>
      <c r="AE349" s="36" t="str">
        <f t="shared" si="48"/>
        <v>AU.KB3068-B-0208-DRE</v>
      </c>
      <c r="AF349" s="36">
        <v>578</v>
      </c>
      <c r="AG349" s="120">
        <f t="shared" si="49"/>
        <v>543.31999999999994</v>
      </c>
      <c r="AH349" s="36"/>
      <c r="AI349" s="124"/>
      <c r="AJ349" s="122" t="s">
        <v>1881</v>
      </c>
      <c r="AK349" s="129" t="str">
        <f t="shared" ca="1" si="42"/>
        <v>Late</v>
      </c>
      <c r="AL349" s="268" t="str">
        <f t="shared" si="46"/>
        <v>July</v>
      </c>
      <c r="AM349" s="133">
        <f>YEAR(Table1[[#This Row],[ETA
As requested
dd.mm.yyyy]])</f>
        <v>2024</v>
      </c>
    </row>
    <row r="350" spans="1:39" hidden="1">
      <c r="A350" s="123" t="s">
        <v>83</v>
      </c>
      <c r="B350" s="36" t="s">
        <v>1170</v>
      </c>
      <c r="C350" s="117">
        <v>37146440</v>
      </c>
      <c r="D350" s="165">
        <v>45476</v>
      </c>
      <c r="E350" s="117" t="s">
        <v>109</v>
      </c>
      <c r="F350" s="36" t="str">
        <f>IFERROR(VLOOKUP(Table1[[#This Row],[Part Number]],DATABASE_FG!$C$6:D10339,2,FALSE)," ")</f>
        <v xml:space="preserve">094290350-0000 </v>
      </c>
      <c r="G350" s="117">
        <f>IFERROR(_xlfn.XLOOKUP(Table1[[#This Row],[Part Number]],Table3[Part number],Table3[Drawing
 Revision]),"")</f>
        <v>0</v>
      </c>
      <c r="H350" s="118" cm="1">
        <f t="array" ref="H350">IFERROR(INDEX(PDB!$C:$AT,MATCH(E350,PDB!$B:$B,0),MATCH(YEAR(K350),0+PDB!$C$1:$AT$1,0)),"")</f>
        <v>0.94</v>
      </c>
      <c r="I350" s="36">
        <v>0</v>
      </c>
      <c r="J350" s="125">
        <f>IFERROR(Table1[[#This Row],[Quantity]]*Table1[[#This Row],[Price/Unit
EUR]]," ")</f>
        <v>0</v>
      </c>
      <c r="K350" s="126">
        <v>45502</v>
      </c>
      <c r="L350" s="36">
        <f>WEEKNUM(Table1[[#This Row],[ETA
As requested
dd.mm.yyyy]])</f>
        <v>31</v>
      </c>
      <c r="M350" s="36">
        <f>YEAR(Table1[[#This Row],[ETA
As requested
dd.mm.yyyy]])</f>
        <v>2024</v>
      </c>
      <c r="N350" s="36">
        <f>IFERROR(INDEX(DATABASE_FG!$H$5:$H$367, MATCH(E350, DATABASE_FG!$C$5:$C$367, 0)), " ")</f>
        <v>0</v>
      </c>
      <c r="O350" s="129" t="str">
        <f>IF(E350&lt;&gt;"", _xlfn.XLOOKUP(E350, DATABASE_FG!C:C, DATABASE_FG!F:F), " ")</f>
        <v>Strunjite</v>
      </c>
      <c r="P350" s="129">
        <f>IFERROR(INDEX(DATABASE_FG!$G$5:$G$367, MATCH(E350, DATABASE_FG!$C$5:$C$367, 0)), "Not Found")</f>
        <v>0</v>
      </c>
      <c r="Q350" s="36"/>
      <c r="R350" s="125" t="s">
        <v>678</v>
      </c>
      <c r="S350" s="123">
        <f>IFERROR(INDEX(DATABASE_FG!$L$5:$L$367, MATCH(E350, DATABASE_FG!$C$5:$C$367, 0)), " ")</f>
        <v>42</v>
      </c>
      <c r="T350" s="36" t="s">
        <v>679</v>
      </c>
      <c r="U350" s="36"/>
      <c r="V350" s="36"/>
      <c r="W350" s="129"/>
      <c r="X350" s="36"/>
      <c r="Y350" s="36"/>
      <c r="Z350" s="36"/>
      <c r="AA350" s="125" t="s">
        <v>121</v>
      </c>
      <c r="AB350" s="173">
        <v>45510</v>
      </c>
      <c r="AC350" s="119">
        <v>2024987</v>
      </c>
      <c r="AD350" s="36">
        <f t="shared" si="47"/>
        <v>37146440</v>
      </c>
      <c r="AE350" s="36" t="str">
        <f t="shared" si="48"/>
        <v>AU.KB3068-B-0208-DRE</v>
      </c>
      <c r="AF350" s="36">
        <v>520</v>
      </c>
      <c r="AG350" s="120">
        <f t="shared" si="49"/>
        <v>488.79999999999995</v>
      </c>
      <c r="AH350" s="36"/>
      <c r="AI350" s="124"/>
      <c r="AJ350" s="122" t="s">
        <v>1882</v>
      </c>
      <c r="AK350" s="129" t="str">
        <f t="shared" ca="1" si="42"/>
        <v>Late</v>
      </c>
      <c r="AL350" s="268" t="str">
        <f t="shared" si="46"/>
        <v>July</v>
      </c>
      <c r="AM350" s="133">
        <f>YEAR(Table1[[#This Row],[ETA
As requested
dd.mm.yyyy]])</f>
        <v>2024</v>
      </c>
    </row>
    <row r="351" spans="1:39" hidden="1">
      <c r="A351" s="123" t="s">
        <v>83</v>
      </c>
      <c r="B351" s="36" t="s">
        <v>1170</v>
      </c>
      <c r="C351" s="117">
        <v>37146440</v>
      </c>
      <c r="D351" s="165">
        <v>45476</v>
      </c>
      <c r="E351" s="117" t="s">
        <v>109</v>
      </c>
      <c r="F351" s="36" t="str">
        <f>IFERROR(VLOOKUP(Table1[[#This Row],[Part Number]],DATABASE_FG!$C$6:D10340,2,FALSE)," ")</f>
        <v xml:space="preserve">094290350-0000 </v>
      </c>
      <c r="G351" s="117">
        <f>IFERROR(_xlfn.XLOOKUP(Table1[[#This Row],[Part Number]],Table3[Part number],Table3[Drawing
 Revision]),"")</f>
        <v>0</v>
      </c>
      <c r="H351" s="118" cm="1">
        <f t="array" ref="H351">IFERROR(INDEX(PDB!$C:$AT,MATCH(E351,PDB!$B:$B,0),MATCH(YEAR(K351),0+PDB!$C$1:$AT$1,0)),"")</f>
        <v>0.94</v>
      </c>
      <c r="I351" s="36">
        <v>0</v>
      </c>
      <c r="J351" s="125">
        <f>IFERROR(Table1[[#This Row],[Quantity]]*Table1[[#This Row],[Price/Unit
EUR]]," ")</f>
        <v>0</v>
      </c>
      <c r="K351" s="126">
        <v>45502</v>
      </c>
      <c r="L351" s="36">
        <f>WEEKNUM(Table1[[#This Row],[ETA
As requested
dd.mm.yyyy]])</f>
        <v>31</v>
      </c>
      <c r="M351" s="36">
        <f>YEAR(Table1[[#This Row],[ETA
As requested
dd.mm.yyyy]])</f>
        <v>2024</v>
      </c>
      <c r="N351" s="36">
        <f>IFERROR(INDEX(DATABASE_FG!$H$5:$H$367, MATCH(E351, DATABASE_FG!$C$5:$C$367, 0)), " ")</f>
        <v>0</v>
      </c>
      <c r="O351" s="129" t="str">
        <f>IF(E351&lt;&gt;"", _xlfn.XLOOKUP(E351, DATABASE_FG!C:C, DATABASE_FG!F:F), " ")</f>
        <v>Strunjite</v>
      </c>
      <c r="P351" s="129">
        <f>IFERROR(INDEX(DATABASE_FG!$G$5:$G$367, MATCH(E351, DATABASE_FG!$C$5:$C$367, 0)), "Not Found")</f>
        <v>0</v>
      </c>
      <c r="Q351" s="36"/>
      <c r="R351" s="125" t="s">
        <v>678</v>
      </c>
      <c r="S351" s="123">
        <f>IFERROR(INDEX(DATABASE_FG!$L$5:$L$367, MATCH(E351, DATABASE_FG!$C$5:$C$367, 0)), " ")</f>
        <v>42</v>
      </c>
      <c r="T351" s="36" t="s">
        <v>679</v>
      </c>
      <c r="U351" s="36"/>
      <c r="V351" s="36"/>
      <c r="W351" s="129"/>
      <c r="X351" s="36"/>
      <c r="Y351" s="36"/>
      <c r="Z351" s="36"/>
      <c r="AA351" s="125" t="s">
        <v>121</v>
      </c>
      <c r="AB351" s="173">
        <v>45511</v>
      </c>
      <c r="AC351" s="119">
        <v>2024995</v>
      </c>
      <c r="AD351" s="36">
        <f t="shared" si="47"/>
        <v>37146440</v>
      </c>
      <c r="AE351" s="36" t="str">
        <f t="shared" si="48"/>
        <v>AU.KB3068-B-0208-DRE</v>
      </c>
      <c r="AF351" s="36">
        <v>335</v>
      </c>
      <c r="AG351" s="120">
        <f t="shared" si="49"/>
        <v>314.89999999999998</v>
      </c>
      <c r="AH351" s="36"/>
      <c r="AI351" s="124"/>
      <c r="AJ351" s="122" t="s">
        <v>1883</v>
      </c>
      <c r="AK351" s="129" t="str">
        <f t="shared" ca="1" si="42"/>
        <v>Late</v>
      </c>
      <c r="AL351" s="268" t="str">
        <f t="shared" si="46"/>
        <v>July</v>
      </c>
      <c r="AM351" s="133">
        <f>YEAR(Table1[[#This Row],[ETA
As requested
dd.mm.yyyy]])</f>
        <v>2024</v>
      </c>
    </row>
    <row r="352" spans="1:39" hidden="1">
      <c r="A352" s="123" t="s">
        <v>83</v>
      </c>
      <c r="B352" s="36" t="s">
        <v>1170</v>
      </c>
      <c r="C352" s="117">
        <v>37146440</v>
      </c>
      <c r="D352" s="165">
        <v>45476</v>
      </c>
      <c r="E352" s="117" t="s">
        <v>109</v>
      </c>
      <c r="F352" s="36" t="str">
        <f>IFERROR(VLOOKUP(Table1[[#This Row],[Part Number]],DATABASE_FG!$C$6:D10341,2,FALSE)," ")</f>
        <v xml:space="preserve">094290350-0000 </v>
      </c>
      <c r="G352" s="117">
        <f>IFERROR(_xlfn.XLOOKUP(Table1[[#This Row],[Part Number]],Table3[Part number],Table3[Drawing
 Revision]),"")</f>
        <v>0</v>
      </c>
      <c r="H352" s="118" cm="1">
        <f t="array" ref="H352">IFERROR(INDEX(PDB!$C:$AT,MATCH(E352,PDB!$B:$B,0),MATCH(YEAR(K352),0+PDB!$C$1:$AT$1,0)),"")</f>
        <v>0.94</v>
      </c>
      <c r="I352" s="36">
        <v>0</v>
      </c>
      <c r="J352" s="125">
        <f>IFERROR(Table1[[#This Row],[Quantity]]*Table1[[#This Row],[Price/Unit
EUR]]," ")</f>
        <v>0</v>
      </c>
      <c r="K352" s="126">
        <v>45502</v>
      </c>
      <c r="L352" s="36">
        <f>WEEKNUM(Table1[[#This Row],[ETA
As requested
dd.mm.yyyy]])</f>
        <v>31</v>
      </c>
      <c r="M352" s="36">
        <f>YEAR(Table1[[#This Row],[ETA
As requested
dd.mm.yyyy]])</f>
        <v>2024</v>
      </c>
      <c r="N352" s="36">
        <f>IFERROR(INDEX(DATABASE_FG!$H$5:$H$367, MATCH(E352, DATABASE_FG!$C$5:$C$367, 0)), " ")</f>
        <v>0</v>
      </c>
      <c r="O352" s="129" t="str">
        <f>IF(E352&lt;&gt;"", _xlfn.XLOOKUP(E352, DATABASE_FG!C:C, DATABASE_FG!F:F), " ")</f>
        <v>Strunjite</v>
      </c>
      <c r="P352" s="129">
        <f>IFERROR(INDEX(DATABASE_FG!$G$5:$G$367, MATCH(E352, DATABASE_FG!$C$5:$C$367, 0)), "Not Found")</f>
        <v>0</v>
      </c>
      <c r="Q352" s="36"/>
      <c r="R352" s="125" t="s">
        <v>678</v>
      </c>
      <c r="S352" s="123">
        <f>IFERROR(INDEX(DATABASE_FG!$L$5:$L$367, MATCH(E352, DATABASE_FG!$C$5:$C$367, 0)), " ")</f>
        <v>42</v>
      </c>
      <c r="T352" s="36" t="s">
        <v>679</v>
      </c>
      <c r="U352" s="36"/>
      <c r="V352" s="36"/>
      <c r="W352" s="129"/>
      <c r="X352" s="36"/>
      <c r="Y352" s="36"/>
      <c r="Z352" s="36"/>
      <c r="AA352" s="125" t="s">
        <v>121</v>
      </c>
      <c r="AB352" s="173">
        <v>45512</v>
      </c>
      <c r="AC352" s="119">
        <v>2024999</v>
      </c>
      <c r="AD352" s="36">
        <f t="shared" si="47"/>
        <v>37146440</v>
      </c>
      <c r="AE352" s="36" t="str">
        <f t="shared" si="48"/>
        <v>AU.KB3068-B-0208-DRE</v>
      </c>
      <c r="AF352" s="36">
        <v>400</v>
      </c>
      <c r="AG352" s="120">
        <f t="shared" si="49"/>
        <v>376</v>
      </c>
      <c r="AH352" s="36"/>
      <c r="AI352" s="124"/>
      <c r="AJ352" s="122" t="s">
        <v>1884</v>
      </c>
      <c r="AK352" s="129" t="str">
        <f t="shared" ca="1" si="42"/>
        <v>Late</v>
      </c>
      <c r="AL352" s="268" t="str">
        <f t="shared" si="46"/>
        <v>July</v>
      </c>
      <c r="AM352" s="133">
        <f>YEAR(Table1[[#This Row],[ETA
As requested
dd.mm.yyyy]])</f>
        <v>2024</v>
      </c>
    </row>
    <row r="353" spans="1:39" hidden="1">
      <c r="A353" s="123" t="s">
        <v>83</v>
      </c>
      <c r="B353" s="36" t="s">
        <v>1170</v>
      </c>
      <c r="C353" s="117">
        <v>37331343</v>
      </c>
      <c r="D353" s="165">
        <v>45498</v>
      </c>
      <c r="E353" s="117" t="s">
        <v>109</v>
      </c>
      <c r="F353" s="36" t="str">
        <f>IFERROR(VLOOKUP(Table1[[#This Row],[Part Number]],DATABASE_FG!$C$6:D10342,2,FALSE)," ")</f>
        <v xml:space="preserve">094290350-0000 </v>
      </c>
      <c r="G353" s="117">
        <f>IFERROR(_xlfn.XLOOKUP(Table1[[#This Row],[Part Number]],Table3[Part number],Table3[Drawing
 Revision]),"")</f>
        <v>0</v>
      </c>
      <c r="H353" s="118" cm="1">
        <f t="array" ref="H353">IFERROR(INDEX(PDB!$C:$AT,MATCH(E353,PDB!$B:$B,0),MATCH(YEAR(K353),0+PDB!$C$1:$AT$1,0)),"")</f>
        <v>0.94</v>
      </c>
      <c r="I353" s="36">
        <v>2000</v>
      </c>
      <c r="J353" s="125">
        <f>IFERROR(Table1[[#This Row],[Quantity]]*Table1[[#This Row],[Price/Unit
EUR]]," ")</f>
        <v>1880</v>
      </c>
      <c r="K353" s="126">
        <v>45510</v>
      </c>
      <c r="L353" s="36">
        <f>WEEKNUM(Table1[[#This Row],[ETA
As requested
dd.mm.yyyy]])</f>
        <v>32</v>
      </c>
      <c r="M353" s="36">
        <f>YEAR(Table1[[#This Row],[ETA
As requested
dd.mm.yyyy]])</f>
        <v>2024</v>
      </c>
      <c r="N353" s="36">
        <f>IFERROR(INDEX(DATABASE_FG!$H$5:$H$367, MATCH(E353, DATABASE_FG!$C$5:$C$367, 0)), " ")</f>
        <v>0</v>
      </c>
      <c r="O353" s="129" t="str">
        <f>IF(E353&lt;&gt;"", _xlfn.XLOOKUP(E353, DATABASE_FG!C:C, DATABASE_FG!F:F), " ")</f>
        <v>Strunjite</v>
      </c>
      <c r="P353" s="129">
        <f>IFERROR(INDEX(DATABASE_FG!$G$5:$G$367, MATCH(E353, DATABASE_FG!$C$5:$C$367, 0)), "Not Found")</f>
        <v>0</v>
      </c>
      <c r="Q353" s="36"/>
      <c r="R353" s="125" t="s">
        <v>678</v>
      </c>
      <c r="S353" s="123">
        <f>IFERROR(INDEX(DATABASE_FG!$L$5:$L$367, MATCH(E353, DATABASE_FG!$C$5:$C$367, 0)), " ")</f>
        <v>42</v>
      </c>
      <c r="T353" s="36" t="s">
        <v>679</v>
      </c>
      <c r="U353" s="36"/>
      <c r="V353" s="36"/>
      <c r="W353" s="129"/>
      <c r="X353" s="36"/>
      <c r="Y353" s="36"/>
      <c r="Z353" s="36"/>
      <c r="AA353" s="125" t="s">
        <v>121</v>
      </c>
      <c r="AB353" s="173">
        <v>45512</v>
      </c>
      <c r="AC353" s="119">
        <v>20241000</v>
      </c>
      <c r="AD353" s="36">
        <f t="shared" si="47"/>
        <v>37331343</v>
      </c>
      <c r="AE353" s="36" t="str">
        <f t="shared" si="48"/>
        <v>AU.KB3068-B-0208-DRE</v>
      </c>
      <c r="AF353" s="36">
        <v>88</v>
      </c>
      <c r="AG353" s="120">
        <f t="shared" si="49"/>
        <v>82.72</v>
      </c>
      <c r="AH353" s="36"/>
      <c r="AI353" s="124"/>
      <c r="AJ353" s="122" t="s">
        <v>1911</v>
      </c>
      <c r="AK353" s="129" t="str">
        <f t="shared" ca="1" si="42"/>
        <v>On Time</v>
      </c>
      <c r="AL353" s="268" t="str">
        <f t="shared" si="46"/>
        <v>August</v>
      </c>
      <c r="AM353" s="133">
        <f>YEAR(Table1[[#This Row],[ETA
As requested
dd.mm.yyyy]])</f>
        <v>2024</v>
      </c>
    </row>
    <row r="354" spans="1:39" hidden="1">
      <c r="A354" s="123" t="s">
        <v>83</v>
      </c>
      <c r="B354" s="36" t="s">
        <v>1170</v>
      </c>
      <c r="C354" s="117">
        <v>37331343</v>
      </c>
      <c r="D354" s="165">
        <v>45498</v>
      </c>
      <c r="E354" s="117" t="s">
        <v>109</v>
      </c>
      <c r="F354" s="36" t="str">
        <f>IFERROR(VLOOKUP(Table1[[#This Row],[Part Number]],DATABASE_FG!$C$6:D10343,2,FALSE)," ")</f>
        <v xml:space="preserve">094290350-0000 </v>
      </c>
      <c r="G354" s="117">
        <f>IFERROR(_xlfn.XLOOKUP(Table1[[#This Row],[Part Number]],Table3[Part number],Table3[Drawing
 Revision]),"")</f>
        <v>0</v>
      </c>
      <c r="H354" s="118" cm="1">
        <f t="array" ref="H354">IFERROR(INDEX(PDB!$C:$AT,MATCH(E354,PDB!$B:$B,0),MATCH(YEAR(K354),0+PDB!$C$1:$AT$1,0)),"")</f>
        <v>0.94</v>
      </c>
      <c r="I354" s="36">
        <v>0</v>
      </c>
      <c r="J354" s="125">
        <f>IFERROR(Table1[[#This Row],[Quantity]]*Table1[[#This Row],[Price/Unit
EUR]]," ")</f>
        <v>0</v>
      </c>
      <c r="K354" s="126">
        <v>45510</v>
      </c>
      <c r="L354" s="36">
        <f>WEEKNUM(Table1[[#This Row],[ETA
As requested
dd.mm.yyyy]])</f>
        <v>32</v>
      </c>
      <c r="M354" s="36">
        <f>YEAR(Table1[[#This Row],[ETA
As requested
dd.mm.yyyy]])</f>
        <v>2024</v>
      </c>
      <c r="N354" s="36">
        <f>IFERROR(INDEX(DATABASE_FG!$H$5:$H$367, MATCH(E354, DATABASE_FG!$C$5:$C$367, 0)), " ")</f>
        <v>0</v>
      </c>
      <c r="O354" s="129" t="str">
        <f>IF(E354&lt;&gt;"", _xlfn.XLOOKUP(E354, DATABASE_FG!C:C, DATABASE_FG!F:F), " ")</f>
        <v>Strunjite</v>
      </c>
      <c r="P354" s="129">
        <f>IFERROR(INDEX(DATABASE_FG!$G$5:$G$367, MATCH(E354, DATABASE_FG!$C$5:$C$367, 0)), "Not Found")</f>
        <v>0</v>
      </c>
      <c r="Q354" s="36"/>
      <c r="R354" s="125" t="s">
        <v>678</v>
      </c>
      <c r="S354" s="123">
        <f>IFERROR(INDEX(DATABASE_FG!$L$5:$L$367, MATCH(E354, DATABASE_FG!$C$5:$C$367, 0)), " ")</f>
        <v>42</v>
      </c>
      <c r="T354" s="36" t="s">
        <v>679</v>
      </c>
      <c r="U354" s="36"/>
      <c r="V354" s="36"/>
      <c r="W354" s="129"/>
      <c r="X354" s="36"/>
      <c r="Y354" s="36"/>
      <c r="Z354" s="36"/>
      <c r="AA354" s="125" t="s">
        <v>121</v>
      </c>
      <c r="AB354" s="173">
        <v>45513</v>
      </c>
      <c r="AC354" s="119">
        <v>202401011</v>
      </c>
      <c r="AD354" s="36">
        <f t="shared" si="47"/>
        <v>37331343</v>
      </c>
      <c r="AE354" s="36" t="str">
        <f t="shared" si="48"/>
        <v>AU.KB3068-B-0208-DRE</v>
      </c>
      <c r="AF354" s="36">
        <v>480</v>
      </c>
      <c r="AG354" s="120">
        <f t="shared" si="49"/>
        <v>451.2</v>
      </c>
      <c r="AH354" s="36"/>
      <c r="AI354" s="124"/>
      <c r="AJ354" s="122" t="s">
        <v>1914</v>
      </c>
      <c r="AK354" s="129" t="str">
        <f t="shared" ca="1" si="42"/>
        <v>Late</v>
      </c>
      <c r="AL354" s="268" t="str">
        <f t="shared" si="46"/>
        <v>August</v>
      </c>
      <c r="AM354" s="133">
        <f>YEAR(Table1[[#This Row],[ETA
As requested
dd.mm.yyyy]])</f>
        <v>2024</v>
      </c>
    </row>
    <row r="355" spans="1:39" hidden="1">
      <c r="A355" s="123" t="s">
        <v>83</v>
      </c>
      <c r="B355" s="36" t="s">
        <v>1170</v>
      </c>
      <c r="C355" s="117">
        <v>37331343</v>
      </c>
      <c r="D355" s="165">
        <v>45498</v>
      </c>
      <c r="E355" s="117" t="s">
        <v>109</v>
      </c>
      <c r="F355" s="36" t="str">
        <f>IFERROR(VLOOKUP(Table1[[#This Row],[Part Number]],DATABASE_FG!$C$6:D10344,2,FALSE)," ")</f>
        <v xml:space="preserve">094290350-0000 </v>
      </c>
      <c r="G355" s="117">
        <f>IFERROR(_xlfn.XLOOKUP(Table1[[#This Row],[Part Number]],Table3[Part number],Table3[Drawing
 Revision]),"")</f>
        <v>0</v>
      </c>
      <c r="H355" s="118" cm="1">
        <f t="array" ref="H355">IFERROR(INDEX(PDB!$C:$AT,MATCH(E355,PDB!$B:$B,0),MATCH(YEAR(K355),0+PDB!$C$1:$AT$1,0)),"")</f>
        <v>0.94</v>
      </c>
      <c r="I355" s="36">
        <v>0</v>
      </c>
      <c r="J355" s="125">
        <f>IFERROR(Table1[[#This Row],[Quantity]]*Table1[[#This Row],[Price/Unit
EUR]]," ")</f>
        <v>0</v>
      </c>
      <c r="K355" s="126">
        <v>45510</v>
      </c>
      <c r="L355" s="36">
        <f>WEEKNUM(Table1[[#This Row],[ETA
As requested
dd.mm.yyyy]])</f>
        <v>32</v>
      </c>
      <c r="M355" s="36">
        <f>YEAR(Table1[[#This Row],[ETA
As requested
dd.mm.yyyy]])</f>
        <v>2024</v>
      </c>
      <c r="N355" s="36">
        <f>IFERROR(INDEX(DATABASE_FG!$H$5:$H$367, MATCH(E355, DATABASE_FG!$C$5:$C$367, 0)), " ")</f>
        <v>0</v>
      </c>
      <c r="O355" s="129" t="str">
        <f>IF(E355&lt;&gt;"", _xlfn.XLOOKUP(E355, DATABASE_FG!C:C, DATABASE_FG!F:F), " ")</f>
        <v>Strunjite</v>
      </c>
      <c r="P355" s="129">
        <f>IFERROR(INDEX(DATABASE_FG!$G$5:$G$367, MATCH(E355, DATABASE_FG!$C$5:$C$367, 0)), "Not Found")</f>
        <v>0</v>
      </c>
      <c r="Q355" s="36"/>
      <c r="R355" s="125" t="s">
        <v>678</v>
      </c>
      <c r="S355" s="123">
        <f>IFERROR(INDEX(DATABASE_FG!$L$5:$L$367, MATCH(E355, DATABASE_FG!$C$5:$C$367, 0)), " ")</f>
        <v>42</v>
      </c>
      <c r="T355" s="36" t="s">
        <v>679</v>
      </c>
      <c r="U355" s="36"/>
      <c r="V355" s="36"/>
      <c r="W355" s="129"/>
      <c r="X355" s="36"/>
      <c r="Y355" s="36"/>
      <c r="Z355" s="36"/>
      <c r="AA355" s="125" t="s">
        <v>121</v>
      </c>
      <c r="AB355" s="173">
        <v>45523</v>
      </c>
      <c r="AC355" s="119">
        <v>202401043</v>
      </c>
      <c r="AD355" s="36">
        <f t="shared" si="47"/>
        <v>37331343</v>
      </c>
      <c r="AE355" s="36" t="str">
        <f t="shared" si="48"/>
        <v>AU.KB3068-B-0208-DRE</v>
      </c>
      <c r="AF355" s="36">
        <v>1432</v>
      </c>
      <c r="AG355" s="120">
        <f t="shared" si="49"/>
        <v>1346.08</v>
      </c>
      <c r="AH355" s="36"/>
      <c r="AI355" s="124"/>
      <c r="AJ355" s="122" t="s">
        <v>1917</v>
      </c>
      <c r="AK355" s="129" t="str">
        <f t="shared" ca="1" si="42"/>
        <v>Late</v>
      </c>
      <c r="AL355" s="268" t="str">
        <f t="shared" si="46"/>
        <v>August</v>
      </c>
      <c r="AM355" s="133">
        <f>YEAR(Table1[[#This Row],[ETA
As requested
dd.mm.yyyy]])</f>
        <v>2024</v>
      </c>
    </row>
    <row r="356" spans="1:39" hidden="1">
      <c r="A356" s="123" t="s">
        <v>83</v>
      </c>
      <c r="B356" s="36" t="s">
        <v>1170</v>
      </c>
      <c r="C356" s="117">
        <v>37331351</v>
      </c>
      <c r="D356" s="165">
        <v>45498</v>
      </c>
      <c r="E356" s="117" t="s">
        <v>109</v>
      </c>
      <c r="F356" s="36" t="str">
        <f>IFERROR(VLOOKUP(Table1[[#This Row],[Part Number]],DATABASE_FG!$C$6:D10345,2,FALSE)," ")</f>
        <v xml:space="preserve">094290350-0000 </v>
      </c>
      <c r="G356" s="117">
        <f>IFERROR(_xlfn.XLOOKUP(Table1[[#This Row],[Part Number]],Table3[Part number],Table3[Drawing
 Revision]),"")</f>
        <v>0</v>
      </c>
      <c r="H356" s="118" cm="1">
        <f t="array" ref="H356">IFERROR(INDEX(PDB!$C:$AT,MATCH(E356,PDB!$B:$B,0),MATCH(YEAR(K356),0+PDB!$C$1:$AT$1,0)),"")</f>
        <v>0.94</v>
      </c>
      <c r="I356" s="36">
        <v>1500</v>
      </c>
      <c r="J356" s="125">
        <f>IFERROR(Table1[[#This Row],[Quantity]]*Table1[[#This Row],[Price/Unit
EUR]]," ")</f>
        <v>1410</v>
      </c>
      <c r="K356" s="126">
        <v>45517</v>
      </c>
      <c r="L356" s="36">
        <f>WEEKNUM(Table1[[#This Row],[ETA
As requested
dd.mm.yyyy]])</f>
        <v>33</v>
      </c>
      <c r="M356" s="36">
        <f>YEAR(Table1[[#This Row],[ETA
As requested
dd.mm.yyyy]])</f>
        <v>2024</v>
      </c>
      <c r="N356" s="36">
        <f>IFERROR(INDEX(DATABASE_FG!$H$5:$H$367, MATCH(E356, DATABASE_FG!$C$5:$C$367, 0)), " ")</f>
        <v>0</v>
      </c>
      <c r="O356" s="129" t="str">
        <f>IF(E356&lt;&gt;"", _xlfn.XLOOKUP(E356, DATABASE_FG!C:C, DATABASE_FG!F:F), " ")</f>
        <v>Strunjite</v>
      </c>
      <c r="P356" s="129">
        <f>IFERROR(INDEX(DATABASE_FG!$G$5:$G$367, MATCH(E356, DATABASE_FG!$C$5:$C$367, 0)), "Not Found")</f>
        <v>0</v>
      </c>
      <c r="Q356" s="36"/>
      <c r="R356" s="125" t="s">
        <v>678</v>
      </c>
      <c r="S356" s="123">
        <f>IFERROR(INDEX(DATABASE_FG!$L$5:$L$367, MATCH(E356, DATABASE_FG!$C$5:$C$367, 0)), " ")</f>
        <v>42</v>
      </c>
      <c r="T356" s="36" t="s">
        <v>679</v>
      </c>
      <c r="U356" s="36"/>
      <c r="V356" s="36"/>
      <c r="W356" s="129"/>
      <c r="X356" s="36"/>
      <c r="Y356" s="36"/>
      <c r="Z356" s="36"/>
      <c r="AA356" s="125" t="s">
        <v>121</v>
      </c>
      <c r="AB356" s="173">
        <v>45523</v>
      </c>
      <c r="AC356" s="119">
        <v>202401044</v>
      </c>
      <c r="AD356" s="36">
        <f t="shared" si="47"/>
        <v>37331351</v>
      </c>
      <c r="AE356" s="36" t="str">
        <f t="shared" si="48"/>
        <v>AU.KB3068-B-0208-DRE</v>
      </c>
      <c r="AF356" s="36">
        <f>2548-1432</f>
        <v>1116</v>
      </c>
      <c r="AG356" s="120">
        <f t="shared" si="49"/>
        <v>1049.04</v>
      </c>
      <c r="AH356" s="36"/>
      <c r="AI356" s="124"/>
      <c r="AJ356" s="122" t="s">
        <v>1945</v>
      </c>
      <c r="AK356" s="129" t="str">
        <f t="shared" ca="1" si="42"/>
        <v>Late</v>
      </c>
      <c r="AL356" s="268" t="str">
        <f t="shared" si="46"/>
        <v>August</v>
      </c>
      <c r="AM356" s="133">
        <f>YEAR(Table1[[#This Row],[ETA
As requested
dd.mm.yyyy]])</f>
        <v>2024</v>
      </c>
    </row>
    <row r="357" spans="1:39" hidden="1">
      <c r="A357" s="123" t="s">
        <v>83</v>
      </c>
      <c r="B357" s="36" t="s">
        <v>1170</v>
      </c>
      <c r="C357" s="117">
        <v>37331351</v>
      </c>
      <c r="D357" s="165">
        <v>45498</v>
      </c>
      <c r="E357" s="117" t="s">
        <v>109</v>
      </c>
      <c r="F357" s="36" t="str">
        <f>IFERROR(VLOOKUP(Table1[[#This Row],[Part Number]],DATABASE_FG!$C$6:D10346,2,FALSE)," ")</f>
        <v xml:space="preserve">094290350-0000 </v>
      </c>
      <c r="G357" s="117">
        <f>IFERROR(_xlfn.XLOOKUP(Table1[[#This Row],[Part Number]],Table3[Part number],Table3[Drawing
 Revision]),"")</f>
        <v>0</v>
      </c>
      <c r="H357" s="118" cm="1">
        <f t="array" ref="H357">IFERROR(INDEX(PDB!$C:$AT,MATCH(E357,PDB!$B:$B,0),MATCH(YEAR(K357),0+PDB!$C$1:$AT$1,0)),"")</f>
        <v>0.94</v>
      </c>
      <c r="I357" s="36">
        <v>0</v>
      </c>
      <c r="J357" s="125">
        <f>IFERROR(Table1[[#This Row],[Quantity]]*Table1[[#This Row],[Price/Unit
EUR]]," ")</f>
        <v>0</v>
      </c>
      <c r="K357" s="126">
        <v>45517</v>
      </c>
      <c r="L357" s="36">
        <f>WEEKNUM(Table1[[#This Row],[ETA
As requested
dd.mm.yyyy]])</f>
        <v>33</v>
      </c>
      <c r="M357" s="36">
        <f>YEAR(Table1[[#This Row],[ETA
As requested
dd.mm.yyyy]])</f>
        <v>2024</v>
      </c>
      <c r="N357" s="36">
        <f>IFERROR(INDEX(DATABASE_FG!$H$5:$H$367, MATCH(E357, DATABASE_FG!$C$5:$C$367, 0)), " ")</f>
        <v>0</v>
      </c>
      <c r="O357" s="129" t="str">
        <f>IF(E357&lt;&gt;"", _xlfn.XLOOKUP(E357, DATABASE_FG!C:C, DATABASE_FG!F:F), " ")</f>
        <v>Strunjite</v>
      </c>
      <c r="P357" s="129">
        <f>IFERROR(INDEX(DATABASE_FG!$G$5:$G$367, MATCH(E357, DATABASE_FG!$C$5:$C$367, 0)), "Not Found")</f>
        <v>0</v>
      </c>
      <c r="Q357" s="36"/>
      <c r="R357" s="125" t="s">
        <v>678</v>
      </c>
      <c r="S357" s="123">
        <f>IFERROR(INDEX(DATABASE_FG!$L$5:$L$367, MATCH(E357, DATABASE_FG!$C$5:$C$367, 0)), " ")</f>
        <v>42</v>
      </c>
      <c r="T357" s="36" t="s">
        <v>679</v>
      </c>
      <c r="U357" s="36"/>
      <c r="V357" s="36"/>
      <c r="W357" s="129"/>
      <c r="X357" s="36"/>
      <c r="Y357" s="36"/>
      <c r="Z357" s="36"/>
      <c r="AA357" s="125" t="s">
        <v>121</v>
      </c>
      <c r="AB357" s="173">
        <v>45524</v>
      </c>
      <c r="AC357" s="119">
        <v>202401047</v>
      </c>
      <c r="AD357" s="36">
        <f t="shared" si="47"/>
        <v>37331351</v>
      </c>
      <c r="AE357" s="36" t="str">
        <f t="shared" si="48"/>
        <v>AU.KB3068-B-0208-DRE</v>
      </c>
      <c r="AF357" s="36">
        <v>384</v>
      </c>
      <c r="AG357" s="120">
        <f t="shared" si="49"/>
        <v>360.96</v>
      </c>
      <c r="AH357" s="36"/>
      <c r="AI357" s="124"/>
      <c r="AJ357" s="122" t="s">
        <v>1948</v>
      </c>
      <c r="AK357" s="129" t="str">
        <f t="shared" ca="1" si="42"/>
        <v>Late</v>
      </c>
      <c r="AL357" s="268" t="str">
        <f t="shared" si="46"/>
        <v>August</v>
      </c>
      <c r="AM357" s="133">
        <f>YEAR(Table1[[#This Row],[ETA
As requested
dd.mm.yyyy]])</f>
        <v>2024</v>
      </c>
    </row>
    <row r="358" spans="1:39" hidden="1">
      <c r="A358" s="123" t="s">
        <v>83</v>
      </c>
      <c r="B358" s="36" t="s">
        <v>1170</v>
      </c>
      <c r="C358" s="117">
        <v>37520855</v>
      </c>
      <c r="D358" s="165">
        <v>45527</v>
      </c>
      <c r="E358" s="117" t="s">
        <v>109</v>
      </c>
      <c r="F358" s="36" t="str">
        <f>IFERROR(VLOOKUP(Table1[[#This Row],[Part Number]],DATABASE_FG!$C$6:D10347,2,FALSE)," ")</f>
        <v xml:space="preserve">094290350-0000 </v>
      </c>
      <c r="G358" s="117">
        <f>IFERROR(_xlfn.XLOOKUP(Table1[[#This Row],[Part Number]],Table3[Part number],Table3[Drawing
 Revision]),"")</f>
        <v>0</v>
      </c>
      <c r="H358" s="118" cm="1">
        <f t="array" ref="H358">IFERROR(INDEX(PDB!$C:$AT,MATCH(E358,PDB!$B:$B,0),MATCH(YEAR(K358),0+PDB!$C$1:$AT$1,0)),"")</f>
        <v>0.94</v>
      </c>
      <c r="I358" s="36">
        <v>1000</v>
      </c>
      <c r="J358" s="125">
        <f>IFERROR(Table1[[#This Row],[Quantity]]*Table1[[#This Row],[Price/Unit
EUR]]," ")</f>
        <v>940</v>
      </c>
      <c r="K358" s="126">
        <v>45550</v>
      </c>
      <c r="L358" s="36">
        <f>WEEKNUM(Table1[[#This Row],[ETA
As requested
dd.mm.yyyy]])</f>
        <v>38</v>
      </c>
      <c r="M358" s="36">
        <f>YEAR(Table1[[#This Row],[ETA
As requested
dd.mm.yyyy]])</f>
        <v>2024</v>
      </c>
      <c r="N358" s="36">
        <f>IFERROR(INDEX(DATABASE_FG!$H$5:$H$367, MATCH(E358, DATABASE_FG!$C$5:$C$367, 0)), " ")</f>
        <v>0</v>
      </c>
      <c r="O358" s="129" t="str">
        <f>IF(E358&lt;&gt;"", _xlfn.XLOOKUP(E358, DATABASE_FG!C:C, DATABASE_FG!F:F), " ")</f>
        <v>Strunjite</v>
      </c>
      <c r="P358" s="129">
        <f>IFERROR(INDEX(DATABASE_FG!$G$5:$G$367, MATCH(E358, DATABASE_FG!$C$5:$C$367, 0)), "Not Found")</f>
        <v>0</v>
      </c>
      <c r="Q358" s="36"/>
      <c r="R358" s="125" t="s">
        <v>678</v>
      </c>
      <c r="S358" s="123">
        <f>IFERROR(INDEX(DATABASE_FG!$L$5:$L$367, MATCH(E358, DATABASE_FG!$C$5:$C$367, 0)), " ")</f>
        <v>42</v>
      </c>
      <c r="T358" s="36" t="s">
        <v>679</v>
      </c>
      <c r="U358" s="36"/>
      <c r="V358" s="36"/>
      <c r="W358" s="129"/>
      <c r="X358" s="36"/>
      <c r="Y358" s="36"/>
      <c r="Z358" s="36"/>
      <c r="AA358" s="125" t="s">
        <v>121</v>
      </c>
      <c r="AB358" s="173">
        <v>45538</v>
      </c>
      <c r="AC358" s="119">
        <v>202401094</v>
      </c>
      <c r="AD358" s="36">
        <f t="shared" si="47"/>
        <v>37520855</v>
      </c>
      <c r="AE358" s="36" t="str">
        <f t="shared" si="48"/>
        <v>AU.KB3068-B-0208-DRE</v>
      </c>
      <c r="AF358" s="36">
        <v>1000</v>
      </c>
      <c r="AG358" s="120">
        <f t="shared" si="49"/>
        <v>940</v>
      </c>
      <c r="AH358" s="36"/>
      <c r="AI358" s="124"/>
      <c r="AJ358" s="122" t="s">
        <v>2377</v>
      </c>
      <c r="AK358" s="129" t="str">
        <f t="shared" ca="1" si="42"/>
        <v>On Time</v>
      </c>
      <c r="AL358" s="268" t="str">
        <f t="shared" si="46"/>
        <v>September</v>
      </c>
      <c r="AM358" s="133">
        <f>YEAR(Table1[[#This Row],[ETA
As requested
dd.mm.yyyy]])</f>
        <v>2024</v>
      </c>
    </row>
    <row r="359" spans="1:39" hidden="1">
      <c r="A359" s="123" t="s">
        <v>83</v>
      </c>
      <c r="B359" s="36" t="s">
        <v>1170</v>
      </c>
      <c r="C359" s="117">
        <v>37872649</v>
      </c>
      <c r="D359" s="165">
        <v>45587</v>
      </c>
      <c r="E359" s="117" t="s">
        <v>109</v>
      </c>
      <c r="F359" s="36" t="str">
        <f>IFERROR(VLOOKUP(Table1[[#This Row],[Part Number]],DATABASE_FG!$C$6:D10348,2,FALSE)," ")</f>
        <v xml:space="preserve">094290350-0000 </v>
      </c>
      <c r="G359" s="117">
        <f>IFERROR(_xlfn.XLOOKUP(Table1[[#This Row],[Part Number]],Table3[Part number],Table3[Drawing
 Revision]),"")</f>
        <v>0</v>
      </c>
      <c r="H359" s="118" cm="1">
        <f t="array" ref="H359">IFERROR(INDEX(PDB!$C:$AT,MATCH(E359,PDB!$B:$B,0),MATCH(YEAR(K359),0+PDB!$C$1:$AT$1,0)),"")</f>
        <v>0.94</v>
      </c>
      <c r="I359" s="36">
        <v>1053</v>
      </c>
      <c r="J359" s="125">
        <f>IFERROR(Table1[[#This Row],[Quantity]]*Table1[[#This Row],[Price/Unit
EUR]]," ")</f>
        <v>989.81999999999994</v>
      </c>
      <c r="K359" s="126">
        <v>45603</v>
      </c>
      <c r="L359" s="36">
        <f>WEEKNUM(Table1[[#This Row],[ETA
As requested
dd.mm.yyyy]])</f>
        <v>45</v>
      </c>
      <c r="M359" s="36">
        <f>YEAR(Table1[[#This Row],[ETA
As requested
dd.mm.yyyy]])</f>
        <v>2024</v>
      </c>
      <c r="N359" s="36">
        <f>IFERROR(INDEX(DATABASE_FG!$H$5:$H$367, MATCH(E359, DATABASE_FG!$C$5:$C$367, 0)), " ")</f>
        <v>0</v>
      </c>
      <c r="O359" s="129" t="str">
        <f>IF(E359&lt;&gt;"", _xlfn.XLOOKUP(E359, DATABASE_FG!C:C, DATABASE_FG!F:F), " ")</f>
        <v>Strunjite</v>
      </c>
      <c r="P359" s="129">
        <f>IFERROR(INDEX(DATABASE_FG!$G$5:$G$367, MATCH(E359, DATABASE_FG!$C$5:$C$367, 0)), "Not Found")</f>
        <v>0</v>
      </c>
      <c r="Q359" s="36"/>
      <c r="R359" s="125" t="s">
        <v>678</v>
      </c>
      <c r="S359" s="123">
        <f>IFERROR(INDEX(DATABASE_FG!$L$5:$L$367, MATCH(E359, DATABASE_FG!$C$5:$C$367, 0)), " ")</f>
        <v>42</v>
      </c>
      <c r="T359" s="36" t="s">
        <v>679</v>
      </c>
      <c r="U359" s="36"/>
      <c r="V359" s="36"/>
      <c r="W359" s="129"/>
      <c r="X359" s="36"/>
      <c r="Y359" s="36"/>
      <c r="Z359" s="36"/>
      <c r="AA359" s="125" t="s">
        <v>121</v>
      </c>
      <c r="AB359" s="173">
        <v>45601</v>
      </c>
      <c r="AC359" s="119">
        <v>202401327</v>
      </c>
      <c r="AD359" s="36">
        <f t="shared" si="47"/>
        <v>37872649</v>
      </c>
      <c r="AE359" s="36" t="str">
        <f t="shared" si="48"/>
        <v>AU.KB3068-B-0208-DRE</v>
      </c>
      <c r="AF359" s="36">
        <v>1053</v>
      </c>
      <c r="AG359" s="120">
        <f t="shared" si="49"/>
        <v>989.81999999999994</v>
      </c>
      <c r="AH359" s="36"/>
      <c r="AI359" s="124"/>
      <c r="AJ359" s="122" t="s">
        <v>2564</v>
      </c>
      <c r="AK359" s="129" t="str">
        <f t="shared" ca="1" si="42"/>
        <v>On Time</v>
      </c>
      <c r="AL359" s="268" t="str">
        <f t="shared" si="46"/>
        <v>November</v>
      </c>
      <c r="AM359" s="133">
        <f>YEAR(Table1[[#This Row],[ETA
As requested
dd.mm.yyyy]])</f>
        <v>2024</v>
      </c>
    </row>
    <row r="360" spans="1:39" hidden="1">
      <c r="A360" s="123" t="s">
        <v>83</v>
      </c>
      <c r="B360" s="36" t="s">
        <v>1170</v>
      </c>
      <c r="C360" s="220">
        <v>38951671</v>
      </c>
      <c r="D360" s="165">
        <v>45744</v>
      </c>
      <c r="E360" s="117" t="s">
        <v>109</v>
      </c>
      <c r="F360" s="36" t="str">
        <f>IFERROR(VLOOKUP(Table1[[#This Row],[Part Number]],DATABASE_FG!$C$6:D10349,2,FALSE)," ")</f>
        <v xml:space="preserve">094290350-0000 </v>
      </c>
      <c r="G360" s="117">
        <f>IFERROR(_xlfn.XLOOKUP(Table1[[#This Row],[Part Number]],Table3[Part number],Table3[Drawing
 Revision]),"")</f>
        <v>0</v>
      </c>
      <c r="H360" s="118" cm="1">
        <f t="array" ref="H360">IFERROR(INDEX(PDB!$C:$AT,MATCH(E360,PDB!$B:$B,0),MATCH(YEAR(K360),0+PDB!$C$1:$AT$1,0)),"")</f>
        <v>0.94</v>
      </c>
      <c r="I360" s="36">
        <v>935</v>
      </c>
      <c r="J360" s="125">
        <f>IFERROR(Table1[[#This Row],[Quantity]]*Table1[[#This Row],[Price/Unit
EUR]]," ")</f>
        <v>878.9</v>
      </c>
      <c r="K360" s="126">
        <v>45751</v>
      </c>
      <c r="L360" s="36">
        <f>WEEKNUM(Table1[[#This Row],[ETA
As requested
dd.mm.yyyy]])</f>
        <v>14</v>
      </c>
      <c r="M360" s="36">
        <f>YEAR(Table1[[#This Row],[ETA
As requested
dd.mm.yyyy]])</f>
        <v>2025</v>
      </c>
      <c r="N360" s="36">
        <f>IFERROR(INDEX(DATABASE_FG!$H$5:$H$367, MATCH(E360, DATABASE_FG!$C$5:$C$367, 0)), " ")</f>
        <v>0</v>
      </c>
      <c r="O360" s="129" t="str">
        <f>IF(E360&lt;&gt;"", _xlfn.XLOOKUP(E360, DATABASE_FG!C:C, DATABASE_FG!F:F), " ")</f>
        <v>Strunjite</v>
      </c>
      <c r="P360" s="129">
        <f>IFERROR(INDEX(DATABASE_FG!$G$5:$G$367, MATCH(E360, DATABASE_FG!$C$5:$C$367, 0)), "Not Found")</f>
        <v>0</v>
      </c>
      <c r="Q360" s="36"/>
      <c r="R360" s="125" t="s">
        <v>678</v>
      </c>
      <c r="S360" s="123">
        <f>IFERROR(INDEX(DATABASE_FG!$L$5:$L$367, MATCH(E360, DATABASE_FG!$C$5:$C$367, 0)), " ")</f>
        <v>42</v>
      </c>
      <c r="T360" s="36" t="s">
        <v>679</v>
      </c>
      <c r="U360" s="36"/>
      <c r="V360" s="36"/>
      <c r="W360" s="129"/>
      <c r="X360" s="36"/>
      <c r="Y360" s="36"/>
      <c r="Z360" s="36"/>
      <c r="AA360" s="125" t="s">
        <v>121</v>
      </c>
      <c r="AB360" s="173">
        <v>45762</v>
      </c>
      <c r="AC360" s="119">
        <v>25610</v>
      </c>
      <c r="AD360" s="36">
        <f t="shared" si="47"/>
        <v>38951671</v>
      </c>
      <c r="AE360" s="36" t="str">
        <f t="shared" si="48"/>
        <v>AU.KB3068-B-0208-DRE</v>
      </c>
      <c r="AF360" s="36">
        <v>935</v>
      </c>
      <c r="AG360" s="120">
        <f t="shared" si="49"/>
        <v>878.9</v>
      </c>
      <c r="AH360" s="36"/>
      <c r="AI360" s="124"/>
      <c r="AJ360" s="122" t="s">
        <v>3046</v>
      </c>
      <c r="AK360" s="129" t="str">
        <f t="shared" ca="1" si="42"/>
        <v>Late</v>
      </c>
      <c r="AL360" s="268" t="str">
        <f t="shared" si="46"/>
        <v>April</v>
      </c>
      <c r="AM360" s="133">
        <f>YEAR(Table1[[#This Row],[ETA
As requested
dd.mm.yyyy]])</f>
        <v>2025</v>
      </c>
    </row>
    <row r="361" spans="1:39" hidden="1">
      <c r="A361" s="123" t="s">
        <v>83</v>
      </c>
      <c r="B361" s="36" t="s">
        <v>1170</v>
      </c>
      <c r="C361" s="220">
        <v>38951671</v>
      </c>
      <c r="D361" s="165">
        <v>45744</v>
      </c>
      <c r="E361" s="117" t="s">
        <v>109</v>
      </c>
      <c r="F361" s="36" t="str">
        <f>IFERROR(VLOOKUP(Table1[[#This Row],[Part Number]],DATABASE_FG!$C$6:D10350,2,FALSE)," ")</f>
        <v xml:space="preserve">094290350-0000 </v>
      </c>
      <c r="G361" s="117">
        <f>IFERROR(_xlfn.XLOOKUP(Table1[[#This Row],[Part Number]],Table3[Part number],Table3[Drawing
 Revision]),"")</f>
        <v>0</v>
      </c>
      <c r="H361" s="118" cm="1">
        <f t="array" ref="H361">IFERROR(INDEX(PDB!$C:$AT,MATCH(E361,PDB!$B:$B,0),MATCH(YEAR(K361),0+PDB!$C$1:$AT$1,0)),"")</f>
        <v>0.94</v>
      </c>
      <c r="I361" s="36">
        <v>1280</v>
      </c>
      <c r="J361" s="125">
        <f>IFERROR(Table1[[#This Row],[Quantity]]*Table1[[#This Row],[Price/Unit
EUR]]," ")</f>
        <v>1203.1999999999998</v>
      </c>
      <c r="K361" s="126">
        <v>45751</v>
      </c>
      <c r="L361" s="36">
        <f>WEEKNUM(Table1[[#This Row],[ETA
As requested
dd.mm.yyyy]])</f>
        <v>14</v>
      </c>
      <c r="M361" s="36">
        <f>YEAR(Table1[[#This Row],[ETA
As requested
dd.mm.yyyy]])</f>
        <v>2025</v>
      </c>
      <c r="N361" s="36">
        <f>IFERROR(INDEX(DATABASE_FG!$H$5:$H$367, MATCH(E361, DATABASE_FG!$C$5:$C$367, 0)), " ")</f>
        <v>0</v>
      </c>
      <c r="O361" s="129" t="str">
        <f>IF(E361&lt;&gt;"", _xlfn.XLOOKUP(E361, DATABASE_FG!C:C, DATABASE_FG!F:F), " ")</f>
        <v>Strunjite</v>
      </c>
      <c r="P361" s="129">
        <f>IFERROR(INDEX(DATABASE_FG!$G$5:$G$367, MATCH(E361, DATABASE_FG!$C$5:$C$367, 0)), "Not Found")</f>
        <v>0</v>
      </c>
      <c r="Q361" s="36"/>
      <c r="R361" s="125" t="s">
        <v>678</v>
      </c>
      <c r="S361" s="123">
        <f>IFERROR(INDEX(DATABASE_FG!$L$5:$L$367, MATCH(E361, DATABASE_FG!$C$5:$C$367, 0)), " ")</f>
        <v>42</v>
      </c>
      <c r="T361" s="36" t="s">
        <v>679</v>
      </c>
      <c r="U361" s="36"/>
      <c r="V361" s="36"/>
      <c r="W361" s="129"/>
      <c r="X361" s="36"/>
      <c r="Y361" s="36"/>
      <c r="Z361" s="36"/>
      <c r="AA361" s="125" t="s">
        <v>121</v>
      </c>
      <c r="AB361" s="173">
        <v>45764</v>
      </c>
      <c r="AC361" s="119">
        <v>25633</v>
      </c>
      <c r="AD361" s="36">
        <f t="shared" si="47"/>
        <v>38951671</v>
      </c>
      <c r="AE361" s="36" t="str">
        <f t="shared" si="48"/>
        <v>AU.KB3068-B-0208-DRE</v>
      </c>
      <c r="AF361" s="36">
        <v>1280</v>
      </c>
      <c r="AG361" s="120">
        <f t="shared" si="49"/>
        <v>1203.1999999999998</v>
      </c>
      <c r="AH361" s="36"/>
      <c r="AI361" s="124"/>
      <c r="AJ361" s="122" t="s">
        <v>3048</v>
      </c>
      <c r="AK361" s="129" t="str">
        <f t="shared" ca="1" si="42"/>
        <v>Late</v>
      </c>
      <c r="AL361" s="268" t="str">
        <f t="shared" si="46"/>
        <v>April</v>
      </c>
      <c r="AM361" s="133">
        <f>YEAR(Table1[[#This Row],[ETA
As requested
dd.mm.yyyy]])</f>
        <v>2025</v>
      </c>
    </row>
    <row r="362" spans="1:39" hidden="1">
      <c r="A362" s="123" t="s">
        <v>83</v>
      </c>
      <c r="B362" s="36" t="s">
        <v>1170</v>
      </c>
      <c r="C362" s="220">
        <v>38951671</v>
      </c>
      <c r="D362" s="165">
        <v>45744</v>
      </c>
      <c r="E362" s="117" t="s">
        <v>109</v>
      </c>
      <c r="F362" s="36" t="str">
        <f>IFERROR(VLOOKUP(Table1[[#This Row],[Part Number]],DATABASE_FG!$C$6:D10351,2,FALSE)," ")</f>
        <v xml:space="preserve">094290350-0000 </v>
      </c>
      <c r="G362" s="117">
        <f>IFERROR(_xlfn.XLOOKUP(Table1[[#This Row],[Part Number]],Table3[Part number],Table3[Drawing
 Revision]),"")</f>
        <v>0</v>
      </c>
      <c r="H362" s="118" cm="1">
        <f t="array" ref="H362">IFERROR(INDEX(PDB!$C:$AT,MATCH(E362,PDB!$B:$B,0),MATCH(YEAR(K362),0+PDB!$C$1:$AT$1,0)),"")</f>
        <v>0.94</v>
      </c>
      <c r="I362" s="36">
        <v>97</v>
      </c>
      <c r="J362" s="125">
        <f>IFERROR(Table1[[#This Row],[Quantity]]*Table1[[#This Row],[Price/Unit
EUR]]," ")</f>
        <v>91.179999999999993</v>
      </c>
      <c r="K362" s="126">
        <v>45751</v>
      </c>
      <c r="L362" s="36">
        <f>WEEKNUM(Table1[[#This Row],[ETA
As requested
dd.mm.yyyy]])</f>
        <v>14</v>
      </c>
      <c r="M362" s="36">
        <f>YEAR(Table1[[#This Row],[ETA
As requested
dd.mm.yyyy]])</f>
        <v>2025</v>
      </c>
      <c r="N362" s="36">
        <f>IFERROR(INDEX(DATABASE_FG!$H$5:$H$367, MATCH(E362, DATABASE_FG!$C$5:$C$367, 0)), " ")</f>
        <v>0</v>
      </c>
      <c r="O362" s="129" t="str">
        <f>IF(E362&lt;&gt;"", _xlfn.XLOOKUP(E362, DATABASE_FG!C:C, DATABASE_FG!F:F), " ")</f>
        <v>Strunjite</v>
      </c>
      <c r="P362" s="129">
        <f>IFERROR(INDEX(DATABASE_FG!$G$5:$G$367, MATCH(E362, DATABASE_FG!$C$5:$C$367, 0)), "Not Found")</f>
        <v>0</v>
      </c>
      <c r="Q362" s="36"/>
      <c r="R362" s="125" t="s">
        <v>678</v>
      </c>
      <c r="S362" s="123">
        <f>IFERROR(INDEX(DATABASE_FG!$L$5:$L$367, MATCH(E362, DATABASE_FG!$C$5:$C$367, 0)), " ")</f>
        <v>42</v>
      </c>
      <c r="T362" s="36" t="s">
        <v>679</v>
      </c>
      <c r="U362" s="36"/>
      <c r="V362" s="36"/>
      <c r="W362" s="129"/>
      <c r="X362" s="36"/>
      <c r="Y362" s="36"/>
      <c r="Z362" s="36"/>
      <c r="AA362" s="125" t="s">
        <v>121</v>
      </c>
      <c r="AB362" s="173">
        <v>45769</v>
      </c>
      <c r="AC362" s="119">
        <v>25654</v>
      </c>
      <c r="AD362" s="36">
        <f t="shared" si="47"/>
        <v>38951671</v>
      </c>
      <c r="AE362" s="36" t="str">
        <f t="shared" si="48"/>
        <v>AU.KB3068-B-0208-DRE</v>
      </c>
      <c r="AF362" s="36">
        <v>97</v>
      </c>
      <c r="AG362" s="120">
        <f t="shared" si="49"/>
        <v>91.179999999999993</v>
      </c>
      <c r="AH362" s="36"/>
      <c r="AI362" s="124"/>
      <c r="AJ362" s="122" t="s">
        <v>3050</v>
      </c>
      <c r="AK362" s="129" t="str">
        <f t="shared" ref="AK362:AK430" ca="1" si="50">IF(AB362="", IF(K362 &lt; TODAY(), "Late", ""), IF(AB362 &lt;= K362 + 2, "On Time", "Late"))</f>
        <v>Late</v>
      </c>
      <c r="AL362" s="268" t="str">
        <f t="shared" si="46"/>
        <v>April</v>
      </c>
      <c r="AM362" s="133">
        <f>YEAR(Table1[[#This Row],[ETA
As requested
dd.mm.yyyy]])</f>
        <v>2025</v>
      </c>
    </row>
    <row r="363" spans="1:39" hidden="1">
      <c r="A363" s="123" t="s">
        <v>83</v>
      </c>
      <c r="B363" s="36" t="s">
        <v>1170</v>
      </c>
      <c r="C363" s="220">
        <v>38951671</v>
      </c>
      <c r="D363" s="165">
        <v>45744</v>
      </c>
      <c r="E363" s="117" t="s">
        <v>109</v>
      </c>
      <c r="F363" s="36" t="str">
        <f>IFERROR(VLOOKUP(Table1[[#This Row],[Part Number]],DATABASE_FG!$C$6:D10352,2,FALSE)," ")</f>
        <v xml:space="preserve">094290350-0000 </v>
      </c>
      <c r="G363" s="117">
        <f>IFERROR(_xlfn.XLOOKUP(Table1[[#This Row],[Part Number]],Table3[Part number],Table3[Drawing
 Revision]),"")</f>
        <v>0</v>
      </c>
      <c r="H363" s="118" cm="1">
        <f t="array" ref="H363">IFERROR(INDEX(PDB!$C:$AT,MATCH(E363,PDB!$B:$B,0),MATCH(YEAR(K363),0+PDB!$C$1:$AT$1,0)),"")</f>
        <v>0.94</v>
      </c>
      <c r="I363" s="36">
        <f>2600-935-1280-97</f>
        <v>288</v>
      </c>
      <c r="J363" s="125">
        <f>IFERROR(Table1[[#This Row],[Quantity]]*Table1[[#This Row],[Price/Unit
EUR]]," ")</f>
        <v>270.71999999999997</v>
      </c>
      <c r="K363" s="126">
        <v>45751</v>
      </c>
      <c r="L363" s="36">
        <f>WEEKNUM(Table1[[#This Row],[ETA
As requested
dd.mm.yyyy]])</f>
        <v>14</v>
      </c>
      <c r="M363" s="36">
        <f>YEAR(Table1[[#This Row],[ETA
As requested
dd.mm.yyyy]])</f>
        <v>2025</v>
      </c>
      <c r="N363" s="36">
        <f>IFERROR(INDEX(DATABASE_FG!$H$5:$H$367, MATCH(E363, DATABASE_FG!$C$5:$C$367, 0)), " ")</f>
        <v>0</v>
      </c>
      <c r="O363" s="129" t="str">
        <f>IF(E363&lt;&gt;"", _xlfn.XLOOKUP(E363, DATABASE_FG!C:C, DATABASE_FG!F:F), " ")</f>
        <v>Strunjite</v>
      </c>
      <c r="P363" s="129">
        <f>IFERROR(INDEX(DATABASE_FG!$G$5:$G$367, MATCH(E363, DATABASE_FG!$C$5:$C$367, 0)), "Not Found")</f>
        <v>0</v>
      </c>
      <c r="Q363" s="36"/>
      <c r="R363" s="125" t="s">
        <v>678</v>
      </c>
      <c r="S363" s="123">
        <f>IFERROR(INDEX(DATABASE_FG!$L$5:$L$367, MATCH(E363, DATABASE_FG!$C$5:$C$367, 0)), " ")</f>
        <v>42</v>
      </c>
      <c r="T363" s="36" t="s">
        <v>679</v>
      </c>
      <c r="U363" s="36"/>
      <c r="V363" s="36"/>
      <c r="W363" s="129"/>
      <c r="X363" s="36"/>
      <c r="Y363" s="36"/>
      <c r="Z363" s="36"/>
      <c r="AA363" s="125" t="s">
        <v>121</v>
      </c>
      <c r="AB363" s="173">
        <v>45771</v>
      </c>
      <c r="AC363" s="119">
        <v>25666</v>
      </c>
      <c r="AD363" s="36">
        <f t="shared" si="47"/>
        <v>38951671</v>
      </c>
      <c r="AE363" s="36" t="str">
        <f t="shared" si="48"/>
        <v>AU.KB3068-B-0208-DRE</v>
      </c>
      <c r="AF363" s="36">
        <v>288</v>
      </c>
      <c r="AG363" s="120">
        <f t="shared" si="49"/>
        <v>270.71999999999997</v>
      </c>
      <c r="AH363" s="36"/>
      <c r="AI363" s="124"/>
      <c r="AJ363" s="122" t="s">
        <v>3052</v>
      </c>
      <c r="AK363" s="129" t="str">
        <f t="shared" ca="1" si="50"/>
        <v>Late</v>
      </c>
      <c r="AL363" s="268" t="str">
        <f t="shared" si="46"/>
        <v>April</v>
      </c>
      <c r="AM363" s="133">
        <f>YEAR(Table1[[#This Row],[ETA
As requested
dd.mm.yyyy]])</f>
        <v>2025</v>
      </c>
    </row>
    <row r="364" spans="1:39" hidden="1">
      <c r="A364" s="123" t="s">
        <v>83</v>
      </c>
      <c r="B364" s="36" t="s">
        <v>1170</v>
      </c>
      <c r="C364" s="220">
        <v>38979343</v>
      </c>
      <c r="D364" s="165">
        <v>45748</v>
      </c>
      <c r="E364" s="117" t="s">
        <v>109</v>
      </c>
      <c r="F364" s="36" t="str">
        <f>IFERROR(VLOOKUP(Table1[[#This Row],[Part Number]],DATABASE_FG!$C$6:D10353,2,FALSE)," ")</f>
        <v xml:space="preserve">094290350-0000 </v>
      </c>
      <c r="G364" s="117">
        <f>IFERROR(_xlfn.XLOOKUP(Table1[[#This Row],[Part Number]],Table3[Part number],Table3[Drawing
 Revision]),"")</f>
        <v>0</v>
      </c>
      <c r="H364" s="118" cm="1">
        <f t="array" ref="H364">IFERROR(INDEX(PDB!$C:$AT,MATCH(E364,PDB!$B:$B,0),MATCH(YEAR(K364),0+PDB!$C$1:$AT$1,0)),"")</f>
        <v>0.94</v>
      </c>
      <c r="I364" s="36">
        <v>5</v>
      </c>
      <c r="J364" s="125">
        <f>IFERROR(Table1[[#This Row],[Quantity]]*Table1[[#This Row],[Price/Unit
EUR]]," ")</f>
        <v>4.6999999999999993</v>
      </c>
      <c r="K364" s="126">
        <v>45758</v>
      </c>
      <c r="L364" s="36">
        <f>WEEKNUM(Table1[[#This Row],[ETA
As requested
dd.mm.yyyy]])</f>
        <v>15</v>
      </c>
      <c r="M364" s="36">
        <f>YEAR(Table1[[#This Row],[ETA
As requested
dd.mm.yyyy]])</f>
        <v>2025</v>
      </c>
      <c r="N364" s="36">
        <f>IFERROR(INDEX(DATABASE_FG!$H$5:$H$367, MATCH(E364, DATABASE_FG!$C$5:$C$367, 0)), " ")</f>
        <v>0</v>
      </c>
      <c r="O364" s="129" t="str">
        <f>IF(E364&lt;&gt;"", _xlfn.XLOOKUP(E364, DATABASE_FG!C:C, DATABASE_FG!F:F), " ")</f>
        <v>Strunjite</v>
      </c>
      <c r="P364" s="129">
        <f>IFERROR(INDEX(DATABASE_FG!$G$5:$G$367, MATCH(E364, DATABASE_FG!$C$5:$C$367, 0)), "Not Found")</f>
        <v>0</v>
      </c>
      <c r="Q364" s="36"/>
      <c r="R364" s="125" t="s">
        <v>678</v>
      </c>
      <c r="S364" s="123">
        <f>IFERROR(INDEX(DATABASE_FG!$L$5:$L$367, MATCH(E364, DATABASE_FG!$C$5:$C$367, 0)), " ")</f>
        <v>42</v>
      </c>
      <c r="T364" s="36" t="s">
        <v>679</v>
      </c>
      <c r="U364" s="36"/>
      <c r="V364" s="36"/>
      <c r="W364" s="129"/>
      <c r="X364" s="36"/>
      <c r="Y364" s="36"/>
      <c r="Z364" s="36"/>
      <c r="AA364" s="125" t="s">
        <v>121</v>
      </c>
      <c r="AB364" s="173">
        <v>45762</v>
      </c>
      <c r="AC364" s="119">
        <v>25614</v>
      </c>
      <c r="AD364" s="36">
        <f t="shared" si="47"/>
        <v>38979343</v>
      </c>
      <c r="AE364" s="36" t="str">
        <f t="shared" si="48"/>
        <v>AU.KB3068-B-0208-DRE</v>
      </c>
      <c r="AF364" s="36">
        <f>5-5</f>
        <v>0</v>
      </c>
      <c r="AG364" s="120">
        <f t="shared" si="49"/>
        <v>0</v>
      </c>
      <c r="AH364" s="36"/>
      <c r="AI364" s="124" t="s">
        <v>310</v>
      </c>
      <c r="AJ364" s="122" t="s">
        <v>3066</v>
      </c>
      <c r="AK364" s="129" t="str">
        <f t="shared" ca="1" si="50"/>
        <v>Late</v>
      </c>
      <c r="AL364" s="268" t="str">
        <f t="shared" si="46"/>
        <v>April</v>
      </c>
      <c r="AM364" s="133">
        <f>YEAR(Table1[[#This Row],[ETA
As requested
dd.mm.yyyy]])</f>
        <v>2025</v>
      </c>
    </row>
    <row r="365" spans="1:39" hidden="1">
      <c r="A365" s="123" t="s">
        <v>83</v>
      </c>
      <c r="B365" s="36" t="s">
        <v>1170</v>
      </c>
      <c r="C365" s="220">
        <v>38979343</v>
      </c>
      <c r="D365" s="165">
        <v>45748</v>
      </c>
      <c r="E365" s="117" t="s">
        <v>109</v>
      </c>
      <c r="F365" s="36" t="str">
        <f>IFERROR(VLOOKUP(Table1[[#This Row],[Part Number]],DATABASE_FG!$C$6:D10354,2,FALSE)," ")</f>
        <v xml:space="preserve">094290350-0000 </v>
      </c>
      <c r="G365" s="117">
        <f>IFERROR(_xlfn.XLOOKUP(Table1[[#This Row],[Part Number]],Table3[Part number],Table3[Drawing
 Revision]),"")</f>
        <v>0</v>
      </c>
      <c r="H365" s="118" cm="1">
        <f t="array" ref="H365">IFERROR(INDEX(PDB!$C:$AT,MATCH(E365,PDB!$B:$B,0),MATCH(YEAR(K365),0+PDB!$C$1:$AT$1,0)),"")</f>
        <v>0.94</v>
      </c>
      <c r="I365" s="36">
        <v>992</v>
      </c>
      <c r="J365" s="125">
        <f>IFERROR(Table1[[#This Row],[Quantity]]*Table1[[#This Row],[Price/Unit
EUR]]," ")</f>
        <v>932.4799999999999</v>
      </c>
      <c r="K365" s="126">
        <v>45758</v>
      </c>
      <c r="L365" s="36">
        <f>WEEKNUM(Table1[[#This Row],[ETA
As requested
dd.mm.yyyy]])</f>
        <v>15</v>
      </c>
      <c r="M365" s="36">
        <f>YEAR(Table1[[#This Row],[ETA
As requested
dd.mm.yyyy]])</f>
        <v>2025</v>
      </c>
      <c r="N365" s="36">
        <f>IFERROR(INDEX(DATABASE_FG!$H$5:$H$367, MATCH(E365, DATABASE_FG!$C$5:$C$367, 0)), " ")</f>
        <v>0</v>
      </c>
      <c r="O365" s="129" t="str">
        <f>IF(E365&lt;&gt;"", _xlfn.XLOOKUP(E365, DATABASE_FG!C:C, DATABASE_FG!F:F), " ")</f>
        <v>Strunjite</v>
      </c>
      <c r="P365" s="129">
        <f>IFERROR(INDEX(DATABASE_FG!$G$5:$G$367, MATCH(E365, DATABASE_FG!$C$5:$C$367, 0)), "Not Found")</f>
        <v>0</v>
      </c>
      <c r="Q365" s="36"/>
      <c r="R365" s="125" t="s">
        <v>678</v>
      </c>
      <c r="S365" s="123">
        <f>IFERROR(INDEX(DATABASE_FG!$L$5:$L$367, MATCH(E365, DATABASE_FG!$C$5:$C$367, 0)), " ")</f>
        <v>42</v>
      </c>
      <c r="T365" s="36" t="s">
        <v>679</v>
      </c>
      <c r="U365" s="36"/>
      <c r="V365" s="36"/>
      <c r="W365" s="129"/>
      <c r="X365" s="36"/>
      <c r="Y365" s="36"/>
      <c r="Z365" s="36"/>
      <c r="AA365" s="125" t="s">
        <v>121</v>
      </c>
      <c r="AB365" s="173">
        <v>45771</v>
      </c>
      <c r="AC365" s="119">
        <v>25667</v>
      </c>
      <c r="AD365" s="36">
        <f t="shared" si="47"/>
        <v>38979343</v>
      </c>
      <c r="AE365" s="36" t="str">
        <f t="shared" si="48"/>
        <v>AU.KB3068-B-0208-DRE</v>
      </c>
      <c r="AF365" s="36">
        <v>992</v>
      </c>
      <c r="AG365" s="120">
        <f t="shared" si="49"/>
        <v>932.4799999999999</v>
      </c>
      <c r="AH365" s="36"/>
      <c r="AI365" s="124"/>
      <c r="AJ365" s="122" t="s">
        <v>3068</v>
      </c>
      <c r="AK365" s="129" t="str">
        <f t="shared" ca="1" si="50"/>
        <v>Late</v>
      </c>
      <c r="AL365" s="268" t="str">
        <f t="shared" si="46"/>
        <v>April</v>
      </c>
      <c r="AM365" s="133">
        <f>YEAR(Table1[[#This Row],[ETA
As requested
dd.mm.yyyy]])</f>
        <v>2025</v>
      </c>
    </row>
    <row r="366" spans="1:39" hidden="1">
      <c r="A366" s="123" t="s">
        <v>83</v>
      </c>
      <c r="B366" s="36" t="s">
        <v>1170</v>
      </c>
      <c r="C366" s="220">
        <v>38979343</v>
      </c>
      <c r="D366" s="165">
        <v>45748</v>
      </c>
      <c r="E366" s="117" t="s">
        <v>109</v>
      </c>
      <c r="F366" s="36" t="str">
        <f>IFERROR(VLOOKUP(Table1[[#This Row],[Part Number]],DATABASE_FG!$C$6:D10355,2,FALSE)," ")</f>
        <v xml:space="preserve">094290350-0000 </v>
      </c>
      <c r="G366" s="117">
        <f>IFERROR(_xlfn.XLOOKUP(Table1[[#This Row],[Part Number]],Table3[Part number],Table3[Drawing
 Revision]),"")</f>
        <v>0</v>
      </c>
      <c r="H366" s="118" cm="1">
        <f t="array" ref="H366">IFERROR(INDEX(PDB!$C:$AT,MATCH(E366,PDB!$B:$B,0),MATCH(YEAR(K366),0+PDB!$C$1:$AT$1,0)),"")</f>
        <v>0.94</v>
      </c>
      <c r="I366" s="36">
        <f>1395-992</f>
        <v>403</v>
      </c>
      <c r="J366" s="125">
        <f>IFERROR(Table1[[#This Row],[Quantity]]*Table1[[#This Row],[Price/Unit
EUR]]," ")</f>
        <v>378.82</v>
      </c>
      <c r="K366" s="126">
        <v>45758</v>
      </c>
      <c r="L366" s="36">
        <f>WEEKNUM(Table1[[#This Row],[ETA
As requested
dd.mm.yyyy]])</f>
        <v>15</v>
      </c>
      <c r="M366" s="36">
        <f>YEAR(Table1[[#This Row],[ETA
As requested
dd.mm.yyyy]])</f>
        <v>2025</v>
      </c>
      <c r="N366" s="36">
        <f>IFERROR(INDEX(DATABASE_FG!$H$5:$H$367, MATCH(E366, DATABASE_FG!$C$5:$C$367, 0)), " ")</f>
        <v>0</v>
      </c>
      <c r="O366" s="129" t="str">
        <f>IF(E366&lt;&gt;"", _xlfn.XLOOKUP(E366, DATABASE_FG!C:C, DATABASE_FG!F:F), " ")</f>
        <v>Strunjite</v>
      </c>
      <c r="P366" s="129">
        <f>IFERROR(INDEX(DATABASE_FG!$G$5:$G$367, MATCH(E366, DATABASE_FG!$C$5:$C$367, 0)), "Not Found")</f>
        <v>0</v>
      </c>
      <c r="Q366" s="36"/>
      <c r="R366" s="125" t="s">
        <v>678</v>
      </c>
      <c r="S366" s="123">
        <f>IFERROR(INDEX(DATABASE_FG!$L$5:$L$367, MATCH(E366, DATABASE_FG!$C$5:$C$367, 0)), " ")</f>
        <v>42</v>
      </c>
      <c r="T366" s="36" t="s">
        <v>679</v>
      </c>
      <c r="U366" s="36"/>
      <c r="V366" s="36"/>
      <c r="W366" s="129"/>
      <c r="X366" s="36"/>
      <c r="Y366" s="36"/>
      <c r="Z366" s="36"/>
      <c r="AA366" s="125" t="s">
        <v>121</v>
      </c>
      <c r="AB366" s="173">
        <v>45776</v>
      </c>
      <c r="AC366" s="119">
        <v>25692</v>
      </c>
      <c r="AD366" s="36">
        <f t="shared" si="47"/>
        <v>38979343</v>
      </c>
      <c r="AE366" s="36" t="str">
        <f t="shared" si="48"/>
        <v>AU.KB3068-B-0208-DRE</v>
      </c>
      <c r="AF366" s="36">
        <v>403</v>
      </c>
      <c r="AG366" s="120">
        <f t="shared" si="49"/>
        <v>378.82</v>
      </c>
      <c r="AH366" s="36"/>
      <c r="AI366" s="124"/>
      <c r="AJ366" s="122" t="s">
        <v>3069</v>
      </c>
      <c r="AK366" s="129" t="str">
        <f t="shared" ca="1" si="50"/>
        <v>Late</v>
      </c>
      <c r="AL366" s="268" t="str">
        <f t="shared" si="46"/>
        <v>April</v>
      </c>
      <c r="AM366" s="133">
        <f>YEAR(Table1[[#This Row],[ETA
As requested
dd.mm.yyyy]])</f>
        <v>2025</v>
      </c>
    </row>
    <row r="367" spans="1:39" hidden="1">
      <c r="A367" s="123" t="s">
        <v>83</v>
      </c>
      <c r="B367" s="36" t="s">
        <v>1170</v>
      </c>
      <c r="C367" s="117">
        <v>39080737</v>
      </c>
      <c r="D367" s="165">
        <v>45777</v>
      </c>
      <c r="E367" s="117" t="s">
        <v>109</v>
      </c>
      <c r="F367" s="36" t="str">
        <f>IFERROR(VLOOKUP(Table1[[#This Row],[Part Number]],DATABASE_FG!$C$6:D10356,2,FALSE)," ")</f>
        <v xml:space="preserve">094290350-0000 </v>
      </c>
      <c r="G367" s="117">
        <f>IFERROR(_xlfn.XLOOKUP(Table1[[#This Row],[Part Number]],Table3[Part number],Table3[Drawing
 Revision]),"")</f>
        <v>0</v>
      </c>
      <c r="H367" s="118" cm="1">
        <f t="array" ref="H367">IFERROR(INDEX(PDB!$C:$AT,MATCH(E367,PDB!$B:$B,0),MATCH(YEAR(K367),0+PDB!$C$1:$AT$1,0)),"")</f>
        <v>0.94</v>
      </c>
      <c r="I367" s="36">
        <v>1542</v>
      </c>
      <c r="J367" s="125">
        <f>IFERROR(Table1[[#This Row],[Quantity]]*Table1[[#This Row],[Price/Unit
EUR]]," ")</f>
        <v>1449.48</v>
      </c>
      <c r="K367" s="126">
        <v>45782</v>
      </c>
      <c r="L367" s="36">
        <f>WEEKNUM(Table1[[#This Row],[ETA
As requested
dd.mm.yyyy]])</f>
        <v>19</v>
      </c>
      <c r="M367" s="36">
        <f>YEAR(Table1[[#This Row],[ETA
As requested
dd.mm.yyyy]])</f>
        <v>2025</v>
      </c>
      <c r="N367" s="36">
        <f>IFERROR(INDEX(DATABASE_FG!$H$5:$H$367, MATCH(E367, DATABASE_FG!$C$5:$C$367, 0)), " ")</f>
        <v>0</v>
      </c>
      <c r="O367" s="129" t="str">
        <f>IF(E367&lt;&gt;"", _xlfn.XLOOKUP(E367, DATABASE_FG!C:C, DATABASE_FG!F:F), " ")</f>
        <v>Strunjite</v>
      </c>
      <c r="P367" s="129">
        <f>IFERROR(INDEX(DATABASE_FG!$G$5:$G$367, MATCH(E367, DATABASE_FG!$C$5:$C$367, 0)), "Not Found")</f>
        <v>0</v>
      </c>
      <c r="Q367" s="36"/>
      <c r="R367" s="125" t="s">
        <v>678</v>
      </c>
      <c r="S367" s="123">
        <f>IFERROR(INDEX(DATABASE_FG!$L$5:$L$367, MATCH(E367, DATABASE_FG!$C$5:$C$367, 0)), " ")</f>
        <v>42</v>
      </c>
      <c r="T367" s="36" t="s">
        <v>679</v>
      </c>
      <c r="U367" s="36"/>
      <c r="V367" s="36"/>
      <c r="W367" s="129"/>
      <c r="X367" s="36"/>
      <c r="Y367" s="36"/>
      <c r="Z367" s="36"/>
      <c r="AA367" s="125" t="s">
        <v>121</v>
      </c>
      <c r="AB367" s="173">
        <v>45783</v>
      </c>
      <c r="AC367" s="119">
        <v>25732</v>
      </c>
      <c r="AD367" s="36">
        <f t="shared" si="47"/>
        <v>39080737</v>
      </c>
      <c r="AE367" s="36" t="str">
        <f t="shared" si="48"/>
        <v>AU.KB3068-B-0208-DRE</v>
      </c>
      <c r="AF367" s="36">
        <v>1542</v>
      </c>
      <c r="AG367" s="120">
        <f t="shared" si="49"/>
        <v>1449.48</v>
      </c>
      <c r="AH367" s="36"/>
      <c r="AI367" s="124"/>
      <c r="AJ367" s="122" t="s">
        <v>3147</v>
      </c>
      <c r="AK367" s="129" t="str">
        <f t="shared" ca="1" si="50"/>
        <v>On Time</v>
      </c>
      <c r="AL367" s="268" t="str">
        <f t="shared" ref="AL367:AL379" si="51">TEXT(K367,"mmmm")</f>
        <v>May</v>
      </c>
      <c r="AM367" s="133">
        <f>YEAR(Table1[[#This Row],[ETA
As requested
dd.mm.yyyy]])</f>
        <v>2025</v>
      </c>
    </row>
    <row r="368" spans="1:39" hidden="1">
      <c r="A368" s="123" t="s">
        <v>83</v>
      </c>
      <c r="B368" s="36" t="s">
        <v>2464</v>
      </c>
      <c r="C368" s="117">
        <v>39080737</v>
      </c>
      <c r="D368" s="165">
        <v>45777</v>
      </c>
      <c r="E368" s="117" t="s">
        <v>109</v>
      </c>
      <c r="F368" s="36" t="str">
        <f>IFERROR(VLOOKUP(Table1[[#This Row],[Part Number]],DATABASE_FG!$C$6:D10357,2,FALSE)," ")</f>
        <v xml:space="preserve">094290350-0000 </v>
      </c>
      <c r="G368" s="117">
        <f>IFERROR(_xlfn.XLOOKUP(Table1[[#This Row],[Part Number]],Table3[Part number],Table3[Drawing
 Revision]),"")</f>
        <v>0</v>
      </c>
      <c r="H368" s="118" cm="1">
        <f t="array" ref="H368">IFERROR(INDEX(PDB!$C:$AT,MATCH(E368,PDB!$B:$B,0),MATCH(YEAR(K368),0+PDB!$C$1:$AT$1,0)),"")</f>
        <v>0.94</v>
      </c>
      <c r="I368" s="36">
        <f>3000-1542</f>
        <v>1458</v>
      </c>
      <c r="J368" s="125">
        <f>IFERROR(Table1[[#This Row],[Quantity]]*Table1[[#This Row],[Price/Unit
EUR]]," ")</f>
        <v>1370.52</v>
      </c>
      <c r="K368" s="126">
        <v>45782</v>
      </c>
      <c r="L368" s="36">
        <f>WEEKNUM(Table1[[#This Row],[ETA
As requested
dd.mm.yyyy]])</f>
        <v>19</v>
      </c>
      <c r="M368" s="36">
        <f>YEAR(Table1[[#This Row],[ETA
As requested
dd.mm.yyyy]])</f>
        <v>2025</v>
      </c>
      <c r="N368" s="36">
        <f>IFERROR(INDEX(DATABASE_FG!$H$5:$H$367, MATCH(E368, DATABASE_FG!$C$5:$C$367, 0)), " ")</f>
        <v>0</v>
      </c>
      <c r="O368" s="129" t="str">
        <f>IF(E368&lt;&gt;"", _xlfn.XLOOKUP(E368, DATABASE_FG!C:C, DATABASE_FG!F:F), " ")</f>
        <v>Strunjite</v>
      </c>
      <c r="P368" s="129">
        <f>IFERROR(INDEX(DATABASE_FG!$G$5:$G$367, MATCH(E368, DATABASE_FG!$C$5:$C$367, 0)), "Not Found")</f>
        <v>0</v>
      </c>
      <c r="Q368" s="36"/>
      <c r="R368" s="125" t="s">
        <v>678</v>
      </c>
      <c r="S368" s="123">
        <f>IFERROR(INDEX(DATABASE_FG!$L$5:$L$367, MATCH(E368, DATABASE_FG!$C$5:$C$367, 0)), " ")</f>
        <v>42</v>
      </c>
      <c r="T368" s="36" t="s">
        <v>679</v>
      </c>
      <c r="U368" s="36"/>
      <c r="V368" s="36"/>
      <c r="W368" s="129"/>
      <c r="X368" s="36"/>
      <c r="Y368" s="36"/>
      <c r="Z368" s="36"/>
      <c r="AA368" s="125" t="s">
        <v>121</v>
      </c>
      <c r="AB368" s="173">
        <v>45804</v>
      </c>
      <c r="AC368" s="119" t="s">
        <v>1751</v>
      </c>
      <c r="AD368" s="36">
        <f t="shared" si="47"/>
        <v>39080737</v>
      </c>
      <c r="AE368" s="36" t="str">
        <f t="shared" si="48"/>
        <v>AU.KB3068-B-0208-DRE</v>
      </c>
      <c r="AF368" s="36">
        <v>0</v>
      </c>
      <c r="AG368" s="120">
        <f t="shared" si="49"/>
        <v>0</v>
      </c>
      <c r="AH368" s="36"/>
      <c r="AI368" s="124"/>
      <c r="AJ368" s="122"/>
      <c r="AK368" s="129" t="str">
        <f t="shared" ca="1" si="50"/>
        <v>Late</v>
      </c>
      <c r="AL368" s="268" t="str">
        <f t="shared" si="51"/>
        <v>May</v>
      </c>
      <c r="AM368" s="133">
        <f>YEAR(Table1[[#This Row],[ETA
As requested
dd.mm.yyyy]])</f>
        <v>2025</v>
      </c>
    </row>
    <row r="369" spans="1:40" hidden="1">
      <c r="A369" s="123" t="s">
        <v>83</v>
      </c>
      <c r="B369" s="36" t="s">
        <v>1170</v>
      </c>
      <c r="C369" s="117">
        <v>39080743</v>
      </c>
      <c r="D369" s="165">
        <v>45777</v>
      </c>
      <c r="E369" s="117" t="s">
        <v>109</v>
      </c>
      <c r="F369" s="36" t="str">
        <f>IFERROR(VLOOKUP(Table1[[#This Row],[Part Number]],DATABASE_FG!$C$6:D10358,2,FALSE)," ")</f>
        <v xml:space="preserve">094290350-0000 </v>
      </c>
      <c r="G369" s="117">
        <f>IFERROR(_xlfn.XLOOKUP(Table1[[#This Row],[Part Number]],Table3[Part number],Table3[Drawing
 Revision]),"")</f>
        <v>0</v>
      </c>
      <c r="H369" s="118" cm="1">
        <f t="array" ref="H369">IFERROR(INDEX(PDB!$C:$AT,MATCH(E369,PDB!$B:$B,0),MATCH(YEAR(K369),0+PDB!$C$1:$AT$1,0)),"")</f>
        <v>0.94</v>
      </c>
      <c r="I369" s="36">
        <v>1000</v>
      </c>
      <c r="J369" s="125">
        <f>IFERROR(Table1[[#This Row],[Quantity]]*Table1[[#This Row],[Price/Unit
EUR]]," ")</f>
        <v>940</v>
      </c>
      <c r="K369" s="126">
        <v>45789</v>
      </c>
      <c r="L369" s="36">
        <f>WEEKNUM(Table1[[#This Row],[ETA
As requested
dd.mm.yyyy]])</f>
        <v>20</v>
      </c>
      <c r="M369" s="36">
        <f>YEAR(Table1[[#This Row],[ETA
As requested
dd.mm.yyyy]])</f>
        <v>2025</v>
      </c>
      <c r="N369" s="36">
        <f>IFERROR(INDEX(DATABASE_FG!$H$5:$H$367, MATCH(E369, DATABASE_FG!$C$5:$C$367, 0)), " ")</f>
        <v>0</v>
      </c>
      <c r="O369" s="129" t="str">
        <f>IF(E369&lt;&gt;"", _xlfn.XLOOKUP(E369, DATABASE_FG!C:C, DATABASE_FG!F:F), " ")</f>
        <v>Strunjite</v>
      </c>
      <c r="P369" s="129">
        <f>IFERROR(INDEX(DATABASE_FG!$G$5:$G$367, MATCH(E369, DATABASE_FG!$C$5:$C$367, 0)), "Not Found")</f>
        <v>0</v>
      </c>
      <c r="Q369" s="36"/>
      <c r="R369" s="125" t="s">
        <v>678</v>
      </c>
      <c r="S369" s="123">
        <f>IFERROR(INDEX(DATABASE_FG!$L$5:$L$367, MATCH(E369, DATABASE_FG!$C$5:$C$367, 0)), " ")</f>
        <v>42</v>
      </c>
      <c r="T369" s="36" t="s">
        <v>679</v>
      </c>
      <c r="U369" s="36"/>
      <c r="V369" s="36"/>
      <c r="W369" s="129"/>
      <c r="X369" s="36"/>
      <c r="Y369" s="36"/>
      <c r="Z369" s="36"/>
      <c r="AA369" s="125" t="s">
        <v>121</v>
      </c>
      <c r="AB369" s="173">
        <v>45804</v>
      </c>
      <c r="AC369" s="119" t="s">
        <v>1751</v>
      </c>
      <c r="AD369" s="36">
        <f t="shared" si="47"/>
        <v>39080743</v>
      </c>
      <c r="AE369" s="36" t="str">
        <f t="shared" si="48"/>
        <v>AU.KB3068-B-0208-DRE</v>
      </c>
      <c r="AF369" s="36">
        <v>0</v>
      </c>
      <c r="AG369" s="120">
        <f t="shared" si="49"/>
        <v>0</v>
      </c>
      <c r="AH369" s="36"/>
      <c r="AI369" s="124"/>
      <c r="AJ369" s="122"/>
      <c r="AK369" s="129" t="str">
        <f t="shared" ca="1" si="50"/>
        <v>Late</v>
      </c>
      <c r="AL369" s="268" t="str">
        <f t="shared" si="51"/>
        <v>May</v>
      </c>
      <c r="AM369" s="133">
        <f>YEAR(Table1[[#This Row],[ETA
As requested
dd.mm.yyyy]])</f>
        <v>2025</v>
      </c>
    </row>
    <row r="370" spans="1:40" hidden="1">
      <c r="A370" s="177" t="s">
        <v>83</v>
      </c>
      <c r="B370" s="178" t="s">
        <v>1170</v>
      </c>
      <c r="C370" s="180">
        <v>39593650</v>
      </c>
      <c r="D370" s="179">
        <v>45777</v>
      </c>
      <c r="E370" s="180" t="s">
        <v>109</v>
      </c>
      <c r="F370" s="36" t="str">
        <f>IFERROR(VLOOKUP(Table1[[#This Row],[Part Number]],DATABASE_FG!$C$6:D10359,2,FALSE)," ")</f>
        <v xml:space="preserve">094290350-0000 </v>
      </c>
      <c r="G370" s="117">
        <f>IFERROR(_xlfn.XLOOKUP(Table1[[#This Row],[Part Number]],Table3[Part number],Table3[Drawing
 Revision]),"")</f>
        <v>0</v>
      </c>
      <c r="H370" s="118" cm="1">
        <f t="array" ref="H370">IFERROR(INDEX(PDB!$C:$AT,MATCH(E370,PDB!$B:$B,0),MATCH(YEAR(K370),0+PDB!$C$1:$AT$1,0)),"")</f>
        <v>0.94</v>
      </c>
      <c r="I370" s="178">
        <v>532</v>
      </c>
      <c r="J370" s="181">
        <f>IFERROR(Table1[[#This Row],[Quantity]]*Table1[[#This Row],[Price/Unit
EUR]]," ")</f>
        <v>500.08</v>
      </c>
      <c r="K370" s="182">
        <v>45838</v>
      </c>
      <c r="L370" s="178">
        <f>WEEKNUM(Table1[[#This Row],[ETA
As requested
dd.mm.yyyy]])</f>
        <v>27</v>
      </c>
      <c r="M370" s="178">
        <f>YEAR(Table1[[#This Row],[ETA
As requested
dd.mm.yyyy]])</f>
        <v>2025</v>
      </c>
      <c r="N370" s="36">
        <f>IFERROR(INDEX(DATABASE_FG!$H$5:$H$367, MATCH(E370, DATABASE_FG!$C$5:$C$367, 0)), " ")</f>
        <v>0</v>
      </c>
      <c r="O370" s="183" t="str">
        <f>IF(E370&lt;&gt;"", _xlfn.XLOOKUP(E370, DATABASE_FG!C:C, DATABASE_FG!F:F), " ")</f>
        <v>Strunjite</v>
      </c>
      <c r="P370" s="129">
        <f>IFERROR(INDEX(DATABASE_FG!$G$5:$G$367, MATCH(E370, DATABASE_FG!$C$5:$C$367, 0)), "Not Found")</f>
        <v>0</v>
      </c>
      <c r="Q370" s="36"/>
      <c r="R370" s="125" t="s">
        <v>678</v>
      </c>
      <c r="S370" s="123">
        <f>IFERROR(INDEX(DATABASE_FG!$L$5:$L$367, MATCH(E370, DATABASE_FG!$C$5:$C$367, 0)), " ")</f>
        <v>42</v>
      </c>
      <c r="T370" s="36" t="s">
        <v>679</v>
      </c>
      <c r="U370" s="36"/>
      <c r="V370" s="36"/>
      <c r="W370" s="129"/>
      <c r="X370" s="36"/>
      <c r="Y370" s="36"/>
      <c r="Z370" s="36"/>
      <c r="AA370" s="181" t="s">
        <v>121</v>
      </c>
      <c r="AB370" s="173">
        <v>45838</v>
      </c>
      <c r="AC370" s="185">
        <v>260030</v>
      </c>
      <c r="AD370" s="178">
        <f t="shared" si="47"/>
        <v>39593650</v>
      </c>
      <c r="AE370" s="178" t="str">
        <f t="shared" si="48"/>
        <v>AU.KB3068-B-0208-DRE</v>
      </c>
      <c r="AF370" s="178">
        <v>532</v>
      </c>
      <c r="AG370" s="120">
        <f t="shared" si="49"/>
        <v>500.08</v>
      </c>
      <c r="AH370" s="178"/>
      <c r="AI370" s="188"/>
      <c r="AJ370" s="186" t="s">
        <v>3373</v>
      </c>
      <c r="AK370" s="129" t="str">
        <f t="shared" ca="1" si="50"/>
        <v>On Time</v>
      </c>
      <c r="AL370" s="268" t="str">
        <f t="shared" si="51"/>
        <v>June</v>
      </c>
      <c r="AM370" s="133">
        <f>YEAR(Table1[[#This Row],[ETA
As requested
dd.mm.yyyy]])</f>
        <v>2025</v>
      </c>
    </row>
    <row r="371" spans="1:40" hidden="1">
      <c r="A371" s="195" t="s">
        <v>83</v>
      </c>
      <c r="B371" s="194" t="s">
        <v>1170</v>
      </c>
      <c r="C371" s="197">
        <v>38979343</v>
      </c>
      <c r="D371" s="196">
        <v>45748</v>
      </c>
      <c r="E371" s="197" t="s">
        <v>109</v>
      </c>
      <c r="F371" s="36" t="str">
        <f>IFERROR(VLOOKUP(Table1[[#This Row],[Part Number]],DATABASE_FG!$C$6:D10360,2,FALSE)," ")</f>
        <v xml:space="preserve">094290350-0000 </v>
      </c>
      <c r="G371" s="117">
        <f>IFERROR(_xlfn.XLOOKUP(Table1[[#This Row],[Part Number]],Table3[Part number],Table3[Drawing
 Revision]),"")</f>
        <v>0</v>
      </c>
      <c r="H371" s="118" cm="1">
        <f t="array" ref="H371">IFERROR(INDEX(PDB!$C:$AT,MATCH(E371,PDB!$B:$B,0),MATCH(YEAR(K371),0+PDB!$C$1:$AT$1,0)),"")</f>
        <v>0.94</v>
      </c>
      <c r="I371" s="194">
        <v>5</v>
      </c>
      <c r="J371" s="198">
        <f>IFERROR(Table1[[#This Row],[Quantity]]*Table1[[#This Row],[Price/Unit
EUR]]," ")</f>
        <v>4.6999999999999993</v>
      </c>
      <c r="K371" s="199">
        <v>45838</v>
      </c>
      <c r="L371" s="194">
        <f>WEEKNUM(Table1[[#This Row],[ETA
As requested
dd.mm.yyyy]])</f>
        <v>27</v>
      </c>
      <c r="M371" s="194">
        <f>YEAR(Table1[[#This Row],[ETA
As requested
dd.mm.yyyy]])</f>
        <v>2025</v>
      </c>
      <c r="N371" s="36">
        <f>IFERROR(INDEX(DATABASE_FG!$H$5:$H$367, MATCH(E371, DATABASE_FG!$C$5:$C$367, 0)), " ")</f>
        <v>0</v>
      </c>
      <c r="O371" s="204" t="str">
        <f>IF(E371&lt;&gt;"", _xlfn.XLOOKUP(E371, DATABASE_FG!C:C, DATABASE_FG!F:F), " ")</f>
        <v>Strunjite</v>
      </c>
      <c r="P371" s="129">
        <f>IFERROR(INDEX(DATABASE_FG!$G$5:$G$367, MATCH(E371, DATABASE_FG!$C$5:$C$367, 0)), "Not Found")</f>
        <v>0</v>
      </c>
      <c r="Q371" s="194"/>
      <c r="R371" s="198" t="s">
        <v>678</v>
      </c>
      <c r="S371" s="123">
        <f>IFERROR(INDEX(DATABASE_FG!$L$5:$L$367, MATCH(E371, DATABASE_FG!$C$5:$C$367, 0)), " ")</f>
        <v>42</v>
      </c>
      <c r="T371" s="194" t="s">
        <v>679</v>
      </c>
      <c r="U371" s="194"/>
      <c r="V371" s="36"/>
      <c r="W371" s="129"/>
      <c r="X371" s="36"/>
      <c r="Y371" s="36"/>
      <c r="Z371" s="36"/>
      <c r="AA371" s="198" t="s">
        <v>121</v>
      </c>
      <c r="AB371" s="205">
        <v>45845</v>
      </c>
      <c r="AC371" s="201">
        <v>251041</v>
      </c>
      <c r="AD371" s="194">
        <f t="shared" si="47"/>
        <v>38979343</v>
      </c>
      <c r="AE371" s="194" t="str">
        <f t="shared" si="48"/>
        <v>AU.KB3068-B-0208-DRE</v>
      </c>
      <c r="AF371" s="194">
        <v>5</v>
      </c>
      <c r="AG371" s="120">
        <f t="shared" si="49"/>
        <v>4.6999999999999993</v>
      </c>
      <c r="AH371" s="194"/>
      <c r="AI371" s="202" t="s">
        <v>3379</v>
      </c>
      <c r="AJ371" s="203" t="s">
        <v>3380</v>
      </c>
      <c r="AK371" s="129" t="str">
        <f t="shared" ca="1" si="50"/>
        <v>Late</v>
      </c>
      <c r="AL371" s="268" t="str">
        <f t="shared" si="51"/>
        <v>June</v>
      </c>
      <c r="AM371" s="133">
        <f>YEAR(Table1[[#This Row],[ETA
As requested
dd.mm.yyyy]])</f>
        <v>2025</v>
      </c>
    </row>
    <row r="372" spans="1:40" hidden="1">
      <c r="A372" s="195" t="s">
        <v>83</v>
      </c>
      <c r="B372" s="194" t="s">
        <v>1170</v>
      </c>
      <c r="C372" s="197">
        <v>38979343</v>
      </c>
      <c r="D372" s="196">
        <v>45748</v>
      </c>
      <c r="E372" s="197" t="s">
        <v>109</v>
      </c>
      <c r="F372" s="36" t="str">
        <f>IFERROR(VLOOKUP(Table1[[#This Row],[Part Number]],DATABASE_FG!$C$6:D10361,2,FALSE)," ")</f>
        <v xml:space="preserve">094290350-0000 </v>
      </c>
      <c r="G372" s="117">
        <f>IFERROR(_xlfn.XLOOKUP(Table1[[#This Row],[Part Number]],Table3[Part number],Table3[Drawing
 Revision]),"")</f>
        <v>0</v>
      </c>
      <c r="H372" s="118" cm="1">
        <f t="array" ref="H372">IFERROR(INDEX(PDB!$C:$AT,MATCH(E372,PDB!$B:$B,0),MATCH(YEAR(K372),0+PDB!$C$1:$AT$1,0)),"")</f>
        <v>0.94</v>
      </c>
      <c r="I372" s="194">
        <v>1395</v>
      </c>
      <c r="J372" s="198">
        <f>IFERROR(Table1[[#This Row],[Quantity]]*Table1[[#This Row],[Price/Unit
EUR]]," ")</f>
        <v>1311.3</v>
      </c>
      <c r="K372" s="199">
        <v>45838</v>
      </c>
      <c r="L372" s="194">
        <f>WEEKNUM(Table1[[#This Row],[ETA
As requested
dd.mm.yyyy]])</f>
        <v>27</v>
      </c>
      <c r="M372" s="194">
        <f>YEAR(Table1[[#This Row],[ETA
As requested
dd.mm.yyyy]])</f>
        <v>2025</v>
      </c>
      <c r="N372" s="36">
        <f>IFERROR(INDEX(DATABASE_FG!$H$5:$H$367, MATCH(E372, DATABASE_FG!$C$5:$C$367, 0)), " ")</f>
        <v>0</v>
      </c>
      <c r="O372" s="204" t="str">
        <f>IF(E372&lt;&gt;"", _xlfn.XLOOKUP(E372, DATABASE_FG!C:C, DATABASE_FG!F:F), " ")</f>
        <v>Strunjite</v>
      </c>
      <c r="P372" s="129">
        <f>IFERROR(INDEX(DATABASE_FG!$G$5:$G$367, MATCH(E372, DATABASE_FG!$C$5:$C$367, 0)), "Not Found")</f>
        <v>0</v>
      </c>
      <c r="Q372" s="194"/>
      <c r="R372" s="198" t="s">
        <v>678</v>
      </c>
      <c r="S372" s="123">
        <f>IFERROR(INDEX(DATABASE_FG!$L$5:$L$367, MATCH(E372, DATABASE_FG!$C$5:$C$367, 0)), " ")</f>
        <v>42</v>
      </c>
      <c r="T372" s="194" t="s">
        <v>679</v>
      </c>
      <c r="U372" s="194"/>
      <c r="V372" s="36"/>
      <c r="W372" s="129"/>
      <c r="X372" s="36"/>
      <c r="Y372" s="36"/>
      <c r="Z372" s="36"/>
      <c r="AA372" s="198" t="s">
        <v>121</v>
      </c>
      <c r="AB372" s="205">
        <v>45876</v>
      </c>
      <c r="AC372" s="201"/>
      <c r="AD372" s="194" t="str">
        <f t="shared" si="47"/>
        <v/>
      </c>
      <c r="AE372" s="194" t="str">
        <f t="shared" si="48"/>
        <v/>
      </c>
      <c r="AF372" s="194">
        <v>0</v>
      </c>
      <c r="AG372" s="120">
        <f t="shared" si="49"/>
        <v>0</v>
      </c>
      <c r="AH372" s="194"/>
      <c r="AI372" s="202"/>
      <c r="AJ372" s="203"/>
      <c r="AK372" s="129" t="str">
        <f t="shared" ca="1" si="50"/>
        <v>Late</v>
      </c>
      <c r="AL372" s="268" t="str">
        <f t="shared" si="51"/>
        <v>June</v>
      </c>
      <c r="AM372" s="133">
        <f>YEAR(Table1[[#This Row],[ETA
As requested
dd.mm.yyyy]])</f>
        <v>2025</v>
      </c>
    </row>
    <row r="373" spans="1:40" hidden="1">
      <c r="A373" s="123" t="s">
        <v>83</v>
      </c>
      <c r="B373" s="36" t="s">
        <v>2464</v>
      </c>
      <c r="C373" s="117">
        <v>39080737</v>
      </c>
      <c r="D373" s="165">
        <v>45777</v>
      </c>
      <c r="E373" s="117" t="s">
        <v>109</v>
      </c>
      <c r="F373" s="36" t="str">
        <f>IFERROR(VLOOKUP(Table1[[#This Row],[Part Number]],DATABASE_FG!$C$6:D10362,2,FALSE)," ")</f>
        <v xml:space="preserve">094290350-0000 </v>
      </c>
      <c r="G373" s="117">
        <f>IFERROR(_xlfn.XLOOKUP(Table1[[#This Row],[Part Number]],Table3[Part number],Table3[Drawing
 Revision]),"")</f>
        <v>0</v>
      </c>
      <c r="H373" s="118" cm="1">
        <f t="array" ref="H373">IFERROR(INDEX(PDB!$C:$AT,MATCH(E373,PDB!$B:$B,0),MATCH(YEAR(K373),0+PDB!$C$1:$AT$1,0)),"")</f>
        <v>0.94</v>
      </c>
      <c r="I373" s="36">
        <v>3500</v>
      </c>
      <c r="J373" s="125">
        <f>IFERROR(Table1[[#This Row],[Quantity]]*Table1[[#This Row],[Price/Unit
EUR]]," ")</f>
        <v>3290</v>
      </c>
      <c r="K373" s="126">
        <v>45838</v>
      </c>
      <c r="L373" s="194">
        <f>WEEKNUM(Table1[[#This Row],[ETA
As requested
dd.mm.yyyy]])</f>
        <v>27</v>
      </c>
      <c r="M373" s="194">
        <f>YEAR(Table1[[#This Row],[ETA
As requested
dd.mm.yyyy]])</f>
        <v>2025</v>
      </c>
      <c r="N373" s="36">
        <f>IFERROR(INDEX(DATABASE_FG!$H$5:$H$367, MATCH(E373, DATABASE_FG!$C$5:$C$367, 0)), " ")</f>
        <v>0</v>
      </c>
      <c r="O373" s="204" t="str">
        <f>IF(E373&lt;&gt;"", _xlfn.XLOOKUP(E373, DATABASE_FG!C:C, DATABASE_FG!F:F), " ")</f>
        <v>Strunjite</v>
      </c>
      <c r="P373" s="129">
        <f>IFERROR(INDEX(DATABASE_FG!$G$5:$G$367, MATCH(E373, DATABASE_FG!$C$5:$C$367, 0)), "Not Found")</f>
        <v>0</v>
      </c>
      <c r="Q373" s="194"/>
      <c r="R373" s="198" t="s">
        <v>678</v>
      </c>
      <c r="S373" s="123">
        <f>IFERROR(INDEX(DATABASE_FG!$L$5:$L$367, MATCH(E373, DATABASE_FG!$C$5:$C$367, 0)), " ")</f>
        <v>42</v>
      </c>
      <c r="T373" s="194" t="s">
        <v>679</v>
      </c>
      <c r="U373" s="194"/>
      <c r="V373" s="36"/>
      <c r="W373" s="129"/>
      <c r="X373" s="36"/>
      <c r="Y373" s="36"/>
      <c r="Z373" s="36"/>
      <c r="AA373" s="125" t="s">
        <v>121</v>
      </c>
      <c r="AB373" s="173">
        <v>45876</v>
      </c>
      <c r="AC373" s="119"/>
      <c r="AD373" s="36" t="str">
        <f t="shared" si="47"/>
        <v/>
      </c>
      <c r="AE373" s="36" t="str">
        <f t="shared" si="48"/>
        <v/>
      </c>
      <c r="AF373" s="36">
        <v>0</v>
      </c>
      <c r="AG373" s="120">
        <f t="shared" si="49"/>
        <v>0</v>
      </c>
      <c r="AH373" s="36"/>
      <c r="AI373" s="124"/>
      <c r="AJ373" s="122"/>
      <c r="AK373" s="129" t="str">
        <f t="shared" ca="1" si="50"/>
        <v>Late</v>
      </c>
      <c r="AL373" s="268" t="str">
        <f t="shared" si="51"/>
        <v>June</v>
      </c>
      <c r="AM373" s="133">
        <f>YEAR(Table1[[#This Row],[ETA
As requested
dd.mm.yyyy]])</f>
        <v>2025</v>
      </c>
    </row>
    <row r="374" spans="1:40" hidden="1">
      <c r="A374" s="195" t="s">
        <v>83</v>
      </c>
      <c r="B374" s="194" t="s">
        <v>1170</v>
      </c>
      <c r="C374" s="197">
        <v>39717811</v>
      </c>
      <c r="D374" s="196">
        <v>45855</v>
      </c>
      <c r="E374" s="197" t="s">
        <v>109</v>
      </c>
      <c r="F374" s="36" t="str">
        <f>IFERROR(VLOOKUP(Table1[[#This Row],[Part Number]],DATABASE_FG!$C$6:D10363,2,FALSE)," ")</f>
        <v xml:space="preserve">094290350-0000 </v>
      </c>
      <c r="G374" s="117">
        <f>IFERROR(_xlfn.XLOOKUP(Table1[[#This Row],[Part Number]],Table3[Part number],Table3[Drawing
 Revision]),"")</f>
        <v>0</v>
      </c>
      <c r="H374" s="118" cm="1">
        <f t="array" ref="H374">IFERROR(INDEX(PDB!$C:$AT,MATCH(E374,PDB!$B:$B,0),MATCH(YEAR(K374),0+PDB!$C$1:$AT$1,0)),"")</f>
        <v>0.94</v>
      </c>
      <c r="I374" s="194">
        <v>5</v>
      </c>
      <c r="J374" s="198">
        <f>IFERROR(Table1[[#This Row],[Quantity]]*Table1[[#This Row],[Price/Unit
EUR]]," ")</f>
        <v>4.6999999999999993</v>
      </c>
      <c r="K374" s="199">
        <v>45856</v>
      </c>
      <c r="L374" s="194">
        <f>WEEKNUM(Table1[[#This Row],[ETA
As requested
dd.mm.yyyy]])</f>
        <v>29</v>
      </c>
      <c r="M374" s="194">
        <f>YEAR(Table1[[#This Row],[ETA
As requested
dd.mm.yyyy]])</f>
        <v>2025</v>
      </c>
      <c r="N374" s="36">
        <f>IFERROR(INDEX(DATABASE_FG!$H$5:$H$367, MATCH(E374, DATABASE_FG!$C$5:$C$367, 0)), " ")</f>
        <v>0</v>
      </c>
      <c r="O374" s="204" t="str">
        <f>IF(E374&lt;&gt;"", _xlfn.XLOOKUP(E374, DATABASE_FG!C:C, DATABASE_FG!F:F), " ")</f>
        <v>Strunjite</v>
      </c>
      <c r="P374" s="129">
        <f>IFERROR(INDEX(DATABASE_FG!$G$5:$G$367, MATCH(E374, DATABASE_FG!$C$5:$C$367, 0)), "Not Found")</f>
        <v>0</v>
      </c>
      <c r="Q374" s="194"/>
      <c r="R374" s="198" t="s">
        <v>678</v>
      </c>
      <c r="S374" s="123">
        <f>IFERROR(INDEX(DATABASE_FG!$L$5:$L$367, MATCH(E374, DATABASE_FG!$C$5:$C$367, 0)), " ")</f>
        <v>42</v>
      </c>
      <c r="T374" s="194" t="s">
        <v>679</v>
      </c>
      <c r="U374" s="194"/>
      <c r="V374" s="36"/>
      <c r="W374" s="129"/>
      <c r="X374" s="36"/>
      <c r="Y374" s="36"/>
      <c r="Z374" s="36"/>
      <c r="AA374" s="198" t="s">
        <v>121</v>
      </c>
      <c r="AB374" s="205">
        <v>45856</v>
      </c>
      <c r="AC374" s="201" t="s">
        <v>3429</v>
      </c>
      <c r="AD374" s="194">
        <f t="shared" si="47"/>
        <v>39717811</v>
      </c>
      <c r="AE374" s="194" t="str">
        <f t="shared" si="48"/>
        <v>AU.KB3068-B-0208-DRE</v>
      </c>
      <c r="AF374" s="194">
        <v>5</v>
      </c>
      <c r="AG374" s="120">
        <f t="shared" si="49"/>
        <v>4.6999999999999993</v>
      </c>
      <c r="AH374" s="194"/>
      <c r="AI374" s="202"/>
      <c r="AJ374" s="203" t="s">
        <v>3430</v>
      </c>
      <c r="AK374" s="129" t="str">
        <f t="shared" ca="1" si="50"/>
        <v>On Time</v>
      </c>
      <c r="AL374" s="268" t="str">
        <f t="shared" si="51"/>
        <v>July</v>
      </c>
      <c r="AM374" s="133">
        <f>YEAR(Table1[[#This Row],[ETA
As requested
dd.mm.yyyy]])</f>
        <v>2025</v>
      </c>
    </row>
    <row r="375" spans="1:40" hidden="1">
      <c r="A375" s="123" t="s">
        <v>83</v>
      </c>
      <c r="B375" s="36" t="s">
        <v>2464</v>
      </c>
      <c r="C375" s="117">
        <v>39080737</v>
      </c>
      <c r="D375" s="165">
        <v>45777</v>
      </c>
      <c r="E375" s="117" t="s">
        <v>109</v>
      </c>
      <c r="F375" s="36" t="str">
        <f>IFERROR(VLOOKUP(Table1[[#This Row],[Part Number]],DATABASE_FG!$C$6:D10364,2,FALSE)," ")</f>
        <v xml:space="preserve">094290350-0000 </v>
      </c>
      <c r="G375" s="117">
        <f>IFERROR(_xlfn.XLOOKUP(Table1[[#This Row],[Part Number]],Table3[Part number],Table3[Drawing
 Revision]),"")</f>
        <v>0</v>
      </c>
      <c r="H375" s="118" cm="1">
        <f t="array" ref="H375">IFERROR(INDEX(PDB!$C:$AT,MATCH(E375,PDB!$B:$B,0),MATCH(YEAR(K375),0+PDB!$C$1:$AT$1,0)),"")</f>
        <v>0.94</v>
      </c>
      <c r="I375" s="36">
        <v>2000</v>
      </c>
      <c r="J375" s="125">
        <f>IFERROR(Table1[[#This Row],[Quantity]]*Table1[[#This Row],[Price/Unit
EUR]]," ")</f>
        <v>1880</v>
      </c>
      <c r="K375" s="126">
        <v>45868</v>
      </c>
      <c r="L375" s="36">
        <f>WEEKNUM(Table1[[#This Row],[ETA
As requested
dd.mm.yyyy]])</f>
        <v>31</v>
      </c>
      <c r="M375" s="36">
        <f>YEAR(Table1[[#This Row],[ETA
As requested
dd.mm.yyyy]])</f>
        <v>2025</v>
      </c>
      <c r="N375" s="36">
        <f>IFERROR(INDEX(DATABASE_FG!$H$5:$H$367, MATCH(E375, DATABASE_FG!$C$5:$C$367, 0)), " ")</f>
        <v>0</v>
      </c>
      <c r="O375" s="129" t="str">
        <f>IF(E375&lt;&gt;"", _xlfn.XLOOKUP(E375, DATABASE_FG!C:C, DATABASE_FG!F:F), " ")</f>
        <v>Strunjite</v>
      </c>
      <c r="P375" s="129">
        <f>IFERROR(INDEX(DATABASE_FG!$G$5:$G$367, MATCH(E375, DATABASE_FG!$C$5:$C$367, 0)), "Not Found")</f>
        <v>0</v>
      </c>
      <c r="Q375" s="36"/>
      <c r="R375" s="125" t="s">
        <v>678</v>
      </c>
      <c r="S375" s="123">
        <f>IFERROR(INDEX(DATABASE_FG!$L$5:$L$367, MATCH(E375, DATABASE_FG!$C$5:$C$367, 0)), " ")</f>
        <v>42</v>
      </c>
      <c r="T375" s="36" t="s">
        <v>679</v>
      </c>
      <c r="U375" s="36"/>
      <c r="V375" s="36"/>
      <c r="W375" s="129"/>
      <c r="X375" s="36"/>
      <c r="Y375" s="36"/>
      <c r="Z375" s="36"/>
      <c r="AA375" s="125" t="s">
        <v>121</v>
      </c>
      <c r="AB375" s="173">
        <v>45876</v>
      </c>
      <c r="AC375" s="119"/>
      <c r="AD375" s="36" t="str">
        <f t="shared" si="47"/>
        <v/>
      </c>
      <c r="AE375" s="36" t="str">
        <f t="shared" si="48"/>
        <v/>
      </c>
      <c r="AF375" s="36">
        <v>0</v>
      </c>
      <c r="AG375" s="120">
        <f t="shared" si="49"/>
        <v>0</v>
      </c>
      <c r="AH375" s="36"/>
      <c r="AI375" s="124"/>
      <c r="AJ375" s="122"/>
      <c r="AK375" s="129" t="str">
        <f t="shared" ca="1" si="50"/>
        <v>Late</v>
      </c>
      <c r="AL375" s="268" t="str">
        <f t="shared" si="51"/>
        <v>July</v>
      </c>
      <c r="AM375" s="133">
        <f>YEAR(Table1[[#This Row],[ETA
As requested
dd.mm.yyyy]])</f>
        <v>2025</v>
      </c>
    </row>
    <row r="376" spans="1:40" hidden="1">
      <c r="A376" s="319" t="s">
        <v>83</v>
      </c>
      <c r="B376" s="320" t="s">
        <v>1170</v>
      </c>
      <c r="C376" s="321">
        <v>50333561</v>
      </c>
      <c r="D376" s="322">
        <v>45931</v>
      </c>
      <c r="E376" s="321" t="s">
        <v>109</v>
      </c>
      <c r="F376" s="36" t="str">
        <f>IFERROR(VLOOKUP(Table1[[#This Row],[Part Number]],DATABASE_FG!$C$6:D10365,2,FALSE)," ")</f>
        <v xml:space="preserve">094290350-0000 </v>
      </c>
      <c r="G376" s="117">
        <f>IFERROR(_xlfn.XLOOKUP(Table1[[#This Row],[Part Number]],Table3[Part number],Table3[Drawing
 Revision]),"")</f>
        <v>0</v>
      </c>
      <c r="H376" s="118" cm="1">
        <f t="array" ref="H376">IFERROR(INDEX(PDB!$C:$AT,MATCH(E376,PDB!$B:$B,0),MATCH(YEAR(K376),0+PDB!$C$1:$AT$1,0)),"")</f>
        <v>0.94</v>
      </c>
      <c r="I376" s="320">
        <v>113</v>
      </c>
      <c r="J376" s="323">
        <f>IFERROR(Table1[[#This Row],[Quantity]]*Table1[[#This Row],[Price/Unit
EUR]]," ")</f>
        <v>106.22</v>
      </c>
      <c r="K376" s="324">
        <v>45938</v>
      </c>
      <c r="L376" s="320">
        <f>WEEKNUM(Table1[[#This Row],[ETA
As requested
dd.mm.yyyy]])</f>
        <v>41</v>
      </c>
      <c r="M376" s="320">
        <f>YEAR(Table1[[#This Row],[ETA
As requested
dd.mm.yyyy]])</f>
        <v>2025</v>
      </c>
      <c r="N376" s="36">
        <f>IFERROR(INDEX(DATABASE_FG!$H$5:$H$367, MATCH(E376, DATABASE_FG!$C$5:$C$367, 0)), " ")</f>
        <v>0</v>
      </c>
      <c r="O376" s="325" t="str">
        <f>IF(E376&lt;&gt;"", _xlfn.XLOOKUP(E376, DATABASE_FG!C:C, DATABASE_FG!F:F), " ")</f>
        <v>Strunjite</v>
      </c>
      <c r="P376" s="129">
        <f>IFERROR(INDEX(DATABASE_FG!$G$5:$G$367, MATCH(E376, DATABASE_FG!$C$5:$C$367, 0)), "Not Found")</f>
        <v>0</v>
      </c>
      <c r="Q376" s="320"/>
      <c r="R376" s="323" t="s">
        <v>678</v>
      </c>
      <c r="S376" s="123">
        <f>Table1[[#This Row],[Quantity]]/48</f>
        <v>2.3541666666666665</v>
      </c>
      <c r="T376" s="36"/>
      <c r="U376" s="36"/>
      <c r="V376" s="36"/>
      <c r="W376" s="129"/>
      <c r="X376" s="36"/>
      <c r="Y376" s="36"/>
      <c r="Z376" s="36"/>
      <c r="AA376" s="323" t="s">
        <v>121</v>
      </c>
      <c r="AB376" s="340">
        <v>45931</v>
      </c>
      <c r="AC376" s="326" t="s">
        <v>3795</v>
      </c>
      <c r="AD376" s="320">
        <f t="shared" si="47"/>
        <v>50333561</v>
      </c>
      <c r="AE376" s="320" t="str">
        <f t="shared" si="48"/>
        <v>AU.KB3068-B-0208-DRE</v>
      </c>
      <c r="AF376" s="320">
        <v>113</v>
      </c>
      <c r="AG376" s="327">
        <f t="shared" si="49"/>
        <v>106.22</v>
      </c>
      <c r="AH376" s="320"/>
      <c r="AI376" s="328"/>
      <c r="AJ376" s="329" t="s">
        <v>3796</v>
      </c>
      <c r="AK376" s="325" t="str">
        <f t="shared" ca="1" si="50"/>
        <v>On Time</v>
      </c>
      <c r="AL376" s="330" t="str">
        <f t="shared" si="51"/>
        <v>October</v>
      </c>
      <c r="AM376" s="331">
        <f>YEAR(Table1[[#This Row],[ETA
As requested
dd.mm.yyyy]])</f>
        <v>2025</v>
      </c>
      <c r="AN376" s="332"/>
    </row>
    <row r="377" spans="1:40" hidden="1">
      <c r="A377" s="319" t="s">
        <v>83</v>
      </c>
      <c r="B377" s="320" t="s">
        <v>1170</v>
      </c>
      <c r="C377" s="321">
        <v>50333561</v>
      </c>
      <c r="D377" s="322">
        <v>45931</v>
      </c>
      <c r="E377" s="321" t="s">
        <v>109</v>
      </c>
      <c r="F377" s="36" t="str">
        <f>IFERROR(VLOOKUP(Table1[[#This Row],[Part Number]],DATABASE_FG!$C$6:D10366,2,FALSE)," ")</f>
        <v xml:space="preserve">094290350-0000 </v>
      </c>
      <c r="G377" s="117">
        <f>IFERROR(_xlfn.XLOOKUP(Table1[[#This Row],[Part Number]],Table3[Part number],Table3[Drawing
 Revision]),"")</f>
        <v>0</v>
      </c>
      <c r="H377" s="118" cm="1">
        <f t="array" ref="H377">IFERROR(INDEX(PDB!$C:$AT,MATCH(E377,PDB!$B:$B,0),MATCH(YEAR(K377),0+PDB!$C$1:$AT$1,0)),"")</f>
        <v>0.94</v>
      </c>
      <c r="I377" s="320">
        <v>833</v>
      </c>
      <c r="J377" s="323">
        <f>IFERROR(Table1[[#This Row],[Quantity]]*Table1[[#This Row],[Price/Unit
EUR]]," ")</f>
        <v>783.02</v>
      </c>
      <c r="K377" s="324">
        <v>45938</v>
      </c>
      <c r="L377" s="320">
        <f>WEEKNUM(Table1[[#This Row],[ETA
As requested
dd.mm.yyyy]])</f>
        <v>41</v>
      </c>
      <c r="M377" s="320">
        <f>YEAR(Table1[[#This Row],[ETA
As requested
dd.mm.yyyy]])</f>
        <v>2025</v>
      </c>
      <c r="N377" s="36">
        <f>IFERROR(INDEX(DATABASE_FG!$H$5:$H$367, MATCH(E377, DATABASE_FG!$C$5:$C$367, 0)), " ")</f>
        <v>0</v>
      </c>
      <c r="O377" s="325" t="str">
        <f>IF(E377&lt;&gt;"", _xlfn.XLOOKUP(E377, DATABASE_FG!C:C, DATABASE_FG!F:F), " ")</f>
        <v>Strunjite</v>
      </c>
      <c r="P377" s="129">
        <f>IFERROR(INDEX(DATABASE_FG!$G$5:$G$367, MATCH(E377, DATABASE_FG!$C$5:$C$367, 0)), "Not Found")</f>
        <v>0</v>
      </c>
      <c r="Q377" s="320"/>
      <c r="R377" s="323" t="s">
        <v>678</v>
      </c>
      <c r="S377" s="123">
        <f>Table1[[#This Row],[Quantity]]/48</f>
        <v>17.354166666666668</v>
      </c>
      <c r="T377" s="36"/>
      <c r="U377" s="36"/>
      <c r="V377" s="36"/>
      <c r="W377" s="129"/>
      <c r="X377" s="36"/>
      <c r="Y377" s="36"/>
      <c r="Z377" s="36"/>
      <c r="AA377" s="323" t="s">
        <v>121</v>
      </c>
      <c r="AB377" s="340">
        <v>45932</v>
      </c>
      <c r="AC377" s="326" t="s">
        <v>3797</v>
      </c>
      <c r="AD377" s="320">
        <f t="shared" si="47"/>
        <v>50333561</v>
      </c>
      <c r="AE377" s="320" t="str">
        <f t="shared" si="48"/>
        <v>AU.KB3068-B-0208-DRE</v>
      </c>
      <c r="AF377" s="320">
        <v>833</v>
      </c>
      <c r="AG377" s="327">
        <f t="shared" si="49"/>
        <v>783.02</v>
      </c>
      <c r="AH377" s="320"/>
      <c r="AI377" s="328"/>
      <c r="AJ377" s="329" t="s">
        <v>3798</v>
      </c>
      <c r="AK377" s="325" t="str">
        <f t="shared" ca="1" si="50"/>
        <v>On Time</v>
      </c>
      <c r="AL377" s="330" t="str">
        <f t="shared" si="51"/>
        <v>October</v>
      </c>
      <c r="AM377" s="331">
        <f>YEAR(Table1[[#This Row],[ETA
As requested
dd.mm.yyyy]])</f>
        <v>2025</v>
      </c>
      <c r="AN377" s="191"/>
    </row>
    <row r="378" spans="1:40" hidden="1">
      <c r="A378" s="319" t="s">
        <v>83</v>
      </c>
      <c r="B378" s="320" t="s">
        <v>1170</v>
      </c>
      <c r="C378" s="321">
        <v>50333561</v>
      </c>
      <c r="D378" s="322">
        <v>45931</v>
      </c>
      <c r="E378" s="321" t="s">
        <v>109</v>
      </c>
      <c r="F378" s="36" t="str">
        <f>IFERROR(VLOOKUP(Table1[[#This Row],[Part Number]],DATABASE_FG!$C$6:D10367,2,FALSE)," ")</f>
        <v xml:space="preserve">094290350-0000 </v>
      </c>
      <c r="G378" s="117">
        <f>IFERROR(_xlfn.XLOOKUP(Table1[[#This Row],[Part Number]],Table3[Part number],Table3[Drawing
 Revision]),"")</f>
        <v>0</v>
      </c>
      <c r="H378" s="118" cm="1">
        <f t="array" ref="H378">IFERROR(INDEX(PDB!$C:$AT,MATCH(E378,PDB!$B:$B,0),MATCH(YEAR(K378),0+PDB!$C$1:$AT$1,0)),"")</f>
        <v>0.94</v>
      </c>
      <c r="I378" s="320">
        <v>451</v>
      </c>
      <c r="J378" s="323">
        <f>IFERROR(Table1[[#This Row],[Quantity]]*Table1[[#This Row],[Price/Unit
EUR]]," ")</f>
        <v>423.94</v>
      </c>
      <c r="K378" s="324">
        <v>45938</v>
      </c>
      <c r="L378" s="320">
        <f>WEEKNUM(Table1[[#This Row],[ETA
As requested
dd.mm.yyyy]])</f>
        <v>41</v>
      </c>
      <c r="M378" s="320">
        <f>YEAR(Table1[[#This Row],[ETA
As requested
dd.mm.yyyy]])</f>
        <v>2025</v>
      </c>
      <c r="N378" s="36">
        <f>IFERROR(INDEX(DATABASE_FG!$H$5:$H$367, MATCH(E378, DATABASE_FG!$C$5:$C$367, 0)), " ")</f>
        <v>0</v>
      </c>
      <c r="O378" s="325" t="str">
        <f>IF(E378&lt;&gt;"", _xlfn.XLOOKUP(E378, DATABASE_FG!C:C, DATABASE_FG!F:F), " ")</f>
        <v>Strunjite</v>
      </c>
      <c r="P378" s="129">
        <f>IFERROR(INDEX(DATABASE_FG!$G$5:$G$367, MATCH(E378, DATABASE_FG!$C$5:$C$367, 0)), "Not Found")</f>
        <v>0</v>
      </c>
      <c r="Q378" s="320"/>
      <c r="R378" s="323" t="s">
        <v>678</v>
      </c>
      <c r="S378" s="123">
        <f>Table1[[#This Row],[Quantity]]/48</f>
        <v>9.3958333333333339</v>
      </c>
      <c r="T378" s="36"/>
      <c r="U378" s="36"/>
      <c r="V378" s="36"/>
      <c r="W378" s="129"/>
      <c r="X378" s="36"/>
      <c r="Y378" s="36"/>
      <c r="Z378" s="36"/>
      <c r="AA378" s="323" t="s">
        <v>121</v>
      </c>
      <c r="AB378" s="340">
        <v>45933</v>
      </c>
      <c r="AC378" s="326" t="s">
        <v>3799</v>
      </c>
      <c r="AD378" s="320">
        <f t="shared" si="47"/>
        <v>50333561</v>
      </c>
      <c r="AE378" s="320" t="str">
        <f t="shared" si="48"/>
        <v>AU.KB3068-B-0208-DRE</v>
      </c>
      <c r="AF378" s="320">
        <v>451</v>
      </c>
      <c r="AG378" s="327">
        <f t="shared" si="49"/>
        <v>423.94</v>
      </c>
      <c r="AH378" s="320"/>
      <c r="AI378" s="328"/>
      <c r="AJ378" s="329" t="s">
        <v>3800</v>
      </c>
      <c r="AK378" s="325" t="str">
        <f t="shared" ca="1" si="50"/>
        <v>On Time</v>
      </c>
      <c r="AL378" s="330" t="str">
        <f t="shared" si="51"/>
        <v>October</v>
      </c>
      <c r="AM378" s="331">
        <f>YEAR(Table1[[#This Row],[Dată de livrare]])</f>
        <v>2025</v>
      </c>
      <c r="AN378" s="191"/>
    </row>
    <row r="379" spans="1:40" hidden="1">
      <c r="A379" s="319" t="s">
        <v>83</v>
      </c>
      <c r="B379" s="320" t="s">
        <v>1170</v>
      </c>
      <c r="C379" s="321">
        <v>50333561</v>
      </c>
      <c r="D379" s="322">
        <v>45931</v>
      </c>
      <c r="E379" s="321" t="s">
        <v>109</v>
      </c>
      <c r="F379" s="36" t="str">
        <f>IFERROR(VLOOKUP(Table1[[#This Row],[Part Number]],DATABASE_FG!$C$6:D10368,2,FALSE)," ")</f>
        <v xml:space="preserve">094290350-0000 </v>
      </c>
      <c r="G379" s="117">
        <f>IFERROR(_xlfn.XLOOKUP(Table1[[#This Row],[Part Number]],Table3[Part number],Table3[Drawing
 Revision]),"")</f>
        <v>0</v>
      </c>
      <c r="H379" s="118" cm="1">
        <f t="array" ref="H379">IFERROR(INDEX(PDB!$C:$AT,MATCH(E379,PDB!$B:$B,0),MATCH(YEAR(K379),0+PDB!$C$1:$AT$1,0)),"")</f>
        <v>0.94</v>
      </c>
      <c r="I379" s="320">
        <v>240</v>
      </c>
      <c r="J379" s="323">
        <f>IFERROR(Table1[[#This Row],[Quantity]]*Table1[[#This Row],[Price/Unit
EUR]]," ")</f>
        <v>225.6</v>
      </c>
      <c r="K379" s="324">
        <v>45938</v>
      </c>
      <c r="L379" s="320">
        <f>WEEKNUM(Table1[[#This Row],[ETA
As requested
dd.mm.yyyy]])</f>
        <v>41</v>
      </c>
      <c r="M379" s="320">
        <f>YEAR(Table1[[#This Row],[ETA
As requested
dd.mm.yyyy]])</f>
        <v>2025</v>
      </c>
      <c r="N379" s="36">
        <f>IFERROR(INDEX(DATABASE_FG!$H$5:$H$367, MATCH(E379, DATABASE_FG!$C$5:$C$367, 0)), " ")</f>
        <v>0</v>
      </c>
      <c r="O379" s="325" t="str">
        <f>IF(E379&lt;&gt;"", _xlfn.XLOOKUP(E379, DATABASE_FG!C:C, DATABASE_FG!F:F), " ")</f>
        <v>Strunjite</v>
      </c>
      <c r="P379" s="129">
        <f>IFERROR(INDEX(DATABASE_FG!$G$5:$G$367, MATCH(E379, DATABASE_FG!$C$5:$C$367, 0)), "Not Found")</f>
        <v>0</v>
      </c>
      <c r="Q379" s="320"/>
      <c r="R379" s="323" t="s">
        <v>678</v>
      </c>
      <c r="S379" s="123">
        <f>Table1[[#This Row],[Quantity]]/48</f>
        <v>5</v>
      </c>
      <c r="T379" s="36"/>
      <c r="U379" s="36"/>
      <c r="V379" s="36"/>
      <c r="W379" s="129"/>
      <c r="X379" s="36"/>
      <c r="Y379" s="36"/>
      <c r="Z379" s="36"/>
      <c r="AA379" s="323" t="s">
        <v>121</v>
      </c>
      <c r="AB379" s="340">
        <v>45937</v>
      </c>
      <c r="AC379" s="326" t="s">
        <v>3801</v>
      </c>
      <c r="AD379" s="320">
        <f t="shared" si="47"/>
        <v>50333561</v>
      </c>
      <c r="AE379" s="320" t="str">
        <f t="shared" si="48"/>
        <v>AU.KB3068-B-0208-DRE</v>
      </c>
      <c r="AF379" s="320">
        <v>240</v>
      </c>
      <c r="AG379" s="327">
        <f t="shared" si="49"/>
        <v>225.6</v>
      </c>
      <c r="AH379" s="320"/>
      <c r="AI379" s="328"/>
      <c r="AJ379" s="329" t="s">
        <v>3802</v>
      </c>
      <c r="AK379" s="325" t="str">
        <f t="shared" ca="1" si="50"/>
        <v>On Time</v>
      </c>
      <c r="AL379" s="268" t="str">
        <f t="shared" si="51"/>
        <v>October</v>
      </c>
      <c r="AM379" s="133">
        <f>YEAR(Table1[[#This Row],[ETA
As requested
dd.mm.yyyy]])</f>
        <v>2025</v>
      </c>
      <c r="AN379" s="191"/>
    </row>
    <row r="380" spans="1:40" hidden="1">
      <c r="A380" s="319" t="s">
        <v>83</v>
      </c>
      <c r="B380" s="320" t="s">
        <v>1170</v>
      </c>
      <c r="C380" s="321">
        <v>50333561</v>
      </c>
      <c r="D380" s="322">
        <v>45931</v>
      </c>
      <c r="E380" s="321" t="s">
        <v>109</v>
      </c>
      <c r="F380" s="36" t="str">
        <f>IFERROR(VLOOKUP(Table1[[#This Row],[Part Number]],DATABASE_FG!$C$6:D10369,2,FALSE)," ")</f>
        <v xml:space="preserve">094290350-0000 </v>
      </c>
      <c r="G380" s="117">
        <f>IFERROR(_xlfn.XLOOKUP(Table1[[#This Row],[Part Number]],Table3[Part number],Table3[Drawing
 Revision]),"")</f>
        <v>0</v>
      </c>
      <c r="H380" s="118" cm="1">
        <f t="array" ref="H380">IFERROR(INDEX(PDB!$C:$AT,MATCH(E380,PDB!$B:$B,0),MATCH(YEAR(K380),0+PDB!$C$1:$AT$1,0)),"")</f>
        <v>0.94</v>
      </c>
      <c r="I380" s="320">
        <v>654</v>
      </c>
      <c r="J380" s="323">
        <f>IFERROR(Table1[[#This Row],[Quantity]]*Table1[[#This Row],[Price/Unit
EUR]]," ")</f>
        <v>614.76</v>
      </c>
      <c r="K380" s="324">
        <v>45938</v>
      </c>
      <c r="L380" s="320">
        <f>WEEKNUM(Table1[[#This Row],[ETA
As requested
dd.mm.yyyy]])</f>
        <v>41</v>
      </c>
      <c r="M380" s="320">
        <f>YEAR(Table1[[#This Row],[ETA
As requested
dd.mm.yyyy]])</f>
        <v>2025</v>
      </c>
      <c r="N380" s="36">
        <f>IFERROR(INDEX(DATABASE_FG!$H$5:$H$367, MATCH(E380, DATABASE_FG!$C$5:$C$367, 0)), " ")</f>
        <v>0</v>
      </c>
      <c r="O380" s="325" t="str">
        <f>IF(E380&lt;&gt;"", _xlfn.XLOOKUP(E380, DATABASE_FG!C:C, DATABASE_FG!F:F), " ")</f>
        <v>Strunjite</v>
      </c>
      <c r="P380" s="129">
        <f>IFERROR(INDEX(DATABASE_FG!$G$5:$G$367, MATCH(E380, DATABASE_FG!$C$5:$C$367, 0)), "Not Found")</f>
        <v>0</v>
      </c>
      <c r="Q380" s="320"/>
      <c r="R380" s="323" t="s">
        <v>678</v>
      </c>
      <c r="S380" s="123">
        <f>Table1[[#This Row],[Quantity]]/48</f>
        <v>13.625</v>
      </c>
      <c r="T380" s="36"/>
      <c r="U380" s="36"/>
      <c r="V380" s="36"/>
      <c r="W380" s="129"/>
      <c r="X380" s="36"/>
      <c r="Y380" s="36"/>
      <c r="Z380" s="36"/>
      <c r="AA380" s="323" t="s">
        <v>121</v>
      </c>
      <c r="AB380" s="340">
        <v>45939</v>
      </c>
      <c r="AC380" s="326" t="s">
        <v>3803</v>
      </c>
      <c r="AD380" s="320">
        <f t="shared" si="47"/>
        <v>50333561</v>
      </c>
      <c r="AE380" s="320" t="str">
        <f t="shared" si="48"/>
        <v>AU.KB3068-B-0208-DRE</v>
      </c>
      <c r="AF380" s="320">
        <v>654</v>
      </c>
      <c r="AG380" s="327">
        <f t="shared" si="49"/>
        <v>614.76</v>
      </c>
      <c r="AH380" s="320"/>
      <c r="AI380" s="328"/>
      <c r="AJ380" s="329" t="s">
        <v>3804</v>
      </c>
      <c r="AK380" s="325" t="str">
        <f t="shared" ca="1" si="50"/>
        <v>On Time</v>
      </c>
      <c r="AL380" s="330" t="str">
        <f t="shared" ref="AL380:AL398" si="52">TEXT(K380,"mmmm")</f>
        <v>October</v>
      </c>
      <c r="AM380" s="331">
        <f>YEAR(Table1[[#This Row],[ETA
As requested
dd.mm.yyyy]])</f>
        <v>2025</v>
      </c>
      <c r="AN380" s="191"/>
    </row>
    <row r="381" spans="1:40" hidden="1">
      <c r="A381" s="319" t="s">
        <v>83</v>
      </c>
      <c r="B381" s="320" t="s">
        <v>1170</v>
      </c>
      <c r="C381" s="321">
        <v>50333561</v>
      </c>
      <c r="D381" s="322">
        <v>45931</v>
      </c>
      <c r="E381" s="321" t="s">
        <v>109</v>
      </c>
      <c r="F381" s="36" t="str">
        <f>IFERROR(VLOOKUP(Table1[[#This Row],[Part Number]],DATABASE_FG!$C$6:D10370,2,FALSE)," ")</f>
        <v xml:space="preserve">094290350-0000 </v>
      </c>
      <c r="G381" s="117">
        <f>IFERROR(_xlfn.XLOOKUP(Table1[[#This Row],[Part Number]],Table3[Part number],Table3[Drawing
 Revision]),"")</f>
        <v>0</v>
      </c>
      <c r="H381" s="118" cm="1">
        <f t="array" ref="H381">IFERROR(INDEX(PDB!$C:$AT,MATCH(E381,PDB!$B:$B,0),MATCH(YEAR(K381),0+PDB!$C$1:$AT$1,0)),"")</f>
        <v>0.94</v>
      </c>
      <c r="I381" s="320">
        <f>3100-113-833-451-240-654</f>
        <v>809</v>
      </c>
      <c r="J381" s="323">
        <f>IFERROR(Table1[[#This Row],[Quantity]]*Table1[[#This Row],[Price/Unit
EUR]]," ")</f>
        <v>760.45999999999992</v>
      </c>
      <c r="K381" s="324">
        <v>45938</v>
      </c>
      <c r="L381" s="320">
        <f>WEEKNUM(Table1[[#This Row],[ETA
As requested
dd.mm.yyyy]])</f>
        <v>41</v>
      </c>
      <c r="M381" s="320">
        <f>YEAR(Table1[[#This Row],[ETA
As requested
dd.mm.yyyy]])</f>
        <v>2025</v>
      </c>
      <c r="N381" s="36">
        <f>IFERROR(INDEX(DATABASE_FG!$H$5:$H$367, MATCH(E381, DATABASE_FG!$C$5:$C$367, 0)), " ")</f>
        <v>0</v>
      </c>
      <c r="O381" s="325" t="str">
        <f>IF(E381&lt;&gt;"", _xlfn.XLOOKUP(E381, DATABASE_FG!C:C, DATABASE_FG!F:F), " ")</f>
        <v>Strunjite</v>
      </c>
      <c r="P381" s="129">
        <f>IFERROR(INDEX(DATABASE_FG!$G$5:$G$367, MATCH(E381, DATABASE_FG!$C$5:$C$367, 0)), "Not Found")</f>
        <v>0</v>
      </c>
      <c r="Q381" s="320"/>
      <c r="R381" s="323" t="s">
        <v>678</v>
      </c>
      <c r="S381" s="123">
        <f>Table1[[#This Row],[Quantity]]/48</f>
        <v>16.854166666666668</v>
      </c>
      <c r="T381" s="36"/>
      <c r="U381" s="36"/>
      <c r="V381" s="36"/>
      <c r="W381" s="129"/>
      <c r="X381" s="36"/>
      <c r="Y381" s="36"/>
      <c r="Z381" s="36"/>
      <c r="AA381" s="323" t="s">
        <v>121</v>
      </c>
      <c r="AB381" s="340">
        <v>45944</v>
      </c>
      <c r="AC381" s="326" t="s">
        <v>4336</v>
      </c>
      <c r="AD381" s="320">
        <f t="shared" si="47"/>
        <v>50333561</v>
      </c>
      <c r="AE381" s="320" t="str">
        <f t="shared" si="48"/>
        <v>AU.KB3068-B-0208-DRE</v>
      </c>
      <c r="AF381" s="320">
        <v>809</v>
      </c>
      <c r="AG381" s="327">
        <f t="shared" si="49"/>
        <v>760.45999999999992</v>
      </c>
      <c r="AH381" s="320"/>
      <c r="AI381" s="328"/>
      <c r="AJ381" s="329" t="s">
        <v>4344</v>
      </c>
      <c r="AK381" s="325" t="str">
        <f t="shared" ca="1" si="50"/>
        <v>Late</v>
      </c>
      <c r="AL381" s="330" t="str">
        <f t="shared" si="52"/>
        <v>October</v>
      </c>
      <c r="AM381" s="331">
        <f>YEAR(Table1[[#This Row],[ETA
As requested
dd.mm.yyyy]])</f>
        <v>2025</v>
      </c>
      <c r="AN381" s="332"/>
    </row>
    <row r="382" spans="1:40" hidden="1">
      <c r="A382" s="319" t="s">
        <v>83</v>
      </c>
      <c r="B382" s="320" t="s">
        <v>1170</v>
      </c>
      <c r="C382" s="321">
        <v>50333562</v>
      </c>
      <c r="D382" s="322">
        <v>45931</v>
      </c>
      <c r="E382" s="321" t="s">
        <v>109</v>
      </c>
      <c r="F382" s="36" t="str">
        <f>IFERROR(VLOOKUP(Table1[[#This Row],[Part Number]],DATABASE_FG!$C$6:D10371,2,FALSE)," ")</f>
        <v xml:space="preserve">094290350-0000 </v>
      </c>
      <c r="G382" s="117">
        <f>IFERROR(_xlfn.XLOOKUP(Table1[[#This Row],[Part Number]],Table3[Part number],Table3[Drawing
 Revision]),"")</f>
        <v>0</v>
      </c>
      <c r="H382" s="118" cm="1">
        <f t="array" ref="H382">IFERROR(INDEX(PDB!$C:$AT,MATCH(E382,PDB!$B:$B,0),MATCH(YEAR(K382),0+PDB!$C$1:$AT$1,0)),"")</f>
        <v>0.94</v>
      </c>
      <c r="I382" s="320">
        <v>302</v>
      </c>
      <c r="J382" s="323">
        <f>IFERROR(Table1[[#This Row],[Quantity]]*Table1[[#This Row],[Price/Unit
EUR]]," ")</f>
        <v>283.88</v>
      </c>
      <c r="K382" s="324">
        <v>45945</v>
      </c>
      <c r="L382" s="320">
        <f>WEEKNUM(Table1[[#This Row],[ETA
As requested
dd.mm.yyyy]])</f>
        <v>42</v>
      </c>
      <c r="M382" s="320">
        <f>YEAR(Table1[[#This Row],[ETA
As requested
dd.mm.yyyy]])</f>
        <v>2025</v>
      </c>
      <c r="N382" s="36">
        <f>IFERROR(INDEX(DATABASE_FG!$H$5:$H$367, MATCH(E382, DATABASE_FG!$C$5:$C$367, 0)), " ")</f>
        <v>0</v>
      </c>
      <c r="O382" s="325" t="str">
        <f>IF(E382&lt;&gt;"", _xlfn.XLOOKUP(E382, DATABASE_FG!C:C, DATABASE_FG!F:F), " ")</f>
        <v>Strunjite</v>
      </c>
      <c r="P382" s="129">
        <f>IFERROR(INDEX(DATABASE_FG!$G$5:$G$367, MATCH(E382, DATABASE_FG!$C$5:$C$367, 0)), "Not Found")</f>
        <v>0</v>
      </c>
      <c r="Q382" s="320"/>
      <c r="R382" s="323" t="s">
        <v>678</v>
      </c>
      <c r="S382" s="123">
        <f>Table1[[#This Row],[Quantity]]/48</f>
        <v>6.291666666666667</v>
      </c>
      <c r="T382" s="36"/>
      <c r="U382" s="36"/>
      <c r="V382" s="36"/>
      <c r="W382" s="129"/>
      <c r="X382" s="36"/>
      <c r="Y382" s="36"/>
      <c r="Z382" s="36"/>
      <c r="AA382" s="323" t="s">
        <v>121</v>
      </c>
      <c r="AB382" s="340">
        <v>45944</v>
      </c>
      <c r="AC382" s="326" t="s">
        <v>4337</v>
      </c>
      <c r="AD382" s="320">
        <f t="shared" si="47"/>
        <v>50333562</v>
      </c>
      <c r="AE382" s="320" t="str">
        <f t="shared" si="48"/>
        <v>AU.KB3068-B-0208-DRE</v>
      </c>
      <c r="AF382" s="320">
        <v>302</v>
      </c>
      <c r="AG382" s="327">
        <f t="shared" si="49"/>
        <v>283.88</v>
      </c>
      <c r="AH382" s="320"/>
      <c r="AI382" s="328"/>
      <c r="AJ382" s="329" t="s">
        <v>4345</v>
      </c>
      <c r="AK382" s="325" t="str">
        <f t="shared" ca="1" si="50"/>
        <v>On Time</v>
      </c>
      <c r="AL382" s="330" t="str">
        <f t="shared" si="52"/>
        <v>October</v>
      </c>
      <c r="AM382" s="331">
        <f>YEAR(Table1[[#This Row],[ETA
As requested
dd.mm.yyyy]])</f>
        <v>2025</v>
      </c>
      <c r="AN382" s="191"/>
    </row>
    <row r="383" spans="1:40" hidden="1">
      <c r="A383" s="319" t="s">
        <v>83</v>
      </c>
      <c r="B383" s="320" t="s">
        <v>1170</v>
      </c>
      <c r="C383" s="321">
        <v>50333562</v>
      </c>
      <c r="D383" s="322">
        <v>45931</v>
      </c>
      <c r="E383" s="321" t="s">
        <v>109</v>
      </c>
      <c r="F383" s="36" t="str">
        <f>IFERROR(VLOOKUP(Table1[[#This Row],[Part Number]],DATABASE_FG!$C$6:D10372,2,FALSE)," ")</f>
        <v xml:space="preserve">094290350-0000 </v>
      </c>
      <c r="G383" s="117">
        <f>IFERROR(_xlfn.XLOOKUP(Table1[[#This Row],[Part Number]],Table3[Part number],Table3[Drawing
 Revision]),"")</f>
        <v>0</v>
      </c>
      <c r="H383" s="118" cm="1">
        <f t="array" ref="H383">IFERROR(INDEX(PDB!$C:$AT,MATCH(E383,PDB!$B:$B,0),MATCH(YEAR(K383),0+PDB!$C$1:$AT$1,0)),"")</f>
        <v>0.94</v>
      </c>
      <c r="I383" s="320">
        <v>718</v>
      </c>
      <c r="J383" s="323">
        <f>IFERROR(Table1[[#This Row],[Quantity]]*Table1[[#This Row],[Price/Unit
EUR]]," ")</f>
        <v>674.92</v>
      </c>
      <c r="K383" s="324">
        <v>45945</v>
      </c>
      <c r="L383" s="320">
        <f>WEEKNUM(Table1[[#This Row],[ETA
As requested
dd.mm.yyyy]])</f>
        <v>42</v>
      </c>
      <c r="M383" s="320">
        <f>YEAR(Table1[[#This Row],[ETA
As requested
dd.mm.yyyy]])</f>
        <v>2025</v>
      </c>
      <c r="N383" s="36">
        <f>IFERROR(INDEX(DATABASE_FG!$H$5:$H$367, MATCH(E383, DATABASE_FG!$C$5:$C$367, 0)), " ")</f>
        <v>0</v>
      </c>
      <c r="O383" s="325" t="str">
        <f>IF(E383&lt;&gt;"", _xlfn.XLOOKUP(E383, DATABASE_FG!C:C, DATABASE_FG!F:F), " ")</f>
        <v>Strunjite</v>
      </c>
      <c r="P383" s="129">
        <f>IFERROR(INDEX(DATABASE_FG!$G$5:$G$367, MATCH(E383, DATABASE_FG!$C$5:$C$367, 0)), "Not Found")</f>
        <v>0</v>
      </c>
      <c r="Q383" s="320"/>
      <c r="R383" s="323" t="s">
        <v>678</v>
      </c>
      <c r="S383" s="123">
        <f>Table1[[#This Row],[Quantity]]/48</f>
        <v>14.958333333333334</v>
      </c>
      <c r="T383" s="36"/>
      <c r="U383" s="36"/>
      <c r="V383" s="36"/>
      <c r="W383" s="129"/>
      <c r="X383" s="36"/>
      <c r="Y383" s="36"/>
      <c r="Z383" s="36"/>
      <c r="AA383" s="323" t="s">
        <v>121</v>
      </c>
      <c r="AB383" s="340">
        <v>45946</v>
      </c>
      <c r="AC383" s="326" t="s">
        <v>4352</v>
      </c>
      <c r="AD383" s="320">
        <f t="shared" si="47"/>
        <v>50333562</v>
      </c>
      <c r="AE383" s="320" t="str">
        <f t="shared" si="48"/>
        <v>AU.KB3068-B-0208-DRE</v>
      </c>
      <c r="AF383" s="320">
        <v>718</v>
      </c>
      <c r="AG383" s="327">
        <f t="shared" si="49"/>
        <v>674.92</v>
      </c>
      <c r="AH383" s="320"/>
      <c r="AI383" s="328"/>
      <c r="AJ383" s="329" t="s">
        <v>4365</v>
      </c>
      <c r="AK383" s="325" t="str">
        <f t="shared" ca="1" si="50"/>
        <v>On Time</v>
      </c>
      <c r="AL383" s="330" t="str">
        <f t="shared" si="52"/>
        <v>October</v>
      </c>
      <c r="AM383" s="331">
        <f>YEAR(Table1[[#This Row],[ETA
As requested
dd.mm.yyyy]])</f>
        <v>2025</v>
      </c>
      <c r="AN383" s="191"/>
    </row>
    <row r="384" spans="1:40" hidden="1">
      <c r="A384" s="319" t="s">
        <v>83</v>
      </c>
      <c r="B384" s="320" t="s">
        <v>1170</v>
      </c>
      <c r="C384" s="321">
        <v>50333562</v>
      </c>
      <c r="D384" s="322">
        <v>45931</v>
      </c>
      <c r="E384" s="321" t="s">
        <v>109</v>
      </c>
      <c r="F384" s="36" t="str">
        <f>IFERROR(VLOOKUP(Table1[[#This Row],[Part Number]],DATABASE_FG!$C$6:D10373,2,FALSE)," ")</f>
        <v xml:space="preserve">094290350-0000 </v>
      </c>
      <c r="G384" s="117">
        <f>IFERROR(_xlfn.XLOOKUP(Table1[[#This Row],[Part Number]],Table3[Part number],Table3[Drawing
 Revision]),"")</f>
        <v>0</v>
      </c>
      <c r="H384" s="118" cm="1">
        <f t="array" ref="H384">IFERROR(INDEX(PDB!$C:$AT,MATCH(E384,PDB!$B:$B,0),MATCH(YEAR(K384),0+PDB!$C$1:$AT$1,0)),"")</f>
        <v>0.94</v>
      </c>
      <c r="I384" s="320">
        <v>233</v>
      </c>
      <c r="J384" s="323">
        <f>IFERROR(Table1[[#This Row],[Quantity]]*Table1[[#This Row],[Price/Unit
EUR]]," ")</f>
        <v>219.01999999999998</v>
      </c>
      <c r="K384" s="324">
        <v>45945</v>
      </c>
      <c r="L384" s="320">
        <f>WEEKNUM(Table1[[#This Row],[ETA
As requested
dd.mm.yyyy]])</f>
        <v>42</v>
      </c>
      <c r="M384" s="320">
        <f>YEAR(Table1[[#This Row],[ETA
As requested
dd.mm.yyyy]])</f>
        <v>2025</v>
      </c>
      <c r="N384" s="36">
        <f>IFERROR(INDEX(DATABASE_FG!$H$5:$H$367, MATCH(E384, DATABASE_FG!$C$5:$C$367, 0)), " ")</f>
        <v>0</v>
      </c>
      <c r="O384" s="325" t="str">
        <f>IF(E384&lt;&gt;"", _xlfn.XLOOKUP(E384, DATABASE_FG!C:C, DATABASE_FG!F:F), " ")</f>
        <v>Strunjite</v>
      </c>
      <c r="P384" s="129">
        <f>IFERROR(INDEX(DATABASE_FG!$G$5:$G$367, MATCH(E384, DATABASE_FG!$C$5:$C$367, 0)), "Not Found")</f>
        <v>0</v>
      </c>
      <c r="Q384" s="320"/>
      <c r="R384" s="323" t="s">
        <v>678</v>
      </c>
      <c r="S384" s="123">
        <f>Table1[[#This Row],[Quantity]]/48</f>
        <v>4.854166666666667</v>
      </c>
      <c r="T384" s="36"/>
      <c r="U384" s="36"/>
      <c r="V384" s="36"/>
      <c r="W384" s="129"/>
      <c r="X384" s="36"/>
      <c r="Y384" s="36"/>
      <c r="Z384" s="36"/>
      <c r="AA384" s="323" t="s">
        <v>121</v>
      </c>
      <c r="AB384" s="340">
        <v>45947</v>
      </c>
      <c r="AC384" s="326" t="s">
        <v>4358</v>
      </c>
      <c r="AD384" s="320">
        <f t="shared" si="47"/>
        <v>50333562</v>
      </c>
      <c r="AE384" s="320" t="str">
        <f t="shared" si="48"/>
        <v>AU.KB3068-B-0208-DRE</v>
      </c>
      <c r="AF384" s="320">
        <v>233</v>
      </c>
      <c r="AG384" s="327">
        <f t="shared" si="49"/>
        <v>219.01999999999998</v>
      </c>
      <c r="AH384" s="320"/>
      <c r="AI384" s="328"/>
      <c r="AJ384" s="329" t="s">
        <v>4371</v>
      </c>
      <c r="AK384" s="325" t="str">
        <f t="shared" ca="1" si="50"/>
        <v>On Time</v>
      </c>
      <c r="AL384" s="330" t="str">
        <f t="shared" si="52"/>
        <v>October</v>
      </c>
      <c r="AM384" s="331">
        <f>YEAR(Table1[[#This Row],[ETA
As requested
dd.mm.yyyy]])</f>
        <v>2025</v>
      </c>
      <c r="AN384" s="191"/>
    </row>
    <row r="385" spans="1:40" hidden="1">
      <c r="A385" s="319" t="s">
        <v>83</v>
      </c>
      <c r="B385" s="320" t="s">
        <v>1170</v>
      </c>
      <c r="C385" s="321">
        <v>50333562</v>
      </c>
      <c r="D385" s="322">
        <v>45931</v>
      </c>
      <c r="E385" s="321" t="s">
        <v>109</v>
      </c>
      <c r="F385" s="36" t="str">
        <f>IFERROR(VLOOKUP(Table1[[#This Row],[Part Number]],DATABASE_FG!$C$6:D10374,2,FALSE)," ")</f>
        <v xml:space="preserve">094290350-0000 </v>
      </c>
      <c r="G385" s="117">
        <f>IFERROR(_xlfn.XLOOKUP(Table1[[#This Row],[Part Number]],Table3[Part number],Table3[Drawing
 Revision]),"")</f>
        <v>0</v>
      </c>
      <c r="H385" s="118" cm="1">
        <f t="array" ref="H385">IFERROR(INDEX(PDB!$C:$AT,MATCH(E385,PDB!$B:$B,0),MATCH(YEAR(K385),0+PDB!$C$1:$AT$1,0)),"")</f>
        <v>0.94</v>
      </c>
      <c r="I385" s="320">
        <v>622</v>
      </c>
      <c r="J385" s="323">
        <f>IFERROR(Table1[[#This Row],[Quantity]]*Table1[[#This Row],[Price/Unit
EUR]]," ")</f>
        <v>584.67999999999995</v>
      </c>
      <c r="K385" s="324">
        <v>45945</v>
      </c>
      <c r="L385" s="320">
        <f>WEEKNUM(Table1[[#This Row],[ETA
As requested
dd.mm.yyyy]])</f>
        <v>42</v>
      </c>
      <c r="M385" s="320">
        <f>YEAR(Table1[[#This Row],[ETA
As requested
dd.mm.yyyy]])</f>
        <v>2025</v>
      </c>
      <c r="N385" s="36">
        <f>IFERROR(INDEX(DATABASE_FG!$H$5:$H$367, MATCH(E385, DATABASE_FG!$C$5:$C$367, 0)), " ")</f>
        <v>0</v>
      </c>
      <c r="O385" s="325" t="str">
        <f>IF(E385&lt;&gt;"", _xlfn.XLOOKUP(E385, DATABASE_FG!C:C, DATABASE_FG!F:F), " ")</f>
        <v>Strunjite</v>
      </c>
      <c r="P385" s="129">
        <f>IFERROR(INDEX(DATABASE_FG!$G$5:$G$367, MATCH(E385, DATABASE_FG!$C$5:$C$367, 0)), "Not Found")</f>
        <v>0</v>
      </c>
      <c r="Q385" s="320"/>
      <c r="R385" s="323" t="s">
        <v>678</v>
      </c>
      <c r="S385" s="123">
        <f>Table1[[#This Row],[Quantity]]/48</f>
        <v>12.958333333333334</v>
      </c>
      <c r="T385" s="36"/>
      <c r="U385" s="36"/>
      <c r="V385" s="36"/>
      <c r="W385" s="129"/>
      <c r="X385" s="36"/>
      <c r="Y385" s="36"/>
      <c r="Z385" s="36"/>
      <c r="AA385" s="323" t="s">
        <v>121</v>
      </c>
      <c r="AB385" s="340">
        <v>45951</v>
      </c>
      <c r="AC385" s="326" t="s">
        <v>4380</v>
      </c>
      <c r="AD385" s="320">
        <f t="shared" si="47"/>
        <v>50333562</v>
      </c>
      <c r="AE385" s="320" t="str">
        <f t="shared" si="48"/>
        <v>AU.KB3068-B-0208-DRE</v>
      </c>
      <c r="AF385" s="320">
        <v>622</v>
      </c>
      <c r="AG385" s="327">
        <f t="shared" si="49"/>
        <v>584.67999999999995</v>
      </c>
      <c r="AH385" s="320"/>
      <c r="AI385" s="328"/>
      <c r="AJ385" s="329" t="s">
        <v>4389</v>
      </c>
      <c r="AK385" s="325" t="str">
        <f t="shared" ca="1" si="50"/>
        <v>Late</v>
      </c>
      <c r="AL385" s="330" t="str">
        <f t="shared" si="52"/>
        <v>October</v>
      </c>
      <c r="AM385" s="331">
        <f>YEAR(Table1[[#This Row],[ETA
As requested
dd.mm.yyyy]])</f>
        <v>2025</v>
      </c>
      <c r="AN385" s="191"/>
    </row>
    <row r="386" spans="1:40" hidden="1">
      <c r="A386" s="319" t="s">
        <v>83</v>
      </c>
      <c r="B386" s="320" t="s">
        <v>1170</v>
      </c>
      <c r="C386" s="321">
        <v>50333562</v>
      </c>
      <c r="D386" s="322">
        <v>45931</v>
      </c>
      <c r="E386" s="321" t="s">
        <v>109</v>
      </c>
      <c r="F386" s="36" t="str">
        <f>IFERROR(VLOOKUP(Table1[[#This Row],[Part Number]],DATABASE_FG!$C$6:D10375,2,FALSE)," ")</f>
        <v xml:space="preserve">094290350-0000 </v>
      </c>
      <c r="G386" s="117">
        <f>IFERROR(_xlfn.XLOOKUP(Table1[[#This Row],[Part Number]],Table3[Part number],Table3[Drawing
 Revision]),"")</f>
        <v>0</v>
      </c>
      <c r="H386" s="118" cm="1">
        <f t="array" ref="H386">IFERROR(INDEX(PDB!$C:$AT,MATCH(E386,PDB!$B:$B,0),MATCH(YEAR(K386),0+PDB!$C$1:$AT$1,0)),"")</f>
        <v>0.94</v>
      </c>
      <c r="I386" s="320">
        <v>663</v>
      </c>
      <c r="J386" s="323">
        <f>IFERROR(Table1[[#This Row],[Quantity]]*Table1[[#This Row],[Price/Unit
EUR]]," ")</f>
        <v>623.21999999999991</v>
      </c>
      <c r="K386" s="324">
        <v>45945</v>
      </c>
      <c r="L386" s="320">
        <f>WEEKNUM(Table1[[#This Row],[ETA
As requested
dd.mm.yyyy]])</f>
        <v>42</v>
      </c>
      <c r="M386" s="320">
        <f>YEAR(Table1[[#This Row],[ETA
As requested
dd.mm.yyyy]])</f>
        <v>2025</v>
      </c>
      <c r="N386" s="36">
        <f>IFERROR(INDEX(DATABASE_FG!$H$5:$H$367, MATCH(E386, DATABASE_FG!$C$5:$C$367, 0)), " ")</f>
        <v>0</v>
      </c>
      <c r="O386" s="325" t="str">
        <f>IF(E386&lt;&gt;"", _xlfn.XLOOKUP(E386, DATABASE_FG!C:C, DATABASE_FG!F:F), " ")</f>
        <v>Strunjite</v>
      </c>
      <c r="P386" s="129">
        <f>IFERROR(INDEX(DATABASE_FG!$G$5:$G$367, MATCH(E386, DATABASE_FG!$C$5:$C$367, 0)), "Not Found")</f>
        <v>0</v>
      </c>
      <c r="Q386" s="320"/>
      <c r="R386" s="323" t="s">
        <v>678</v>
      </c>
      <c r="S386" s="123">
        <f>Table1[[#This Row],[Quantity]]/48</f>
        <v>13.8125</v>
      </c>
      <c r="T386" s="36"/>
      <c r="U386" s="36"/>
      <c r="V386" s="36"/>
      <c r="W386" s="129"/>
      <c r="X386" s="36"/>
      <c r="Y386" s="36"/>
      <c r="Z386" s="36"/>
      <c r="AA386" s="323" t="s">
        <v>121</v>
      </c>
      <c r="AB386" s="340">
        <v>45953</v>
      </c>
      <c r="AC386" s="326" t="s">
        <v>4398</v>
      </c>
      <c r="AD386" s="320">
        <f t="shared" ref="AD386" si="53">IF(NOT(ISBLANK(AC386)), C386, "")</f>
        <v>50333562</v>
      </c>
      <c r="AE386" s="320" t="str">
        <f t="shared" ref="AE386" si="54">IF(NOT(ISBLANK(AC386)), E386, "")</f>
        <v>AU.KB3068-B-0208-DRE</v>
      </c>
      <c r="AF386" s="320">
        <v>663</v>
      </c>
      <c r="AG386" s="327">
        <f t="shared" ref="AG386" si="55">AF386*H386</f>
        <v>623.21999999999991</v>
      </c>
      <c r="AH386" s="320"/>
      <c r="AI386" s="328"/>
      <c r="AJ386" s="329" t="s">
        <v>4404</v>
      </c>
      <c r="AK386" s="325" t="str">
        <f t="shared" ref="AK386" ca="1" si="56">IF(AB386="", IF(K386 &lt; TODAY(), "Late", ""), IF(AB386 &lt;= K386 + 2, "On Time", "Late"))</f>
        <v>Late</v>
      </c>
      <c r="AL386" s="330" t="str">
        <f t="shared" ref="AL386" si="57">TEXT(K386,"mmmm")</f>
        <v>October</v>
      </c>
      <c r="AM386" s="331">
        <f>YEAR(Table1[[#This Row],[ETA
As requested
dd.mm.yyyy]])</f>
        <v>2025</v>
      </c>
      <c r="AN386" s="191"/>
    </row>
    <row r="387" spans="1:40" hidden="1">
      <c r="A387" s="319" t="s">
        <v>83</v>
      </c>
      <c r="B387" s="320" t="s">
        <v>1170</v>
      </c>
      <c r="C387" s="321">
        <v>50333562</v>
      </c>
      <c r="D387" s="322">
        <v>45931</v>
      </c>
      <c r="E387" s="321" t="s">
        <v>109</v>
      </c>
      <c r="F387" s="36" t="str">
        <f>IFERROR(VLOOKUP(Table1[[#This Row],[Part Number]],DATABASE_FG!$C$6:D10376,2,FALSE)," ")</f>
        <v xml:space="preserve">094290350-0000 </v>
      </c>
      <c r="G387" s="117">
        <f>IFERROR(_xlfn.XLOOKUP(Table1[[#This Row],[Part Number]],Table3[Part number],Table3[Drawing
 Revision]),"")</f>
        <v>0</v>
      </c>
      <c r="H387" s="118" cm="1">
        <f t="array" ref="H387">IFERROR(INDEX(PDB!$C:$AT,MATCH(E387,PDB!$B:$B,0),MATCH(YEAR(K387),0+PDB!$C$1:$AT$1,0)),"")</f>
        <v>0.94</v>
      </c>
      <c r="I387" s="320">
        <f>3100-302-718-233-622-663</f>
        <v>562</v>
      </c>
      <c r="J387" s="323">
        <f>IFERROR(Table1[[#This Row],[Quantity]]*Table1[[#This Row],[Price/Unit
EUR]]," ")</f>
        <v>528.28</v>
      </c>
      <c r="K387" s="324">
        <v>45945</v>
      </c>
      <c r="L387" s="320">
        <f>WEEKNUM(Table1[[#This Row],[ETA
As requested
dd.mm.yyyy]])</f>
        <v>42</v>
      </c>
      <c r="M387" s="320">
        <f>YEAR(Table1[[#This Row],[ETA
As requested
dd.mm.yyyy]])</f>
        <v>2025</v>
      </c>
      <c r="N387" s="36">
        <f>IFERROR(INDEX(DATABASE_FG!$H$5:$H$367, MATCH(E387, DATABASE_FG!$C$5:$C$367, 0)), " ")</f>
        <v>0</v>
      </c>
      <c r="O387" s="325" t="str">
        <f>IF(E387&lt;&gt;"", _xlfn.XLOOKUP(E387, DATABASE_FG!C:C, DATABASE_FG!F:F), " ")</f>
        <v>Strunjite</v>
      </c>
      <c r="P387" s="129">
        <f>IFERROR(INDEX(DATABASE_FG!$G$5:$G$367, MATCH(E387, DATABASE_FG!$C$5:$C$367, 0)), "Not Found")</f>
        <v>0</v>
      </c>
      <c r="Q387" s="320"/>
      <c r="R387" s="323" t="s">
        <v>678</v>
      </c>
      <c r="S387" s="123">
        <f>Table1[[#This Row],[Quantity]]/48</f>
        <v>11.708333333333334</v>
      </c>
      <c r="T387" s="36"/>
      <c r="U387" s="36"/>
      <c r="V387" s="36"/>
      <c r="W387" s="129"/>
      <c r="X387" s="36"/>
      <c r="Y387" s="36"/>
      <c r="Z387" s="36"/>
      <c r="AA387" s="323" t="s">
        <v>121</v>
      </c>
      <c r="AB387" s="340">
        <v>45958</v>
      </c>
      <c r="AC387" s="326" t="s">
        <v>4411</v>
      </c>
      <c r="AD387" s="320">
        <f t="shared" si="47"/>
        <v>50333562</v>
      </c>
      <c r="AE387" s="320" t="str">
        <f t="shared" si="48"/>
        <v>AU.KB3068-B-0208-DRE</v>
      </c>
      <c r="AF387" s="320">
        <v>562</v>
      </c>
      <c r="AG387" s="327">
        <f t="shared" si="49"/>
        <v>528.28</v>
      </c>
      <c r="AH387" s="320"/>
      <c r="AI387" s="328"/>
      <c r="AJ387" s="329" t="s">
        <v>4421</v>
      </c>
      <c r="AK387" s="325" t="str">
        <f t="shared" ca="1" si="50"/>
        <v>Late</v>
      </c>
      <c r="AL387" s="330" t="str">
        <f t="shared" si="52"/>
        <v>October</v>
      </c>
      <c r="AM387" s="331">
        <f>YEAR(Table1[[#This Row],[ETA
As requested
dd.mm.yyyy]])</f>
        <v>2025</v>
      </c>
      <c r="AN387" s="332"/>
    </row>
    <row r="388" spans="1:40" hidden="1">
      <c r="A388" s="319" t="s">
        <v>83</v>
      </c>
      <c r="B388" s="320" t="s">
        <v>1170</v>
      </c>
      <c r="C388" s="321">
        <v>50333564</v>
      </c>
      <c r="D388" s="322">
        <v>45931</v>
      </c>
      <c r="E388" s="321" t="s">
        <v>109</v>
      </c>
      <c r="F388" s="36" t="str">
        <f>IFERROR(VLOOKUP(Table1[[#This Row],[Part Number]],DATABASE_FG!$C$6:D10377,2,FALSE)," ")</f>
        <v xml:space="preserve">094290350-0000 </v>
      </c>
      <c r="G388" s="117">
        <f>IFERROR(_xlfn.XLOOKUP(Table1[[#This Row],[Part Number]],Table3[Part number],Table3[Drawing
 Revision]),"")</f>
        <v>0</v>
      </c>
      <c r="H388" s="118" cm="1">
        <f t="array" ref="H388">IFERROR(INDEX(PDB!$C:$AT,MATCH(E388,PDB!$B:$B,0),MATCH(YEAR(K388),0+PDB!$C$1:$AT$1,0)),"")</f>
        <v>0.94</v>
      </c>
      <c r="I388" s="320">
        <v>827</v>
      </c>
      <c r="J388" s="323">
        <f>IFERROR(Table1[[#This Row],[Quantity]]*Table1[[#This Row],[Price/Unit
EUR]]," ")</f>
        <v>777.38</v>
      </c>
      <c r="K388" s="324">
        <v>45959</v>
      </c>
      <c r="L388" s="320">
        <f>WEEKNUM(Table1[[#This Row],[ETA
As requested
dd.mm.yyyy]])</f>
        <v>44</v>
      </c>
      <c r="M388" s="320">
        <f>YEAR(Table1[[#This Row],[ETA
As requested
dd.mm.yyyy]])</f>
        <v>2025</v>
      </c>
      <c r="N388" s="36">
        <f>IFERROR(INDEX(DATABASE_FG!$H$5:$H$367, MATCH(E388, DATABASE_FG!$C$5:$C$367, 0)), " ")</f>
        <v>0</v>
      </c>
      <c r="O388" s="325" t="str">
        <f>IF(E388&lt;&gt;"", _xlfn.XLOOKUP(E388, DATABASE_FG!C:C, DATABASE_FG!F:F), " ")</f>
        <v>Strunjite</v>
      </c>
      <c r="P388" s="129">
        <f>IFERROR(INDEX(DATABASE_FG!$G$5:$G$367, MATCH(E388, DATABASE_FG!$C$5:$C$367, 0)), "Not Found")</f>
        <v>0</v>
      </c>
      <c r="Q388" s="320"/>
      <c r="R388" s="323" t="s">
        <v>678</v>
      </c>
      <c r="S388" s="123">
        <f>Table1[[#This Row],[Quantity]]/48</f>
        <v>17.229166666666668</v>
      </c>
      <c r="T388" s="36"/>
      <c r="U388" s="36"/>
      <c r="V388" s="36"/>
      <c r="W388" s="129"/>
      <c r="X388" s="36"/>
      <c r="Y388" s="36"/>
      <c r="Z388" s="36"/>
      <c r="AA388" s="323" t="s">
        <v>121</v>
      </c>
      <c r="AB388" s="340">
        <v>45958</v>
      </c>
      <c r="AC388" s="326" t="s">
        <v>4412</v>
      </c>
      <c r="AD388" s="320">
        <f>IF(NOT(ISBLANK(AC388)), C388, "")</f>
        <v>50333564</v>
      </c>
      <c r="AE388" s="320" t="str">
        <f>IF(NOT(ISBLANK(AC388)), E388, "")</f>
        <v>AU.KB3068-B-0208-DRE</v>
      </c>
      <c r="AF388" s="320">
        <v>827</v>
      </c>
      <c r="AG388" s="327">
        <f>AF388*H388</f>
        <v>777.38</v>
      </c>
      <c r="AH388" s="320"/>
      <c r="AI388" s="328"/>
      <c r="AJ388" s="329" t="s">
        <v>4422</v>
      </c>
      <c r="AK388" s="325" t="str">
        <f ca="1">IF(AB388="", IF(K388 &lt; TODAY(), "Late", ""), IF(AB388 &lt;= K388 + 2, "On Time", "Late"))</f>
        <v>On Time</v>
      </c>
      <c r="AL388" s="330" t="str">
        <f>TEXT(K388,"mmmm")</f>
        <v>October</v>
      </c>
      <c r="AM388" s="331">
        <f>YEAR(Table1[[#This Row],[ETA
As requested
dd.mm.yyyy]])</f>
        <v>2025</v>
      </c>
      <c r="AN388" s="191"/>
    </row>
    <row r="389" spans="1:40" hidden="1">
      <c r="A389" s="319" t="s">
        <v>83</v>
      </c>
      <c r="B389" s="320" t="s">
        <v>1170</v>
      </c>
      <c r="C389" s="321">
        <v>50333564</v>
      </c>
      <c r="D389" s="322">
        <v>45931</v>
      </c>
      <c r="E389" s="321" t="s">
        <v>109</v>
      </c>
      <c r="F389" s="36" t="str">
        <f>IFERROR(VLOOKUP(Table1[[#This Row],[Part Number]],DATABASE_FG!$C$6:D10378,2,FALSE)," ")</f>
        <v xml:space="preserve">094290350-0000 </v>
      </c>
      <c r="G389" s="117">
        <f>IFERROR(_xlfn.XLOOKUP(Table1[[#This Row],[Part Number]],Table3[Part number],Table3[Drawing
 Revision]),"")</f>
        <v>0</v>
      </c>
      <c r="H389" s="118" cm="1">
        <f t="array" ref="H389">IFERROR(INDEX(PDB!$C:$AT,MATCH(E389,PDB!$B:$B,0),MATCH(YEAR(K389),0+PDB!$C$1:$AT$1,0)),"")</f>
        <v>0.94</v>
      </c>
      <c r="I389" s="320">
        <v>847</v>
      </c>
      <c r="J389" s="323">
        <f>IFERROR(Table1[[#This Row],[Quantity]]*Table1[[#This Row],[Price/Unit
EUR]]," ")</f>
        <v>796.18</v>
      </c>
      <c r="K389" s="324">
        <v>45959</v>
      </c>
      <c r="L389" s="320">
        <f>WEEKNUM(Table1[[#This Row],[ETA
As requested
dd.mm.yyyy]])</f>
        <v>44</v>
      </c>
      <c r="M389" s="320">
        <f>YEAR(Table1[[#This Row],[ETA
As requested
dd.mm.yyyy]])</f>
        <v>2025</v>
      </c>
      <c r="N389" s="36">
        <f>IFERROR(INDEX(DATABASE_FG!$H$5:$H$367, MATCH(E389, DATABASE_FG!$C$5:$C$367, 0)), " ")</f>
        <v>0</v>
      </c>
      <c r="O389" s="325" t="str">
        <f>IF(E389&lt;&gt;"", _xlfn.XLOOKUP(E389, DATABASE_FG!C:C, DATABASE_FG!F:F), " ")</f>
        <v>Strunjite</v>
      </c>
      <c r="P389" s="129">
        <f>IFERROR(INDEX(DATABASE_FG!$G$5:$G$367, MATCH(E389, DATABASE_FG!$C$5:$C$367, 0)), "Not Found")</f>
        <v>0</v>
      </c>
      <c r="Q389" s="320"/>
      <c r="R389" s="323" t="s">
        <v>678</v>
      </c>
      <c r="S389" s="123">
        <f>Table1[[#This Row],[Quantity]]/48</f>
        <v>17.645833333333332</v>
      </c>
      <c r="T389" s="36"/>
      <c r="U389" s="36"/>
      <c r="V389" s="36"/>
      <c r="W389" s="129"/>
      <c r="X389" s="36"/>
      <c r="Y389" s="36"/>
      <c r="Z389" s="36"/>
      <c r="AA389" s="323" t="s">
        <v>121</v>
      </c>
      <c r="AB389" s="340">
        <v>45960</v>
      </c>
      <c r="AC389" s="326" t="s">
        <v>4424</v>
      </c>
      <c r="AD389" s="320">
        <f>IF(NOT(ISBLANK(AC389)), C389, "")</f>
        <v>50333564</v>
      </c>
      <c r="AE389" s="320" t="str">
        <f>IF(NOT(ISBLANK(AC389)), E389, "")</f>
        <v>AU.KB3068-B-0208-DRE</v>
      </c>
      <c r="AF389" s="320">
        <v>847</v>
      </c>
      <c r="AG389" s="327">
        <f>AF389*H389</f>
        <v>796.18</v>
      </c>
      <c r="AH389" s="320"/>
      <c r="AI389" s="328"/>
      <c r="AJ389" s="329" t="s">
        <v>4449</v>
      </c>
      <c r="AK389" s="325" t="str">
        <f ca="1">IF(AB389="", IF(K389 &lt; TODAY(), "Late", ""), IF(AB389 &lt;= K389 + 2, "On Time", "Late"))</f>
        <v>On Time</v>
      </c>
      <c r="AL389" s="330" t="str">
        <f>TEXT(K389,"mmmm")</f>
        <v>October</v>
      </c>
      <c r="AM389" s="331">
        <f>YEAR(Table1[[#This Row],[ETA
As requested
dd.mm.yyyy]])</f>
        <v>2025</v>
      </c>
      <c r="AN389" s="191"/>
    </row>
    <row r="390" spans="1:40" hidden="1">
      <c r="A390" s="319" t="s">
        <v>83</v>
      </c>
      <c r="B390" s="320" t="s">
        <v>1170</v>
      </c>
      <c r="C390" s="321">
        <v>50333564</v>
      </c>
      <c r="D390" s="322">
        <v>45931</v>
      </c>
      <c r="E390" s="321" t="s">
        <v>109</v>
      </c>
      <c r="F390" s="36" t="str">
        <f>IFERROR(VLOOKUP(Table1[[#This Row],[Part Number]],DATABASE_FG!$C$6:D10379,2,FALSE)," ")</f>
        <v xml:space="preserve">094290350-0000 </v>
      </c>
      <c r="G390" s="117">
        <f>IFERROR(_xlfn.XLOOKUP(Table1[[#This Row],[Part Number]],Table3[Part number],Table3[Drawing
 Revision]),"")</f>
        <v>0</v>
      </c>
      <c r="H390" s="118" cm="1">
        <f t="array" ref="H390">IFERROR(INDEX(PDB!$C:$AT,MATCH(E390,PDB!$B:$B,0),MATCH(YEAR(K390),0+PDB!$C$1:$AT$1,0)),"")</f>
        <v>0.94</v>
      </c>
      <c r="I390" s="320">
        <v>342</v>
      </c>
      <c r="J390" s="323">
        <f>IFERROR(Table1[[#This Row],[Quantity]]*Table1[[#This Row],[Price/Unit
EUR]]," ")</f>
        <v>321.47999999999996</v>
      </c>
      <c r="K390" s="324">
        <v>45959</v>
      </c>
      <c r="L390" s="320">
        <f>WEEKNUM(Table1[[#This Row],[ETA
As requested
dd.mm.yyyy]])</f>
        <v>44</v>
      </c>
      <c r="M390" s="320">
        <f>YEAR(Table1[[#This Row],[ETA
As requested
dd.mm.yyyy]])</f>
        <v>2025</v>
      </c>
      <c r="N390" s="36">
        <f>IFERROR(INDEX(DATABASE_FG!$H$5:$H$367, MATCH(E390, DATABASE_FG!$C$5:$C$367, 0)), " ")</f>
        <v>0</v>
      </c>
      <c r="O390" s="325" t="str">
        <f>IF(E390&lt;&gt;"", _xlfn.XLOOKUP(E390, DATABASE_FG!C:C, DATABASE_FG!F:F), " ")</f>
        <v>Strunjite</v>
      </c>
      <c r="P390" s="129">
        <f>IFERROR(INDEX(DATABASE_FG!$G$5:$G$367, MATCH(E390, DATABASE_FG!$C$5:$C$367, 0)), "Not Found")</f>
        <v>0</v>
      </c>
      <c r="Q390" s="320"/>
      <c r="R390" s="323" t="s">
        <v>678</v>
      </c>
      <c r="S390" s="123">
        <f>Table1[[#This Row],[Quantity]]/48</f>
        <v>7.125</v>
      </c>
      <c r="T390" s="36"/>
      <c r="U390" s="36"/>
      <c r="V390" s="36"/>
      <c r="W390" s="129"/>
      <c r="X390" s="36"/>
      <c r="Y390" s="36"/>
      <c r="Z390" s="36"/>
      <c r="AA390" s="323" t="s">
        <v>121</v>
      </c>
      <c r="AB390" s="340">
        <v>45961</v>
      </c>
      <c r="AC390" s="326" t="s">
        <v>4440</v>
      </c>
      <c r="AD390" s="320">
        <f>IF(NOT(ISBLANK(AC390)), C390, "")</f>
        <v>50333564</v>
      </c>
      <c r="AE390" s="320" t="str">
        <f>IF(NOT(ISBLANK(AC390)), E390, "")</f>
        <v>AU.KB3068-B-0208-DRE</v>
      </c>
      <c r="AF390" s="320">
        <v>342</v>
      </c>
      <c r="AG390" s="327">
        <f>AF390*H390</f>
        <v>321.47999999999996</v>
      </c>
      <c r="AH390" s="320"/>
      <c r="AI390" s="328"/>
      <c r="AJ390" s="329" t="s">
        <v>4450</v>
      </c>
      <c r="AK390" s="325" t="str">
        <f ca="1">IF(AB390="", IF(K390 &lt; TODAY(), "Late", ""), IF(AB390 &lt;= K390 + 2, "On Time", "Late"))</f>
        <v>On Time</v>
      </c>
      <c r="AL390" s="330" t="str">
        <f>TEXT(K390,"mmmm")</f>
        <v>October</v>
      </c>
      <c r="AM390" s="331">
        <f>YEAR(Table1[[#This Row],[ETA
As requested
dd.mm.yyyy]])</f>
        <v>2025</v>
      </c>
      <c r="AN390" s="191"/>
    </row>
    <row r="391" spans="1:40" hidden="1">
      <c r="A391" s="319" t="s">
        <v>83</v>
      </c>
      <c r="B391" s="320" t="s">
        <v>1170</v>
      </c>
      <c r="C391" s="321">
        <v>50333564</v>
      </c>
      <c r="D391" s="322">
        <v>45931</v>
      </c>
      <c r="E391" s="321" t="s">
        <v>109</v>
      </c>
      <c r="F391" s="36" t="str">
        <f>IFERROR(VLOOKUP(Table1[[#This Row],[Part Number]],DATABASE_FG!$C$6:D10380,2,FALSE)," ")</f>
        <v xml:space="preserve">094290350-0000 </v>
      </c>
      <c r="G391" s="117">
        <f>IFERROR(_xlfn.XLOOKUP(Table1[[#This Row],[Part Number]],Table3[Part number],Table3[Drawing
 Revision]),"")</f>
        <v>0</v>
      </c>
      <c r="H391" s="118" cm="1">
        <f t="array" ref="H391">IFERROR(INDEX(PDB!$C:$AT,MATCH(E391,PDB!$B:$B,0),MATCH(YEAR(K391),0+PDB!$C$1:$AT$1,0)),"")</f>
        <v>0.94</v>
      </c>
      <c r="I391" s="320">
        <v>298</v>
      </c>
      <c r="J391" s="323">
        <f>IFERROR(Table1[[#This Row],[Quantity]]*Table1[[#This Row],[Price/Unit
EUR]]," ")</f>
        <v>280.12</v>
      </c>
      <c r="K391" s="324">
        <v>45959</v>
      </c>
      <c r="L391" s="320">
        <f>WEEKNUM(Table1[[#This Row],[ETA
As requested
dd.mm.yyyy]])</f>
        <v>44</v>
      </c>
      <c r="M391" s="320">
        <f>YEAR(Table1[[#This Row],[ETA
As requested
dd.mm.yyyy]])</f>
        <v>2025</v>
      </c>
      <c r="N391" s="36">
        <f>IFERROR(INDEX(DATABASE_FG!$H$5:$H$367, MATCH(E391, DATABASE_FG!$C$5:$C$367, 0)), " ")</f>
        <v>0</v>
      </c>
      <c r="O391" s="325" t="str">
        <f>IF(E391&lt;&gt;"", _xlfn.XLOOKUP(E391, DATABASE_FG!C:C, DATABASE_FG!F:F), " ")</f>
        <v>Strunjite</v>
      </c>
      <c r="P391" s="129">
        <f>IFERROR(INDEX(DATABASE_FG!$G$5:$G$367, MATCH(E391, DATABASE_FG!$C$5:$C$367, 0)), "Not Found")</f>
        <v>0</v>
      </c>
      <c r="Q391" s="320"/>
      <c r="R391" s="323" t="s">
        <v>678</v>
      </c>
      <c r="S391" s="123">
        <f>Table1[[#This Row],[Quantity]]/48</f>
        <v>6.208333333333333</v>
      </c>
      <c r="T391" s="36"/>
      <c r="U391" s="36"/>
      <c r="V391" s="36"/>
      <c r="W391" s="129"/>
      <c r="X391" s="36"/>
      <c r="Y391" s="36"/>
      <c r="Z391" s="36"/>
      <c r="AA391" s="323" t="s">
        <v>121</v>
      </c>
      <c r="AB391" s="340">
        <v>45965</v>
      </c>
      <c r="AC391" s="326" t="s">
        <v>4459</v>
      </c>
      <c r="AD391" s="320">
        <f>IF(NOT(ISBLANK(AC391)), C391, "")</f>
        <v>50333564</v>
      </c>
      <c r="AE391" s="320" t="str">
        <f>IF(NOT(ISBLANK(AC391)), E391, "")</f>
        <v>AU.KB3068-B-0208-DRE</v>
      </c>
      <c r="AF391" s="320">
        <v>298</v>
      </c>
      <c r="AG391" s="327">
        <f>AF391*H391</f>
        <v>280.12</v>
      </c>
      <c r="AH391" s="320"/>
      <c r="AI391" s="328"/>
      <c r="AJ391" s="329" t="s">
        <v>4478</v>
      </c>
      <c r="AK391" s="325" t="str">
        <f ca="1">IF(AB391="", IF(K391 &lt; TODAY(), "Late", ""), IF(AB391 &lt;= K391 + 2, "On Time", "Late"))</f>
        <v>Late</v>
      </c>
      <c r="AL391" s="330" t="str">
        <f>TEXT(K391,"mmmm")</f>
        <v>October</v>
      </c>
      <c r="AM391" s="331">
        <f>YEAR(Table1[[#This Row],[ETA
As requested
dd.mm.yyyy]])</f>
        <v>2025</v>
      </c>
      <c r="AN391" s="191"/>
    </row>
    <row r="392" spans="1:40" hidden="1">
      <c r="A392" s="319" t="s">
        <v>83</v>
      </c>
      <c r="B392" s="320" t="s">
        <v>1170</v>
      </c>
      <c r="C392" s="321">
        <v>50333564</v>
      </c>
      <c r="D392" s="322">
        <v>45931</v>
      </c>
      <c r="E392" s="321" t="s">
        <v>109</v>
      </c>
      <c r="F392" s="36" t="str">
        <f>IFERROR(VLOOKUP(Table1[[#This Row],[Part Number]],DATABASE_FG!$C$6:D10381,2,FALSE)," ")</f>
        <v xml:space="preserve">094290350-0000 </v>
      </c>
      <c r="G392" s="117">
        <f>IFERROR(_xlfn.XLOOKUP(Table1[[#This Row],[Part Number]],Table3[Part number],Table3[Drawing
 Revision]),"")</f>
        <v>0</v>
      </c>
      <c r="H392" s="118" cm="1">
        <f t="array" ref="H392">IFERROR(INDEX(PDB!$C:$AT,MATCH(E392,PDB!$B:$B,0),MATCH(YEAR(K392),0+PDB!$C$1:$AT$1,0)),"")</f>
        <v>0.94</v>
      </c>
      <c r="I392" s="320">
        <f>2800-827-847-342-298</f>
        <v>486</v>
      </c>
      <c r="J392" s="323">
        <f>IFERROR(Table1[[#This Row],[Quantity]]*Table1[[#This Row],[Price/Unit
EUR]]," ")</f>
        <v>456.84</v>
      </c>
      <c r="K392" s="324">
        <v>45959</v>
      </c>
      <c r="L392" s="320">
        <f>WEEKNUM(Table1[[#This Row],[ETA
As requested
dd.mm.yyyy]])</f>
        <v>44</v>
      </c>
      <c r="M392" s="320">
        <f>YEAR(Table1[[#This Row],[ETA
As requested
dd.mm.yyyy]])</f>
        <v>2025</v>
      </c>
      <c r="N392" s="36">
        <f>IFERROR(INDEX(DATABASE_FG!$H$5:$H$367, MATCH(E392, DATABASE_FG!$C$5:$C$367, 0)), " ")</f>
        <v>0</v>
      </c>
      <c r="O392" s="325" t="str">
        <f>IF(E392&lt;&gt;"", _xlfn.XLOOKUP(E392, DATABASE_FG!C:C, DATABASE_FG!F:F), " ")</f>
        <v>Strunjite</v>
      </c>
      <c r="P392" s="129">
        <f>IFERROR(INDEX(DATABASE_FG!$G$5:$G$367, MATCH(E392, DATABASE_FG!$C$5:$C$367, 0)), "Not Found")</f>
        <v>0</v>
      </c>
      <c r="Q392" s="320"/>
      <c r="R392" s="323" t="s">
        <v>678</v>
      </c>
      <c r="S392" s="123">
        <f>Table1[[#This Row],[Quantity]]/48</f>
        <v>10.125</v>
      </c>
      <c r="T392" s="36"/>
      <c r="U392" s="36"/>
      <c r="V392" s="36"/>
      <c r="W392" s="129"/>
      <c r="X392" s="36"/>
      <c r="Y392" s="36"/>
      <c r="Z392" s="36"/>
      <c r="AA392" s="323" t="s">
        <v>3</v>
      </c>
      <c r="AB392" s="340"/>
      <c r="AC392" s="326"/>
      <c r="AD392" s="320" t="str">
        <f t="shared" si="47"/>
        <v/>
      </c>
      <c r="AE392" s="320" t="str">
        <f t="shared" si="48"/>
        <v/>
      </c>
      <c r="AF392" s="320"/>
      <c r="AG392" s="327">
        <f t="shared" si="49"/>
        <v>0</v>
      </c>
      <c r="AH392" s="320"/>
      <c r="AI392" s="328"/>
      <c r="AJ392" s="329"/>
      <c r="AK392" s="325" t="str">
        <f t="shared" ca="1" si="50"/>
        <v>Late</v>
      </c>
      <c r="AL392" s="330" t="str">
        <f t="shared" si="52"/>
        <v>October</v>
      </c>
      <c r="AM392" s="331">
        <f>YEAR(Table1[[#This Row],[ETA
As requested
dd.mm.yyyy]])</f>
        <v>2025</v>
      </c>
      <c r="AN392" s="332"/>
    </row>
    <row r="393" spans="1:40" hidden="1">
      <c r="A393" s="123" t="s">
        <v>83</v>
      </c>
      <c r="B393" s="36" t="s">
        <v>2464</v>
      </c>
      <c r="C393" s="117">
        <v>39080737</v>
      </c>
      <c r="D393" s="165">
        <v>45777</v>
      </c>
      <c r="E393" s="117" t="s">
        <v>109</v>
      </c>
      <c r="F393" s="36" t="str">
        <f>IFERROR(VLOOKUP(Table1[[#This Row],[Part Number]],DATABASE_FG!$C$6:D10382,2,FALSE)," ")</f>
        <v xml:space="preserve">094290350-0000 </v>
      </c>
      <c r="G393" s="117">
        <f>IFERROR(_xlfn.XLOOKUP(Table1[[#This Row],[Part Number]],Table3[Part number],Table3[Drawing
 Revision]),"")</f>
        <v>0</v>
      </c>
      <c r="H393" s="118" cm="1">
        <f t="array" ref="H393">IFERROR(INDEX(PDB!$C:$AT,MATCH(E393,PDB!$B:$B,0),MATCH(YEAR(K393),0+PDB!$C$1:$AT$1,0)),"")</f>
        <v>0.94</v>
      </c>
      <c r="I393" s="36">
        <v>3500</v>
      </c>
      <c r="J393" s="125">
        <f>IFERROR(Table1[[#This Row],[Quantity]]*Table1[[#This Row],[Price/Unit
EUR]]," ")</f>
        <v>3290</v>
      </c>
      <c r="K393" s="126">
        <v>45991</v>
      </c>
      <c r="L393" s="36">
        <f>WEEKNUM(Table1[[#This Row],[ETA
As requested
dd.mm.yyyy]])</f>
        <v>49</v>
      </c>
      <c r="M393" s="36">
        <f>YEAR(Table1[[#This Row],[ETA
As requested
dd.mm.yyyy]])</f>
        <v>2025</v>
      </c>
      <c r="N393" s="36">
        <f>IFERROR(INDEX(DATABASE_FG!$H$5:$H$367, MATCH(E393, DATABASE_FG!$C$5:$C$367, 0)), " ")</f>
        <v>0</v>
      </c>
      <c r="O393" s="129" t="str">
        <f>IF(E393&lt;&gt;"", _xlfn.XLOOKUP(E393, DATABASE_FG!C:C, DATABASE_FG!F:F), " ")</f>
        <v>Strunjite</v>
      </c>
      <c r="P393" s="129">
        <f>IFERROR(INDEX(DATABASE_FG!$G$5:$G$367, MATCH(E393, DATABASE_FG!$C$5:$C$367, 0)), "Not Found")</f>
        <v>0</v>
      </c>
      <c r="Q393" s="36"/>
      <c r="R393" s="125" t="s">
        <v>678</v>
      </c>
      <c r="S393" s="123">
        <f>IFERROR(INDEX(DATABASE_FG!$L$5:$L$367, MATCH(E393, DATABASE_FG!$C$5:$C$367, 0)), " ")</f>
        <v>42</v>
      </c>
      <c r="T393" s="36" t="s">
        <v>679</v>
      </c>
      <c r="U393" s="36"/>
      <c r="V393" s="36"/>
      <c r="W393" s="129"/>
      <c r="X393" s="36"/>
      <c r="Y393" s="36"/>
      <c r="Z393" s="36"/>
      <c r="AA393" s="125" t="s">
        <v>3</v>
      </c>
      <c r="AB393" s="173"/>
      <c r="AC393" s="119"/>
      <c r="AD393" s="36" t="str">
        <f t="shared" si="47"/>
        <v/>
      </c>
      <c r="AE393" s="36" t="str">
        <f t="shared" si="48"/>
        <v/>
      </c>
      <c r="AF393" s="36"/>
      <c r="AG393" s="120">
        <f t="shared" si="49"/>
        <v>0</v>
      </c>
      <c r="AH393" s="36"/>
      <c r="AI393" s="124"/>
      <c r="AJ393" s="122"/>
      <c r="AK393" s="129" t="str">
        <f t="shared" ca="1" si="50"/>
        <v/>
      </c>
      <c r="AL393" s="268" t="str">
        <f t="shared" si="52"/>
        <v>November</v>
      </c>
      <c r="AM393" s="133">
        <f>YEAR(Table1[[#This Row],[ETA
As requested
dd.mm.yyyy]])</f>
        <v>2025</v>
      </c>
    </row>
    <row r="394" spans="1:40" hidden="1">
      <c r="A394" s="123" t="s">
        <v>83</v>
      </c>
      <c r="B394" s="36" t="s">
        <v>2464</v>
      </c>
      <c r="C394" s="117">
        <v>39080737</v>
      </c>
      <c r="D394" s="165">
        <v>45777</v>
      </c>
      <c r="E394" s="117" t="s">
        <v>109</v>
      </c>
      <c r="F394" s="36" t="str">
        <f>IFERROR(VLOOKUP(Table1[[#This Row],[Part Number]],DATABASE_FG!$C$6:D10383,2,FALSE)," ")</f>
        <v xml:space="preserve">094290350-0000 </v>
      </c>
      <c r="G394" s="117">
        <f>IFERROR(_xlfn.XLOOKUP(Table1[[#This Row],[Part Number]],Table3[Part number],Table3[Drawing
 Revision]),"")</f>
        <v>0</v>
      </c>
      <c r="H394" s="118" cm="1">
        <f t="array" ref="H394">IFERROR(INDEX(PDB!$C:$AT,MATCH(E394,PDB!$B:$B,0),MATCH(YEAR(K394),0+PDB!$C$1:$AT$1,0)),"")</f>
        <v>0.94</v>
      </c>
      <c r="I394" s="36">
        <v>2000</v>
      </c>
      <c r="J394" s="125">
        <f>IFERROR(Table1[[#This Row],[Quantity]]*Table1[[#This Row],[Price/Unit
EUR]]," ")</f>
        <v>1880</v>
      </c>
      <c r="K394" s="126">
        <v>46011</v>
      </c>
      <c r="L394" s="36">
        <f>WEEKNUM(Table1[[#This Row],[ETA
As requested
dd.mm.yyyy]])</f>
        <v>51</v>
      </c>
      <c r="M394" s="36">
        <f>YEAR(Table1[[#This Row],[ETA
As requested
dd.mm.yyyy]])</f>
        <v>2025</v>
      </c>
      <c r="N394" s="36">
        <f>IFERROR(INDEX(DATABASE_FG!$H$5:$H$367, MATCH(E394, DATABASE_FG!$C$5:$C$367, 0)), " ")</f>
        <v>0</v>
      </c>
      <c r="O394" s="129" t="str">
        <f>IF(E394&lt;&gt;"", _xlfn.XLOOKUP(E394, DATABASE_FG!C:C, DATABASE_FG!F:F), " ")</f>
        <v>Strunjite</v>
      </c>
      <c r="P394" s="129">
        <f>IFERROR(INDEX(DATABASE_FG!$G$5:$G$367, MATCH(E394, DATABASE_FG!$C$5:$C$367, 0)), "Not Found")</f>
        <v>0</v>
      </c>
      <c r="Q394" s="36"/>
      <c r="R394" s="125" t="s">
        <v>678</v>
      </c>
      <c r="S394" s="123">
        <f>IFERROR(INDEX(DATABASE_FG!$L$5:$L$367, MATCH(E394, DATABASE_FG!$C$5:$C$367, 0)), " ")</f>
        <v>42</v>
      </c>
      <c r="T394" s="36" t="s">
        <v>679</v>
      </c>
      <c r="U394" s="36"/>
      <c r="V394" s="36"/>
      <c r="W394" s="129"/>
      <c r="X394" s="36"/>
      <c r="Y394" s="36"/>
      <c r="Z394" s="36"/>
      <c r="AA394" s="125" t="s">
        <v>3</v>
      </c>
      <c r="AB394" s="173"/>
      <c r="AC394" s="119"/>
      <c r="AD394" s="36" t="str">
        <f t="shared" si="47"/>
        <v/>
      </c>
      <c r="AE394" s="36" t="str">
        <f t="shared" si="48"/>
        <v/>
      </c>
      <c r="AF394" s="36"/>
      <c r="AG394" s="120">
        <f t="shared" si="49"/>
        <v>0</v>
      </c>
      <c r="AH394" s="36"/>
      <c r="AI394" s="124"/>
      <c r="AJ394" s="122"/>
      <c r="AK394" s="129" t="str">
        <f t="shared" ca="1" si="50"/>
        <v/>
      </c>
      <c r="AL394" s="268" t="str">
        <f t="shared" si="52"/>
        <v>December</v>
      </c>
      <c r="AM394" s="133">
        <f>YEAR(Table1[[#This Row],[ETA
As requested
dd.mm.yyyy]])</f>
        <v>2025</v>
      </c>
    </row>
    <row r="395" spans="1:40" hidden="1">
      <c r="A395" s="177" t="s">
        <v>83</v>
      </c>
      <c r="B395" s="178" t="s">
        <v>1170</v>
      </c>
      <c r="C395" s="180">
        <v>37931290</v>
      </c>
      <c r="D395" s="179">
        <v>45596</v>
      </c>
      <c r="E395" s="180" t="s">
        <v>110</v>
      </c>
      <c r="F395" s="36" t="str">
        <f>IFERROR(VLOOKUP(Table1[[#This Row],[Part Number]],DATABASE_FG!$C$6:D10384,2,FALSE)," ")</f>
        <v>302926577-8011</v>
      </c>
      <c r="G395" s="117">
        <f>IFERROR(_xlfn.XLOOKUP(Table1[[#This Row],[Part Number]],Table3[Part number],Table3[Drawing
 Revision]),"")</f>
        <v>0</v>
      </c>
      <c r="H395" s="118" cm="1">
        <f t="array" ref="H395">IFERROR(INDEX(PDB!$C:$AT,MATCH(E395,PDB!$B:$B,0),MATCH(YEAR(K395),0+PDB!$C$1:$AT$1,0)),"")</f>
        <v>1.36</v>
      </c>
      <c r="I395" s="178">
        <v>5</v>
      </c>
      <c r="J395" s="181">
        <f>IFERROR(Table1[[#This Row],[Quantity]]*Table1[[#This Row],[Price/Unit
EUR]]," ")</f>
        <v>6.8000000000000007</v>
      </c>
      <c r="K395" s="182">
        <v>45602</v>
      </c>
      <c r="L395" s="36">
        <f>WEEKNUM(Table1[[#This Row],[ETA
As requested
dd.mm.yyyy]])</f>
        <v>45</v>
      </c>
      <c r="M395" s="36">
        <f>YEAR(Table1[[#This Row],[ETA
As requested
dd.mm.yyyy]])</f>
        <v>2024</v>
      </c>
      <c r="N395" s="36">
        <f>IFERROR(INDEX(DATABASE_FG!$H$5:$H$367, MATCH(E395, DATABASE_FG!$C$5:$C$367, 0)), " ")</f>
        <v>0</v>
      </c>
      <c r="O395" s="129" t="str">
        <f>IF(E395&lt;&gt;"", _xlfn.XLOOKUP(E395, DATABASE_FG!C:C, DATABASE_FG!F:F), " ")</f>
        <v>Strunjite</v>
      </c>
      <c r="P395" s="129">
        <f>IFERROR(INDEX(DATABASE_FG!$G$5:$G$367, MATCH(E395, DATABASE_FG!$C$5:$C$367, 0)), "Not Found")</f>
        <v>0</v>
      </c>
      <c r="Q395" s="36"/>
      <c r="R395" s="125" t="s">
        <v>680</v>
      </c>
      <c r="S395" s="123">
        <f>IFERROR(INDEX(DATABASE_FG!$L$5:$L$367, MATCH(E395, DATABASE_FG!$C$5:$C$367, 0)), " ")</f>
        <v>42</v>
      </c>
      <c r="T395" s="36"/>
      <c r="U395" s="36"/>
      <c r="V395" s="36"/>
      <c r="W395" s="129"/>
      <c r="X395" s="36"/>
      <c r="Y395" s="36" t="s">
        <v>121</v>
      </c>
      <c r="Z395" s="36"/>
      <c r="AA395" s="125" t="s">
        <v>121</v>
      </c>
      <c r="AB395" s="173">
        <v>45876</v>
      </c>
      <c r="AC395" s="185"/>
      <c r="AD395" s="178" t="str">
        <f t="shared" si="47"/>
        <v/>
      </c>
      <c r="AE395" s="178" t="str">
        <f t="shared" si="48"/>
        <v/>
      </c>
      <c r="AF395" s="36">
        <v>0</v>
      </c>
      <c r="AG395" s="120">
        <f t="shared" si="49"/>
        <v>0</v>
      </c>
      <c r="AH395" s="178"/>
      <c r="AI395" s="188"/>
      <c r="AJ395" s="186"/>
      <c r="AK395" s="129" t="str">
        <f t="shared" ca="1" si="50"/>
        <v>Late</v>
      </c>
      <c r="AL395" s="268" t="str">
        <f t="shared" si="52"/>
        <v>November</v>
      </c>
      <c r="AM395" s="133">
        <f>YEAR(Table1[[#This Row],[ETA
As requested
dd.mm.yyyy]])</f>
        <v>2024</v>
      </c>
    </row>
    <row r="396" spans="1:40" hidden="1">
      <c r="A396" s="123" t="s">
        <v>83</v>
      </c>
      <c r="B396" s="36" t="s">
        <v>1170</v>
      </c>
      <c r="C396" s="117">
        <v>39546728</v>
      </c>
      <c r="D396" s="165">
        <v>45832</v>
      </c>
      <c r="E396" s="117" t="s">
        <v>110</v>
      </c>
      <c r="F396" s="36" t="str">
        <f>IFERROR(VLOOKUP(Table1[[#This Row],[Part Number]],DATABASE_FG!$C$6:D10385,2,FALSE)," ")</f>
        <v>302926577-8011</v>
      </c>
      <c r="G396" s="117">
        <f>IFERROR(_xlfn.XLOOKUP(Table1[[#This Row],[Part Number]],Table3[Part number],Table3[Drawing
 Revision]),"")</f>
        <v>0</v>
      </c>
      <c r="H396" s="118" cm="1">
        <f t="array" ref="H396">IFERROR(INDEX(PDB!$C:$AT,MATCH(E396,PDB!$B:$B,0),MATCH(YEAR(K396),0+PDB!$C$1:$AT$1,0)),"")</f>
        <v>1.36</v>
      </c>
      <c r="I396" s="36">
        <v>5</v>
      </c>
      <c r="J396" s="125">
        <f>IFERROR(Table1[[#This Row],[Quantity]]*Table1[[#This Row],[Price/Unit
EUR]]," ")</f>
        <v>6.8000000000000007</v>
      </c>
      <c r="K396" s="173">
        <v>45839</v>
      </c>
      <c r="L396" s="36">
        <f>WEEKNUM(Table1[[#This Row],[ETA
As requested
dd.mm.yyyy]])</f>
        <v>27</v>
      </c>
      <c r="M396" s="36">
        <f>YEAR(Table1[[#This Row],[ETA
As requested
dd.mm.yyyy]])</f>
        <v>2025</v>
      </c>
      <c r="N396" s="36">
        <f>IFERROR(INDEX(DATABASE_FG!$H$5:$H$367, MATCH(E396, DATABASE_FG!$C$5:$C$367, 0)), " ")</f>
        <v>0</v>
      </c>
      <c r="O396" s="129" t="str">
        <f>IF(E396&lt;&gt;"", _xlfn.XLOOKUP(E396, DATABASE_FG!C:C, DATABASE_FG!F:F), " ")</f>
        <v>Strunjite</v>
      </c>
      <c r="P396" s="129">
        <f>IFERROR(INDEX(DATABASE_FG!$G$5:$G$367, MATCH(E396, DATABASE_FG!$C$5:$C$367, 0)), "Not Found")</f>
        <v>0</v>
      </c>
      <c r="Q396" s="36"/>
      <c r="R396" s="125" t="s">
        <v>680</v>
      </c>
      <c r="S396" s="123">
        <f>Table1[[#This Row],[Quantity]]/48</f>
        <v>0.10416666666666667</v>
      </c>
      <c r="T396" s="36"/>
      <c r="U396" s="36"/>
      <c r="V396" s="36"/>
      <c r="W396" s="129"/>
      <c r="X396" s="36"/>
      <c r="Y396" s="36"/>
      <c r="Z396" s="36"/>
      <c r="AA396" s="125" t="s">
        <v>3</v>
      </c>
      <c r="AB396" s="173"/>
      <c r="AC396" s="119"/>
      <c r="AD396" s="36" t="str">
        <f t="shared" si="47"/>
        <v/>
      </c>
      <c r="AE396" s="36" t="str">
        <f t="shared" si="48"/>
        <v/>
      </c>
      <c r="AF396" s="36"/>
      <c r="AG396" s="120">
        <f t="shared" si="49"/>
        <v>0</v>
      </c>
      <c r="AH396" s="36"/>
      <c r="AI396" s="124"/>
      <c r="AJ396" s="122"/>
      <c r="AK396" s="129" t="str">
        <f t="shared" ca="1" si="50"/>
        <v>Late</v>
      </c>
      <c r="AL396" s="268" t="str">
        <f t="shared" si="52"/>
        <v>July</v>
      </c>
      <c r="AM396" s="133">
        <f>YEAR(Table1[[#This Row],[ETA
As requested
dd.mm.yyyy]])</f>
        <v>2025</v>
      </c>
      <c r="AN396" s="191"/>
    </row>
    <row r="397" spans="1:40" hidden="1">
      <c r="A397" s="123" t="s">
        <v>83</v>
      </c>
      <c r="B397" s="36" t="s">
        <v>1170</v>
      </c>
      <c r="C397" s="117">
        <v>38555118</v>
      </c>
      <c r="D397" s="165">
        <v>45693</v>
      </c>
      <c r="E397" s="117" t="s">
        <v>1128</v>
      </c>
      <c r="F397" s="36">
        <f>IFERROR(VLOOKUP(Table1[[#This Row],[Part Number]],DATABASE_FG!$C$6:D10386,2,FALSE)," ")</f>
        <v>0</v>
      </c>
      <c r="G397" s="117">
        <f>IFERROR(_xlfn.XLOOKUP(Table1[[#This Row],[Part Number]],Table3[Part number],Table3[Drawing
 Revision]),"")</f>
        <v>0</v>
      </c>
      <c r="H397" s="118" cm="1">
        <f t="array" ref="H397">IFERROR(INDEX(PDB!$C:$AT,MATCH(E397,PDB!$B:$B,0),MATCH(YEAR(K397),0+PDB!$C$1:$AT$1,0)),"")</f>
        <v>1.77</v>
      </c>
      <c r="I397" s="36">
        <v>5</v>
      </c>
      <c r="J397" s="125">
        <f>IFERROR(Table1[[#This Row],[Quantity]]*Table1[[#This Row],[Price/Unit
EUR]]," ")</f>
        <v>8.85</v>
      </c>
      <c r="K397" s="126">
        <v>45602</v>
      </c>
      <c r="L397" s="36">
        <f>WEEKNUM(Table1[[#This Row],[ETA
As requested
dd.mm.yyyy]])</f>
        <v>45</v>
      </c>
      <c r="M397" s="36">
        <f>YEAR(Table1[[#This Row],[ETA
As requested
dd.mm.yyyy]])</f>
        <v>2024</v>
      </c>
      <c r="N397" s="36">
        <f>IFERROR(INDEX(DATABASE_FG!$H$5:$H$367, MATCH(E397, DATABASE_FG!$C$5:$C$367, 0)), " ")</f>
        <v>0</v>
      </c>
      <c r="O397" s="129" t="str">
        <f>IF(E397&lt;&gt;"", _xlfn.XLOOKUP(E397, DATABASE_FG!C:C, DATABASE_FG!F:F), " ")</f>
        <v>Strunjite</v>
      </c>
      <c r="P397" s="129">
        <f>IFERROR(INDEX(DATABASE_FG!$G$5:$G$367, MATCH(E397, DATABASE_FG!$C$5:$C$367, 0)), "Not Found")</f>
        <v>0</v>
      </c>
      <c r="Q397" s="36"/>
      <c r="R397" s="125" t="s">
        <v>680</v>
      </c>
      <c r="S397" s="123">
        <f>Table1[[#This Row],[Quantity]]/48</f>
        <v>0.10416666666666667</v>
      </c>
      <c r="T397" s="36"/>
      <c r="U397" s="36"/>
      <c r="V397" s="36"/>
      <c r="W397" s="129"/>
      <c r="X397" s="36"/>
      <c r="Y397" s="36"/>
      <c r="Z397" s="36"/>
      <c r="AA397" s="125" t="s">
        <v>121</v>
      </c>
      <c r="AB397" s="173">
        <v>45930</v>
      </c>
      <c r="AC397" s="317" t="s">
        <v>2561</v>
      </c>
      <c r="AD397" s="318">
        <f t="shared" si="47"/>
        <v>38555118</v>
      </c>
      <c r="AE397" s="318" t="str">
        <f t="shared" si="48"/>
        <v>AU.KB50100B-0208-ISB-WW1</v>
      </c>
      <c r="AF397" s="36">
        <v>5</v>
      </c>
      <c r="AG397" s="120">
        <f t="shared" si="49"/>
        <v>8.85</v>
      </c>
      <c r="AH397" s="178"/>
      <c r="AI397" s="188"/>
      <c r="AJ397" s="206" t="s">
        <v>2562</v>
      </c>
      <c r="AK397" s="129" t="str">
        <f t="shared" ca="1" si="50"/>
        <v>Late</v>
      </c>
      <c r="AL397" s="268" t="str">
        <f t="shared" si="52"/>
        <v>November</v>
      </c>
      <c r="AM397" s="133">
        <f>YEAR(Table1[[#This Row],[ETA
As requested
dd.mm.yyyy]])</f>
        <v>2024</v>
      </c>
      <c r="AN397" s="191"/>
    </row>
    <row r="398" spans="1:40" hidden="1">
      <c r="A398" s="123" t="s">
        <v>83</v>
      </c>
      <c r="B398" s="36" t="s">
        <v>1170</v>
      </c>
      <c r="C398" s="117">
        <v>50374334</v>
      </c>
      <c r="D398" s="165">
        <v>45938</v>
      </c>
      <c r="E398" s="117" t="s">
        <v>1128</v>
      </c>
      <c r="F398" s="36">
        <f>IFERROR(VLOOKUP(Table1[[#This Row],[Part Number]],DATABASE_FG!$C$6:D10387,2,FALSE)," ")</f>
        <v>0</v>
      </c>
      <c r="G398" s="117">
        <f>IFERROR(_xlfn.XLOOKUP(Table1[[#This Row],[Part Number]],Table3[Part number],Table3[Drawing
 Revision]),"")</f>
        <v>0</v>
      </c>
      <c r="H398" s="118" cm="1">
        <f t="array" ref="H398">IFERROR(INDEX(PDB!$C:$AT,MATCH(E398,PDB!$B:$B,0),MATCH(YEAR(K398),0+PDB!$C$1:$AT$1,0)),"")</f>
        <v>1.77</v>
      </c>
      <c r="I398" s="36">
        <v>5</v>
      </c>
      <c r="J398" s="125">
        <f>IFERROR(Table1[[#This Row],[Quantity]]*Table1[[#This Row],[Price/Unit
EUR]]," ")</f>
        <v>8.85</v>
      </c>
      <c r="K398" s="182">
        <v>45939</v>
      </c>
      <c r="L398" s="36">
        <f>WEEKNUM(Table1[[#This Row],[ETA
As requested
dd.mm.yyyy]])</f>
        <v>41</v>
      </c>
      <c r="M398" s="36">
        <f>YEAR(Table1[[#This Row],[ETA
As requested
dd.mm.yyyy]])</f>
        <v>2025</v>
      </c>
      <c r="N398" s="36">
        <f>IFERROR(INDEX(DATABASE_FG!$H$5:$H$367, MATCH(E398, DATABASE_FG!$C$5:$C$367, 0)), " ")</f>
        <v>0</v>
      </c>
      <c r="O398" s="129" t="str">
        <f>IF(E398&lt;&gt;"", _xlfn.XLOOKUP(E398, DATABASE_FG!C:C, DATABASE_FG!F:F), " ")</f>
        <v>Strunjite</v>
      </c>
      <c r="P398" s="129">
        <f>IFERROR(INDEX(DATABASE_FG!$G$5:$G$367, MATCH(E398, DATABASE_FG!$C$5:$C$367, 0)), "Not Found")</f>
        <v>0</v>
      </c>
      <c r="Q398" s="36"/>
      <c r="R398" s="125" t="s">
        <v>680</v>
      </c>
      <c r="S398" s="123">
        <f>Table1[[#This Row],[Quantity]]/48</f>
        <v>0.10416666666666667</v>
      </c>
      <c r="T398" s="36"/>
      <c r="U398" s="36"/>
      <c r="V398" s="36"/>
      <c r="W398" s="129"/>
      <c r="X398" s="36"/>
      <c r="Y398" s="36"/>
      <c r="Z398" s="36"/>
      <c r="AA398" s="125" t="s">
        <v>121</v>
      </c>
      <c r="AB398" s="173">
        <v>45939</v>
      </c>
      <c r="AC398" s="119"/>
      <c r="AD398" s="36" t="str">
        <f t="shared" si="47"/>
        <v/>
      </c>
      <c r="AE398" s="36" t="str">
        <f t="shared" si="48"/>
        <v/>
      </c>
      <c r="AF398" s="36">
        <v>0</v>
      </c>
      <c r="AG398" s="120">
        <f t="shared" si="49"/>
        <v>0</v>
      </c>
      <c r="AH398" s="36"/>
      <c r="AI398" s="124" t="s">
        <v>4331</v>
      </c>
      <c r="AJ398" s="122"/>
      <c r="AK398" s="129" t="str">
        <f t="shared" ca="1" si="50"/>
        <v>On Time</v>
      </c>
      <c r="AL398" s="268" t="str">
        <f t="shared" si="52"/>
        <v>October</v>
      </c>
      <c r="AM398" s="133">
        <f>YEAR(Table1[[#This Row],[ETA
As requested
dd.mm.yyyy]])</f>
        <v>2025</v>
      </c>
      <c r="AN398" s="191"/>
    </row>
    <row r="399" spans="1:40" hidden="1">
      <c r="A399" s="123" t="s">
        <v>83</v>
      </c>
      <c r="B399" s="36" t="s">
        <v>1170</v>
      </c>
      <c r="C399" s="117">
        <v>37931437</v>
      </c>
      <c r="D399" s="165">
        <v>45596</v>
      </c>
      <c r="E399" s="117" t="s">
        <v>1128</v>
      </c>
      <c r="F399" s="36">
        <f>IFERROR(VLOOKUP(Table1[[#This Row],[Part Number]],DATABASE_FG!$C$6:D10388,2,FALSE)," ")</f>
        <v>0</v>
      </c>
      <c r="G399" s="117">
        <f>IFERROR(_xlfn.XLOOKUP(Table1[[#This Row],[Part Number]],Table3[Part number],Table3[Drawing
 Revision]),"")</f>
        <v>0</v>
      </c>
      <c r="H399" s="118" cm="1">
        <f t="array" ref="H399">IFERROR(INDEX(PDB!$C:$AT,MATCH(E399,PDB!$B:$B,0),MATCH(YEAR(K399),0+PDB!$C$1:$AT$1,0)),"")</f>
        <v>1.77</v>
      </c>
      <c r="I399" s="36">
        <v>5</v>
      </c>
      <c r="J399" s="125">
        <f>IFERROR(Table1[[#This Row],[Quantity]]*Table1[[#This Row],[Price/Unit
EUR]]," ")</f>
        <v>8.85</v>
      </c>
      <c r="K399" s="126">
        <v>45602</v>
      </c>
      <c r="L399" s="36">
        <f>WEEKNUM(Table1[[#This Row],[ETA
As requested
dd.mm.yyyy]])</f>
        <v>45</v>
      </c>
      <c r="M399" s="36">
        <f>YEAR(Table1[[#This Row],[ETA
As requested
dd.mm.yyyy]])</f>
        <v>2024</v>
      </c>
      <c r="N399" s="36">
        <f>IFERROR(INDEX(DATABASE_FG!$H$5:$H$367, MATCH(E399, DATABASE_FG!$C$5:$C$367, 0)), " ")</f>
        <v>0</v>
      </c>
      <c r="O399" s="129" t="str">
        <f>IF(E399&lt;&gt;"", _xlfn.XLOOKUP(E399, DATABASE_FG!C:C, DATABASE_FG!F:F), " ")</f>
        <v>Strunjite</v>
      </c>
      <c r="P399" s="129">
        <f>IFERROR(INDEX(DATABASE_FG!$G$5:$G$367, MATCH(E399, DATABASE_FG!$C$5:$C$367, 0)), "Not Found")</f>
        <v>0</v>
      </c>
      <c r="Q399" s="36"/>
      <c r="R399" s="125" t="s">
        <v>680</v>
      </c>
      <c r="S399" s="123">
        <f>IFERROR(INDEX(DATABASE_FG!$L$5:$L$367, MATCH(E399, DATABASE_FG!$C$5:$C$367, 0)), " ")</f>
        <v>42</v>
      </c>
      <c r="T399" s="36"/>
      <c r="U399" s="36"/>
      <c r="V399" s="36"/>
      <c r="W399" s="129"/>
      <c r="X399" s="36"/>
      <c r="Y399" s="36" t="s">
        <v>121</v>
      </c>
      <c r="Z399" s="36"/>
      <c r="AA399" s="125" t="s">
        <v>121</v>
      </c>
      <c r="AB399" s="173">
        <v>45876</v>
      </c>
      <c r="AC399" s="119"/>
      <c r="AD399" s="36" t="str">
        <f t="shared" si="47"/>
        <v/>
      </c>
      <c r="AE399" s="36" t="str">
        <f t="shared" si="48"/>
        <v/>
      </c>
      <c r="AF399" s="36">
        <v>0</v>
      </c>
      <c r="AG399" s="120">
        <f t="shared" si="49"/>
        <v>0</v>
      </c>
      <c r="AH399" s="36"/>
      <c r="AI399" s="124"/>
      <c r="AJ399" s="122"/>
      <c r="AK399" s="129" t="str">
        <f t="shared" ca="1" si="50"/>
        <v>Late</v>
      </c>
      <c r="AL399" s="268" t="str">
        <f t="shared" ref="AL399:AL430" si="58">TEXT(K399,"mmmm")</f>
        <v>November</v>
      </c>
      <c r="AM399" s="133">
        <f>YEAR(Table1[[#This Row],[ETA
As requested
dd.mm.yyyy]])</f>
        <v>2024</v>
      </c>
    </row>
    <row r="400" spans="1:40" hidden="1">
      <c r="A400" s="123" t="s">
        <v>636</v>
      </c>
      <c r="B400" s="36" t="s">
        <v>1170</v>
      </c>
      <c r="C400" s="117">
        <v>7018654120</v>
      </c>
      <c r="D400" s="165">
        <v>45352</v>
      </c>
      <c r="E400" s="117" t="s">
        <v>191</v>
      </c>
      <c r="F400" s="36" t="str">
        <f>IFERROR(VLOOKUP(Table1[[#This Row],[Part Number]],DATABASE_FG!$C$6:D10389,2,FALSE)," ")</f>
        <v>Stator Bridge milled 39.99</v>
      </c>
      <c r="G400" s="117">
        <f>IFERROR(_xlfn.XLOOKUP(Table1[[#This Row],[Part Number]],Table3[Part number],Table3[Drawing
 Revision]),"")</f>
        <v>2</v>
      </c>
      <c r="H400" s="118" cm="1">
        <f t="array" ref="H400">IFERROR(INDEX(PDB!$C:$AT,MATCH(E400,PDB!$B:$B,0),MATCH(YEAR(K400),0+PDB!$C$1:$AT$1,0)),"")</f>
        <v>24.24</v>
      </c>
      <c r="I400" s="36">
        <v>50</v>
      </c>
      <c r="J400" s="125">
        <f>IFERROR(Table1[[#This Row],[Quantity]]*Table1[[#This Row],[Price/Unit
EUR]]," ")</f>
        <v>1212</v>
      </c>
      <c r="K400" s="126">
        <v>45390</v>
      </c>
      <c r="L400" s="36">
        <f>WEEKNUM(Table1[[#This Row],[ETA
As requested
dd.mm.yyyy]])</f>
        <v>15</v>
      </c>
      <c r="M400" s="36">
        <f>YEAR(Table1[[#This Row],[ETA
As requested
dd.mm.yyyy]])</f>
        <v>2024</v>
      </c>
      <c r="N400" s="36">
        <f>IFERROR(INDEX(DATABASE_FG!$H$5:$H$367, MATCH(E400, DATABASE_FG!$C$5:$C$367, 0)), " ")</f>
        <v>0</v>
      </c>
      <c r="O400" s="129" t="str">
        <f>IF(E400&lt;&gt;"", _xlfn.XLOOKUP(E400, DATABASE_FG!C:C, DATABASE_FG!F:F), " ")</f>
        <v>Stator</v>
      </c>
      <c r="P400" s="129">
        <f>IFERROR(INDEX(DATABASE_FG!$G$5:$G$367, MATCH(E400, DATABASE_FG!$C$5:$C$367, 0)), "Not Found")</f>
        <v>50</v>
      </c>
      <c r="Q400" s="36"/>
      <c r="R400" s="125" t="s">
        <v>678</v>
      </c>
      <c r="S400" s="123">
        <f>IFERROR(INDEX(DATABASE_FG!$L$5:$L$367, MATCH(E400, DATABASE_FG!$C$5:$C$367, 0)), " ")</f>
        <v>56</v>
      </c>
      <c r="T400" s="36" t="s">
        <v>677</v>
      </c>
      <c r="U400" s="36"/>
      <c r="V400" s="36"/>
      <c r="W400" s="129"/>
      <c r="X400" s="36"/>
      <c r="Y400" s="36"/>
      <c r="Z400" s="36">
        <v>241717</v>
      </c>
      <c r="AA400" s="125" t="s">
        <v>121</v>
      </c>
      <c r="AB400" s="173">
        <v>45429</v>
      </c>
      <c r="AC400" s="119">
        <v>2024498</v>
      </c>
      <c r="AD400" s="36">
        <f t="shared" si="47"/>
        <v>7018654120</v>
      </c>
      <c r="AE400" s="36" t="str">
        <f t="shared" si="48"/>
        <v>B85300050</v>
      </c>
      <c r="AF400" s="36">
        <v>39</v>
      </c>
      <c r="AG400" s="120">
        <f t="shared" si="49"/>
        <v>945.3599999999999</v>
      </c>
      <c r="AH400" s="36"/>
      <c r="AI400" s="124"/>
      <c r="AJ400" s="122" t="s">
        <v>1287</v>
      </c>
      <c r="AK400" s="129" t="str">
        <f t="shared" ca="1" si="50"/>
        <v>Late</v>
      </c>
      <c r="AL400" s="268" t="str">
        <f t="shared" si="58"/>
        <v>April</v>
      </c>
      <c r="AM400" s="133">
        <f>YEAR(Table1[[#This Row],[ETA
As requested
dd.mm.yyyy]])</f>
        <v>2024</v>
      </c>
    </row>
    <row r="401" spans="1:40" hidden="1">
      <c r="A401" s="123" t="s">
        <v>636</v>
      </c>
      <c r="B401" s="36" t="s">
        <v>1170</v>
      </c>
      <c r="C401" s="117">
        <v>7018654120</v>
      </c>
      <c r="D401" s="165">
        <v>45352</v>
      </c>
      <c r="E401" s="117" t="s">
        <v>191</v>
      </c>
      <c r="F401" s="36" t="str">
        <f>IFERROR(VLOOKUP(Table1[[#This Row],[Part Number]],DATABASE_FG!$C$6:D10390,2,FALSE)," ")</f>
        <v>Stator Bridge milled 39.99</v>
      </c>
      <c r="G401" s="117">
        <f>IFERROR(_xlfn.XLOOKUP(Table1[[#This Row],[Part Number]],Table3[Part number],Table3[Drawing
 Revision]),"")</f>
        <v>2</v>
      </c>
      <c r="H401" s="118" cm="1">
        <f t="array" ref="H401">IFERROR(INDEX(PDB!$C:$AT,MATCH(E401,PDB!$B:$B,0),MATCH(YEAR(K401),0+PDB!$C$1:$AT$1,0)),"")</f>
        <v>24.24</v>
      </c>
      <c r="I401" s="36">
        <v>0</v>
      </c>
      <c r="J401" s="125">
        <f>IFERROR(Table1[[#This Row],[Quantity]]*Table1[[#This Row],[Price/Unit
EUR]]," ")</f>
        <v>0</v>
      </c>
      <c r="K401" s="126">
        <v>45390</v>
      </c>
      <c r="L401" s="36">
        <f>WEEKNUM(Table1[[#This Row],[ETA
As requested
dd.mm.yyyy]])</f>
        <v>15</v>
      </c>
      <c r="M401" s="36">
        <f>YEAR(Table1[[#This Row],[ETA
As requested
dd.mm.yyyy]])</f>
        <v>2024</v>
      </c>
      <c r="N401" s="36">
        <f>IFERROR(INDEX(DATABASE_FG!$H$5:$H$367, MATCH(E401, DATABASE_FG!$C$5:$C$367, 0)), " ")</f>
        <v>0</v>
      </c>
      <c r="O401" s="129" t="str">
        <f>IF(E401&lt;&gt;"", _xlfn.XLOOKUP(E401, DATABASE_FG!C:C, DATABASE_FG!F:F), " ")</f>
        <v>Stator</v>
      </c>
      <c r="P401" s="129">
        <f>IFERROR(INDEX(DATABASE_FG!$G$5:$G$367, MATCH(E401, DATABASE_FG!$C$5:$C$367, 0)), "Not Found")</f>
        <v>50</v>
      </c>
      <c r="Q401" s="36"/>
      <c r="R401" s="125"/>
      <c r="S401" s="123">
        <f>Table1[[#This Row],[Quantity]]/48</f>
        <v>0</v>
      </c>
      <c r="T401" s="36"/>
      <c r="U401" s="36"/>
      <c r="V401" s="36"/>
      <c r="W401" s="129"/>
      <c r="X401" s="36"/>
      <c r="Y401" s="36"/>
      <c r="Z401" s="36"/>
      <c r="AA401" s="125" t="s">
        <v>121</v>
      </c>
      <c r="AB401" s="173">
        <v>45468</v>
      </c>
      <c r="AC401" s="119">
        <v>2024636</v>
      </c>
      <c r="AD401" s="36">
        <f t="shared" si="47"/>
        <v>7018654120</v>
      </c>
      <c r="AE401" s="36" t="str">
        <f t="shared" si="48"/>
        <v>B85300050</v>
      </c>
      <c r="AF401" s="36">
        <v>11</v>
      </c>
      <c r="AG401" s="120">
        <f t="shared" si="49"/>
        <v>266.64</v>
      </c>
      <c r="AH401" s="36"/>
      <c r="AI401" s="124"/>
      <c r="AJ401" s="122" t="s">
        <v>1288</v>
      </c>
      <c r="AK401" s="129" t="str">
        <f t="shared" ca="1" si="50"/>
        <v>Late</v>
      </c>
      <c r="AL401" s="268" t="str">
        <f t="shared" si="58"/>
        <v>April</v>
      </c>
      <c r="AM401" s="133">
        <f>YEAR(Table1[[#This Row],[ETA
As requested
dd.mm.yyyy]])</f>
        <v>2024</v>
      </c>
    </row>
    <row r="402" spans="1:40" hidden="1">
      <c r="A402" s="123" t="s">
        <v>636</v>
      </c>
      <c r="B402" s="36" t="s">
        <v>1170</v>
      </c>
      <c r="C402" s="117">
        <v>7018682494</v>
      </c>
      <c r="D402" s="165">
        <v>45498</v>
      </c>
      <c r="E402" s="117" t="s">
        <v>191</v>
      </c>
      <c r="F402" s="36" t="str">
        <f>IFERROR(VLOOKUP(Table1[[#This Row],[Part Number]],DATABASE_FG!$C$6:D10391,2,FALSE)," ")</f>
        <v>Stator Bridge milled 39.99</v>
      </c>
      <c r="G402" s="117">
        <f>IFERROR(_xlfn.XLOOKUP(Table1[[#This Row],[Part Number]],Table3[Part number],Table3[Drawing
 Revision]),"")</f>
        <v>2</v>
      </c>
      <c r="H402" s="118" cm="1">
        <f t="array" ref="H402">IFERROR(INDEX(PDB!$C:$AT,MATCH(E402,PDB!$B:$B,0),MATCH(YEAR(K402),0+PDB!$C$1:$AT$1,0)),"")</f>
        <v>24.24</v>
      </c>
      <c r="I402" s="36">
        <v>40</v>
      </c>
      <c r="J402" s="125">
        <f>IFERROR(Table1[[#This Row],[Quantity]]*Table1[[#This Row],[Price/Unit
EUR]]," ")</f>
        <v>969.59999999999991</v>
      </c>
      <c r="K402" s="126">
        <v>45505</v>
      </c>
      <c r="L402" s="36">
        <f>WEEKNUM(Table1[[#This Row],[ETA
As requested
dd.mm.yyyy]])</f>
        <v>31</v>
      </c>
      <c r="M402" s="36">
        <f>YEAR(Table1[[#This Row],[ETA
As requested
dd.mm.yyyy]])</f>
        <v>2024</v>
      </c>
      <c r="N402" s="36">
        <f>IFERROR(INDEX(DATABASE_FG!$H$5:$H$367, MATCH(E402, DATABASE_FG!$C$5:$C$367, 0)), " ")</f>
        <v>0</v>
      </c>
      <c r="O402" s="129" t="str">
        <f>IF(E402&lt;&gt;"", _xlfn.XLOOKUP(E402, DATABASE_FG!C:C, DATABASE_FG!F:F), " ")</f>
        <v>Stator</v>
      </c>
      <c r="P402" s="129">
        <f>IFERROR(INDEX(DATABASE_FG!$G$5:$G$367, MATCH(E402, DATABASE_FG!$C$5:$C$367, 0)), "Not Found")</f>
        <v>50</v>
      </c>
      <c r="Q402" s="36"/>
      <c r="R402" s="125" t="s">
        <v>678</v>
      </c>
      <c r="S402" s="123">
        <f>IFERROR(INDEX(DATABASE_FG!$L$5:$L$367, MATCH(E402, DATABASE_FG!$C$5:$C$367, 0)), " ")</f>
        <v>56</v>
      </c>
      <c r="T402" s="36" t="s">
        <v>677</v>
      </c>
      <c r="U402" s="36"/>
      <c r="V402" s="36"/>
      <c r="W402" s="129"/>
      <c r="X402" s="36"/>
      <c r="Y402" s="36"/>
      <c r="Z402" s="36"/>
      <c r="AA402" s="125" t="s">
        <v>121</v>
      </c>
      <c r="AB402" s="172">
        <v>45506</v>
      </c>
      <c r="AC402" s="119">
        <v>2024967</v>
      </c>
      <c r="AD402" s="36">
        <f t="shared" si="47"/>
        <v>7018682494</v>
      </c>
      <c r="AE402" s="36" t="str">
        <f t="shared" si="48"/>
        <v>B85300050</v>
      </c>
      <c r="AF402" s="36">
        <v>40</v>
      </c>
      <c r="AG402" s="120">
        <f t="shared" si="49"/>
        <v>969.59999999999991</v>
      </c>
      <c r="AH402" s="36"/>
      <c r="AI402" s="124"/>
      <c r="AJ402" s="122" t="s">
        <v>1899</v>
      </c>
      <c r="AK402" s="129" t="str">
        <f t="shared" ca="1" si="50"/>
        <v>On Time</v>
      </c>
      <c r="AL402" s="268" t="str">
        <f t="shared" si="58"/>
        <v>August</v>
      </c>
      <c r="AM402" s="133">
        <f>YEAR(Table1[[#This Row],[ETA
As requested
dd.mm.yyyy]])</f>
        <v>2024</v>
      </c>
    </row>
    <row r="403" spans="1:40" hidden="1">
      <c r="A403" s="123" t="s">
        <v>636</v>
      </c>
      <c r="B403" s="36" t="s">
        <v>1170</v>
      </c>
      <c r="C403" s="117">
        <v>7018615373</v>
      </c>
      <c r="D403" s="165">
        <v>45125</v>
      </c>
      <c r="E403" s="117" t="s">
        <v>163</v>
      </c>
      <c r="F403" s="36" t="str">
        <f>IFERROR(VLOOKUP(Table1[[#This Row],[Part Number]],DATABASE_FG!$C$6:D10392,2,FALSE)," ")</f>
        <v>P1 A0 CMSD CLAMP NUT</v>
      </c>
      <c r="G403" s="117">
        <f>IFERROR(_xlfn.XLOOKUP(Table1[[#This Row],[Part Number]],Table3[Part number],Table3[Drawing
 Revision]),"")</f>
        <v>3</v>
      </c>
      <c r="H403" s="118" cm="1">
        <f t="array" ref="H403">IFERROR(INDEX(PDB!$C:$AT,MATCH(E403,PDB!$B:$B,0),MATCH(YEAR(K403),0+PDB!$C$1:$AT$1,0)),"")</f>
        <v>1.41</v>
      </c>
      <c r="I403" s="36">
        <v>50</v>
      </c>
      <c r="J403" s="125">
        <f>IFERROR(Table1[[#This Row],[Quantity]]*Table1[[#This Row],[Price/Unit
EUR]]," ")</f>
        <v>70.5</v>
      </c>
      <c r="K403" s="126">
        <v>45142</v>
      </c>
      <c r="L403" s="36">
        <f>WEEKNUM(Table1[[#This Row],[ETA
As requested
dd.mm.yyyy]])</f>
        <v>31</v>
      </c>
      <c r="M403" s="36">
        <f>YEAR(Table1[[#This Row],[ETA
As requested
dd.mm.yyyy]])</f>
        <v>2023</v>
      </c>
      <c r="N403" s="36">
        <f>IFERROR(INDEX(DATABASE_FG!$H$5:$H$367, MATCH(E403, DATABASE_FG!$C$5:$C$367, 0)), " ")</f>
        <v>0</v>
      </c>
      <c r="O403" s="129" t="str">
        <f>IF(E403&lt;&gt;"", _xlfn.XLOOKUP(E403, DATABASE_FG!C:C, DATABASE_FG!F:F), " ")</f>
        <v>CLUMP NUT</v>
      </c>
      <c r="P403" s="129">
        <f>IFERROR(INDEX(DATABASE_FG!$G$5:$G$367, MATCH(E403, DATABASE_FG!$C$5:$C$367, 0)), "Not Found")</f>
        <v>50</v>
      </c>
      <c r="Q403" s="36"/>
      <c r="R403" s="125" t="s">
        <v>680</v>
      </c>
      <c r="S403" s="123">
        <f>IFERROR(INDEX(DATABASE_FG!$L$5:$L$367, MATCH(E403, DATABASE_FG!$C$5:$C$367, 0)), " ")</f>
        <v>56</v>
      </c>
      <c r="T403" s="36" t="s">
        <v>677</v>
      </c>
      <c r="U403" s="36"/>
      <c r="V403" s="36"/>
      <c r="W403" s="129"/>
      <c r="X403" s="36"/>
      <c r="Y403" s="36"/>
      <c r="Z403" s="36"/>
      <c r="AA403" s="125" t="s">
        <v>121</v>
      </c>
      <c r="AB403" s="172"/>
      <c r="AC403" s="119"/>
      <c r="AD403" s="36" t="str">
        <f t="shared" si="47"/>
        <v/>
      </c>
      <c r="AE403" s="36" t="str">
        <f t="shared" si="48"/>
        <v/>
      </c>
      <c r="AF403" s="36"/>
      <c r="AG403" s="120">
        <f t="shared" si="49"/>
        <v>0</v>
      </c>
      <c r="AH403" s="36"/>
      <c r="AI403" s="124" t="s">
        <v>1171</v>
      </c>
      <c r="AJ403" s="122"/>
      <c r="AK403" s="129" t="str">
        <f t="shared" ca="1" si="50"/>
        <v>Late</v>
      </c>
      <c r="AL403" s="268" t="str">
        <f t="shared" si="58"/>
        <v>August</v>
      </c>
      <c r="AM403" s="133">
        <f>YEAR(Table1[[#This Row],[ETA
As requested
dd.mm.yyyy]])</f>
        <v>2023</v>
      </c>
    </row>
    <row r="404" spans="1:40" hidden="1">
      <c r="A404" s="123" t="s">
        <v>636</v>
      </c>
      <c r="B404" s="36" t="s">
        <v>1170</v>
      </c>
      <c r="C404" s="117">
        <v>7018615373</v>
      </c>
      <c r="D404" s="165">
        <v>45117</v>
      </c>
      <c r="E404" s="117" t="s">
        <v>193</v>
      </c>
      <c r="F404" s="36" t="str">
        <f>IFERROR(VLOOKUP(Table1[[#This Row],[Part Number]],DATABASE_FG!$C$6:D10393,2,FALSE)," ")</f>
        <v>OIL FEED NUT AO</v>
      </c>
      <c r="G404" s="117">
        <f>IFERROR(_xlfn.XLOOKUP(Table1[[#This Row],[Part Number]],Table3[Part number],Table3[Drawing
 Revision]),"")</f>
        <v>42835</v>
      </c>
      <c r="H404" s="118" cm="1">
        <f t="array" ref="H404">IFERROR(INDEX(PDB!$C:$AT,MATCH(E404,PDB!$B:$B,0),MATCH(YEAR(K404),0+PDB!$C$1:$AT$1,0)),"")</f>
        <v>1.24</v>
      </c>
      <c r="I404" s="36">
        <v>50</v>
      </c>
      <c r="J404" s="125">
        <f>IFERROR(Table1[[#This Row],[Quantity]]*Table1[[#This Row],[Price/Unit
EUR]]," ")</f>
        <v>62</v>
      </c>
      <c r="K404" s="126">
        <v>45142</v>
      </c>
      <c r="L404" s="36">
        <f>WEEKNUM(Table1[[#This Row],[ETA
As requested
dd.mm.yyyy]])</f>
        <v>31</v>
      </c>
      <c r="M404" s="36">
        <f>YEAR(Table1[[#This Row],[ETA
As requested
dd.mm.yyyy]])</f>
        <v>2023</v>
      </c>
      <c r="N404" s="36">
        <f>IFERROR(INDEX(DATABASE_FG!$H$5:$H$367, MATCH(E404, DATABASE_FG!$C$5:$C$367, 0)), " ")</f>
        <v>0</v>
      </c>
      <c r="O404" s="129" t="str">
        <f>IF(E404&lt;&gt;"", _xlfn.XLOOKUP(E404, DATABASE_FG!C:C, DATABASE_FG!F:F), " ")</f>
        <v>NUT</v>
      </c>
      <c r="P404" s="129">
        <f>IFERROR(INDEX(DATABASE_FG!$G$5:$G$367, MATCH(E404, DATABASE_FG!$C$5:$C$367, 0)), "Not Found")</f>
        <v>50</v>
      </c>
      <c r="Q404" s="36"/>
      <c r="R404" s="125" t="s">
        <v>680</v>
      </c>
      <c r="S404" s="123">
        <f>IFERROR(INDEX(DATABASE_FG!$L$5:$L$367, MATCH(E404, DATABASE_FG!$C$5:$C$367, 0)), " ")</f>
        <v>42</v>
      </c>
      <c r="T404" s="36" t="s">
        <v>679</v>
      </c>
      <c r="U404" s="36"/>
      <c r="V404" s="36"/>
      <c r="W404" s="129"/>
      <c r="X404" s="36"/>
      <c r="Y404" s="36"/>
      <c r="Z404" s="36"/>
      <c r="AA404" s="125" t="s">
        <v>121</v>
      </c>
      <c r="AB404" s="172"/>
      <c r="AC404" s="119"/>
      <c r="AD404" s="36" t="str">
        <f t="shared" si="47"/>
        <v/>
      </c>
      <c r="AE404" s="36" t="str">
        <f t="shared" si="48"/>
        <v/>
      </c>
      <c r="AF404" s="36"/>
      <c r="AG404" s="120">
        <f t="shared" si="49"/>
        <v>0</v>
      </c>
      <c r="AH404" s="36"/>
      <c r="AI404" s="124" t="s">
        <v>1171</v>
      </c>
      <c r="AJ404" s="122"/>
      <c r="AK404" s="129" t="str">
        <f t="shared" ca="1" si="50"/>
        <v>Late</v>
      </c>
      <c r="AL404" s="268" t="str">
        <f t="shared" si="58"/>
        <v>August</v>
      </c>
      <c r="AM404" s="133">
        <f>YEAR(Table1[[#This Row],[ETA
As requested
dd.mm.yyyy]])</f>
        <v>2023</v>
      </c>
    </row>
    <row r="405" spans="1:40" hidden="1">
      <c r="A405" s="123" t="s">
        <v>636</v>
      </c>
      <c r="B405" s="36" t="s">
        <v>1170</v>
      </c>
      <c r="C405" s="117">
        <v>7018646077</v>
      </c>
      <c r="D405" s="165">
        <v>45125</v>
      </c>
      <c r="E405" s="117" t="s">
        <v>1741</v>
      </c>
      <c r="F405" s="36" t="str">
        <f>IFERROR(VLOOKUP(Table1[[#This Row],[Part Number]],DATABASE_FG!$C$6:D10394,2,FALSE)," ")</f>
        <v>Main body</v>
      </c>
      <c r="G405" s="117">
        <f>IFERROR(_xlfn.XLOOKUP(Table1[[#This Row],[Part Number]],Table3[Part number],Table3[Drawing
 Revision]),"")</f>
        <v>0</v>
      </c>
      <c r="H405" s="118" cm="1">
        <f t="array" ref="H405">IFERROR(INDEX(PDB!$C:$AT,MATCH(E405,PDB!$B:$B,0),MATCH(YEAR(K405),0+PDB!$C$1:$AT$1,0)),"")</f>
        <v>67.849999999999994</v>
      </c>
      <c r="I405" s="36">
        <v>5</v>
      </c>
      <c r="J405" s="125">
        <f>IFERROR(Table1[[#This Row],[Quantity]]*Table1[[#This Row],[Price/Unit
EUR]]," ")</f>
        <v>339.25</v>
      </c>
      <c r="K405" s="173">
        <v>45471</v>
      </c>
      <c r="L405" s="36">
        <f>WEEKNUM(Table1[[#This Row],[ETA
As requested
dd.mm.yyyy]])</f>
        <v>26</v>
      </c>
      <c r="M405" s="36">
        <f>YEAR(Table1[[#This Row],[ETA
As requested
dd.mm.yyyy]])</f>
        <v>2024</v>
      </c>
      <c r="N405" s="36">
        <f>IFERROR(INDEX(DATABASE_FG!$H$5:$H$367, MATCH(E405, DATABASE_FG!$C$5:$C$367, 0)), " ")</f>
        <v>0</v>
      </c>
      <c r="O405" s="129" t="str">
        <f>IF(E405&lt;&gt;"", _xlfn.XLOOKUP(E405, DATABASE_FG!C:C, DATABASE_FG!F:F), " ")</f>
        <v>Main body</v>
      </c>
      <c r="P405" s="129">
        <f>IFERROR(INDEX(DATABASE_FG!$G$5:$G$367, MATCH(E405, DATABASE_FG!$C$5:$C$367, 0)), "Not Found")</f>
        <v>50</v>
      </c>
      <c r="Q405" s="36"/>
      <c r="R405" s="125" t="s">
        <v>680</v>
      </c>
      <c r="S405" s="123">
        <f>IFERROR(INDEX(DATABASE_FG!$L$5:$L$367, MATCH(E405, DATABASE_FG!$C$5:$C$367, 0)), " ")</f>
        <v>42</v>
      </c>
      <c r="T405" s="36" t="s">
        <v>679</v>
      </c>
      <c r="U405" s="36"/>
      <c r="V405" s="36"/>
      <c r="W405" s="129"/>
      <c r="X405" s="36"/>
      <c r="Y405" s="36"/>
      <c r="Z405" s="36"/>
      <c r="AA405" s="125" t="s">
        <v>121</v>
      </c>
      <c r="AB405" s="172"/>
      <c r="AC405" s="119"/>
      <c r="AD405" s="36" t="str">
        <f t="shared" si="47"/>
        <v/>
      </c>
      <c r="AE405" s="36" t="str">
        <f t="shared" si="48"/>
        <v/>
      </c>
      <c r="AF405" s="36">
        <v>0</v>
      </c>
      <c r="AG405" s="120">
        <f t="shared" si="49"/>
        <v>0</v>
      </c>
      <c r="AH405" s="36"/>
      <c r="AI405" s="124"/>
      <c r="AJ405" s="122"/>
      <c r="AK405" s="129" t="str">
        <f t="shared" ca="1" si="50"/>
        <v>Late</v>
      </c>
      <c r="AL405" s="268" t="str">
        <f t="shared" si="58"/>
        <v>June</v>
      </c>
      <c r="AM405" s="133">
        <f>YEAR(Table1[[#This Row],[ETA
As requested
dd.mm.yyyy]])</f>
        <v>2024</v>
      </c>
      <c r="AN405" s="191"/>
    </row>
    <row r="406" spans="1:40" hidden="1">
      <c r="A406" s="123" t="s">
        <v>58</v>
      </c>
      <c r="B406" s="36" t="s">
        <v>1170</v>
      </c>
      <c r="C406" s="117" t="s">
        <v>1250</v>
      </c>
      <c r="D406" s="165">
        <v>45373</v>
      </c>
      <c r="E406" s="117" t="s">
        <v>307</v>
      </c>
      <c r="F406" s="36" t="str">
        <f>IFERROR(VLOOKUP(Table1[[#This Row],[Part Number]],DATABASE_FG!$C$6:D10395,2,FALSE)," ")</f>
        <v>INTERMEDIATE SHAFT Z27</v>
      </c>
      <c r="G406" s="117" t="str">
        <f>IFERROR(_xlfn.XLOOKUP(Table1[[#This Row],[Part Number]],Table3[Part number],Table3[Drawing
 Revision]),"")</f>
        <v>C</v>
      </c>
      <c r="H406" s="118" cm="1">
        <f t="array" ref="H406">IFERROR(INDEX(PDB!$C:$AT,MATCH(E406,PDB!$B:$B,0),MATCH(YEAR(K406),0+PDB!$C$1:$AT$1,0)),"")</f>
        <v>10.99</v>
      </c>
      <c r="I406" s="36">
        <v>24</v>
      </c>
      <c r="J406" s="125">
        <f>IFERROR(Table1[[#This Row],[Quantity]]*Table1[[#This Row],[Price/Unit
EUR]]," ")</f>
        <v>263.76</v>
      </c>
      <c r="K406" s="126">
        <v>45379</v>
      </c>
      <c r="L406" s="36">
        <f>WEEKNUM(Table1[[#This Row],[ETA
As requested
dd.mm.yyyy]])</f>
        <v>13</v>
      </c>
      <c r="M406" s="36">
        <f>YEAR(Table1[[#This Row],[ETA
As requested
dd.mm.yyyy]])</f>
        <v>2024</v>
      </c>
      <c r="N406" s="36">
        <f>IFERROR(INDEX(DATABASE_FG!$H$5:$H$367, MATCH(E406, DATABASE_FG!$C$5:$C$367, 0)), " ")</f>
        <v>0</v>
      </c>
      <c r="O406" s="129" t="str">
        <f>IF(E406&lt;&gt;"", _xlfn.XLOOKUP(E406, DATABASE_FG!C:C, DATABASE_FG!F:F), " ")</f>
        <v>SHAFT</v>
      </c>
      <c r="P406" s="129">
        <f>IFERROR(INDEX(DATABASE_FG!$G$5:$G$367, MATCH(E406, DATABASE_FG!$C$5:$C$367, 0)), "Not Found")</f>
        <v>0</v>
      </c>
      <c r="Q406" s="36"/>
      <c r="R406" s="125" t="s">
        <v>678</v>
      </c>
      <c r="S406" s="123">
        <f>IFERROR(INDEX(DATABASE_FG!$L$5:$L$367, MATCH(E406, DATABASE_FG!$C$5:$C$367, 0)), " ")</f>
        <v>42</v>
      </c>
      <c r="T406" s="36" t="s">
        <v>679</v>
      </c>
      <c r="U406" s="36"/>
      <c r="V406" s="36"/>
      <c r="W406" s="129"/>
      <c r="X406" s="36"/>
      <c r="Y406" s="36"/>
      <c r="Z406" s="36" t="s">
        <v>1253</v>
      </c>
      <c r="AA406" s="125" t="s">
        <v>121</v>
      </c>
      <c r="AB406" s="172">
        <v>45380</v>
      </c>
      <c r="AC406" s="119">
        <v>2024285</v>
      </c>
      <c r="AD406" s="36" t="str">
        <f t="shared" si="47"/>
        <v>RA118470</v>
      </c>
      <c r="AE406" s="36" t="str">
        <f t="shared" si="48"/>
        <v>CZR0003076</v>
      </c>
      <c r="AF406" s="36">
        <v>24</v>
      </c>
      <c r="AG406" s="120">
        <f t="shared" si="49"/>
        <v>263.76</v>
      </c>
      <c r="AH406" s="36"/>
      <c r="AI406" s="124"/>
      <c r="AJ406" s="122" t="s">
        <v>1254</v>
      </c>
      <c r="AK406" s="129" t="str">
        <f t="shared" ca="1" si="50"/>
        <v>On Time</v>
      </c>
      <c r="AL406" s="268" t="str">
        <f t="shared" si="58"/>
        <v>March</v>
      </c>
      <c r="AM406" s="133">
        <f>YEAR(Table1[[#This Row],[ETA
As requested
dd.mm.yyyy]])</f>
        <v>2024</v>
      </c>
    </row>
    <row r="407" spans="1:40" hidden="1">
      <c r="A407" s="123" t="s">
        <v>58</v>
      </c>
      <c r="B407" s="36" t="s">
        <v>1170</v>
      </c>
      <c r="C407" s="117" t="s">
        <v>1374</v>
      </c>
      <c r="D407" s="165">
        <v>45399</v>
      </c>
      <c r="E407" s="117" t="s">
        <v>345</v>
      </c>
      <c r="F407" s="36" t="str">
        <f>IFERROR(VLOOKUP(Table1[[#This Row],[Part Number]],DATABASE_FG!$C$6:D10396,2,FALSE)," ")</f>
        <v xml:space="preserve">BEVEL GEAR PINION Z_21 </v>
      </c>
      <c r="G407" s="117" t="str">
        <f>IFERROR(_xlfn.XLOOKUP(Table1[[#This Row],[Part Number]],Table3[Part number],Table3[Drawing
 Revision]),"")</f>
        <v>A</v>
      </c>
      <c r="H407" s="118" t="str" cm="1">
        <f t="array" ref="H407">IFERROR(INDEX(PDB!$C:$AT,MATCH(E407,PDB!$B:$B,0),MATCH(YEAR(K407),0+PDB!$C$1:$AT$1,0)),"")</f>
        <v/>
      </c>
      <c r="I407" s="36">
        <v>32</v>
      </c>
      <c r="J407" s="125" t="str">
        <f>IFERROR(Table1[[#This Row],[Quantity]]*Table1[[#This Row],[Price/Unit
EUR]]," ")</f>
        <v xml:space="preserve"> </v>
      </c>
      <c r="K407" s="126">
        <v>45401</v>
      </c>
      <c r="L407" s="36">
        <f>WEEKNUM(Table1[[#This Row],[ETA
As requested
dd.mm.yyyy]])</f>
        <v>16</v>
      </c>
      <c r="M407" s="36">
        <f>YEAR(Table1[[#This Row],[ETA
As requested
dd.mm.yyyy]])</f>
        <v>2024</v>
      </c>
      <c r="N407" s="36">
        <f>IFERROR(INDEX(DATABASE_FG!$H$5:$H$367, MATCH(E407, DATABASE_FG!$C$5:$C$367, 0)), " ")</f>
        <v>0</v>
      </c>
      <c r="O407" s="129" t="str">
        <f>IF(E407&lt;&gt;"", _xlfn.XLOOKUP(E407, DATABASE_FG!C:C, DATABASE_FG!F:F), " ")</f>
        <v>Gear pinion</v>
      </c>
      <c r="P407" s="129">
        <f>IFERROR(INDEX(DATABASE_FG!$G$5:$G$367, MATCH(E407, DATABASE_FG!$C$5:$C$367, 0)), "Not Found")</f>
        <v>0</v>
      </c>
      <c r="Q407" s="36"/>
      <c r="R407" s="125" t="s">
        <v>678</v>
      </c>
      <c r="S407" s="123">
        <f>IFERROR(INDEX(DATABASE_FG!$L$5:$L$367, MATCH(E407, DATABASE_FG!$C$5:$C$367, 0)), " ")</f>
        <v>42</v>
      </c>
      <c r="T407" s="36" t="s">
        <v>679</v>
      </c>
      <c r="U407" s="36"/>
      <c r="V407" s="36"/>
      <c r="W407" s="129"/>
      <c r="X407" s="36"/>
      <c r="Y407" s="36"/>
      <c r="Z407" s="36">
        <v>241720</v>
      </c>
      <c r="AA407" s="125" t="s">
        <v>121</v>
      </c>
      <c r="AB407" s="173">
        <v>45426</v>
      </c>
      <c r="AC407" s="119">
        <v>2024471</v>
      </c>
      <c r="AD407" s="36" t="str">
        <f t="shared" si="47"/>
        <v>RA118782</v>
      </c>
      <c r="AE407" s="36" t="str">
        <f t="shared" si="48"/>
        <v>CZR0015562</v>
      </c>
      <c r="AF407" s="36">
        <v>32</v>
      </c>
      <c r="AG407" s="120" t="e">
        <f t="shared" si="49"/>
        <v>#VALUE!</v>
      </c>
      <c r="AH407" s="36"/>
      <c r="AI407" s="124"/>
      <c r="AJ407" s="122" t="s">
        <v>1375</v>
      </c>
      <c r="AK407" s="129" t="str">
        <f t="shared" ca="1" si="50"/>
        <v>Late</v>
      </c>
      <c r="AL407" s="268" t="str">
        <f t="shared" si="58"/>
        <v>April</v>
      </c>
      <c r="AM407" s="133">
        <f>YEAR(Table1[[#This Row],[ETA
As requested
dd.mm.yyyy]])</f>
        <v>2024</v>
      </c>
    </row>
    <row r="408" spans="1:40" hidden="1">
      <c r="A408" s="123" t="s">
        <v>83</v>
      </c>
      <c r="B408" s="36" t="s">
        <v>1170</v>
      </c>
      <c r="C408" s="117">
        <v>39007996</v>
      </c>
      <c r="D408" s="165">
        <v>45751</v>
      </c>
      <c r="E408" s="117" t="s">
        <v>3079</v>
      </c>
      <c r="F408" s="36" t="str">
        <f>IFERROR(VLOOKUP(Table1[[#This Row],[Part Number]],DATABASE_FG!$C$6:D10397,2,FALSE)," ")</f>
        <v>300343426-0000</v>
      </c>
      <c r="G408" s="117" t="str">
        <f>IFERROR(_xlfn.XLOOKUP(Table1[[#This Row],[Part Number]],Table3[Part number],Table3[Drawing
 Revision]),"")</f>
        <v>AA</v>
      </c>
      <c r="H408" s="118" cm="1">
        <f t="array" ref="H408">IFERROR(INDEX(PDB!$C:$AT,MATCH(E408,PDB!$B:$B,0),MATCH(YEAR(K408),0+PDB!$C$1:$AT$1,0)),"")</f>
        <v>7.21</v>
      </c>
      <c r="I408" s="36">
        <v>66</v>
      </c>
      <c r="J408" s="125">
        <f>IFERROR(Table1[[#This Row],[Quantity]]*Table1[[#This Row],[Price/Unit
EUR]]," ")</f>
        <v>475.86</v>
      </c>
      <c r="K408" s="126">
        <v>45764</v>
      </c>
      <c r="L408" s="36">
        <f>WEEKNUM(Table1[[#This Row],[ETA
As requested
dd.mm.yyyy]])</f>
        <v>16</v>
      </c>
      <c r="M408" s="36">
        <f>YEAR(Table1[[#This Row],[ETA
As requested
dd.mm.yyyy]])</f>
        <v>2025</v>
      </c>
      <c r="N408" s="36">
        <f>IFERROR(INDEX(DATABASE_FG!$H$5:$H$367, MATCH(E408, DATABASE_FG!$C$5:$C$367, 0)), " ")</f>
        <v>0</v>
      </c>
      <c r="O408" s="129" t="str">
        <f>IF(E408&lt;&gt;"", _xlfn.XLOOKUP(E408, DATABASE_FG!C:C, DATABASE_FG!F:F), " ")</f>
        <v>Alama</v>
      </c>
      <c r="P408" s="129">
        <f>IFERROR(INDEX(DATABASE_FG!$G$5:$G$367, MATCH(E408, DATABASE_FG!$C$5:$C$367, 0)), "Not Found")</f>
        <v>0</v>
      </c>
      <c r="Q408" s="36"/>
      <c r="R408" s="125" t="s">
        <v>678</v>
      </c>
      <c r="S408" s="123">
        <f>IFERROR(INDEX(DATABASE_FG!$L$5:$L$367, MATCH(E408, DATABASE_FG!$C$5:$C$367, 0)), " ")</f>
        <v>42</v>
      </c>
      <c r="T408" s="36" t="s">
        <v>679</v>
      </c>
      <c r="U408" s="36"/>
      <c r="V408" s="36"/>
      <c r="W408" s="129"/>
      <c r="X408" s="36"/>
      <c r="Y408" s="36"/>
      <c r="Z408" s="36"/>
      <c r="AA408" s="125" t="s">
        <v>121</v>
      </c>
      <c r="AB408" s="173">
        <v>45771</v>
      </c>
      <c r="AC408" s="119">
        <v>25669</v>
      </c>
      <c r="AD408" s="36">
        <f t="shared" si="47"/>
        <v>39007996</v>
      </c>
      <c r="AE408" s="36" t="str">
        <f t="shared" si="48"/>
        <v>EDP KUH.6036-A-M-3001B _</v>
      </c>
      <c r="AF408" s="36">
        <v>66</v>
      </c>
      <c r="AG408" s="120">
        <f t="shared" si="49"/>
        <v>475.86</v>
      </c>
      <c r="AH408" s="36"/>
      <c r="AI408" s="124"/>
      <c r="AJ408" s="122" t="s">
        <v>3081</v>
      </c>
      <c r="AK408" s="129" t="str">
        <f t="shared" ca="1" si="50"/>
        <v>Late</v>
      </c>
      <c r="AL408" s="268" t="str">
        <f t="shared" si="58"/>
        <v>April</v>
      </c>
      <c r="AM408" s="133">
        <f>YEAR(Table1[[#This Row],[ETA
As requested
dd.mm.yyyy]])</f>
        <v>2025</v>
      </c>
    </row>
    <row r="409" spans="1:40" hidden="1">
      <c r="A409" s="123" t="s">
        <v>83</v>
      </c>
      <c r="B409" s="36" t="s">
        <v>1170</v>
      </c>
      <c r="C409" s="117">
        <v>39007996</v>
      </c>
      <c r="D409" s="165">
        <v>45751</v>
      </c>
      <c r="E409" s="117" t="s">
        <v>3079</v>
      </c>
      <c r="F409" s="36" t="str">
        <f>IFERROR(VLOOKUP(Table1[[#This Row],[Part Number]],DATABASE_FG!$C$6:D10398,2,FALSE)," ")</f>
        <v>300343426-0000</v>
      </c>
      <c r="G409" s="117" t="str">
        <f>IFERROR(_xlfn.XLOOKUP(Table1[[#This Row],[Part Number]],Table3[Part number],Table3[Drawing
 Revision]),"")</f>
        <v>AA</v>
      </c>
      <c r="H409" s="118" cm="1">
        <f t="array" ref="H409">IFERROR(INDEX(PDB!$C:$AT,MATCH(E409,PDB!$B:$B,0),MATCH(YEAR(K409),0+PDB!$C$1:$AT$1,0)),"")</f>
        <v>7.21</v>
      </c>
      <c r="I409" s="36">
        <v>5</v>
      </c>
      <c r="J409" s="125">
        <f>IFERROR(Table1[[#This Row],[Quantity]]*Table1[[#This Row],[Price/Unit
EUR]]," ")</f>
        <v>36.049999999999997</v>
      </c>
      <c r="K409" s="126">
        <v>45764</v>
      </c>
      <c r="L409" s="36">
        <f>WEEKNUM(Table1[[#This Row],[ETA
As requested
dd.mm.yyyy]])</f>
        <v>16</v>
      </c>
      <c r="M409" s="36">
        <f>YEAR(Table1[[#This Row],[ETA
As requested
dd.mm.yyyy]])</f>
        <v>2025</v>
      </c>
      <c r="N409" s="36">
        <f>IFERROR(INDEX(DATABASE_FG!$H$5:$H$367, MATCH(E409, DATABASE_FG!$C$5:$C$367, 0)), " ")</f>
        <v>0</v>
      </c>
      <c r="O409" s="129" t="str">
        <f>IF(E409&lt;&gt;"", _xlfn.XLOOKUP(E409, DATABASE_FG!C:C, DATABASE_FG!F:F), " ")</f>
        <v>Alama</v>
      </c>
      <c r="P409" s="129">
        <v>0</v>
      </c>
      <c r="Q409" s="36"/>
      <c r="R409" s="125" t="s">
        <v>678</v>
      </c>
      <c r="S409" s="123">
        <f>IFERROR(INDEX(DATABASE_FG!$L$5:$L$367, MATCH(E409, DATABASE_FG!$C$5:$C$367, 0)), " ")</f>
        <v>42</v>
      </c>
      <c r="T409" s="36" t="s">
        <v>679</v>
      </c>
      <c r="U409" s="36"/>
      <c r="V409" s="36"/>
      <c r="W409" s="129"/>
      <c r="X409" s="36"/>
      <c r="Y409" s="36"/>
      <c r="Z409" s="36"/>
      <c r="AA409" s="125" t="s">
        <v>121</v>
      </c>
      <c r="AB409" s="173">
        <v>45772</v>
      </c>
      <c r="AC409" s="119">
        <v>25670</v>
      </c>
      <c r="AD409" s="36">
        <f t="shared" si="47"/>
        <v>39007996</v>
      </c>
      <c r="AE409" s="36" t="str">
        <f t="shared" si="48"/>
        <v>EDP KUH.6036-A-M-3001B _</v>
      </c>
      <c r="AF409" s="36">
        <v>5</v>
      </c>
      <c r="AG409" s="120">
        <f t="shared" si="49"/>
        <v>36.049999999999997</v>
      </c>
      <c r="AH409" s="36"/>
      <c r="AI409" s="124"/>
      <c r="AJ409" s="122" t="s">
        <v>3082</v>
      </c>
      <c r="AK409" s="129" t="str">
        <f t="shared" ca="1" si="50"/>
        <v>Late</v>
      </c>
      <c r="AL409" s="268" t="str">
        <f t="shared" si="58"/>
        <v>April</v>
      </c>
      <c r="AM409" s="133">
        <f>YEAR(Table1[[#This Row],[ETA
As requested
dd.mm.yyyy]])</f>
        <v>2025</v>
      </c>
    </row>
    <row r="410" spans="1:40" hidden="1">
      <c r="A410" s="123" t="s">
        <v>83</v>
      </c>
      <c r="B410" s="36" t="s">
        <v>1170</v>
      </c>
      <c r="C410" s="117">
        <v>39007996</v>
      </c>
      <c r="D410" s="165">
        <v>45751</v>
      </c>
      <c r="E410" s="117" t="s">
        <v>3079</v>
      </c>
      <c r="F410" s="36" t="str">
        <f>IFERROR(VLOOKUP(Table1[[#This Row],[Part Number]],DATABASE_FG!$C$6:D10399,2,FALSE)," ")</f>
        <v>300343426-0000</v>
      </c>
      <c r="G410" s="117" t="str">
        <f>IFERROR(_xlfn.XLOOKUP(Table1[[#This Row],[Part Number]],Table3[Part number],Table3[Drawing
 Revision]),"")</f>
        <v>AA</v>
      </c>
      <c r="H410" s="118" cm="1">
        <f t="array" ref="H410">IFERROR(INDEX(PDB!$C:$AT,MATCH(E410,PDB!$B:$B,0),MATCH(YEAR(K410),0+PDB!$C$1:$AT$1,0)),"")</f>
        <v>7.21</v>
      </c>
      <c r="I410" s="36">
        <v>37</v>
      </c>
      <c r="J410" s="125">
        <f>IFERROR(Table1[[#This Row],[Quantity]]*Table1[[#This Row],[Price/Unit
EUR]]," ")</f>
        <v>266.77</v>
      </c>
      <c r="K410" s="126">
        <v>45764</v>
      </c>
      <c r="L410" s="36">
        <f>WEEKNUM(Table1[[#This Row],[ETA
As requested
dd.mm.yyyy]])</f>
        <v>16</v>
      </c>
      <c r="M410" s="36">
        <f>YEAR(Table1[[#This Row],[ETA
As requested
dd.mm.yyyy]])</f>
        <v>2025</v>
      </c>
      <c r="N410" s="36">
        <f>IFERROR(INDEX(DATABASE_FG!$H$5:$H$367, MATCH(E410, DATABASE_FG!$C$5:$C$367, 0)), " ")</f>
        <v>0</v>
      </c>
      <c r="O410" s="129" t="str">
        <f>IF(E410&lt;&gt;"", _xlfn.XLOOKUP(E410, DATABASE_FG!C:C, DATABASE_FG!F:F), " ")</f>
        <v>Alama</v>
      </c>
      <c r="P410" s="129">
        <f>IFERROR(INDEX(DATABASE_FG!$G$5:$G$367, MATCH(E410, DATABASE_FG!$C$5:$C$367, 0)), "Not Found")</f>
        <v>0</v>
      </c>
      <c r="Q410" s="36"/>
      <c r="R410" s="125" t="s">
        <v>678</v>
      </c>
      <c r="S410" s="123">
        <f>IFERROR(INDEX(DATABASE_FG!$L$5:$L$367, MATCH(E410, DATABASE_FG!$C$5:$C$367, 0)), " ")</f>
        <v>42</v>
      </c>
      <c r="T410" s="36" t="s">
        <v>679</v>
      </c>
      <c r="U410" s="36"/>
      <c r="V410" s="36"/>
      <c r="W410" s="129"/>
      <c r="X410" s="36"/>
      <c r="Y410" s="36"/>
      <c r="Z410" s="36"/>
      <c r="AA410" s="125" t="s">
        <v>121</v>
      </c>
      <c r="AB410" s="173">
        <v>45786</v>
      </c>
      <c r="AC410" s="119">
        <v>25750</v>
      </c>
      <c r="AD410" s="36">
        <f t="shared" si="47"/>
        <v>39007996</v>
      </c>
      <c r="AE410" s="36" t="str">
        <f t="shared" si="48"/>
        <v>EDP KUH.6036-A-M-3001B _</v>
      </c>
      <c r="AF410" s="36">
        <v>37</v>
      </c>
      <c r="AG410" s="120">
        <f t="shared" si="49"/>
        <v>266.77</v>
      </c>
      <c r="AH410" s="36"/>
      <c r="AI410" s="124"/>
      <c r="AJ410" s="122" t="s">
        <v>3085</v>
      </c>
      <c r="AK410" s="129" t="str">
        <f t="shared" ca="1" si="50"/>
        <v>Late</v>
      </c>
      <c r="AL410" s="268" t="str">
        <f t="shared" si="58"/>
        <v>April</v>
      </c>
      <c r="AM410" s="133">
        <f>YEAR(Table1[[#This Row],[ETA
As requested
dd.mm.yyyy]])</f>
        <v>2025</v>
      </c>
    </row>
    <row r="411" spans="1:40" hidden="1">
      <c r="A411" s="123" t="s">
        <v>83</v>
      </c>
      <c r="B411" s="36" t="s">
        <v>1170</v>
      </c>
      <c r="C411" s="117">
        <v>39007996</v>
      </c>
      <c r="D411" s="165">
        <v>45751</v>
      </c>
      <c r="E411" s="117" t="s">
        <v>3079</v>
      </c>
      <c r="F411" s="36" t="str">
        <f>IFERROR(VLOOKUP(Table1[[#This Row],[Part Number]],DATABASE_FG!$C$6:D10400,2,FALSE)," ")</f>
        <v>300343426-0000</v>
      </c>
      <c r="G411" s="117" t="str">
        <f>IFERROR(_xlfn.XLOOKUP(Table1[[#This Row],[Part Number]],Table3[Part number],Table3[Drawing
 Revision]),"")</f>
        <v>AA</v>
      </c>
      <c r="H411" s="118" cm="1">
        <f t="array" ref="H411">IFERROR(INDEX(PDB!$C:$AT,MATCH(E411,PDB!$B:$B,0),MATCH(YEAR(K411),0+PDB!$C$1:$AT$1,0)),"")</f>
        <v>7.21</v>
      </c>
      <c r="I411" s="36">
        <v>55</v>
      </c>
      <c r="J411" s="125">
        <f>IFERROR(Table1[[#This Row],[Quantity]]*Table1[[#This Row],[Price/Unit
EUR]]," ")</f>
        <v>396.55</v>
      </c>
      <c r="K411" s="126">
        <v>45764</v>
      </c>
      <c r="L411" s="36">
        <f>WEEKNUM(Table1[[#This Row],[ETA
As requested
dd.mm.yyyy]])</f>
        <v>16</v>
      </c>
      <c r="M411" s="36">
        <f>YEAR(Table1[[#This Row],[ETA
As requested
dd.mm.yyyy]])</f>
        <v>2025</v>
      </c>
      <c r="N411" s="36">
        <f>IFERROR(INDEX(DATABASE_FG!$H$5:$H$367, MATCH(E411, DATABASE_FG!$C$5:$C$367, 0)), " ")</f>
        <v>0</v>
      </c>
      <c r="O411" s="129" t="str">
        <f>IF(E411&lt;&gt;"", _xlfn.XLOOKUP(E411, DATABASE_FG!C:C, DATABASE_FG!F:F), " ")</f>
        <v>Alama</v>
      </c>
      <c r="P411" s="129">
        <f>IFERROR(INDEX(DATABASE_FG!$G$5:$G$367, MATCH(E411, DATABASE_FG!$C$5:$C$367, 0)), "Not Found")</f>
        <v>0</v>
      </c>
      <c r="Q411" s="36"/>
      <c r="R411" s="125" t="s">
        <v>678</v>
      </c>
      <c r="S411" s="123">
        <f>IFERROR(INDEX(DATABASE_FG!$L$5:$L$367, MATCH(E411, DATABASE_FG!$C$5:$C$367, 0)), " ")</f>
        <v>42</v>
      </c>
      <c r="T411" s="36" t="s">
        <v>679</v>
      </c>
      <c r="U411" s="36"/>
      <c r="V411" s="36"/>
      <c r="W411" s="129"/>
      <c r="X411" s="36"/>
      <c r="Y411" s="36"/>
      <c r="Z411" s="36"/>
      <c r="AA411" s="125" t="s">
        <v>121</v>
      </c>
      <c r="AB411" s="173">
        <v>45789</v>
      </c>
      <c r="AC411" s="119">
        <v>25758</v>
      </c>
      <c r="AD411" s="36">
        <f t="shared" si="47"/>
        <v>39007996</v>
      </c>
      <c r="AE411" s="36" t="str">
        <f t="shared" si="48"/>
        <v>EDP KUH.6036-A-M-3001B _</v>
      </c>
      <c r="AF411" s="36">
        <v>55</v>
      </c>
      <c r="AG411" s="120">
        <f t="shared" si="49"/>
        <v>396.55</v>
      </c>
      <c r="AH411" s="36"/>
      <c r="AI411" s="124"/>
      <c r="AJ411" s="122" t="s">
        <v>3086</v>
      </c>
      <c r="AK411" s="129" t="str">
        <f t="shared" ca="1" si="50"/>
        <v>Late</v>
      </c>
      <c r="AL411" s="268" t="str">
        <f t="shared" si="58"/>
        <v>April</v>
      </c>
      <c r="AM411" s="133">
        <f>YEAR(Table1[[#This Row],[ETA
As requested
dd.mm.yyyy]])</f>
        <v>2025</v>
      </c>
    </row>
    <row r="412" spans="1:40" hidden="1">
      <c r="A412" s="123" t="s">
        <v>83</v>
      </c>
      <c r="B412" s="36" t="s">
        <v>1170</v>
      </c>
      <c r="C412" s="117">
        <v>39007996</v>
      </c>
      <c r="D412" s="165">
        <v>45751</v>
      </c>
      <c r="E412" s="117" t="s">
        <v>3079</v>
      </c>
      <c r="F412" s="36" t="str">
        <f>IFERROR(VLOOKUP(Table1[[#This Row],[Part Number]],DATABASE_FG!$C$6:D10401,2,FALSE)," ")</f>
        <v>300343426-0000</v>
      </c>
      <c r="G412" s="117" t="str">
        <f>IFERROR(_xlfn.XLOOKUP(Table1[[#This Row],[Part Number]],Table3[Part number],Table3[Drawing
 Revision]),"")</f>
        <v>AA</v>
      </c>
      <c r="H412" s="118" cm="1">
        <f t="array" ref="H412">IFERROR(INDEX(PDB!$C:$AT,MATCH(E412,PDB!$B:$B,0),MATCH(YEAR(K412),0+PDB!$C$1:$AT$1,0)),"")</f>
        <v>7.21</v>
      </c>
      <c r="I412" s="36">
        <v>32</v>
      </c>
      <c r="J412" s="125">
        <f>IFERROR(Table1[[#This Row],[Quantity]]*Table1[[#This Row],[Price/Unit
EUR]]," ")</f>
        <v>230.72</v>
      </c>
      <c r="K412" s="126">
        <v>45764</v>
      </c>
      <c r="L412" s="36">
        <f>WEEKNUM(Table1[[#This Row],[ETA
As requested
dd.mm.yyyy]])</f>
        <v>16</v>
      </c>
      <c r="M412" s="36">
        <f>YEAR(Table1[[#This Row],[ETA
As requested
dd.mm.yyyy]])</f>
        <v>2025</v>
      </c>
      <c r="N412" s="36">
        <f>IFERROR(INDEX(DATABASE_FG!$H$5:$H$367, MATCH(E412, DATABASE_FG!$C$5:$C$367, 0)), " ")</f>
        <v>0</v>
      </c>
      <c r="O412" s="129" t="str">
        <f>IF(E412&lt;&gt;"", _xlfn.XLOOKUP(E412, DATABASE_FG!C:C, DATABASE_FG!F:F), " ")</f>
        <v>Alama</v>
      </c>
      <c r="P412" s="129">
        <v>0</v>
      </c>
      <c r="Q412" s="36"/>
      <c r="R412" s="125" t="s">
        <v>678</v>
      </c>
      <c r="S412" s="123">
        <f>IFERROR(INDEX(DATABASE_FG!$L$5:$L$367, MATCH(E412, DATABASE_FG!$C$5:$C$367, 0)), " ")</f>
        <v>42</v>
      </c>
      <c r="T412" s="36" t="s">
        <v>679</v>
      </c>
      <c r="U412" s="36"/>
      <c r="V412" s="36"/>
      <c r="W412" s="129"/>
      <c r="X412" s="36"/>
      <c r="Y412" s="36"/>
      <c r="Z412" s="36"/>
      <c r="AA412" s="125" t="s">
        <v>121</v>
      </c>
      <c r="AB412" s="173">
        <v>45790</v>
      </c>
      <c r="AC412" s="119">
        <v>25765</v>
      </c>
      <c r="AD412" s="36">
        <f t="shared" si="47"/>
        <v>39007996</v>
      </c>
      <c r="AE412" s="36" t="str">
        <f t="shared" si="48"/>
        <v>EDP KUH.6036-A-M-3001B _</v>
      </c>
      <c r="AF412" s="36">
        <v>32</v>
      </c>
      <c r="AG412" s="120">
        <f t="shared" si="49"/>
        <v>230.72</v>
      </c>
      <c r="AH412" s="36"/>
      <c r="AI412" s="124"/>
      <c r="AJ412" s="122" t="s">
        <v>3089</v>
      </c>
      <c r="AK412" s="129" t="str">
        <f t="shared" ca="1" si="50"/>
        <v>Late</v>
      </c>
      <c r="AL412" s="268" t="str">
        <f t="shared" si="58"/>
        <v>April</v>
      </c>
      <c r="AM412" s="133">
        <f>YEAR(Table1[[#This Row],[ETA
As requested
dd.mm.yyyy]])</f>
        <v>2025</v>
      </c>
    </row>
    <row r="413" spans="1:40" hidden="1">
      <c r="A413" s="123" t="s">
        <v>83</v>
      </c>
      <c r="B413" s="36" t="s">
        <v>1170</v>
      </c>
      <c r="C413" s="117">
        <v>39007996</v>
      </c>
      <c r="D413" s="165">
        <v>45751</v>
      </c>
      <c r="E413" s="117" t="s">
        <v>3079</v>
      </c>
      <c r="F413" s="36" t="str">
        <f>IFERROR(VLOOKUP(Table1[[#This Row],[Part Number]],DATABASE_FG!$C$6:D10402,2,FALSE)," ")</f>
        <v>300343426-0000</v>
      </c>
      <c r="G413" s="117" t="str">
        <f>IFERROR(_xlfn.XLOOKUP(Table1[[#This Row],[Part Number]],Table3[Part number],Table3[Drawing
 Revision]),"")</f>
        <v>AA</v>
      </c>
      <c r="H413" s="118" cm="1">
        <f t="array" ref="H413">IFERROR(INDEX(PDB!$C:$AT,MATCH(E413,PDB!$B:$B,0),MATCH(YEAR(K413),0+PDB!$C$1:$AT$1,0)),"")</f>
        <v>7.21</v>
      </c>
      <c r="I413" s="36">
        <v>84</v>
      </c>
      <c r="J413" s="125">
        <f>IFERROR(Table1[[#This Row],[Quantity]]*Table1[[#This Row],[Price/Unit
EUR]]," ")</f>
        <v>605.64</v>
      </c>
      <c r="K413" s="126">
        <v>45764</v>
      </c>
      <c r="L413" s="36">
        <f>WEEKNUM(Table1[[#This Row],[ETA
As requested
dd.mm.yyyy]])</f>
        <v>16</v>
      </c>
      <c r="M413" s="36">
        <f>YEAR(Table1[[#This Row],[ETA
As requested
dd.mm.yyyy]])</f>
        <v>2025</v>
      </c>
      <c r="N413" s="36">
        <f>IFERROR(INDEX(DATABASE_FG!$H$5:$H$367, MATCH(E413, DATABASE_FG!$C$5:$C$367, 0)), " ")</f>
        <v>0</v>
      </c>
      <c r="O413" s="129" t="str">
        <f>IF(E413&lt;&gt;"", _xlfn.XLOOKUP(E413, DATABASE_FG!C:C, DATABASE_FG!F:F), " ")</f>
        <v>Alama</v>
      </c>
      <c r="P413" s="129">
        <v>0</v>
      </c>
      <c r="Q413" s="36"/>
      <c r="R413" s="125" t="s">
        <v>678</v>
      </c>
      <c r="S413" s="123">
        <f>IFERROR(INDEX(DATABASE_FG!$L$5:$L$367, MATCH(E413, DATABASE_FG!$C$5:$C$367, 0)), " ")</f>
        <v>42</v>
      </c>
      <c r="T413" s="36" t="s">
        <v>679</v>
      </c>
      <c r="U413" s="36"/>
      <c r="V413" s="36"/>
      <c r="W413" s="129"/>
      <c r="X413" s="36"/>
      <c r="Y413" s="36"/>
      <c r="Z413" s="36"/>
      <c r="AA413" s="125" t="s">
        <v>121</v>
      </c>
      <c r="AB413" s="173">
        <v>45791</v>
      </c>
      <c r="AC413" s="119">
        <v>25771</v>
      </c>
      <c r="AD413" s="36">
        <f t="shared" si="47"/>
        <v>39007996</v>
      </c>
      <c r="AE413" s="36" t="str">
        <f t="shared" si="48"/>
        <v>EDP KUH.6036-A-M-3001B _</v>
      </c>
      <c r="AF413" s="36">
        <v>84</v>
      </c>
      <c r="AG413" s="120">
        <f t="shared" si="49"/>
        <v>605.64</v>
      </c>
      <c r="AH413" s="36"/>
      <c r="AI413" s="124"/>
      <c r="AJ413" s="122" t="s">
        <v>3090</v>
      </c>
      <c r="AK413" s="129" t="str">
        <f t="shared" ca="1" si="50"/>
        <v>Late</v>
      </c>
      <c r="AL413" s="268" t="str">
        <f t="shared" si="58"/>
        <v>April</v>
      </c>
      <c r="AM413" s="133">
        <f>YEAR(Table1[[#This Row],[ETA
As requested
dd.mm.yyyy]])</f>
        <v>2025</v>
      </c>
    </row>
    <row r="414" spans="1:40" hidden="1">
      <c r="A414" s="123" t="s">
        <v>83</v>
      </c>
      <c r="B414" s="36" t="s">
        <v>1170</v>
      </c>
      <c r="C414" s="117">
        <v>39007996</v>
      </c>
      <c r="D414" s="165">
        <v>45751</v>
      </c>
      <c r="E414" s="117" t="s">
        <v>3079</v>
      </c>
      <c r="F414" s="36" t="str">
        <f>IFERROR(VLOOKUP(Table1[[#This Row],[Part Number]],DATABASE_FG!$C$6:D10403,2,FALSE)," ")</f>
        <v>300343426-0000</v>
      </c>
      <c r="G414" s="117" t="str">
        <f>IFERROR(_xlfn.XLOOKUP(Table1[[#This Row],[Part Number]],Table3[Part number],Table3[Drawing
 Revision]),"")</f>
        <v>AA</v>
      </c>
      <c r="H414" s="118" cm="1">
        <f t="array" ref="H414">IFERROR(INDEX(PDB!$C:$AT,MATCH(E414,PDB!$B:$B,0),MATCH(YEAR(K414),0+PDB!$C$1:$AT$1,0)),"")</f>
        <v>7.21</v>
      </c>
      <c r="I414" s="36">
        <v>79</v>
      </c>
      <c r="J414" s="125">
        <f>IFERROR(Table1[[#This Row],[Quantity]]*Table1[[#This Row],[Price/Unit
EUR]]," ")</f>
        <v>569.59</v>
      </c>
      <c r="K414" s="126">
        <v>45764</v>
      </c>
      <c r="L414" s="36">
        <f>WEEKNUM(Table1[[#This Row],[ETA
As requested
dd.mm.yyyy]])</f>
        <v>16</v>
      </c>
      <c r="M414" s="36">
        <f>YEAR(Table1[[#This Row],[ETA
As requested
dd.mm.yyyy]])</f>
        <v>2025</v>
      </c>
      <c r="N414" s="36">
        <f>IFERROR(INDEX(DATABASE_FG!$H$5:$H$367, MATCH(E414, DATABASE_FG!$C$5:$C$367, 0)), " ")</f>
        <v>0</v>
      </c>
      <c r="O414" s="129" t="str">
        <f>IF(E414&lt;&gt;"", _xlfn.XLOOKUP(E414, DATABASE_FG!C:C, DATABASE_FG!F:F), " ")</f>
        <v>Alama</v>
      </c>
      <c r="P414" s="129">
        <v>0</v>
      </c>
      <c r="Q414" s="36"/>
      <c r="R414" s="125" t="s">
        <v>678</v>
      </c>
      <c r="S414" s="123">
        <f>IFERROR(INDEX(DATABASE_FG!$L$5:$L$367, MATCH(E414, DATABASE_FG!$C$5:$C$367, 0)), " ")</f>
        <v>42</v>
      </c>
      <c r="T414" s="36" t="s">
        <v>679</v>
      </c>
      <c r="U414" s="36"/>
      <c r="V414" s="36"/>
      <c r="W414" s="129"/>
      <c r="X414" s="36"/>
      <c r="Y414" s="36"/>
      <c r="Z414" s="36"/>
      <c r="AA414" s="125" t="s">
        <v>121</v>
      </c>
      <c r="AB414" s="173">
        <v>45793</v>
      </c>
      <c r="AC414" s="119">
        <v>25782</v>
      </c>
      <c r="AD414" s="36">
        <f t="shared" ref="AD414:AD481" si="59">IF(NOT(ISBLANK(AC414)), C414, "")</f>
        <v>39007996</v>
      </c>
      <c r="AE414" s="36" t="str">
        <f t="shared" ref="AE414:AE481" si="60">IF(NOT(ISBLANK(AC414)), E414, "")</f>
        <v>EDP KUH.6036-A-M-3001B _</v>
      </c>
      <c r="AF414" s="36">
        <v>79</v>
      </c>
      <c r="AG414" s="120">
        <f t="shared" ref="AG414:AG481" si="61">AF414*H414</f>
        <v>569.59</v>
      </c>
      <c r="AH414" s="36"/>
      <c r="AI414" s="124"/>
      <c r="AJ414" s="122" t="s">
        <v>3091</v>
      </c>
      <c r="AK414" s="129" t="str">
        <f t="shared" ca="1" si="50"/>
        <v>Late</v>
      </c>
      <c r="AL414" s="268" t="str">
        <f t="shared" si="58"/>
        <v>April</v>
      </c>
      <c r="AM414" s="133">
        <f>YEAR(Table1[[#This Row],[ETA
As requested
dd.mm.yyyy]])</f>
        <v>2025</v>
      </c>
    </row>
    <row r="415" spans="1:40" hidden="1">
      <c r="A415" s="123" t="s">
        <v>83</v>
      </c>
      <c r="B415" s="36" t="s">
        <v>1170</v>
      </c>
      <c r="C415" s="117">
        <v>39007996</v>
      </c>
      <c r="D415" s="165">
        <v>45751</v>
      </c>
      <c r="E415" s="117" t="s">
        <v>3079</v>
      </c>
      <c r="F415" s="36" t="str">
        <f>IFERROR(VLOOKUP(Table1[[#This Row],[Part Number]],DATABASE_FG!$C$6:D10404,2,FALSE)," ")</f>
        <v>300343426-0000</v>
      </c>
      <c r="G415" s="117" t="str">
        <f>IFERROR(_xlfn.XLOOKUP(Table1[[#This Row],[Part Number]],Table3[Part number],Table3[Drawing
 Revision]),"")</f>
        <v>AA</v>
      </c>
      <c r="H415" s="118" cm="1">
        <f t="array" ref="H415">IFERROR(INDEX(PDB!$C:$AT,MATCH(E415,PDB!$B:$B,0),MATCH(YEAR(K415),0+PDB!$C$1:$AT$1,0)),"")</f>
        <v>7.21</v>
      </c>
      <c r="I415" s="36">
        <v>39</v>
      </c>
      <c r="J415" s="125">
        <f>IFERROR(Table1[[#This Row],[Quantity]]*Table1[[#This Row],[Price/Unit
EUR]]," ")</f>
        <v>281.19</v>
      </c>
      <c r="K415" s="126">
        <v>45764</v>
      </c>
      <c r="L415" s="36">
        <f>WEEKNUM(Table1[[#This Row],[ETA
As requested
dd.mm.yyyy]])</f>
        <v>16</v>
      </c>
      <c r="M415" s="36">
        <f>YEAR(Table1[[#This Row],[ETA
As requested
dd.mm.yyyy]])</f>
        <v>2025</v>
      </c>
      <c r="N415" s="36">
        <f>IFERROR(INDEX(DATABASE_FG!$H$5:$H$367, MATCH(E415, DATABASE_FG!$C$5:$C$367, 0)), " ")</f>
        <v>0</v>
      </c>
      <c r="O415" s="129" t="str">
        <f>IF(E415&lt;&gt;"", _xlfn.XLOOKUP(E415, DATABASE_FG!C:C, DATABASE_FG!F:F), " ")</f>
        <v>Alama</v>
      </c>
      <c r="P415" s="129">
        <f>IFERROR(INDEX(DATABASE_FG!$G$5:$G$367, MATCH(E415, DATABASE_FG!$C$5:$C$367, 0)), "Not Found")</f>
        <v>0</v>
      </c>
      <c r="Q415" s="36"/>
      <c r="R415" s="125" t="s">
        <v>678</v>
      </c>
      <c r="S415" s="123">
        <f>IFERROR(INDEX(DATABASE_FG!$L$5:$L$367, MATCH(E415, DATABASE_FG!$C$5:$C$367, 0)), " ")</f>
        <v>42</v>
      </c>
      <c r="T415" s="36" t="s">
        <v>679</v>
      </c>
      <c r="U415" s="36"/>
      <c r="V415" s="36"/>
      <c r="W415" s="129"/>
      <c r="X415" s="36"/>
      <c r="Y415" s="36"/>
      <c r="Z415" s="36"/>
      <c r="AA415" s="125" t="s">
        <v>121</v>
      </c>
      <c r="AB415" s="173">
        <v>45797</v>
      </c>
      <c r="AC415" s="119">
        <v>25791</v>
      </c>
      <c r="AD415" s="36">
        <f t="shared" si="59"/>
        <v>39007996</v>
      </c>
      <c r="AE415" s="36" t="str">
        <f t="shared" si="60"/>
        <v>EDP KUH.6036-A-M-3001B _</v>
      </c>
      <c r="AF415" s="36">
        <v>39</v>
      </c>
      <c r="AG415" s="120">
        <f t="shared" si="61"/>
        <v>281.19</v>
      </c>
      <c r="AH415" s="36"/>
      <c r="AI415" s="124"/>
      <c r="AJ415" s="122" t="s">
        <v>3092</v>
      </c>
      <c r="AK415" s="129" t="str">
        <f t="shared" ca="1" si="50"/>
        <v>Late</v>
      </c>
      <c r="AL415" s="268" t="str">
        <f t="shared" si="58"/>
        <v>April</v>
      </c>
      <c r="AM415" s="133">
        <f>YEAR(Table1[[#This Row],[ETA
As requested
dd.mm.yyyy]])</f>
        <v>2025</v>
      </c>
    </row>
    <row r="416" spans="1:40" hidden="1">
      <c r="A416" s="123" t="s">
        <v>83</v>
      </c>
      <c r="B416" s="36" t="s">
        <v>1170</v>
      </c>
      <c r="C416" s="117">
        <v>39007996</v>
      </c>
      <c r="D416" s="165">
        <v>45751</v>
      </c>
      <c r="E416" s="117" t="s">
        <v>3079</v>
      </c>
      <c r="F416" s="36" t="str">
        <f>IFERROR(VLOOKUP(Table1[[#This Row],[Part Number]],DATABASE_FG!$C$6:D10405,2,FALSE)," ")</f>
        <v>300343426-0000</v>
      </c>
      <c r="G416" s="117" t="str">
        <f>IFERROR(_xlfn.XLOOKUP(Table1[[#This Row],[Part Number]],Table3[Part number],Table3[Drawing
 Revision]),"")</f>
        <v>AA</v>
      </c>
      <c r="H416" s="118" cm="1">
        <f t="array" ref="H416">IFERROR(INDEX(PDB!$C:$AT,MATCH(E416,PDB!$B:$B,0),MATCH(YEAR(K416),0+PDB!$C$1:$AT$1,0)),"")</f>
        <v>7.21</v>
      </c>
      <c r="I416" s="36">
        <v>76</v>
      </c>
      <c r="J416" s="125">
        <f>IFERROR(Table1[[#This Row],[Quantity]]*Table1[[#This Row],[Price/Unit
EUR]]," ")</f>
        <v>547.96</v>
      </c>
      <c r="K416" s="126">
        <v>45764</v>
      </c>
      <c r="L416" s="36">
        <f>WEEKNUM(Table1[[#This Row],[ETA
As requested
dd.mm.yyyy]])</f>
        <v>16</v>
      </c>
      <c r="M416" s="36">
        <f>YEAR(Table1[[#This Row],[ETA
As requested
dd.mm.yyyy]])</f>
        <v>2025</v>
      </c>
      <c r="N416" s="36">
        <f>IFERROR(INDEX(DATABASE_FG!$H$5:$H$367, MATCH(E416, DATABASE_FG!$C$5:$C$367, 0)), " ")</f>
        <v>0</v>
      </c>
      <c r="O416" s="129" t="str">
        <f>IF(E416&lt;&gt;"", _xlfn.XLOOKUP(E416, DATABASE_FG!C:C, DATABASE_FG!F:F), " ")</f>
        <v>Alama</v>
      </c>
      <c r="P416" s="129">
        <v>0</v>
      </c>
      <c r="Q416" s="36"/>
      <c r="R416" s="125" t="s">
        <v>678</v>
      </c>
      <c r="S416" s="123">
        <f>IFERROR(INDEX(DATABASE_FG!$L$5:$L$367, MATCH(E416, DATABASE_FG!$C$5:$C$367, 0)), " ")</f>
        <v>42</v>
      </c>
      <c r="T416" s="36" t="s">
        <v>679</v>
      </c>
      <c r="U416" s="36"/>
      <c r="V416" s="36"/>
      <c r="W416" s="129"/>
      <c r="X416" s="36"/>
      <c r="Y416" s="36"/>
      <c r="Z416" s="36"/>
      <c r="AA416" s="125" t="s">
        <v>121</v>
      </c>
      <c r="AB416" s="173">
        <v>45798</v>
      </c>
      <c r="AC416" s="119">
        <v>25797</v>
      </c>
      <c r="AD416" s="36">
        <f t="shared" si="59"/>
        <v>39007996</v>
      </c>
      <c r="AE416" s="36" t="str">
        <f t="shared" si="60"/>
        <v>EDP KUH.6036-A-M-3001B _</v>
      </c>
      <c r="AF416" s="36">
        <v>76</v>
      </c>
      <c r="AG416" s="120">
        <f t="shared" si="61"/>
        <v>547.96</v>
      </c>
      <c r="AH416" s="36"/>
      <c r="AI416" s="124"/>
      <c r="AJ416" s="122" t="s">
        <v>3093</v>
      </c>
      <c r="AK416" s="129" t="str">
        <f t="shared" ca="1" si="50"/>
        <v>Late</v>
      </c>
      <c r="AL416" s="268" t="str">
        <f t="shared" si="58"/>
        <v>April</v>
      </c>
      <c r="AM416" s="133">
        <f>YEAR(Table1[[#This Row],[ETA
As requested
dd.mm.yyyy]])</f>
        <v>2025</v>
      </c>
    </row>
    <row r="417" spans="1:39" hidden="1">
      <c r="A417" s="123" t="s">
        <v>83</v>
      </c>
      <c r="B417" s="36" t="s">
        <v>1170</v>
      </c>
      <c r="C417" s="117">
        <v>39007996</v>
      </c>
      <c r="D417" s="165">
        <v>45751</v>
      </c>
      <c r="E417" s="117" t="s">
        <v>3079</v>
      </c>
      <c r="F417" s="36" t="str">
        <f>IFERROR(VLOOKUP(Table1[[#This Row],[Part Number]],DATABASE_FG!$C$6:D10406,2,FALSE)," ")</f>
        <v>300343426-0000</v>
      </c>
      <c r="G417" s="117" t="str">
        <f>IFERROR(_xlfn.XLOOKUP(Table1[[#This Row],[Part Number]],Table3[Part number],Table3[Drawing
 Revision]),"")</f>
        <v>AA</v>
      </c>
      <c r="H417" s="118" cm="1">
        <f t="array" ref="H417">IFERROR(INDEX(PDB!$C:$AT,MATCH(E417,PDB!$B:$B,0),MATCH(YEAR(K417),0+PDB!$C$1:$AT$1,0)),"")</f>
        <v>7.21</v>
      </c>
      <c r="I417" s="36">
        <v>136</v>
      </c>
      <c r="J417" s="125">
        <f>IFERROR(Table1[[#This Row],[Quantity]]*Table1[[#This Row],[Price/Unit
EUR]]," ")</f>
        <v>980.56</v>
      </c>
      <c r="K417" s="126">
        <v>45764</v>
      </c>
      <c r="L417" s="36">
        <f>WEEKNUM(Table1[[#This Row],[ETA
As requested
dd.mm.yyyy]])</f>
        <v>16</v>
      </c>
      <c r="M417" s="36">
        <f>YEAR(Table1[[#This Row],[ETA
As requested
dd.mm.yyyy]])</f>
        <v>2025</v>
      </c>
      <c r="N417" s="36">
        <f>IFERROR(INDEX(DATABASE_FG!$H$5:$H$367, MATCH(E417, DATABASE_FG!$C$5:$C$367, 0)), " ")</f>
        <v>0</v>
      </c>
      <c r="O417" s="129" t="str">
        <f>IF(E417&lt;&gt;"", _xlfn.XLOOKUP(E417, DATABASE_FG!C:C, DATABASE_FG!F:F), " ")</f>
        <v>Alama</v>
      </c>
      <c r="P417" s="129">
        <v>0</v>
      </c>
      <c r="Q417" s="36"/>
      <c r="R417" s="125" t="s">
        <v>678</v>
      </c>
      <c r="S417" s="123">
        <f>IFERROR(INDEX(DATABASE_FG!$L$5:$L$367, MATCH(E417, DATABASE_FG!$C$5:$C$367, 0)), " ")</f>
        <v>42</v>
      </c>
      <c r="T417" s="36" t="s">
        <v>679</v>
      </c>
      <c r="U417" s="36"/>
      <c r="V417" s="36"/>
      <c r="W417" s="129"/>
      <c r="X417" s="36"/>
      <c r="Y417" s="36"/>
      <c r="Z417" s="36"/>
      <c r="AA417" s="125" t="s">
        <v>121</v>
      </c>
      <c r="AB417" s="173">
        <v>45803</v>
      </c>
      <c r="AC417" s="119">
        <v>25820</v>
      </c>
      <c r="AD417" s="36">
        <f t="shared" si="59"/>
        <v>39007996</v>
      </c>
      <c r="AE417" s="36" t="str">
        <f t="shared" si="60"/>
        <v>EDP KUH.6036-A-M-3001B _</v>
      </c>
      <c r="AF417" s="36">
        <v>136</v>
      </c>
      <c r="AG417" s="120">
        <f t="shared" si="61"/>
        <v>980.56</v>
      </c>
      <c r="AH417" s="36"/>
      <c r="AI417" s="124"/>
      <c r="AJ417" s="122" t="s">
        <v>3095</v>
      </c>
      <c r="AK417" s="129" t="str">
        <f t="shared" ca="1" si="50"/>
        <v>Late</v>
      </c>
      <c r="AL417" s="268" t="str">
        <f t="shared" si="58"/>
        <v>April</v>
      </c>
      <c r="AM417" s="133">
        <f>YEAR(Table1[[#This Row],[ETA
As requested
dd.mm.yyyy]])</f>
        <v>2025</v>
      </c>
    </row>
    <row r="418" spans="1:39" hidden="1">
      <c r="A418" s="123" t="s">
        <v>83</v>
      </c>
      <c r="B418" s="36" t="s">
        <v>1170</v>
      </c>
      <c r="C418" s="117">
        <v>39007996</v>
      </c>
      <c r="D418" s="165">
        <v>45751</v>
      </c>
      <c r="E418" s="117" t="s">
        <v>3079</v>
      </c>
      <c r="F418" s="36" t="str">
        <f>IFERROR(VLOOKUP(Table1[[#This Row],[Part Number]],DATABASE_FG!$C$6:D10407,2,FALSE)," ")</f>
        <v>300343426-0000</v>
      </c>
      <c r="G418" s="117" t="str">
        <f>IFERROR(_xlfn.XLOOKUP(Table1[[#This Row],[Part Number]],Table3[Part number],Table3[Drawing
 Revision]),"")</f>
        <v>AA</v>
      </c>
      <c r="H418" s="118" cm="1">
        <f t="array" ref="H418">IFERROR(INDEX(PDB!$C:$AT,MATCH(E418,PDB!$B:$B,0),MATCH(YEAR(K418),0+PDB!$C$1:$AT$1,0)),"")</f>
        <v>7.21</v>
      </c>
      <c r="I418" s="36">
        <f>720-5-66-62-37-55-84-32-79-39-76-136</f>
        <v>49</v>
      </c>
      <c r="J418" s="125">
        <f>IFERROR(Table1[[#This Row],[Quantity]]*Table1[[#This Row],[Price/Unit
EUR]]," ")</f>
        <v>353.29</v>
      </c>
      <c r="K418" s="126">
        <v>45764</v>
      </c>
      <c r="L418" s="36">
        <f>WEEKNUM(Table1[[#This Row],[ETA
As requested
dd.mm.yyyy]])</f>
        <v>16</v>
      </c>
      <c r="M418" s="36">
        <f>YEAR(Table1[[#This Row],[ETA
As requested
dd.mm.yyyy]])</f>
        <v>2025</v>
      </c>
      <c r="N418" s="36">
        <f>IFERROR(INDEX(DATABASE_FG!$H$5:$H$367, MATCH(E418, DATABASE_FG!$C$5:$C$367, 0)), " ")</f>
        <v>0</v>
      </c>
      <c r="O418" s="129" t="str">
        <f>IF(E418&lt;&gt;"", _xlfn.XLOOKUP(E418, DATABASE_FG!C:C, DATABASE_FG!F:F), " ")</f>
        <v>Alama</v>
      </c>
      <c r="P418" s="129">
        <v>0</v>
      </c>
      <c r="Q418" s="36"/>
      <c r="R418" s="125" t="s">
        <v>678</v>
      </c>
      <c r="S418" s="123">
        <f>IFERROR(INDEX(DATABASE_FG!$L$5:$L$367, MATCH(E418, DATABASE_FG!$C$5:$C$367, 0)), " ")</f>
        <v>42</v>
      </c>
      <c r="T418" s="36" t="s">
        <v>679</v>
      </c>
      <c r="U418" s="36"/>
      <c r="V418" s="36"/>
      <c r="W418" s="129"/>
      <c r="X418" s="36"/>
      <c r="Y418" s="36"/>
      <c r="Z418" s="36"/>
      <c r="AA418" s="125" t="s">
        <v>121</v>
      </c>
      <c r="AB418" s="173">
        <v>45804</v>
      </c>
      <c r="AC418" s="119">
        <v>25835</v>
      </c>
      <c r="AD418" s="36">
        <f t="shared" si="59"/>
        <v>39007996</v>
      </c>
      <c r="AE418" s="36" t="str">
        <f t="shared" si="60"/>
        <v>EDP KUH.6036-A-M-3001B _</v>
      </c>
      <c r="AF418" s="36">
        <v>49</v>
      </c>
      <c r="AG418" s="120">
        <f t="shared" si="61"/>
        <v>353.29</v>
      </c>
      <c r="AH418" s="36"/>
      <c r="AI418" s="124"/>
      <c r="AJ418" s="122" t="s">
        <v>3097</v>
      </c>
      <c r="AK418" s="129" t="str">
        <f t="shared" ca="1" si="50"/>
        <v>Late</v>
      </c>
      <c r="AL418" s="268" t="str">
        <f t="shared" si="58"/>
        <v>April</v>
      </c>
      <c r="AM418" s="133">
        <f>YEAR(Table1[[#This Row],[ETA
As requested
dd.mm.yyyy]])</f>
        <v>2025</v>
      </c>
    </row>
    <row r="419" spans="1:39" hidden="1">
      <c r="A419" s="123" t="s">
        <v>83</v>
      </c>
      <c r="B419" s="36" t="s">
        <v>1170</v>
      </c>
      <c r="C419" s="117">
        <v>39007996</v>
      </c>
      <c r="D419" s="165">
        <v>45751</v>
      </c>
      <c r="E419" s="117" t="s">
        <v>3079</v>
      </c>
      <c r="F419" s="36" t="str">
        <f>IFERROR(VLOOKUP(Table1[[#This Row],[Part Number]],DATABASE_FG!$C$6:D10408,2,FALSE)," ")</f>
        <v>300343426-0000</v>
      </c>
      <c r="G419" s="117" t="str">
        <f>IFERROR(_xlfn.XLOOKUP(Table1[[#This Row],[Part Number]],Table3[Part number],Table3[Drawing
 Revision]),"")</f>
        <v>AA</v>
      </c>
      <c r="H419" s="118" cm="1">
        <f t="array" ref="H419">IFERROR(INDEX(PDB!$C:$AT,MATCH(E419,PDB!$B:$B,0),MATCH(YEAR(K419),0+PDB!$C$1:$AT$1,0)),"")</f>
        <v>7.21</v>
      </c>
      <c r="I419" s="36">
        <v>62</v>
      </c>
      <c r="J419" s="125">
        <f>IFERROR(Table1[[#This Row],[Quantity]]*Table1[[#This Row],[Price/Unit
EUR]]," ")</f>
        <v>447.02</v>
      </c>
      <c r="K419" s="126">
        <v>45765</v>
      </c>
      <c r="L419" s="36">
        <f>WEEKNUM(Table1[[#This Row],[ETA
As requested
dd.mm.yyyy]])</f>
        <v>16</v>
      </c>
      <c r="M419" s="36">
        <f>YEAR(Table1[[#This Row],[ETA
As requested
dd.mm.yyyy]])</f>
        <v>2025</v>
      </c>
      <c r="N419" s="36">
        <f>IFERROR(INDEX(DATABASE_FG!$H$5:$H$367, MATCH(E419, DATABASE_FG!$C$5:$C$367, 0)), " ")</f>
        <v>0</v>
      </c>
      <c r="O419" s="129" t="str">
        <f>IF(E419&lt;&gt;"", _xlfn.XLOOKUP(E419, DATABASE_FG!C:C, DATABASE_FG!F:F), " ")</f>
        <v>Alama</v>
      </c>
      <c r="P419" s="129">
        <f>IFERROR(INDEX(DATABASE_FG!$G$5:$G$367, MATCH(E419, DATABASE_FG!$C$5:$C$367, 0)), "Not Found")</f>
        <v>0</v>
      </c>
      <c r="Q419" s="36"/>
      <c r="R419" s="125" t="s">
        <v>678</v>
      </c>
      <c r="S419" s="123">
        <f>IFERROR(INDEX(DATABASE_FG!$L$5:$L$367, MATCH(E419, DATABASE_FG!$C$5:$C$367, 0)), " ")</f>
        <v>42</v>
      </c>
      <c r="T419" s="36" t="s">
        <v>679</v>
      </c>
      <c r="U419" s="36"/>
      <c r="V419" s="36"/>
      <c r="W419" s="129"/>
      <c r="X419" s="36"/>
      <c r="Y419" s="36"/>
      <c r="Z419" s="36"/>
      <c r="AA419" s="125" t="s">
        <v>121</v>
      </c>
      <c r="AB419" s="173">
        <v>45772</v>
      </c>
      <c r="AC419" s="119">
        <v>25674</v>
      </c>
      <c r="AD419" s="36">
        <f t="shared" si="59"/>
        <v>39007996</v>
      </c>
      <c r="AE419" s="36" t="str">
        <f t="shared" si="60"/>
        <v>EDP KUH.6036-A-M-3001B _</v>
      </c>
      <c r="AF419" s="36">
        <v>62</v>
      </c>
      <c r="AG419" s="120">
        <f t="shared" si="61"/>
        <v>447.02</v>
      </c>
      <c r="AH419" s="36"/>
      <c r="AI419" s="124"/>
      <c r="AJ419" s="122" t="s">
        <v>3102</v>
      </c>
      <c r="AK419" s="129" t="str">
        <f t="shared" ca="1" si="50"/>
        <v>Late</v>
      </c>
      <c r="AL419" s="268" t="str">
        <f t="shared" si="58"/>
        <v>April</v>
      </c>
      <c r="AM419" s="133">
        <f>YEAR(Table1[[#This Row],[ETA
As requested
dd.mm.yyyy]])</f>
        <v>2025</v>
      </c>
    </row>
    <row r="420" spans="1:39" hidden="1">
      <c r="A420" s="123" t="s">
        <v>83</v>
      </c>
      <c r="B420" s="36" t="s">
        <v>1170</v>
      </c>
      <c r="C420" s="117">
        <v>39124600</v>
      </c>
      <c r="D420" s="165">
        <v>45751</v>
      </c>
      <c r="E420" s="117" t="s">
        <v>3079</v>
      </c>
      <c r="F420" s="36" t="str">
        <f>IFERROR(VLOOKUP(Table1[[#This Row],[Part Number]],DATABASE_FG!$C$6:D10409,2,FALSE)," ")</f>
        <v>300343426-0000</v>
      </c>
      <c r="G420" s="117" t="str">
        <f>IFERROR(_xlfn.XLOOKUP(Table1[[#This Row],[Part Number]],Table3[Part number],Table3[Drawing
 Revision]),"")</f>
        <v>AA</v>
      </c>
      <c r="H420" s="118" cm="1">
        <f t="array" ref="H420">IFERROR(INDEX(PDB!$C:$AT,MATCH(E420,PDB!$B:$B,0),MATCH(YEAR(K420),0+PDB!$C$1:$AT$1,0)),"")</f>
        <v>7.21</v>
      </c>
      <c r="I420" s="36">
        <v>5</v>
      </c>
      <c r="J420" s="125">
        <f>IFERROR(Table1[[#This Row],[Quantity]]*Table1[[#This Row],[Price/Unit
EUR]]," ")</f>
        <v>36.049999999999997</v>
      </c>
      <c r="K420" s="126">
        <v>45784</v>
      </c>
      <c r="L420" s="36">
        <f>WEEKNUM(Table1[[#This Row],[ETA
As requested
dd.mm.yyyy]])</f>
        <v>19</v>
      </c>
      <c r="M420" s="36">
        <f>YEAR(Table1[[#This Row],[ETA
As requested
dd.mm.yyyy]])</f>
        <v>2025</v>
      </c>
      <c r="N420" s="36">
        <f>IFERROR(INDEX(DATABASE_FG!$H$5:$H$367, MATCH(E420, DATABASE_FG!$C$5:$C$367, 0)), " ")</f>
        <v>0</v>
      </c>
      <c r="O420" s="129" t="str">
        <f>IF(E420&lt;&gt;"", _xlfn.XLOOKUP(E420, DATABASE_FG!C:C, DATABASE_FG!F:F), " ")</f>
        <v>Alama</v>
      </c>
      <c r="P420" s="129">
        <f>IFERROR(INDEX(DATABASE_FG!$G$5:$G$367, MATCH(E420, DATABASE_FG!$C$5:$C$367, 0)), "Not Found")</f>
        <v>0</v>
      </c>
      <c r="Q420" s="36"/>
      <c r="R420" s="125" t="s">
        <v>678</v>
      </c>
      <c r="S420" s="123">
        <f>IFERROR(INDEX(DATABASE_FG!$L$5:$L$367, MATCH(E420, DATABASE_FG!$C$5:$C$367, 0)), " ")</f>
        <v>42</v>
      </c>
      <c r="T420" s="36" t="s">
        <v>679</v>
      </c>
      <c r="U420" s="36"/>
      <c r="V420" s="36"/>
      <c r="W420" s="129"/>
      <c r="X420" s="36"/>
      <c r="Y420" s="36"/>
      <c r="Z420" s="36"/>
      <c r="AA420" s="125" t="s">
        <v>121</v>
      </c>
      <c r="AB420" s="173">
        <v>45789</v>
      </c>
      <c r="AC420" s="119">
        <v>25759</v>
      </c>
      <c r="AD420" s="36">
        <f t="shared" si="59"/>
        <v>39124600</v>
      </c>
      <c r="AE420" s="36" t="str">
        <f t="shared" si="60"/>
        <v>EDP KUH.6036-A-M-3001B _</v>
      </c>
      <c r="AF420" s="36">
        <v>5</v>
      </c>
      <c r="AG420" s="120">
        <f t="shared" si="61"/>
        <v>36.049999999999997</v>
      </c>
      <c r="AH420" s="36"/>
      <c r="AI420" s="124" t="s">
        <v>310</v>
      </c>
      <c r="AJ420" s="122" t="s">
        <v>3156</v>
      </c>
      <c r="AK420" s="129" t="str">
        <f t="shared" ca="1" si="50"/>
        <v>Late</v>
      </c>
      <c r="AL420" s="268" t="str">
        <f t="shared" si="58"/>
        <v>May</v>
      </c>
      <c r="AM420" s="133">
        <f>YEAR(Table1[[#This Row],[ETA
As requested
dd.mm.yyyy]])</f>
        <v>2025</v>
      </c>
    </row>
    <row r="421" spans="1:39" hidden="1">
      <c r="A421" s="123" t="s">
        <v>83</v>
      </c>
      <c r="B421" s="36" t="s">
        <v>1170</v>
      </c>
      <c r="C421" s="117">
        <v>39124600</v>
      </c>
      <c r="D421" s="165">
        <v>45751</v>
      </c>
      <c r="E421" s="117" t="s">
        <v>3079</v>
      </c>
      <c r="F421" s="36" t="str">
        <f>IFERROR(VLOOKUP(Table1[[#This Row],[Part Number]],DATABASE_FG!$C$6:D10410,2,FALSE)," ")</f>
        <v>300343426-0000</v>
      </c>
      <c r="G421" s="117" t="str">
        <f>IFERROR(_xlfn.XLOOKUP(Table1[[#This Row],[Part Number]],Table3[Part number],Table3[Drawing
 Revision]),"")</f>
        <v>AA</v>
      </c>
      <c r="H421" s="118" cm="1">
        <f t="array" ref="H421">IFERROR(INDEX(PDB!$C:$AT,MATCH(E421,PDB!$B:$B,0),MATCH(YEAR(K421),0+PDB!$C$1:$AT$1,0)),"")</f>
        <v>7.21</v>
      </c>
      <c r="I421" s="36">
        <v>41</v>
      </c>
      <c r="J421" s="125">
        <f>IFERROR(Table1[[#This Row],[Quantity]]*Table1[[#This Row],[Price/Unit
EUR]]," ")</f>
        <v>295.61</v>
      </c>
      <c r="K421" s="126">
        <v>45784</v>
      </c>
      <c r="L421" s="36">
        <f>WEEKNUM(Table1[[#This Row],[ETA
As requested
dd.mm.yyyy]])</f>
        <v>19</v>
      </c>
      <c r="M421" s="36">
        <f>YEAR(Table1[[#This Row],[ETA
As requested
dd.mm.yyyy]])</f>
        <v>2025</v>
      </c>
      <c r="N421" s="36">
        <f>IFERROR(INDEX(DATABASE_FG!$H$5:$H$367, MATCH(E421, DATABASE_FG!$C$5:$C$367, 0)), " ")</f>
        <v>0</v>
      </c>
      <c r="O421" s="129" t="str">
        <f>IF(E421&lt;&gt;"", _xlfn.XLOOKUP(E421, DATABASE_FG!C:C, DATABASE_FG!F:F), " ")</f>
        <v>Alama</v>
      </c>
      <c r="P421" s="129">
        <v>0</v>
      </c>
      <c r="Q421" s="36"/>
      <c r="R421" s="125" t="s">
        <v>678</v>
      </c>
      <c r="S421" s="123">
        <f>IFERROR(INDEX(DATABASE_FG!$L$5:$L$367, MATCH(E421, DATABASE_FG!$C$5:$C$367, 0)), " ")</f>
        <v>42</v>
      </c>
      <c r="T421" s="36" t="s">
        <v>679</v>
      </c>
      <c r="U421" s="36"/>
      <c r="V421" s="36"/>
      <c r="W421" s="129"/>
      <c r="X421" s="36"/>
      <c r="Y421" s="36"/>
      <c r="Z421" s="36"/>
      <c r="AA421" s="125" t="s">
        <v>121</v>
      </c>
      <c r="AB421" s="173">
        <v>45804</v>
      </c>
      <c r="AC421" s="119">
        <v>25836</v>
      </c>
      <c r="AD421" s="36">
        <f t="shared" si="59"/>
        <v>39124600</v>
      </c>
      <c r="AE421" s="36" t="str">
        <f t="shared" si="60"/>
        <v>EDP KUH.6036-A-M-3001B _</v>
      </c>
      <c r="AF421" s="36">
        <v>41</v>
      </c>
      <c r="AG421" s="120">
        <f t="shared" si="61"/>
        <v>295.61</v>
      </c>
      <c r="AH421" s="36"/>
      <c r="AI421" s="124"/>
      <c r="AJ421" s="122" t="s">
        <v>3158</v>
      </c>
      <c r="AK421" s="129" t="str">
        <f t="shared" ca="1" si="50"/>
        <v>Late</v>
      </c>
      <c r="AL421" s="268" t="str">
        <f t="shared" si="58"/>
        <v>May</v>
      </c>
      <c r="AM421" s="133">
        <f>YEAR(Table1[[#This Row],[ETA
As requested
dd.mm.yyyy]])</f>
        <v>2025</v>
      </c>
    </row>
    <row r="422" spans="1:39" hidden="1">
      <c r="A422" s="123" t="s">
        <v>83</v>
      </c>
      <c r="B422" s="36" t="s">
        <v>1170</v>
      </c>
      <c r="C422" s="117">
        <v>39124600</v>
      </c>
      <c r="D422" s="165">
        <v>45751</v>
      </c>
      <c r="E422" s="117" t="s">
        <v>3079</v>
      </c>
      <c r="F422" s="36" t="str">
        <f>IFERROR(VLOOKUP(Table1[[#This Row],[Part Number]],DATABASE_FG!$C$6:D10411,2,FALSE)," ")</f>
        <v>300343426-0000</v>
      </c>
      <c r="G422" s="117" t="str">
        <f>IFERROR(_xlfn.XLOOKUP(Table1[[#This Row],[Part Number]],Table3[Part number],Table3[Drawing
 Revision]),"")</f>
        <v>AA</v>
      </c>
      <c r="H422" s="118" cm="1">
        <f t="array" ref="H422">IFERROR(INDEX(PDB!$C:$AT,MATCH(E422,PDB!$B:$B,0),MATCH(YEAR(K422),0+PDB!$C$1:$AT$1,0)),"")</f>
        <v>7.21</v>
      </c>
      <c r="I422" s="36">
        <v>92</v>
      </c>
      <c r="J422" s="125">
        <f>IFERROR(Table1[[#This Row],[Quantity]]*Table1[[#This Row],[Price/Unit
EUR]]," ")</f>
        <v>663.32</v>
      </c>
      <c r="K422" s="126">
        <v>45784</v>
      </c>
      <c r="L422" s="36">
        <f>WEEKNUM(Table1[[#This Row],[ETA
As requested
dd.mm.yyyy]])</f>
        <v>19</v>
      </c>
      <c r="M422" s="36">
        <f>YEAR(Table1[[#This Row],[ETA
As requested
dd.mm.yyyy]])</f>
        <v>2025</v>
      </c>
      <c r="N422" s="36">
        <f>IFERROR(INDEX(DATABASE_FG!$H$5:$H$367, MATCH(E422, DATABASE_FG!$C$5:$C$367, 0)), " ")</f>
        <v>0</v>
      </c>
      <c r="O422" s="129" t="str">
        <f>IF(E422&lt;&gt;"", _xlfn.XLOOKUP(E422, DATABASE_FG!C:C, DATABASE_FG!F:F), " ")</f>
        <v>Alama</v>
      </c>
      <c r="P422" s="129">
        <v>0</v>
      </c>
      <c r="Q422" s="36"/>
      <c r="R422" s="125" t="s">
        <v>678</v>
      </c>
      <c r="S422" s="123">
        <f>IFERROR(INDEX(DATABASE_FG!$L$5:$L$367, MATCH(E422, DATABASE_FG!$C$5:$C$367, 0)), " ")</f>
        <v>42</v>
      </c>
      <c r="T422" s="36" t="s">
        <v>679</v>
      </c>
      <c r="U422" s="36"/>
      <c r="V422" s="36"/>
      <c r="W422" s="129"/>
      <c r="X422" s="36"/>
      <c r="Y422" s="36"/>
      <c r="Z422" s="36"/>
      <c r="AA422" s="125" t="s">
        <v>121</v>
      </c>
      <c r="AB422" s="173">
        <v>45806</v>
      </c>
      <c r="AC422" s="119">
        <v>25848</v>
      </c>
      <c r="AD422" s="36">
        <f t="shared" si="59"/>
        <v>39124600</v>
      </c>
      <c r="AE422" s="36" t="str">
        <f t="shared" si="60"/>
        <v>EDP KUH.6036-A-M-3001B _</v>
      </c>
      <c r="AF422" s="36">
        <v>92</v>
      </c>
      <c r="AG422" s="120">
        <f t="shared" si="61"/>
        <v>663.32</v>
      </c>
      <c r="AH422" s="36"/>
      <c r="AI422" s="124"/>
      <c r="AJ422" s="122" t="s">
        <v>3159</v>
      </c>
      <c r="AK422" s="129" t="str">
        <f t="shared" ca="1" si="50"/>
        <v>Late</v>
      </c>
      <c r="AL422" s="268" t="str">
        <f t="shared" si="58"/>
        <v>May</v>
      </c>
      <c r="AM422" s="133">
        <f>YEAR(Table1[[#This Row],[ETA
As requested
dd.mm.yyyy]])</f>
        <v>2025</v>
      </c>
    </row>
    <row r="423" spans="1:39" hidden="1">
      <c r="A423" s="123" t="s">
        <v>83</v>
      </c>
      <c r="B423" s="36" t="s">
        <v>1170</v>
      </c>
      <c r="C423" s="117">
        <v>39124600</v>
      </c>
      <c r="D423" s="165">
        <v>45751</v>
      </c>
      <c r="E423" s="117" t="s">
        <v>3079</v>
      </c>
      <c r="F423" s="36" t="str">
        <f>IFERROR(VLOOKUP(Table1[[#This Row],[Part Number]],DATABASE_FG!$C$6:D10412,2,FALSE)," ")</f>
        <v>300343426-0000</v>
      </c>
      <c r="G423" s="117" t="str">
        <f>IFERROR(_xlfn.XLOOKUP(Table1[[#This Row],[Part Number]],Table3[Part number],Table3[Drawing
 Revision]),"")</f>
        <v>AA</v>
      </c>
      <c r="H423" s="118" cm="1">
        <f t="array" ref="H423">IFERROR(INDEX(PDB!$C:$AT,MATCH(E423,PDB!$B:$B,0),MATCH(YEAR(K423),0+PDB!$C$1:$AT$1,0)),"")</f>
        <v>7.21</v>
      </c>
      <c r="I423" s="36">
        <v>147</v>
      </c>
      <c r="J423" s="125">
        <f>IFERROR(Table1[[#This Row],[Quantity]]*Table1[[#This Row],[Price/Unit
EUR]]," ")</f>
        <v>1059.8699999999999</v>
      </c>
      <c r="K423" s="126">
        <v>45784</v>
      </c>
      <c r="L423" s="36">
        <f>WEEKNUM(Table1[[#This Row],[ETA
As requested
dd.mm.yyyy]])</f>
        <v>19</v>
      </c>
      <c r="M423" s="36">
        <f>YEAR(Table1[[#This Row],[ETA
As requested
dd.mm.yyyy]])</f>
        <v>2025</v>
      </c>
      <c r="N423" s="36">
        <f>IFERROR(INDEX(DATABASE_FG!$H$5:$H$367, MATCH(E423, DATABASE_FG!$C$5:$C$367, 0)), " ")</f>
        <v>0</v>
      </c>
      <c r="O423" s="129" t="str">
        <f>IF(E423&lt;&gt;"", _xlfn.XLOOKUP(E423, DATABASE_FG!C:C, DATABASE_FG!F:F), " ")</f>
        <v>Alama</v>
      </c>
      <c r="P423" s="129">
        <v>0</v>
      </c>
      <c r="Q423" s="36"/>
      <c r="R423" s="125" t="s">
        <v>678</v>
      </c>
      <c r="S423" s="123">
        <f>IFERROR(INDEX(DATABASE_FG!$L$5:$L$367, MATCH(E423, DATABASE_FG!$C$5:$C$367, 0)), " ")</f>
        <v>42</v>
      </c>
      <c r="T423" s="36" t="s">
        <v>679</v>
      </c>
      <c r="U423" s="36"/>
      <c r="V423" s="36"/>
      <c r="W423" s="129"/>
      <c r="X423" s="36"/>
      <c r="Y423" s="36"/>
      <c r="Z423" s="36"/>
      <c r="AA423" s="125" t="s">
        <v>121</v>
      </c>
      <c r="AB423" s="173">
        <v>45810</v>
      </c>
      <c r="AC423" s="119">
        <v>25864</v>
      </c>
      <c r="AD423" s="36">
        <f t="shared" si="59"/>
        <v>39124600</v>
      </c>
      <c r="AE423" s="36" t="str">
        <f t="shared" si="60"/>
        <v>EDP KUH.6036-A-M-3001B _</v>
      </c>
      <c r="AF423" s="36">
        <v>147</v>
      </c>
      <c r="AG423" s="120">
        <f t="shared" si="61"/>
        <v>1059.8699999999999</v>
      </c>
      <c r="AH423" s="36"/>
      <c r="AI423" s="124"/>
      <c r="AJ423" s="122" t="s">
        <v>3161</v>
      </c>
      <c r="AK423" s="129" t="str">
        <f t="shared" ca="1" si="50"/>
        <v>Late</v>
      </c>
      <c r="AL423" s="268" t="str">
        <f t="shared" si="58"/>
        <v>May</v>
      </c>
      <c r="AM423" s="133">
        <f>YEAR(Table1[[#This Row],[ETA
As requested
dd.mm.yyyy]])</f>
        <v>2025</v>
      </c>
    </row>
    <row r="424" spans="1:39" hidden="1">
      <c r="A424" s="123" t="s">
        <v>83</v>
      </c>
      <c r="B424" s="36" t="s">
        <v>1170</v>
      </c>
      <c r="C424" s="117">
        <v>39124600</v>
      </c>
      <c r="D424" s="165">
        <v>45751</v>
      </c>
      <c r="E424" s="117" t="s">
        <v>3079</v>
      </c>
      <c r="F424" s="36" t="str">
        <f>IFERROR(VLOOKUP(Table1[[#This Row],[Part Number]],DATABASE_FG!$C$6:D10413,2,FALSE)," ")</f>
        <v>300343426-0000</v>
      </c>
      <c r="G424" s="117" t="str">
        <f>IFERROR(_xlfn.XLOOKUP(Table1[[#This Row],[Part Number]],Table3[Part number],Table3[Drawing
 Revision]),"")</f>
        <v>AA</v>
      </c>
      <c r="H424" s="118" cm="1">
        <f t="array" ref="H424">IFERROR(INDEX(PDB!$C:$AT,MATCH(E424,PDB!$B:$B,0),MATCH(YEAR(K424),0+PDB!$C$1:$AT$1,0)),"")</f>
        <v>7.21</v>
      </c>
      <c r="I424" s="36">
        <v>132</v>
      </c>
      <c r="J424" s="125">
        <f>IFERROR(Table1[[#This Row],[Quantity]]*Table1[[#This Row],[Price/Unit
EUR]]," ")</f>
        <v>951.72</v>
      </c>
      <c r="K424" s="126">
        <v>45784</v>
      </c>
      <c r="L424" s="36">
        <f>WEEKNUM(Table1[[#This Row],[ETA
As requested
dd.mm.yyyy]])</f>
        <v>19</v>
      </c>
      <c r="M424" s="36">
        <f>YEAR(Table1[[#This Row],[ETA
As requested
dd.mm.yyyy]])</f>
        <v>2025</v>
      </c>
      <c r="N424" s="36">
        <f>IFERROR(INDEX(DATABASE_FG!$H$5:$H$367, MATCH(E424, DATABASE_FG!$C$5:$C$367, 0)), " ")</f>
        <v>0</v>
      </c>
      <c r="O424" s="129" t="str">
        <f>IF(E424&lt;&gt;"", _xlfn.XLOOKUP(E424, DATABASE_FG!C:C, DATABASE_FG!F:F), " ")</f>
        <v>Alama</v>
      </c>
      <c r="P424" s="129">
        <v>0</v>
      </c>
      <c r="Q424" s="36"/>
      <c r="R424" s="125" t="s">
        <v>678</v>
      </c>
      <c r="S424" s="123">
        <f>IFERROR(INDEX(DATABASE_FG!$L$5:$L$367, MATCH(E424, DATABASE_FG!$C$5:$C$367, 0)), " ")</f>
        <v>42</v>
      </c>
      <c r="T424" s="36" t="s">
        <v>679</v>
      </c>
      <c r="U424" s="36"/>
      <c r="V424" s="36"/>
      <c r="W424" s="129"/>
      <c r="X424" s="36"/>
      <c r="Y424" s="36"/>
      <c r="Z424" s="36"/>
      <c r="AA424" s="125" t="s">
        <v>121</v>
      </c>
      <c r="AB424" s="173">
        <v>45812</v>
      </c>
      <c r="AC424" s="119">
        <v>25877</v>
      </c>
      <c r="AD424" s="36">
        <f t="shared" si="59"/>
        <v>39124600</v>
      </c>
      <c r="AE424" s="36" t="str">
        <f t="shared" si="60"/>
        <v>EDP KUH.6036-A-M-3001B _</v>
      </c>
      <c r="AF424" s="36">
        <v>132</v>
      </c>
      <c r="AG424" s="120">
        <f t="shared" si="61"/>
        <v>951.72</v>
      </c>
      <c r="AH424" s="36"/>
      <c r="AI424" s="124"/>
      <c r="AJ424" s="122" t="s">
        <v>3162</v>
      </c>
      <c r="AK424" s="129" t="str">
        <f t="shared" ca="1" si="50"/>
        <v>Late</v>
      </c>
      <c r="AL424" s="268" t="str">
        <f t="shared" si="58"/>
        <v>May</v>
      </c>
      <c r="AM424" s="133">
        <f>YEAR(Table1[[#This Row],[ETA
As requested
dd.mm.yyyy]])</f>
        <v>2025</v>
      </c>
    </row>
    <row r="425" spans="1:39" hidden="1">
      <c r="A425" s="123" t="s">
        <v>83</v>
      </c>
      <c r="B425" s="36" t="s">
        <v>1170</v>
      </c>
      <c r="C425" s="117">
        <v>39124600</v>
      </c>
      <c r="D425" s="165">
        <v>45751</v>
      </c>
      <c r="E425" s="117" t="s">
        <v>3079</v>
      </c>
      <c r="F425" s="36" t="str">
        <f>IFERROR(VLOOKUP(Table1[[#This Row],[Part Number]],DATABASE_FG!$C$6:D10414,2,FALSE)," ")</f>
        <v>300343426-0000</v>
      </c>
      <c r="G425" s="117" t="str">
        <f>IFERROR(_xlfn.XLOOKUP(Table1[[#This Row],[Part Number]],Table3[Part number],Table3[Drawing
 Revision]),"")</f>
        <v>AA</v>
      </c>
      <c r="H425" s="118" cm="1">
        <f t="array" ref="H425">IFERROR(INDEX(PDB!$C:$AT,MATCH(E425,PDB!$B:$B,0),MATCH(YEAR(K425),0+PDB!$C$1:$AT$1,0)),"")</f>
        <v>7.21</v>
      </c>
      <c r="I425" s="36">
        <v>16</v>
      </c>
      <c r="J425" s="125">
        <f>IFERROR(Table1[[#This Row],[Quantity]]*Table1[[#This Row],[Price/Unit
EUR]]," ")</f>
        <v>115.36</v>
      </c>
      <c r="K425" s="126">
        <v>45784</v>
      </c>
      <c r="L425" s="36">
        <f>WEEKNUM(Table1[[#This Row],[ETA
As requested
dd.mm.yyyy]])</f>
        <v>19</v>
      </c>
      <c r="M425" s="36">
        <f>YEAR(Table1[[#This Row],[ETA
As requested
dd.mm.yyyy]])</f>
        <v>2025</v>
      </c>
      <c r="N425" s="36">
        <f>IFERROR(INDEX(DATABASE_FG!$H$5:$H$367, MATCH(E425, DATABASE_FG!$C$5:$C$367, 0)), " ")</f>
        <v>0</v>
      </c>
      <c r="O425" s="129" t="str">
        <f>IF(E425&lt;&gt;"", _xlfn.XLOOKUP(E425, DATABASE_FG!C:C, DATABASE_FG!F:F), " ")</f>
        <v>Alama</v>
      </c>
      <c r="P425" s="129">
        <v>0</v>
      </c>
      <c r="Q425" s="36"/>
      <c r="R425" s="125" t="s">
        <v>678</v>
      </c>
      <c r="S425" s="123">
        <f>IFERROR(INDEX(DATABASE_FG!$L$5:$L$367, MATCH(E425, DATABASE_FG!$C$5:$C$367, 0)), " ")</f>
        <v>42</v>
      </c>
      <c r="T425" s="36" t="s">
        <v>679</v>
      </c>
      <c r="U425" s="36"/>
      <c r="V425" s="36"/>
      <c r="W425" s="129"/>
      <c r="X425" s="36"/>
      <c r="Y425" s="36"/>
      <c r="Z425" s="36"/>
      <c r="AA425" s="125" t="s">
        <v>121</v>
      </c>
      <c r="AB425" s="173">
        <v>45812</v>
      </c>
      <c r="AC425" s="119">
        <v>25879</v>
      </c>
      <c r="AD425" s="36">
        <f t="shared" si="59"/>
        <v>39124600</v>
      </c>
      <c r="AE425" s="36" t="str">
        <f t="shared" si="60"/>
        <v>EDP KUH.6036-A-M-3001B _</v>
      </c>
      <c r="AF425" s="36">
        <v>16</v>
      </c>
      <c r="AG425" s="120">
        <f t="shared" si="61"/>
        <v>115.36</v>
      </c>
      <c r="AH425" s="36"/>
      <c r="AI425" s="124"/>
      <c r="AJ425" s="122" t="s">
        <v>3163</v>
      </c>
      <c r="AK425" s="129" t="str">
        <f t="shared" ca="1" si="50"/>
        <v>Late</v>
      </c>
      <c r="AL425" s="268" t="str">
        <f t="shared" si="58"/>
        <v>May</v>
      </c>
      <c r="AM425" s="133">
        <f>YEAR(Table1[[#This Row],[ETA
As requested
dd.mm.yyyy]])</f>
        <v>2025</v>
      </c>
    </row>
    <row r="426" spans="1:39" ht="30" hidden="1">
      <c r="A426" s="123" t="s">
        <v>83</v>
      </c>
      <c r="B426" s="36" t="s">
        <v>1170</v>
      </c>
      <c r="C426" s="117">
        <v>39124600</v>
      </c>
      <c r="D426" s="165">
        <v>45751</v>
      </c>
      <c r="E426" s="117" t="s">
        <v>3079</v>
      </c>
      <c r="F426" s="36" t="str">
        <f>IFERROR(VLOOKUP(Table1[[#This Row],[Part Number]],DATABASE_FG!$C$6:D10415,2,FALSE)," ")</f>
        <v>300343426-0000</v>
      </c>
      <c r="G426" s="117" t="str">
        <f>IFERROR(_xlfn.XLOOKUP(Table1[[#This Row],[Part Number]],Table3[Part number],Table3[Drawing
 Revision]),"")</f>
        <v>AA</v>
      </c>
      <c r="H426" s="118" cm="1">
        <f t="array" ref="H426">IFERROR(INDEX(PDB!$C:$AT,MATCH(E426,PDB!$B:$B,0),MATCH(YEAR(K426),0+PDB!$C$1:$AT$1,0)),"")</f>
        <v>7.21</v>
      </c>
      <c r="I426" s="36">
        <v>92</v>
      </c>
      <c r="J426" s="125">
        <f>IFERROR(Table1[[#This Row],[Quantity]]*Table1[[#This Row],[Price/Unit
EUR]]," ")</f>
        <v>663.32</v>
      </c>
      <c r="K426" s="126">
        <v>45784</v>
      </c>
      <c r="L426" s="36">
        <f>WEEKNUM(Table1[[#This Row],[ETA
As requested
dd.mm.yyyy]])</f>
        <v>19</v>
      </c>
      <c r="M426" s="36">
        <f>YEAR(Table1[[#This Row],[ETA
As requested
dd.mm.yyyy]])</f>
        <v>2025</v>
      </c>
      <c r="N426" s="36">
        <f>IFERROR(INDEX(DATABASE_FG!$H$5:$H$367, MATCH(E426, DATABASE_FG!$C$5:$C$367, 0)), " ")</f>
        <v>0</v>
      </c>
      <c r="O426" s="129" t="str">
        <f>IF(E426&lt;&gt;"", _xlfn.XLOOKUP(E426, DATABASE_FG!C:C, DATABASE_FG!F:F), " ")</f>
        <v>Alama</v>
      </c>
      <c r="P426" s="129">
        <v>0</v>
      </c>
      <c r="Q426" s="36"/>
      <c r="R426" s="125" t="s">
        <v>678</v>
      </c>
      <c r="S426" s="123">
        <f>IFERROR(INDEX(DATABASE_FG!$L$5:$L$367, MATCH(E426, DATABASE_FG!$C$5:$C$367, 0)), " ")</f>
        <v>42</v>
      </c>
      <c r="T426" s="36" t="s">
        <v>679</v>
      </c>
      <c r="U426" s="36"/>
      <c r="V426" s="36"/>
      <c r="W426" s="129"/>
      <c r="X426" s="36"/>
      <c r="Y426" s="36"/>
      <c r="Z426" s="36"/>
      <c r="AA426" s="125" t="s">
        <v>121</v>
      </c>
      <c r="AB426" s="173">
        <v>45813</v>
      </c>
      <c r="AC426" s="119" t="s">
        <v>3164</v>
      </c>
      <c r="AD426" s="36">
        <f t="shared" si="59"/>
        <v>39124600</v>
      </c>
      <c r="AE426" s="36" t="str">
        <f t="shared" si="60"/>
        <v>EDP KUH.6036-A-M-3001B _</v>
      </c>
      <c r="AF426" s="36">
        <v>0</v>
      </c>
      <c r="AG426" s="120">
        <f t="shared" si="61"/>
        <v>0</v>
      </c>
      <c r="AH426" s="174" t="s">
        <v>3165</v>
      </c>
      <c r="AI426" s="124"/>
      <c r="AJ426" s="122" t="s">
        <v>3166</v>
      </c>
      <c r="AK426" s="129" t="str">
        <f t="shared" ca="1" si="50"/>
        <v>Late</v>
      </c>
      <c r="AL426" s="268" t="str">
        <f t="shared" si="58"/>
        <v>May</v>
      </c>
      <c r="AM426" s="133">
        <f>YEAR(Table1[[#This Row],[ETA
As requested
dd.mm.yyyy]])</f>
        <v>2025</v>
      </c>
    </row>
    <row r="427" spans="1:39" hidden="1">
      <c r="A427" s="123" t="s">
        <v>83</v>
      </c>
      <c r="B427" s="36" t="s">
        <v>1170</v>
      </c>
      <c r="C427" s="117">
        <v>39124600</v>
      </c>
      <c r="D427" s="165">
        <v>45751</v>
      </c>
      <c r="E427" s="117" t="s">
        <v>3079</v>
      </c>
      <c r="F427" s="36" t="str">
        <f>IFERROR(VLOOKUP(Table1[[#This Row],[Part Number]],DATABASE_FG!$C$6:D10416,2,FALSE)," ")</f>
        <v>300343426-0000</v>
      </c>
      <c r="G427" s="117" t="str">
        <f>IFERROR(_xlfn.XLOOKUP(Table1[[#This Row],[Part Number]],Table3[Part number],Table3[Drawing
 Revision]),"")</f>
        <v>AA</v>
      </c>
      <c r="H427" s="118" cm="1">
        <f t="array" ref="H427">IFERROR(INDEX(PDB!$C:$AT,MATCH(E427,PDB!$B:$B,0),MATCH(YEAR(K427),0+PDB!$C$1:$AT$1,0)),"")</f>
        <v>7.21</v>
      </c>
      <c r="I427" s="36">
        <f>550-5-41-92-147-132-16-92</f>
        <v>25</v>
      </c>
      <c r="J427" s="125">
        <f>IFERROR(Table1[[#This Row],[Quantity]]*Table1[[#This Row],[Price/Unit
EUR]]," ")</f>
        <v>180.25</v>
      </c>
      <c r="K427" s="126">
        <v>45784</v>
      </c>
      <c r="L427" s="36">
        <f>WEEKNUM(Table1[[#This Row],[ETA
As requested
dd.mm.yyyy]])</f>
        <v>19</v>
      </c>
      <c r="M427" s="36">
        <f>YEAR(Table1[[#This Row],[ETA
As requested
dd.mm.yyyy]])</f>
        <v>2025</v>
      </c>
      <c r="N427" s="36">
        <f>IFERROR(INDEX(DATABASE_FG!$H$5:$H$367, MATCH(E427, DATABASE_FG!$C$5:$C$367, 0)), " ")</f>
        <v>0</v>
      </c>
      <c r="O427" s="129" t="str">
        <f>IF(E427&lt;&gt;"", _xlfn.XLOOKUP(E427, DATABASE_FG!C:C, DATABASE_FG!F:F), " ")</f>
        <v>Alama</v>
      </c>
      <c r="P427" s="129">
        <v>0</v>
      </c>
      <c r="Q427" s="36"/>
      <c r="R427" s="125" t="s">
        <v>678</v>
      </c>
      <c r="S427" s="123">
        <f>IFERROR(INDEX(DATABASE_FG!$L$5:$L$367, MATCH(E427, DATABASE_FG!$C$5:$C$367, 0)), " ")</f>
        <v>42</v>
      </c>
      <c r="T427" s="36" t="s">
        <v>679</v>
      </c>
      <c r="U427" s="36"/>
      <c r="V427" s="36"/>
      <c r="W427" s="129"/>
      <c r="X427" s="36"/>
      <c r="Y427" s="36"/>
      <c r="Z427" s="36"/>
      <c r="AA427" s="125" t="s">
        <v>121</v>
      </c>
      <c r="AB427" s="173">
        <v>45821</v>
      </c>
      <c r="AC427" s="119">
        <v>25928</v>
      </c>
      <c r="AD427" s="36">
        <f t="shared" si="59"/>
        <v>39124600</v>
      </c>
      <c r="AE427" s="36" t="str">
        <f t="shared" si="60"/>
        <v>EDP KUH.6036-A-M-3001B _</v>
      </c>
      <c r="AF427" s="36">
        <v>25</v>
      </c>
      <c r="AG427" s="120">
        <f t="shared" si="61"/>
        <v>180.25</v>
      </c>
      <c r="AH427" s="36"/>
      <c r="AI427" s="124" t="s">
        <v>3167</v>
      </c>
      <c r="AJ427" s="122" t="s">
        <v>3168</v>
      </c>
      <c r="AK427" s="129" t="str">
        <f t="shared" ca="1" si="50"/>
        <v>Late</v>
      </c>
      <c r="AL427" s="268" t="str">
        <f t="shared" si="58"/>
        <v>May</v>
      </c>
      <c r="AM427" s="133">
        <f>YEAR(Table1[[#This Row],[ETA
As requested
dd.mm.yyyy]])</f>
        <v>2025</v>
      </c>
    </row>
    <row r="428" spans="1:39" hidden="1">
      <c r="A428" s="123" t="s">
        <v>83</v>
      </c>
      <c r="B428" s="36" t="s">
        <v>1170</v>
      </c>
      <c r="C428" s="117">
        <v>39124600</v>
      </c>
      <c r="D428" s="165">
        <v>45751</v>
      </c>
      <c r="E428" s="117" t="s">
        <v>3079</v>
      </c>
      <c r="F428" s="36" t="str">
        <f>IFERROR(VLOOKUP(Table1[[#This Row],[Part Number]],DATABASE_FG!$C$6:D10417,2,FALSE)," ")</f>
        <v>300343426-0000</v>
      </c>
      <c r="G428" s="117" t="str">
        <f>IFERROR(_xlfn.XLOOKUP(Table1[[#This Row],[Part Number]],Table3[Part number],Table3[Drawing
 Revision]),"")</f>
        <v>AA</v>
      </c>
      <c r="H428" s="118" cm="1">
        <f t="array" ref="H428">IFERROR(INDEX(PDB!$C:$AT,MATCH(E428,PDB!$B:$B,0),MATCH(YEAR(K428),0+PDB!$C$1:$AT$1,0)),"")</f>
        <v>7.21</v>
      </c>
      <c r="I428" s="36">
        <v>20</v>
      </c>
      <c r="J428" s="125">
        <f>IFERROR(Table1[[#This Row],[Quantity]]*Table1[[#This Row],[Price/Unit
EUR]]," ")</f>
        <v>144.19999999999999</v>
      </c>
      <c r="K428" s="126">
        <v>45784</v>
      </c>
      <c r="L428" s="36">
        <f>WEEKNUM(Table1[[#This Row],[ETA
As requested
dd.mm.yyyy]])</f>
        <v>19</v>
      </c>
      <c r="M428" s="36">
        <f>YEAR(Table1[[#This Row],[ETA
As requested
dd.mm.yyyy]])</f>
        <v>2025</v>
      </c>
      <c r="N428" s="36">
        <f>IFERROR(INDEX(DATABASE_FG!$H$5:$H$367, MATCH(E428, DATABASE_FG!$C$5:$C$367, 0)), " ")</f>
        <v>0</v>
      </c>
      <c r="O428" s="129" t="str">
        <f>IF(E428&lt;&gt;"", _xlfn.XLOOKUP(E428, DATABASE_FG!C:C, DATABASE_FG!F:F), " ")</f>
        <v>Alama</v>
      </c>
      <c r="P428" s="129">
        <v>0</v>
      </c>
      <c r="Q428" s="36"/>
      <c r="R428" s="125" t="s">
        <v>678</v>
      </c>
      <c r="S428" s="123">
        <f>IFERROR(INDEX(DATABASE_FG!$L$5:$L$367, MATCH(E428, DATABASE_FG!$C$5:$C$367, 0)), " ")</f>
        <v>42</v>
      </c>
      <c r="T428" s="36" t="s">
        <v>679</v>
      </c>
      <c r="U428" s="36"/>
      <c r="V428" s="36"/>
      <c r="W428" s="129"/>
      <c r="X428" s="36"/>
      <c r="Y428" s="36"/>
      <c r="Z428" s="36"/>
      <c r="AA428" s="125" t="s">
        <v>121</v>
      </c>
      <c r="AB428" s="173">
        <v>45825</v>
      </c>
      <c r="AC428" s="119">
        <v>25940</v>
      </c>
      <c r="AD428" s="36">
        <f t="shared" si="59"/>
        <v>39124600</v>
      </c>
      <c r="AE428" s="36" t="str">
        <f t="shared" si="60"/>
        <v>EDP KUH.6036-A-M-3001B _</v>
      </c>
      <c r="AF428" s="36">
        <v>20</v>
      </c>
      <c r="AG428" s="120">
        <f t="shared" si="61"/>
        <v>144.19999999999999</v>
      </c>
      <c r="AH428" s="36"/>
      <c r="AI428" s="124" t="s">
        <v>3169</v>
      </c>
      <c r="AJ428" s="122" t="s">
        <v>3170</v>
      </c>
      <c r="AK428" s="129" t="str">
        <f t="shared" ca="1" si="50"/>
        <v>Late</v>
      </c>
      <c r="AL428" s="268" t="str">
        <f t="shared" si="58"/>
        <v>May</v>
      </c>
      <c r="AM428" s="133">
        <f>YEAR(Table1[[#This Row],[ETA
As requested
dd.mm.yyyy]])</f>
        <v>2025</v>
      </c>
    </row>
    <row r="429" spans="1:39" hidden="1">
      <c r="A429" s="123" t="s">
        <v>83</v>
      </c>
      <c r="B429" s="36" t="s">
        <v>1170</v>
      </c>
      <c r="C429" s="117">
        <v>38623824</v>
      </c>
      <c r="D429" s="165">
        <v>45701</v>
      </c>
      <c r="E429" s="117" t="s">
        <v>699</v>
      </c>
      <c r="F429" s="36" t="str">
        <f>IFERROR(VLOOKUP(Table1[[#This Row],[Part Number]],DATABASE_FG!$C$6:D10418,2,FALSE)," ")</f>
        <v xml:space="preserve">300343442-0000 </v>
      </c>
      <c r="G429" s="117" t="str">
        <f>IFERROR(_xlfn.XLOOKUP(Table1[[#This Row],[Part Number]],Table3[Part number],Table3[Drawing
 Revision]),"")</f>
        <v>AA</v>
      </c>
      <c r="H429" s="118" cm="1">
        <f t="array" ref="H429">IFERROR(INDEX(PDB!$C:$AT,MATCH(E429,PDB!$B:$B,0),MATCH(YEAR(K429),0+PDB!$C$1:$AT$1,0)),"")</f>
        <v>150</v>
      </c>
      <c r="I429" s="36">
        <v>5</v>
      </c>
      <c r="J429" s="125">
        <f>IFERROR(Table1[[#This Row],[Quantity]]*Table1[[#This Row],[Price/Unit
EUR]]," ")</f>
        <v>750</v>
      </c>
      <c r="K429" s="126">
        <v>45712</v>
      </c>
      <c r="L429" s="36">
        <f>WEEKNUM(Table1[[#This Row],[ETA
As requested
dd.mm.yyyy]])</f>
        <v>9</v>
      </c>
      <c r="M429" s="36">
        <f>YEAR(Table1[[#This Row],[ETA
As requested
dd.mm.yyyy]])</f>
        <v>2025</v>
      </c>
      <c r="N429" s="36"/>
      <c r="O429" s="129" t="str">
        <f>IF(E429&lt;&gt;"", _xlfn.XLOOKUP(E429, DATABASE_FG!C:C, DATABASE_FG!F:F), " ")</f>
        <v>Alama</v>
      </c>
      <c r="P429" s="129"/>
      <c r="Q429" s="36"/>
      <c r="R429" s="125" t="s">
        <v>678</v>
      </c>
      <c r="S429" s="123"/>
      <c r="T429" s="36" t="s">
        <v>679</v>
      </c>
      <c r="U429" s="36"/>
      <c r="V429" s="36"/>
      <c r="W429" s="129"/>
      <c r="X429" s="36"/>
      <c r="Y429" s="36" t="s">
        <v>121</v>
      </c>
      <c r="Z429" s="36"/>
      <c r="AA429" s="125" t="s">
        <v>121</v>
      </c>
      <c r="AB429" s="173">
        <v>45723</v>
      </c>
      <c r="AC429" s="119">
        <v>25337</v>
      </c>
      <c r="AD429" s="36">
        <f t="shared" si="59"/>
        <v>38623824</v>
      </c>
      <c r="AE429" s="36" t="str">
        <f t="shared" si="60"/>
        <v>EDP KUH.6217-B-M-3001 004</v>
      </c>
      <c r="AF429" s="36">
        <v>5</v>
      </c>
      <c r="AG429" s="120">
        <f t="shared" si="61"/>
        <v>750</v>
      </c>
      <c r="AH429" s="36"/>
      <c r="AI429" s="124"/>
      <c r="AJ429" s="122" t="s">
        <v>2862</v>
      </c>
      <c r="AK429" s="129" t="str">
        <f t="shared" ca="1" si="50"/>
        <v>Late</v>
      </c>
      <c r="AL429" s="268" t="str">
        <f t="shared" si="58"/>
        <v>February</v>
      </c>
      <c r="AM429" s="133">
        <f>YEAR(Table1[[#This Row],[ETA
As requested
dd.mm.yyyy]])</f>
        <v>2025</v>
      </c>
    </row>
    <row r="430" spans="1:39" hidden="1">
      <c r="A430" s="123" t="s">
        <v>83</v>
      </c>
      <c r="B430" s="36" t="s">
        <v>1170</v>
      </c>
      <c r="C430" s="117">
        <v>38623824</v>
      </c>
      <c r="D430" s="165">
        <v>45701</v>
      </c>
      <c r="E430" s="117" t="s">
        <v>89</v>
      </c>
      <c r="F430" s="36" t="str">
        <f>IFERROR(VLOOKUP(Table1[[#This Row],[Part Number]],DATABASE_FG!$C$6:D10419,2,FALSE)," ")</f>
        <v xml:space="preserve">300343442-0000 </v>
      </c>
      <c r="G430" s="117" t="str">
        <f>IFERROR(_xlfn.XLOOKUP(Table1[[#This Row],[Part Number]],Table3[Part number],Table3[Drawing
 Revision]),"")</f>
        <v>AA</v>
      </c>
      <c r="H430" s="118" cm="1">
        <f t="array" ref="H430">IFERROR(INDEX(PDB!$C:$AT,MATCH(E430,PDB!$B:$B,0),MATCH(YEAR(K430),0+PDB!$C$1:$AT$1,0)),"")</f>
        <v>4.51</v>
      </c>
      <c r="I430" s="36">
        <v>547</v>
      </c>
      <c r="J430" s="125">
        <f>IFERROR(Table1[[#This Row],[Quantity]]*Table1[[#This Row],[Price/Unit
EUR]]," ")</f>
        <v>2466.9699999999998</v>
      </c>
      <c r="K430" s="126">
        <v>45719</v>
      </c>
      <c r="L430" s="36">
        <f>WEEKNUM(Table1[[#This Row],[ETA
As requested
dd.mm.yyyy]])</f>
        <v>10</v>
      </c>
      <c r="M430" s="36">
        <f>YEAR(Table1[[#This Row],[ETA
As requested
dd.mm.yyyy]])</f>
        <v>2025</v>
      </c>
      <c r="N430" s="36"/>
      <c r="O430" s="129" t="str">
        <f>IF(E430&lt;&gt;"", _xlfn.XLOOKUP(E430, DATABASE_FG!C:C, DATABASE_FG!F:F), " ")</f>
        <v>Alama</v>
      </c>
      <c r="P430" s="129"/>
      <c r="Q430" s="36"/>
      <c r="R430" s="125" t="s">
        <v>678</v>
      </c>
      <c r="S430" s="123"/>
      <c r="T430" s="36" t="s">
        <v>679</v>
      </c>
      <c r="U430" s="36"/>
      <c r="V430" s="36"/>
      <c r="W430" s="129"/>
      <c r="X430" s="36"/>
      <c r="Y430" s="36" t="s">
        <v>121</v>
      </c>
      <c r="Z430" s="36"/>
      <c r="AA430" s="125" t="s">
        <v>121</v>
      </c>
      <c r="AB430" s="173">
        <v>45727</v>
      </c>
      <c r="AC430" s="119">
        <v>25353</v>
      </c>
      <c r="AD430" s="36">
        <f t="shared" si="59"/>
        <v>38623824</v>
      </c>
      <c r="AE430" s="36" t="str">
        <f t="shared" si="60"/>
        <v>EDP KUH.6217-B-M-3001 004_</v>
      </c>
      <c r="AF430" s="36">
        <v>547</v>
      </c>
      <c r="AG430" s="120">
        <f t="shared" si="61"/>
        <v>2466.9699999999998</v>
      </c>
      <c r="AH430" s="36"/>
      <c r="AI430" s="124"/>
      <c r="AJ430" s="122" t="s">
        <v>2910</v>
      </c>
      <c r="AK430" s="129" t="str">
        <f t="shared" ca="1" si="50"/>
        <v>Late</v>
      </c>
      <c r="AL430" s="268" t="str">
        <f t="shared" si="58"/>
        <v>March</v>
      </c>
      <c r="AM430" s="133">
        <f>YEAR(Table1[[#This Row],[ETA
As requested
dd.mm.yyyy]])</f>
        <v>2025</v>
      </c>
    </row>
    <row r="431" spans="1:39" hidden="1">
      <c r="A431" s="123" t="s">
        <v>83</v>
      </c>
      <c r="B431" s="36" t="s">
        <v>1170</v>
      </c>
      <c r="C431" s="117">
        <v>38623824</v>
      </c>
      <c r="D431" s="165">
        <v>45701</v>
      </c>
      <c r="E431" s="117" t="s">
        <v>89</v>
      </c>
      <c r="F431" s="36" t="str">
        <f>IFERROR(VLOOKUP(Table1[[#This Row],[Part Number]],DATABASE_FG!$C$6:D10420,2,FALSE)," ")</f>
        <v xml:space="preserve">300343442-0000 </v>
      </c>
      <c r="G431" s="117" t="str">
        <f>IFERROR(_xlfn.XLOOKUP(Table1[[#This Row],[Part Number]],Table3[Part number],Table3[Drawing
 Revision]),"")</f>
        <v>AA</v>
      </c>
      <c r="H431" s="118" cm="1">
        <f t="array" ref="H431">IFERROR(INDEX(PDB!$C:$AT,MATCH(E431,PDB!$B:$B,0),MATCH(YEAR(K431),0+PDB!$C$1:$AT$1,0)),"")</f>
        <v>4.51</v>
      </c>
      <c r="I431" s="36">
        <v>37</v>
      </c>
      <c r="J431" s="125">
        <f>IFERROR(Table1[[#This Row],[Quantity]]*Table1[[#This Row],[Price/Unit
EUR]]," ")</f>
        <v>166.87</v>
      </c>
      <c r="K431" s="126">
        <v>45719</v>
      </c>
      <c r="L431" s="36">
        <f>WEEKNUM(Table1[[#This Row],[ETA
As requested
dd.mm.yyyy]])</f>
        <v>10</v>
      </c>
      <c r="M431" s="36">
        <f>YEAR(Table1[[#This Row],[ETA
As requested
dd.mm.yyyy]])</f>
        <v>2025</v>
      </c>
      <c r="N431" s="36"/>
      <c r="O431" s="129" t="str">
        <f>IF(E431&lt;&gt;"", _xlfn.XLOOKUP(E431, DATABASE_FG!C:C, DATABASE_FG!F:F), " ")</f>
        <v>Alama</v>
      </c>
      <c r="P431" s="129"/>
      <c r="Q431" s="36"/>
      <c r="R431" s="125" t="s">
        <v>678</v>
      </c>
      <c r="S431" s="123"/>
      <c r="T431" s="36" t="s">
        <v>679</v>
      </c>
      <c r="U431" s="36"/>
      <c r="V431" s="36"/>
      <c r="W431" s="129"/>
      <c r="X431" s="36"/>
      <c r="Y431" s="36" t="s">
        <v>121</v>
      </c>
      <c r="Z431" s="36"/>
      <c r="AA431" s="125" t="s">
        <v>121</v>
      </c>
      <c r="AB431" s="173">
        <v>45804</v>
      </c>
      <c r="AC431" s="119">
        <v>25832</v>
      </c>
      <c r="AD431" s="36">
        <f t="shared" si="59"/>
        <v>38623824</v>
      </c>
      <c r="AE431" s="36" t="str">
        <f t="shared" si="60"/>
        <v>EDP KUH.6217-B-M-3001 004_</v>
      </c>
      <c r="AF431" s="36">
        <v>37</v>
      </c>
      <c r="AG431" s="120">
        <f t="shared" si="61"/>
        <v>166.87</v>
      </c>
      <c r="AH431" s="36"/>
      <c r="AI431" s="124"/>
      <c r="AJ431" s="122" t="s">
        <v>2911</v>
      </c>
      <c r="AK431" s="129" t="str">
        <f t="shared" ref="AK431:AK498" ca="1" si="62">IF(AB431="", IF(K431 &lt; TODAY(), "Late", ""), IF(AB431 &lt;= K431 + 2, "On Time", "Late"))</f>
        <v>Late</v>
      </c>
      <c r="AL431" s="268" t="str">
        <f t="shared" ref="AL431:AL466" si="63">TEXT(K431,"mmmm")</f>
        <v>March</v>
      </c>
      <c r="AM431" s="133">
        <f>YEAR(Table1[[#This Row],[ETA
As requested
dd.mm.yyyy]])</f>
        <v>2025</v>
      </c>
    </row>
    <row r="432" spans="1:39" hidden="1">
      <c r="A432" s="123" t="s">
        <v>83</v>
      </c>
      <c r="B432" s="36" t="s">
        <v>1170</v>
      </c>
      <c r="C432" s="117">
        <v>39384677</v>
      </c>
      <c r="D432" s="165">
        <v>45809</v>
      </c>
      <c r="E432" s="117" t="s">
        <v>89</v>
      </c>
      <c r="F432" s="36" t="str">
        <f>IFERROR(VLOOKUP(Table1[[#This Row],[Part Number]],DATABASE_FG!$C$6:D10421,2,FALSE)," ")</f>
        <v xml:space="preserve">300343442-0000 </v>
      </c>
      <c r="G432" s="117" t="str">
        <f>IFERROR(_xlfn.XLOOKUP(Table1[[#This Row],[Part Number]],Table3[Part number],Table3[Drawing
 Revision]),"")</f>
        <v>AA</v>
      </c>
      <c r="H432" s="118" cm="1">
        <f t="array" ref="H432">IFERROR(INDEX(PDB!$C:$AT,MATCH(E432,PDB!$B:$B,0),MATCH(YEAR(K432),0+PDB!$C$1:$AT$1,0)),"")</f>
        <v>4.51</v>
      </c>
      <c r="I432" s="36">
        <v>200</v>
      </c>
      <c r="J432" s="125">
        <f>IFERROR(Table1[[#This Row],[Quantity]]*Table1[[#This Row],[Price/Unit
EUR]]," ")</f>
        <v>902</v>
      </c>
      <c r="K432" s="126">
        <v>45826</v>
      </c>
      <c r="L432" s="36">
        <f>WEEKNUM(Table1[[#This Row],[ETA
As requested
dd.mm.yyyy]])</f>
        <v>25</v>
      </c>
      <c r="M432" s="36">
        <f>YEAR(Table1[[#This Row],[ETA
As requested
dd.mm.yyyy]])</f>
        <v>2025</v>
      </c>
      <c r="N432" s="36">
        <f>IFERROR(INDEX(DATABASE_FG!$H$5:$H$367, MATCH(E432, DATABASE_FG!$C$5:$C$367, 0)), " ")</f>
        <v>0</v>
      </c>
      <c r="O432" s="129" t="str">
        <f>IF(E432&lt;&gt;"", _xlfn.XLOOKUP(E432, DATABASE_FG!C:C, DATABASE_FG!F:F), " ")</f>
        <v>Alama</v>
      </c>
      <c r="P432" s="129">
        <f>IFERROR(INDEX(DATABASE_FG!$G$5:$G$367, MATCH(E432, DATABASE_FG!$C$5:$C$367, 0)), "Not Found")</f>
        <v>0</v>
      </c>
      <c r="Q432" s="36"/>
      <c r="R432" s="125" t="s">
        <v>678</v>
      </c>
      <c r="S432" s="123"/>
      <c r="T432" s="36" t="s">
        <v>679</v>
      </c>
      <c r="U432" s="36"/>
      <c r="V432" s="36"/>
      <c r="W432" s="129"/>
      <c r="X432" s="36"/>
      <c r="Y432" s="36"/>
      <c r="Z432" s="36"/>
      <c r="AA432" s="125" t="s">
        <v>121</v>
      </c>
      <c r="AB432" s="173">
        <v>45820</v>
      </c>
      <c r="AC432" s="119">
        <v>25919</v>
      </c>
      <c r="AD432" s="36">
        <f t="shared" si="59"/>
        <v>39384677</v>
      </c>
      <c r="AE432" s="36" t="str">
        <f t="shared" si="60"/>
        <v>EDP KUH.6217-B-M-3001 004_</v>
      </c>
      <c r="AF432" s="36">
        <v>200</v>
      </c>
      <c r="AG432" s="120">
        <f t="shared" si="61"/>
        <v>902</v>
      </c>
      <c r="AH432" s="36"/>
      <c r="AI432" s="124"/>
      <c r="AJ432" s="122" t="s">
        <v>3301</v>
      </c>
      <c r="AK432" s="129" t="str">
        <f t="shared" ca="1" si="62"/>
        <v>On Time</v>
      </c>
      <c r="AL432" s="268" t="str">
        <f t="shared" si="63"/>
        <v>June</v>
      </c>
      <c r="AM432" s="133">
        <f>YEAR(Table1[[#This Row],[ETA
As requested
dd.mm.yyyy]])</f>
        <v>2025</v>
      </c>
    </row>
    <row r="433" spans="1:39" hidden="1">
      <c r="A433" s="123" t="s">
        <v>83</v>
      </c>
      <c r="B433" s="36" t="s">
        <v>1170</v>
      </c>
      <c r="C433" s="117">
        <v>39384677</v>
      </c>
      <c r="D433" s="165">
        <v>45809</v>
      </c>
      <c r="E433" s="117" t="s">
        <v>89</v>
      </c>
      <c r="F433" s="36" t="str">
        <f>IFERROR(VLOOKUP(Table1[[#This Row],[Part Number]],DATABASE_FG!$C$6:D10422,2,FALSE)," ")</f>
        <v xml:space="preserve">300343442-0000 </v>
      </c>
      <c r="G433" s="117" t="str">
        <f>IFERROR(_xlfn.XLOOKUP(Table1[[#This Row],[Part Number]],Table3[Part number],Table3[Drawing
 Revision]),"")</f>
        <v>AA</v>
      </c>
      <c r="H433" s="118" cm="1">
        <f t="array" ref="H433">IFERROR(INDEX(PDB!$C:$AT,MATCH(E433,PDB!$B:$B,0),MATCH(YEAR(K433),0+PDB!$C$1:$AT$1,0)),"")</f>
        <v>4.51</v>
      </c>
      <c r="I433" s="36">
        <v>116</v>
      </c>
      <c r="J433" s="125">
        <f>IFERROR(Table1[[#This Row],[Quantity]]*Table1[[#This Row],[Price/Unit
EUR]]," ")</f>
        <v>523.16</v>
      </c>
      <c r="K433" s="126">
        <v>45826</v>
      </c>
      <c r="L433" s="36">
        <f>WEEKNUM(Table1[[#This Row],[ETA
As requested
dd.mm.yyyy]])</f>
        <v>25</v>
      </c>
      <c r="M433" s="36">
        <f>YEAR(Table1[[#This Row],[ETA
As requested
dd.mm.yyyy]])</f>
        <v>2025</v>
      </c>
      <c r="N433" s="36">
        <f>IFERROR(INDEX(DATABASE_FG!$H$5:$H$367, MATCH(E433, DATABASE_FG!$C$5:$C$367, 0)), " ")</f>
        <v>0</v>
      </c>
      <c r="O433" s="129" t="str">
        <f>IF(E433&lt;&gt;"", _xlfn.XLOOKUP(E433, DATABASE_FG!C:C, DATABASE_FG!F:F), " ")</f>
        <v>Alama</v>
      </c>
      <c r="P433" s="129">
        <f>IFERROR(INDEX(DATABASE_FG!$G$5:$G$367, MATCH(E433, DATABASE_FG!$C$5:$C$367, 0)), "Not Found")</f>
        <v>0</v>
      </c>
      <c r="Q433" s="36"/>
      <c r="R433" s="125" t="s">
        <v>678</v>
      </c>
      <c r="S433" s="123"/>
      <c r="T433" s="36" t="s">
        <v>679</v>
      </c>
      <c r="U433" s="36"/>
      <c r="V433" s="36"/>
      <c r="W433" s="129"/>
      <c r="X433" s="36"/>
      <c r="Y433" s="36"/>
      <c r="Z433" s="36"/>
      <c r="AA433" s="125" t="s">
        <v>121</v>
      </c>
      <c r="AB433" s="173">
        <v>45821</v>
      </c>
      <c r="AC433" s="119">
        <v>25927</v>
      </c>
      <c r="AD433" s="36">
        <f t="shared" si="59"/>
        <v>39384677</v>
      </c>
      <c r="AE433" s="36" t="str">
        <f t="shared" si="60"/>
        <v>EDP KUH.6217-B-M-3001 004_</v>
      </c>
      <c r="AF433" s="36">
        <v>116</v>
      </c>
      <c r="AG433" s="120">
        <f t="shared" si="61"/>
        <v>523.16</v>
      </c>
      <c r="AH433" s="36"/>
      <c r="AI433" s="124"/>
      <c r="AJ433" s="122" t="s">
        <v>3302</v>
      </c>
      <c r="AK433" s="129" t="str">
        <f t="shared" ca="1" si="62"/>
        <v>On Time</v>
      </c>
      <c r="AL433" s="268" t="str">
        <f t="shared" si="63"/>
        <v>June</v>
      </c>
      <c r="AM433" s="133">
        <f>YEAR(Table1[[#This Row],[ETA
As requested
dd.mm.yyyy]])</f>
        <v>2025</v>
      </c>
    </row>
    <row r="434" spans="1:39" hidden="1">
      <c r="A434" s="123" t="s">
        <v>83</v>
      </c>
      <c r="B434" s="36" t="s">
        <v>1170</v>
      </c>
      <c r="C434" s="117">
        <v>39384677</v>
      </c>
      <c r="D434" s="165">
        <v>45809</v>
      </c>
      <c r="E434" s="117" t="s">
        <v>89</v>
      </c>
      <c r="F434" s="36" t="str">
        <f>IFERROR(VLOOKUP(Table1[[#This Row],[Part Number]],DATABASE_FG!$C$6:D10423,2,FALSE)," ")</f>
        <v xml:space="preserve">300343442-0000 </v>
      </c>
      <c r="G434" s="117" t="str">
        <f>IFERROR(_xlfn.XLOOKUP(Table1[[#This Row],[Part Number]],Table3[Part number],Table3[Drawing
 Revision]),"")</f>
        <v>AA</v>
      </c>
      <c r="H434" s="118" cm="1">
        <f t="array" ref="H434">IFERROR(INDEX(PDB!$C:$AT,MATCH(E434,PDB!$B:$B,0),MATCH(YEAR(K434),0+PDB!$C$1:$AT$1,0)),"")</f>
        <v>4.51</v>
      </c>
      <c r="I434" s="36">
        <v>204</v>
      </c>
      <c r="J434" s="125">
        <f>IFERROR(Table1[[#This Row],[Quantity]]*Table1[[#This Row],[Price/Unit
EUR]]," ")</f>
        <v>920.04</v>
      </c>
      <c r="K434" s="126">
        <v>45826</v>
      </c>
      <c r="L434" s="36">
        <f>WEEKNUM(Table1[[#This Row],[ETA
As requested
dd.mm.yyyy]])</f>
        <v>25</v>
      </c>
      <c r="M434" s="36">
        <f>YEAR(Table1[[#This Row],[ETA
As requested
dd.mm.yyyy]])</f>
        <v>2025</v>
      </c>
      <c r="N434" s="36">
        <f>IFERROR(INDEX(DATABASE_FG!$H$5:$H$367, MATCH(E434, DATABASE_FG!$C$5:$C$367, 0)), " ")</f>
        <v>0</v>
      </c>
      <c r="O434" s="129" t="str">
        <f>IF(E434&lt;&gt;"", _xlfn.XLOOKUP(E434, DATABASE_FG!C:C, DATABASE_FG!F:F), " ")</f>
        <v>Alama</v>
      </c>
      <c r="P434" s="129">
        <f>IFERROR(INDEX(DATABASE_FG!$G$5:$G$367, MATCH(E434, DATABASE_FG!$C$5:$C$367, 0)), "Not Found")</f>
        <v>0</v>
      </c>
      <c r="Q434" s="36"/>
      <c r="R434" s="125" t="s">
        <v>678</v>
      </c>
      <c r="S434" s="123"/>
      <c r="T434" s="36" t="s">
        <v>679</v>
      </c>
      <c r="U434" s="36"/>
      <c r="V434" s="36"/>
      <c r="W434" s="129"/>
      <c r="X434" s="36"/>
      <c r="Y434" s="36"/>
      <c r="Z434" s="36"/>
      <c r="AA434" s="125" t="s">
        <v>121</v>
      </c>
      <c r="AB434" s="173">
        <v>45824</v>
      </c>
      <c r="AC434" s="119">
        <v>25937</v>
      </c>
      <c r="AD434" s="36">
        <f t="shared" si="59"/>
        <v>39384677</v>
      </c>
      <c r="AE434" s="36" t="str">
        <f t="shared" si="60"/>
        <v>EDP KUH.6217-B-M-3001 004_</v>
      </c>
      <c r="AF434" s="36">
        <v>204</v>
      </c>
      <c r="AG434" s="120">
        <f t="shared" si="61"/>
        <v>920.04</v>
      </c>
      <c r="AH434" s="36"/>
      <c r="AI434" s="124"/>
      <c r="AJ434" s="122" t="s">
        <v>3303</v>
      </c>
      <c r="AK434" s="129" t="str">
        <f t="shared" ca="1" si="62"/>
        <v>On Time</v>
      </c>
      <c r="AL434" s="268" t="str">
        <f t="shared" si="63"/>
        <v>June</v>
      </c>
      <c r="AM434" s="133">
        <f>YEAR(Table1[[#This Row],[ETA
As requested
dd.mm.yyyy]])</f>
        <v>2025</v>
      </c>
    </row>
    <row r="435" spans="1:39" hidden="1">
      <c r="A435" s="123" t="s">
        <v>83</v>
      </c>
      <c r="B435" s="36" t="s">
        <v>1170</v>
      </c>
      <c r="C435" s="117">
        <v>39384677</v>
      </c>
      <c r="D435" s="165">
        <v>45809</v>
      </c>
      <c r="E435" s="117" t="s">
        <v>89</v>
      </c>
      <c r="F435" s="36" t="str">
        <f>IFERROR(VLOOKUP(Table1[[#This Row],[Part Number]],DATABASE_FG!$C$6:D10424,2,FALSE)," ")</f>
        <v xml:space="preserve">300343442-0000 </v>
      </c>
      <c r="G435" s="117" t="str">
        <f>IFERROR(_xlfn.XLOOKUP(Table1[[#This Row],[Part Number]],Table3[Part number],Table3[Drawing
 Revision]),"")</f>
        <v>AA</v>
      </c>
      <c r="H435" s="118" cm="1">
        <f t="array" ref="H435">IFERROR(INDEX(PDB!$C:$AT,MATCH(E435,PDB!$B:$B,0),MATCH(YEAR(K435),0+PDB!$C$1:$AT$1,0)),"")</f>
        <v>4.51</v>
      </c>
      <c r="I435" s="36">
        <v>204</v>
      </c>
      <c r="J435" s="125">
        <f>IFERROR(Table1[[#This Row],[Quantity]]*Table1[[#This Row],[Price/Unit
EUR]]," ")</f>
        <v>920.04</v>
      </c>
      <c r="K435" s="126">
        <v>45826</v>
      </c>
      <c r="L435" s="36">
        <f>WEEKNUM(Table1[[#This Row],[ETA
As requested
dd.mm.yyyy]])</f>
        <v>25</v>
      </c>
      <c r="M435" s="36">
        <f>YEAR(Table1[[#This Row],[ETA
As requested
dd.mm.yyyy]])</f>
        <v>2025</v>
      </c>
      <c r="N435" s="36">
        <f>IFERROR(INDEX(DATABASE_FG!$H$5:$H$367, MATCH(E435, DATABASE_FG!$C$5:$C$367, 0)), " ")</f>
        <v>0</v>
      </c>
      <c r="O435" s="129" t="str">
        <f>IF(E435&lt;&gt;"", _xlfn.XLOOKUP(E435, DATABASE_FG!C:C, DATABASE_FG!F:F), " ")</f>
        <v>Alama</v>
      </c>
      <c r="P435" s="129">
        <f>IFERROR(INDEX(DATABASE_FG!$G$5:$G$367, MATCH(E435, DATABASE_FG!$C$5:$C$367, 0)), "Not Found")</f>
        <v>0</v>
      </c>
      <c r="Q435" s="36"/>
      <c r="R435" s="125" t="s">
        <v>678</v>
      </c>
      <c r="S435" s="123"/>
      <c r="T435" s="36" t="s">
        <v>679</v>
      </c>
      <c r="U435" s="36"/>
      <c r="V435" s="36"/>
      <c r="W435" s="129"/>
      <c r="X435" s="36"/>
      <c r="Y435" s="36"/>
      <c r="Z435" s="36"/>
      <c r="AA435" s="125" t="s">
        <v>121</v>
      </c>
      <c r="AB435" s="173">
        <v>45825</v>
      </c>
      <c r="AC435" s="119">
        <v>25941</v>
      </c>
      <c r="AD435" s="36">
        <f t="shared" si="59"/>
        <v>39384677</v>
      </c>
      <c r="AE435" s="36" t="str">
        <f t="shared" si="60"/>
        <v>EDP KUH.6217-B-M-3001 004_</v>
      </c>
      <c r="AF435" s="36">
        <v>204</v>
      </c>
      <c r="AG435" s="120">
        <f t="shared" si="61"/>
        <v>920.04</v>
      </c>
      <c r="AH435" s="36"/>
      <c r="AI435" s="124"/>
      <c r="AJ435" s="122" t="s">
        <v>3304</v>
      </c>
      <c r="AK435" s="129" t="str">
        <f t="shared" ca="1" si="62"/>
        <v>On Time</v>
      </c>
      <c r="AL435" s="268" t="str">
        <f t="shared" si="63"/>
        <v>June</v>
      </c>
      <c r="AM435" s="133">
        <f>YEAR(Table1[[#This Row],[ETA
As requested
dd.mm.yyyy]])</f>
        <v>2025</v>
      </c>
    </row>
    <row r="436" spans="1:39" hidden="1">
      <c r="A436" s="123" t="s">
        <v>83</v>
      </c>
      <c r="B436" s="36" t="s">
        <v>1170</v>
      </c>
      <c r="C436" s="117">
        <v>39384677</v>
      </c>
      <c r="D436" s="165">
        <v>45809</v>
      </c>
      <c r="E436" s="117" t="s">
        <v>89</v>
      </c>
      <c r="F436" s="36" t="str">
        <f>IFERROR(VLOOKUP(Table1[[#This Row],[Part Number]],DATABASE_FG!$C$6:D10425,2,FALSE)," ")</f>
        <v xml:space="preserve">300343442-0000 </v>
      </c>
      <c r="G436" s="117" t="str">
        <f>IFERROR(_xlfn.XLOOKUP(Table1[[#This Row],[Part Number]],Table3[Part number],Table3[Drawing
 Revision]),"")</f>
        <v>AA</v>
      </c>
      <c r="H436" s="118" cm="1">
        <f t="array" ref="H436">IFERROR(INDEX(PDB!$C:$AT,MATCH(E436,PDB!$B:$B,0),MATCH(YEAR(K436),0+PDB!$C$1:$AT$1,0)),"")</f>
        <v>4.51</v>
      </c>
      <c r="I436" s="36">
        <v>138</v>
      </c>
      <c r="J436" s="125">
        <f>IFERROR(Table1[[#This Row],[Quantity]]*Table1[[#This Row],[Price/Unit
EUR]]," ")</f>
        <v>622.38</v>
      </c>
      <c r="K436" s="126">
        <v>45826</v>
      </c>
      <c r="L436" s="36">
        <f>WEEKNUM(Table1[[#This Row],[ETA
As requested
dd.mm.yyyy]])</f>
        <v>25</v>
      </c>
      <c r="M436" s="36">
        <f>YEAR(Table1[[#This Row],[ETA
As requested
dd.mm.yyyy]])</f>
        <v>2025</v>
      </c>
      <c r="N436" s="36">
        <f>IFERROR(INDEX(DATABASE_FG!$H$5:$H$367, MATCH(E436, DATABASE_FG!$C$5:$C$367, 0)), " ")</f>
        <v>0</v>
      </c>
      <c r="O436" s="129" t="str">
        <f>IF(E436&lt;&gt;"", _xlfn.XLOOKUP(E436, DATABASE_FG!C:C, DATABASE_FG!F:F), " ")</f>
        <v>Alama</v>
      </c>
      <c r="P436" s="129">
        <f>IFERROR(INDEX(DATABASE_FG!$G$5:$G$367, MATCH(E436, DATABASE_FG!$C$5:$C$367, 0)), "Not Found")</f>
        <v>0</v>
      </c>
      <c r="Q436" s="36"/>
      <c r="R436" s="125" t="s">
        <v>678</v>
      </c>
      <c r="S436" s="123"/>
      <c r="T436" s="36" t="s">
        <v>679</v>
      </c>
      <c r="U436" s="36"/>
      <c r="V436" s="36"/>
      <c r="W436" s="129"/>
      <c r="X436" s="36"/>
      <c r="Y436" s="36"/>
      <c r="Z436" s="36"/>
      <c r="AA436" s="125" t="s">
        <v>121</v>
      </c>
      <c r="AB436" s="173">
        <v>45826</v>
      </c>
      <c r="AC436" s="119">
        <v>25946</v>
      </c>
      <c r="AD436" s="36">
        <f t="shared" si="59"/>
        <v>39384677</v>
      </c>
      <c r="AE436" s="36" t="str">
        <f t="shared" si="60"/>
        <v>EDP KUH.6217-B-M-3001 004_</v>
      </c>
      <c r="AF436" s="36">
        <v>138</v>
      </c>
      <c r="AG436" s="120">
        <f t="shared" si="61"/>
        <v>622.38</v>
      </c>
      <c r="AH436" s="36"/>
      <c r="AI436" s="124"/>
      <c r="AJ436" s="122" t="s">
        <v>3305</v>
      </c>
      <c r="AK436" s="129" t="str">
        <f t="shared" ca="1" si="62"/>
        <v>On Time</v>
      </c>
      <c r="AL436" s="268" t="str">
        <f t="shared" si="63"/>
        <v>June</v>
      </c>
      <c r="AM436" s="133">
        <f>YEAR(Table1[[#This Row],[ETA
As requested
dd.mm.yyyy]])</f>
        <v>2025</v>
      </c>
    </row>
    <row r="437" spans="1:39" hidden="1">
      <c r="A437" s="123" t="s">
        <v>83</v>
      </c>
      <c r="B437" s="36" t="s">
        <v>1170</v>
      </c>
      <c r="C437" s="117">
        <v>39384677</v>
      </c>
      <c r="D437" s="165">
        <v>45809</v>
      </c>
      <c r="E437" s="117" t="s">
        <v>89</v>
      </c>
      <c r="F437" s="36" t="str">
        <f>IFERROR(VLOOKUP(Table1[[#This Row],[Part Number]],DATABASE_FG!$C$6:D10426,2,FALSE)," ")</f>
        <v xml:space="preserve">300343442-0000 </v>
      </c>
      <c r="G437" s="117" t="str">
        <f>IFERROR(_xlfn.XLOOKUP(Table1[[#This Row],[Part Number]],Table3[Part number],Table3[Drawing
 Revision]),"")</f>
        <v>AA</v>
      </c>
      <c r="H437" s="118" cm="1">
        <f t="array" ref="H437">IFERROR(INDEX(PDB!$C:$AT,MATCH(E437,PDB!$B:$B,0),MATCH(YEAR(K437),0+PDB!$C$1:$AT$1,0)),"")</f>
        <v>4.51</v>
      </c>
      <c r="I437" s="36">
        <v>96</v>
      </c>
      <c r="J437" s="125">
        <f>IFERROR(Table1[[#This Row],[Quantity]]*Table1[[#This Row],[Price/Unit
EUR]]," ")</f>
        <v>432.96</v>
      </c>
      <c r="K437" s="126">
        <v>45826</v>
      </c>
      <c r="L437" s="36">
        <f>WEEKNUM(Table1[[#This Row],[ETA
As requested
dd.mm.yyyy]])</f>
        <v>25</v>
      </c>
      <c r="M437" s="36">
        <f>YEAR(Table1[[#This Row],[ETA
As requested
dd.mm.yyyy]])</f>
        <v>2025</v>
      </c>
      <c r="N437" s="36">
        <f>IFERROR(INDEX(DATABASE_FG!$H$5:$H$367, MATCH(E437, DATABASE_FG!$C$5:$C$367, 0)), " ")</f>
        <v>0</v>
      </c>
      <c r="O437" s="129" t="str">
        <f>IF(E437&lt;&gt;"", _xlfn.XLOOKUP(E437, DATABASE_FG!C:C, DATABASE_FG!F:F), " ")</f>
        <v>Alama</v>
      </c>
      <c r="P437" s="129">
        <f>IFERROR(INDEX(DATABASE_FG!$G$5:$G$367, MATCH(E437, DATABASE_FG!$C$5:$C$367, 0)), "Not Found")</f>
        <v>0</v>
      </c>
      <c r="Q437" s="36"/>
      <c r="R437" s="125" t="s">
        <v>678</v>
      </c>
      <c r="S437" s="123"/>
      <c r="T437" s="36" t="s">
        <v>679</v>
      </c>
      <c r="U437" s="36"/>
      <c r="V437" s="36"/>
      <c r="W437" s="129"/>
      <c r="X437" s="36"/>
      <c r="Y437" s="36"/>
      <c r="Z437" s="36"/>
      <c r="AA437" s="125" t="s">
        <v>121</v>
      </c>
      <c r="AB437" s="173">
        <v>45827</v>
      </c>
      <c r="AC437" s="119">
        <v>25956</v>
      </c>
      <c r="AD437" s="36">
        <f t="shared" si="59"/>
        <v>39384677</v>
      </c>
      <c r="AE437" s="36" t="str">
        <f t="shared" si="60"/>
        <v>EDP KUH.6217-B-M-3001 004_</v>
      </c>
      <c r="AF437" s="36">
        <v>96</v>
      </c>
      <c r="AG437" s="120">
        <f t="shared" si="61"/>
        <v>432.96</v>
      </c>
      <c r="AH437" s="36"/>
      <c r="AI437" s="124"/>
      <c r="AJ437" s="122" t="s">
        <v>3306</v>
      </c>
      <c r="AK437" s="129" t="str">
        <f t="shared" ca="1" si="62"/>
        <v>On Time</v>
      </c>
      <c r="AL437" s="268" t="str">
        <f t="shared" si="63"/>
        <v>June</v>
      </c>
      <c r="AM437" s="133">
        <f>YEAR(Table1[[#This Row],[ETA
As requested
dd.mm.yyyy]])</f>
        <v>2025</v>
      </c>
    </row>
    <row r="438" spans="1:39" hidden="1">
      <c r="A438" s="123" t="s">
        <v>83</v>
      </c>
      <c r="B438" s="36" t="s">
        <v>1170</v>
      </c>
      <c r="C438" s="117">
        <v>39384677</v>
      </c>
      <c r="D438" s="165">
        <v>45809</v>
      </c>
      <c r="E438" s="117" t="s">
        <v>89</v>
      </c>
      <c r="F438" s="36" t="str">
        <f>IFERROR(VLOOKUP(Table1[[#This Row],[Part Number]],DATABASE_FG!$C$6:D10427,2,FALSE)," ")</f>
        <v xml:space="preserve">300343442-0000 </v>
      </c>
      <c r="G438" s="117" t="str">
        <f>IFERROR(_xlfn.XLOOKUP(Table1[[#This Row],[Part Number]],Table3[Part number],Table3[Drawing
 Revision]),"")</f>
        <v>AA</v>
      </c>
      <c r="H438" s="118" cm="1">
        <f t="array" ref="H438">IFERROR(INDEX(PDB!$C:$AT,MATCH(E438,PDB!$B:$B,0),MATCH(YEAR(K438),0+PDB!$C$1:$AT$1,0)),"")</f>
        <v>4.51</v>
      </c>
      <c r="I438" s="36">
        <v>102</v>
      </c>
      <c r="J438" s="125">
        <f>IFERROR(Table1[[#This Row],[Quantity]]*Table1[[#This Row],[Price/Unit
EUR]]," ")</f>
        <v>460.02</v>
      </c>
      <c r="K438" s="126">
        <v>45826</v>
      </c>
      <c r="L438" s="36">
        <f>WEEKNUM(Table1[[#This Row],[ETA
As requested
dd.mm.yyyy]])</f>
        <v>25</v>
      </c>
      <c r="M438" s="36">
        <f>YEAR(Table1[[#This Row],[ETA
As requested
dd.mm.yyyy]])</f>
        <v>2025</v>
      </c>
      <c r="N438" s="36">
        <f>IFERROR(INDEX(DATABASE_FG!$H$5:$H$367, MATCH(E438, DATABASE_FG!$C$5:$C$367, 0)), " ")</f>
        <v>0</v>
      </c>
      <c r="O438" s="129" t="str">
        <f>IF(E438&lt;&gt;"", _xlfn.XLOOKUP(E438, DATABASE_FG!C:C, DATABASE_FG!F:F), " ")</f>
        <v>Alama</v>
      </c>
      <c r="P438" s="129">
        <f>IFERROR(INDEX(DATABASE_FG!$G$5:$G$367, MATCH(E438, DATABASE_FG!$C$5:$C$367, 0)), "Not Found")</f>
        <v>0</v>
      </c>
      <c r="Q438" s="36"/>
      <c r="R438" s="125" t="s">
        <v>678</v>
      </c>
      <c r="S438" s="123"/>
      <c r="T438" s="36" t="s">
        <v>679</v>
      </c>
      <c r="U438" s="36"/>
      <c r="V438" s="36"/>
      <c r="W438" s="129"/>
      <c r="X438" s="36"/>
      <c r="Y438" s="36"/>
      <c r="Z438" s="36"/>
      <c r="AA438" s="125" t="s">
        <v>121</v>
      </c>
      <c r="AB438" s="173">
        <v>45828</v>
      </c>
      <c r="AC438" s="119">
        <v>25960</v>
      </c>
      <c r="AD438" s="36">
        <f t="shared" si="59"/>
        <v>39384677</v>
      </c>
      <c r="AE438" s="36" t="str">
        <f t="shared" si="60"/>
        <v>EDP KUH.6217-B-M-3001 004_</v>
      </c>
      <c r="AF438" s="36">
        <v>102</v>
      </c>
      <c r="AG438" s="120">
        <f t="shared" si="61"/>
        <v>460.02</v>
      </c>
      <c r="AH438" s="36"/>
      <c r="AI438" s="124"/>
      <c r="AJ438" s="122" t="s">
        <v>3307</v>
      </c>
      <c r="AK438" s="129" t="str">
        <f t="shared" ca="1" si="62"/>
        <v>On Time</v>
      </c>
      <c r="AL438" s="268" t="str">
        <f t="shared" si="63"/>
        <v>June</v>
      </c>
      <c r="AM438" s="133">
        <f>YEAR(Table1[[#This Row],[ETA
As requested
dd.mm.yyyy]])</f>
        <v>2025</v>
      </c>
    </row>
    <row r="439" spans="1:39" hidden="1">
      <c r="A439" s="195" t="s">
        <v>83</v>
      </c>
      <c r="B439" s="194" t="s">
        <v>1170</v>
      </c>
      <c r="C439" s="197">
        <v>39384677</v>
      </c>
      <c r="D439" s="196">
        <v>45810</v>
      </c>
      <c r="E439" s="117" t="s">
        <v>89</v>
      </c>
      <c r="F439" s="36" t="str">
        <f>IFERROR(VLOOKUP(Table1[[#This Row],[Part Number]],DATABASE_FG!$C$6:D10428,2,FALSE)," ")</f>
        <v xml:space="preserve">300343442-0000 </v>
      </c>
      <c r="G439" s="117" t="str">
        <f>IFERROR(_xlfn.XLOOKUP(Table1[[#This Row],[Part Number]],Table3[Part number],Table3[Drawing
 Revision]),"")</f>
        <v>AA</v>
      </c>
      <c r="H439" s="118" cm="1">
        <f t="array" ref="H439">IFERROR(INDEX(PDB!$C:$AT,MATCH(E439,PDB!$B:$B,0),MATCH(YEAR(K439),0+PDB!$C$1:$AT$1,0)),"")</f>
        <v>4.51</v>
      </c>
      <c r="I439" s="178">
        <v>140</v>
      </c>
      <c r="J439" s="198">
        <f>IFERROR(Table1[[#This Row],[Quantity]]*Table1[[#This Row],[Price/Unit
EUR]]," ")</f>
        <v>631.4</v>
      </c>
      <c r="K439" s="199">
        <v>45827</v>
      </c>
      <c r="L439" s="36">
        <f>WEEKNUM(Table1[[#This Row],[ETA
As requested
dd.mm.yyyy]])</f>
        <v>25</v>
      </c>
      <c r="M439" s="36">
        <f>YEAR(Table1[[#This Row],[ETA
As requested
dd.mm.yyyy]])</f>
        <v>2025</v>
      </c>
      <c r="N439" s="36">
        <f>IFERROR(INDEX(DATABASE_FG!$H$5:$H$367, MATCH(E439, DATABASE_FG!$C$5:$C$367, 0)), " ")</f>
        <v>0</v>
      </c>
      <c r="O439" s="129" t="str">
        <f>IF(E439&lt;&gt;"", _xlfn.XLOOKUP(E439, DATABASE_FG!C:C, DATABASE_FG!F:F), " ")</f>
        <v>Alama</v>
      </c>
      <c r="P439" s="129">
        <f>IFERROR(INDEX(DATABASE_FG!$G$5:$G$367, MATCH(E439, DATABASE_FG!$C$5:$C$367, 0)), "Not Found")</f>
        <v>0</v>
      </c>
      <c r="Q439" s="36"/>
      <c r="R439" s="125" t="s">
        <v>678</v>
      </c>
      <c r="S439" s="123"/>
      <c r="T439" s="36" t="s">
        <v>679</v>
      </c>
      <c r="U439" s="36"/>
      <c r="V439" s="178"/>
      <c r="W439" s="183"/>
      <c r="X439" s="178"/>
      <c r="Y439" s="178"/>
      <c r="Z439" s="178"/>
      <c r="AA439" s="198" t="s">
        <v>121</v>
      </c>
      <c r="AB439" s="205">
        <v>45831</v>
      </c>
      <c r="AC439" s="201">
        <v>25974</v>
      </c>
      <c r="AD439" s="194">
        <f t="shared" si="59"/>
        <v>39384677</v>
      </c>
      <c r="AE439" s="194" t="str">
        <f t="shared" si="60"/>
        <v>EDP KUH.6217-B-M-3001 004_</v>
      </c>
      <c r="AF439" s="194">
        <v>140</v>
      </c>
      <c r="AG439" s="120">
        <f t="shared" si="61"/>
        <v>631.4</v>
      </c>
      <c r="AH439" s="194"/>
      <c r="AI439" s="202" t="s">
        <v>3309</v>
      </c>
      <c r="AJ439" s="203" t="s">
        <v>3310</v>
      </c>
      <c r="AK439" s="129" t="str">
        <f t="shared" ca="1" si="62"/>
        <v>Late</v>
      </c>
      <c r="AL439" s="268" t="str">
        <f t="shared" si="63"/>
        <v>June</v>
      </c>
      <c r="AM439" s="133">
        <f>YEAR(Table1[[#This Row],[ETA
As requested
dd.mm.yyyy]])</f>
        <v>2025</v>
      </c>
    </row>
    <row r="440" spans="1:39" hidden="1">
      <c r="A440" s="123" t="s">
        <v>83</v>
      </c>
      <c r="B440" s="36" t="s">
        <v>1170</v>
      </c>
      <c r="C440" s="117">
        <v>39365334</v>
      </c>
      <c r="D440" s="165">
        <v>45809</v>
      </c>
      <c r="E440" s="117" t="s">
        <v>89</v>
      </c>
      <c r="F440" s="36" t="str">
        <f>IFERROR(VLOOKUP(Table1[[#This Row],[Part Number]],DATABASE_FG!$C$6:D10429,2,FALSE)," ")</f>
        <v xml:space="preserve">300343442-0000 </v>
      </c>
      <c r="G440" s="117" t="str">
        <f>IFERROR(_xlfn.XLOOKUP(Table1[[#This Row],[Part Number]],Table3[Part number],Table3[Drawing
 Revision]),"")</f>
        <v>AA</v>
      </c>
      <c r="H440" s="118" cm="1">
        <f t="array" ref="H440">IFERROR(INDEX(PDB!$C:$AT,MATCH(E440,PDB!$B:$B,0),MATCH(YEAR(K440),0+PDB!$C$1:$AT$1,0)),"")</f>
        <v>4.51</v>
      </c>
      <c r="I440" s="36">
        <v>150</v>
      </c>
      <c r="J440" s="125">
        <f>IFERROR(Table1[[#This Row],[Quantity]]*Table1[[#This Row],[Price/Unit
EUR]]," ")</f>
        <v>676.5</v>
      </c>
      <c r="K440" s="126">
        <v>45838</v>
      </c>
      <c r="L440" s="36">
        <f>WEEKNUM(Table1[[#This Row],[ETA
As requested
dd.mm.yyyy]])</f>
        <v>27</v>
      </c>
      <c r="M440" s="36">
        <f>YEAR(Table1[[#This Row],[ETA
As requested
dd.mm.yyyy]])</f>
        <v>2025</v>
      </c>
      <c r="N440" s="36">
        <f>IFERROR(INDEX(DATABASE_FG!$H$5:$H$367, MATCH(E440, DATABASE_FG!$C$5:$C$367, 0)), " ")</f>
        <v>0</v>
      </c>
      <c r="O440" s="129" t="str">
        <f>IF(E440&lt;&gt;"", _xlfn.XLOOKUP(E440, DATABASE_FG!C:C, DATABASE_FG!F:F), " ")</f>
        <v>Alama</v>
      </c>
      <c r="P440" s="129">
        <f>IFERROR(INDEX(DATABASE_FG!$G$5:$G$367, MATCH(E440, DATABASE_FG!$C$5:$C$367, 0)), "Not Found")</f>
        <v>0</v>
      </c>
      <c r="Q440" s="36"/>
      <c r="R440" s="125" t="s">
        <v>678</v>
      </c>
      <c r="S440" s="123"/>
      <c r="T440" s="36" t="s">
        <v>679</v>
      </c>
      <c r="U440" s="36"/>
      <c r="V440" s="36"/>
      <c r="W440" s="129"/>
      <c r="X440" s="36"/>
      <c r="Y440" s="36"/>
      <c r="Z440" s="36"/>
      <c r="AA440" s="125" t="s">
        <v>121</v>
      </c>
      <c r="AB440" s="173">
        <v>45814</v>
      </c>
      <c r="AC440" s="119">
        <v>25897</v>
      </c>
      <c r="AD440" s="36">
        <f t="shared" si="59"/>
        <v>39365334</v>
      </c>
      <c r="AE440" s="36" t="str">
        <f t="shared" si="60"/>
        <v>EDP KUH.6217-B-M-3001 004_</v>
      </c>
      <c r="AF440" s="36">
        <v>150</v>
      </c>
      <c r="AG440" s="120">
        <f t="shared" si="61"/>
        <v>676.5</v>
      </c>
      <c r="AH440" s="36"/>
      <c r="AI440" s="124"/>
      <c r="AJ440" s="122" t="s">
        <v>3348</v>
      </c>
      <c r="AK440" s="129" t="str">
        <f t="shared" ca="1" si="62"/>
        <v>On Time</v>
      </c>
      <c r="AL440" s="268" t="str">
        <f t="shared" si="63"/>
        <v>June</v>
      </c>
      <c r="AM440" s="133">
        <f>YEAR(Table1[[#This Row],[ETA
As requested
dd.mm.yyyy]])</f>
        <v>2025</v>
      </c>
    </row>
    <row r="441" spans="1:39" hidden="1">
      <c r="A441" s="123" t="s">
        <v>83</v>
      </c>
      <c r="B441" s="36" t="s">
        <v>1170</v>
      </c>
      <c r="C441" s="117">
        <v>39365334</v>
      </c>
      <c r="D441" s="165">
        <v>45809</v>
      </c>
      <c r="E441" s="117" t="s">
        <v>89</v>
      </c>
      <c r="F441" s="36" t="str">
        <f>IFERROR(VLOOKUP(Table1[[#This Row],[Part Number]],DATABASE_FG!$C$6:D10430,2,FALSE)," ")</f>
        <v xml:space="preserve">300343442-0000 </v>
      </c>
      <c r="G441" s="117" t="str">
        <f>IFERROR(_xlfn.XLOOKUP(Table1[[#This Row],[Part Number]],Table3[Part number],Table3[Drawing
 Revision]),"")</f>
        <v>AA</v>
      </c>
      <c r="H441" s="118" cm="1">
        <f t="array" ref="H441">IFERROR(INDEX(PDB!$C:$AT,MATCH(E441,PDB!$B:$B,0),MATCH(YEAR(K441),0+PDB!$C$1:$AT$1,0)),"")</f>
        <v>4.51</v>
      </c>
      <c r="I441" s="36">
        <v>62</v>
      </c>
      <c r="J441" s="125">
        <f>IFERROR(Table1[[#This Row],[Quantity]]*Table1[[#This Row],[Price/Unit
EUR]]," ")</f>
        <v>279.62</v>
      </c>
      <c r="K441" s="126">
        <v>45838</v>
      </c>
      <c r="L441" s="36">
        <f>WEEKNUM(Table1[[#This Row],[ETA
As requested
dd.mm.yyyy]])</f>
        <v>27</v>
      </c>
      <c r="M441" s="36">
        <f>YEAR(Table1[[#This Row],[ETA
As requested
dd.mm.yyyy]])</f>
        <v>2025</v>
      </c>
      <c r="N441" s="36">
        <f>IFERROR(INDEX(DATABASE_FG!$H$5:$H$367, MATCH(E441, DATABASE_FG!$C$5:$C$367, 0)), " ")</f>
        <v>0</v>
      </c>
      <c r="O441" s="129" t="str">
        <f>IF(E441&lt;&gt;"", _xlfn.XLOOKUP(E441, DATABASE_FG!C:C, DATABASE_FG!F:F), " ")</f>
        <v>Alama</v>
      </c>
      <c r="P441" s="129">
        <f>IFERROR(INDEX(DATABASE_FG!$G$5:$G$367, MATCH(E441, DATABASE_FG!$C$5:$C$367, 0)), "Not Found")</f>
        <v>0</v>
      </c>
      <c r="Q441" s="36"/>
      <c r="R441" s="125" t="s">
        <v>678</v>
      </c>
      <c r="S441" s="123"/>
      <c r="T441" s="36" t="s">
        <v>679</v>
      </c>
      <c r="U441" s="36"/>
      <c r="V441" s="36"/>
      <c r="W441" s="129"/>
      <c r="X441" s="36"/>
      <c r="Y441" s="36"/>
      <c r="Z441" s="36"/>
      <c r="AA441" s="125" t="s">
        <v>121</v>
      </c>
      <c r="AB441" s="172">
        <v>45818</v>
      </c>
      <c r="AC441" s="119">
        <v>25902</v>
      </c>
      <c r="AD441" s="36">
        <f t="shared" si="59"/>
        <v>39365334</v>
      </c>
      <c r="AE441" s="36" t="str">
        <f t="shared" si="60"/>
        <v>EDP KUH.6217-B-M-3001 004_</v>
      </c>
      <c r="AF441" s="36">
        <v>62</v>
      </c>
      <c r="AG441" s="120">
        <f t="shared" si="61"/>
        <v>279.62</v>
      </c>
      <c r="AH441" s="36"/>
      <c r="AI441" s="124"/>
      <c r="AJ441" s="122" t="s">
        <v>3349</v>
      </c>
      <c r="AK441" s="129" t="str">
        <f t="shared" ca="1" si="62"/>
        <v>On Time</v>
      </c>
      <c r="AL441" s="268" t="str">
        <f t="shared" si="63"/>
        <v>June</v>
      </c>
      <c r="AM441" s="133">
        <f>YEAR(Table1[[#This Row],[ETA
As requested
dd.mm.yyyy]])</f>
        <v>2025</v>
      </c>
    </row>
    <row r="442" spans="1:39" hidden="1">
      <c r="A442" s="123" t="s">
        <v>83</v>
      </c>
      <c r="B442" s="36" t="s">
        <v>1170</v>
      </c>
      <c r="C442" s="117">
        <v>39365334</v>
      </c>
      <c r="D442" s="165">
        <v>45809</v>
      </c>
      <c r="E442" s="117" t="s">
        <v>89</v>
      </c>
      <c r="F442" s="36" t="str">
        <f>IFERROR(VLOOKUP(Table1[[#This Row],[Part Number]],DATABASE_FG!$C$6:D10431,2,FALSE)," ")</f>
        <v xml:space="preserve">300343442-0000 </v>
      </c>
      <c r="G442" s="117" t="str">
        <f>IFERROR(_xlfn.XLOOKUP(Table1[[#This Row],[Part Number]],Table3[Part number],Table3[Drawing
 Revision]),"")</f>
        <v>AA</v>
      </c>
      <c r="H442" s="118" cm="1">
        <f t="array" ref="H442">IFERROR(INDEX(PDB!$C:$AT,MATCH(E442,PDB!$B:$B,0),MATCH(YEAR(K442),0+PDB!$C$1:$AT$1,0)),"")</f>
        <v>4.51</v>
      </c>
      <c r="I442" s="36">
        <v>178</v>
      </c>
      <c r="J442" s="125">
        <f>IFERROR(Table1[[#This Row],[Quantity]]*Table1[[#This Row],[Price/Unit
EUR]]," ")</f>
        <v>802.78</v>
      </c>
      <c r="K442" s="126">
        <v>45838</v>
      </c>
      <c r="L442" s="36">
        <f>WEEKNUM(Table1[[#This Row],[ETA
As requested
dd.mm.yyyy]])</f>
        <v>27</v>
      </c>
      <c r="M442" s="36">
        <f>YEAR(Table1[[#This Row],[ETA
As requested
dd.mm.yyyy]])</f>
        <v>2025</v>
      </c>
      <c r="N442" s="36">
        <f>IFERROR(INDEX(DATABASE_FG!$H$5:$H$367, MATCH(E442, DATABASE_FG!$C$5:$C$367, 0)), " ")</f>
        <v>0</v>
      </c>
      <c r="O442" s="129" t="str">
        <f>IF(E442&lt;&gt;"", _xlfn.XLOOKUP(E442, DATABASE_FG!C:C, DATABASE_FG!F:F), " ")</f>
        <v>Alama</v>
      </c>
      <c r="P442" s="129">
        <f>IFERROR(INDEX(DATABASE_FG!$G$5:$G$367, MATCH(E442, DATABASE_FG!$C$5:$C$367, 0)), "Not Found")</f>
        <v>0</v>
      </c>
      <c r="Q442" s="36"/>
      <c r="R442" s="125" t="s">
        <v>678</v>
      </c>
      <c r="S442" s="123"/>
      <c r="T442" s="36" t="s">
        <v>679</v>
      </c>
      <c r="U442" s="36"/>
      <c r="V442" s="36"/>
      <c r="W442" s="129"/>
      <c r="X442" s="36"/>
      <c r="Y442" s="36"/>
      <c r="Z442" s="36"/>
      <c r="AA442" s="125" t="s">
        <v>121</v>
      </c>
      <c r="AB442" s="173">
        <v>45819</v>
      </c>
      <c r="AC442" s="119">
        <v>25911</v>
      </c>
      <c r="AD442" s="36">
        <f t="shared" si="59"/>
        <v>39365334</v>
      </c>
      <c r="AE442" s="36" t="str">
        <f t="shared" si="60"/>
        <v>EDP KUH.6217-B-M-3001 004_</v>
      </c>
      <c r="AF442" s="36">
        <v>178</v>
      </c>
      <c r="AG442" s="120">
        <f t="shared" si="61"/>
        <v>802.78</v>
      </c>
      <c r="AH442" s="36"/>
      <c r="AI442" s="124"/>
      <c r="AJ442" s="122" t="s">
        <v>3350</v>
      </c>
      <c r="AK442" s="129" t="str">
        <f t="shared" ca="1" si="62"/>
        <v>On Time</v>
      </c>
      <c r="AL442" s="268" t="str">
        <f t="shared" si="63"/>
        <v>June</v>
      </c>
      <c r="AM442" s="133">
        <f>YEAR(Table1[[#This Row],[ETA
As requested
dd.mm.yyyy]])</f>
        <v>2025</v>
      </c>
    </row>
    <row r="443" spans="1:39" hidden="1">
      <c r="A443" s="123" t="s">
        <v>83</v>
      </c>
      <c r="B443" s="36" t="s">
        <v>1170</v>
      </c>
      <c r="C443" s="236">
        <v>39384677</v>
      </c>
      <c r="D443" s="165">
        <v>45809</v>
      </c>
      <c r="E443" s="117" t="s">
        <v>89</v>
      </c>
      <c r="F443" s="36" t="str">
        <f>IFERROR(VLOOKUP(Table1[[#This Row],[Part Number]],DATABASE_FG!$C$6:D10432,2,FALSE)," ")</f>
        <v xml:space="preserve">300343442-0000 </v>
      </c>
      <c r="G443" s="117" t="str">
        <f>IFERROR(_xlfn.XLOOKUP(Table1[[#This Row],[Part Number]],Table3[Part number],Table3[Drawing
 Revision]),"")</f>
        <v>AA</v>
      </c>
      <c r="H443" s="118" cm="1">
        <f t="array" ref="H443">IFERROR(INDEX(PDB!$C:$AT,MATCH(E443,PDB!$B:$B,0),MATCH(YEAR(K443),0+PDB!$C$1:$AT$1,0)),"")</f>
        <v>4.51</v>
      </c>
      <c r="I443" s="36">
        <f>296-150-62</f>
        <v>84</v>
      </c>
      <c r="J443" s="125">
        <f>IFERROR(Table1[[#This Row],[Quantity]]*Table1[[#This Row],[Price/Unit
EUR]]," ")</f>
        <v>378.84</v>
      </c>
      <c r="K443" s="126">
        <v>45838</v>
      </c>
      <c r="L443" s="36">
        <f>WEEKNUM(Table1[[#This Row],[ETA
As requested
dd.mm.yyyy]])</f>
        <v>27</v>
      </c>
      <c r="M443" s="36">
        <f>YEAR(Table1[[#This Row],[ETA
As requested
dd.mm.yyyy]])</f>
        <v>2025</v>
      </c>
      <c r="N443" s="36">
        <f>IFERROR(INDEX(DATABASE_FG!$H$5:$H$367, MATCH(E443, DATABASE_FG!$C$5:$C$367, 0)), " ")</f>
        <v>0</v>
      </c>
      <c r="O443" s="129" t="str">
        <f>IF(E443&lt;&gt;"", _xlfn.XLOOKUP(E443, DATABASE_FG!C:C, DATABASE_FG!F:F), " ")</f>
        <v>Alama</v>
      </c>
      <c r="P443" s="129">
        <f>IFERROR(INDEX(DATABASE_FG!$G$5:$G$367, MATCH(E443, DATABASE_FG!$C$5:$C$367, 0)), "Not Found")</f>
        <v>0</v>
      </c>
      <c r="Q443" s="36"/>
      <c r="R443" s="125" t="s">
        <v>678</v>
      </c>
      <c r="S443" s="123"/>
      <c r="T443" s="36" t="s">
        <v>679</v>
      </c>
      <c r="U443" s="36"/>
      <c r="V443" s="36"/>
      <c r="W443" s="129"/>
      <c r="X443" s="36"/>
      <c r="Y443" s="36"/>
      <c r="Z443" s="36"/>
      <c r="AA443" s="125" t="s">
        <v>121</v>
      </c>
      <c r="AB443" s="172">
        <v>45821</v>
      </c>
      <c r="AC443" s="119">
        <v>25926</v>
      </c>
      <c r="AD443" s="36">
        <f t="shared" si="59"/>
        <v>39384677</v>
      </c>
      <c r="AE443" s="36" t="str">
        <f t="shared" si="60"/>
        <v>EDP KUH.6217-B-M-3001 004_</v>
      </c>
      <c r="AF443" s="36">
        <v>84</v>
      </c>
      <c r="AG443" s="120">
        <f t="shared" si="61"/>
        <v>378.84</v>
      </c>
      <c r="AH443" s="36"/>
      <c r="AI443" s="124"/>
      <c r="AJ443" s="122" t="s">
        <v>3353</v>
      </c>
      <c r="AK443" s="129" t="str">
        <f t="shared" ca="1" si="62"/>
        <v>On Time</v>
      </c>
      <c r="AL443" s="268" t="str">
        <f t="shared" si="63"/>
        <v>June</v>
      </c>
      <c r="AM443" s="133">
        <f>YEAR(Table1[[#This Row],[ETA
As requested
dd.mm.yyyy]])</f>
        <v>2025</v>
      </c>
    </row>
    <row r="444" spans="1:39" hidden="1">
      <c r="A444" s="123" t="s">
        <v>83</v>
      </c>
      <c r="B444" s="36" t="s">
        <v>1170</v>
      </c>
      <c r="C444" s="117">
        <v>39839943</v>
      </c>
      <c r="D444" s="165">
        <v>45874</v>
      </c>
      <c r="E444" s="117" t="s">
        <v>89</v>
      </c>
      <c r="F444" s="36" t="str">
        <f>IFERROR(VLOOKUP(Table1[[#This Row],[Part Number]],DATABASE_FG!$C$6:D10433,2,FALSE)," ")</f>
        <v xml:space="preserve">300343442-0000 </v>
      </c>
      <c r="G444" s="117" t="str">
        <f>IFERROR(_xlfn.XLOOKUP(Table1[[#This Row],[Part Number]],Table3[Part number],Table3[Drawing
 Revision]),"")</f>
        <v>AA</v>
      </c>
      <c r="H444" s="118" cm="1">
        <f t="array" ref="H444">IFERROR(INDEX(PDB!$C:$AT,MATCH(E444,PDB!$B:$B,0),MATCH(YEAR(K444),0+PDB!$C$1:$AT$1,0)),"")</f>
        <v>4.51</v>
      </c>
      <c r="I444" s="36">
        <v>344</v>
      </c>
      <c r="J444" s="125">
        <f>IFERROR(Table1[[#This Row],[Quantity]]*Table1[[#This Row],[Price/Unit
EUR]]," ")</f>
        <v>1551.4399999999998</v>
      </c>
      <c r="K444" s="126">
        <v>45887</v>
      </c>
      <c r="L444" s="36">
        <f>WEEKNUM(Table1[[#This Row],[ETA
As requested
dd.mm.yyyy]])</f>
        <v>34</v>
      </c>
      <c r="M444" s="36">
        <f>YEAR(Table1[[#This Row],[ETA
As requested
dd.mm.yyyy]])</f>
        <v>2025</v>
      </c>
      <c r="N444" s="36">
        <f>IFERROR(INDEX(DATABASE_FG!$H$5:$H$367, MATCH(E444, DATABASE_FG!$C$5:$C$367, 0)), " ")</f>
        <v>0</v>
      </c>
      <c r="O444" s="129" t="str">
        <f>IF(E444&lt;&gt;"", _xlfn.XLOOKUP(E444, DATABASE_FG!C:C, DATABASE_FG!F:F), " ")</f>
        <v>Alama</v>
      </c>
      <c r="P444" s="129">
        <f>IFERROR(INDEX(DATABASE_FG!$G$5:$G$367, MATCH(E444, DATABASE_FG!$C$5:$C$367, 0)), "Not Found")</f>
        <v>0</v>
      </c>
      <c r="Q444" s="36"/>
      <c r="R444" s="125" t="s">
        <v>678</v>
      </c>
      <c r="S444" s="123"/>
      <c r="T444" s="36" t="s">
        <v>679</v>
      </c>
      <c r="U444" s="36"/>
      <c r="V444" s="36"/>
      <c r="W444" s="129"/>
      <c r="X444" s="36"/>
      <c r="Y444" s="36"/>
      <c r="Z444" s="36"/>
      <c r="AA444" s="125" t="s">
        <v>121</v>
      </c>
      <c r="AB444" s="173">
        <v>45890</v>
      </c>
      <c r="AC444" s="119" t="s">
        <v>3574</v>
      </c>
      <c r="AD444" s="36">
        <f t="shared" si="59"/>
        <v>39839943</v>
      </c>
      <c r="AE444" s="36" t="str">
        <f t="shared" si="60"/>
        <v>EDP KUH.6217-B-M-3001 004_</v>
      </c>
      <c r="AF444" s="36">
        <v>344</v>
      </c>
      <c r="AG444" s="120">
        <f t="shared" si="61"/>
        <v>1551.4399999999998</v>
      </c>
      <c r="AH444" s="36"/>
      <c r="AI444" s="124"/>
      <c r="AJ444" s="122" t="s">
        <v>3575</v>
      </c>
      <c r="AK444" s="129" t="str">
        <f t="shared" ca="1" si="62"/>
        <v>Late</v>
      </c>
      <c r="AL444" s="268" t="str">
        <f t="shared" si="63"/>
        <v>August</v>
      </c>
      <c r="AM444" s="133">
        <f>YEAR(Table1[[#This Row],[ETA
As requested
dd.mm.yyyy]])</f>
        <v>2025</v>
      </c>
    </row>
    <row r="445" spans="1:39" hidden="1">
      <c r="A445" s="123" t="s">
        <v>83</v>
      </c>
      <c r="B445" s="36" t="s">
        <v>1170</v>
      </c>
      <c r="C445" s="117">
        <v>39839943</v>
      </c>
      <c r="D445" s="165">
        <v>45874</v>
      </c>
      <c r="E445" s="117" t="s">
        <v>89</v>
      </c>
      <c r="F445" s="36" t="str">
        <f>IFERROR(VLOOKUP(Table1[[#This Row],[Part Number]],DATABASE_FG!$C$6:D10434,2,FALSE)," ")</f>
        <v xml:space="preserve">300343442-0000 </v>
      </c>
      <c r="G445" s="117" t="str">
        <f>IFERROR(_xlfn.XLOOKUP(Table1[[#This Row],[Part Number]],Table3[Part number],Table3[Drawing
 Revision]),"")</f>
        <v>AA</v>
      </c>
      <c r="H445" s="118" cm="1">
        <f t="array" ref="H445">IFERROR(INDEX(PDB!$C:$AT,MATCH(E445,PDB!$B:$B,0),MATCH(YEAR(K445),0+PDB!$C$1:$AT$1,0)),"")</f>
        <v>4.51</v>
      </c>
      <c r="I445" s="36">
        <v>321</v>
      </c>
      <c r="J445" s="125">
        <f>IFERROR(Table1[[#This Row],[Quantity]]*Table1[[#This Row],[Price/Unit
EUR]]," ")</f>
        <v>1447.71</v>
      </c>
      <c r="K445" s="126">
        <v>45887</v>
      </c>
      <c r="L445" s="36">
        <f>WEEKNUM(Table1[[#This Row],[ETA
As requested
dd.mm.yyyy]])</f>
        <v>34</v>
      </c>
      <c r="M445" s="36">
        <f>YEAR(Table1[[#This Row],[ETA
As requested
dd.mm.yyyy]])</f>
        <v>2025</v>
      </c>
      <c r="N445" s="36">
        <f>IFERROR(INDEX(DATABASE_FG!$H$5:$H$367, MATCH(E445, DATABASE_FG!$C$5:$C$367, 0)), " ")</f>
        <v>0</v>
      </c>
      <c r="O445" s="129" t="str">
        <f>IF(E445&lt;&gt;"", _xlfn.XLOOKUP(E445, DATABASE_FG!C:C, DATABASE_FG!F:F), " ")</f>
        <v>Alama</v>
      </c>
      <c r="P445" s="129">
        <f>IFERROR(INDEX(DATABASE_FG!$G$5:$G$367, MATCH(E445, DATABASE_FG!$C$5:$C$367, 0)), "Not Found")</f>
        <v>0</v>
      </c>
      <c r="Q445" s="36"/>
      <c r="R445" s="125" t="s">
        <v>678</v>
      </c>
      <c r="S445" s="123"/>
      <c r="T445" s="36" t="s">
        <v>679</v>
      </c>
      <c r="U445" s="36"/>
      <c r="V445" s="36"/>
      <c r="W445" s="129"/>
      <c r="X445" s="36"/>
      <c r="Y445" s="36"/>
      <c r="Z445" s="36"/>
      <c r="AA445" s="125" t="s">
        <v>121</v>
      </c>
      <c r="AB445" s="173">
        <v>45895</v>
      </c>
      <c r="AC445" s="119" t="s">
        <v>3576</v>
      </c>
      <c r="AD445" s="36">
        <f t="shared" si="59"/>
        <v>39839943</v>
      </c>
      <c r="AE445" s="36" t="str">
        <f t="shared" si="60"/>
        <v>EDP KUH.6217-B-M-3001 004_</v>
      </c>
      <c r="AF445" s="36">
        <v>321</v>
      </c>
      <c r="AG445" s="120">
        <f t="shared" si="61"/>
        <v>1447.71</v>
      </c>
      <c r="AH445" s="36"/>
      <c r="AI445" s="124"/>
      <c r="AJ445" s="122" t="s">
        <v>3577</v>
      </c>
      <c r="AK445" s="129" t="str">
        <f t="shared" ca="1" si="62"/>
        <v>Late</v>
      </c>
      <c r="AL445" s="268" t="str">
        <f t="shared" si="63"/>
        <v>August</v>
      </c>
      <c r="AM445" s="133">
        <f>YEAR(Table1[[#This Row],[ETA
As requested
dd.mm.yyyy]])</f>
        <v>2025</v>
      </c>
    </row>
    <row r="446" spans="1:39" hidden="1">
      <c r="A446" s="123" t="s">
        <v>83</v>
      </c>
      <c r="B446" s="36" t="s">
        <v>1170</v>
      </c>
      <c r="C446" s="117">
        <v>39839943</v>
      </c>
      <c r="D446" s="165">
        <v>45874</v>
      </c>
      <c r="E446" s="117" t="s">
        <v>89</v>
      </c>
      <c r="F446" s="36" t="str">
        <f>IFERROR(VLOOKUP(Table1[[#This Row],[Part Number]],DATABASE_FG!$C$6:D10435,2,FALSE)," ")</f>
        <v xml:space="preserve">300343442-0000 </v>
      </c>
      <c r="G446" s="117" t="str">
        <f>IFERROR(_xlfn.XLOOKUP(Table1[[#This Row],[Part Number]],Table3[Part number],Table3[Drawing
 Revision]),"")</f>
        <v>AA</v>
      </c>
      <c r="H446" s="118" cm="1">
        <f t="array" ref="H446">IFERROR(INDEX(PDB!$C:$AT,MATCH(E446,PDB!$B:$B,0),MATCH(YEAR(K446),0+PDB!$C$1:$AT$1,0)),"")</f>
        <v>4.51</v>
      </c>
      <c r="I446" s="36">
        <v>122</v>
      </c>
      <c r="J446" s="125">
        <f>IFERROR(Table1[[#This Row],[Quantity]]*Table1[[#This Row],[Price/Unit
EUR]]," ")</f>
        <v>550.22</v>
      </c>
      <c r="K446" s="126">
        <v>45887</v>
      </c>
      <c r="L446" s="36">
        <f>WEEKNUM(Table1[[#This Row],[ETA
As requested
dd.mm.yyyy]])</f>
        <v>34</v>
      </c>
      <c r="M446" s="36">
        <f>YEAR(Table1[[#This Row],[ETA
As requested
dd.mm.yyyy]])</f>
        <v>2025</v>
      </c>
      <c r="N446" s="36">
        <f>IFERROR(INDEX(DATABASE_FG!$H$5:$H$367, MATCH(E446, DATABASE_FG!$C$5:$C$367, 0)), " ")</f>
        <v>0</v>
      </c>
      <c r="O446" s="129" t="str">
        <f>IF(E446&lt;&gt;"", _xlfn.XLOOKUP(E446, DATABASE_FG!C:C, DATABASE_FG!F:F), " ")</f>
        <v>Alama</v>
      </c>
      <c r="P446" s="129">
        <f>IFERROR(INDEX(DATABASE_FG!$G$5:$G$367, MATCH(E446, DATABASE_FG!$C$5:$C$367, 0)), "Not Found")</f>
        <v>0</v>
      </c>
      <c r="Q446" s="36"/>
      <c r="R446" s="125" t="s">
        <v>678</v>
      </c>
      <c r="S446" s="123"/>
      <c r="T446" s="36" t="s">
        <v>679</v>
      </c>
      <c r="U446" s="36"/>
      <c r="V446" s="36"/>
      <c r="W446" s="129"/>
      <c r="X446" s="36"/>
      <c r="Y446" s="36"/>
      <c r="Z446" s="36"/>
      <c r="AA446" s="125" t="s">
        <v>121</v>
      </c>
      <c r="AB446" s="173">
        <v>45896</v>
      </c>
      <c r="AC446" s="119" t="s">
        <v>3578</v>
      </c>
      <c r="AD446" s="36">
        <f t="shared" si="59"/>
        <v>39839943</v>
      </c>
      <c r="AE446" s="36" t="str">
        <f t="shared" si="60"/>
        <v>EDP KUH.6217-B-M-3001 004_</v>
      </c>
      <c r="AF446" s="36">
        <v>122</v>
      </c>
      <c r="AG446" s="120">
        <f t="shared" si="61"/>
        <v>550.22</v>
      </c>
      <c r="AH446" s="36"/>
      <c r="AI446" s="124"/>
      <c r="AJ446" s="122" t="s">
        <v>3579</v>
      </c>
      <c r="AK446" s="129" t="str">
        <f t="shared" ca="1" si="62"/>
        <v>Late</v>
      </c>
      <c r="AL446" s="268" t="str">
        <f t="shared" si="63"/>
        <v>August</v>
      </c>
      <c r="AM446" s="133">
        <f>YEAR(Table1[[#This Row],[ETA
As requested
dd.mm.yyyy]])</f>
        <v>2025</v>
      </c>
    </row>
    <row r="447" spans="1:39" hidden="1">
      <c r="A447" s="123" t="s">
        <v>83</v>
      </c>
      <c r="B447" s="36" t="s">
        <v>1170</v>
      </c>
      <c r="C447" s="117">
        <v>39839943</v>
      </c>
      <c r="D447" s="165">
        <v>45874</v>
      </c>
      <c r="E447" s="117" t="s">
        <v>89</v>
      </c>
      <c r="F447" s="36" t="str">
        <f>IFERROR(VLOOKUP(Table1[[#This Row],[Part Number]],DATABASE_FG!$C$6:D10436,2,FALSE)," ")</f>
        <v xml:space="preserve">300343442-0000 </v>
      </c>
      <c r="G447" s="117" t="str">
        <f>IFERROR(_xlfn.XLOOKUP(Table1[[#This Row],[Part Number]],Table3[Part number],Table3[Drawing
 Revision]),"")</f>
        <v>AA</v>
      </c>
      <c r="H447" s="118" cm="1">
        <f t="array" ref="H447">IFERROR(INDEX(PDB!$C:$AT,MATCH(E447,PDB!$B:$B,0),MATCH(YEAR(K447),0+PDB!$C$1:$AT$1,0)),"")</f>
        <v>4.51</v>
      </c>
      <c r="I447" s="36">
        <v>50</v>
      </c>
      <c r="J447" s="125">
        <f>IFERROR(Table1[[#This Row],[Quantity]]*Table1[[#This Row],[Price/Unit
EUR]]," ")</f>
        <v>225.5</v>
      </c>
      <c r="K447" s="126">
        <v>45887</v>
      </c>
      <c r="L447" s="36">
        <f>WEEKNUM(Table1[[#This Row],[ETA
As requested
dd.mm.yyyy]])</f>
        <v>34</v>
      </c>
      <c r="M447" s="36">
        <f>YEAR(Table1[[#This Row],[ETA
As requested
dd.mm.yyyy]])</f>
        <v>2025</v>
      </c>
      <c r="N447" s="36">
        <f>IFERROR(INDEX(DATABASE_FG!$H$5:$H$367, MATCH(E447, DATABASE_FG!$C$5:$C$367, 0)), " ")</f>
        <v>0</v>
      </c>
      <c r="O447" s="129" t="str">
        <f>IF(E447&lt;&gt;"", _xlfn.XLOOKUP(E447, DATABASE_FG!C:C, DATABASE_FG!F:F), " ")</f>
        <v>Alama</v>
      </c>
      <c r="P447" s="129">
        <f>IFERROR(INDEX(DATABASE_FG!$G$5:$G$367, MATCH(E447, DATABASE_FG!$C$5:$C$367, 0)), "Not Found")</f>
        <v>0</v>
      </c>
      <c r="Q447" s="36"/>
      <c r="R447" s="125" t="s">
        <v>678</v>
      </c>
      <c r="S447" s="123"/>
      <c r="T447" s="36" t="s">
        <v>679</v>
      </c>
      <c r="U447" s="36"/>
      <c r="V447" s="36"/>
      <c r="W447" s="129"/>
      <c r="X447" s="36"/>
      <c r="Y447" s="36"/>
      <c r="Z447" s="36"/>
      <c r="AA447" s="125" t="s">
        <v>121</v>
      </c>
      <c r="AB447" s="173">
        <v>45897</v>
      </c>
      <c r="AC447" s="119" t="s">
        <v>3580</v>
      </c>
      <c r="AD447" s="36">
        <f t="shared" si="59"/>
        <v>39839943</v>
      </c>
      <c r="AE447" s="36" t="str">
        <f t="shared" si="60"/>
        <v>EDP KUH.6217-B-M-3001 004_</v>
      </c>
      <c r="AF447" s="36">
        <v>50</v>
      </c>
      <c r="AG447" s="120">
        <f t="shared" si="61"/>
        <v>225.5</v>
      </c>
      <c r="AH447" s="36"/>
      <c r="AI447" s="124"/>
      <c r="AJ447" s="122" t="s">
        <v>3581</v>
      </c>
      <c r="AK447" s="129" t="str">
        <f t="shared" ca="1" si="62"/>
        <v>Late</v>
      </c>
      <c r="AL447" s="268" t="str">
        <f t="shared" si="63"/>
        <v>August</v>
      </c>
      <c r="AM447" s="133">
        <f>YEAR(Table1[[#This Row],[ETA
As requested
dd.mm.yyyy]])</f>
        <v>2025</v>
      </c>
    </row>
    <row r="448" spans="1:39" hidden="1">
      <c r="A448" s="123" t="s">
        <v>83</v>
      </c>
      <c r="B448" s="36" t="s">
        <v>1170</v>
      </c>
      <c r="C448" s="117">
        <v>39839943</v>
      </c>
      <c r="D448" s="165">
        <v>45874</v>
      </c>
      <c r="E448" s="117" t="s">
        <v>89</v>
      </c>
      <c r="F448" s="36" t="str">
        <f>IFERROR(VLOOKUP(Table1[[#This Row],[Part Number]],DATABASE_FG!$C$6:D10437,2,FALSE)," ")</f>
        <v xml:space="preserve">300343442-0000 </v>
      </c>
      <c r="G448" s="117" t="str">
        <f>IFERROR(_xlfn.XLOOKUP(Table1[[#This Row],[Part Number]],Table3[Part number],Table3[Drawing
 Revision]),"")</f>
        <v>AA</v>
      </c>
      <c r="H448" s="118" cm="1">
        <f t="array" ref="H448">IFERROR(INDEX(PDB!$C:$AT,MATCH(E448,PDB!$B:$B,0),MATCH(YEAR(K448),0+PDB!$C$1:$AT$1,0)),"")</f>
        <v>4.51</v>
      </c>
      <c r="I448" s="36">
        <v>168</v>
      </c>
      <c r="J448" s="125">
        <f>IFERROR(Table1[[#This Row],[Quantity]]*Table1[[#This Row],[Price/Unit
EUR]]," ")</f>
        <v>757.68</v>
      </c>
      <c r="K448" s="126">
        <v>45887</v>
      </c>
      <c r="L448" s="36">
        <f>WEEKNUM(Table1[[#This Row],[ETA
As requested
dd.mm.yyyy]])</f>
        <v>34</v>
      </c>
      <c r="M448" s="36">
        <f>YEAR(Table1[[#This Row],[ETA
As requested
dd.mm.yyyy]])</f>
        <v>2025</v>
      </c>
      <c r="N448" s="36">
        <f>IFERROR(INDEX(DATABASE_FG!$H$5:$H$367, MATCH(E448, DATABASE_FG!$C$5:$C$367, 0)), " ")</f>
        <v>0</v>
      </c>
      <c r="O448" s="129" t="str">
        <f>IF(E448&lt;&gt;"", _xlfn.XLOOKUP(E448, DATABASE_FG!C:C, DATABASE_FG!F:F), " ")</f>
        <v>Alama</v>
      </c>
      <c r="P448" s="129">
        <f>IFERROR(INDEX(DATABASE_FG!$G$5:$G$367, MATCH(E448, DATABASE_FG!$C$5:$C$367, 0)), "Not Found")</f>
        <v>0</v>
      </c>
      <c r="Q448" s="36"/>
      <c r="R448" s="125" t="s">
        <v>678</v>
      </c>
      <c r="S448" s="123"/>
      <c r="T448" s="36" t="s">
        <v>679</v>
      </c>
      <c r="U448" s="36"/>
      <c r="V448" s="36"/>
      <c r="W448" s="129"/>
      <c r="X448" s="36"/>
      <c r="Y448" s="36"/>
      <c r="Z448" s="36"/>
      <c r="AA448" s="125" t="s">
        <v>121</v>
      </c>
      <c r="AB448" s="173">
        <v>45898</v>
      </c>
      <c r="AC448" s="119" t="s">
        <v>3582</v>
      </c>
      <c r="AD448" s="36">
        <f t="shared" si="59"/>
        <v>39839943</v>
      </c>
      <c r="AE448" s="36" t="str">
        <f t="shared" si="60"/>
        <v>EDP KUH.6217-B-M-3001 004_</v>
      </c>
      <c r="AF448" s="36">
        <v>168</v>
      </c>
      <c r="AG448" s="120">
        <f t="shared" si="61"/>
        <v>757.68</v>
      </c>
      <c r="AH448" s="36"/>
      <c r="AI448" s="124"/>
      <c r="AJ448" s="122" t="s">
        <v>3583</v>
      </c>
      <c r="AK448" s="129" t="str">
        <f t="shared" ca="1" si="62"/>
        <v>Late</v>
      </c>
      <c r="AL448" s="268" t="str">
        <f t="shared" si="63"/>
        <v>August</v>
      </c>
      <c r="AM448" s="133">
        <f>YEAR(Table1[[#This Row],[ETA
As requested
dd.mm.yyyy]])</f>
        <v>2025</v>
      </c>
    </row>
    <row r="449" spans="1:40" hidden="1">
      <c r="A449" s="123" t="s">
        <v>83</v>
      </c>
      <c r="B449" s="36" t="s">
        <v>1170</v>
      </c>
      <c r="C449" s="117">
        <v>39839943</v>
      </c>
      <c r="D449" s="165">
        <v>45874</v>
      </c>
      <c r="E449" s="117" t="s">
        <v>89</v>
      </c>
      <c r="F449" s="36" t="str">
        <f>IFERROR(VLOOKUP(Table1[[#This Row],[Part Number]],DATABASE_FG!$C$6:D10438,2,FALSE)," ")</f>
        <v xml:space="preserve">300343442-0000 </v>
      </c>
      <c r="G449" s="117" t="str">
        <f>IFERROR(_xlfn.XLOOKUP(Table1[[#This Row],[Part Number]],Table3[Part number],Table3[Drawing
 Revision]),"")</f>
        <v>AA</v>
      </c>
      <c r="H449" s="118" cm="1">
        <f t="array" ref="H449">IFERROR(INDEX(PDB!$C:$AT,MATCH(E449,PDB!$B:$B,0),MATCH(YEAR(K449),0+PDB!$C$1:$AT$1,0)),"")</f>
        <v>4.51</v>
      </c>
      <c r="I449" s="36">
        <v>27</v>
      </c>
      <c r="J449" s="125">
        <f>IFERROR(Table1[[#This Row],[Quantity]]*Table1[[#This Row],[Price/Unit
EUR]]," ")</f>
        <v>121.77</v>
      </c>
      <c r="K449" s="126">
        <v>45887</v>
      </c>
      <c r="L449" s="36">
        <f>WEEKNUM(Table1[[#This Row],[ETA
As requested
dd.mm.yyyy]])</f>
        <v>34</v>
      </c>
      <c r="M449" s="36">
        <f>YEAR(Table1[[#This Row],[ETA
As requested
dd.mm.yyyy]])</f>
        <v>2025</v>
      </c>
      <c r="N449" s="36">
        <f>IFERROR(INDEX(DATABASE_FG!$H$5:$H$367, MATCH(E449, DATABASE_FG!$C$5:$C$367, 0)), " ")</f>
        <v>0</v>
      </c>
      <c r="O449" s="129" t="str">
        <f>IF(E449&lt;&gt;"", _xlfn.XLOOKUP(E449, DATABASE_FG!C:C, DATABASE_FG!F:F), " ")</f>
        <v>Alama</v>
      </c>
      <c r="P449" s="129">
        <f>IFERROR(INDEX(DATABASE_FG!$G$5:$G$367, MATCH(E449, DATABASE_FG!$C$5:$C$367, 0)), "Not Found")</f>
        <v>0</v>
      </c>
      <c r="Q449" s="36"/>
      <c r="R449" s="125" t="s">
        <v>678</v>
      </c>
      <c r="S449" s="123"/>
      <c r="T449" s="36" t="s">
        <v>679</v>
      </c>
      <c r="U449" s="36"/>
      <c r="V449" s="36"/>
      <c r="W449" s="129"/>
      <c r="X449" s="36"/>
      <c r="Y449" s="36"/>
      <c r="Z449" s="36"/>
      <c r="AA449" s="125" t="s">
        <v>121</v>
      </c>
      <c r="AB449" s="172">
        <v>45899</v>
      </c>
      <c r="AC449" s="119" t="s">
        <v>3584</v>
      </c>
      <c r="AD449" s="36">
        <f t="shared" si="59"/>
        <v>39839943</v>
      </c>
      <c r="AE449" s="36" t="str">
        <f t="shared" si="60"/>
        <v>EDP KUH.6217-B-M-3001 004_</v>
      </c>
      <c r="AF449" s="36">
        <v>27</v>
      </c>
      <c r="AG449" s="120">
        <f t="shared" si="61"/>
        <v>121.77</v>
      </c>
      <c r="AH449" s="36"/>
      <c r="AI449" s="124"/>
      <c r="AJ449" s="122" t="s">
        <v>3585</v>
      </c>
      <c r="AK449" s="129" t="str">
        <f t="shared" ca="1" si="62"/>
        <v>Late</v>
      </c>
      <c r="AL449" s="268" t="str">
        <f t="shared" si="63"/>
        <v>August</v>
      </c>
      <c r="AM449" s="133">
        <f>YEAR(Table1[[#This Row],[ETA
As requested
dd.mm.yyyy]])</f>
        <v>2025</v>
      </c>
    </row>
    <row r="450" spans="1:40" hidden="1">
      <c r="A450" s="123" t="s">
        <v>83</v>
      </c>
      <c r="B450" s="36" t="s">
        <v>1170</v>
      </c>
      <c r="C450" s="117"/>
      <c r="D450" s="165">
        <v>45860</v>
      </c>
      <c r="E450" s="117" t="s">
        <v>89</v>
      </c>
      <c r="F450" s="36" t="str">
        <f>IFERROR(VLOOKUP(Table1[[#This Row],[Part Number]],DATABASE_FG!$C$6:D10439,2,FALSE)," ")</f>
        <v xml:space="preserve">300343442-0000 </v>
      </c>
      <c r="G450" s="117" t="str">
        <f>IFERROR(_xlfn.XLOOKUP(Table1[[#This Row],[Part Number]],Table3[Part number],Table3[Drawing
 Revision]),"")</f>
        <v>AA</v>
      </c>
      <c r="H450" s="118" cm="1">
        <f t="array" ref="H450">IFERROR(INDEX(PDB!$C:$AT,MATCH(E450,PDB!$B:$B,0),MATCH(YEAR(K450),0+PDB!$C$1:$AT$1,0)),"")</f>
        <v>4.51</v>
      </c>
      <c r="I450" s="36">
        <v>400</v>
      </c>
      <c r="J450" s="125">
        <f>IFERROR(Table1[[#This Row],[Quantity]]*Table1[[#This Row],[Price/Unit
EUR]]," ")</f>
        <v>1804</v>
      </c>
      <c r="K450" s="126">
        <v>45979</v>
      </c>
      <c r="L450" s="36">
        <f>WEEKNUM(Table1[[#This Row],[ETA
As requested
dd.mm.yyyy]])</f>
        <v>47</v>
      </c>
      <c r="M450" s="36">
        <f>YEAR(Table1[[#This Row],[ETA
As requested
dd.mm.yyyy]])</f>
        <v>2025</v>
      </c>
      <c r="N450" s="36">
        <f>IFERROR(INDEX(DATABASE_FG!$H$5:$H$367, MATCH(E450, DATABASE_FG!$C$5:$C$367, 0)), " ")</f>
        <v>0</v>
      </c>
      <c r="O450" s="129" t="str">
        <f>IF(E450&lt;&gt;"", _xlfn.XLOOKUP(E450, DATABASE_FG!C:C, DATABASE_FG!F:F), " ")</f>
        <v>Alama</v>
      </c>
      <c r="P450" s="129">
        <f>IFERROR(INDEX(DATABASE_FG!$G$5:$G$367, MATCH(E450, DATABASE_FG!$C$5:$C$367, 0)), "Not Found")</f>
        <v>0</v>
      </c>
      <c r="Q450" s="36"/>
      <c r="R450" s="125" t="s">
        <v>678</v>
      </c>
      <c r="S450" s="123"/>
      <c r="T450" s="36" t="s">
        <v>679</v>
      </c>
      <c r="U450" s="36"/>
      <c r="V450" s="36"/>
      <c r="W450" s="129"/>
      <c r="X450" s="36"/>
      <c r="Y450" s="36"/>
      <c r="Z450" s="36"/>
      <c r="AA450" s="125" t="s">
        <v>3</v>
      </c>
      <c r="AB450" s="173"/>
      <c r="AC450" s="119"/>
      <c r="AD450" s="36" t="str">
        <f t="shared" si="59"/>
        <v/>
      </c>
      <c r="AE450" s="36" t="str">
        <f t="shared" si="60"/>
        <v/>
      </c>
      <c r="AF450" s="36"/>
      <c r="AG450" s="120">
        <f t="shared" si="61"/>
        <v>0</v>
      </c>
      <c r="AH450" s="36"/>
      <c r="AI450" s="124"/>
      <c r="AJ450" s="122"/>
      <c r="AK450" s="129" t="str">
        <f t="shared" ca="1" si="62"/>
        <v/>
      </c>
      <c r="AL450" s="268" t="str">
        <f t="shared" si="63"/>
        <v>November</v>
      </c>
      <c r="AM450" s="133">
        <f>YEAR(Table1[[#This Row],[ETA
As requested
dd.mm.yyyy]])</f>
        <v>2025</v>
      </c>
    </row>
    <row r="451" spans="1:40" hidden="1">
      <c r="A451" s="123" t="s">
        <v>83</v>
      </c>
      <c r="B451" s="36" t="s">
        <v>1170</v>
      </c>
      <c r="C451" s="117"/>
      <c r="D451" s="165">
        <v>45860</v>
      </c>
      <c r="E451" s="117" t="s">
        <v>89</v>
      </c>
      <c r="F451" s="36" t="str">
        <f>IFERROR(VLOOKUP(Table1[[#This Row],[Part Number]],DATABASE_FG!$C$6:D10440,2,FALSE)," ")</f>
        <v xml:space="preserve">300343442-0000 </v>
      </c>
      <c r="G451" s="117" t="str">
        <f>IFERROR(_xlfn.XLOOKUP(Table1[[#This Row],[Part Number]],Table3[Part number],Table3[Drawing
 Revision]),"")</f>
        <v>AA</v>
      </c>
      <c r="H451" s="118" cm="1">
        <f t="array" ref="H451">IFERROR(INDEX(PDB!$C:$AT,MATCH(E451,PDB!$B:$B,0),MATCH(YEAR(K451),0+PDB!$C$1:$AT$1,0)),"")</f>
        <v>4.51</v>
      </c>
      <c r="I451" s="36">
        <v>240</v>
      </c>
      <c r="J451" s="125">
        <f>IFERROR(Table1[[#This Row],[Quantity]]*Table1[[#This Row],[Price/Unit
EUR]]," ")</f>
        <v>1082.3999999999999</v>
      </c>
      <c r="K451" s="126">
        <v>46009</v>
      </c>
      <c r="L451" s="36">
        <f>WEEKNUM(Table1[[#This Row],[ETA
As requested
dd.mm.yyyy]])</f>
        <v>51</v>
      </c>
      <c r="M451" s="36">
        <f>YEAR(Table1[[#This Row],[ETA
As requested
dd.mm.yyyy]])</f>
        <v>2025</v>
      </c>
      <c r="N451" s="36">
        <f>IFERROR(INDEX(DATABASE_FG!$H$5:$H$367, MATCH(E451, DATABASE_FG!$C$5:$C$367, 0)), " ")</f>
        <v>0</v>
      </c>
      <c r="O451" s="129" t="str">
        <f>IF(E451&lt;&gt;"", _xlfn.XLOOKUP(E451, DATABASE_FG!C:C, DATABASE_FG!F:F), " ")</f>
        <v>Alama</v>
      </c>
      <c r="P451" s="129">
        <f>IFERROR(INDEX(DATABASE_FG!$G$5:$G$367, MATCH(E451, DATABASE_FG!$C$5:$C$367, 0)), "Not Found")</f>
        <v>0</v>
      </c>
      <c r="Q451" s="36"/>
      <c r="R451" s="125" t="s">
        <v>678</v>
      </c>
      <c r="S451" s="123"/>
      <c r="T451" s="36" t="s">
        <v>679</v>
      </c>
      <c r="U451" s="36"/>
      <c r="V451" s="36"/>
      <c r="W451" s="129"/>
      <c r="X451" s="36"/>
      <c r="Y451" s="36"/>
      <c r="Z451" s="36"/>
      <c r="AA451" s="125" t="s">
        <v>3</v>
      </c>
      <c r="AB451" s="173"/>
      <c r="AC451" s="119"/>
      <c r="AD451" s="36" t="str">
        <f t="shared" si="59"/>
        <v/>
      </c>
      <c r="AE451" s="36" t="str">
        <f t="shared" si="60"/>
        <v/>
      </c>
      <c r="AF451" s="36"/>
      <c r="AG451" s="120">
        <f t="shared" si="61"/>
        <v>0</v>
      </c>
      <c r="AH451" s="36"/>
      <c r="AI451" s="124"/>
      <c r="AJ451" s="122"/>
      <c r="AK451" s="129" t="str">
        <f t="shared" ca="1" si="62"/>
        <v/>
      </c>
      <c r="AL451" s="268" t="str">
        <f t="shared" si="63"/>
        <v>December</v>
      </c>
      <c r="AM451" s="133">
        <f>YEAR(Table1[[#This Row],[ETA
As requested
dd.mm.yyyy]])</f>
        <v>2025</v>
      </c>
    </row>
    <row r="452" spans="1:40" hidden="1">
      <c r="A452" s="123" t="s">
        <v>83</v>
      </c>
      <c r="B452" s="36" t="s">
        <v>1170</v>
      </c>
      <c r="C452" s="117">
        <v>50430456</v>
      </c>
      <c r="D452" s="165">
        <v>45931</v>
      </c>
      <c r="E452" s="117" t="s">
        <v>4334</v>
      </c>
      <c r="F452" s="36" t="str">
        <f>IFERROR(VLOOKUP(Table1[[#This Row],[Part Number]],DATABASE_FG!$C$6:D10441,2,FALSE)," ")</f>
        <v>Colivie</v>
      </c>
      <c r="G452" s="117" t="str">
        <f>IFERROR(_xlfn.XLOOKUP(Table1[[#This Row],[Part Number]],Table3[Part number],Table3[Drawing
 Revision]),"")</f>
        <v>AA</v>
      </c>
      <c r="H452" s="353" cm="1">
        <f t="array" ref="H452">IFERROR(INDEX(PDB!$C:$AT,MATCH(E452,PDB!$B:$B,0),MATCH(YEAR(K452),0+PDB!$C$1:$AT$1,0)),"")</f>
        <v>3.3825350341005129</v>
      </c>
      <c r="I452" s="36">
        <v>360</v>
      </c>
      <c r="J452" s="354">
        <f>IFERROR(Table1[[#This Row],[Quantity]]*Table1[[#This Row],[Price/Unit
EUR]]," ")</f>
        <v>1217.7126122761847</v>
      </c>
      <c r="K452" s="126">
        <v>45961</v>
      </c>
      <c r="L452" s="36">
        <v>12</v>
      </c>
      <c r="M452" s="36">
        <v>2025</v>
      </c>
      <c r="N452" s="36"/>
      <c r="O452" s="129" t="s">
        <v>84</v>
      </c>
      <c r="P452" s="129">
        <v>0</v>
      </c>
      <c r="Q452" s="36"/>
      <c r="R452" s="125" t="s">
        <v>678</v>
      </c>
      <c r="S452" s="123">
        <f>Table1[[#This Row],[Quantity]]/48</f>
        <v>7.5</v>
      </c>
      <c r="T452" s="36"/>
      <c r="U452" s="36"/>
      <c r="V452" s="36"/>
      <c r="W452" s="129"/>
      <c r="X452" s="36"/>
      <c r="Y452" s="36"/>
      <c r="Z452" s="36"/>
      <c r="AA452" s="125" t="s">
        <v>121</v>
      </c>
      <c r="AB452" s="173">
        <v>45958</v>
      </c>
      <c r="AC452" s="119" t="s">
        <v>4413</v>
      </c>
      <c r="AD452" s="36">
        <f>IF(NOT(ISBLANK(AC452)), C452, "")</f>
        <v>50430456</v>
      </c>
      <c r="AE452" s="36" t="str">
        <f>IF(NOT(ISBLANK(AC452)), E452, "")</f>
        <v>EDP KUH.6218-B-M-3001 004</v>
      </c>
      <c r="AF452" s="36">
        <v>360</v>
      </c>
      <c r="AG452" s="120">
        <f>AF452*H452</f>
        <v>1217.7126122761847</v>
      </c>
      <c r="AH452" s="36"/>
      <c r="AI452" s="124"/>
      <c r="AJ452" s="122" t="s">
        <v>4420</v>
      </c>
      <c r="AK452" s="129" t="str">
        <f ca="1">IF(AB452="", IF(K452 &lt; TODAY(), "Late", ""), IF(AB452 &lt;= K452 + 2, "On Time", "Late"))</f>
        <v>On Time</v>
      </c>
      <c r="AL452" s="268" t="str">
        <f>TEXT(K452,"mmmm")</f>
        <v>October</v>
      </c>
      <c r="AM452" s="133">
        <f>YEAR(Table1[[#This Row],[ETA
As requested
dd.mm.yyyy]])</f>
        <v>2025</v>
      </c>
      <c r="AN452" s="191"/>
    </row>
    <row r="453" spans="1:40" hidden="1">
      <c r="A453" s="123" t="s">
        <v>83</v>
      </c>
      <c r="B453" s="36" t="s">
        <v>1170</v>
      </c>
      <c r="C453" s="117">
        <v>50430456</v>
      </c>
      <c r="D453" s="165">
        <v>45931</v>
      </c>
      <c r="E453" s="117" t="s">
        <v>4334</v>
      </c>
      <c r="F453" s="36" t="str">
        <f>IFERROR(VLOOKUP(Table1[[#This Row],[Part Number]],DATABASE_FG!$C$6:D10442,2,FALSE)," ")</f>
        <v>Colivie</v>
      </c>
      <c r="G453" s="117" t="str">
        <f>IFERROR(_xlfn.XLOOKUP(Table1[[#This Row],[Part Number]],Table3[Part number],Table3[Drawing
 Revision]),"")</f>
        <v>AA</v>
      </c>
      <c r="H453" s="353" cm="1">
        <f t="array" ref="H453">IFERROR(INDEX(PDB!$C:$AT,MATCH(E453,PDB!$B:$B,0),MATCH(YEAR(K453),0+PDB!$C$1:$AT$1,0)),"")</f>
        <v>3.3825350341005129</v>
      </c>
      <c r="I453" s="36">
        <f>1752+5-360</f>
        <v>1397</v>
      </c>
      <c r="J453" s="354">
        <f>IFERROR(Table1[[#This Row],[Quantity]]*Table1[[#This Row],[Price/Unit
EUR]]," ")</f>
        <v>4725.4014426384165</v>
      </c>
      <c r="K453" s="126">
        <v>45961</v>
      </c>
      <c r="L453" s="36">
        <v>12</v>
      </c>
      <c r="M453" s="36">
        <v>2025</v>
      </c>
      <c r="N453" s="36"/>
      <c r="O453" s="129" t="s">
        <v>84</v>
      </c>
      <c r="P453" s="129">
        <v>0</v>
      </c>
      <c r="Q453" s="36"/>
      <c r="R453" s="125" t="s">
        <v>678</v>
      </c>
      <c r="S453" s="123">
        <f>Table1[[#This Row],[Quantity]]/48</f>
        <v>29.104166666666668</v>
      </c>
      <c r="T453" s="36"/>
      <c r="U453" s="36"/>
      <c r="V453" s="36"/>
      <c r="W453" s="129"/>
      <c r="X453" s="36"/>
      <c r="Y453" s="36"/>
      <c r="Z453" s="36"/>
      <c r="AA453" s="125" t="s">
        <v>121</v>
      </c>
      <c r="AB453" s="173">
        <v>45959</v>
      </c>
      <c r="AC453" s="119" t="s">
        <v>4416</v>
      </c>
      <c r="AD453" s="36">
        <f>IF(NOT(ISBLANK(AC453)), C453, "")</f>
        <v>50430456</v>
      </c>
      <c r="AE453" s="36" t="str">
        <f>IF(NOT(ISBLANK(AC453)), E453, "")</f>
        <v>EDP KUH.6218-B-M-3001 004</v>
      </c>
      <c r="AF453" s="36">
        <v>5</v>
      </c>
      <c r="AG453" s="120">
        <f>AF453*H453</f>
        <v>16.912675170502563</v>
      </c>
      <c r="AH453" s="36"/>
      <c r="AI453" s="124" t="s">
        <v>310</v>
      </c>
      <c r="AJ453" s="122" t="s">
        <v>4423</v>
      </c>
      <c r="AK453" s="129" t="str">
        <f ca="1">IF(AB453="", IF(K453 &lt; TODAY(), "Late", ""), IF(AB453 &lt;= K453 + 2, "On Time", "Late"))</f>
        <v>On Time</v>
      </c>
      <c r="AL453" s="268" t="str">
        <f>TEXT(K453,"mmmm")</f>
        <v>October</v>
      </c>
      <c r="AM453" s="133">
        <f>YEAR(Table1[[#This Row],[ETA
As requested
dd.mm.yyyy]])</f>
        <v>2025</v>
      </c>
      <c r="AN453" s="191"/>
    </row>
    <row r="454" spans="1:40" hidden="1">
      <c r="A454" s="123" t="s">
        <v>83</v>
      </c>
      <c r="B454" s="36" t="s">
        <v>1170</v>
      </c>
      <c r="C454" s="117">
        <v>50430456</v>
      </c>
      <c r="D454" s="165">
        <v>45931</v>
      </c>
      <c r="E454" s="117" t="s">
        <v>4334</v>
      </c>
      <c r="F454" s="36" t="str">
        <f>IFERROR(VLOOKUP(Table1[[#This Row],[Part Number]],DATABASE_FG!$C$6:D10443,2,FALSE)," ")</f>
        <v>Colivie</v>
      </c>
      <c r="G454" s="117" t="str">
        <f>IFERROR(_xlfn.XLOOKUP(Table1[[#This Row],[Part Number]],Table3[Part number],Table3[Drawing
 Revision]),"")</f>
        <v>AA</v>
      </c>
      <c r="H454" s="353" cm="1">
        <f t="array" ref="H454">IFERROR(INDEX(PDB!$C:$AT,MATCH(E454,PDB!$B:$B,0),MATCH(YEAR(K454),0+PDB!$C$1:$AT$1,0)),"")</f>
        <v>3.3825350341005129</v>
      </c>
      <c r="I454" s="36">
        <v>714</v>
      </c>
      <c r="J454" s="354">
        <f>IFERROR(Table1[[#This Row],[Quantity]]*Table1[[#This Row],[Price/Unit
EUR]]," ")</f>
        <v>2415.1300143477661</v>
      </c>
      <c r="K454" s="126">
        <v>45961</v>
      </c>
      <c r="L454" s="36">
        <v>12</v>
      </c>
      <c r="M454" s="36">
        <v>2025</v>
      </c>
      <c r="N454" s="36"/>
      <c r="O454" s="129" t="s">
        <v>84</v>
      </c>
      <c r="P454" s="129">
        <v>0</v>
      </c>
      <c r="Q454" s="36"/>
      <c r="R454" s="125" t="s">
        <v>678</v>
      </c>
      <c r="S454" s="123">
        <f>Table1[[#This Row],[Quantity]]/48</f>
        <v>14.875</v>
      </c>
      <c r="T454" s="36"/>
      <c r="U454" s="36"/>
      <c r="V454" s="36"/>
      <c r="W454" s="129"/>
      <c r="X454" s="36"/>
      <c r="Y454" s="36"/>
      <c r="Z454" s="36"/>
      <c r="AA454" s="125" t="s">
        <v>121</v>
      </c>
      <c r="AB454" s="173">
        <v>45960</v>
      </c>
      <c r="AC454" s="119" t="s">
        <v>4425</v>
      </c>
      <c r="AD454" s="36">
        <f>IF(NOT(ISBLANK(AC454)), C454, "")</f>
        <v>50430456</v>
      </c>
      <c r="AE454" s="36" t="str">
        <f>IF(NOT(ISBLANK(AC454)), E454, "")</f>
        <v>EDP KUH.6218-B-M-3001 004</v>
      </c>
      <c r="AF454" s="36">
        <v>714</v>
      </c>
      <c r="AG454" s="120">
        <f>AF454*H454</f>
        <v>2415.1300143477661</v>
      </c>
      <c r="AH454" s="36"/>
      <c r="AI454" s="124"/>
      <c r="AJ454" s="122" t="s">
        <v>4451</v>
      </c>
      <c r="AK454" s="129" t="str">
        <f ca="1">IF(AB454="", IF(K454 &lt; TODAY(), "Late", ""), IF(AB454 &lt;= K454 + 2, "On Time", "Late"))</f>
        <v>On Time</v>
      </c>
      <c r="AL454" s="268" t="str">
        <f>TEXT(K454,"mmmm")</f>
        <v>October</v>
      </c>
      <c r="AM454" s="133">
        <f>YEAR(Table1[[#This Row],[ETA
As requested
dd.mm.yyyy]])</f>
        <v>2025</v>
      </c>
      <c r="AN454" s="191"/>
    </row>
    <row r="455" spans="1:40" hidden="1">
      <c r="A455" s="123" t="s">
        <v>83</v>
      </c>
      <c r="B455" s="36" t="s">
        <v>1170</v>
      </c>
      <c r="C455" s="117">
        <v>50430456</v>
      </c>
      <c r="D455" s="165">
        <v>45931</v>
      </c>
      <c r="E455" s="117" t="s">
        <v>4334</v>
      </c>
      <c r="F455" s="36" t="str">
        <f>IFERROR(VLOOKUP(Table1[[#This Row],[Part Number]],DATABASE_FG!$C$6:D10444,2,FALSE)," ")</f>
        <v>Colivie</v>
      </c>
      <c r="G455" s="117" t="str">
        <f>IFERROR(_xlfn.XLOOKUP(Table1[[#This Row],[Part Number]],Table3[Part number],Table3[Drawing
 Revision]),"")</f>
        <v>AA</v>
      </c>
      <c r="H455" s="353" cm="1">
        <f t="array" ref="H455">IFERROR(INDEX(PDB!$C:$AT,MATCH(E455,PDB!$B:$B,0),MATCH(YEAR(K455),0+PDB!$C$1:$AT$1,0)),"")</f>
        <v>3.3825350341005129</v>
      </c>
      <c r="I455" s="36">
        <v>348</v>
      </c>
      <c r="J455" s="354">
        <f>IFERROR(Table1[[#This Row],[Quantity]]*Table1[[#This Row],[Price/Unit
EUR]]," ")</f>
        <v>1177.1221918669785</v>
      </c>
      <c r="K455" s="126">
        <v>45961</v>
      </c>
      <c r="L455" s="36">
        <v>12</v>
      </c>
      <c r="M455" s="36">
        <v>2025</v>
      </c>
      <c r="N455" s="36"/>
      <c r="O455" s="129" t="s">
        <v>84</v>
      </c>
      <c r="P455" s="129">
        <v>0</v>
      </c>
      <c r="Q455" s="36"/>
      <c r="R455" s="125" t="s">
        <v>678</v>
      </c>
      <c r="S455" s="123">
        <f>Table1[[#This Row],[Quantity]]/48</f>
        <v>7.25</v>
      </c>
      <c r="T455" s="36"/>
      <c r="U455" s="36"/>
      <c r="V455" s="36"/>
      <c r="W455" s="129"/>
      <c r="X455" s="36"/>
      <c r="Y455" s="36"/>
      <c r="Z455" s="36"/>
      <c r="AA455" s="125" t="s">
        <v>121</v>
      </c>
      <c r="AB455" s="173">
        <v>45961</v>
      </c>
      <c r="AC455" s="119" t="s">
        <v>4441</v>
      </c>
      <c r="AD455" s="36">
        <f>IF(NOT(ISBLANK(AC455)), C455, "")</f>
        <v>50430456</v>
      </c>
      <c r="AE455" s="36" t="str">
        <f>IF(NOT(ISBLANK(AC455)), E455, "")</f>
        <v>EDP KUH.6218-B-M-3001 004</v>
      </c>
      <c r="AF455" s="36">
        <v>348</v>
      </c>
      <c r="AG455" s="120">
        <f>AF455*H455</f>
        <v>1177.1221918669785</v>
      </c>
      <c r="AH455" s="36"/>
      <c r="AI455" s="124"/>
      <c r="AJ455" s="122" t="s">
        <v>4452</v>
      </c>
      <c r="AK455" s="129" t="str">
        <f ca="1">IF(AB455="", IF(K455 &lt; TODAY(), "Late", ""), IF(AB455 &lt;= K455 + 2, "On Time", "Late"))</f>
        <v>On Time</v>
      </c>
      <c r="AL455" s="268" t="str">
        <f>TEXT(K455,"mmmm")</f>
        <v>October</v>
      </c>
      <c r="AM455" s="133">
        <f>YEAR(Table1[[#This Row],[ETA
As requested
dd.mm.yyyy]])</f>
        <v>2025</v>
      </c>
      <c r="AN455" s="191"/>
    </row>
    <row r="456" spans="1:40" hidden="1">
      <c r="A456" s="123" t="s">
        <v>83</v>
      </c>
      <c r="B456" s="36" t="s">
        <v>1170</v>
      </c>
      <c r="C456" s="117">
        <v>50430456</v>
      </c>
      <c r="D456" s="165">
        <v>45931</v>
      </c>
      <c r="E456" s="117" t="s">
        <v>4334</v>
      </c>
      <c r="F456" s="36" t="str">
        <f>IFERROR(VLOOKUP(Table1[[#This Row],[Part Number]],DATABASE_FG!$C$6:D10445,2,FALSE)," ")</f>
        <v>Colivie</v>
      </c>
      <c r="G456" s="117" t="str">
        <f>IFERROR(_xlfn.XLOOKUP(Table1[[#This Row],[Part Number]],Table3[Part number],Table3[Drawing
 Revision]),"")</f>
        <v>AA</v>
      </c>
      <c r="H456" s="353" cm="1">
        <f t="array" ref="H456">IFERROR(INDEX(PDB!$C:$AT,MATCH(E456,PDB!$B:$B,0),MATCH(YEAR(K456),0+PDB!$C$1:$AT$1,0)),"")</f>
        <v>3.3825350341005129</v>
      </c>
      <c r="I456" s="36">
        <f>1752+5-360-5-714-348</f>
        <v>330</v>
      </c>
      <c r="J456" s="354">
        <f>IFERROR(Table1[[#This Row],[Quantity]]*Table1[[#This Row],[Price/Unit
EUR]]," ")</f>
        <v>1116.2365612531692</v>
      </c>
      <c r="K456" s="126">
        <v>45961</v>
      </c>
      <c r="L456" s="36">
        <v>12</v>
      </c>
      <c r="M456" s="36">
        <v>2025</v>
      </c>
      <c r="N456" s="36"/>
      <c r="O456" s="129" t="s">
        <v>84</v>
      </c>
      <c r="P456" s="129">
        <v>0</v>
      </c>
      <c r="Q456" s="36"/>
      <c r="R456" s="125" t="s">
        <v>678</v>
      </c>
      <c r="S456" s="123" t="s">
        <v>121</v>
      </c>
      <c r="T456" s="36">
        <v>45755</v>
      </c>
      <c r="U456" s="36">
        <v>25557</v>
      </c>
      <c r="V456" s="36">
        <v>38782986</v>
      </c>
      <c r="W456" s="129" t="s">
        <v>85</v>
      </c>
      <c r="X456" s="36">
        <v>74</v>
      </c>
      <c r="Y456" s="36">
        <v>333</v>
      </c>
      <c r="Z456" s="36"/>
      <c r="AA456" s="125" t="s">
        <v>121</v>
      </c>
      <c r="AB456" s="173">
        <v>45965</v>
      </c>
      <c r="AC456" s="119" t="s">
        <v>4462</v>
      </c>
      <c r="AD456" s="36">
        <f>IF(NOT(ISBLANK(AC456)), C456, "")</f>
        <v>50430456</v>
      </c>
      <c r="AE456" s="36" t="str">
        <f>IF(NOT(ISBLANK(AC456)), E456, "")</f>
        <v>EDP KUH.6218-B-M-3001 004</v>
      </c>
      <c r="AF456" s="36">
        <v>330</v>
      </c>
      <c r="AG456" s="120">
        <f>AF456*H456</f>
        <v>1116.2365612531692</v>
      </c>
      <c r="AH456" s="36"/>
      <c r="AI456" s="124"/>
      <c r="AJ456" s="122" t="s">
        <v>4479</v>
      </c>
      <c r="AK456" s="129" t="str">
        <f ca="1">IF(AB456="", IF(K456 &lt; TODAY(), "Late", ""), IF(AB456 &lt;= K456 + 2, "On Time", "Late"))</f>
        <v>Late</v>
      </c>
      <c r="AL456" s="268" t="str">
        <f>TEXT(K456,"mmmm")</f>
        <v>October</v>
      </c>
      <c r="AM456" s="133">
        <f>YEAR(Table1[[#This Row],[ETA
As requested
dd.mm.yyyy]])</f>
        <v>2025</v>
      </c>
      <c r="AN456" s="191"/>
    </row>
    <row r="457" spans="1:40" hidden="1">
      <c r="A457" s="123" t="s">
        <v>83</v>
      </c>
      <c r="B457" s="36" t="s">
        <v>1170</v>
      </c>
      <c r="C457" s="117">
        <v>36762258</v>
      </c>
      <c r="D457" s="165">
        <v>45405</v>
      </c>
      <c r="E457" s="117" t="s">
        <v>87</v>
      </c>
      <c r="F457" s="36" t="str">
        <f>IFERROR(VLOOKUP(Table1[[#This Row],[Part Number]],DATABASE_FG!$C$6:D10446,2,FALSE)," ")</f>
        <v xml:space="preserve">300343434-0000 </v>
      </c>
      <c r="G457" s="117" t="str">
        <f>IFERROR(_xlfn.XLOOKUP(Table1[[#This Row],[Part Number]],Table3[Part number],Table3[Drawing
 Revision]),"")</f>
        <v>AA</v>
      </c>
      <c r="H457" s="118" cm="1">
        <f t="array" ref="H457">IFERROR(INDEX(PDB!$C:$AT,MATCH(E457,PDB!$B:$B,0),MATCH(YEAR(K457),0+PDB!$C$1:$AT$1,0)),"")</f>
        <v>4.78</v>
      </c>
      <c r="I457" s="36">
        <v>976</v>
      </c>
      <c r="J457" s="125">
        <f>IFERROR(Table1[[#This Row],[Quantity]]*Table1[[#This Row],[Price/Unit
EUR]]," ")</f>
        <v>4665.2800000000007</v>
      </c>
      <c r="K457" s="126">
        <v>45436</v>
      </c>
      <c r="L457" s="36">
        <f>WEEKNUM(Table1[[#This Row],[ETA
As requested
dd.mm.yyyy]])</f>
        <v>21</v>
      </c>
      <c r="M457" s="36">
        <f>YEAR(Table1[[#This Row],[ETA
As requested
dd.mm.yyyy]])</f>
        <v>2024</v>
      </c>
      <c r="N457" s="36">
        <f>IFERROR(INDEX(DATABASE_FG!$H$5:$H$367, MATCH(E457, DATABASE_FG!$C$5:$C$367, 0)), " ")</f>
        <v>0</v>
      </c>
      <c r="O457" s="129" t="str">
        <f>IF(E457&lt;&gt;"", _xlfn.XLOOKUP(E457, DATABASE_FG!C:C, DATABASE_FG!F:F), " ")</f>
        <v>Alama</v>
      </c>
      <c r="P457" s="129">
        <f>IFERROR(INDEX(DATABASE_FG!$G$5:$G$367, MATCH(E457, DATABASE_FG!$C$5:$C$367, 0)), "Not Found")</f>
        <v>0</v>
      </c>
      <c r="Q457" s="36"/>
      <c r="R457" s="125" t="s">
        <v>678</v>
      </c>
      <c r="S457" s="123">
        <f>IFERROR(INDEX(DATABASE_FG!$L$5:$L$367, MATCH(E457, DATABASE_FG!$C$5:$C$367, 0)), " ")</f>
        <v>42</v>
      </c>
      <c r="T457" s="36" t="s">
        <v>679</v>
      </c>
      <c r="U457" s="36"/>
      <c r="V457" s="36"/>
      <c r="W457" s="129"/>
      <c r="X457" s="36"/>
      <c r="Y457" s="36"/>
      <c r="Z457" s="36" t="s">
        <v>1554</v>
      </c>
      <c r="AA457" s="125" t="s">
        <v>121</v>
      </c>
      <c r="AB457" s="173">
        <v>45436</v>
      </c>
      <c r="AC457" s="119">
        <v>2024541</v>
      </c>
      <c r="AD457" s="36">
        <f t="shared" si="59"/>
        <v>36762258</v>
      </c>
      <c r="AE457" s="36" t="str">
        <f t="shared" si="60"/>
        <v>EDP KUH.6220-A-M-3001 004</v>
      </c>
      <c r="AF457" s="36">
        <v>168</v>
      </c>
      <c r="AG457" s="120">
        <f t="shared" si="61"/>
        <v>803.04000000000008</v>
      </c>
      <c r="AH457" s="36"/>
      <c r="AI457" s="124"/>
      <c r="AJ457" s="122" t="s">
        <v>1555</v>
      </c>
      <c r="AK457" s="129" t="str">
        <f t="shared" ca="1" si="62"/>
        <v>On Time</v>
      </c>
      <c r="AL457" s="268" t="str">
        <f t="shared" si="63"/>
        <v>May</v>
      </c>
      <c r="AM457" s="133">
        <f>YEAR(Table1[[#This Row],[ETA
As requested
dd.mm.yyyy]])</f>
        <v>2024</v>
      </c>
    </row>
    <row r="458" spans="1:40" hidden="1">
      <c r="A458" s="123" t="s">
        <v>83</v>
      </c>
      <c r="B458" s="36" t="s">
        <v>1170</v>
      </c>
      <c r="C458" s="117">
        <v>36762258</v>
      </c>
      <c r="D458" s="165">
        <v>45405</v>
      </c>
      <c r="E458" s="117" t="s">
        <v>87</v>
      </c>
      <c r="F458" s="36" t="str">
        <f>IFERROR(VLOOKUP(Table1[[#This Row],[Part Number]],DATABASE_FG!$C$6:D10447,2,FALSE)," ")</f>
        <v xml:space="preserve">300343434-0000 </v>
      </c>
      <c r="G458" s="117" t="str">
        <f>IFERROR(_xlfn.XLOOKUP(Table1[[#This Row],[Part Number]],Table3[Part number],Table3[Drawing
 Revision]),"")</f>
        <v>AA</v>
      </c>
      <c r="H458" s="118" cm="1">
        <f t="array" ref="H458">IFERROR(INDEX(PDB!$C:$AT,MATCH(E458,PDB!$B:$B,0),MATCH(YEAR(K458),0+PDB!$C$1:$AT$1,0)),"")</f>
        <v>4.78</v>
      </c>
      <c r="I458" s="36"/>
      <c r="J458" s="125">
        <f>IFERROR(Table1[[#This Row],[Quantity]]*Table1[[#This Row],[Price/Unit
EUR]]," ")</f>
        <v>0</v>
      </c>
      <c r="K458" s="126">
        <v>45436</v>
      </c>
      <c r="L458" s="36">
        <f>WEEKNUM(Table1[[#This Row],[ETA
As requested
dd.mm.yyyy]])</f>
        <v>21</v>
      </c>
      <c r="M458" s="36">
        <f>YEAR(Table1[[#This Row],[ETA
As requested
dd.mm.yyyy]])</f>
        <v>2024</v>
      </c>
      <c r="N458" s="36">
        <f>IFERROR(INDEX(DATABASE_FG!$H$5:$H$367, MATCH(E458, DATABASE_FG!$C$5:$C$367, 0)), " ")</f>
        <v>0</v>
      </c>
      <c r="O458" s="129" t="str">
        <f>IF(E458&lt;&gt;"", _xlfn.XLOOKUP(E458, DATABASE_FG!C:C, DATABASE_FG!F:F), " ")</f>
        <v>Alama</v>
      </c>
      <c r="P458" s="129">
        <f>IFERROR(INDEX(DATABASE_FG!$G$5:$G$367, MATCH(E458, DATABASE_FG!$C$5:$C$367, 0)), "Not Found")</f>
        <v>0</v>
      </c>
      <c r="Q458" s="36"/>
      <c r="R458" s="125" t="s">
        <v>678</v>
      </c>
      <c r="S458" s="123">
        <f>IFERROR(INDEX(DATABASE_FG!$L$5:$L$367, MATCH(E458, DATABASE_FG!$C$5:$C$367, 0)), " ")</f>
        <v>42</v>
      </c>
      <c r="T458" s="36"/>
      <c r="U458" s="36"/>
      <c r="V458" s="36"/>
      <c r="W458" s="129"/>
      <c r="X458" s="36"/>
      <c r="Y458" s="36"/>
      <c r="Z458" s="36"/>
      <c r="AA458" s="125" t="s">
        <v>121</v>
      </c>
      <c r="AB458" s="173">
        <v>45439</v>
      </c>
      <c r="AC458" s="119">
        <v>2024543</v>
      </c>
      <c r="AD458" s="36">
        <f t="shared" si="59"/>
        <v>36762258</v>
      </c>
      <c r="AE458" s="36" t="str">
        <f t="shared" si="60"/>
        <v>EDP KUH.6220-A-M-3001 004</v>
      </c>
      <c r="AF458" s="36">
        <v>468</v>
      </c>
      <c r="AG458" s="120">
        <f t="shared" si="61"/>
        <v>2237.04</v>
      </c>
      <c r="AH458" s="36"/>
      <c r="AI458" s="124"/>
      <c r="AJ458" s="122" t="s">
        <v>1556</v>
      </c>
      <c r="AK458" s="129" t="str">
        <f t="shared" ca="1" si="62"/>
        <v>Late</v>
      </c>
      <c r="AL458" s="268" t="str">
        <f t="shared" si="63"/>
        <v>May</v>
      </c>
      <c r="AM458" s="133">
        <f>YEAR(Table1[[#This Row],[ETA
As requested
dd.mm.yyyy]])</f>
        <v>2024</v>
      </c>
    </row>
    <row r="459" spans="1:40" hidden="1">
      <c r="A459" s="123" t="s">
        <v>83</v>
      </c>
      <c r="B459" s="36" t="s">
        <v>1170</v>
      </c>
      <c r="C459" s="117">
        <v>36762258</v>
      </c>
      <c r="D459" s="165">
        <v>45405</v>
      </c>
      <c r="E459" s="117" t="s">
        <v>87</v>
      </c>
      <c r="F459" s="36" t="str">
        <f>IFERROR(VLOOKUP(Table1[[#This Row],[Part Number]],DATABASE_FG!$C$6:D10448,2,FALSE)," ")</f>
        <v xml:space="preserve">300343434-0000 </v>
      </c>
      <c r="G459" s="117" t="str">
        <f>IFERROR(_xlfn.XLOOKUP(Table1[[#This Row],[Part Number]],Table3[Part number],Table3[Drawing
 Revision]),"")</f>
        <v>AA</v>
      </c>
      <c r="H459" s="118" cm="1">
        <f t="array" ref="H459">IFERROR(INDEX(PDB!$C:$AT,MATCH(E459,PDB!$B:$B,0),MATCH(YEAR(K459),0+PDB!$C$1:$AT$1,0)),"")</f>
        <v>4.78</v>
      </c>
      <c r="I459" s="36"/>
      <c r="J459" s="125">
        <f>IFERROR(Table1[[#This Row],[Quantity]]*Table1[[#This Row],[Price/Unit
EUR]]," ")</f>
        <v>0</v>
      </c>
      <c r="K459" s="126">
        <v>45436</v>
      </c>
      <c r="L459" s="36">
        <f>WEEKNUM(Table1[[#This Row],[ETA
As requested
dd.mm.yyyy]])</f>
        <v>21</v>
      </c>
      <c r="M459" s="36">
        <f>YEAR(Table1[[#This Row],[ETA
As requested
dd.mm.yyyy]])</f>
        <v>2024</v>
      </c>
      <c r="N459" s="36">
        <f>IFERROR(INDEX(DATABASE_FG!$H$5:$H$367, MATCH(E459, DATABASE_FG!$C$5:$C$367, 0)), " ")</f>
        <v>0</v>
      </c>
      <c r="O459" s="129" t="str">
        <f>IF(E459&lt;&gt;"", _xlfn.XLOOKUP(E459, DATABASE_FG!C:C, DATABASE_FG!F:F), " ")</f>
        <v>Alama</v>
      </c>
      <c r="P459" s="129">
        <f>IFERROR(INDEX(DATABASE_FG!$G$5:$G$367, MATCH(E459, DATABASE_FG!$C$5:$C$367, 0)), "Not Found")</f>
        <v>0</v>
      </c>
      <c r="Q459" s="36"/>
      <c r="R459" s="125" t="s">
        <v>678</v>
      </c>
      <c r="S459" s="123">
        <f>IFERROR(INDEX(DATABASE_FG!$L$5:$L$367, MATCH(E459, DATABASE_FG!$C$5:$C$367, 0)), " ")</f>
        <v>42</v>
      </c>
      <c r="T459" s="36"/>
      <c r="U459" s="36"/>
      <c r="V459" s="36"/>
      <c r="W459" s="129"/>
      <c r="X459" s="36"/>
      <c r="Y459" s="36"/>
      <c r="Z459" s="36"/>
      <c r="AA459" s="125" t="s">
        <v>121</v>
      </c>
      <c r="AB459" s="173">
        <v>45440</v>
      </c>
      <c r="AC459" s="119">
        <v>2024549</v>
      </c>
      <c r="AD459" s="36">
        <f t="shared" si="59"/>
        <v>36762258</v>
      </c>
      <c r="AE459" s="36" t="str">
        <f t="shared" si="60"/>
        <v>EDP KUH.6220-A-M-3001 004</v>
      </c>
      <c r="AF459" s="36">
        <v>304</v>
      </c>
      <c r="AG459" s="120">
        <f t="shared" si="61"/>
        <v>1453.1200000000001</v>
      </c>
      <c r="AH459" s="36">
        <v>31</v>
      </c>
      <c r="AI459" s="124">
        <v>5</v>
      </c>
      <c r="AJ459" s="122" t="s">
        <v>1557</v>
      </c>
      <c r="AK459" s="129" t="str">
        <f t="shared" ca="1" si="62"/>
        <v>Late</v>
      </c>
      <c r="AL459" s="268" t="str">
        <f t="shared" si="63"/>
        <v>May</v>
      </c>
      <c r="AM459" s="133">
        <f>YEAR(Table1[[#This Row],[ETA
As requested
dd.mm.yyyy]])</f>
        <v>2024</v>
      </c>
    </row>
    <row r="460" spans="1:40" hidden="1">
      <c r="A460" s="123" t="s">
        <v>83</v>
      </c>
      <c r="B460" s="36" t="s">
        <v>1170</v>
      </c>
      <c r="C460" s="117">
        <v>38623832</v>
      </c>
      <c r="D460" s="165">
        <v>45701</v>
      </c>
      <c r="E460" s="117" t="s">
        <v>87</v>
      </c>
      <c r="F460" s="36" t="str">
        <f>IFERROR(VLOOKUP(Table1[[#This Row],[Part Number]],DATABASE_FG!$C$6:D10449,2,FALSE)," ")</f>
        <v xml:space="preserve">300343434-0000 </v>
      </c>
      <c r="G460" s="117" t="str">
        <f>IFERROR(_xlfn.XLOOKUP(Table1[[#This Row],[Part Number]],Table3[Part number],Table3[Drawing
 Revision]),"")</f>
        <v>AA</v>
      </c>
      <c r="H460" s="118" cm="1">
        <f t="array" ref="H460">IFERROR(INDEX(PDB!$C:$AT,MATCH(E460,PDB!$B:$B,0),MATCH(YEAR(K460),0+PDB!$C$1:$AT$1,0)),"")</f>
        <v>4.78</v>
      </c>
      <c r="I460" s="36">
        <v>5</v>
      </c>
      <c r="J460" s="125">
        <f>IFERROR(Table1[[#This Row],[Quantity]]*Table1[[#This Row],[Price/Unit
EUR]]," ")</f>
        <v>23.900000000000002</v>
      </c>
      <c r="K460" s="126">
        <v>45712</v>
      </c>
      <c r="L460" s="36">
        <f>WEEKNUM(Table1[[#This Row],[ETA
As requested
dd.mm.yyyy]])</f>
        <v>9</v>
      </c>
      <c r="M460" s="36">
        <f>YEAR(Table1[[#This Row],[ETA
As requested
dd.mm.yyyy]])</f>
        <v>2025</v>
      </c>
      <c r="N460" s="36">
        <f>IFERROR(INDEX(DATABASE_FG!$H$5:$H$367, MATCH(E460, DATABASE_FG!$C$5:$C$367, 0)), " ")</f>
        <v>0</v>
      </c>
      <c r="O460" s="129" t="str">
        <f>IF(E460&lt;&gt;"", _xlfn.XLOOKUP(E460, DATABASE_FG!C:C, DATABASE_FG!F:F), " ")</f>
        <v>Alama</v>
      </c>
      <c r="P460" s="129"/>
      <c r="Q460" s="36"/>
      <c r="R460" s="125" t="s">
        <v>678</v>
      </c>
      <c r="S460" s="123"/>
      <c r="T460" s="36" t="s">
        <v>679</v>
      </c>
      <c r="U460" s="36"/>
      <c r="V460" s="36"/>
      <c r="W460" s="129"/>
      <c r="X460" s="36"/>
      <c r="Y460" s="36" t="s">
        <v>121</v>
      </c>
      <c r="Z460" s="36"/>
      <c r="AA460" s="125" t="s">
        <v>121</v>
      </c>
      <c r="AB460" s="173">
        <v>45720</v>
      </c>
      <c r="AC460" s="119">
        <v>25323</v>
      </c>
      <c r="AD460" s="36">
        <f t="shared" si="59"/>
        <v>38623832</v>
      </c>
      <c r="AE460" s="36" t="str">
        <f t="shared" si="60"/>
        <v>EDP KUH.6220-A-M-3001 004</v>
      </c>
      <c r="AF460" s="36">
        <v>5</v>
      </c>
      <c r="AG460" s="120">
        <f t="shared" si="61"/>
        <v>23.900000000000002</v>
      </c>
      <c r="AH460" s="36"/>
      <c r="AI460" s="124"/>
      <c r="AJ460" s="122" t="s">
        <v>2861</v>
      </c>
      <c r="AK460" s="129" t="str">
        <f t="shared" ca="1" si="62"/>
        <v>Late</v>
      </c>
      <c r="AL460" s="268" t="str">
        <f t="shared" si="63"/>
        <v>February</v>
      </c>
      <c r="AM460" s="133">
        <f>YEAR(Table1[[#This Row],[ETA
As requested
dd.mm.yyyy]])</f>
        <v>2025</v>
      </c>
    </row>
    <row r="461" spans="1:40" hidden="1">
      <c r="A461" s="123" t="s">
        <v>83</v>
      </c>
      <c r="B461" s="36" t="s">
        <v>1170</v>
      </c>
      <c r="C461" s="117">
        <v>38623832</v>
      </c>
      <c r="D461" s="165">
        <v>45701</v>
      </c>
      <c r="E461" s="117" t="s">
        <v>87</v>
      </c>
      <c r="F461" s="36" t="str">
        <f>IFERROR(VLOOKUP(Table1[[#This Row],[Part Number]],DATABASE_FG!$C$6:D10450,2,FALSE)," ")</f>
        <v xml:space="preserve">300343434-0000 </v>
      </c>
      <c r="G461" s="117" t="str">
        <f>IFERROR(_xlfn.XLOOKUP(Table1[[#This Row],[Part Number]],Table3[Part number],Table3[Drawing
 Revision]),"")</f>
        <v>AA</v>
      </c>
      <c r="H461" s="118" cm="1">
        <f t="array" ref="H461">IFERROR(INDEX(PDB!$C:$AT,MATCH(E461,PDB!$B:$B,0),MATCH(YEAR(K461),0+PDB!$C$1:$AT$1,0)),"")</f>
        <v>4.78</v>
      </c>
      <c r="I461" s="36">
        <v>234</v>
      </c>
      <c r="J461" s="125">
        <f>IFERROR(Table1[[#This Row],[Quantity]]*Table1[[#This Row],[Price/Unit
EUR]]," ")</f>
        <v>1118.52</v>
      </c>
      <c r="K461" s="126">
        <v>45712</v>
      </c>
      <c r="L461" s="36">
        <f>WEEKNUM(Table1[[#This Row],[ETA
As requested
dd.mm.yyyy]])</f>
        <v>9</v>
      </c>
      <c r="M461" s="36">
        <f>YEAR(Table1[[#This Row],[ETA
As requested
dd.mm.yyyy]])</f>
        <v>2025</v>
      </c>
      <c r="N461" s="36">
        <f>IFERROR(INDEX(DATABASE_FG!$H$5:$H$367, MATCH(E461, DATABASE_FG!$C$5:$C$367, 0)), " ")</f>
        <v>0</v>
      </c>
      <c r="O461" s="129" t="str">
        <f>IF(E461&lt;&gt;"", _xlfn.XLOOKUP(E461, DATABASE_FG!C:C, DATABASE_FG!F:F), " ")</f>
        <v>Alama</v>
      </c>
      <c r="P461" s="129">
        <f>IFERROR(INDEX(DATABASE_FG!$G$5:$G$367, MATCH(E461, DATABASE_FG!$C$5:$C$367, 0)), "Not Found")</f>
        <v>0</v>
      </c>
      <c r="Q461" s="36"/>
      <c r="R461" s="125" t="s">
        <v>678</v>
      </c>
      <c r="S461" s="123">
        <f>IFERROR(INDEX(DATABASE_FG!$L$5:$L$367, MATCH(E461, DATABASE_FG!$C$5:$C$367, 0)), " ")</f>
        <v>42</v>
      </c>
      <c r="T461" s="36" t="s">
        <v>679</v>
      </c>
      <c r="U461" s="36"/>
      <c r="V461" s="36"/>
      <c r="W461" s="129"/>
      <c r="X461" s="36"/>
      <c r="Y461" s="36" t="s">
        <v>121</v>
      </c>
      <c r="Z461" s="36"/>
      <c r="AA461" s="125" t="s">
        <v>121</v>
      </c>
      <c r="AB461" s="173">
        <v>45734</v>
      </c>
      <c r="AC461" s="119">
        <v>25395</v>
      </c>
      <c r="AD461" s="36">
        <f t="shared" si="59"/>
        <v>38623832</v>
      </c>
      <c r="AE461" s="36" t="str">
        <f t="shared" si="60"/>
        <v>EDP KUH.6220-A-M-3001 004</v>
      </c>
      <c r="AF461" s="36">
        <v>234</v>
      </c>
      <c r="AG461" s="120">
        <f t="shared" si="61"/>
        <v>1118.52</v>
      </c>
      <c r="AH461" s="36"/>
      <c r="AI461" s="124"/>
      <c r="AJ461" s="122" t="s">
        <v>2863</v>
      </c>
      <c r="AK461" s="129" t="str">
        <f t="shared" ca="1" si="62"/>
        <v>Late</v>
      </c>
      <c r="AL461" s="268" t="str">
        <f t="shared" si="63"/>
        <v>February</v>
      </c>
      <c r="AM461" s="133">
        <f>YEAR(Table1[[#This Row],[ETA
As requested
dd.mm.yyyy]])</f>
        <v>2025</v>
      </c>
    </row>
    <row r="462" spans="1:40" hidden="1">
      <c r="A462" s="123" t="s">
        <v>83</v>
      </c>
      <c r="B462" s="36" t="s">
        <v>1170</v>
      </c>
      <c r="C462" s="117">
        <v>38623832</v>
      </c>
      <c r="D462" s="165">
        <v>45701</v>
      </c>
      <c r="E462" s="117" t="s">
        <v>87</v>
      </c>
      <c r="F462" s="36" t="str">
        <f>IFERROR(VLOOKUP(Table1[[#This Row],[Part Number]],DATABASE_FG!$C$6:D10451,2,FALSE)," ")</f>
        <v xml:space="preserve">300343434-0000 </v>
      </c>
      <c r="G462" s="117" t="str">
        <f>IFERROR(_xlfn.XLOOKUP(Table1[[#This Row],[Part Number]],Table3[Part number],Table3[Drawing
 Revision]),"")</f>
        <v>AA</v>
      </c>
      <c r="H462" s="118" cm="1">
        <f t="array" ref="H462">IFERROR(INDEX(PDB!$C:$AT,MATCH(E462,PDB!$B:$B,0),MATCH(YEAR(K462),0+PDB!$C$1:$AT$1,0)),"")</f>
        <v>4.78</v>
      </c>
      <c r="I462" s="36">
        <v>186</v>
      </c>
      <c r="J462" s="125">
        <f>IFERROR(Table1[[#This Row],[Quantity]]*Table1[[#This Row],[Price/Unit
EUR]]," ")</f>
        <v>889.08</v>
      </c>
      <c r="K462" s="126">
        <v>45712</v>
      </c>
      <c r="L462" s="36">
        <f>WEEKNUM(Table1[[#This Row],[ETA
As requested
dd.mm.yyyy]])</f>
        <v>9</v>
      </c>
      <c r="M462" s="36">
        <f>YEAR(Table1[[#This Row],[ETA
As requested
dd.mm.yyyy]])</f>
        <v>2025</v>
      </c>
      <c r="N462" s="36">
        <f>IFERROR(INDEX(DATABASE_FG!$H$5:$H$367, MATCH(E462, DATABASE_FG!$C$5:$C$367, 0)), " ")</f>
        <v>0</v>
      </c>
      <c r="O462" s="129" t="str">
        <f>IF(E462&lt;&gt;"", _xlfn.XLOOKUP(E462, DATABASE_FG!C:C, DATABASE_FG!F:F), " ")</f>
        <v>Alama</v>
      </c>
      <c r="P462" s="129">
        <f>IFERROR(INDEX(DATABASE_FG!$G$5:$G$367, MATCH(E462, DATABASE_FG!$C$5:$C$367, 0)), "Not Found")</f>
        <v>0</v>
      </c>
      <c r="Q462" s="36"/>
      <c r="R462" s="125" t="s">
        <v>678</v>
      </c>
      <c r="S462" s="123">
        <f>IFERROR(INDEX(DATABASE_FG!$L$5:$L$367, MATCH(E462, DATABASE_FG!$C$5:$C$367, 0)), " ")</f>
        <v>42</v>
      </c>
      <c r="T462" s="36" t="s">
        <v>679</v>
      </c>
      <c r="U462" s="36"/>
      <c r="V462" s="36"/>
      <c r="W462" s="129"/>
      <c r="X462" s="36"/>
      <c r="Y462" s="36" t="s">
        <v>121</v>
      </c>
      <c r="Z462" s="36"/>
      <c r="AA462" s="125" t="s">
        <v>121</v>
      </c>
      <c r="AB462" s="173">
        <v>45735</v>
      </c>
      <c r="AC462" s="119">
        <v>25418</v>
      </c>
      <c r="AD462" s="36">
        <f t="shared" si="59"/>
        <v>38623832</v>
      </c>
      <c r="AE462" s="36" t="str">
        <f t="shared" si="60"/>
        <v>EDP KUH.6220-A-M-3001 004</v>
      </c>
      <c r="AF462" s="36">
        <v>186</v>
      </c>
      <c r="AG462" s="120">
        <f t="shared" si="61"/>
        <v>889.08</v>
      </c>
      <c r="AH462" s="36"/>
      <c r="AI462" s="124"/>
      <c r="AJ462" s="122" t="s">
        <v>2864</v>
      </c>
      <c r="AK462" s="129" t="str">
        <f t="shared" ca="1" si="62"/>
        <v>Late</v>
      </c>
      <c r="AL462" s="268" t="str">
        <f t="shared" si="63"/>
        <v>February</v>
      </c>
      <c r="AM462" s="133">
        <f>YEAR(Table1[[#This Row],[ETA
As requested
dd.mm.yyyy]])</f>
        <v>2025</v>
      </c>
    </row>
    <row r="463" spans="1:40" hidden="1">
      <c r="A463" s="123" t="s">
        <v>83</v>
      </c>
      <c r="B463" s="36" t="s">
        <v>1170</v>
      </c>
      <c r="C463" s="117">
        <v>38623832</v>
      </c>
      <c r="D463" s="165">
        <v>45701</v>
      </c>
      <c r="E463" s="117" t="s">
        <v>87</v>
      </c>
      <c r="F463" s="36" t="str">
        <f>IFERROR(VLOOKUP(Table1[[#This Row],[Part Number]],DATABASE_FG!$C$6:D10452,2,FALSE)," ")</f>
        <v xml:space="preserve">300343434-0000 </v>
      </c>
      <c r="G463" s="117" t="str">
        <f>IFERROR(_xlfn.XLOOKUP(Table1[[#This Row],[Part Number]],Table3[Part number],Table3[Drawing
 Revision]),"")</f>
        <v>AA</v>
      </c>
      <c r="H463" s="118" cm="1">
        <f t="array" ref="H463">IFERROR(INDEX(PDB!$C:$AT,MATCH(E463,PDB!$B:$B,0),MATCH(YEAR(K463),0+PDB!$C$1:$AT$1,0)),"")</f>
        <v>4.78</v>
      </c>
      <c r="I463" s="36">
        <v>101</v>
      </c>
      <c r="J463" s="125">
        <f>IFERROR(Table1[[#This Row],[Quantity]]*Table1[[#This Row],[Price/Unit
EUR]]," ")</f>
        <v>482.78000000000003</v>
      </c>
      <c r="K463" s="126">
        <v>45712</v>
      </c>
      <c r="L463" s="36">
        <f>WEEKNUM(Table1[[#This Row],[ETA
As requested
dd.mm.yyyy]])</f>
        <v>9</v>
      </c>
      <c r="M463" s="36">
        <f>YEAR(Table1[[#This Row],[ETA
As requested
dd.mm.yyyy]])</f>
        <v>2025</v>
      </c>
      <c r="N463" s="36">
        <f>IFERROR(INDEX(DATABASE_FG!$H$5:$H$367, MATCH(E463, DATABASE_FG!$C$5:$C$367, 0)), " ")</f>
        <v>0</v>
      </c>
      <c r="O463" s="129" t="str">
        <f>IF(E463&lt;&gt;"", _xlfn.XLOOKUP(E463, DATABASE_FG!C:C, DATABASE_FG!F:F), " ")</f>
        <v>Alama</v>
      </c>
      <c r="P463" s="129">
        <f>IFERROR(INDEX(DATABASE_FG!$G$5:$G$367, MATCH(E463, DATABASE_FG!$C$5:$C$367, 0)), "Not Found")</f>
        <v>0</v>
      </c>
      <c r="Q463" s="36"/>
      <c r="R463" s="125" t="s">
        <v>678</v>
      </c>
      <c r="S463" s="123">
        <f>IFERROR(INDEX(DATABASE_FG!$L$5:$L$367, MATCH(E463, DATABASE_FG!$C$5:$C$367, 0)), " ")</f>
        <v>42</v>
      </c>
      <c r="T463" s="36" t="s">
        <v>679</v>
      </c>
      <c r="U463" s="36"/>
      <c r="V463" s="36"/>
      <c r="W463" s="129"/>
      <c r="X463" s="36"/>
      <c r="Y463" s="36"/>
      <c r="Z463" s="36"/>
      <c r="AA463" s="125" t="s">
        <v>121</v>
      </c>
      <c r="AB463" s="172">
        <v>45736</v>
      </c>
      <c r="AC463" s="119" t="s">
        <v>2865</v>
      </c>
      <c r="AD463" s="36">
        <f t="shared" si="59"/>
        <v>38623832</v>
      </c>
      <c r="AE463" s="36" t="str">
        <f t="shared" si="60"/>
        <v>EDP KUH.6220-A-M-3001 004</v>
      </c>
      <c r="AF463" s="36">
        <v>101</v>
      </c>
      <c r="AG463" s="120">
        <f t="shared" si="61"/>
        <v>482.78000000000003</v>
      </c>
      <c r="AH463" s="36"/>
      <c r="AI463" s="124"/>
      <c r="AJ463" s="122" t="s">
        <v>2866</v>
      </c>
      <c r="AK463" s="129" t="str">
        <f t="shared" ca="1" si="62"/>
        <v>Late</v>
      </c>
      <c r="AL463" s="268" t="str">
        <f t="shared" si="63"/>
        <v>February</v>
      </c>
      <c r="AM463" s="133">
        <f>YEAR(Table1[[#This Row],[ETA
As requested
dd.mm.yyyy]])</f>
        <v>2025</v>
      </c>
    </row>
    <row r="464" spans="1:40" hidden="1">
      <c r="A464" s="123" t="s">
        <v>83</v>
      </c>
      <c r="B464" s="36" t="s">
        <v>1170</v>
      </c>
      <c r="C464" s="117">
        <v>38623832</v>
      </c>
      <c r="D464" s="165">
        <v>45701</v>
      </c>
      <c r="E464" s="117" t="s">
        <v>87</v>
      </c>
      <c r="F464" s="36" t="str">
        <f>IFERROR(VLOOKUP(Table1[[#This Row],[Part Number]],DATABASE_FG!$C$6:D10453,2,FALSE)," ")</f>
        <v xml:space="preserve">300343434-0000 </v>
      </c>
      <c r="G464" s="117" t="str">
        <f>IFERROR(_xlfn.XLOOKUP(Table1[[#This Row],[Part Number]],Table3[Part number],Table3[Drawing
 Revision]),"")</f>
        <v>AA</v>
      </c>
      <c r="H464" s="118" cm="1">
        <f t="array" ref="H464">IFERROR(INDEX(PDB!$C:$AT,MATCH(E464,PDB!$B:$B,0),MATCH(YEAR(K464),0+PDB!$C$1:$AT$1,0)),"")</f>
        <v>4.78</v>
      </c>
      <c r="I464" s="36">
        <v>115</v>
      </c>
      <c r="J464" s="125">
        <f>IFERROR(Table1[[#This Row],[Quantity]]*Table1[[#This Row],[Price/Unit
EUR]]," ")</f>
        <v>549.70000000000005</v>
      </c>
      <c r="K464" s="126">
        <v>45712</v>
      </c>
      <c r="L464" s="36">
        <f>WEEKNUM(Table1[[#This Row],[ETA
As requested
dd.mm.yyyy]])</f>
        <v>9</v>
      </c>
      <c r="M464" s="36">
        <f>YEAR(Table1[[#This Row],[ETA
As requested
dd.mm.yyyy]])</f>
        <v>2025</v>
      </c>
      <c r="N464" s="36">
        <f>IFERROR(INDEX(DATABASE_FG!$H$5:$H$367, MATCH(E464, DATABASE_FG!$C$5:$C$367, 0)), " ")</f>
        <v>0</v>
      </c>
      <c r="O464" s="129" t="str">
        <f>IF(E464&lt;&gt;"", _xlfn.XLOOKUP(E464, DATABASE_FG!C:C, DATABASE_FG!F:F), " ")</f>
        <v>Alama</v>
      </c>
      <c r="P464" s="129">
        <f>IFERROR(INDEX(DATABASE_FG!$G$5:$G$367, MATCH(E464, DATABASE_FG!$C$5:$C$367, 0)), "Not Found")</f>
        <v>0</v>
      </c>
      <c r="Q464" s="36"/>
      <c r="R464" s="125" t="s">
        <v>678</v>
      </c>
      <c r="S464" s="123">
        <f>IFERROR(INDEX(DATABASE_FG!$L$5:$L$367, MATCH(E464, DATABASE_FG!$C$5:$C$367, 0)), " ")</f>
        <v>42</v>
      </c>
      <c r="T464" s="36" t="s">
        <v>679</v>
      </c>
      <c r="U464" s="36"/>
      <c r="V464" s="36"/>
      <c r="W464" s="129"/>
      <c r="X464" s="36"/>
      <c r="Y464" s="36" t="s">
        <v>121</v>
      </c>
      <c r="Z464" s="36"/>
      <c r="AA464" s="125" t="s">
        <v>121</v>
      </c>
      <c r="AB464" s="172">
        <v>45737</v>
      </c>
      <c r="AC464" s="119">
        <v>25429</v>
      </c>
      <c r="AD464" s="36">
        <f t="shared" si="59"/>
        <v>38623832</v>
      </c>
      <c r="AE464" s="36" t="str">
        <f t="shared" si="60"/>
        <v>EDP KUH.6220-A-M-3001 004</v>
      </c>
      <c r="AF464" s="36">
        <v>115</v>
      </c>
      <c r="AG464" s="120">
        <f t="shared" si="61"/>
        <v>549.70000000000005</v>
      </c>
      <c r="AH464" s="36"/>
      <c r="AI464" s="124"/>
      <c r="AJ464" s="122" t="s">
        <v>2867</v>
      </c>
      <c r="AK464" s="129" t="str">
        <f t="shared" ca="1" si="62"/>
        <v>Late</v>
      </c>
      <c r="AL464" s="268" t="str">
        <f t="shared" si="63"/>
        <v>February</v>
      </c>
      <c r="AM464" s="133">
        <f>YEAR(Table1[[#This Row],[ETA
As requested
dd.mm.yyyy]])</f>
        <v>2025</v>
      </c>
    </row>
    <row r="465" spans="1:39" hidden="1">
      <c r="A465" s="123" t="s">
        <v>83</v>
      </c>
      <c r="B465" s="36" t="s">
        <v>1170</v>
      </c>
      <c r="C465" s="117">
        <v>38623832</v>
      </c>
      <c r="D465" s="165">
        <v>45701</v>
      </c>
      <c r="E465" s="117" t="s">
        <v>87</v>
      </c>
      <c r="F465" s="36" t="str">
        <f>IFERROR(VLOOKUP(Table1[[#This Row],[Part Number]],DATABASE_FG!$C$6:D10454,2,FALSE)," ")</f>
        <v xml:space="preserve">300343434-0000 </v>
      </c>
      <c r="G465" s="117" t="str">
        <f>IFERROR(_xlfn.XLOOKUP(Table1[[#This Row],[Part Number]],Table3[Part number],Table3[Drawing
 Revision]),"")</f>
        <v>AA</v>
      </c>
      <c r="H465" s="118" cm="1">
        <f t="array" ref="H465">IFERROR(INDEX(PDB!$C:$AT,MATCH(E465,PDB!$B:$B,0),MATCH(YEAR(K465),0+PDB!$C$1:$AT$1,0)),"")</f>
        <v>4.78</v>
      </c>
      <c r="I465" s="36">
        <v>126</v>
      </c>
      <c r="J465" s="125">
        <f>IFERROR(Table1[[#This Row],[Quantity]]*Table1[[#This Row],[Price/Unit
EUR]]," ")</f>
        <v>602.28000000000009</v>
      </c>
      <c r="K465" s="126">
        <v>45712</v>
      </c>
      <c r="L465" s="36">
        <f>WEEKNUM(Table1[[#This Row],[ETA
As requested
dd.mm.yyyy]])</f>
        <v>9</v>
      </c>
      <c r="M465" s="36">
        <f>YEAR(Table1[[#This Row],[ETA
As requested
dd.mm.yyyy]])</f>
        <v>2025</v>
      </c>
      <c r="N465" s="36">
        <f>IFERROR(INDEX(DATABASE_FG!$H$5:$H$367, MATCH(E465, DATABASE_FG!$C$5:$C$367, 0)), " ")</f>
        <v>0</v>
      </c>
      <c r="O465" s="129" t="str">
        <f>IF(E465&lt;&gt;"", _xlfn.XLOOKUP(E465, DATABASE_FG!C:C, DATABASE_FG!F:F), " ")</f>
        <v>Alama</v>
      </c>
      <c r="P465" s="129">
        <f>IFERROR(INDEX(DATABASE_FG!$G$5:$G$367, MATCH(E465, DATABASE_FG!$C$5:$C$367, 0)), "Not Found")</f>
        <v>0</v>
      </c>
      <c r="Q465" s="36"/>
      <c r="R465" s="125" t="s">
        <v>678</v>
      </c>
      <c r="S465" s="123">
        <f>IFERROR(INDEX(DATABASE_FG!$L$5:$L$367, MATCH(E465, DATABASE_FG!$C$5:$C$367, 0)), " ")</f>
        <v>42</v>
      </c>
      <c r="T465" s="36" t="s">
        <v>679</v>
      </c>
      <c r="U465" s="36"/>
      <c r="V465" s="36"/>
      <c r="W465" s="129"/>
      <c r="X465" s="36"/>
      <c r="Y465" s="36" t="s">
        <v>121</v>
      </c>
      <c r="Z465" s="36"/>
      <c r="AA465" s="125" t="s">
        <v>121</v>
      </c>
      <c r="AB465" s="172">
        <v>45740</v>
      </c>
      <c r="AC465" s="119">
        <v>25446</v>
      </c>
      <c r="AD465" s="36">
        <f t="shared" si="59"/>
        <v>38623832</v>
      </c>
      <c r="AE465" s="36" t="str">
        <f t="shared" si="60"/>
        <v>EDP KUH.6220-A-M-3001 004</v>
      </c>
      <c r="AF465" s="36">
        <v>126</v>
      </c>
      <c r="AG465" s="120">
        <f t="shared" si="61"/>
        <v>602.28000000000009</v>
      </c>
      <c r="AH465" s="36"/>
      <c r="AI465" s="124"/>
      <c r="AJ465" s="122" t="s">
        <v>2868</v>
      </c>
      <c r="AK465" s="129" t="str">
        <f t="shared" ca="1" si="62"/>
        <v>Late</v>
      </c>
      <c r="AL465" s="268" t="str">
        <f t="shared" si="63"/>
        <v>February</v>
      </c>
      <c r="AM465" s="133">
        <f>YEAR(Table1[[#This Row],[ETA
As requested
dd.mm.yyyy]])</f>
        <v>2025</v>
      </c>
    </row>
    <row r="466" spans="1:39" hidden="1">
      <c r="A466" s="123" t="s">
        <v>83</v>
      </c>
      <c r="B466" s="36" t="s">
        <v>1170</v>
      </c>
      <c r="C466" s="117">
        <v>38623832</v>
      </c>
      <c r="D466" s="165">
        <v>45701</v>
      </c>
      <c r="E466" s="117" t="s">
        <v>87</v>
      </c>
      <c r="F466" s="36" t="str">
        <f>IFERROR(VLOOKUP(Table1[[#This Row],[Part Number]],DATABASE_FG!$C$6:D10455,2,FALSE)," ")</f>
        <v xml:space="preserve">300343434-0000 </v>
      </c>
      <c r="G466" s="117" t="str">
        <f>IFERROR(_xlfn.XLOOKUP(Table1[[#This Row],[Part Number]],Table3[Part number],Table3[Drawing
 Revision]),"")</f>
        <v>AA</v>
      </c>
      <c r="H466" s="118" cm="1">
        <f t="array" ref="H466">IFERROR(INDEX(PDB!$C:$AT,MATCH(E466,PDB!$B:$B,0),MATCH(YEAR(K466),0+PDB!$C$1:$AT$1,0)),"")</f>
        <v>4.78</v>
      </c>
      <c r="I466" s="36">
        <v>90</v>
      </c>
      <c r="J466" s="125">
        <f>IFERROR(Table1[[#This Row],[Quantity]]*Table1[[#This Row],[Price/Unit
EUR]]," ")</f>
        <v>430.20000000000005</v>
      </c>
      <c r="K466" s="126">
        <v>45712</v>
      </c>
      <c r="L466" s="36">
        <f>WEEKNUM(Table1[[#This Row],[ETA
As requested
dd.mm.yyyy]])</f>
        <v>9</v>
      </c>
      <c r="M466" s="36">
        <f>YEAR(Table1[[#This Row],[ETA
As requested
dd.mm.yyyy]])</f>
        <v>2025</v>
      </c>
      <c r="N466" s="36">
        <f>IFERROR(INDEX(DATABASE_FG!$H$5:$H$367, MATCH(E466, DATABASE_FG!$C$5:$C$367, 0)), " ")</f>
        <v>0</v>
      </c>
      <c r="O466" s="129" t="str">
        <f>IF(E466&lt;&gt;"", _xlfn.XLOOKUP(E466, DATABASE_FG!C:C, DATABASE_FG!F:F), " ")</f>
        <v>Alama</v>
      </c>
      <c r="P466" s="129">
        <f>IFERROR(INDEX(DATABASE_FG!$G$5:$G$367, MATCH(E466, DATABASE_FG!$C$5:$C$367, 0)), "Not Found")</f>
        <v>0</v>
      </c>
      <c r="Q466" s="36"/>
      <c r="R466" s="125" t="s">
        <v>678</v>
      </c>
      <c r="S466" s="123">
        <f>IFERROR(INDEX(DATABASE_FG!$L$5:$L$367, MATCH(E466, DATABASE_FG!$C$5:$C$367, 0)), " ")</f>
        <v>42</v>
      </c>
      <c r="T466" s="36" t="s">
        <v>679</v>
      </c>
      <c r="U466" s="36"/>
      <c r="V466" s="36"/>
      <c r="W466" s="129"/>
      <c r="X466" s="36"/>
      <c r="Y466" s="36" t="s">
        <v>121</v>
      </c>
      <c r="Z466" s="36"/>
      <c r="AA466" s="125" t="s">
        <v>121</v>
      </c>
      <c r="AB466" s="172">
        <v>45741</v>
      </c>
      <c r="AC466" s="119">
        <v>25452</v>
      </c>
      <c r="AD466" s="36">
        <f t="shared" si="59"/>
        <v>38623832</v>
      </c>
      <c r="AE466" s="36" t="str">
        <f t="shared" si="60"/>
        <v>EDP KUH.6220-A-M-3001 004</v>
      </c>
      <c r="AF466" s="36">
        <v>90</v>
      </c>
      <c r="AG466" s="120">
        <f t="shared" si="61"/>
        <v>430.20000000000005</v>
      </c>
      <c r="AH466" s="36"/>
      <c r="AI466" s="124"/>
      <c r="AJ466" s="122" t="s">
        <v>2869</v>
      </c>
      <c r="AK466" s="129" t="str">
        <f t="shared" ca="1" si="62"/>
        <v>Late</v>
      </c>
      <c r="AL466" s="268" t="str">
        <f t="shared" si="63"/>
        <v>February</v>
      </c>
      <c r="AM466" s="133">
        <f>YEAR(Table1[[#This Row],[ETA
As requested
dd.mm.yyyy]])</f>
        <v>2025</v>
      </c>
    </row>
    <row r="467" spans="1:39" hidden="1">
      <c r="A467" s="123" t="s">
        <v>83</v>
      </c>
      <c r="B467" s="36" t="s">
        <v>1170</v>
      </c>
      <c r="C467" s="117">
        <v>38623832</v>
      </c>
      <c r="D467" s="165">
        <v>45701</v>
      </c>
      <c r="E467" s="117" t="s">
        <v>87</v>
      </c>
      <c r="F467" s="36" t="str">
        <f>IFERROR(VLOOKUP(Table1[[#This Row],[Part Number]],DATABASE_FG!$C$6:D10456,2,FALSE)," ")</f>
        <v xml:space="preserve">300343434-0000 </v>
      </c>
      <c r="G467" s="117" t="str">
        <f>IFERROR(_xlfn.XLOOKUP(Table1[[#This Row],[Part Number]],Table3[Part number],Table3[Drawing
 Revision]),"")</f>
        <v>AA</v>
      </c>
      <c r="H467" s="118" cm="1">
        <f t="array" ref="H467">IFERROR(INDEX(PDB!$C:$AT,MATCH(E467,PDB!$B:$B,0),MATCH(YEAR(K467),0+PDB!$C$1:$AT$1,0)),"")</f>
        <v>4.78</v>
      </c>
      <c r="I467" s="36">
        <v>90</v>
      </c>
      <c r="J467" s="125">
        <f>IFERROR(Table1[[#This Row],[Quantity]]*Table1[[#This Row],[Price/Unit
EUR]]," ")</f>
        <v>430.20000000000005</v>
      </c>
      <c r="K467" s="126">
        <v>45712</v>
      </c>
      <c r="L467" s="36">
        <f>WEEKNUM(Table1[[#This Row],[ETA
As requested
dd.mm.yyyy]])</f>
        <v>9</v>
      </c>
      <c r="M467" s="36">
        <f>YEAR(Table1[[#This Row],[ETA
As requested
dd.mm.yyyy]])</f>
        <v>2025</v>
      </c>
      <c r="N467" s="36">
        <f>IFERROR(INDEX(DATABASE_FG!$H$5:$H$367, MATCH(E467, DATABASE_FG!$C$5:$C$367, 0)), " ")</f>
        <v>0</v>
      </c>
      <c r="O467" s="129" t="str">
        <f>IF(E467&lt;&gt;"", _xlfn.XLOOKUP(E467, DATABASE_FG!C:C, DATABASE_FG!F:F), " ")</f>
        <v>Alama</v>
      </c>
      <c r="P467" s="129">
        <f>IFERROR(INDEX(DATABASE_FG!$G$5:$G$367, MATCH(E467, DATABASE_FG!$C$5:$C$367, 0)), "Not Found")</f>
        <v>0</v>
      </c>
      <c r="Q467" s="36"/>
      <c r="R467" s="125" t="s">
        <v>678</v>
      </c>
      <c r="S467" s="123">
        <f>IFERROR(INDEX(DATABASE_FG!$L$5:$L$367, MATCH(E467, DATABASE_FG!$C$5:$C$367, 0)), " ")</f>
        <v>42</v>
      </c>
      <c r="T467" s="36" t="s">
        <v>679</v>
      </c>
      <c r="U467" s="36"/>
      <c r="V467" s="36"/>
      <c r="W467" s="129"/>
      <c r="X467" s="36"/>
      <c r="Y467" s="36" t="s">
        <v>121</v>
      </c>
      <c r="Z467" s="36"/>
      <c r="AA467" s="125" t="s">
        <v>121</v>
      </c>
      <c r="AB467" s="172">
        <v>45744</v>
      </c>
      <c r="AC467" s="119">
        <v>25494</v>
      </c>
      <c r="AD467" s="36">
        <f t="shared" si="59"/>
        <v>38623832</v>
      </c>
      <c r="AE467" s="36" t="str">
        <f t="shared" si="60"/>
        <v>EDP KUH.6220-A-M-3001 004</v>
      </c>
      <c r="AF467" s="36">
        <v>90</v>
      </c>
      <c r="AG467" s="120">
        <f t="shared" si="61"/>
        <v>430.20000000000005</v>
      </c>
      <c r="AH467" s="36"/>
      <c r="AI467" s="124"/>
      <c r="AJ467" s="122" t="s">
        <v>2870</v>
      </c>
      <c r="AK467" s="129" t="str">
        <f t="shared" ca="1" si="62"/>
        <v>Late</v>
      </c>
      <c r="AL467" s="268" t="str">
        <f t="shared" ref="AL467:AL498" si="64">TEXT(K467,"mmmm")</f>
        <v>February</v>
      </c>
      <c r="AM467" s="133">
        <f>YEAR(Table1[[#This Row],[ETA
As requested
dd.mm.yyyy]])</f>
        <v>2025</v>
      </c>
    </row>
    <row r="468" spans="1:39" hidden="1">
      <c r="A468" s="123" t="s">
        <v>83</v>
      </c>
      <c r="B468" s="36" t="s">
        <v>1170</v>
      </c>
      <c r="C468" s="117">
        <v>38623832</v>
      </c>
      <c r="D468" s="165">
        <v>45701</v>
      </c>
      <c r="E468" s="117" t="s">
        <v>87</v>
      </c>
      <c r="F468" s="36" t="str">
        <f>IFERROR(VLOOKUP(Table1[[#This Row],[Part Number]],DATABASE_FG!$C$6:D10457,2,FALSE)," ")</f>
        <v xml:space="preserve">300343434-0000 </v>
      </c>
      <c r="G468" s="117" t="str">
        <f>IFERROR(_xlfn.XLOOKUP(Table1[[#This Row],[Part Number]],Table3[Part number],Table3[Drawing
 Revision]),"")</f>
        <v>AA</v>
      </c>
      <c r="H468" s="118" cm="1">
        <f t="array" ref="H468">IFERROR(INDEX(PDB!$C:$AT,MATCH(E468,PDB!$B:$B,0),MATCH(YEAR(K468),0+PDB!$C$1:$AT$1,0)),"")</f>
        <v>4.78</v>
      </c>
      <c r="I468" s="36">
        <f>985-234-186-101-115-126-90-90</f>
        <v>43</v>
      </c>
      <c r="J468" s="125">
        <f>IFERROR(Table1[[#This Row],[Quantity]]*Table1[[#This Row],[Price/Unit
EUR]]," ")</f>
        <v>205.54000000000002</v>
      </c>
      <c r="K468" s="126">
        <v>45712</v>
      </c>
      <c r="L468" s="36">
        <f>WEEKNUM(Table1[[#This Row],[ETA
As requested
dd.mm.yyyy]])</f>
        <v>9</v>
      </c>
      <c r="M468" s="36">
        <f>YEAR(Table1[[#This Row],[ETA
As requested
dd.mm.yyyy]])</f>
        <v>2025</v>
      </c>
      <c r="N468" s="36">
        <f>IFERROR(INDEX(DATABASE_FG!$H$5:$H$367, MATCH(E468, DATABASE_FG!$C$5:$C$367, 0)), " ")</f>
        <v>0</v>
      </c>
      <c r="O468" s="129" t="str">
        <f>IF(E468&lt;&gt;"", _xlfn.XLOOKUP(E468, DATABASE_FG!C:C, DATABASE_FG!F:F), " ")</f>
        <v>Alama</v>
      </c>
      <c r="P468" s="129">
        <f>IFERROR(INDEX(DATABASE_FG!$G$5:$G$367, MATCH(E468, DATABASE_FG!$C$5:$C$367, 0)), "Not Found")</f>
        <v>0</v>
      </c>
      <c r="Q468" s="36"/>
      <c r="R468" s="125" t="s">
        <v>678</v>
      </c>
      <c r="S468" s="123">
        <f>IFERROR(INDEX(DATABASE_FG!$L$5:$L$367, MATCH(E468, DATABASE_FG!$C$5:$C$367, 0)), " ")</f>
        <v>42</v>
      </c>
      <c r="T468" s="36" t="s">
        <v>679</v>
      </c>
      <c r="U468" s="36"/>
      <c r="V468" s="36"/>
      <c r="W468" s="129"/>
      <c r="X468" s="36"/>
      <c r="Y468" s="36" t="s">
        <v>121</v>
      </c>
      <c r="Z468" s="36"/>
      <c r="AA468" s="125" t="s">
        <v>121</v>
      </c>
      <c r="AB468" s="172"/>
      <c r="AC468" s="119" t="s">
        <v>2878</v>
      </c>
      <c r="AD468" s="36">
        <f t="shared" si="59"/>
        <v>38623832</v>
      </c>
      <c r="AE468" s="36" t="str">
        <f t="shared" si="60"/>
        <v>EDP KUH.6220-A-M-3001 004</v>
      </c>
      <c r="AF468" s="36"/>
      <c r="AG468" s="120">
        <f t="shared" si="61"/>
        <v>0</v>
      </c>
      <c r="AH468" s="36"/>
      <c r="AI468" s="124"/>
      <c r="AJ468" s="122"/>
      <c r="AK468" s="129" t="str">
        <f t="shared" ca="1" si="62"/>
        <v>Late</v>
      </c>
      <c r="AL468" s="268" t="str">
        <f t="shared" si="64"/>
        <v>February</v>
      </c>
      <c r="AM468" s="133">
        <f>YEAR(Table1[[#This Row],[ETA
As requested
dd.mm.yyyy]])</f>
        <v>2025</v>
      </c>
    </row>
    <row r="469" spans="1:39" hidden="1">
      <c r="A469" s="123" t="s">
        <v>83</v>
      </c>
      <c r="B469" s="36" t="s">
        <v>1170</v>
      </c>
      <c r="C469" s="117">
        <v>39359709</v>
      </c>
      <c r="D469" s="165">
        <v>45809</v>
      </c>
      <c r="E469" s="117" t="s">
        <v>87</v>
      </c>
      <c r="F469" s="36" t="str">
        <f>IFERROR(VLOOKUP(Table1[[#This Row],[Part Number]],DATABASE_FG!$C$6:D10458,2,FALSE)," ")</f>
        <v xml:space="preserve">300343434-0000 </v>
      </c>
      <c r="G469" s="117" t="str">
        <f>IFERROR(_xlfn.XLOOKUP(Table1[[#This Row],[Part Number]],Table3[Part number],Table3[Drawing
 Revision]),"")</f>
        <v>AA</v>
      </c>
      <c r="H469" s="118" cm="1">
        <f t="array" ref="H469">IFERROR(INDEX(PDB!$C:$AT,MATCH(E469,PDB!$B:$B,0),MATCH(YEAR(K469),0+PDB!$C$1:$AT$1,0)),"")</f>
        <v>4.78</v>
      </c>
      <c r="I469" s="36">
        <v>72</v>
      </c>
      <c r="J469" s="125">
        <f>IFERROR(Table1[[#This Row],[Quantity]]*Table1[[#This Row],[Price/Unit
EUR]]," ")</f>
        <v>344.16</v>
      </c>
      <c r="K469" s="126">
        <v>45821</v>
      </c>
      <c r="L469" s="36">
        <f>WEEKNUM(Table1[[#This Row],[ETA
As requested
dd.mm.yyyy]])</f>
        <v>24</v>
      </c>
      <c r="M469" s="36">
        <f>YEAR(Table1[[#This Row],[ETA
As requested
dd.mm.yyyy]])</f>
        <v>2025</v>
      </c>
      <c r="N469" s="36">
        <f>IFERROR(INDEX(DATABASE_FG!$H$5:$H$367, MATCH(E469, DATABASE_FG!$C$5:$C$367, 0)), " ")</f>
        <v>0</v>
      </c>
      <c r="O469" s="129" t="str">
        <f>IF(E469&lt;&gt;"", _xlfn.XLOOKUP(E469, DATABASE_FG!C:C, DATABASE_FG!F:F), " ")</f>
        <v>Alama</v>
      </c>
      <c r="P469" s="129">
        <f>IFERROR(INDEX(DATABASE_FG!$G$5:$G$367, MATCH(E469, DATABASE_FG!$C$5:$C$367, 0)), "Not Found")</f>
        <v>0</v>
      </c>
      <c r="Q469" s="36"/>
      <c r="R469" s="125" t="s">
        <v>678</v>
      </c>
      <c r="S469" s="123">
        <f>Table1[[#This Row],[Quantity]]/48</f>
        <v>1.5</v>
      </c>
      <c r="T469" s="36" t="s">
        <v>679</v>
      </c>
      <c r="U469" s="36"/>
      <c r="V469" s="36"/>
      <c r="W469" s="129"/>
      <c r="X469" s="36"/>
      <c r="Y469" s="36"/>
      <c r="Z469" s="36"/>
      <c r="AA469" s="125" t="s">
        <v>121</v>
      </c>
      <c r="AB469" s="172">
        <v>45812</v>
      </c>
      <c r="AC469" s="119">
        <v>25878</v>
      </c>
      <c r="AD469" s="36">
        <f t="shared" si="59"/>
        <v>39359709</v>
      </c>
      <c r="AE469" s="36" t="str">
        <f t="shared" si="60"/>
        <v>EDP KUH.6220-A-M-3001 004</v>
      </c>
      <c r="AF469" s="36">
        <v>72</v>
      </c>
      <c r="AG469" s="120">
        <f t="shared" si="61"/>
        <v>344.16</v>
      </c>
      <c r="AH469" s="36"/>
      <c r="AI469" s="124"/>
      <c r="AJ469" s="122" t="s">
        <v>3256</v>
      </c>
      <c r="AK469" s="129" t="str">
        <f t="shared" ca="1" si="62"/>
        <v>On Time</v>
      </c>
      <c r="AL469" s="268" t="str">
        <f t="shared" si="64"/>
        <v>June</v>
      </c>
      <c r="AM469" s="133">
        <f>YEAR(Table1[[#This Row],[ETA
As requested
dd.mm.yyyy]])</f>
        <v>2025</v>
      </c>
    </row>
    <row r="470" spans="1:39" hidden="1">
      <c r="A470" s="123" t="s">
        <v>83</v>
      </c>
      <c r="B470" s="36" t="s">
        <v>1170</v>
      </c>
      <c r="C470" s="117">
        <v>39359709</v>
      </c>
      <c r="D470" s="165">
        <v>45809</v>
      </c>
      <c r="E470" s="117" t="s">
        <v>87</v>
      </c>
      <c r="F470" s="36" t="str">
        <f>IFERROR(VLOOKUP(Table1[[#This Row],[Part Number]],DATABASE_FG!$C$6:D10459,2,FALSE)," ")</f>
        <v xml:space="preserve">300343434-0000 </v>
      </c>
      <c r="G470" s="117" t="str">
        <f>IFERROR(_xlfn.XLOOKUP(Table1[[#This Row],[Part Number]],Table3[Part number],Table3[Drawing
 Revision]),"")</f>
        <v>AA</v>
      </c>
      <c r="H470" s="118" cm="1">
        <f t="array" ref="H470">IFERROR(INDEX(PDB!$C:$AT,MATCH(E470,PDB!$B:$B,0),MATCH(YEAR(K470),0+PDB!$C$1:$AT$1,0)),"")</f>
        <v>4.78</v>
      </c>
      <c r="I470" s="36">
        <v>117</v>
      </c>
      <c r="J470" s="125">
        <f>IFERROR(Table1[[#This Row],[Quantity]]*Table1[[#This Row],[Price/Unit
EUR]]," ")</f>
        <v>559.26</v>
      </c>
      <c r="K470" s="126">
        <v>45821</v>
      </c>
      <c r="L470" s="36">
        <f>WEEKNUM(Table1[[#This Row],[ETA
As requested
dd.mm.yyyy]])</f>
        <v>24</v>
      </c>
      <c r="M470" s="36">
        <f>YEAR(Table1[[#This Row],[ETA
As requested
dd.mm.yyyy]])</f>
        <v>2025</v>
      </c>
      <c r="N470" s="36">
        <f>IFERROR(INDEX(DATABASE_FG!$H$5:$H$367, MATCH(E470, DATABASE_FG!$C$5:$C$367, 0)), " ")</f>
        <v>0</v>
      </c>
      <c r="O470" s="129" t="str">
        <f>IF(E470&lt;&gt;"", _xlfn.XLOOKUP(E470, DATABASE_FG!C:C, DATABASE_FG!F:F), " ")</f>
        <v>Alama</v>
      </c>
      <c r="P470" s="129">
        <f>IFERROR(INDEX(DATABASE_FG!$G$5:$G$367, MATCH(E470, DATABASE_FG!$C$5:$C$367, 0)), "Not Found")</f>
        <v>0</v>
      </c>
      <c r="Q470" s="36"/>
      <c r="R470" s="125" t="s">
        <v>678</v>
      </c>
      <c r="S470" s="123">
        <f>Table1[[#This Row],[Quantity]]/48</f>
        <v>2.4375</v>
      </c>
      <c r="T470" s="36" t="s">
        <v>679</v>
      </c>
      <c r="U470" s="36"/>
      <c r="V470" s="36"/>
      <c r="W470" s="129"/>
      <c r="X470" s="36"/>
      <c r="Y470" s="36"/>
      <c r="Z470" s="36"/>
      <c r="AA470" s="125" t="s">
        <v>121</v>
      </c>
      <c r="AB470" s="172">
        <v>45813</v>
      </c>
      <c r="AC470" s="119">
        <v>25888</v>
      </c>
      <c r="AD470" s="36">
        <f t="shared" si="59"/>
        <v>39359709</v>
      </c>
      <c r="AE470" s="36" t="str">
        <f t="shared" si="60"/>
        <v>EDP KUH.6220-A-M-3001 004</v>
      </c>
      <c r="AF470" s="36">
        <v>117</v>
      </c>
      <c r="AG470" s="120">
        <f t="shared" si="61"/>
        <v>559.26</v>
      </c>
      <c r="AH470" s="36"/>
      <c r="AI470" s="124"/>
      <c r="AJ470" s="122" t="s">
        <v>3257</v>
      </c>
      <c r="AK470" s="129" t="str">
        <f t="shared" ca="1" si="62"/>
        <v>On Time</v>
      </c>
      <c r="AL470" s="268" t="str">
        <f t="shared" si="64"/>
        <v>June</v>
      </c>
      <c r="AM470" s="133">
        <f>YEAR(Table1[[#This Row],[ETA
As requested
dd.mm.yyyy]])</f>
        <v>2025</v>
      </c>
    </row>
    <row r="471" spans="1:39" hidden="1">
      <c r="A471" s="123" t="s">
        <v>83</v>
      </c>
      <c r="B471" s="36" t="s">
        <v>1170</v>
      </c>
      <c r="C471" s="117">
        <v>39359709</v>
      </c>
      <c r="D471" s="165">
        <v>45809</v>
      </c>
      <c r="E471" s="117" t="s">
        <v>87</v>
      </c>
      <c r="F471" s="36" t="str">
        <f>IFERROR(VLOOKUP(Table1[[#This Row],[Part Number]],DATABASE_FG!$C$6:D10460,2,FALSE)," ")</f>
        <v xml:space="preserve">300343434-0000 </v>
      </c>
      <c r="G471" s="117" t="str">
        <f>IFERROR(_xlfn.XLOOKUP(Table1[[#This Row],[Part Number]],Table3[Part number],Table3[Drawing
 Revision]),"")</f>
        <v>AA</v>
      </c>
      <c r="H471" s="118" cm="1">
        <f t="array" ref="H471">IFERROR(INDEX(PDB!$C:$AT,MATCH(E471,PDB!$B:$B,0),MATCH(YEAR(K471),0+PDB!$C$1:$AT$1,0)),"")</f>
        <v>4.78</v>
      </c>
      <c r="I471" s="36">
        <v>60</v>
      </c>
      <c r="J471" s="125">
        <f>IFERROR(Table1[[#This Row],[Quantity]]*Table1[[#This Row],[Price/Unit
EUR]]," ")</f>
        <v>286.8</v>
      </c>
      <c r="K471" s="126">
        <v>45821</v>
      </c>
      <c r="L471" s="36">
        <f>WEEKNUM(Table1[[#This Row],[ETA
As requested
dd.mm.yyyy]])</f>
        <v>24</v>
      </c>
      <c r="M471" s="36">
        <f>YEAR(Table1[[#This Row],[ETA
As requested
dd.mm.yyyy]])</f>
        <v>2025</v>
      </c>
      <c r="N471" s="36">
        <f>IFERROR(INDEX(DATABASE_FG!$H$5:$H$367, MATCH(E471, DATABASE_FG!$C$5:$C$367, 0)), " ")</f>
        <v>0</v>
      </c>
      <c r="O471" s="129" t="str">
        <f>IF(E471&lt;&gt;"", _xlfn.XLOOKUP(E471, DATABASE_FG!C:C, DATABASE_FG!F:F), " ")</f>
        <v>Alama</v>
      </c>
      <c r="P471" s="129">
        <f>IFERROR(INDEX(DATABASE_FG!$G$5:$G$367, MATCH(E471, DATABASE_FG!$C$5:$C$367, 0)), "Not Found")</f>
        <v>0</v>
      </c>
      <c r="Q471" s="36"/>
      <c r="R471" s="125" t="s">
        <v>678</v>
      </c>
      <c r="S471" s="123">
        <f>Table1[[#This Row],[Quantity]]/48</f>
        <v>1.25</v>
      </c>
      <c r="T471" s="36" t="s">
        <v>679</v>
      </c>
      <c r="U471" s="36"/>
      <c r="V471" s="36"/>
      <c r="W471" s="129"/>
      <c r="X471" s="36"/>
      <c r="Y471" s="36"/>
      <c r="Z471" s="36"/>
      <c r="AA471" s="125" t="s">
        <v>121</v>
      </c>
      <c r="AB471" s="172">
        <v>45813</v>
      </c>
      <c r="AC471" s="119">
        <v>25889</v>
      </c>
      <c r="AD471" s="36">
        <f t="shared" si="59"/>
        <v>39359709</v>
      </c>
      <c r="AE471" s="36" t="str">
        <f t="shared" si="60"/>
        <v>EDP KUH.6220-A-M-3001 004</v>
      </c>
      <c r="AF471" s="36">
        <v>60</v>
      </c>
      <c r="AG471" s="120">
        <f t="shared" si="61"/>
        <v>286.8</v>
      </c>
      <c r="AH471" s="36"/>
      <c r="AI471" s="124"/>
      <c r="AJ471" s="122" t="s">
        <v>3258</v>
      </c>
      <c r="AK471" s="129" t="str">
        <f t="shared" ca="1" si="62"/>
        <v>On Time</v>
      </c>
      <c r="AL471" s="268" t="str">
        <f t="shared" si="64"/>
        <v>June</v>
      </c>
      <c r="AM471" s="133">
        <f>YEAR(Table1[[#This Row],[ETA
As requested
dd.mm.yyyy]])</f>
        <v>2025</v>
      </c>
    </row>
    <row r="472" spans="1:39" hidden="1">
      <c r="A472" s="123" t="s">
        <v>83</v>
      </c>
      <c r="B472" s="36" t="s">
        <v>1170</v>
      </c>
      <c r="C472" s="117">
        <v>39359709</v>
      </c>
      <c r="D472" s="165">
        <v>45809</v>
      </c>
      <c r="E472" s="117" t="s">
        <v>87</v>
      </c>
      <c r="F472" s="36" t="str">
        <f>IFERROR(VLOOKUP(Table1[[#This Row],[Part Number]],DATABASE_FG!$C$6:D10461,2,FALSE)," ")</f>
        <v xml:space="preserve">300343434-0000 </v>
      </c>
      <c r="G472" s="117" t="str">
        <f>IFERROR(_xlfn.XLOOKUP(Table1[[#This Row],[Part Number]],Table3[Part number],Table3[Drawing
 Revision]),"")</f>
        <v>AA</v>
      </c>
      <c r="H472" s="118" cm="1">
        <f t="array" ref="H472">IFERROR(INDEX(PDB!$C:$AT,MATCH(E472,PDB!$B:$B,0),MATCH(YEAR(K472),0+PDB!$C$1:$AT$1,0)),"")</f>
        <v>4.78</v>
      </c>
      <c r="I472" s="36">
        <v>180</v>
      </c>
      <c r="J472" s="125">
        <f>IFERROR(Table1[[#This Row],[Quantity]]*Table1[[#This Row],[Price/Unit
EUR]]," ")</f>
        <v>860.40000000000009</v>
      </c>
      <c r="K472" s="126">
        <v>45821</v>
      </c>
      <c r="L472" s="36">
        <f>WEEKNUM(Table1[[#This Row],[ETA
As requested
dd.mm.yyyy]])</f>
        <v>24</v>
      </c>
      <c r="M472" s="36">
        <f>YEAR(Table1[[#This Row],[ETA
As requested
dd.mm.yyyy]])</f>
        <v>2025</v>
      </c>
      <c r="N472" s="36">
        <f>IFERROR(INDEX(DATABASE_FG!$H$5:$H$367, MATCH(E472, DATABASE_FG!$C$5:$C$367, 0)), " ")</f>
        <v>0</v>
      </c>
      <c r="O472" s="129" t="str">
        <f>IF(E472&lt;&gt;"", _xlfn.XLOOKUP(E472, DATABASE_FG!C:C, DATABASE_FG!F:F), " ")</f>
        <v>Alama</v>
      </c>
      <c r="P472" s="129">
        <f>IFERROR(INDEX(DATABASE_FG!$G$5:$G$367, MATCH(E472, DATABASE_FG!$C$5:$C$367, 0)), "Not Found")</f>
        <v>0</v>
      </c>
      <c r="Q472" s="36"/>
      <c r="R472" s="125" t="s">
        <v>678</v>
      </c>
      <c r="S472" s="123">
        <f>Table1[[#This Row],[Quantity]]/48</f>
        <v>3.75</v>
      </c>
      <c r="T472" s="36" t="s">
        <v>679</v>
      </c>
      <c r="U472" s="36"/>
      <c r="V472" s="36"/>
      <c r="W472" s="129"/>
      <c r="X472" s="36"/>
      <c r="Y472" s="36"/>
      <c r="Z472" s="36"/>
      <c r="AA472" s="125" t="s">
        <v>121</v>
      </c>
      <c r="AB472" s="172">
        <v>45814</v>
      </c>
      <c r="AC472" s="119">
        <v>25898</v>
      </c>
      <c r="AD472" s="36">
        <f t="shared" si="59"/>
        <v>39359709</v>
      </c>
      <c r="AE472" s="36" t="str">
        <f t="shared" si="60"/>
        <v>EDP KUH.6220-A-M-3001 004</v>
      </c>
      <c r="AF472" s="36">
        <v>180</v>
      </c>
      <c r="AG472" s="120">
        <f t="shared" si="61"/>
        <v>860.40000000000009</v>
      </c>
      <c r="AH472" s="36"/>
      <c r="AI472" s="124"/>
      <c r="AJ472" s="122" t="s">
        <v>3259</v>
      </c>
      <c r="AK472" s="129" t="str">
        <f t="shared" ca="1" si="62"/>
        <v>On Time</v>
      </c>
      <c r="AL472" s="268" t="str">
        <f t="shared" si="64"/>
        <v>June</v>
      </c>
      <c r="AM472" s="133">
        <f>YEAR(Table1[[#This Row],[ETA
As requested
dd.mm.yyyy]])</f>
        <v>2025</v>
      </c>
    </row>
    <row r="473" spans="1:39" hidden="1">
      <c r="A473" s="123" t="s">
        <v>83</v>
      </c>
      <c r="B473" s="36" t="s">
        <v>1170</v>
      </c>
      <c r="C473" s="117">
        <v>39359709</v>
      </c>
      <c r="D473" s="165">
        <v>45809</v>
      </c>
      <c r="E473" s="117" t="s">
        <v>87</v>
      </c>
      <c r="F473" s="36" t="str">
        <f>IFERROR(VLOOKUP(Table1[[#This Row],[Part Number]],DATABASE_FG!$C$6:D10462,2,FALSE)," ")</f>
        <v xml:space="preserve">300343434-0000 </v>
      </c>
      <c r="G473" s="117" t="str">
        <f>IFERROR(_xlfn.XLOOKUP(Table1[[#This Row],[Part Number]],Table3[Part number],Table3[Drawing
 Revision]),"")</f>
        <v>AA</v>
      </c>
      <c r="H473" s="118" cm="1">
        <f t="array" ref="H473">IFERROR(INDEX(PDB!$C:$AT,MATCH(E473,PDB!$B:$B,0),MATCH(YEAR(K473),0+PDB!$C$1:$AT$1,0)),"")</f>
        <v>4.78</v>
      </c>
      <c r="I473" s="36">
        <v>264</v>
      </c>
      <c r="J473" s="125">
        <f>IFERROR(Table1[[#This Row],[Quantity]]*Table1[[#This Row],[Price/Unit
EUR]]," ")</f>
        <v>1261.92</v>
      </c>
      <c r="K473" s="126">
        <v>45821</v>
      </c>
      <c r="L473" s="36">
        <f>WEEKNUM(Table1[[#This Row],[ETA
As requested
dd.mm.yyyy]])</f>
        <v>24</v>
      </c>
      <c r="M473" s="36">
        <f>YEAR(Table1[[#This Row],[ETA
As requested
dd.mm.yyyy]])</f>
        <v>2025</v>
      </c>
      <c r="N473" s="36">
        <f>IFERROR(INDEX(DATABASE_FG!$H$5:$H$367, MATCH(E473, DATABASE_FG!$C$5:$C$367, 0)), " ")</f>
        <v>0</v>
      </c>
      <c r="O473" s="129" t="str">
        <f>IF(E473&lt;&gt;"", _xlfn.XLOOKUP(E473, DATABASE_FG!C:C, DATABASE_FG!F:F), " ")</f>
        <v>Alama</v>
      </c>
      <c r="P473" s="129">
        <f>IFERROR(INDEX(DATABASE_FG!$G$5:$G$367, MATCH(E473, DATABASE_FG!$C$5:$C$367, 0)), "Not Found")</f>
        <v>0</v>
      </c>
      <c r="Q473" s="36"/>
      <c r="R473" s="125" t="s">
        <v>678</v>
      </c>
      <c r="S473" s="123">
        <f>Table1[[#This Row],[Quantity]]/48</f>
        <v>5.5</v>
      </c>
      <c r="T473" s="36" t="s">
        <v>679</v>
      </c>
      <c r="U473" s="36"/>
      <c r="V473" s="36"/>
      <c r="W473" s="129"/>
      <c r="X473" s="36"/>
      <c r="Y473" s="36"/>
      <c r="Z473" s="36"/>
      <c r="AA473" s="125" t="s">
        <v>121</v>
      </c>
      <c r="AB473" s="172">
        <v>45818</v>
      </c>
      <c r="AC473" s="119">
        <v>25901</v>
      </c>
      <c r="AD473" s="36">
        <f t="shared" si="59"/>
        <v>39359709</v>
      </c>
      <c r="AE473" s="36" t="str">
        <f t="shared" si="60"/>
        <v>EDP KUH.6220-A-M-3001 004</v>
      </c>
      <c r="AF473" s="36">
        <v>264</v>
      </c>
      <c r="AG473" s="120">
        <f t="shared" si="61"/>
        <v>1261.92</v>
      </c>
      <c r="AH473" s="36"/>
      <c r="AI473" s="124"/>
      <c r="AJ473" s="122" t="s">
        <v>3260</v>
      </c>
      <c r="AK473" s="129" t="str">
        <f t="shared" ca="1" si="62"/>
        <v>On Time</v>
      </c>
      <c r="AL473" s="268" t="str">
        <f t="shared" si="64"/>
        <v>June</v>
      </c>
      <c r="AM473" s="133">
        <f>YEAR(Table1[[#This Row],[ETA
As requested
dd.mm.yyyy]])</f>
        <v>2025</v>
      </c>
    </row>
    <row r="474" spans="1:39" hidden="1">
      <c r="A474" s="123" t="s">
        <v>83</v>
      </c>
      <c r="B474" s="36" t="s">
        <v>1170</v>
      </c>
      <c r="C474" s="117">
        <v>39359709</v>
      </c>
      <c r="D474" s="165">
        <v>45809</v>
      </c>
      <c r="E474" s="117" t="s">
        <v>87</v>
      </c>
      <c r="F474" s="36" t="str">
        <f>IFERROR(VLOOKUP(Table1[[#This Row],[Part Number]],DATABASE_FG!$C$6:D10463,2,FALSE)," ")</f>
        <v xml:space="preserve">300343434-0000 </v>
      </c>
      <c r="G474" s="117" t="str">
        <f>IFERROR(_xlfn.XLOOKUP(Table1[[#This Row],[Part Number]],Table3[Part number],Table3[Drawing
 Revision]),"")</f>
        <v>AA</v>
      </c>
      <c r="H474" s="118" cm="1">
        <f t="array" ref="H474">IFERROR(INDEX(PDB!$C:$AT,MATCH(E474,PDB!$B:$B,0),MATCH(YEAR(K474),0+PDB!$C$1:$AT$1,0)),"")</f>
        <v>4.78</v>
      </c>
      <c r="I474" s="36">
        <v>200</v>
      </c>
      <c r="J474" s="125">
        <f>IFERROR(Table1[[#This Row],[Quantity]]*Table1[[#This Row],[Price/Unit
EUR]]," ")</f>
        <v>956</v>
      </c>
      <c r="K474" s="126">
        <v>45821</v>
      </c>
      <c r="L474" s="36">
        <f>WEEKNUM(Table1[[#This Row],[ETA
As requested
dd.mm.yyyy]])</f>
        <v>24</v>
      </c>
      <c r="M474" s="36">
        <f>YEAR(Table1[[#This Row],[ETA
As requested
dd.mm.yyyy]])</f>
        <v>2025</v>
      </c>
      <c r="N474" s="36">
        <f>IFERROR(INDEX(DATABASE_FG!$H$5:$H$367, MATCH(E474, DATABASE_FG!$C$5:$C$367, 0)), " ")</f>
        <v>0</v>
      </c>
      <c r="O474" s="129" t="str">
        <f>IF(E474&lt;&gt;"", _xlfn.XLOOKUP(E474, DATABASE_FG!C:C, DATABASE_FG!F:F), " ")</f>
        <v>Alama</v>
      </c>
      <c r="P474" s="129">
        <f>IFERROR(INDEX(DATABASE_FG!$G$5:$G$367, MATCH(E474, DATABASE_FG!$C$5:$C$367, 0)), "Not Found")</f>
        <v>0</v>
      </c>
      <c r="Q474" s="36"/>
      <c r="R474" s="125" t="s">
        <v>678</v>
      </c>
      <c r="S474" s="123">
        <f>Table1[[#This Row],[Quantity]]/48</f>
        <v>4.166666666666667</v>
      </c>
      <c r="T474" s="36" t="s">
        <v>679</v>
      </c>
      <c r="U474" s="36"/>
      <c r="V474" s="36"/>
      <c r="W474" s="129"/>
      <c r="X474" s="36"/>
      <c r="Y474" s="36"/>
      <c r="Z474" s="36"/>
      <c r="AA474" s="125" t="s">
        <v>121</v>
      </c>
      <c r="AB474" s="172">
        <v>45819</v>
      </c>
      <c r="AC474" s="119">
        <v>25910</v>
      </c>
      <c r="AD474" s="36">
        <f t="shared" si="59"/>
        <v>39359709</v>
      </c>
      <c r="AE474" s="36" t="str">
        <f t="shared" si="60"/>
        <v>EDP KUH.6220-A-M-3001 004</v>
      </c>
      <c r="AF474" s="36">
        <v>200</v>
      </c>
      <c r="AG474" s="120">
        <f t="shared" si="61"/>
        <v>956</v>
      </c>
      <c r="AH474" s="36"/>
      <c r="AI474" s="124"/>
      <c r="AJ474" s="122" t="s">
        <v>3261</v>
      </c>
      <c r="AK474" s="129" t="str">
        <f t="shared" ca="1" si="62"/>
        <v>On Time</v>
      </c>
      <c r="AL474" s="268" t="str">
        <f t="shared" si="64"/>
        <v>June</v>
      </c>
      <c r="AM474" s="133">
        <f>YEAR(Table1[[#This Row],[ETA
As requested
dd.mm.yyyy]])</f>
        <v>2025</v>
      </c>
    </row>
    <row r="475" spans="1:39" hidden="1">
      <c r="A475" s="123" t="s">
        <v>83</v>
      </c>
      <c r="B475" s="36" t="s">
        <v>1170</v>
      </c>
      <c r="C475" s="117">
        <v>39359709</v>
      </c>
      <c r="D475" s="165">
        <v>45809</v>
      </c>
      <c r="E475" s="117" t="s">
        <v>87</v>
      </c>
      <c r="F475" s="36" t="str">
        <f>IFERROR(VLOOKUP(Table1[[#This Row],[Part Number]],DATABASE_FG!$C$6:D10464,2,FALSE)," ")</f>
        <v xml:space="preserve">300343434-0000 </v>
      </c>
      <c r="G475" s="117" t="str">
        <f>IFERROR(_xlfn.XLOOKUP(Table1[[#This Row],[Part Number]],Table3[Part number],Table3[Drawing
 Revision]),"")</f>
        <v>AA</v>
      </c>
      <c r="H475" s="118" cm="1">
        <f t="array" ref="H475">IFERROR(INDEX(PDB!$C:$AT,MATCH(E475,PDB!$B:$B,0),MATCH(YEAR(K475),0+PDB!$C$1:$AT$1,0)),"")</f>
        <v>4.78</v>
      </c>
      <c r="I475" s="36">
        <v>186</v>
      </c>
      <c r="J475" s="125">
        <f>IFERROR(Table1[[#This Row],[Quantity]]*Table1[[#This Row],[Price/Unit
EUR]]," ")</f>
        <v>889.08</v>
      </c>
      <c r="K475" s="126">
        <v>45821</v>
      </c>
      <c r="L475" s="36">
        <f>WEEKNUM(Table1[[#This Row],[ETA
As requested
dd.mm.yyyy]])</f>
        <v>24</v>
      </c>
      <c r="M475" s="36">
        <f>YEAR(Table1[[#This Row],[ETA
As requested
dd.mm.yyyy]])</f>
        <v>2025</v>
      </c>
      <c r="N475" s="36">
        <f>IFERROR(INDEX(DATABASE_FG!$H$5:$H$367, MATCH(E475, DATABASE_FG!$C$5:$C$367, 0)), " ")</f>
        <v>0</v>
      </c>
      <c r="O475" s="129" t="str">
        <f>IF(E475&lt;&gt;"", _xlfn.XLOOKUP(E475, DATABASE_FG!C:C, DATABASE_FG!F:F), " ")</f>
        <v>Alama</v>
      </c>
      <c r="P475" s="129">
        <f>IFERROR(INDEX(DATABASE_FG!$G$5:$G$367, MATCH(E475, DATABASE_FG!$C$5:$C$367, 0)), "Not Found")</f>
        <v>0</v>
      </c>
      <c r="Q475" s="36"/>
      <c r="R475" s="125" t="s">
        <v>678</v>
      </c>
      <c r="S475" s="123">
        <f>Table1[[#This Row],[Quantity]]/48</f>
        <v>3.875</v>
      </c>
      <c r="T475" s="36" t="s">
        <v>679</v>
      </c>
      <c r="U475" s="36"/>
      <c r="V475" s="36"/>
      <c r="W475" s="129"/>
      <c r="X475" s="36"/>
      <c r="Y475" s="36"/>
      <c r="Z475" s="36"/>
      <c r="AA475" s="125" t="s">
        <v>121</v>
      </c>
      <c r="AB475" s="172">
        <v>45820</v>
      </c>
      <c r="AC475" s="119">
        <v>25918</v>
      </c>
      <c r="AD475" s="36">
        <f t="shared" si="59"/>
        <v>39359709</v>
      </c>
      <c r="AE475" s="36" t="str">
        <f t="shared" si="60"/>
        <v>EDP KUH.6220-A-M-3001 004</v>
      </c>
      <c r="AF475" s="36">
        <v>186</v>
      </c>
      <c r="AG475" s="120">
        <f t="shared" si="61"/>
        <v>889.08</v>
      </c>
      <c r="AH475" s="36"/>
      <c r="AI475" s="124"/>
      <c r="AJ475" s="122" t="s">
        <v>3262</v>
      </c>
      <c r="AK475" s="129" t="str">
        <f t="shared" ca="1" si="62"/>
        <v>On Time</v>
      </c>
      <c r="AL475" s="268" t="str">
        <f t="shared" si="64"/>
        <v>June</v>
      </c>
      <c r="AM475" s="133">
        <f>YEAR(Table1[[#This Row],[ETA
As requested
dd.mm.yyyy]])</f>
        <v>2025</v>
      </c>
    </row>
    <row r="476" spans="1:39" hidden="1">
      <c r="A476" s="123" t="s">
        <v>83</v>
      </c>
      <c r="B476" s="36" t="s">
        <v>1170</v>
      </c>
      <c r="C476" s="117">
        <v>39359709</v>
      </c>
      <c r="D476" s="165">
        <v>45809</v>
      </c>
      <c r="E476" s="117" t="s">
        <v>87</v>
      </c>
      <c r="F476" s="36" t="str">
        <f>IFERROR(VLOOKUP(Table1[[#This Row],[Part Number]],DATABASE_FG!$C$6:D10465,2,FALSE)," ")</f>
        <v xml:space="preserve">300343434-0000 </v>
      </c>
      <c r="G476" s="117" t="str">
        <f>IFERROR(_xlfn.XLOOKUP(Table1[[#This Row],[Part Number]],Table3[Part number],Table3[Drawing
 Revision]),"")</f>
        <v>AA</v>
      </c>
      <c r="H476" s="118" cm="1">
        <f t="array" ref="H476">IFERROR(INDEX(PDB!$C:$AT,MATCH(E476,PDB!$B:$B,0),MATCH(YEAR(K476),0+PDB!$C$1:$AT$1,0)),"")</f>
        <v>4.78</v>
      </c>
      <c r="I476" s="36">
        <v>200</v>
      </c>
      <c r="J476" s="125">
        <f>IFERROR(Table1[[#This Row],[Quantity]]*Table1[[#This Row],[Price/Unit
EUR]]," ")</f>
        <v>956</v>
      </c>
      <c r="K476" s="126">
        <v>45821</v>
      </c>
      <c r="L476" s="36">
        <f>WEEKNUM(Table1[[#This Row],[ETA
As requested
dd.mm.yyyy]])</f>
        <v>24</v>
      </c>
      <c r="M476" s="36">
        <f>YEAR(Table1[[#This Row],[ETA
As requested
dd.mm.yyyy]])</f>
        <v>2025</v>
      </c>
      <c r="N476" s="36">
        <f>IFERROR(INDEX(DATABASE_FG!$H$5:$H$367, MATCH(E476, DATABASE_FG!$C$5:$C$367, 0)), " ")</f>
        <v>0</v>
      </c>
      <c r="O476" s="129" t="str">
        <f>IF(E476&lt;&gt;"", _xlfn.XLOOKUP(E476, DATABASE_FG!C:C, DATABASE_FG!F:F), " ")</f>
        <v>Alama</v>
      </c>
      <c r="P476" s="129">
        <f>IFERROR(INDEX(DATABASE_FG!$G$5:$G$367, MATCH(E476, DATABASE_FG!$C$5:$C$367, 0)), "Not Found")</f>
        <v>0</v>
      </c>
      <c r="Q476" s="36"/>
      <c r="R476" s="125" t="s">
        <v>678</v>
      </c>
      <c r="S476" s="123">
        <f>Table1[[#This Row],[Quantity]]/48</f>
        <v>4.166666666666667</v>
      </c>
      <c r="T476" s="36" t="s">
        <v>679</v>
      </c>
      <c r="U476" s="36"/>
      <c r="V476" s="36"/>
      <c r="W476" s="129"/>
      <c r="X476" s="36"/>
      <c r="Y476" s="36"/>
      <c r="Z476" s="36"/>
      <c r="AA476" s="125" t="s">
        <v>121</v>
      </c>
      <c r="AB476" s="172">
        <v>45821</v>
      </c>
      <c r="AC476" s="119">
        <v>25925</v>
      </c>
      <c r="AD476" s="36">
        <f t="shared" si="59"/>
        <v>39359709</v>
      </c>
      <c r="AE476" s="36" t="str">
        <f t="shared" si="60"/>
        <v>EDP KUH.6220-A-M-3001 004</v>
      </c>
      <c r="AF476" s="36">
        <v>200</v>
      </c>
      <c r="AG476" s="120">
        <f t="shared" si="61"/>
        <v>956</v>
      </c>
      <c r="AH476" s="36"/>
      <c r="AI476" s="124"/>
      <c r="AJ476" s="122" t="s">
        <v>3264</v>
      </c>
      <c r="AK476" s="129" t="str">
        <f t="shared" ca="1" si="62"/>
        <v>On Time</v>
      </c>
      <c r="AL476" s="268" t="str">
        <f t="shared" si="64"/>
        <v>June</v>
      </c>
      <c r="AM476" s="133">
        <f>YEAR(Table1[[#This Row],[ETA
As requested
dd.mm.yyyy]])</f>
        <v>2025</v>
      </c>
    </row>
    <row r="477" spans="1:39" hidden="1">
      <c r="A477" s="123" t="s">
        <v>83</v>
      </c>
      <c r="B477" s="36" t="s">
        <v>1170</v>
      </c>
      <c r="C477" s="117">
        <v>39359709</v>
      </c>
      <c r="D477" s="165">
        <v>45809</v>
      </c>
      <c r="E477" s="117" t="s">
        <v>87</v>
      </c>
      <c r="F477" s="36" t="str">
        <f>IFERROR(VLOOKUP(Table1[[#This Row],[Part Number]],DATABASE_FG!$C$6:D10466,2,FALSE)," ")</f>
        <v xml:space="preserve">300343434-0000 </v>
      </c>
      <c r="G477" s="117" t="str">
        <f>IFERROR(_xlfn.XLOOKUP(Table1[[#This Row],[Part Number]],Table3[Part number],Table3[Drawing
 Revision]),"")</f>
        <v>AA</v>
      </c>
      <c r="H477" s="118" cm="1">
        <f t="array" ref="H477">IFERROR(INDEX(PDB!$C:$AT,MATCH(E477,PDB!$B:$B,0),MATCH(YEAR(K477),0+PDB!$C$1:$AT$1,0)),"")</f>
        <v>4.78</v>
      </c>
      <c r="I477" s="36">
        <v>233</v>
      </c>
      <c r="J477" s="125">
        <f>IFERROR(Table1[[#This Row],[Quantity]]*Table1[[#This Row],[Price/Unit
EUR]]," ")</f>
        <v>1113.74</v>
      </c>
      <c r="K477" s="126">
        <v>45821</v>
      </c>
      <c r="L477" s="36">
        <f>WEEKNUM(Table1[[#This Row],[ETA
As requested
dd.mm.yyyy]])</f>
        <v>24</v>
      </c>
      <c r="M477" s="36">
        <f>YEAR(Table1[[#This Row],[ETA
As requested
dd.mm.yyyy]])</f>
        <v>2025</v>
      </c>
      <c r="N477" s="36">
        <f>IFERROR(INDEX(DATABASE_FG!$H$5:$H$367, MATCH(E477, DATABASE_FG!$C$5:$C$367, 0)), " ")</f>
        <v>0</v>
      </c>
      <c r="O477" s="129" t="str">
        <f>IF(E477&lt;&gt;"", _xlfn.XLOOKUP(E477, DATABASE_FG!C:C, DATABASE_FG!F:F), " ")</f>
        <v>Alama</v>
      </c>
      <c r="P477" s="129">
        <f>IFERROR(INDEX(DATABASE_FG!$G$5:$G$367, MATCH(E477, DATABASE_FG!$C$5:$C$367, 0)), "Not Found")</f>
        <v>0</v>
      </c>
      <c r="Q477" s="36"/>
      <c r="R477" s="125" t="s">
        <v>678</v>
      </c>
      <c r="S477" s="123">
        <f>Table1[[#This Row],[Quantity]]/48</f>
        <v>4.854166666666667</v>
      </c>
      <c r="T477" s="36" t="s">
        <v>679</v>
      </c>
      <c r="U477" s="36"/>
      <c r="V477" s="36"/>
      <c r="W477" s="129"/>
      <c r="X477" s="36"/>
      <c r="Y477" s="36"/>
      <c r="Z477" s="36"/>
      <c r="AA477" s="125" t="s">
        <v>121</v>
      </c>
      <c r="AB477" s="172">
        <v>45824</v>
      </c>
      <c r="AC477" s="119">
        <v>25936</v>
      </c>
      <c r="AD477" s="36">
        <f t="shared" si="59"/>
        <v>39359709</v>
      </c>
      <c r="AE477" s="36" t="str">
        <f t="shared" si="60"/>
        <v>EDP KUH.6220-A-M-3001 004</v>
      </c>
      <c r="AF477" s="36">
        <v>233</v>
      </c>
      <c r="AG477" s="120">
        <f t="shared" si="61"/>
        <v>1113.74</v>
      </c>
      <c r="AH477" s="36"/>
      <c r="AI477" s="124"/>
      <c r="AJ477" s="122" t="s">
        <v>3265</v>
      </c>
      <c r="AK477" s="129" t="str">
        <f t="shared" ca="1" si="62"/>
        <v>Late</v>
      </c>
      <c r="AL477" s="268" t="str">
        <f t="shared" si="64"/>
        <v>June</v>
      </c>
      <c r="AM477" s="133">
        <f>YEAR(Table1[[#This Row],[ETA
As requested
dd.mm.yyyy]])</f>
        <v>2025</v>
      </c>
    </row>
    <row r="478" spans="1:39" hidden="1">
      <c r="A478" s="123" t="s">
        <v>83</v>
      </c>
      <c r="B478" s="36" t="s">
        <v>1170</v>
      </c>
      <c r="C478" s="117">
        <v>39359709</v>
      </c>
      <c r="D478" s="165">
        <v>45809</v>
      </c>
      <c r="E478" s="117" t="s">
        <v>87</v>
      </c>
      <c r="F478" s="36" t="str">
        <f>IFERROR(VLOOKUP(Table1[[#This Row],[Part Number]],DATABASE_FG!$C$6:D10467,2,FALSE)," ")</f>
        <v xml:space="preserve">300343434-0000 </v>
      </c>
      <c r="G478" s="117" t="str">
        <f>IFERROR(_xlfn.XLOOKUP(Table1[[#This Row],[Part Number]],Table3[Part number],Table3[Drawing
 Revision]),"")</f>
        <v>AA</v>
      </c>
      <c r="H478" s="118" cm="1">
        <f t="array" ref="H478">IFERROR(INDEX(PDB!$C:$AT,MATCH(E478,PDB!$B:$B,0),MATCH(YEAR(K478),0+PDB!$C$1:$AT$1,0)),"")</f>
        <v>4.78</v>
      </c>
      <c r="I478" s="36">
        <v>48</v>
      </c>
      <c r="J478" s="125">
        <f>IFERROR(Table1[[#This Row],[Quantity]]*Table1[[#This Row],[Price/Unit
EUR]]," ")</f>
        <v>229.44</v>
      </c>
      <c r="K478" s="126">
        <v>45821</v>
      </c>
      <c r="L478" s="36">
        <f>WEEKNUM(Table1[[#This Row],[ETA
As requested
dd.mm.yyyy]])</f>
        <v>24</v>
      </c>
      <c r="M478" s="36">
        <f>YEAR(Table1[[#This Row],[ETA
As requested
dd.mm.yyyy]])</f>
        <v>2025</v>
      </c>
      <c r="N478" s="36">
        <f>IFERROR(INDEX(DATABASE_FG!$H$5:$H$367, MATCH(E478, DATABASE_FG!$C$5:$C$367, 0)), " ")</f>
        <v>0</v>
      </c>
      <c r="O478" s="129" t="str">
        <f>IF(E478&lt;&gt;"", _xlfn.XLOOKUP(E478, DATABASE_FG!C:C, DATABASE_FG!F:F), " ")</f>
        <v>Alama</v>
      </c>
      <c r="P478" s="129">
        <f>IFERROR(INDEX(DATABASE_FG!$G$5:$G$367, MATCH(E478, DATABASE_FG!$C$5:$C$367, 0)), "Not Found")</f>
        <v>0</v>
      </c>
      <c r="Q478" s="36"/>
      <c r="R478" s="125" t="s">
        <v>678</v>
      </c>
      <c r="S478" s="123">
        <f>Table1[[#This Row],[Quantity]]/48</f>
        <v>1</v>
      </c>
      <c r="T478" s="36" t="s">
        <v>679</v>
      </c>
      <c r="U478" s="36"/>
      <c r="V478" s="36"/>
      <c r="W478" s="129"/>
      <c r="X478" s="36"/>
      <c r="Y478" s="36"/>
      <c r="Z478" s="36"/>
      <c r="AA478" s="125" t="s">
        <v>121</v>
      </c>
      <c r="AB478" s="172">
        <v>45825</v>
      </c>
      <c r="AC478" s="119">
        <v>25942</v>
      </c>
      <c r="AD478" s="36">
        <f t="shared" si="59"/>
        <v>39359709</v>
      </c>
      <c r="AE478" s="36" t="str">
        <f t="shared" si="60"/>
        <v>EDP KUH.6220-A-M-3001 004</v>
      </c>
      <c r="AF478" s="36">
        <v>48</v>
      </c>
      <c r="AG478" s="120">
        <f t="shared" si="61"/>
        <v>229.44</v>
      </c>
      <c r="AH478" s="36"/>
      <c r="AI478" s="124"/>
      <c r="AJ478" s="122" t="s">
        <v>3266</v>
      </c>
      <c r="AK478" s="129" t="str">
        <f t="shared" ca="1" si="62"/>
        <v>Late</v>
      </c>
      <c r="AL478" s="268" t="str">
        <f t="shared" si="64"/>
        <v>June</v>
      </c>
      <c r="AM478" s="133">
        <f>YEAR(Table1[[#This Row],[ETA
As requested
dd.mm.yyyy]])</f>
        <v>2025</v>
      </c>
    </row>
    <row r="479" spans="1:39" hidden="1">
      <c r="A479" s="123" t="s">
        <v>83</v>
      </c>
      <c r="B479" s="36" t="s">
        <v>1170</v>
      </c>
      <c r="C479" s="117">
        <v>39359709</v>
      </c>
      <c r="D479" s="165">
        <v>45809</v>
      </c>
      <c r="E479" s="117" t="s">
        <v>87</v>
      </c>
      <c r="F479" s="36" t="str">
        <f>IFERROR(VLOOKUP(Table1[[#This Row],[Part Number]],DATABASE_FG!$C$6:D10468,2,FALSE)," ")</f>
        <v xml:space="preserve">300343434-0000 </v>
      </c>
      <c r="G479" s="117" t="str">
        <f>IFERROR(_xlfn.XLOOKUP(Table1[[#This Row],[Part Number]],Table3[Part number],Table3[Drawing
 Revision]),"")</f>
        <v>AA</v>
      </c>
      <c r="H479" s="118" cm="1">
        <f t="array" ref="H479">IFERROR(INDEX(PDB!$C:$AT,MATCH(E479,PDB!$B:$B,0),MATCH(YEAR(K479),0+PDB!$C$1:$AT$1,0)),"")</f>
        <v>4.78</v>
      </c>
      <c r="I479" s="36">
        <v>114</v>
      </c>
      <c r="J479" s="125">
        <f>IFERROR(Table1[[#This Row],[Quantity]]*Table1[[#This Row],[Price/Unit
EUR]]," ")</f>
        <v>544.92000000000007</v>
      </c>
      <c r="K479" s="126">
        <v>45821</v>
      </c>
      <c r="L479" s="36">
        <f>WEEKNUM(Table1[[#This Row],[ETA
As requested
dd.mm.yyyy]])</f>
        <v>24</v>
      </c>
      <c r="M479" s="36">
        <f>YEAR(Table1[[#This Row],[ETA
As requested
dd.mm.yyyy]])</f>
        <v>2025</v>
      </c>
      <c r="N479" s="36">
        <f>IFERROR(INDEX(DATABASE_FG!$H$5:$H$367, MATCH(E479, DATABASE_FG!$C$5:$C$367, 0)), " ")</f>
        <v>0</v>
      </c>
      <c r="O479" s="129" t="str">
        <f>IF(E479&lt;&gt;"", _xlfn.XLOOKUP(E479, DATABASE_FG!C:C, DATABASE_FG!F:F), " ")</f>
        <v>Alama</v>
      </c>
      <c r="P479" s="129">
        <f>IFERROR(INDEX(DATABASE_FG!$G$5:$G$367, MATCH(E479, DATABASE_FG!$C$5:$C$367, 0)), "Not Found")</f>
        <v>0</v>
      </c>
      <c r="Q479" s="36"/>
      <c r="R479" s="125" t="s">
        <v>678</v>
      </c>
      <c r="S479" s="123">
        <f>Table1[[#This Row],[Quantity]]/48</f>
        <v>2.375</v>
      </c>
      <c r="T479" s="36" t="s">
        <v>679</v>
      </c>
      <c r="U479" s="36"/>
      <c r="V479" s="36"/>
      <c r="W479" s="129"/>
      <c r="X479" s="36"/>
      <c r="Y479" s="36"/>
      <c r="Z479" s="36"/>
      <c r="AA479" s="125" t="s">
        <v>121</v>
      </c>
      <c r="AB479" s="172">
        <v>45826</v>
      </c>
      <c r="AC479" s="119">
        <v>25947</v>
      </c>
      <c r="AD479" s="36">
        <f t="shared" si="59"/>
        <v>39359709</v>
      </c>
      <c r="AE479" s="36" t="str">
        <f t="shared" si="60"/>
        <v>EDP KUH.6220-A-M-3001 004</v>
      </c>
      <c r="AF479" s="36">
        <v>114</v>
      </c>
      <c r="AG479" s="120">
        <f t="shared" si="61"/>
        <v>544.92000000000007</v>
      </c>
      <c r="AH479" s="36"/>
      <c r="AI479" s="124"/>
      <c r="AJ479" s="122" t="s">
        <v>3268</v>
      </c>
      <c r="AK479" s="129" t="str">
        <f t="shared" ca="1" si="62"/>
        <v>Late</v>
      </c>
      <c r="AL479" s="268" t="str">
        <f t="shared" si="64"/>
        <v>June</v>
      </c>
      <c r="AM479" s="133">
        <f>YEAR(Table1[[#This Row],[ETA
As requested
dd.mm.yyyy]])</f>
        <v>2025</v>
      </c>
    </row>
    <row r="480" spans="1:39" hidden="1">
      <c r="A480" s="123" t="s">
        <v>83</v>
      </c>
      <c r="B480" s="36" t="s">
        <v>1170</v>
      </c>
      <c r="C480" s="117">
        <v>39359709</v>
      </c>
      <c r="D480" s="165">
        <v>45809</v>
      </c>
      <c r="E480" s="117" t="s">
        <v>87</v>
      </c>
      <c r="F480" s="36" t="str">
        <f>IFERROR(VLOOKUP(Table1[[#This Row],[Part Number]],DATABASE_FG!$C$6:D10469,2,FALSE)," ")</f>
        <v xml:space="preserve">300343434-0000 </v>
      </c>
      <c r="G480" s="117" t="str">
        <f>IFERROR(_xlfn.XLOOKUP(Table1[[#This Row],[Part Number]],Table3[Part number],Table3[Drawing
 Revision]),"")</f>
        <v>AA</v>
      </c>
      <c r="H480" s="118" cm="1">
        <f t="array" ref="H480">IFERROR(INDEX(PDB!$C:$AT,MATCH(E480,PDB!$B:$B,0),MATCH(YEAR(K480),0+PDB!$C$1:$AT$1,0)),"")</f>
        <v>4.78</v>
      </c>
      <c r="I480" s="36">
        <v>66</v>
      </c>
      <c r="J480" s="125">
        <f>IFERROR(Table1[[#This Row],[Quantity]]*Table1[[#This Row],[Price/Unit
EUR]]," ")</f>
        <v>315.48</v>
      </c>
      <c r="K480" s="126">
        <v>45821</v>
      </c>
      <c r="L480" s="36">
        <f>WEEKNUM(Table1[[#This Row],[ETA
As requested
dd.mm.yyyy]])</f>
        <v>24</v>
      </c>
      <c r="M480" s="36">
        <f>YEAR(Table1[[#This Row],[ETA
As requested
dd.mm.yyyy]])</f>
        <v>2025</v>
      </c>
      <c r="N480" s="36">
        <f>IFERROR(INDEX(DATABASE_FG!$H$5:$H$367, MATCH(E480, DATABASE_FG!$C$5:$C$367, 0)), " ")</f>
        <v>0</v>
      </c>
      <c r="O480" s="129" t="str">
        <f>IF(E480&lt;&gt;"", _xlfn.XLOOKUP(E480, DATABASE_FG!C:C, DATABASE_FG!F:F), " ")</f>
        <v>Alama</v>
      </c>
      <c r="P480" s="129">
        <f>IFERROR(INDEX(DATABASE_FG!$G$5:$G$367, MATCH(E480, DATABASE_FG!$C$5:$C$367, 0)), "Not Found")</f>
        <v>0</v>
      </c>
      <c r="Q480" s="36"/>
      <c r="R480" s="125" t="s">
        <v>678</v>
      </c>
      <c r="S480" s="123">
        <f>Table1[[#This Row],[Quantity]]/48</f>
        <v>1.375</v>
      </c>
      <c r="T480" s="36" t="s">
        <v>679</v>
      </c>
      <c r="U480" s="36"/>
      <c r="V480" s="36"/>
      <c r="W480" s="129"/>
      <c r="X480" s="36"/>
      <c r="Y480" s="36"/>
      <c r="Z480" s="36"/>
      <c r="AA480" s="125" t="s">
        <v>121</v>
      </c>
      <c r="AB480" s="172">
        <v>45827</v>
      </c>
      <c r="AC480" s="119">
        <v>25955</v>
      </c>
      <c r="AD480" s="36">
        <f t="shared" si="59"/>
        <v>39359709</v>
      </c>
      <c r="AE480" s="36" t="str">
        <f t="shared" si="60"/>
        <v>EDP KUH.6220-A-M-3001 004</v>
      </c>
      <c r="AF480" s="36">
        <v>66</v>
      </c>
      <c r="AG480" s="120">
        <f t="shared" si="61"/>
        <v>315.48</v>
      </c>
      <c r="AH480" s="36"/>
      <c r="AI480" s="124"/>
      <c r="AJ480" s="122" t="s">
        <v>3269</v>
      </c>
      <c r="AK480" s="129" t="str">
        <f t="shared" ca="1" si="62"/>
        <v>Late</v>
      </c>
      <c r="AL480" s="268" t="str">
        <f t="shared" si="64"/>
        <v>June</v>
      </c>
      <c r="AM480" s="133">
        <f>YEAR(Table1[[#This Row],[ETA
As requested
dd.mm.yyyy]])</f>
        <v>2025</v>
      </c>
    </row>
    <row r="481" spans="1:39" hidden="1">
      <c r="A481" s="123" t="s">
        <v>83</v>
      </c>
      <c r="B481" s="36" t="s">
        <v>1170</v>
      </c>
      <c r="C481" s="117">
        <v>39359709</v>
      </c>
      <c r="D481" s="165">
        <v>45810</v>
      </c>
      <c r="E481" s="117" t="s">
        <v>87</v>
      </c>
      <c r="F481" s="36" t="str">
        <f>IFERROR(VLOOKUP(Table1[[#This Row],[Part Number]],DATABASE_FG!$C$6:D10470,2,FALSE)," ")</f>
        <v xml:space="preserve">300343434-0000 </v>
      </c>
      <c r="G481" s="117" t="str">
        <f>IFERROR(_xlfn.XLOOKUP(Table1[[#This Row],[Part Number]],Table3[Part number],Table3[Drawing
 Revision]),"")</f>
        <v>AA</v>
      </c>
      <c r="H481" s="118" cm="1">
        <f t="array" ref="H481">IFERROR(INDEX(PDB!$C:$AT,MATCH(E481,PDB!$B:$B,0),MATCH(YEAR(K481),0+PDB!$C$1:$AT$1,0)),"")</f>
        <v>4.78</v>
      </c>
      <c r="I481" s="36">
        <f>1744-72-117-60-180-264-200-200-186-233-48-114-66</f>
        <v>4</v>
      </c>
      <c r="J481" s="125">
        <f>IFERROR(Table1[[#This Row],[Quantity]]*Table1[[#This Row],[Price/Unit
EUR]]," ")</f>
        <v>19.12</v>
      </c>
      <c r="K481" s="126">
        <v>45822</v>
      </c>
      <c r="L481" s="36">
        <f>WEEKNUM(Table1[[#This Row],[ETA
As requested
dd.mm.yyyy]])</f>
        <v>24</v>
      </c>
      <c r="M481" s="36">
        <f>YEAR(Table1[[#This Row],[ETA
As requested
dd.mm.yyyy]])</f>
        <v>2025</v>
      </c>
      <c r="N481" s="36">
        <f>IFERROR(INDEX(DATABASE_FG!$H$5:$H$367, MATCH(E481, DATABASE_FG!$C$5:$C$367, 0)), " ")</f>
        <v>0</v>
      </c>
      <c r="O481" s="129" t="str">
        <f>IF(E481&lt;&gt;"", _xlfn.XLOOKUP(E481, DATABASE_FG!C:C, DATABASE_FG!F:F), " ")</f>
        <v>Alama</v>
      </c>
      <c r="P481" s="129">
        <f>IFERROR(INDEX(DATABASE_FG!$G$5:$G$367, MATCH(E481, DATABASE_FG!$C$5:$C$367, 0)), "Not Found")</f>
        <v>0</v>
      </c>
      <c r="Q481" s="36"/>
      <c r="R481" s="125" t="s">
        <v>678</v>
      </c>
      <c r="S481" s="123">
        <f>Table1[[#This Row],[Quantity]]/48</f>
        <v>8.3333333333333329E-2</v>
      </c>
      <c r="T481" s="36" t="s">
        <v>679</v>
      </c>
      <c r="U481" s="36"/>
      <c r="V481" s="36"/>
      <c r="W481" s="129"/>
      <c r="X481" s="36"/>
      <c r="Y481" s="36"/>
      <c r="Z481" s="36"/>
      <c r="AA481" s="125" t="s">
        <v>121</v>
      </c>
      <c r="AB481" s="172">
        <v>45828</v>
      </c>
      <c r="AC481" s="119">
        <v>25959</v>
      </c>
      <c r="AD481" s="36">
        <f t="shared" si="59"/>
        <v>39359709</v>
      </c>
      <c r="AE481" s="36" t="str">
        <f t="shared" si="60"/>
        <v>EDP KUH.6220-A-M-3001 004</v>
      </c>
      <c r="AF481" s="36">
        <v>0</v>
      </c>
      <c r="AG481" s="120">
        <f t="shared" si="61"/>
        <v>0</v>
      </c>
      <c r="AH481" s="36">
        <v>4</v>
      </c>
      <c r="AI481" s="124"/>
      <c r="AJ481" s="122" t="s">
        <v>3281</v>
      </c>
      <c r="AK481" s="129" t="str">
        <f t="shared" ca="1" si="62"/>
        <v>Late</v>
      </c>
      <c r="AL481" s="268" t="str">
        <f t="shared" si="64"/>
        <v>June</v>
      </c>
      <c r="AM481" s="133">
        <f>YEAR(Table1[[#This Row],[ETA
As requested
dd.mm.yyyy]])</f>
        <v>2025</v>
      </c>
    </row>
    <row r="482" spans="1:39" hidden="1">
      <c r="A482" s="123" t="s">
        <v>83</v>
      </c>
      <c r="B482" s="36" t="s">
        <v>1170</v>
      </c>
      <c r="C482" s="117">
        <v>50016345</v>
      </c>
      <c r="D482" s="165">
        <v>45860</v>
      </c>
      <c r="E482" s="117" t="s">
        <v>87</v>
      </c>
      <c r="F482" s="36" t="str">
        <f>IFERROR(VLOOKUP(Table1[[#This Row],[Part Number]],DATABASE_FG!$C$6:D10471,2,FALSE)," ")</f>
        <v xml:space="preserve">300343434-0000 </v>
      </c>
      <c r="G482" s="117" t="str">
        <f>IFERROR(_xlfn.XLOOKUP(Table1[[#This Row],[Part Number]],Table3[Part number],Table3[Drawing
 Revision]),"")</f>
        <v>AA</v>
      </c>
      <c r="H482" s="118" cm="1">
        <f t="array" ref="H482">IFERROR(INDEX(PDB!$C:$AT,MATCH(E482,PDB!$B:$B,0),MATCH(YEAR(K482),0+PDB!$C$1:$AT$1,0)),"")</f>
        <v>4.78</v>
      </c>
      <c r="I482" s="36">
        <v>174</v>
      </c>
      <c r="J482" s="125">
        <f>IFERROR(Table1[[#This Row],[Quantity]]*Table1[[#This Row],[Price/Unit
EUR]]," ")</f>
        <v>831.72</v>
      </c>
      <c r="K482" s="126">
        <v>45893</v>
      </c>
      <c r="L482" s="36">
        <f>WEEKNUM(Table1[[#This Row],[ETA
As requested
dd.mm.yyyy]])</f>
        <v>35</v>
      </c>
      <c r="M482" s="36">
        <f>YEAR(Table1[[#This Row],[ETA
As requested
dd.mm.yyyy]])</f>
        <v>2025</v>
      </c>
      <c r="N482" s="36">
        <f>IFERROR(INDEX(DATABASE_FG!$H$5:$H$367, MATCH(E482, DATABASE_FG!$C$5:$C$367, 0)), " ")</f>
        <v>0</v>
      </c>
      <c r="O482" s="129" t="str">
        <f>IF(E482&lt;&gt;"", _xlfn.XLOOKUP(E482, DATABASE_FG!C:C, DATABASE_FG!F:F), " ")</f>
        <v>Alama</v>
      </c>
      <c r="P482" s="129">
        <f>IFERROR(INDEX(DATABASE_FG!$G$5:$G$367, MATCH(E482, DATABASE_FG!$C$5:$C$367, 0)), "Not Found")</f>
        <v>0</v>
      </c>
      <c r="Q482" s="36"/>
      <c r="R482" s="125" t="s">
        <v>678</v>
      </c>
      <c r="S482" s="123">
        <f>IFERROR(INDEX(DATABASE_FG!$L$5:$L$367, MATCH(E482, DATABASE_FG!$C$5:$C$367, 0)), " ")</f>
        <v>42</v>
      </c>
      <c r="T482" s="36" t="s">
        <v>679</v>
      </c>
      <c r="U482" s="36"/>
      <c r="V482" s="36"/>
      <c r="W482" s="129"/>
      <c r="X482" s="36"/>
      <c r="Y482" s="36"/>
      <c r="Z482" s="36"/>
      <c r="AA482" s="125" t="s">
        <v>121</v>
      </c>
      <c r="AB482" s="172">
        <v>45895</v>
      </c>
      <c r="AC482" s="119" t="s">
        <v>3599</v>
      </c>
      <c r="AD482" s="36">
        <f t="shared" ref="AD482:AD525" si="65">IF(NOT(ISBLANK(AC482)), C482, "")</f>
        <v>50016345</v>
      </c>
      <c r="AE482" s="36" t="str">
        <f t="shared" ref="AE482:AE525" si="66">IF(NOT(ISBLANK(AC482)), E482, "")</f>
        <v>EDP KUH.6220-A-M-3001 004</v>
      </c>
      <c r="AF482" s="36">
        <v>174</v>
      </c>
      <c r="AG482" s="120">
        <f t="shared" ref="AG482:AG545" si="67">AF482*H482</f>
        <v>831.72</v>
      </c>
      <c r="AH482" s="36"/>
      <c r="AI482" s="124"/>
      <c r="AJ482" s="122" t="s">
        <v>3600</v>
      </c>
      <c r="AK482" s="129" t="str">
        <f t="shared" ca="1" si="62"/>
        <v>On Time</v>
      </c>
      <c r="AL482" s="268" t="str">
        <f t="shared" si="64"/>
        <v>August</v>
      </c>
      <c r="AM482" s="133">
        <f>YEAR(Table1[[#This Row],[ETA
As requested
dd.mm.yyyy]])</f>
        <v>2025</v>
      </c>
    </row>
    <row r="483" spans="1:39" hidden="1">
      <c r="A483" s="123" t="s">
        <v>83</v>
      </c>
      <c r="B483" s="36" t="s">
        <v>1170</v>
      </c>
      <c r="C483" s="117">
        <v>50016345</v>
      </c>
      <c r="D483" s="165">
        <v>45860</v>
      </c>
      <c r="E483" s="117" t="s">
        <v>87</v>
      </c>
      <c r="F483" s="36" t="str">
        <f>IFERROR(VLOOKUP(Table1[[#This Row],[Part Number]],DATABASE_FG!$C$6:D10472,2,FALSE)," ")</f>
        <v xml:space="preserve">300343434-0000 </v>
      </c>
      <c r="G483" s="117" t="str">
        <f>IFERROR(_xlfn.XLOOKUP(Table1[[#This Row],[Part Number]],Table3[Part number],Table3[Drawing
 Revision]),"")</f>
        <v>AA</v>
      </c>
      <c r="H483" s="118" cm="1">
        <f t="array" ref="H483">IFERROR(INDEX(PDB!$C:$AT,MATCH(E483,PDB!$B:$B,0),MATCH(YEAR(K483),0+PDB!$C$1:$AT$1,0)),"")</f>
        <v>4.78</v>
      </c>
      <c r="I483" s="36">
        <v>173</v>
      </c>
      <c r="J483" s="125">
        <f>IFERROR(Table1[[#This Row],[Quantity]]*Table1[[#This Row],[Price/Unit
EUR]]," ")</f>
        <v>826.94</v>
      </c>
      <c r="K483" s="126">
        <v>45893</v>
      </c>
      <c r="L483" s="36">
        <f>WEEKNUM(Table1[[#This Row],[ETA
As requested
dd.mm.yyyy]])</f>
        <v>35</v>
      </c>
      <c r="M483" s="36">
        <f>YEAR(Table1[[#This Row],[ETA
As requested
dd.mm.yyyy]])</f>
        <v>2025</v>
      </c>
      <c r="N483" s="36">
        <f>IFERROR(INDEX(DATABASE_FG!$H$5:$H$367, MATCH(E483, DATABASE_FG!$C$5:$C$367, 0)), " ")</f>
        <v>0</v>
      </c>
      <c r="O483" s="129" t="str">
        <f>IF(E483&lt;&gt;"", _xlfn.XLOOKUP(E483, DATABASE_FG!C:C, DATABASE_FG!F:F), " ")</f>
        <v>Alama</v>
      </c>
      <c r="P483" s="129">
        <f>IFERROR(INDEX(DATABASE_FG!$G$5:$G$367, MATCH(E483, DATABASE_FG!$C$5:$C$367, 0)), "Not Found")</f>
        <v>0</v>
      </c>
      <c r="Q483" s="36"/>
      <c r="R483" s="125" t="s">
        <v>678</v>
      </c>
      <c r="S483" s="123">
        <f>IFERROR(INDEX(DATABASE_FG!$L$5:$L$367, MATCH(E483, DATABASE_FG!$C$5:$C$367, 0)), " ")</f>
        <v>42</v>
      </c>
      <c r="T483" s="36" t="s">
        <v>679</v>
      </c>
      <c r="U483" s="36"/>
      <c r="V483" s="36"/>
      <c r="W483" s="129"/>
      <c r="X483" s="36"/>
      <c r="Y483" s="36" t="s">
        <v>121</v>
      </c>
      <c r="Z483" s="36"/>
      <c r="AA483" s="125" t="s">
        <v>121</v>
      </c>
      <c r="AB483" s="173">
        <v>45896</v>
      </c>
      <c r="AC483" s="119" t="s">
        <v>3601</v>
      </c>
      <c r="AD483" s="36">
        <f t="shared" si="65"/>
        <v>50016345</v>
      </c>
      <c r="AE483" s="36" t="str">
        <f t="shared" si="66"/>
        <v>EDP KUH.6220-A-M-3001 004</v>
      </c>
      <c r="AF483" s="36">
        <v>173</v>
      </c>
      <c r="AG483" s="120">
        <f t="shared" si="67"/>
        <v>826.94</v>
      </c>
      <c r="AH483" s="36"/>
      <c r="AI483" s="124"/>
      <c r="AJ483" s="122" t="s">
        <v>3602</v>
      </c>
      <c r="AK483" s="129" t="str">
        <f t="shared" ca="1" si="62"/>
        <v>Late</v>
      </c>
      <c r="AL483" s="268" t="str">
        <f t="shared" si="64"/>
        <v>August</v>
      </c>
      <c r="AM483" s="133">
        <f>YEAR(Table1[[#This Row],[ETA
As requested
dd.mm.yyyy]])</f>
        <v>2025</v>
      </c>
    </row>
    <row r="484" spans="1:39" hidden="1">
      <c r="A484" s="123" t="s">
        <v>83</v>
      </c>
      <c r="B484" s="36" t="s">
        <v>1170</v>
      </c>
      <c r="C484" s="117">
        <v>50016345</v>
      </c>
      <c r="D484" s="165">
        <v>45860</v>
      </c>
      <c r="E484" s="117" t="s">
        <v>87</v>
      </c>
      <c r="F484" s="36" t="str">
        <f>IFERROR(VLOOKUP(Table1[[#This Row],[Part Number]],DATABASE_FG!$C$6:D10473,2,FALSE)," ")</f>
        <v xml:space="preserve">300343434-0000 </v>
      </c>
      <c r="G484" s="117" t="str">
        <f>IFERROR(_xlfn.XLOOKUP(Table1[[#This Row],[Part Number]],Table3[Part number],Table3[Drawing
 Revision]),"")</f>
        <v>AA</v>
      </c>
      <c r="H484" s="118" cm="1">
        <f t="array" ref="H484">IFERROR(INDEX(PDB!$C:$AT,MATCH(E484,PDB!$B:$B,0),MATCH(YEAR(K484),0+PDB!$C$1:$AT$1,0)),"")</f>
        <v>4.78</v>
      </c>
      <c r="I484" s="36">
        <v>209</v>
      </c>
      <c r="J484" s="125">
        <f>IFERROR(Table1[[#This Row],[Quantity]]*Table1[[#This Row],[Price/Unit
EUR]]," ")</f>
        <v>999.0200000000001</v>
      </c>
      <c r="K484" s="126">
        <v>45893</v>
      </c>
      <c r="L484" s="36">
        <f>WEEKNUM(Table1[[#This Row],[ETA
As requested
dd.mm.yyyy]])</f>
        <v>35</v>
      </c>
      <c r="M484" s="36">
        <f>YEAR(Table1[[#This Row],[ETA
As requested
dd.mm.yyyy]])</f>
        <v>2025</v>
      </c>
      <c r="N484" s="36">
        <f>IFERROR(INDEX(DATABASE_FG!$H$5:$H$367, MATCH(E484, DATABASE_FG!$C$5:$C$367, 0)), " ")</f>
        <v>0</v>
      </c>
      <c r="O484" s="129" t="str">
        <f>IF(E484&lt;&gt;"", _xlfn.XLOOKUP(E484, DATABASE_FG!C:C, DATABASE_FG!F:F), " ")</f>
        <v>Alama</v>
      </c>
      <c r="P484" s="129">
        <f>IFERROR(INDEX(DATABASE_FG!$G$5:$G$367, MATCH(E484, DATABASE_FG!$C$5:$C$367, 0)), "Not Found")</f>
        <v>0</v>
      </c>
      <c r="Q484" s="36"/>
      <c r="R484" s="125" t="s">
        <v>678</v>
      </c>
      <c r="S484" s="123">
        <f>IFERROR(INDEX(DATABASE_FG!$L$5:$L$367, MATCH(E484, DATABASE_FG!$C$5:$C$367, 0)), " ")</f>
        <v>42</v>
      </c>
      <c r="T484" s="36" t="s">
        <v>679</v>
      </c>
      <c r="U484" s="36"/>
      <c r="V484" s="36"/>
      <c r="W484" s="129"/>
      <c r="X484" s="36"/>
      <c r="Y484" s="36" t="s">
        <v>121</v>
      </c>
      <c r="Z484" s="36"/>
      <c r="AA484" s="125" t="s">
        <v>121</v>
      </c>
      <c r="AB484" s="173">
        <v>45897</v>
      </c>
      <c r="AC484" s="119" t="s">
        <v>3603</v>
      </c>
      <c r="AD484" s="36">
        <f t="shared" si="65"/>
        <v>50016345</v>
      </c>
      <c r="AE484" s="36" t="str">
        <f t="shared" si="66"/>
        <v>EDP KUH.6220-A-M-3001 004</v>
      </c>
      <c r="AF484" s="36">
        <v>209</v>
      </c>
      <c r="AG484" s="120">
        <f t="shared" si="67"/>
        <v>999.0200000000001</v>
      </c>
      <c r="AH484" s="36"/>
      <c r="AI484" s="124"/>
      <c r="AJ484" s="122" t="s">
        <v>3604</v>
      </c>
      <c r="AK484" s="129" t="str">
        <f t="shared" ca="1" si="62"/>
        <v>Late</v>
      </c>
      <c r="AL484" s="268" t="str">
        <f t="shared" si="64"/>
        <v>August</v>
      </c>
      <c r="AM484" s="133">
        <f>YEAR(Table1[[#This Row],[ETA
As requested
dd.mm.yyyy]])</f>
        <v>2025</v>
      </c>
    </row>
    <row r="485" spans="1:39" hidden="1">
      <c r="A485" s="123" t="s">
        <v>83</v>
      </c>
      <c r="B485" s="36" t="s">
        <v>1170</v>
      </c>
      <c r="C485" s="117">
        <v>50016345</v>
      </c>
      <c r="D485" s="165">
        <v>45860</v>
      </c>
      <c r="E485" s="117" t="s">
        <v>87</v>
      </c>
      <c r="F485" s="36" t="str">
        <f>IFERROR(VLOOKUP(Table1[[#This Row],[Part Number]],DATABASE_FG!$C$6:D10474,2,FALSE)," ")</f>
        <v xml:space="preserve">300343434-0000 </v>
      </c>
      <c r="G485" s="117" t="str">
        <f>IFERROR(_xlfn.XLOOKUP(Table1[[#This Row],[Part Number]],Table3[Part number],Table3[Drawing
 Revision]),"")</f>
        <v>AA</v>
      </c>
      <c r="H485" s="118" cm="1">
        <f t="array" ref="H485">IFERROR(INDEX(PDB!$C:$AT,MATCH(E485,PDB!$B:$B,0),MATCH(YEAR(K485),0+PDB!$C$1:$AT$1,0)),"")</f>
        <v>4.78</v>
      </c>
      <c r="I485" s="36">
        <v>234</v>
      </c>
      <c r="J485" s="125">
        <f>IFERROR(Table1[[#This Row],[Quantity]]*Table1[[#This Row],[Price/Unit
EUR]]," ")</f>
        <v>1118.52</v>
      </c>
      <c r="K485" s="126">
        <v>45893</v>
      </c>
      <c r="L485" s="36">
        <f>WEEKNUM(Table1[[#This Row],[ETA
As requested
dd.mm.yyyy]])</f>
        <v>35</v>
      </c>
      <c r="M485" s="36">
        <f>YEAR(Table1[[#This Row],[ETA
As requested
dd.mm.yyyy]])</f>
        <v>2025</v>
      </c>
      <c r="N485" s="36">
        <f>IFERROR(INDEX(DATABASE_FG!$H$5:$H$367, MATCH(E485, DATABASE_FG!$C$5:$C$367, 0)), " ")</f>
        <v>0</v>
      </c>
      <c r="O485" s="129" t="str">
        <f>IF(E485&lt;&gt;"", _xlfn.XLOOKUP(E485, DATABASE_FG!C:C, DATABASE_FG!F:F), " ")</f>
        <v>Alama</v>
      </c>
      <c r="P485" s="129">
        <f>IFERROR(INDEX(DATABASE_FG!$G$5:$G$367, MATCH(E485, DATABASE_FG!$C$5:$C$367, 0)), "Not Found")</f>
        <v>0</v>
      </c>
      <c r="Q485" s="36"/>
      <c r="R485" s="125" t="s">
        <v>678</v>
      </c>
      <c r="S485" s="123">
        <f>IFERROR(INDEX(DATABASE_FG!$L$5:$L$367, MATCH(E485, DATABASE_FG!$C$5:$C$367, 0)), " ")</f>
        <v>42</v>
      </c>
      <c r="T485" s="36" t="s">
        <v>679</v>
      </c>
      <c r="U485" s="36"/>
      <c r="V485" s="36"/>
      <c r="W485" s="129"/>
      <c r="X485" s="36"/>
      <c r="Y485" s="36" t="s">
        <v>121</v>
      </c>
      <c r="Z485" s="36"/>
      <c r="AA485" s="125" t="s">
        <v>121</v>
      </c>
      <c r="AB485" s="173">
        <v>45898</v>
      </c>
      <c r="AC485" s="119" t="s">
        <v>3605</v>
      </c>
      <c r="AD485" s="36">
        <f t="shared" si="65"/>
        <v>50016345</v>
      </c>
      <c r="AE485" s="36" t="str">
        <f t="shared" si="66"/>
        <v>EDP KUH.6220-A-M-3001 004</v>
      </c>
      <c r="AF485" s="36">
        <v>234</v>
      </c>
      <c r="AG485" s="120">
        <f t="shared" si="67"/>
        <v>1118.52</v>
      </c>
      <c r="AH485" s="36"/>
      <c r="AI485" s="36"/>
      <c r="AJ485" s="122" t="s">
        <v>3606</v>
      </c>
      <c r="AK485" s="129" t="str">
        <f t="shared" ca="1" si="62"/>
        <v>Late</v>
      </c>
      <c r="AL485" s="268" t="str">
        <f t="shared" si="64"/>
        <v>August</v>
      </c>
      <c r="AM485" s="133">
        <f>YEAR(Table1[[#This Row],[ETA
As requested
dd.mm.yyyy]])</f>
        <v>2025</v>
      </c>
    </row>
    <row r="486" spans="1:39" hidden="1">
      <c r="A486" s="123" t="s">
        <v>83</v>
      </c>
      <c r="B486" s="36" t="s">
        <v>1170</v>
      </c>
      <c r="C486" s="117">
        <v>50016345</v>
      </c>
      <c r="D486" s="165">
        <v>45860</v>
      </c>
      <c r="E486" s="117" t="s">
        <v>87</v>
      </c>
      <c r="F486" s="36" t="str">
        <f>IFERROR(VLOOKUP(Table1[[#This Row],[Part Number]],DATABASE_FG!$C$6:D10475,2,FALSE)," ")</f>
        <v xml:space="preserve">300343434-0000 </v>
      </c>
      <c r="G486" s="117" t="str">
        <f>IFERROR(_xlfn.XLOOKUP(Table1[[#This Row],[Part Number]],Table3[Part number],Table3[Drawing
 Revision]),"")</f>
        <v>AA</v>
      </c>
      <c r="H486" s="118" cm="1">
        <f t="array" ref="H486">IFERROR(INDEX(PDB!$C:$AT,MATCH(E486,PDB!$B:$B,0),MATCH(YEAR(K486),0+PDB!$C$1:$AT$1,0)),"")</f>
        <v>4.78</v>
      </c>
      <c r="I486" s="36">
        <f>1242-174-173-209-234</f>
        <v>452</v>
      </c>
      <c r="J486" s="125">
        <f>IFERROR(Table1[[#This Row],[Quantity]]*Table1[[#This Row],[Price/Unit
EUR]]," ")</f>
        <v>2160.56</v>
      </c>
      <c r="K486" s="126">
        <v>45893</v>
      </c>
      <c r="L486" s="36">
        <f>WEEKNUM(Table1[[#This Row],[ETA
As requested
dd.mm.yyyy]])</f>
        <v>35</v>
      </c>
      <c r="M486" s="36">
        <f>YEAR(Table1[[#This Row],[ETA
As requested
dd.mm.yyyy]])</f>
        <v>2025</v>
      </c>
      <c r="N486" s="36">
        <f>IFERROR(INDEX(DATABASE_FG!$H$5:$H$367, MATCH(E486, DATABASE_FG!$C$5:$C$367, 0)), " ")</f>
        <v>0</v>
      </c>
      <c r="O486" s="129" t="str">
        <f>IF(E486&lt;&gt;"", _xlfn.XLOOKUP(E486, DATABASE_FG!C:C, DATABASE_FG!F:F), " ")</f>
        <v>Alama</v>
      </c>
      <c r="P486" s="129">
        <f>IFERROR(INDEX(DATABASE_FG!$G$5:$G$367, MATCH(E486, DATABASE_FG!$C$5:$C$367, 0)), "Not Found")</f>
        <v>0</v>
      </c>
      <c r="Q486" s="36"/>
      <c r="R486" s="125" t="s">
        <v>678</v>
      </c>
      <c r="S486" s="123">
        <f>IFERROR(INDEX(DATABASE_FG!$L$5:$L$367, MATCH(E486, DATABASE_FG!$C$5:$C$367, 0)), " ")</f>
        <v>42</v>
      </c>
      <c r="T486" s="36" t="s">
        <v>679</v>
      </c>
      <c r="U486" s="36"/>
      <c r="V486" s="36"/>
      <c r="W486" s="129"/>
      <c r="X486" s="36"/>
      <c r="Y486" s="36" t="s">
        <v>121</v>
      </c>
      <c r="Z486" s="36"/>
      <c r="AA486" s="125" t="s">
        <v>121</v>
      </c>
      <c r="AB486" s="173">
        <v>45899</v>
      </c>
      <c r="AC486" s="119" t="s">
        <v>3607</v>
      </c>
      <c r="AD486" s="36">
        <f t="shared" si="65"/>
        <v>50016345</v>
      </c>
      <c r="AE486" s="36" t="str">
        <f t="shared" si="66"/>
        <v>EDP KUH.6220-A-M-3001 004</v>
      </c>
      <c r="AF486" s="36">
        <v>452</v>
      </c>
      <c r="AG486" s="120">
        <f t="shared" si="67"/>
        <v>2160.56</v>
      </c>
      <c r="AH486" s="36"/>
      <c r="AI486" s="124"/>
      <c r="AJ486" s="122" t="s">
        <v>3608</v>
      </c>
      <c r="AK486" s="129" t="str">
        <f t="shared" ca="1" si="62"/>
        <v>Late</v>
      </c>
      <c r="AL486" s="268" t="str">
        <f t="shared" si="64"/>
        <v>August</v>
      </c>
      <c r="AM486" s="133">
        <f>YEAR(Table1[[#This Row],[ETA
As requested
dd.mm.yyyy]])</f>
        <v>2025</v>
      </c>
    </row>
    <row r="487" spans="1:39" hidden="1">
      <c r="A487" s="208" t="s">
        <v>83</v>
      </c>
      <c r="B487" s="207" t="s">
        <v>1170</v>
      </c>
      <c r="C487" s="210">
        <v>50041011</v>
      </c>
      <c r="D487" s="209">
        <v>45890</v>
      </c>
      <c r="E487" s="210" t="s">
        <v>87</v>
      </c>
      <c r="F487" s="36" t="str">
        <f>IFERROR(VLOOKUP(Table1[[#This Row],[Part Number]],DATABASE_FG!$C$6:D10476,2,FALSE)," ")</f>
        <v xml:space="preserve">300343434-0000 </v>
      </c>
      <c r="G487" s="117" t="str">
        <f>IFERROR(_xlfn.XLOOKUP(Table1[[#This Row],[Part Number]],Table3[Part number],Table3[Drawing
 Revision]),"")</f>
        <v>AA</v>
      </c>
      <c r="H487" s="118" cm="1">
        <f t="array" ref="H487">IFERROR(INDEX(PDB!$C:$AT,MATCH(E487,PDB!$B:$B,0),MATCH(YEAR(K487),0+PDB!$C$1:$AT$1,0)),"")</f>
        <v>4.78</v>
      </c>
      <c r="I487" s="207">
        <v>22</v>
      </c>
      <c r="J487" s="211">
        <f>IFERROR(Table1[[#This Row],[Quantity]]*Table1[[#This Row],[Price/Unit
EUR]]," ")</f>
        <v>105.16000000000001</v>
      </c>
      <c r="K487" s="212">
        <v>45899</v>
      </c>
      <c r="L487" s="207">
        <f>WEEKNUM(Table1[[#This Row],[ETA
As requested
dd.mm.yyyy]])</f>
        <v>35</v>
      </c>
      <c r="M487" s="207">
        <f>YEAR(Table1[[#This Row],[ETA
As requested
dd.mm.yyyy]])</f>
        <v>2025</v>
      </c>
      <c r="N487" s="36">
        <f>IFERROR(INDEX(DATABASE_FG!$H$5:$H$367, MATCH(E487, DATABASE_FG!$C$5:$C$367, 0)), " ")</f>
        <v>0</v>
      </c>
      <c r="O487" s="213" t="str">
        <f>IF(E487&lt;&gt;"", _xlfn.XLOOKUP(E487, DATABASE_FG!C:C, DATABASE_FG!F:F), " ")</f>
        <v>Alama</v>
      </c>
      <c r="P487" s="129">
        <f>IFERROR(INDEX(DATABASE_FG!$G$5:$G$367, MATCH(E487, DATABASE_FG!$C$5:$C$367, 0)), "Not Found")</f>
        <v>0</v>
      </c>
      <c r="Q487" s="207"/>
      <c r="R487" s="211" t="s">
        <v>678</v>
      </c>
      <c r="S487" s="123">
        <f>IFERROR(INDEX(DATABASE_FG!$L$5:$L$367, MATCH(E487, DATABASE_FG!$C$5:$C$367, 0)), " ")</f>
        <v>42</v>
      </c>
      <c r="T487" s="207" t="s">
        <v>679</v>
      </c>
      <c r="U487" s="207"/>
      <c r="V487" s="207"/>
      <c r="W487" s="213"/>
      <c r="X487" s="207"/>
      <c r="Y487" s="207" t="s">
        <v>121</v>
      </c>
      <c r="Z487" s="207"/>
      <c r="AA487" s="125" t="s">
        <v>121</v>
      </c>
      <c r="AB487" s="173">
        <v>45899</v>
      </c>
      <c r="AC487" s="119" t="s">
        <v>3630</v>
      </c>
      <c r="AD487" s="36">
        <f t="shared" si="65"/>
        <v>50041011</v>
      </c>
      <c r="AE487" s="36" t="str">
        <f t="shared" si="66"/>
        <v>EDP KUH.6220-A-M-3001 004</v>
      </c>
      <c r="AF487" s="36">
        <v>22</v>
      </c>
      <c r="AG487" s="120">
        <f t="shared" si="67"/>
        <v>105.16000000000001</v>
      </c>
      <c r="AH487" s="36"/>
      <c r="AI487" s="124"/>
      <c r="AJ487" s="122" t="s">
        <v>3631</v>
      </c>
      <c r="AK487" s="129" t="str">
        <f t="shared" ca="1" si="62"/>
        <v>On Time</v>
      </c>
      <c r="AL487" s="268" t="str">
        <f t="shared" si="64"/>
        <v>August</v>
      </c>
      <c r="AM487" s="133">
        <f>YEAR(Table1[[#This Row],[ETA
As requested
dd.mm.yyyy]])</f>
        <v>2025</v>
      </c>
    </row>
    <row r="488" spans="1:39" hidden="1">
      <c r="A488" s="208" t="s">
        <v>83</v>
      </c>
      <c r="B488" s="207" t="s">
        <v>1170</v>
      </c>
      <c r="C488" s="210">
        <v>50041011</v>
      </c>
      <c r="D488" s="209">
        <v>45890</v>
      </c>
      <c r="E488" s="210" t="s">
        <v>87</v>
      </c>
      <c r="F488" s="36" t="str">
        <f>IFERROR(VLOOKUP(Table1[[#This Row],[Part Number]],DATABASE_FG!$C$6:D10477,2,FALSE)," ")</f>
        <v xml:space="preserve">300343434-0000 </v>
      </c>
      <c r="G488" s="117" t="str">
        <f>IFERROR(_xlfn.XLOOKUP(Table1[[#This Row],[Part Number]],Table3[Part number],Table3[Drawing
 Revision]),"")</f>
        <v>AA</v>
      </c>
      <c r="H488" s="118" cm="1">
        <f t="array" ref="H488">IFERROR(INDEX(PDB!$C:$AT,MATCH(E488,PDB!$B:$B,0),MATCH(YEAR(K488),0+PDB!$C$1:$AT$1,0)),"")</f>
        <v>4.78</v>
      </c>
      <c r="I488" s="207">
        <f>312-22</f>
        <v>290</v>
      </c>
      <c r="J488" s="211">
        <f>IFERROR(Table1[[#This Row],[Quantity]]*Table1[[#This Row],[Price/Unit
EUR]]," ")</f>
        <v>1386.2</v>
      </c>
      <c r="K488" s="212">
        <v>45899</v>
      </c>
      <c r="L488" s="207">
        <f>WEEKNUM(Table1[[#This Row],[ETA
As requested
dd.mm.yyyy]])</f>
        <v>35</v>
      </c>
      <c r="M488" s="207">
        <f>YEAR(Table1[[#This Row],[ETA
As requested
dd.mm.yyyy]])</f>
        <v>2025</v>
      </c>
      <c r="N488" s="36">
        <f>IFERROR(INDEX(DATABASE_FG!$H$5:$H$367, MATCH(E488, DATABASE_FG!$C$5:$C$367, 0)), " ")</f>
        <v>0</v>
      </c>
      <c r="O488" s="213" t="str">
        <f>IF(E488&lt;&gt;"", _xlfn.XLOOKUP(E488, DATABASE_FG!C:C, DATABASE_FG!F:F), " ")</f>
        <v>Alama</v>
      </c>
      <c r="P488" s="129">
        <f>IFERROR(INDEX(DATABASE_FG!$G$5:$G$367, MATCH(E488, DATABASE_FG!$C$5:$C$367, 0)), "Not Found")</f>
        <v>0</v>
      </c>
      <c r="Q488" s="207"/>
      <c r="R488" s="211" t="s">
        <v>678</v>
      </c>
      <c r="S488" s="123">
        <f>IFERROR(INDEX(DATABASE_FG!$L$5:$L$367, MATCH(E488, DATABASE_FG!$C$5:$C$367, 0)), " ")</f>
        <v>42</v>
      </c>
      <c r="T488" s="207" t="s">
        <v>679</v>
      </c>
      <c r="U488" s="207"/>
      <c r="V488" s="207"/>
      <c r="W488" s="213"/>
      <c r="X488" s="207"/>
      <c r="Y488" s="207" t="s">
        <v>121</v>
      </c>
      <c r="Z488" s="207"/>
      <c r="AA488" s="211" t="s">
        <v>121</v>
      </c>
      <c r="AB488" s="245">
        <v>45902</v>
      </c>
      <c r="AC488" s="214" t="s">
        <v>3633</v>
      </c>
      <c r="AD488" s="207">
        <f t="shared" si="65"/>
        <v>50041011</v>
      </c>
      <c r="AE488" s="207" t="str">
        <f t="shared" si="66"/>
        <v>EDP KUH.6220-A-M-3001 004</v>
      </c>
      <c r="AF488" s="207">
        <v>230</v>
      </c>
      <c r="AG488" s="248">
        <f t="shared" si="67"/>
        <v>1099.4000000000001</v>
      </c>
      <c r="AH488" s="207">
        <f>39+21</f>
        <v>60</v>
      </c>
      <c r="AI488" s="215" t="s">
        <v>4340</v>
      </c>
      <c r="AJ488" s="216" t="s">
        <v>4348</v>
      </c>
      <c r="AK488" s="129" t="str">
        <f t="shared" ca="1" si="62"/>
        <v>Late</v>
      </c>
      <c r="AL488" s="268" t="str">
        <f t="shared" si="64"/>
        <v>August</v>
      </c>
      <c r="AM488" s="133">
        <f>YEAR(Table1[[#This Row],[ETA
As requested
dd.mm.yyyy]])</f>
        <v>2025</v>
      </c>
    </row>
    <row r="489" spans="1:39" hidden="1">
      <c r="A489" s="123" t="s">
        <v>83</v>
      </c>
      <c r="B489" s="36" t="s">
        <v>1170</v>
      </c>
      <c r="C489" s="117"/>
      <c r="D489" s="165">
        <v>45860</v>
      </c>
      <c r="E489" s="117" t="s">
        <v>87</v>
      </c>
      <c r="F489" s="36" t="str">
        <f>IFERROR(VLOOKUP(Table1[[#This Row],[Part Number]],DATABASE_FG!$C$6:D10478,2,FALSE)," ")</f>
        <v xml:space="preserve">300343434-0000 </v>
      </c>
      <c r="G489" s="117" t="str">
        <f>IFERROR(_xlfn.XLOOKUP(Table1[[#This Row],[Part Number]],Table3[Part number],Table3[Drawing
 Revision]),"")</f>
        <v>AA</v>
      </c>
      <c r="H489" s="118" cm="1">
        <f t="array" ref="H489">IFERROR(INDEX(PDB!$C:$AT,MATCH(E489,PDB!$B:$B,0),MATCH(YEAR(K489),0+PDB!$C$1:$AT$1,0)),"")</f>
        <v>4.78</v>
      </c>
      <c r="I489" s="36">
        <v>780</v>
      </c>
      <c r="J489" s="125">
        <f>IFERROR(Table1[[#This Row],[Quantity]]*Table1[[#This Row],[Price/Unit
EUR]]," ")</f>
        <v>3728.4</v>
      </c>
      <c r="K489" s="126">
        <v>45985</v>
      </c>
      <c r="L489" s="36">
        <f>WEEKNUM(Table1[[#This Row],[ETA
As requested
dd.mm.yyyy]])</f>
        <v>48</v>
      </c>
      <c r="M489" s="36">
        <f>YEAR(Table1[[#This Row],[ETA
As requested
dd.mm.yyyy]])</f>
        <v>2025</v>
      </c>
      <c r="N489" s="36">
        <f>IFERROR(INDEX(DATABASE_FG!$H$5:$H$367, MATCH(E489, DATABASE_FG!$C$5:$C$367, 0)), " ")</f>
        <v>0</v>
      </c>
      <c r="O489" s="129" t="str">
        <f>IF(E489&lt;&gt;"", _xlfn.XLOOKUP(E489, DATABASE_FG!C:C, DATABASE_FG!F:F), " ")</f>
        <v>Alama</v>
      </c>
      <c r="P489" s="129">
        <f>IFERROR(INDEX(DATABASE_FG!$G$5:$G$367, MATCH(E489, DATABASE_FG!$C$5:$C$367, 0)), "Not Found")</f>
        <v>0</v>
      </c>
      <c r="Q489" s="36"/>
      <c r="R489" s="125" t="s">
        <v>678</v>
      </c>
      <c r="S489" s="123">
        <f>IFERROR(INDEX(DATABASE_FG!$L$5:$L$367, MATCH(E489, DATABASE_FG!$C$5:$C$367, 0)), " ")</f>
        <v>42</v>
      </c>
      <c r="T489" s="36" t="s">
        <v>679</v>
      </c>
      <c r="U489" s="36"/>
      <c r="V489" s="36"/>
      <c r="W489" s="129"/>
      <c r="X489" s="36"/>
      <c r="Y489" s="36" t="s">
        <v>121</v>
      </c>
      <c r="Z489" s="36"/>
      <c r="AA489" s="125" t="s">
        <v>3</v>
      </c>
      <c r="AB489" s="173"/>
      <c r="AC489" s="119"/>
      <c r="AD489" s="36" t="str">
        <f t="shared" si="65"/>
        <v/>
      </c>
      <c r="AE489" s="36" t="str">
        <f t="shared" si="66"/>
        <v/>
      </c>
      <c r="AF489" s="36"/>
      <c r="AG489" s="120">
        <f t="shared" si="67"/>
        <v>0</v>
      </c>
      <c r="AH489" s="36"/>
      <c r="AI489" s="124"/>
      <c r="AJ489" s="122"/>
      <c r="AK489" s="129" t="str">
        <f t="shared" ca="1" si="62"/>
        <v/>
      </c>
      <c r="AL489" s="268" t="str">
        <f t="shared" si="64"/>
        <v>November</v>
      </c>
      <c r="AM489" s="133">
        <f>YEAR(Table1[[#This Row],[ETA
As requested
dd.mm.yyyy]])</f>
        <v>2025</v>
      </c>
    </row>
    <row r="490" spans="1:39" hidden="1">
      <c r="A490" s="123" t="s">
        <v>83</v>
      </c>
      <c r="B490" s="36" t="s">
        <v>1170</v>
      </c>
      <c r="C490" s="117">
        <v>36541725</v>
      </c>
      <c r="D490" s="165">
        <v>45385</v>
      </c>
      <c r="E490" s="117" t="s">
        <v>708</v>
      </c>
      <c r="F490" s="36" t="str">
        <f>IFERROR(VLOOKUP(Table1[[#This Row],[Part Number]],DATABASE_FG!$C$6:D10479,2,FALSE)," ")</f>
        <v>096458526-0000</v>
      </c>
      <c r="G490" s="117" t="str">
        <f>IFERROR(_xlfn.XLOOKUP(Table1[[#This Row],[Part Number]],Table3[Part number],Table3[Drawing
 Revision]),"")</f>
        <v>AA</v>
      </c>
      <c r="H490" s="118" cm="1">
        <f t="array" ref="H490">IFERROR(INDEX(PDB!$C:$AT,MATCH(E490,PDB!$B:$B,0),MATCH(YEAR(K490),0+PDB!$C$1:$AT$1,0)),"")</f>
        <v>4.92</v>
      </c>
      <c r="I490" s="36">
        <v>500</v>
      </c>
      <c r="J490" s="125">
        <f>IFERROR(Table1[[#This Row],[Quantity]]*Table1[[#This Row],[Price/Unit
EUR]]," ")</f>
        <v>2460</v>
      </c>
      <c r="K490" s="126">
        <v>45401</v>
      </c>
      <c r="L490" s="36">
        <f>WEEKNUM(Table1[[#This Row],[ETA
As requested
dd.mm.yyyy]])</f>
        <v>16</v>
      </c>
      <c r="M490" s="36">
        <f>YEAR(Table1[[#This Row],[ETA
As requested
dd.mm.yyyy]])</f>
        <v>2024</v>
      </c>
      <c r="N490" s="36">
        <f>IFERROR(INDEX(DATABASE_FG!$H$5:$H$367, MATCH(E490, DATABASE_FG!$C$5:$C$367, 0)), " ")</f>
        <v>0</v>
      </c>
      <c r="O490" s="129" t="str">
        <f>IF(E490&lt;&gt;"", _xlfn.XLOOKUP(E490, DATABASE_FG!C:C, DATABASE_FG!F:F), " ")</f>
        <v>Alama</v>
      </c>
      <c r="P490" s="129">
        <f>IFERROR(INDEX(DATABASE_FG!$G$5:$G$367, MATCH(E490, DATABASE_FG!$C$5:$C$367, 0)), "Not Found")</f>
        <v>0</v>
      </c>
      <c r="Q490" s="36"/>
      <c r="R490" s="125" t="s">
        <v>678</v>
      </c>
      <c r="S490" s="123">
        <f>IFERROR(INDEX(DATABASE_FG!$L$5:$L$367, MATCH(E490, DATABASE_FG!$C$5:$C$367, 0)), " ")</f>
        <v>42</v>
      </c>
      <c r="T490" s="36" t="s">
        <v>679</v>
      </c>
      <c r="U490" s="36"/>
      <c r="V490" s="36"/>
      <c r="W490" s="129"/>
      <c r="X490" s="36"/>
      <c r="Y490" s="36"/>
      <c r="Z490" s="36" t="s">
        <v>1369</v>
      </c>
      <c r="AA490" s="125" t="s">
        <v>121</v>
      </c>
      <c r="AB490" s="173">
        <v>45406</v>
      </c>
      <c r="AC490" s="119">
        <v>2024395</v>
      </c>
      <c r="AD490" s="36">
        <f t="shared" si="65"/>
        <v>36541725</v>
      </c>
      <c r="AE490" s="36" t="str">
        <f t="shared" si="66"/>
        <v>EDP KUH.6315-A-M-3001 004</v>
      </c>
      <c r="AF490" s="36">
        <v>96</v>
      </c>
      <c r="AG490" s="120">
        <f t="shared" si="67"/>
        <v>472.32</v>
      </c>
      <c r="AH490" s="36"/>
      <c r="AI490" s="124"/>
      <c r="AJ490" s="122" t="s">
        <v>1370</v>
      </c>
      <c r="AK490" s="129" t="str">
        <f t="shared" ca="1" si="62"/>
        <v>Late</v>
      </c>
      <c r="AL490" s="268" t="str">
        <f t="shared" si="64"/>
        <v>April</v>
      </c>
      <c r="AM490" s="133">
        <f>YEAR(Table1[[#This Row],[ETA
As requested
dd.mm.yyyy]])</f>
        <v>2024</v>
      </c>
    </row>
    <row r="491" spans="1:39" hidden="1">
      <c r="A491" s="123" t="s">
        <v>83</v>
      </c>
      <c r="B491" s="36" t="s">
        <v>1170</v>
      </c>
      <c r="C491" s="117">
        <v>36541725</v>
      </c>
      <c r="D491" s="165">
        <v>45385</v>
      </c>
      <c r="E491" s="117" t="s">
        <v>708</v>
      </c>
      <c r="F491" s="36" t="str">
        <f>IFERROR(VLOOKUP(Table1[[#This Row],[Part Number]],DATABASE_FG!$C$6:D10480,2,FALSE)," ")</f>
        <v>096458526-0000</v>
      </c>
      <c r="G491" s="117" t="str">
        <f>IFERROR(_xlfn.XLOOKUP(Table1[[#This Row],[Part Number]],Table3[Part number],Table3[Drawing
 Revision]),"")</f>
        <v>AA</v>
      </c>
      <c r="H491" s="118" cm="1">
        <f t="array" ref="H491">IFERROR(INDEX(PDB!$C:$AT,MATCH(E491,PDB!$B:$B,0),MATCH(YEAR(K491),0+PDB!$C$1:$AT$1,0)),"")</f>
        <v>4.92</v>
      </c>
      <c r="I491" s="36"/>
      <c r="J491" s="125">
        <f>IFERROR(Table1[[#This Row],[Quantity]]*Table1[[#This Row],[Price/Unit
EUR]]," ")</f>
        <v>0</v>
      </c>
      <c r="K491" s="126">
        <v>45401</v>
      </c>
      <c r="L491" s="36">
        <f>WEEKNUM(Table1[[#This Row],[ETA
As requested
dd.mm.yyyy]])</f>
        <v>16</v>
      </c>
      <c r="M491" s="36">
        <f>YEAR(Table1[[#This Row],[ETA
As requested
dd.mm.yyyy]])</f>
        <v>2024</v>
      </c>
      <c r="N491" s="36">
        <f>IFERROR(INDEX(DATABASE_FG!$H$5:$H$367, MATCH(E491, DATABASE_FG!$C$5:$C$367, 0)), " ")</f>
        <v>0</v>
      </c>
      <c r="O491" s="129" t="str">
        <f>IF(E491&lt;&gt;"", _xlfn.XLOOKUP(E491, DATABASE_FG!C:C, DATABASE_FG!F:F), " ")</f>
        <v>Alama</v>
      </c>
      <c r="P491" s="129">
        <f>IFERROR(INDEX(DATABASE_FG!$G$5:$G$367, MATCH(E491, DATABASE_FG!$C$5:$C$367, 0)), "Not Found")</f>
        <v>0</v>
      </c>
      <c r="Q491" s="36"/>
      <c r="R491" s="125"/>
      <c r="S491" s="123">
        <f>IFERROR(INDEX(DATABASE_FG!$L$5:$L$367, MATCH(E491, DATABASE_FG!$C$5:$C$367, 0)), " ")</f>
        <v>42</v>
      </c>
      <c r="T491" s="36"/>
      <c r="U491" s="36"/>
      <c r="V491" s="36"/>
      <c r="W491" s="129"/>
      <c r="X491" s="36"/>
      <c r="Y491" s="36"/>
      <c r="Z491" s="36"/>
      <c r="AA491" s="125" t="s">
        <v>121</v>
      </c>
      <c r="AB491" s="173">
        <v>45407</v>
      </c>
      <c r="AC491" s="119">
        <v>2024398</v>
      </c>
      <c r="AD491" s="36">
        <f t="shared" si="65"/>
        <v>36541725</v>
      </c>
      <c r="AE491" s="36" t="str">
        <f t="shared" si="66"/>
        <v>EDP KUH.6315-A-M-3001 004</v>
      </c>
      <c r="AF491" s="36">
        <v>76</v>
      </c>
      <c r="AG491" s="120">
        <f t="shared" si="67"/>
        <v>373.92</v>
      </c>
      <c r="AH491" s="36"/>
      <c r="AI491" s="124"/>
      <c r="AJ491" s="122" t="s">
        <v>1371</v>
      </c>
      <c r="AK491" s="129" t="str">
        <f t="shared" ca="1" si="62"/>
        <v>Late</v>
      </c>
      <c r="AL491" s="268" t="str">
        <f t="shared" si="64"/>
        <v>April</v>
      </c>
      <c r="AM491" s="133">
        <f>YEAR(Table1[[#This Row],[ETA
As requested
dd.mm.yyyy]])</f>
        <v>2024</v>
      </c>
    </row>
    <row r="492" spans="1:39" hidden="1">
      <c r="A492" s="123" t="s">
        <v>83</v>
      </c>
      <c r="B492" s="36" t="s">
        <v>1170</v>
      </c>
      <c r="C492" s="117">
        <v>36541725</v>
      </c>
      <c r="D492" s="165">
        <v>45385</v>
      </c>
      <c r="E492" s="117" t="s">
        <v>708</v>
      </c>
      <c r="F492" s="36" t="str">
        <f>IFERROR(VLOOKUP(Table1[[#This Row],[Part Number]],DATABASE_FG!$C$6:D10481,2,FALSE)," ")</f>
        <v>096458526-0000</v>
      </c>
      <c r="G492" s="117" t="str">
        <f>IFERROR(_xlfn.XLOOKUP(Table1[[#This Row],[Part Number]],Table3[Part number],Table3[Drawing
 Revision]),"")</f>
        <v>AA</v>
      </c>
      <c r="H492" s="118" cm="1">
        <f t="array" ref="H492">IFERROR(INDEX(PDB!$C:$AT,MATCH(E492,PDB!$B:$B,0),MATCH(YEAR(K492),0+PDB!$C$1:$AT$1,0)),"")</f>
        <v>4.92</v>
      </c>
      <c r="I492" s="36"/>
      <c r="J492" s="125">
        <f>IFERROR(Table1[[#This Row],[Quantity]]*Table1[[#This Row],[Price/Unit
EUR]]," ")</f>
        <v>0</v>
      </c>
      <c r="K492" s="126">
        <v>45401</v>
      </c>
      <c r="L492" s="36">
        <f>WEEKNUM(Table1[[#This Row],[ETA
As requested
dd.mm.yyyy]])</f>
        <v>16</v>
      </c>
      <c r="M492" s="36">
        <f>YEAR(Table1[[#This Row],[ETA
As requested
dd.mm.yyyy]])</f>
        <v>2024</v>
      </c>
      <c r="N492" s="36">
        <f>IFERROR(INDEX(DATABASE_FG!$H$5:$H$367, MATCH(E492, DATABASE_FG!$C$5:$C$367, 0)), " ")</f>
        <v>0</v>
      </c>
      <c r="O492" s="129" t="str">
        <f>IF(E492&lt;&gt;"", _xlfn.XLOOKUP(E492, DATABASE_FG!C:C, DATABASE_FG!F:F), " ")</f>
        <v>Alama</v>
      </c>
      <c r="P492" s="129">
        <f>IFERROR(INDEX(DATABASE_FG!$G$5:$G$367, MATCH(E492, DATABASE_FG!$C$5:$C$367, 0)), "Not Found")</f>
        <v>0</v>
      </c>
      <c r="Q492" s="36"/>
      <c r="R492" s="125"/>
      <c r="S492" s="123">
        <f>IFERROR(INDEX(DATABASE_FG!$L$5:$L$367, MATCH(E492, DATABASE_FG!$C$5:$C$367, 0)), " ")</f>
        <v>42</v>
      </c>
      <c r="T492" s="36"/>
      <c r="U492" s="36"/>
      <c r="V492" s="36"/>
      <c r="W492" s="129"/>
      <c r="X492" s="36"/>
      <c r="Y492" s="36"/>
      <c r="Z492" s="36"/>
      <c r="AA492" s="125" t="s">
        <v>121</v>
      </c>
      <c r="AB492" s="173">
        <v>45408</v>
      </c>
      <c r="AC492" s="119">
        <v>2024408</v>
      </c>
      <c r="AD492" s="36">
        <f t="shared" si="65"/>
        <v>36541725</v>
      </c>
      <c r="AE492" s="36" t="str">
        <f t="shared" si="66"/>
        <v>EDP KUH.6315-A-M-3001 004</v>
      </c>
      <c r="AF492" s="36">
        <v>234</v>
      </c>
      <c r="AG492" s="120">
        <f t="shared" si="67"/>
        <v>1151.28</v>
      </c>
      <c r="AH492" s="36"/>
      <c r="AI492" s="124"/>
      <c r="AJ492" s="122" t="s">
        <v>1372</v>
      </c>
      <c r="AK492" s="129" t="str">
        <f t="shared" ca="1" si="62"/>
        <v>Late</v>
      </c>
      <c r="AL492" s="268" t="str">
        <f t="shared" si="64"/>
        <v>April</v>
      </c>
      <c r="AM492" s="133">
        <f>YEAR(Table1[[#This Row],[ETA
As requested
dd.mm.yyyy]])</f>
        <v>2024</v>
      </c>
    </row>
    <row r="493" spans="1:39" hidden="1">
      <c r="A493" s="123" t="s">
        <v>83</v>
      </c>
      <c r="B493" s="36" t="s">
        <v>1170</v>
      </c>
      <c r="C493" s="117">
        <v>36541725</v>
      </c>
      <c r="D493" s="165">
        <v>45385</v>
      </c>
      <c r="E493" s="117" t="s">
        <v>708</v>
      </c>
      <c r="F493" s="36" t="str">
        <f>IFERROR(VLOOKUP(Table1[[#This Row],[Part Number]],DATABASE_FG!$C$6:D10482,2,FALSE)," ")</f>
        <v>096458526-0000</v>
      </c>
      <c r="G493" s="117" t="str">
        <f>IFERROR(_xlfn.XLOOKUP(Table1[[#This Row],[Part Number]],Table3[Part number],Table3[Drawing
 Revision]),"")</f>
        <v>AA</v>
      </c>
      <c r="H493" s="118" cm="1">
        <f t="array" ref="H493">IFERROR(INDEX(PDB!$C:$AT,MATCH(E493,PDB!$B:$B,0),MATCH(YEAR(K493),0+PDB!$C$1:$AT$1,0)),"")</f>
        <v>4.92</v>
      </c>
      <c r="I493" s="36"/>
      <c r="J493" s="125">
        <f>IFERROR(Table1[[#This Row],[Quantity]]*Table1[[#This Row],[Price/Unit
EUR]]," ")</f>
        <v>0</v>
      </c>
      <c r="K493" s="126">
        <v>45401</v>
      </c>
      <c r="L493" s="36">
        <f>WEEKNUM(Table1[[#This Row],[ETA
As requested
dd.mm.yyyy]])</f>
        <v>16</v>
      </c>
      <c r="M493" s="36">
        <f>YEAR(Table1[[#This Row],[ETA
As requested
dd.mm.yyyy]])</f>
        <v>2024</v>
      </c>
      <c r="N493" s="36">
        <f>IFERROR(INDEX(DATABASE_FG!$H$5:$H$367, MATCH(E493, DATABASE_FG!$C$5:$C$367, 0)), " ")</f>
        <v>0</v>
      </c>
      <c r="O493" s="129" t="str">
        <f>IF(E493&lt;&gt;"", _xlfn.XLOOKUP(E493, DATABASE_FG!C:C, DATABASE_FG!F:F), " ")</f>
        <v>Alama</v>
      </c>
      <c r="P493" s="129">
        <f>IFERROR(INDEX(DATABASE_FG!$G$5:$G$367, MATCH(E493, DATABASE_FG!$C$5:$C$367, 0)), "Not Found")</f>
        <v>0</v>
      </c>
      <c r="Q493" s="36"/>
      <c r="R493" s="125"/>
      <c r="S493" s="123">
        <f>IFERROR(INDEX(DATABASE_FG!$L$5:$L$367, MATCH(E493, DATABASE_FG!$C$5:$C$367, 0)), " ")</f>
        <v>42</v>
      </c>
      <c r="T493" s="36"/>
      <c r="U493" s="36"/>
      <c r="V493" s="36"/>
      <c r="W493" s="129"/>
      <c r="X493" s="36"/>
      <c r="Y493" s="36"/>
      <c r="Z493" s="36"/>
      <c r="AA493" s="125" t="s">
        <v>121</v>
      </c>
      <c r="AB493" s="173">
        <v>45408</v>
      </c>
      <c r="AC493" s="119">
        <v>2024414</v>
      </c>
      <c r="AD493" s="36">
        <f t="shared" si="65"/>
        <v>36541725</v>
      </c>
      <c r="AE493" s="36" t="str">
        <f t="shared" si="66"/>
        <v>EDP KUH.6315-A-M-3001 004</v>
      </c>
      <c r="AF493" s="36">
        <v>76</v>
      </c>
      <c r="AG493" s="120">
        <f t="shared" si="67"/>
        <v>373.92</v>
      </c>
      <c r="AH493" s="36">
        <v>11</v>
      </c>
      <c r="AI493" s="124"/>
      <c r="AJ493" s="122" t="s">
        <v>1373</v>
      </c>
      <c r="AK493" s="129" t="str">
        <f t="shared" ca="1" si="62"/>
        <v>Late</v>
      </c>
      <c r="AL493" s="268" t="str">
        <f t="shared" si="64"/>
        <v>April</v>
      </c>
      <c r="AM493" s="133">
        <f>YEAR(Table1[[#This Row],[ETA
As requested
dd.mm.yyyy]])</f>
        <v>2024</v>
      </c>
    </row>
    <row r="494" spans="1:39" hidden="1">
      <c r="A494" s="123" t="s">
        <v>83</v>
      </c>
      <c r="B494" s="36" t="s">
        <v>1170</v>
      </c>
      <c r="C494" s="117">
        <v>36541725</v>
      </c>
      <c r="D494" s="165">
        <v>45385</v>
      </c>
      <c r="E494" s="117" t="s">
        <v>708</v>
      </c>
      <c r="F494" s="36" t="str">
        <f>IFERROR(VLOOKUP(Table1[[#This Row],[Part Number]],DATABASE_FG!$C$6:D10483,2,FALSE)," ")</f>
        <v>096458526-0000</v>
      </c>
      <c r="G494" s="117" t="str">
        <f>IFERROR(_xlfn.XLOOKUP(Table1[[#This Row],[Part Number]],Table3[Part number],Table3[Drawing
 Revision]),"")</f>
        <v>AA</v>
      </c>
      <c r="H494" s="118" cm="1">
        <f t="array" ref="H494">IFERROR(INDEX(PDB!$C:$AT,MATCH(E494,PDB!$B:$B,0),MATCH(YEAR(K494),0+PDB!$C$1:$AT$1,0)),"")</f>
        <v>4.92</v>
      </c>
      <c r="I494" s="36"/>
      <c r="J494" s="125">
        <f>IFERROR(Table1[[#This Row],[Quantity]]*Table1[[#This Row],[Price/Unit
EUR]]," ")</f>
        <v>0</v>
      </c>
      <c r="K494" s="126">
        <v>45401</v>
      </c>
      <c r="L494" s="36">
        <f>WEEKNUM(Table1[[#This Row],[ETA
As requested
dd.mm.yyyy]])</f>
        <v>16</v>
      </c>
      <c r="M494" s="36">
        <f>YEAR(Table1[[#This Row],[ETA
As requested
dd.mm.yyyy]])</f>
        <v>2024</v>
      </c>
      <c r="N494" s="36">
        <f>IFERROR(INDEX(DATABASE_FG!$H$5:$H$367, MATCH(E494, DATABASE_FG!$C$5:$C$367, 0)), " ")</f>
        <v>0</v>
      </c>
      <c r="O494" s="129" t="str">
        <f>IF(E494&lt;&gt;"", _xlfn.XLOOKUP(E494, DATABASE_FG!C:C, DATABASE_FG!F:F), " ")</f>
        <v>Alama</v>
      </c>
      <c r="P494" s="129">
        <f>IFERROR(INDEX(DATABASE_FG!$G$5:$G$367, MATCH(E494, DATABASE_FG!$C$5:$C$367, 0)), "Not Found")</f>
        <v>0</v>
      </c>
      <c r="Q494" s="36"/>
      <c r="R494" s="125"/>
      <c r="S494" s="123">
        <f>IFERROR(INDEX(DATABASE_FG!$L$5:$L$367, MATCH(E494, DATABASE_FG!$C$5:$C$367, 0)), " ")</f>
        <v>42</v>
      </c>
      <c r="T494" s="36"/>
      <c r="U494" s="36"/>
      <c r="V494" s="36"/>
      <c r="W494" s="129"/>
      <c r="X494" s="36"/>
      <c r="Y494" s="36"/>
      <c r="Z494" s="36"/>
      <c r="AA494" s="125" t="s">
        <v>121</v>
      </c>
      <c r="AB494" s="173">
        <v>45441</v>
      </c>
      <c r="AC494" s="119">
        <v>2024560</v>
      </c>
      <c r="AD494" s="36">
        <f t="shared" si="65"/>
        <v>36541725</v>
      </c>
      <c r="AE494" s="36" t="str">
        <f t="shared" si="66"/>
        <v>EDP KUH.6315-A-M-3001 004</v>
      </c>
      <c r="AF494" s="36">
        <v>7</v>
      </c>
      <c r="AG494" s="120">
        <f t="shared" si="67"/>
        <v>34.44</v>
      </c>
      <c r="AH494" s="36"/>
      <c r="AI494" s="124" t="s">
        <v>1376</v>
      </c>
      <c r="AJ494" s="122" t="s">
        <v>1377</v>
      </c>
      <c r="AK494" s="129" t="str">
        <f t="shared" ca="1" si="62"/>
        <v>Late</v>
      </c>
      <c r="AL494" s="268" t="str">
        <f t="shared" si="64"/>
        <v>April</v>
      </c>
      <c r="AM494" s="133">
        <f>YEAR(Table1[[#This Row],[ETA
As requested
dd.mm.yyyy]])</f>
        <v>2024</v>
      </c>
    </row>
    <row r="495" spans="1:39" hidden="1">
      <c r="A495" s="123" t="s">
        <v>83</v>
      </c>
      <c r="B495" s="36" t="s">
        <v>1170</v>
      </c>
      <c r="C495" s="117">
        <v>39007963</v>
      </c>
      <c r="D495" s="165">
        <v>45751</v>
      </c>
      <c r="E495" s="117" t="s">
        <v>88</v>
      </c>
      <c r="F495" s="36" t="str">
        <f>IFERROR(VLOOKUP(Table1[[#This Row],[Part Number]],DATABASE_FG!$C$6:D10484,2,FALSE)," ")</f>
        <v>096287888-0000</v>
      </c>
      <c r="G495" s="117" t="str">
        <f>IFERROR(_xlfn.XLOOKUP(Table1[[#This Row],[Part Number]],Table3[Part number],Table3[Drawing
 Revision]),"")</f>
        <v>AA</v>
      </c>
      <c r="H495" s="118" cm="1">
        <f t="array" ref="H495">IFERROR(INDEX(PDB!$C:$AT,MATCH(E495,PDB!$B:$B,0),MATCH(YEAR(K495),0+PDB!$C$1:$AT$1,0)),"")</f>
        <v>3.44</v>
      </c>
      <c r="I495" s="36">
        <v>1</v>
      </c>
      <c r="J495" s="125">
        <f>IFERROR(Table1[[#This Row],[Quantity]]*Table1[[#This Row],[Price/Unit
EUR]]," ")</f>
        <v>3.44</v>
      </c>
      <c r="K495" s="126">
        <v>45769</v>
      </c>
      <c r="L495" s="36">
        <f>WEEKNUM(Table1[[#This Row],[ETA
As requested
dd.mm.yyyy]])</f>
        <v>17</v>
      </c>
      <c r="M495" s="36">
        <f>YEAR(Table1[[#This Row],[ETA
As requested
dd.mm.yyyy]])</f>
        <v>2025</v>
      </c>
      <c r="N495" s="36">
        <f>IFERROR(INDEX(DATABASE_FG!$H$5:$H$367, MATCH(E495, DATABASE_FG!$C$5:$C$367, 0)), " ")</f>
        <v>0</v>
      </c>
      <c r="O495" s="129" t="str">
        <f>IF(E495&lt;&gt;"", _xlfn.XLOOKUP(E495, DATABASE_FG!C:C, DATABASE_FG!F:F), " ")</f>
        <v>Alama</v>
      </c>
      <c r="P495" s="129">
        <f>IFERROR(INDEX(DATABASE_FG!$G$5:$G$367, MATCH(E495, DATABASE_FG!$C$5:$C$367, 0)), "Not Found")</f>
        <v>0</v>
      </c>
      <c r="Q495" s="36"/>
      <c r="R495" s="125" t="s">
        <v>3105</v>
      </c>
      <c r="S495" s="123">
        <f>IFERROR(INDEX(DATABASE_FG!$L$5:$L$367, MATCH(E495, DATABASE_FG!$C$5:$C$367, 0)), " ")</f>
        <v>42</v>
      </c>
      <c r="T495" s="36" t="s">
        <v>679</v>
      </c>
      <c r="U495" s="36"/>
      <c r="V495" s="36"/>
      <c r="W495" s="129"/>
      <c r="X495" s="36"/>
      <c r="Y495" s="36"/>
      <c r="Z495" s="36"/>
      <c r="AA495" s="125" t="s">
        <v>121</v>
      </c>
      <c r="AB495" s="173">
        <v>45762</v>
      </c>
      <c r="AC495" s="119">
        <v>25622</v>
      </c>
      <c r="AD495" s="36">
        <f t="shared" si="65"/>
        <v>39007963</v>
      </c>
      <c r="AE495" s="36" t="str">
        <f t="shared" si="66"/>
        <v>EDP KUH.6316-A-M-3001 004</v>
      </c>
      <c r="AF495" s="36">
        <v>1</v>
      </c>
      <c r="AG495" s="120">
        <f t="shared" si="67"/>
        <v>3.44</v>
      </c>
      <c r="AH495" s="36"/>
      <c r="AI495" s="124"/>
      <c r="AJ495" s="122" t="s">
        <v>3106</v>
      </c>
      <c r="AK495" s="129" t="str">
        <f t="shared" ca="1" si="62"/>
        <v>On Time</v>
      </c>
      <c r="AL495" s="268" t="str">
        <f t="shared" si="64"/>
        <v>April</v>
      </c>
      <c r="AM495" s="133">
        <f>YEAR(Table1[[#This Row],[ETA
As requested
dd.mm.yyyy]])</f>
        <v>2025</v>
      </c>
    </row>
    <row r="496" spans="1:39" hidden="1">
      <c r="A496" s="123" t="s">
        <v>83</v>
      </c>
      <c r="B496" s="36" t="s">
        <v>1170</v>
      </c>
      <c r="C496" s="117">
        <v>39007963</v>
      </c>
      <c r="D496" s="165">
        <v>45751</v>
      </c>
      <c r="E496" s="117" t="s">
        <v>88</v>
      </c>
      <c r="F496" s="36" t="str">
        <f>IFERROR(VLOOKUP(Table1[[#This Row],[Part Number]],DATABASE_FG!$C$6:D10485,2,FALSE)," ")</f>
        <v>096287888-0000</v>
      </c>
      <c r="G496" s="117" t="str">
        <f>IFERROR(_xlfn.XLOOKUP(Table1[[#This Row],[Part Number]],Table3[Part number],Table3[Drawing
 Revision]),"")</f>
        <v>AA</v>
      </c>
      <c r="H496" s="118" cm="1">
        <f t="array" ref="H496">IFERROR(INDEX(PDB!$C:$AT,MATCH(E496,PDB!$B:$B,0),MATCH(YEAR(K496),0+PDB!$C$1:$AT$1,0)),"")</f>
        <v>3.44</v>
      </c>
      <c r="I496" s="36">
        <v>4</v>
      </c>
      <c r="J496" s="125">
        <f>IFERROR(Table1[[#This Row],[Quantity]]*Table1[[#This Row],[Price/Unit
EUR]]," ")</f>
        <v>13.76</v>
      </c>
      <c r="K496" s="126">
        <v>45769</v>
      </c>
      <c r="L496" s="36">
        <f>WEEKNUM(Table1[[#This Row],[ETA
As requested
dd.mm.yyyy]])</f>
        <v>17</v>
      </c>
      <c r="M496" s="36">
        <f>YEAR(Table1[[#This Row],[ETA
As requested
dd.mm.yyyy]])</f>
        <v>2025</v>
      </c>
      <c r="N496" s="36">
        <f>IFERROR(INDEX(DATABASE_FG!$H$5:$H$367, MATCH(E496, DATABASE_FG!$C$5:$C$367, 0)), " ")</f>
        <v>0</v>
      </c>
      <c r="O496" s="129" t="str">
        <f>IF(E496&lt;&gt;"", _xlfn.XLOOKUP(E496, DATABASE_FG!C:C, DATABASE_FG!F:F), " ")</f>
        <v>Alama</v>
      </c>
      <c r="P496" s="129">
        <v>0</v>
      </c>
      <c r="Q496" s="36"/>
      <c r="R496" s="125" t="s">
        <v>3105</v>
      </c>
      <c r="S496" s="123">
        <f>IFERROR(INDEX(DATABASE_FG!$L$5:$L$367, MATCH(E496, DATABASE_FG!$C$5:$C$367, 0)), " ")</f>
        <v>42</v>
      </c>
      <c r="T496" s="36" t="s">
        <v>679</v>
      </c>
      <c r="U496" s="36"/>
      <c r="V496" s="36"/>
      <c r="W496" s="129"/>
      <c r="X496" s="36"/>
      <c r="Y496" s="36"/>
      <c r="Z496" s="36"/>
      <c r="AA496" s="125" t="s">
        <v>121</v>
      </c>
      <c r="AB496" s="173">
        <v>45762</v>
      </c>
      <c r="AC496" s="119">
        <v>25613</v>
      </c>
      <c r="AD496" s="36">
        <f t="shared" si="65"/>
        <v>39007963</v>
      </c>
      <c r="AE496" s="36" t="str">
        <f t="shared" si="66"/>
        <v>EDP KUH.6316-A-M-3001 004</v>
      </c>
      <c r="AF496" s="36">
        <v>4</v>
      </c>
      <c r="AG496" s="120">
        <f t="shared" si="67"/>
        <v>13.76</v>
      </c>
      <c r="AH496" s="36"/>
      <c r="AI496" s="124"/>
      <c r="AJ496" s="122" t="s">
        <v>3107</v>
      </c>
      <c r="AK496" s="129" t="str">
        <f t="shared" ca="1" si="62"/>
        <v>On Time</v>
      </c>
      <c r="AL496" s="268" t="str">
        <f t="shared" si="64"/>
        <v>April</v>
      </c>
      <c r="AM496" s="133">
        <f>YEAR(Table1[[#This Row],[ETA
As requested
dd.mm.yyyy]])</f>
        <v>2025</v>
      </c>
    </row>
    <row r="497" spans="1:39" hidden="1">
      <c r="A497" s="123" t="s">
        <v>83</v>
      </c>
      <c r="B497" s="36" t="s">
        <v>1170</v>
      </c>
      <c r="C497" s="117">
        <v>39007963</v>
      </c>
      <c r="D497" s="165">
        <v>45751</v>
      </c>
      <c r="E497" s="117" t="s">
        <v>88</v>
      </c>
      <c r="F497" s="36" t="str">
        <f>IFERROR(VLOOKUP(Table1[[#This Row],[Part Number]],DATABASE_FG!$C$6:D10486,2,FALSE)," ")</f>
        <v>096287888-0000</v>
      </c>
      <c r="G497" s="117" t="str">
        <f>IFERROR(_xlfn.XLOOKUP(Table1[[#This Row],[Part Number]],Table3[Part number],Table3[Drawing
 Revision]),"")</f>
        <v>AA</v>
      </c>
      <c r="H497" s="118" cm="1">
        <f t="array" ref="H497">IFERROR(INDEX(PDB!$C:$AT,MATCH(E497,PDB!$B:$B,0),MATCH(YEAR(K497),0+PDB!$C$1:$AT$1,0)),"")</f>
        <v>3.44</v>
      </c>
      <c r="I497" s="36">
        <v>37</v>
      </c>
      <c r="J497" s="125">
        <f>IFERROR(Table1[[#This Row],[Quantity]]*Table1[[#This Row],[Price/Unit
EUR]]," ")</f>
        <v>127.28</v>
      </c>
      <c r="K497" s="126">
        <v>45769</v>
      </c>
      <c r="L497" s="36">
        <f>WEEKNUM(Table1[[#This Row],[ETA
As requested
dd.mm.yyyy]])</f>
        <v>17</v>
      </c>
      <c r="M497" s="36">
        <f>YEAR(Table1[[#This Row],[ETA
As requested
dd.mm.yyyy]])</f>
        <v>2025</v>
      </c>
      <c r="N497" s="36">
        <f>IFERROR(INDEX(DATABASE_FG!$H$5:$H$367, MATCH(E497, DATABASE_FG!$C$5:$C$367, 0)), " ")</f>
        <v>0</v>
      </c>
      <c r="O497" s="129" t="str">
        <f>IF(E497&lt;&gt;"", _xlfn.XLOOKUP(E497, DATABASE_FG!C:C, DATABASE_FG!F:F), " ")</f>
        <v>Alama</v>
      </c>
      <c r="P497" s="129">
        <f>IFERROR(INDEX(DATABASE_FG!$G$5:$G$367, MATCH(E497, DATABASE_FG!$C$5:$C$367, 0)), "Not Found")</f>
        <v>0</v>
      </c>
      <c r="Q497" s="36"/>
      <c r="R497" s="125" t="s">
        <v>3105</v>
      </c>
      <c r="S497" s="123">
        <f>IFERROR(INDEX(DATABASE_FG!$L$5:$L$367, MATCH(E497, DATABASE_FG!$C$5:$C$367, 0)), " ")</f>
        <v>42</v>
      </c>
      <c r="T497" s="36" t="s">
        <v>679</v>
      </c>
      <c r="U497" s="36"/>
      <c r="V497" s="36"/>
      <c r="W497" s="129"/>
      <c r="X497" s="36"/>
      <c r="Y497" s="36"/>
      <c r="Z497" s="36"/>
      <c r="AA497" s="125" t="s">
        <v>121</v>
      </c>
      <c r="AB497" s="173">
        <v>45762</v>
      </c>
      <c r="AC497" s="119">
        <v>25613</v>
      </c>
      <c r="AD497" s="36">
        <f t="shared" si="65"/>
        <v>39007963</v>
      </c>
      <c r="AE497" s="36" t="str">
        <f t="shared" si="66"/>
        <v>EDP KUH.6316-A-M-3001 004</v>
      </c>
      <c r="AF497" s="36">
        <f>37-2</f>
        <v>35</v>
      </c>
      <c r="AG497" s="120">
        <f t="shared" si="67"/>
        <v>120.39999999999999</v>
      </c>
      <c r="AH497" s="36"/>
      <c r="AI497" s="124" t="s">
        <v>3108</v>
      </c>
      <c r="AJ497" s="122" t="s">
        <v>3109</v>
      </c>
      <c r="AK497" s="129" t="str">
        <f t="shared" ca="1" si="62"/>
        <v>On Time</v>
      </c>
      <c r="AL497" s="268" t="str">
        <f t="shared" si="64"/>
        <v>April</v>
      </c>
      <c r="AM497" s="133">
        <f>YEAR(Table1[[#This Row],[ETA
As requested
dd.mm.yyyy]])</f>
        <v>2025</v>
      </c>
    </row>
    <row r="498" spans="1:39" hidden="1">
      <c r="A498" s="123" t="s">
        <v>83</v>
      </c>
      <c r="B498" s="36" t="s">
        <v>1170</v>
      </c>
      <c r="C498" s="117">
        <v>39007963</v>
      </c>
      <c r="D498" s="165">
        <v>45751</v>
      </c>
      <c r="E498" s="117" t="s">
        <v>88</v>
      </c>
      <c r="F498" s="36" t="str">
        <f>IFERROR(VLOOKUP(Table1[[#This Row],[Part Number]],DATABASE_FG!$C$6:D10487,2,FALSE)," ")</f>
        <v>096287888-0000</v>
      </c>
      <c r="G498" s="117" t="str">
        <f>IFERROR(_xlfn.XLOOKUP(Table1[[#This Row],[Part Number]],Table3[Part number],Table3[Drawing
 Revision]),"")</f>
        <v>AA</v>
      </c>
      <c r="H498" s="118" cm="1">
        <f t="array" ref="H498">IFERROR(INDEX(PDB!$C:$AT,MATCH(E498,PDB!$B:$B,0),MATCH(YEAR(K498),0+PDB!$C$1:$AT$1,0)),"")</f>
        <v>3.44</v>
      </c>
      <c r="I498" s="36">
        <v>120</v>
      </c>
      <c r="J498" s="125">
        <f>IFERROR(Table1[[#This Row],[Quantity]]*Table1[[#This Row],[Price/Unit
EUR]]," ")</f>
        <v>412.8</v>
      </c>
      <c r="K498" s="126">
        <v>45769</v>
      </c>
      <c r="L498" s="36">
        <f>WEEKNUM(Table1[[#This Row],[ETA
As requested
dd.mm.yyyy]])</f>
        <v>17</v>
      </c>
      <c r="M498" s="36">
        <f>YEAR(Table1[[#This Row],[ETA
As requested
dd.mm.yyyy]])</f>
        <v>2025</v>
      </c>
      <c r="N498" s="36">
        <f>IFERROR(INDEX(DATABASE_FG!$H$5:$H$367, MATCH(E498, DATABASE_FG!$C$5:$C$367, 0)), " ")</f>
        <v>0</v>
      </c>
      <c r="O498" s="129" t="str">
        <f>IF(E498&lt;&gt;"", _xlfn.XLOOKUP(E498, DATABASE_FG!C:C, DATABASE_FG!F:F), " ")</f>
        <v>Alama</v>
      </c>
      <c r="P498" s="129">
        <f>IFERROR(INDEX(DATABASE_FG!$G$5:$G$367, MATCH(E498, DATABASE_FG!$C$5:$C$367, 0)), "Not Found")</f>
        <v>0</v>
      </c>
      <c r="Q498" s="36"/>
      <c r="R498" s="125" t="s">
        <v>3105</v>
      </c>
      <c r="S498" s="123">
        <f>IFERROR(INDEX(DATABASE_FG!$L$5:$L$367, MATCH(E498, DATABASE_FG!$C$5:$C$367, 0)), " ")</f>
        <v>42</v>
      </c>
      <c r="T498" s="36" t="s">
        <v>679</v>
      </c>
      <c r="U498" s="36"/>
      <c r="V498" s="36"/>
      <c r="W498" s="129"/>
      <c r="X498" s="36"/>
      <c r="Y498" s="36"/>
      <c r="Z498" s="36"/>
      <c r="AA498" s="125" t="s">
        <v>121</v>
      </c>
      <c r="AB498" s="173">
        <v>45763</v>
      </c>
      <c r="AC498" s="119">
        <v>25623</v>
      </c>
      <c r="AD498" s="36">
        <f t="shared" si="65"/>
        <v>39007963</v>
      </c>
      <c r="AE498" s="36" t="str">
        <f t="shared" si="66"/>
        <v>EDP KUH.6316-A-M-3001 004</v>
      </c>
      <c r="AF498" s="36">
        <v>120</v>
      </c>
      <c r="AG498" s="120">
        <f t="shared" si="67"/>
        <v>412.8</v>
      </c>
      <c r="AH498" s="36"/>
      <c r="AI498" s="124"/>
      <c r="AJ498" s="122" t="s">
        <v>3110</v>
      </c>
      <c r="AK498" s="129" t="str">
        <f t="shared" ca="1" si="62"/>
        <v>On Time</v>
      </c>
      <c r="AL498" s="268" t="str">
        <f t="shared" si="64"/>
        <v>April</v>
      </c>
      <c r="AM498" s="133">
        <f>YEAR(Table1[[#This Row],[ETA
As requested
dd.mm.yyyy]])</f>
        <v>2025</v>
      </c>
    </row>
    <row r="499" spans="1:39" hidden="1">
      <c r="A499" s="123" t="s">
        <v>83</v>
      </c>
      <c r="B499" s="36" t="s">
        <v>1170</v>
      </c>
      <c r="C499" s="117">
        <v>39007963</v>
      </c>
      <c r="D499" s="165">
        <v>45751</v>
      </c>
      <c r="E499" s="117" t="s">
        <v>88</v>
      </c>
      <c r="F499" s="36" t="str">
        <f>IFERROR(VLOOKUP(Table1[[#This Row],[Part Number]],DATABASE_FG!$C$6:D10488,2,FALSE)," ")</f>
        <v>096287888-0000</v>
      </c>
      <c r="G499" s="117" t="str">
        <f>IFERROR(_xlfn.XLOOKUP(Table1[[#This Row],[Part Number]],Table3[Part number],Table3[Drawing
 Revision]),"")</f>
        <v>AA</v>
      </c>
      <c r="H499" s="118" cm="1">
        <f t="array" ref="H499">IFERROR(INDEX(PDB!$C:$AT,MATCH(E499,PDB!$B:$B,0),MATCH(YEAR(K499),0+PDB!$C$1:$AT$1,0)),"")</f>
        <v>3.44</v>
      </c>
      <c r="I499" s="36">
        <v>168</v>
      </c>
      <c r="J499" s="125">
        <f>IFERROR(Table1[[#This Row],[Quantity]]*Table1[[#This Row],[Price/Unit
EUR]]," ")</f>
        <v>577.91999999999996</v>
      </c>
      <c r="K499" s="126">
        <v>45769</v>
      </c>
      <c r="L499" s="36">
        <f>WEEKNUM(Table1[[#This Row],[ETA
As requested
dd.mm.yyyy]])</f>
        <v>17</v>
      </c>
      <c r="M499" s="36">
        <f>YEAR(Table1[[#This Row],[ETA
As requested
dd.mm.yyyy]])</f>
        <v>2025</v>
      </c>
      <c r="N499" s="36">
        <f>IFERROR(INDEX(DATABASE_FG!$H$5:$H$367, MATCH(E499, DATABASE_FG!$C$5:$C$367, 0)), " ")</f>
        <v>0</v>
      </c>
      <c r="O499" s="129" t="str">
        <f>IF(E499&lt;&gt;"", _xlfn.XLOOKUP(E499, DATABASE_FG!C:C, DATABASE_FG!F:F), " ")</f>
        <v>Alama</v>
      </c>
      <c r="P499" s="129">
        <f>IFERROR(INDEX(DATABASE_FG!$G$5:$G$367, MATCH(E499, DATABASE_FG!$C$5:$C$367, 0)), "Not Found")</f>
        <v>0</v>
      </c>
      <c r="Q499" s="36"/>
      <c r="R499" s="125" t="s">
        <v>3105</v>
      </c>
      <c r="S499" s="123">
        <f>IFERROR(INDEX(DATABASE_FG!$L$5:$L$367, MATCH(E499, DATABASE_FG!$C$5:$C$367, 0)), " ")</f>
        <v>42</v>
      </c>
      <c r="T499" s="36" t="s">
        <v>679</v>
      </c>
      <c r="U499" s="36"/>
      <c r="V499" s="36"/>
      <c r="W499" s="129"/>
      <c r="X499" s="36"/>
      <c r="Y499" s="36"/>
      <c r="Z499" s="36"/>
      <c r="AA499" s="125" t="s">
        <v>121</v>
      </c>
      <c r="AB499" s="173">
        <v>45764</v>
      </c>
      <c r="AC499" s="119">
        <v>25631</v>
      </c>
      <c r="AD499" s="36">
        <f t="shared" si="65"/>
        <v>39007963</v>
      </c>
      <c r="AE499" s="36" t="str">
        <f t="shared" si="66"/>
        <v>EDP KUH.6316-A-M-3001 004</v>
      </c>
      <c r="AF499" s="36">
        <v>168</v>
      </c>
      <c r="AG499" s="120">
        <f t="shared" si="67"/>
        <v>577.91999999999996</v>
      </c>
      <c r="AH499" s="36"/>
      <c r="AI499" s="124"/>
      <c r="AJ499" s="122" t="s">
        <v>3111</v>
      </c>
      <c r="AK499" s="129" t="str">
        <f t="shared" ref="AK499:AK527" ca="1" si="68">IF(AB499="", IF(K499 &lt; TODAY(), "Late", ""), IF(AB499 &lt;= K499 + 2, "On Time", "Late"))</f>
        <v>On Time</v>
      </c>
      <c r="AL499" s="268" t="str">
        <f t="shared" ref="AL499:AL524" si="69">TEXT(K499,"mmmm")</f>
        <v>April</v>
      </c>
      <c r="AM499" s="133">
        <f>YEAR(Table1[[#This Row],[ETA
As requested
dd.mm.yyyy]])</f>
        <v>2025</v>
      </c>
    </row>
    <row r="500" spans="1:39" hidden="1">
      <c r="A500" s="123" t="s">
        <v>83</v>
      </c>
      <c r="B500" s="36" t="s">
        <v>1170</v>
      </c>
      <c r="C500" s="117">
        <v>39007963</v>
      </c>
      <c r="D500" s="165">
        <v>45751</v>
      </c>
      <c r="E500" s="117" t="s">
        <v>88</v>
      </c>
      <c r="F500" s="36" t="str">
        <f>IFERROR(VLOOKUP(Table1[[#This Row],[Part Number]],DATABASE_FG!$C$6:D10489,2,FALSE)," ")</f>
        <v>096287888-0000</v>
      </c>
      <c r="G500" s="117" t="str">
        <f>IFERROR(_xlfn.XLOOKUP(Table1[[#This Row],[Part Number]],Table3[Part number],Table3[Drawing
 Revision]),"")</f>
        <v>AA</v>
      </c>
      <c r="H500" s="118" cm="1">
        <f t="array" ref="H500">IFERROR(INDEX(PDB!$C:$AT,MATCH(E500,PDB!$B:$B,0),MATCH(YEAR(K500),0+PDB!$C$1:$AT$1,0)),"")</f>
        <v>3.44</v>
      </c>
      <c r="I500" s="36">
        <v>97</v>
      </c>
      <c r="J500" s="125">
        <f>IFERROR(Table1[[#This Row],[Quantity]]*Table1[[#This Row],[Price/Unit
EUR]]," ")</f>
        <v>333.68</v>
      </c>
      <c r="K500" s="126">
        <v>45769</v>
      </c>
      <c r="L500" s="36">
        <f>WEEKNUM(Table1[[#This Row],[ETA
As requested
dd.mm.yyyy]])</f>
        <v>17</v>
      </c>
      <c r="M500" s="36">
        <f>YEAR(Table1[[#This Row],[ETA
As requested
dd.mm.yyyy]])</f>
        <v>2025</v>
      </c>
      <c r="N500" s="36">
        <f>IFERROR(INDEX(DATABASE_FG!$H$5:$H$367, MATCH(E500, DATABASE_FG!$C$5:$C$367, 0)), " ")</f>
        <v>0</v>
      </c>
      <c r="O500" s="129" t="str">
        <f>IF(E500&lt;&gt;"", _xlfn.XLOOKUP(E500, DATABASE_FG!C:C, DATABASE_FG!F:F), " ")</f>
        <v>Alama</v>
      </c>
      <c r="P500" s="129">
        <f>IFERROR(INDEX(DATABASE_FG!$G$5:$G$367, MATCH(E500, DATABASE_FG!$C$5:$C$367, 0)), "Not Found")</f>
        <v>0</v>
      </c>
      <c r="Q500" s="36"/>
      <c r="R500" s="125" t="s">
        <v>3105</v>
      </c>
      <c r="S500" s="123">
        <f>IFERROR(INDEX(DATABASE_FG!$L$5:$L$367, MATCH(E500, DATABASE_FG!$C$5:$C$367, 0)), " ")</f>
        <v>42</v>
      </c>
      <c r="T500" s="36" t="s">
        <v>679</v>
      </c>
      <c r="U500" s="36"/>
      <c r="V500" s="36"/>
      <c r="W500" s="129"/>
      <c r="X500" s="36"/>
      <c r="Y500" s="36"/>
      <c r="Z500" s="36"/>
      <c r="AA500" s="125" t="s">
        <v>121</v>
      </c>
      <c r="AB500" s="173">
        <v>45785</v>
      </c>
      <c r="AC500" s="119">
        <v>25742</v>
      </c>
      <c r="AD500" s="36">
        <f t="shared" si="65"/>
        <v>39007963</v>
      </c>
      <c r="AE500" s="36" t="str">
        <f t="shared" si="66"/>
        <v>EDP KUH.6316-A-M-3001 004</v>
      </c>
      <c r="AF500" s="36">
        <v>97</v>
      </c>
      <c r="AG500" s="120">
        <f t="shared" si="67"/>
        <v>333.68</v>
      </c>
      <c r="AH500" s="36"/>
      <c r="AI500" s="124"/>
      <c r="AJ500" s="122" t="s">
        <v>3114</v>
      </c>
      <c r="AK500" s="129" t="str">
        <f t="shared" ca="1" si="68"/>
        <v>Late</v>
      </c>
      <c r="AL500" s="268" t="str">
        <f t="shared" si="69"/>
        <v>April</v>
      </c>
      <c r="AM500" s="133">
        <f>YEAR(Table1[[#This Row],[ETA
As requested
dd.mm.yyyy]])</f>
        <v>2025</v>
      </c>
    </row>
    <row r="501" spans="1:39" hidden="1">
      <c r="A501" s="123" t="s">
        <v>83</v>
      </c>
      <c r="B501" s="36" t="s">
        <v>1170</v>
      </c>
      <c r="C501" s="117">
        <v>39007963</v>
      </c>
      <c r="D501" s="165">
        <v>45751</v>
      </c>
      <c r="E501" s="117" t="s">
        <v>88</v>
      </c>
      <c r="F501" s="36" t="str">
        <f>IFERROR(VLOOKUP(Table1[[#This Row],[Part Number]],DATABASE_FG!$C$6:D10490,2,FALSE)," ")</f>
        <v>096287888-0000</v>
      </c>
      <c r="G501" s="117" t="str">
        <f>IFERROR(_xlfn.XLOOKUP(Table1[[#This Row],[Part Number]],Table3[Part number],Table3[Drawing
 Revision]),"")</f>
        <v>AA</v>
      </c>
      <c r="H501" s="118" cm="1">
        <f t="array" ref="H501">IFERROR(INDEX(PDB!$C:$AT,MATCH(E501,PDB!$B:$B,0),MATCH(YEAR(K501),0+PDB!$C$1:$AT$1,0)),"")</f>
        <v>3.44</v>
      </c>
      <c r="I501" s="36">
        <v>42</v>
      </c>
      <c r="J501" s="125">
        <f>IFERROR(Table1[[#This Row],[Quantity]]*Table1[[#This Row],[Price/Unit
EUR]]," ")</f>
        <v>144.47999999999999</v>
      </c>
      <c r="K501" s="126">
        <v>45769</v>
      </c>
      <c r="L501" s="36">
        <f>WEEKNUM(Table1[[#This Row],[ETA
As requested
dd.mm.yyyy]])</f>
        <v>17</v>
      </c>
      <c r="M501" s="36">
        <f>YEAR(Table1[[#This Row],[ETA
As requested
dd.mm.yyyy]])</f>
        <v>2025</v>
      </c>
      <c r="N501" s="36">
        <f>IFERROR(INDEX(DATABASE_FG!$H$5:$H$367, MATCH(E501, DATABASE_FG!$C$5:$C$367, 0)), " ")</f>
        <v>0</v>
      </c>
      <c r="O501" s="129" t="str">
        <f>IF(E501&lt;&gt;"", _xlfn.XLOOKUP(E501, DATABASE_FG!C:C, DATABASE_FG!F:F), " ")</f>
        <v>Alama</v>
      </c>
      <c r="P501" s="129">
        <f>IFERROR(INDEX(DATABASE_FG!$G$5:$G$367, MATCH(E501, DATABASE_FG!$C$5:$C$367, 0)), "Not Found")</f>
        <v>0</v>
      </c>
      <c r="Q501" s="36"/>
      <c r="R501" s="125" t="s">
        <v>3105</v>
      </c>
      <c r="S501" s="123">
        <f>IFERROR(INDEX(DATABASE_FG!$L$5:$L$367, MATCH(E501, DATABASE_FG!$C$5:$C$367, 0)), " ")</f>
        <v>42</v>
      </c>
      <c r="T501" s="36" t="s">
        <v>679</v>
      </c>
      <c r="U501" s="36"/>
      <c r="V501" s="36"/>
      <c r="W501" s="129"/>
      <c r="X501" s="36"/>
      <c r="Y501" s="36"/>
      <c r="Z501" s="36"/>
      <c r="AA501" s="125" t="s">
        <v>121</v>
      </c>
      <c r="AB501" s="173">
        <v>45786</v>
      </c>
      <c r="AC501" s="119">
        <v>25751</v>
      </c>
      <c r="AD501" s="36">
        <f t="shared" si="65"/>
        <v>39007963</v>
      </c>
      <c r="AE501" s="36" t="str">
        <f t="shared" si="66"/>
        <v>EDP KUH.6316-A-M-3001 004</v>
      </c>
      <c r="AF501" s="36">
        <v>42</v>
      </c>
      <c r="AG501" s="120">
        <f t="shared" si="67"/>
        <v>144.47999999999999</v>
      </c>
      <c r="AH501" s="36"/>
      <c r="AI501" s="124"/>
      <c r="AJ501" s="122" t="s">
        <v>3115</v>
      </c>
      <c r="AK501" s="129" t="str">
        <f t="shared" ca="1" si="68"/>
        <v>Late</v>
      </c>
      <c r="AL501" s="268" t="str">
        <f t="shared" si="69"/>
        <v>April</v>
      </c>
      <c r="AM501" s="133">
        <f>YEAR(Table1[[#This Row],[ETA
As requested
dd.mm.yyyy]])</f>
        <v>2025</v>
      </c>
    </row>
    <row r="502" spans="1:39" hidden="1">
      <c r="A502" s="123" t="s">
        <v>83</v>
      </c>
      <c r="B502" s="36" t="s">
        <v>1170</v>
      </c>
      <c r="C502" s="117">
        <v>39007963</v>
      </c>
      <c r="D502" s="165">
        <v>45751</v>
      </c>
      <c r="E502" s="117" t="s">
        <v>88</v>
      </c>
      <c r="F502" s="36" t="str">
        <f>IFERROR(VLOOKUP(Table1[[#This Row],[Part Number]],DATABASE_FG!$C$6:D10491,2,FALSE)," ")</f>
        <v>096287888-0000</v>
      </c>
      <c r="G502" s="117" t="str">
        <f>IFERROR(_xlfn.XLOOKUP(Table1[[#This Row],[Part Number]],Table3[Part number],Table3[Drawing
 Revision]),"")</f>
        <v>AA</v>
      </c>
      <c r="H502" s="118" cm="1">
        <f t="array" ref="H502">IFERROR(INDEX(PDB!$C:$AT,MATCH(E502,PDB!$B:$B,0),MATCH(YEAR(K502),0+PDB!$C$1:$AT$1,0)),"")</f>
        <v>3.44</v>
      </c>
      <c r="I502" s="36">
        <v>1</v>
      </c>
      <c r="J502" s="125">
        <f>IFERROR(Table1[[#This Row],[Quantity]]*Table1[[#This Row],[Price/Unit
EUR]]," ")</f>
        <v>3.44</v>
      </c>
      <c r="K502" s="126">
        <v>45769</v>
      </c>
      <c r="L502" s="36">
        <f>WEEKNUM(Table1[[#This Row],[ETA
As requested
dd.mm.yyyy]])</f>
        <v>17</v>
      </c>
      <c r="M502" s="36">
        <f>YEAR(Table1[[#This Row],[ETA
As requested
dd.mm.yyyy]])</f>
        <v>2025</v>
      </c>
      <c r="N502" s="36">
        <f>IFERROR(INDEX(DATABASE_FG!$H$5:$H$367, MATCH(E502, DATABASE_FG!$C$5:$C$367, 0)), " ")</f>
        <v>0</v>
      </c>
      <c r="O502" s="129" t="str">
        <f>IF(E502&lt;&gt;"", _xlfn.XLOOKUP(E502, DATABASE_FG!C:C, DATABASE_FG!F:F), " ")</f>
        <v>Alama</v>
      </c>
      <c r="P502" s="129">
        <v>0</v>
      </c>
      <c r="Q502" s="36"/>
      <c r="R502" s="125" t="s">
        <v>3105</v>
      </c>
      <c r="S502" s="123">
        <f>IFERROR(INDEX(DATABASE_FG!$L$5:$L$367, MATCH(E502, DATABASE_FG!$C$5:$C$367, 0)), " ")</f>
        <v>42</v>
      </c>
      <c r="T502" s="36" t="s">
        <v>679</v>
      </c>
      <c r="U502" s="36"/>
      <c r="V502" s="36"/>
      <c r="W502" s="129"/>
      <c r="X502" s="36"/>
      <c r="Y502" s="36"/>
      <c r="Z502" s="36"/>
      <c r="AA502" s="125" t="s">
        <v>121</v>
      </c>
      <c r="AB502" s="173">
        <v>45786</v>
      </c>
      <c r="AC502" s="119">
        <v>25753</v>
      </c>
      <c r="AD502" s="36">
        <f t="shared" si="65"/>
        <v>39007963</v>
      </c>
      <c r="AE502" s="36" t="str">
        <f t="shared" si="66"/>
        <v>EDP KUH.6316-A-M-3001 004</v>
      </c>
      <c r="AF502" s="36">
        <v>1</v>
      </c>
      <c r="AG502" s="120">
        <f t="shared" si="67"/>
        <v>3.44</v>
      </c>
      <c r="AH502" s="36"/>
      <c r="AI502" s="124"/>
      <c r="AJ502" s="122" t="s">
        <v>3116</v>
      </c>
      <c r="AK502" s="129" t="str">
        <f t="shared" ca="1" si="68"/>
        <v>Late</v>
      </c>
      <c r="AL502" s="268" t="str">
        <f t="shared" si="69"/>
        <v>April</v>
      </c>
      <c r="AM502" s="133">
        <f>YEAR(Table1[[#This Row],[ETA
As requested
dd.mm.yyyy]])</f>
        <v>2025</v>
      </c>
    </row>
    <row r="503" spans="1:39" hidden="1">
      <c r="A503" s="123" t="s">
        <v>83</v>
      </c>
      <c r="B503" s="36" t="s">
        <v>1170</v>
      </c>
      <c r="C503" s="117">
        <v>39007963</v>
      </c>
      <c r="D503" s="165">
        <v>45751</v>
      </c>
      <c r="E503" s="117" t="s">
        <v>88</v>
      </c>
      <c r="F503" s="36" t="str">
        <f>IFERROR(VLOOKUP(Table1[[#This Row],[Part Number]],DATABASE_FG!$C$6:D10492,2,FALSE)," ")</f>
        <v>096287888-0000</v>
      </c>
      <c r="G503" s="117" t="str">
        <f>IFERROR(_xlfn.XLOOKUP(Table1[[#This Row],[Part Number]],Table3[Part number],Table3[Drawing
 Revision]),"")</f>
        <v>AA</v>
      </c>
      <c r="H503" s="118" cm="1">
        <f t="array" ref="H503">IFERROR(INDEX(PDB!$C:$AT,MATCH(E503,PDB!$B:$B,0),MATCH(YEAR(K503),0+PDB!$C$1:$AT$1,0)),"")</f>
        <v>3.44</v>
      </c>
      <c r="I503" s="36">
        <v>34</v>
      </c>
      <c r="J503" s="125">
        <f>IFERROR(Table1[[#This Row],[Quantity]]*Table1[[#This Row],[Price/Unit
EUR]]," ")</f>
        <v>116.96</v>
      </c>
      <c r="K503" s="126">
        <v>45769</v>
      </c>
      <c r="L503" s="36">
        <f>WEEKNUM(Table1[[#This Row],[ETA
As requested
dd.mm.yyyy]])</f>
        <v>17</v>
      </c>
      <c r="M503" s="36">
        <f>YEAR(Table1[[#This Row],[ETA
As requested
dd.mm.yyyy]])</f>
        <v>2025</v>
      </c>
      <c r="N503" s="36">
        <f>IFERROR(INDEX(DATABASE_FG!$H$5:$H$367, MATCH(E503, DATABASE_FG!$C$5:$C$367, 0)), " ")</f>
        <v>0</v>
      </c>
      <c r="O503" s="129" t="str">
        <f>IF(E503&lt;&gt;"", _xlfn.XLOOKUP(E503, DATABASE_FG!C:C, DATABASE_FG!F:F), " ")</f>
        <v>Alama</v>
      </c>
      <c r="P503" s="129">
        <v>0</v>
      </c>
      <c r="Q503" s="36"/>
      <c r="R503" s="125" t="s">
        <v>3105</v>
      </c>
      <c r="S503" s="123">
        <f>IFERROR(INDEX(DATABASE_FG!$L$5:$L$367, MATCH(E503, DATABASE_FG!$C$5:$C$367, 0)), " ")</f>
        <v>42</v>
      </c>
      <c r="T503" s="36" t="s">
        <v>679</v>
      </c>
      <c r="U503" s="36"/>
      <c r="V503" s="36"/>
      <c r="W503" s="129"/>
      <c r="X503" s="36"/>
      <c r="Y503" s="36"/>
      <c r="Z503" s="36"/>
      <c r="AA503" s="125" t="s">
        <v>121</v>
      </c>
      <c r="AB503" s="173">
        <v>45789</v>
      </c>
      <c r="AC503" s="119">
        <v>25757</v>
      </c>
      <c r="AD503" s="36">
        <f t="shared" si="65"/>
        <v>39007963</v>
      </c>
      <c r="AE503" s="36" t="str">
        <f t="shared" si="66"/>
        <v>EDP KUH.6316-A-M-3001 004</v>
      </c>
      <c r="AF503" s="36">
        <v>34</v>
      </c>
      <c r="AG503" s="120">
        <f t="shared" si="67"/>
        <v>116.96</v>
      </c>
      <c r="AH503" s="36"/>
      <c r="AI503" s="124"/>
      <c r="AJ503" s="122" t="s">
        <v>3117</v>
      </c>
      <c r="AK503" s="129" t="str">
        <f t="shared" ca="1" si="68"/>
        <v>Late</v>
      </c>
      <c r="AL503" s="268" t="str">
        <f t="shared" si="69"/>
        <v>April</v>
      </c>
      <c r="AM503" s="133">
        <f>YEAR(Table1[[#This Row],[ETA
As requested
dd.mm.yyyy]])</f>
        <v>2025</v>
      </c>
    </row>
    <row r="504" spans="1:39" hidden="1">
      <c r="A504" s="123" t="s">
        <v>83</v>
      </c>
      <c r="B504" s="36" t="s">
        <v>1170</v>
      </c>
      <c r="C504" s="117">
        <v>39007963</v>
      </c>
      <c r="D504" s="165">
        <v>45751</v>
      </c>
      <c r="E504" s="117" t="s">
        <v>88</v>
      </c>
      <c r="F504" s="36" t="str">
        <f>IFERROR(VLOOKUP(Table1[[#This Row],[Part Number]],DATABASE_FG!$C$6:D10493,2,FALSE)," ")</f>
        <v>096287888-0000</v>
      </c>
      <c r="G504" s="117" t="str">
        <f>IFERROR(_xlfn.XLOOKUP(Table1[[#This Row],[Part Number]],Table3[Part number],Table3[Drawing
 Revision]),"")</f>
        <v>AA</v>
      </c>
      <c r="H504" s="118" cm="1">
        <f t="array" ref="H504">IFERROR(INDEX(PDB!$C:$AT,MATCH(E504,PDB!$B:$B,0),MATCH(YEAR(K504),0+PDB!$C$1:$AT$1,0)),"")</f>
        <v>3.44</v>
      </c>
      <c r="I504" s="36">
        <v>4</v>
      </c>
      <c r="J504" s="125">
        <f>IFERROR(Table1[[#This Row],[Quantity]]*Table1[[#This Row],[Price/Unit
EUR]]," ")</f>
        <v>13.76</v>
      </c>
      <c r="K504" s="126">
        <v>45769</v>
      </c>
      <c r="L504" s="36">
        <f>WEEKNUM(Table1[[#This Row],[ETA
As requested
dd.mm.yyyy]])</f>
        <v>17</v>
      </c>
      <c r="M504" s="36">
        <f>YEAR(Table1[[#This Row],[ETA
As requested
dd.mm.yyyy]])</f>
        <v>2025</v>
      </c>
      <c r="N504" s="36">
        <f>IFERROR(INDEX(DATABASE_FG!$H$5:$H$367, MATCH(E504, DATABASE_FG!$C$5:$C$367, 0)), " ")</f>
        <v>0</v>
      </c>
      <c r="O504" s="129" t="str">
        <f>IF(E504&lt;&gt;"", _xlfn.XLOOKUP(E504, DATABASE_FG!C:C, DATABASE_FG!F:F), " ")</f>
        <v>Alama</v>
      </c>
      <c r="P504" s="129">
        <v>0</v>
      </c>
      <c r="Q504" s="36"/>
      <c r="R504" s="125" t="s">
        <v>3105</v>
      </c>
      <c r="S504" s="123">
        <f>IFERROR(INDEX(DATABASE_FG!$L$5:$L$367, MATCH(E504, DATABASE_FG!$C$5:$C$367, 0)), " ")</f>
        <v>42</v>
      </c>
      <c r="T504" s="36" t="s">
        <v>679</v>
      </c>
      <c r="U504" s="36"/>
      <c r="V504" s="36"/>
      <c r="W504" s="129"/>
      <c r="X504" s="36"/>
      <c r="Y504" s="36"/>
      <c r="Z504" s="36"/>
      <c r="AA504" s="125" t="s">
        <v>121</v>
      </c>
      <c r="AB504" s="173">
        <v>45790</v>
      </c>
      <c r="AC504" s="119">
        <v>25769</v>
      </c>
      <c r="AD504" s="36">
        <f t="shared" si="65"/>
        <v>39007963</v>
      </c>
      <c r="AE504" s="36" t="str">
        <f t="shared" si="66"/>
        <v>EDP KUH.6316-A-M-3001 004</v>
      </c>
      <c r="AF504" s="36">
        <v>4</v>
      </c>
      <c r="AG504" s="120">
        <f t="shared" si="67"/>
        <v>13.76</v>
      </c>
      <c r="AH504" s="36"/>
      <c r="AI504" s="124"/>
      <c r="AJ504" s="122" t="s">
        <v>3118</v>
      </c>
      <c r="AK504" s="129" t="str">
        <f t="shared" ca="1" si="68"/>
        <v>Late</v>
      </c>
      <c r="AL504" s="268" t="str">
        <f t="shared" si="69"/>
        <v>April</v>
      </c>
      <c r="AM504" s="133">
        <f>YEAR(Table1[[#This Row],[ETA
As requested
dd.mm.yyyy]])</f>
        <v>2025</v>
      </c>
    </row>
    <row r="505" spans="1:39" hidden="1">
      <c r="A505" s="123" t="s">
        <v>83</v>
      </c>
      <c r="B505" s="36" t="s">
        <v>1170</v>
      </c>
      <c r="C505" s="117">
        <v>39007963</v>
      </c>
      <c r="D505" s="165">
        <v>45751</v>
      </c>
      <c r="E505" s="117" t="s">
        <v>88</v>
      </c>
      <c r="F505" s="36" t="str">
        <f>IFERROR(VLOOKUP(Table1[[#This Row],[Part Number]],DATABASE_FG!$C$6:D10494,2,FALSE)," ")</f>
        <v>096287888-0000</v>
      </c>
      <c r="G505" s="117" t="str">
        <f>IFERROR(_xlfn.XLOOKUP(Table1[[#This Row],[Part Number]],Table3[Part number],Table3[Drawing
 Revision]),"")</f>
        <v>AA</v>
      </c>
      <c r="H505" s="118" cm="1">
        <f t="array" ref="H505">IFERROR(INDEX(PDB!$C:$AT,MATCH(E505,PDB!$B:$B,0),MATCH(YEAR(K505),0+PDB!$C$1:$AT$1,0)),"")</f>
        <v>3.44</v>
      </c>
      <c r="I505" s="36">
        <v>144</v>
      </c>
      <c r="J505" s="125">
        <f>IFERROR(Table1[[#This Row],[Quantity]]*Table1[[#This Row],[Price/Unit
EUR]]," ")</f>
        <v>495.36</v>
      </c>
      <c r="K505" s="126">
        <v>45770</v>
      </c>
      <c r="L505" s="36">
        <f>WEEKNUM(Table1[[#This Row],[ETA
As requested
dd.mm.yyyy]])</f>
        <v>17</v>
      </c>
      <c r="M505" s="36">
        <f>YEAR(Table1[[#This Row],[ETA
As requested
dd.mm.yyyy]])</f>
        <v>2025</v>
      </c>
      <c r="N505" s="36">
        <f>IFERROR(INDEX(DATABASE_FG!$H$5:$H$367, MATCH(E505, DATABASE_FG!$C$5:$C$367, 0)), " ")</f>
        <v>0</v>
      </c>
      <c r="O505" s="129" t="str">
        <f>IF(E505&lt;&gt;"", _xlfn.XLOOKUP(E505, DATABASE_FG!C:C, DATABASE_FG!F:F), " ")</f>
        <v>Alama</v>
      </c>
      <c r="P505" s="129">
        <f>IFERROR(INDEX(DATABASE_FG!$G$5:$G$367, MATCH(E505, DATABASE_FG!$C$5:$C$367, 0)), "Not Found")</f>
        <v>0</v>
      </c>
      <c r="Q505" s="36"/>
      <c r="R505" s="125" t="s">
        <v>3105</v>
      </c>
      <c r="S505" s="123">
        <f>IFERROR(INDEX(DATABASE_FG!$L$5:$L$367, MATCH(E505, DATABASE_FG!$C$5:$C$367, 0)), " ")</f>
        <v>42</v>
      </c>
      <c r="T505" s="36" t="s">
        <v>679</v>
      </c>
      <c r="U505" s="36"/>
      <c r="V505" s="36"/>
      <c r="W505" s="129"/>
      <c r="X505" s="36"/>
      <c r="Y505" s="36"/>
      <c r="Z505" s="36"/>
      <c r="AA505" s="125" t="s">
        <v>121</v>
      </c>
      <c r="AB505" s="173">
        <v>45769</v>
      </c>
      <c r="AC505" s="119">
        <v>25656</v>
      </c>
      <c r="AD505" s="36">
        <f t="shared" si="65"/>
        <v>39007963</v>
      </c>
      <c r="AE505" s="36" t="str">
        <f t="shared" si="66"/>
        <v>EDP KUH.6316-A-M-3001 004</v>
      </c>
      <c r="AF505" s="36">
        <v>144</v>
      </c>
      <c r="AG505" s="120">
        <f t="shared" si="67"/>
        <v>495.36</v>
      </c>
      <c r="AH505" s="36"/>
      <c r="AI505" s="124"/>
      <c r="AJ505" s="122" t="s">
        <v>3119</v>
      </c>
      <c r="AK505" s="129" t="str">
        <f t="shared" ca="1" si="68"/>
        <v>On Time</v>
      </c>
      <c r="AL505" s="268" t="str">
        <f t="shared" si="69"/>
        <v>April</v>
      </c>
      <c r="AM505" s="133">
        <f>YEAR(Table1[[#This Row],[ETA
As requested
dd.mm.yyyy]])</f>
        <v>2025</v>
      </c>
    </row>
    <row r="506" spans="1:39" hidden="1">
      <c r="A506" s="123" t="s">
        <v>83</v>
      </c>
      <c r="B506" s="36" t="s">
        <v>1170</v>
      </c>
      <c r="C506" s="117">
        <v>39007963</v>
      </c>
      <c r="D506" s="165">
        <v>45751</v>
      </c>
      <c r="E506" s="117" t="s">
        <v>88</v>
      </c>
      <c r="F506" s="36" t="str">
        <f>IFERROR(VLOOKUP(Table1[[#This Row],[Part Number]],DATABASE_FG!$C$6:D10495,2,FALSE)," ")</f>
        <v>096287888-0000</v>
      </c>
      <c r="G506" s="117" t="str">
        <f>IFERROR(_xlfn.XLOOKUP(Table1[[#This Row],[Part Number]],Table3[Part number],Table3[Drawing
 Revision]),"")</f>
        <v>AA</v>
      </c>
      <c r="H506" s="118" cm="1">
        <f t="array" ref="H506">IFERROR(INDEX(PDB!$C:$AT,MATCH(E506,PDB!$B:$B,0),MATCH(YEAR(K506),0+PDB!$C$1:$AT$1,0)),"")</f>
        <v>3.44</v>
      </c>
      <c r="I506" s="36">
        <v>288</v>
      </c>
      <c r="J506" s="125">
        <f>IFERROR(Table1[[#This Row],[Quantity]]*Table1[[#This Row],[Price/Unit
EUR]]," ")</f>
        <v>990.72</v>
      </c>
      <c r="K506" s="126">
        <v>45770</v>
      </c>
      <c r="L506" s="36">
        <f>WEEKNUM(Table1[[#This Row],[ETA
As requested
dd.mm.yyyy]])</f>
        <v>17</v>
      </c>
      <c r="M506" s="36">
        <f>YEAR(Table1[[#This Row],[ETA
As requested
dd.mm.yyyy]])</f>
        <v>2025</v>
      </c>
      <c r="N506" s="36">
        <f>IFERROR(INDEX(DATABASE_FG!$H$5:$H$367, MATCH(E506, DATABASE_FG!$C$5:$C$367, 0)), " ")</f>
        <v>0</v>
      </c>
      <c r="O506" s="129" t="str">
        <f>IF(E506&lt;&gt;"", _xlfn.XLOOKUP(E506, DATABASE_FG!C:C, DATABASE_FG!F:F), " ")</f>
        <v>Alama</v>
      </c>
      <c r="P506" s="129">
        <f>IFERROR(INDEX(DATABASE_FG!$G$5:$G$367, MATCH(E506, DATABASE_FG!$C$5:$C$367, 0)), "Not Found")</f>
        <v>0</v>
      </c>
      <c r="Q506" s="36"/>
      <c r="R506" s="125" t="s">
        <v>3105</v>
      </c>
      <c r="S506" s="123">
        <f>IFERROR(INDEX(DATABASE_FG!$L$5:$L$367, MATCH(E506, DATABASE_FG!$C$5:$C$367, 0)), " ")</f>
        <v>42</v>
      </c>
      <c r="T506" s="36" t="s">
        <v>679</v>
      </c>
      <c r="U506" s="36"/>
      <c r="V506" s="36"/>
      <c r="W506" s="129"/>
      <c r="X506" s="36"/>
      <c r="Y506" s="36"/>
      <c r="Z506" s="36"/>
      <c r="AA506" s="125" t="s">
        <v>121</v>
      </c>
      <c r="AB506" s="173">
        <v>45770</v>
      </c>
      <c r="AC506" s="119">
        <v>25661</v>
      </c>
      <c r="AD506" s="36">
        <f t="shared" si="65"/>
        <v>39007963</v>
      </c>
      <c r="AE506" s="36" t="str">
        <f t="shared" si="66"/>
        <v>EDP KUH.6316-A-M-3001 004</v>
      </c>
      <c r="AF506" s="36">
        <v>288</v>
      </c>
      <c r="AG506" s="120">
        <f t="shared" si="67"/>
        <v>990.72</v>
      </c>
      <c r="AH506" s="36"/>
      <c r="AI506" s="124"/>
      <c r="AJ506" s="122" t="s">
        <v>3120</v>
      </c>
      <c r="AK506" s="129" t="str">
        <f t="shared" ca="1" si="68"/>
        <v>On Time</v>
      </c>
      <c r="AL506" s="268" t="str">
        <f t="shared" si="69"/>
        <v>April</v>
      </c>
      <c r="AM506" s="133">
        <f>YEAR(Table1[[#This Row],[ETA
As requested
dd.mm.yyyy]])</f>
        <v>2025</v>
      </c>
    </row>
    <row r="507" spans="1:39" hidden="1">
      <c r="A507" s="123" t="s">
        <v>83</v>
      </c>
      <c r="B507" s="36" t="s">
        <v>1170</v>
      </c>
      <c r="C507" s="117">
        <v>39007963</v>
      </c>
      <c r="D507" s="165">
        <v>45751</v>
      </c>
      <c r="E507" s="117" t="s">
        <v>88</v>
      </c>
      <c r="F507" s="36" t="str">
        <f>IFERROR(VLOOKUP(Table1[[#This Row],[Part Number]],DATABASE_FG!$C$6:D10496,2,FALSE)," ")</f>
        <v>096287888-0000</v>
      </c>
      <c r="G507" s="117" t="str">
        <f>IFERROR(_xlfn.XLOOKUP(Table1[[#This Row],[Part Number]],Table3[Part number],Table3[Drawing
 Revision]),"")</f>
        <v>AA</v>
      </c>
      <c r="H507" s="118" cm="1">
        <f t="array" ref="H507">IFERROR(INDEX(PDB!$C:$AT,MATCH(E507,PDB!$B:$B,0),MATCH(YEAR(K507),0+PDB!$C$1:$AT$1,0)),"")</f>
        <v>3.44</v>
      </c>
      <c r="I507" s="36">
        <v>264</v>
      </c>
      <c r="J507" s="125">
        <f>IFERROR(Table1[[#This Row],[Quantity]]*Table1[[#This Row],[Price/Unit
EUR]]," ")</f>
        <v>908.16</v>
      </c>
      <c r="K507" s="126">
        <v>45770</v>
      </c>
      <c r="L507" s="36">
        <f>WEEKNUM(Table1[[#This Row],[ETA
As requested
dd.mm.yyyy]])</f>
        <v>17</v>
      </c>
      <c r="M507" s="36">
        <f>YEAR(Table1[[#This Row],[ETA
As requested
dd.mm.yyyy]])</f>
        <v>2025</v>
      </c>
      <c r="N507" s="36">
        <f>IFERROR(INDEX(DATABASE_FG!$H$5:$H$367, MATCH(E507, DATABASE_FG!$C$5:$C$367, 0)), " ")</f>
        <v>0</v>
      </c>
      <c r="O507" s="129" t="str">
        <f>IF(E507&lt;&gt;"", _xlfn.XLOOKUP(E507, DATABASE_FG!C:C, DATABASE_FG!F:F), " ")</f>
        <v>Alama</v>
      </c>
      <c r="P507" s="129">
        <f>IFERROR(INDEX(DATABASE_FG!$G$5:$G$367, MATCH(E507, DATABASE_FG!$C$5:$C$367, 0)), "Not Found")</f>
        <v>0</v>
      </c>
      <c r="Q507" s="36"/>
      <c r="R507" s="125" t="s">
        <v>3105</v>
      </c>
      <c r="S507" s="123">
        <f>IFERROR(INDEX(DATABASE_FG!$L$5:$L$367, MATCH(E507, DATABASE_FG!$C$5:$C$367, 0)), " ")</f>
        <v>42</v>
      </c>
      <c r="T507" s="36" t="s">
        <v>679</v>
      </c>
      <c r="U507" s="36"/>
      <c r="V507" s="36"/>
      <c r="W507" s="129"/>
      <c r="X507" s="36"/>
      <c r="Y507" s="36"/>
      <c r="Z507" s="36"/>
      <c r="AA507" s="125" t="s">
        <v>121</v>
      </c>
      <c r="AB507" s="173">
        <v>45771</v>
      </c>
      <c r="AC507" s="119">
        <v>25668</v>
      </c>
      <c r="AD507" s="36">
        <f t="shared" si="65"/>
        <v>39007963</v>
      </c>
      <c r="AE507" s="36" t="str">
        <f t="shared" si="66"/>
        <v>EDP KUH.6316-A-M-3001 004</v>
      </c>
      <c r="AF507" s="36">
        <v>264</v>
      </c>
      <c r="AG507" s="120">
        <f t="shared" si="67"/>
        <v>908.16</v>
      </c>
      <c r="AH507" s="36"/>
      <c r="AI507" s="124"/>
      <c r="AJ507" s="122" t="s">
        <v>3121</v>
      </c>
      <c r="AK507" s="129" t="str">
        <f t="shared" ca="1" si="68"/>
        <v>On Time</v>
      </c>
      <c r="AL507" s="268" t="str">
        <f t="shared" si="69"/>
        <v>April</v>
      </c>
      <c r="AM507" s="133">
        <f>YEAR(Table1[[#This Row],[ETA
As requested
dd.mm.yyyy]])</f>
        <v>2025</v>
      </c>
    </row>
    <row r="508" spans="1:39" hidden="1">
      <c r="A508" s="123" t="s">
        <v>83</v>
      </c>
      <c r="B508" s="36" t="s">
        <v>1170</v>
      </c>
      <c r="C508" s="117">
        <v>39007963</v>
      </c>
      <c r="D508" s="165">
        <v>45751</v>
      </c>
      <c r="E508" s="117" t="s">
        <v>88</v>
      </c>
      <c r="F508" s="36" t="str">
        <f>IFERROR(VLOOKUP(Table1[[#This Row],[Part Number]],DATABASE_FG!$C$6:D10497,2,FALSE)," ")</f>
        <v>096287888-0000</v>
      </c>
      <c r="G508" s="117" t="str">
        <f>IFERROR(_xlfn.XLOOKUP(Table1[[#This Row],[Part Number]],Table3[Part number],Table3[Drawing
 Revision]),"")</f>
        <v>AA</v>
      </c>
      <c r="H508" s="118" cm="1">
        <f t="array" ref="H508">IFERROR(INDEX(PDB!$C:$AT,MATCH(E508,PDB!$B:$B,0),MATCH(YEAR(K508),0+PDB!$C$1:$AT$1,0)),"")</f>
        <v>3.44</v>
      </c>
      <c r="I508" s="36">
        <v>101</v>
      </c>
      <c r="J508" s="125">
        <f>IFERROR(Table1[[#This Row],[Quantity]]*Table1[[#This Row],[Price/Unit
EUR]]," ")</f>
        <v>347.44</v>
      </c>
      <c r="K508" s="126">
        <v>45770</v>
      </c>
      <c r="L508" s="36">
        <f>WEEKNUM(Table1[[#This Row],[ETA
As requested
dd.mm.yyyy]])</f>
        <v>17</v>
      </c>
      <c r="M508" s="36">
        <f>YEAR(Table1[[#This Row],[ETA
As requested
dd.mm.yyyy]])</f>
        <v>2025</v>
      </c>
      <c r="N508" s="36">
        <f>IFERROR(INDEX(DATABASE_FG!$H$5:$H$367, MATCH(E508, DATABASE_FG!$C$5:$C$367, 0)), " ")</f>
        <v>0</v>
      </c>
      <c r="O508" s="129" t="str">
        <f>IF(E508&lt;&gt;"", _xlfn.XLOOKUP(E508, DATABASE_FG!C:C, DATABASE_FG!F:F), " ")</f>
        <v>Alama</v>
      </c>
      <c r="P508" s="129">
        <f>IFERROR(INDEX(DATABASE_FG!$G$5:$G$367, MATCH(E508, DATABASE_FG!$C$5:$C$367, 0)), "Not Found")</f>
        <v>0</v>
      </c>
      <c r="Q508" s="36"/>
      <c r="R508" s="125" t="s">
        <v>3105</v>
      </c>
      <c r="S508" s="123">
        <f>IFERROR(INDEX(DATABASE_FG!$L$5:$L$367, MATCH(E508, DATABASE_FG!$C$5:$C$367, 0)), " ")</f>
        <v>42</v>
      </c>
      <c r="T508" s="36" t="s">
        <v>679</v>
      </c>
      <c r="U508" s="36"/>
      <c r="V508" s="36"/>
      <c r="W508" s="129"/>
      <c r="X508" s="36"/>
      <c r="Y508" s="36"/>
      <c r="Z508" s="36"/>
      <c r="AA508" s="125" t="s">
        <v>121</v>
      </c>
      <c r="AB508" s="173">
        <v>45772</v>
      </c>
      <c r="AC508" s="119">
        <v>25672</v>
      </c>
      <c r="AD508" s="36">
        <f t="shared" si="65"/>
        <v>39007963</v>
      </c>
      <c r="AE508" s="36" t="str">
        <f t="shared" si="66"/>
        <v>EDP KUH.6316-A-M-3001 004</v>
      </c>
      <c r="AF508" s="36">
        <v>101</v>
      </c>
      <c r="AG508" s="120">
        <f t="shared" si="67"/>
        <v>347.44</v>
      </c>
      <c r="AH508" s="36"/>
      <c r="AI508" s="124"/>
      <c r="AJ508" s="122" t="s">
        <v>3122</v>
      </c>
      <c r="AK508" s="129" t="str">
        <f t="shared" ca="1" si="68"/>
        <v>On Time</v>
      </c>
      <c r="AL508" s="268" t="str">
        <f t="shared" si="69"/>
        <v>April</v>
      </c>
      <c r="AM508" s="133">
        <f>YEAR(Table1[[#This Row],[ETA
As requested
dd.mm.yyyy]])</f>
        <v>2025</v>
      </c>
    </row>
    <row r="509" spans="1:39" hidden="1">
      <c r="A509" s="123" t="s">
        <v>83</v>
      </c>
      <c r="B509" s="36" t="s">
        <v>1170</v>
      </c>
      <c r="C509" s="117">
        <v>39454706</v>
      </c>
      <c r="D509" s="165">
        <v>45821</v>
      </c>
      <c r="E509" s="117" t="s">
        <v>88</v>
      </c>
      <c r="F509" s="36" t="str">
        <f>IFERROR(VLOOKUP(Table1[[#This Row],[Part Number]],DATABASE_FG!$C$6:D10498,2,FALSE)," ")</f>
        <v>096287888-0000</v>
      </c>
      <c r="G509" s="117" t="str">
        <f>IFERROR(_xlfn.XLOOKUP(Table1[[#This Row],[Part Number]],Table3[Part number],Table3[Drawing
 Revision]),"")</f>
        <v>AA</v>
      </c>
      <c r="H509" s="118" cm="1">
        <f t="array" ref="H509">IFERROR(INDEX(PDB!$C:$AT,MATCH(E509,PDB!$B:$B,0),MATCH(YEAR(K509),0+PDB!$C$1:$AT$1,0)),"")</f>
        <v>3.44</v>
      </c>
      <c r="I509" s="36">
        <f>8-8</f>
        <v>0</v>
      </c>
      <c r="J509" s="125">
        <f>IFERROR(Table1[[#This Row],[Quantity]]*Table1[[#This Row],[Price/Unit
EUR]]," ")</f>
        <v>0</v>
      </c>
      <c r="K509" s="126">
        <v>45838</v>
      </c>
      <c r="L509" s="36">
        <f>WEEKNUM(Table1[[#This Row],[ETA
As requested
dd.mm.yyyy]])</f>
        <v>27</v>
      </c>
      <c r="M509" s="36">
        <f>YEAR(Table1[[#This Row],[ETA
As requested
dd.mm.yyyy]])</f>
        <v>2025</v>
      </c>
      <c r="N509" s="36">
        <f>IFERROR(INDEX(DATABASE_FG!$H$5:$H$367, MATCH(E509, DATABASE_FG!$C$5:$C$367, 0)), " ")</f>
        <v>0</v>
      </c>
      <c r="O509" s="129" t="str">
        <f>IF(E509&lt;&gt;"", _xlfn.XLOOKUP(E509, DATABASE_FG!C:C, DATABASE_FG!F:F), " ")</f>
        <v>Alama</v>
      </c>
      <c r="P509" s="129">
        <v>0</v>
      </c>
      <c r="Q509" s="36"/>
      <c r="R509" s="125" t="s">
        <v>3105</v>
      </c>
      <c r="S509" s="123">
        <f>IFERROR(INDEX(DATABASE_FG!$L$5:$L$367, MATCH(E509, DATABASE_FG!$C$5:$C$367, 0)), " ")</f>
        <v>42</v>
      </c>
      <c r="T509" s="36" t="s">
        <v>679</v>
      </c>
      <c r="U509" s="36"/>
      <c r="V509" s="36"/>
      <c r="W509" s="129"/>
      <c r="X509" s="36"/>
      <c r="Y509" s="36"/>
      <c r="Z509" s="36"/>
      <c r="AA509" s="125" t="s">
        <v>121</v>
      </c>
      <c r="AB509" s="173">
        <v>45813</v>
      </c>
      <c r="AC509" s="119">
        <v>25885</v>
      </c>
      <c r="AD509" s="36">
        <f t="shared" si="65"/>
        <v>39454706</v>
      </c>
      <c r="AE509" s="36" t="str">
        <f t="shared" si="66"/>
        <v>EDP KUH.6316-A-M-3001 004</v>
      </c>
      <c r="AF509" s="36">
        <v>0</v>
      </c>
      <c r="AG509" s="120">
        <f t="shared" si="67"/>
        <v>0</v>
      </c>
      <c r="AH509" s="36">
        <v>8</v>
      </c>
      <c r="AI509" s="124"/>
      <c r="AJ509" s="122" t="s">
        <v>3347</v>
      </c>
      <c r="AK509" s="129" t="str">
        <f t="shared" ca="1" si="68"/>
        <v>On Time</v>
      </c>
      <c r="AL509" s="268" t="str">
        <f t="shared" si="69"/>
        <v>June</v>
      </c>
      <c r="AM509" s="133">
        <f>YEAR(Table1[[#This Row],[ETA
As requested
dd.mm.yyyy]])</f>
        <v>2025</v>
      </c>
    </row>
    <row r="510" spans="1:39" hidden="1">
      <c r="A510" s="123" t="s">
        <v>83</v>
      </c>
      <c r="B510" s="36" t="s">
        <v>1170</v>
      </c>
      <c r="C510" s="117">
        <v>39454706</v>
      </c>
      <c r="D510" s="165">
        <v>45821</v>
      </c>
      <c r="E510" s="117" t="s">
        <v>88</v>
      </c>
      <c r="F510" s="36" t="str">
        <f>IFERROR(VLOOKUP(Table1[[#This Row],[Part Number]],DATABASE_FG!$C$6:D10499,2,FALSE)," ")</f>
        <v>096287888-0000</v>
      </c>
      <c r="G510" s="117" t="str">
        <f>IFERROR(_xlfn.XLOOKUP(Table1[[#This Row],[Part Number]],Table3[Part number],Table3[Drawing
 Revision]),"")</f>
        <v>AA</v>
      </c>
      <c r="H510" s="118" cm="1">
        <f t="array" ref="H510">IFERROR(INDEX(PDB!$C:$AT,MATCH(E510,PDB!$B:$B,0),MATCH(YEAR(K510),0+PDB!$C$1:$AT$1,0)),"")</f>
        <v>3.44</v>
      </c>
      <c r="I510" s="36">
        <v>5</v>
      </c>
      <c r="J510" s="125">
        <f>IFERROR(Table1[[#This Row],[Quantity]]*Table1[[#This Row],[Price/Unit
EUR]]," ")</f>
        <v>17.2</v>
      </c>
      <c r="K510" s="126">
        <v>45838</v>
      </c>
      <c r="L510" s="36">
        <f>WEEKNUM(Table1[[#This Row],[ETA
As requested
dd.mm.yyyy]])</f>
        <v>27</v>
      </c>
      <c r="M510" s="36">
        <f>YEAR(Table1[[#This Row],[ETA
As requested
dd.mm.yyyy]])</f>
        <v>2025</v>
      </c>
      <c r="N510" s="36">
        <f>IFERROR(INDEX(DATABASE_FG!$H$5:$H$367, MATCH(E510, DATABASE_FG!$C$5:$C$367, 0)), " ")</f>
        <v>0</v>
      </c>
      <c r="O510" s="129" t="str">
        <f>IF(E510&lt;&gt;"", _xlfn.XLOOKUP(E510, DATABASE_FG!C:C, DATABASE_FG!F:F), " ")</f>
        <v>Alama</v>
      </c>
      <c r="P510" s="129">
        <v>0</v>
      </c>
      <c r="Q510" s="36"/>
      <c r="R510" s="125" t="s">
        <v>3105</v>
      </c>
      <c r="S510" s="123">
        <f>Table1[[#This Row],[Quantity]]/48</f>
        <v>0.10416666666666667</v>
      </c>
      <c r="T510" s="36" t="s">
        <v>679</v>
      </c>
      <c r="U510" s="36"/>
      <c r="V510" s="36"/>
      <c r="W510" s="129"/>
      <c r="X510" s="36"/>
      <c r="Y510" s="36"/>
      <c r="Z510" s="36"/>
      <c r="AA510" s="125" t="s">
        <v>121</v>
      </c>
      <c r="AB510" s="173">
        <v>45832</v>
      </c>
      <c r="AC510" s="119">
        <v>25984</v>
      </c>
      <c r="AD510" s="36">
        <f t="shared" si="65"/>
        <v>39454706</v>
      </c>
      <c r="AE510" s="36" t="str">
        <f t="shared" si="66"/>
        <v>EDP KUH.6316-A-M-3001 004</v>
      </c>
      <c r="AF510" s="36">
        <v>5</v>
      </c>
      <c r="AG510" s="120">
        <f t="shared" si="67"/>
        <v>17.2</v>
      </c>
      <c r="AH510" s="36"/>
      <c r="AI510" s="124" t="s">
        <v>3355</v>
      </c>
      <c r="AJ510" s="122" t="s">
        <v>3356</v>
      </c>
      <c r="AK510" s="129" t="str">
        <f t="shared" ca="1" si="68"/>
        <v>On Time</v>
      </c>
      <c r="AL510" s="268" t="str">
        <f t="shared" si="69"/>
        <v>June</v>
      </c>
      <c r="AM510" s="133">
        <f>YEAR(Table1[[#This Row],[ETA
As requested
dd.mm.yyyy]])</f>
        <v>2025</v>
      </c>
    </row>
    <row r="511" spans="1:39" hidden="1">
      <c r="A511" s="123" t="s">
        <v>83</v>
      </c>
      <c r="B511" s="36" t="s">
        <v>1170</v>
      </c>
      <c r="C511" s="117">
        <v>39454706</v>
      </c>
      <c r="D511" s="165">
        <v>45821</v>
      </c>
      <c r="E511" s="117" t="s">
        <v>88</v>
      </c>
      <c r="F511" s="36" t="str">
        <f>IFERROR(VLOOKUP(Table1[[#This Row],[Part Number]],DATABASE_FG!$C$6:D10500,2,FALSE)," ")</f>
        <v>096287888-0000</v>
      </c>
      <c r="G511" s="117" t="str">
        <f>IFERROR(_xlfn.XLOOKUP(Table1[[#This Row],[Part Number]],Table3[Part number],Table3[Drawing
 Revision]),"")</f>
        <v>AA</v>
      </c>
      <c r="H511" s="118" cm="1">
        <f t="array" ref="H511">IFERROR(INDEX(PDB!$C:$AT,MATCH(E511,PDB!$B:$B,0),MATCH(YEAR(K511),0+PDB!$C$1:$AT$1,0)),"")</f>
        <v>3.44</v>
      </c>
      <c r="I511" s="36">
        <v>126</v>
      </c>
      <c r="J511" s="125">
        <f>IFERROR(Table1[[#This Row],[Quantity]]*Table1[[#This Row],[Price/Unit
EUR]]," ")</f>
        <v>433.44</v>
      </c>
      <c r="K511" s="126">
        <v>45838</v>
      </c>
      <c r="L511" s="36">
        <f>WEEKNUM(Table1[[#This Row],[ETA
As requested
dd.mm.yyyy]])</f>
        <v>27</v>
      </c>
      <c r="M511" s="36">
        <f>YEAR(Table1[[#This Row],[ETA
As requested
dd.mm.yyyy]])</f>
        <v>2025</v>
      </c>
      <c r="N511" s="36">
        <f>IFERROR(INDEX(DATABASE_FG!$H$5:$H$367, MATCH(E511, DATABASE_FG!$C$5:$C$367, 0)), " ")</f>
        <v>0</v>
      </c>
      <c r="O511" s="129" t="str">
        <f>IF(E511&lt;&gt;"", _xlfn.XLOOKUP(E511, DATABASE_FG!C:C, DATABASE_FG!F:F), " ")</f>
        <v>Alama</v>
      </c>
      <c r="P511" s="129">
        <v>0</v>
      </c>
      <c r="Q511" s="36"/>
      <c r="R511" s="125" t="s">
        <v>3105</v>
      </c>
      <c r="S511" s="123">
        <f>Table1[[#This Row],[Quantity]]/48</f>
        <v>2.625</v>
      </c>
      <c r="T511" s="36" t="s">
        <v>679</v>
      </c>
      <c r="U511" s="36"/>
      <c r="V511" s="36"/>
      <c r="W511" s="129"/>
      <c r="X511" s="36"/>
      <c r="Y511" s="36"/>
      <c r="Z511" s="36"/>
      <c r="AA511" s="125" t="s">
        <v>121</v>
      </c>
      <c r="AB511" s="173">
        <v>45833</v>
      </c>
      <c r="AC511" s="119" t="s">
        <v>3357</v>
      </c>
      <c r="AD511" s="36">
        <f t="shared" si="65"/>
        <v>39454706</v>
      </c>
      <c r="AE511" s="36" t="str">
        <f t="shared" si="66"/>
        <v>EDP KUH.6316-A-M-3001 004</v>
      </c>
      <c r="AF511" s="36">
        <v>126</v>
      </c>
      <c r="AG511" s="120">
        <f t="shared" si="67"/>
        <v>433.44</v>
      </c>
      <c r="AH511" s="36"/>
      <c r="AI511" s="124" t="s">
        <v>3358</v>
      </c>
      <c r="AJ511" s="122" t="s">
        <v>3359</v>
      </c>
      <c r="AK511" s="129" t="str">
        <f t="shared" ca="1" si="68"/>
        <v>On Time</v>
      </c>
      <c r="AL511" s="268" t="str">
        <f t="shared" si="69"/>
        <v>June</v>
      </c>
      <c r="AM511" s="133">
        <f>YEAR(Table1[[#This Row],[ETA
As requested
dd.mm.yyyy]])</f>
        <v>2025</v>
      </c>
    </row>
    <row r="512" spans="1:39" hidden="1">
      <c r="A512" s="123" t="s">
        <v>83</v>
      </c>
      <c r="B512" s="36" t="s">
        <v>1170</v>
      </c>
      <c r="C512" s="117">
        <v>39454706</v>
      </c>
      <c r="D512" s="165">
        <v>45821</v>
      </c>
      <c r="E512" s="117" t="s">
        <v>88</v>
      </c>
      <c r="F512" s="36" t="str">
        <f>IFERROR(VLOOKUP(Table1[[#This Row],[Part Number]],DATABASE_FG!$C$6:D10501,2,FALSE)," ")</f>
        <v>096287888-0000</v>
      </c>
      <c r="G512" s="117" t="str">
        <f>IFERROR(_xlfn.XLOOKUP(Table1[[#This Row],[Part Number]],Table3[Part number],Table3[Drawing
 Revision]),"")</f>
        <v>AA</v>
      </c>
      <c r="H512" s="118" cm="1">
        <f t="array" ref="H512">IFERROR(INDEX(PDB!$C:$AT,MATCH(E512,PDB!$B:$B,0),MATCH(YEAR(K512),0+PDB!$C$1:$AT$1,0)),"")</f>
        <v>3.44</v>
      </c>
      <c r="I512" s="36">
        <v>140</v>
      </c>
      <c r="J512" s="125">
        <f>IFERROR(Table1[[#This Row],[Quantity]]*Table1[[#This Row],[Price/Unit
EUR]]," ")</f>
        <v>481.59999999999997</v>
      </c>
      <c r="K512" s="126">
        <v>45838</v>
      </c>
      <c r="L512" s="36">
        <f>WEEKNUM(Table1[[#This Row],[ETA
As requested
dd.mm.yyyy]])</f>
        <v>27</v>
      </c>
      <c r="M512" s="36">
        <f>YEAR(Table1[[#This Row],[ETA
As requested
dd.mm.yyyy]])</f>
        <v>2025</v>
      </c>
      <c r="N512" s="36">
        <f>IFERROR(INDEX(DATABASE_FG!$H$5:$H$367, MATCH(E512, DATABASE_FG!$C$5:$C$367, 0)), " ")</f>
        <v>0</v>
      </c>
      <c r="O512" s="129" t="str">
        <f>IF(E512&lt;&gt;"", _xlfn.XLOOKUP(E512, DATABASE_FG!C:C, DATABASE_FG!F:F), " ")</f>
        <v>Alama</v>
      </c>
      <c r="P512" s="129">
        <v>0</v>
      </c>
      <c r="Q512" s="36"/>
      <c r="R512" s="125" t="s">
        <v>3105</v>
      </c>
      <c r="S512" s="123">
        <f>Table1[[#This Row],[Quantity]]/48</f>
        <v>2.9166666666666665</v>
      </c>
      <c r="T512" s="36" t="s">
        <v>679</v>
      </c>
      <c r="U512" s="36"/>
      <c r="V512" s="36"/>
      <c r="W512" s="129"/>
      <c r="X512" s="36"/>
      <c r="Y512" s="36"/>
      <c r="Z512" s="36"/>
      <c r="AA512" s="125" t="s">
        <v>121</v>
      </c>
      <c r="AB512" s="173">
        <v>45834</v>
      </c>
      <c r="AC512" s="119" t="s">
        <v>3362</v>
      </c>
      <c r="AD512" s="36">
        <f t="shared" si="65"/>
        <v>39454706</v>
      </c>
      <c r="AE512" s="36" t="str">
        <f t="shared" si="66"/>
        <v>EDP KUH.6316-A-M-3001 004</v>
      </c>
      <c r="AF512" s="36">
        <v>140</v>
      </c>
      <c r="AG512" s="120">
        <f t="shared" si="67"/>
        <v>481.59999999999997</v>
      </c>
      <c r="AH512" s="36"/>
      <c r="AI512" s="124" t="s">
        <v>3358</v>
      </c>
      <c r="AJ512" s="122" t="s">
        <v>3363</v>
      </c>
      <c r="AK512" s="129" t="str">
        <f t="shared" ca="1" si="68"/>
        <v>On Time</v>
      </c>
      <c r="AL512" s="268" t="str">
        <f t="shared" si="69"/>
        <v>June</v>
      </c>
      <c r="AM512" s="133">
        <f>YEAR(Table1[[#This Row],[ETA
As requested
dd.mm.yyyy]])</f>
        <v>2025</v>
      </c>
    </row>
    <row r="513" spans="1:40" hidden="1">
      <c r="A513" s="123" t="s">
        <v>83</v>
      </c>
      <c r="B513" s="36" t="s">
        <v>1170</v>
      </c>
      <c r="C513" s="117">
        <v>39454706</v>
      </c>
      <c r="D513" s="165">
        <v>45821</v>
      </c>
      <c r="E513" s="117" t="s">
        <v>88</v>
      </c>
      <c r="F513" s="36" t="str">
        <f>IFERROR(VLOOKUP(Table1[[#This Row],[Part Number]],DATABASE_FG!$C$6:D10502,2,FALSE)," ")</f>
        <v>096287888-0000</v>
      </c>
      <c r="G513" s="117" t="str">
        <f>IFERROR(_xlfn.XLOOKUP(Table1[[#This Row],[Part Number]],Table3[Part number],Table3[Drawing
 Revision]),"")</f>
        <v>AA</v>
      </c>
      <c r="H513" s="118" cm="1">
        <f t="array" ref="H513">IFERROR(INDEX(PDB!$C:$AT,MATCH(E513,PDB!$B:$B,0),MATCH(YEAR(K513),0+PDB!$C$1:$AT$1,0)),"")</f>
        <v>3.44</v>
      </c>
      <c r="I513" s="36">
        <v>671</v>
      </c>
      <c r="J513" s="125">
        <f>IFERROR(Table1[[#This Row],[Quantity]]*Table1[[#This Row],[Price/Unit
EUR]]," ")</f>
        <v>2308.2399999999998</v>
      </c>
      <c r="K513" s="126">
        <v>45838</v>
      </c>
      <c r="L513" s="36">
        <f>WEEKNUM(Table1[[#This Row],[ETA
As requested
dd.mm.yyyy]])</f>
        <v>27</v>
      </c>
      <c r="M513" s="36">
        <f>YEAR(Table1[[#This Row],[ETA
As requested
dd.mm.yyyy]])</f>
        <v>2025</v>
      </c>
      <c r="N513" s="36">
        <f>IFERROR(INDEX(DATABASE_FG!$H$5:$H$367, MATCH(E513, DATABASE_FG!$C$5:$C$367, 0)), " ")</f>
        <v>0</v>
      </c>
      <c r="O513" s="129" t="str">
        <f>IF(E513&lt;&gt;"", _xlfn.XLOOKUP(E513, DATABASE_FG!C:C, DATABASE_FG!F:F), " ")</f>
        <v>Alama</v>
      </c>
      <c r="P513" s="129">
        <v>0</v>
      </c>
      <c r="Q513" s="36"/>
      <c r="R513" s="125" t="s">
        <v>3105</v>
      </c>
      <c r="S513" s="123">
        <f>Table1[[#This Row],[Quantity]]/48</f>
        <v>13.979166666666666</v>
      </c>
      <c r="T513" s="36" t="s">
        <v>679</v>
      </c>
      <c r="U513" s="36"/>
      <c r="V513" s="36"/>
      <c r="W513" s="129"/>
      <c r="X513" s="36"/>
      <c r="Y513" s="36"/>
      <c r="Z513" s="36"/>
      <c r="AA513" s="125" t="s">
        <v>121</v>
      </c>
      <c r="AB513" s="173">
        <v>45853</v>
      </c>
      <c r="AC513" s="119" t="s">
        <v>3382</v>
      </c>
      <c r="AD513" s="36">
        <f t="shared" si="65"/>
        <v>39454706</v>
      </c>
      <c r="AE513" s="36" t="str">
        <f t="shared" si="66"/>
        <v>EDP KUH.6316-A-M-3001 004</v>
      </c>
      <c r="AF513" s="36">
        <v>671</v>
      </c>
      <c r="AG513" s="120">
        <f t="shared" si="67"/>
        <v>2308.2399999999998</v>
      </c>
      <c r="AH513" s="36"/>
      <c r="AI513" s="124"/>
      <c r="AJ513" s="122" t="s">
        <v>3383</v>
      </c>
      <c r="AK513" s="129" t="str">
        <f t="shared" ca="1" si="68"/>
        <v>Late</v>
      </c>
      <c r="AL513" s="268" t="str">
        <f t="shared" si="69"/>
        <v>June</v>
      </c>
      <c r="AM513" s="133">
        <f>YEAR(Table1[[#This Row],[ETA
As requested
dd.mm.yyyy]])</f>
        <v>2025</v>
      </c>
    </row>
    <row r="514" spans="1:40" ht="30" hidden="1">
      <c r="A514" s="123" t="s">
        <v>83</v>
      </c>
      <c r="B514" s="36" t="s">
        <v>1170</v>
      </c>
      <c r="C514" s="117">
        <v>39454706</v>
      </c>
      <c r="D514" s="165">
        <v>45821</v>
      </c>
      <c r="E514" s="117" t="s">
        <v>88</v>
      </c>
      <c r="F514" s="36" t="str">
        <f>IFERROR(VLOOKUP(Table1[[#This Row],[Part Number]],DATABASE_FG!$C$6:D10503,2,FALSE)," ")</f>
        <v>096287888-0000</v>
      </c>
      <c r="G514" s="117" t="str">
        <f>IFERROR(_xlfn.XLOOKUP(Table1[[#This Row],[Part Number]],Table3[Part number],Table3[Drawing
 Revision]),"")</f>
        <v>AA</v>
      </c>
      <c r="H514" s="118" cm="1">
        <f t="array" ref="H514">IFERROR(INDEX(PDB!$C:$AT,MATCH(E514,PDB!$B:$B,0),MATCH(YEAR(K514),0+PDB!$C$1:$AT$1,0)),"")</f>
        <v>3.44</v>
      </c>
      <c r="I514" s="207">
        <f>991-126-140-5-671</f>
        <v>49</v>
      </c>
      <c r="J514" s="125">
        <f>IFERROR(Table1[[#This Row],[Quantity]]*Table1[[#This Row],[Price/Unit
EUR]]," ")</f>
        <v>168.56</v>
      </c>
      <c r="K514" s="126">
        <v>45838</v>
      </c>
      <c r="L514" s="36">
        <f>WEEKNUM(Table1[[#This Row],[ETA
As requested
dd.mm.yyyy]])</f>
        <v>27</v>
      </c>
      <c r="M514" s="36">
        <f>YEAR(Table1[[#This Row],[ETA
As requested
dd.mm.yyyy]])</f>
        <v>2025</v>
      </c>
      <c r="N514" s="36">
        <f>IFERROR(INDEX(DATABASE_FG!$H$5:$H$367, MATCH(E514, DATABASE_FG!$C$5:$C$367, 0)), " ")</f>
        <v>0</v>
      </c>
      <c r="O514" s="129" t="str">
        <f>IF(E514&lt;&gt;"", _xlfn.XLOOKUP(E514, DATABASE_FG!C:C, DATABASE_FG!F:F), " ")</f>
        <v>Alama</v>
      </c>
      <c r="P514" s="129">
        <v>0</v>
      </c>
      <c r="Q514" s="36"/>
      <c r="R514" s="125" t="s">
        <v>3105</v>
      </c>
      <c r="S514" s="123">
        <f>Table1[[#This Row],[Quantity]]/48</f>
        <v>1.0208333333333333</v>
      </c>
      <c r="T514" s="36" t="s">
        <v>679</v>
      </c>
      <c r="U514" s="36"/>
      <c r="V514" s="36"/>
      <c r="W514" s="129"/>
      <c r="X514" s="36"/>
      <c r="Y514" s="36"/>
      <c r="Z514" s="36"/>
      <c r="AA514" s="125" t="s">
        <v>121</v>
      </c>
      <c r="AB514" s="173">
        <v>45866</v>
      </c>
      <c r="AC514" s="226" t="s">
        <v>3384</v>
      </c>
      <c r="AD514" s="36">
        <f t="shared" si="65"/>
        <v>39454706</v>
      </c>
      <c r="AE514" s="36" t="str">
        <f t="shared" si="66"/>
        <v>EDP KUH.6316-A-M-3001 004</v>
      </c>
      <c r="AF514" s="36"/>
      <c r="AG514" s="120">
        <f t="shared" si="67"/>
        <v>0</v>
      </c>
      <c r="AH514" s="36">
        <v>34</v>
      </c>
      <c r="AI514" s="124" t="s">
        <v>3385</v>
      </c>
      <c r="AJ514" s="122" t="s">
        <v>3386</v>
      </c>
      <c r="AK514" s="129" t="str">
        <f t="shared" ca="1" si="68"/>
        <v>Late</v>
      </c>
      <c r="AL514" s="268" t="str">
        <f t="shared" si="69"/>
        <v>June</v>
      </c>
      <c r="AM514" s="133">
        <f>YEAR(Table1[[#This Row],[ETA
As requested
dd.mm.yyyy]])</f>
        <v>2025</v>
      </c>
    </row>
    <row r="515" spans="1:40" hidden="1">
      <c r="A515" s="123" t="s">
        <v>83</v>
      </c>
      <c r="B515" s="36" t="s">
        <v>1170</v>
      </c>
      <c r="C515" s="117">
        <v>39454706</v>
      </c>
      <c r="D515" s="165">
        <v>45821</v>
      </c>
      <c r="E515" s="117" t="s">
        <v>88</v>
      </c>
      <c r="F515" s="36" t="str">
        <f>IFERROR(VLOOKUP(Table1[[#This Row],[Part Number]],DATABASE_FG!$C$6:D10504,2,FALSE)," ")</f>
        <v>096287888-0000</v>
      </c>
      <c r="G515" s="117" t="str">
        <f>IFERROR(_xlfn.XLOOKUP(Table1[[#This Row],[Part Number]],Table3[Part number],Table3[Drawing
 Revision]),"")</f>
        <v>AA</v>
      </c>
      <c r="H515" s="118" cm="1">
        <f t="array" ref="H515">IFERROR(INDEX(PDB!$C:$AT,MATCH(E515,PDB!$B:$B,0),MATCH(YEAR(K515),0+PDB!$C$1:$AT$1,0)),"")</f>
        <v>3.44</v>
      </c>
      <c r="I515" s="36">
        <v>0</v>
      </c>
      <c r="J515" s="125">
        <f>IFERROR(Table1[[#This Row],[Quantity]]*Table1[[#This Row],[Price/Unit
EUR]]," ")</f>
        <v>0</v>
      </c>
      <c r="K515" s="126">
        <v>45838</v>
      </c>
      <c r="L515" s="36">
        <f>WEEKNUM(Table1[[#This Row],[ETA
As requested
dd.mm.yyyy]])</f>
        <v>27</v>
      </c>
      <c r="M515" s="36">
        <f>YEAR(Table1[[#This Row],[ETA
As requested
dd.mm.yyyy]])</f>
        <v>2025</v>
      </c>
      <c r="N515" s="36">
        <f>IFERROR(INDEX(DATABASE_FG!$H$5:$H$367, MATCH(E515, DATABASE_FG!$C$5:$C$367, 0)), " ")</f>
        <v>0</v>
      </c>
      <c r="O515" s="129" t="str">
        <f>IF(E515&lt;&gt;"", _xlfn.XLOOKUP(E515, DATABASE_FG!C:C, DATABASE_FG!F:F), " ")</f>
        <v>Alama</v>
      </c>
      <c r="P515" s="129">
        <v>0</v>
      </c>
      <c r="Q515" s="36"/>
      <c r="R515" s="125" t="s">
        <v>3105</v>
      </c>
      <c r="S515" s="123">
        <f>IFERROR(INDEX(DATABASE_FG!$L$5:$L$367, MATCH(E515, DATABASE_FG!$C$5:$C$367, 0)), " ")</f>
        <v>42</v>
      </c>
      <c r="T515" s="36" t="s">
        <v>679</v>
      </c>
      <c r="U515" s="36"/>
      <c r="V515" s="36"/>
      <c r="W515" s="129"/>
      <c r="X515" s="36"/>
      <c r="Y515" s="36"/>
      <c r="Z515" s="36"/>
      <c r="AA515" s="125" t="s">
        <v>121</v>
      </c>
      <c r="AB515" s="173"/>
      <c r="AC515" s="119"/>
      <c r="AD515" s="36" t="str">
        <f t="shared" si="65"/>
        <v/>
      </c>
      <c r="AE515" s="36" t="str">
        <f t="shared" si="66"/>
        <v/>
      </c>
      <c r="AF515" s="36"/>
      <c r="AG515" s="120">
        <f t="shared" si="67"/>
        <v>0</v>
      </c>
      <c r="AH515" s="36"/>
      <c r="AI515" s="124"/>
      <c r="AJ515" s="122"/>
      <c r="AK515" s="129" t="str">
        <f t="shared" ca="1" si="68"/>
        <v>Late</v>
      </c>
      <c r="AL515" s="268" t="str">
        <f t="shared" si="69"/>
        <v>June</v>
      </c>
      <c r="AM515" s="133">
        <f>YEAR(Table1[[#This Row],[ETA
As requested
dd.mm.yyyy]])</f>
        <v>2025</v>
      </c>
    </row>
    <row r="516" spans="1:40" hidden="1">
      <c r="A516" s="123" t="s">
        <v>83</v>
      </c>
      <c r="B516" s="36" t="s">
        <v>1170</v>
      </c>
      <c r="C516" s="117">
        <v>39659110</v>
      </c>
      <c r="D516" s="165">
        <v>45848</v>
      </c>
      <c r="E516" s="117" t="s">
        <v>88</v>
      </c>
      <c r="F516" s="36" t="str">
        <f>IFERROR(VLOOKUP(Table1[[#This Row],[Part Number]],DATABASE_FG!$C$6:D10505,2,FALSE)," ")</f>
        <v>096287888-0000</v>
      </c>
      <c r="G516" s="117" t="str">
        <f>IFERROR(_xlfn.XLOOKUP(Table1[[#This Row],[Part Number]],Table3[Part number],Table3[Drawing
 Revision]),"")</f>
        <v>AA</v>
      </c>
      <c r="H516" s="118" cm="1">
        <f t="array" ref="H516">IFERROR(INDEX(PDB!$C:$AT,MATCH(E516,PDB!$B:$B,0),MATCH(YEAR(K516),0+PDB!$C$1:$AT$1,0)),"")</f>
        <v>3.44</v>
      </c>
      <c r="I516" s="36">
        <v>5</v>
      </c>
      <c r="J516" s="125">
        <f>IFERROR(Table1[[#This Row],[Quantity]]*Table1[[#This Row],[Price/Unit
EUR]]," ")</f>
        <v>17.2</v>
      </c>
      <c r="K516" s="126">
        <v>45848</v>
      </c>
      <c r="L516" s="36">
        <f>WEEKNUM(Table1[[#This Row],[ETA
As requested
dd.mm.yyyy]])</f>
        <v>28</v>
      </c>
      <c r="M516" s="36">
        <f>YEAR(Table1[[#This Row],[ETA
As requested
dd.mm.yyyy]])</f>
        <v>2025</v>
      </c>
      <c r="N516" s="36">
        <f>IFERROR(INDEX(DATABASE_FG!$H$5:$H$367, MATCH(E516, DATABASE_FG!$C$5:$C$367, 0)), " ")</f>
        <v>0</v>
      </c>
      <c r="O516" s="129" t="str">
        <f>IF(E516&lt;&gt;"", _xlfn.XLOOKUP(E516, DATABASE_FG!C:C, DATABASE_FG!F:F), " ")</f>
        <v>Alama</v>
      </c>
      <c r="P516" s="129">
        <v>0</v>
      </c>
      <c r="Q516" s="36"/>
      <c r="R516" s="125" t="s">
        <v>3105</v>
      </c>
      <c r="S516" s="123">
        <f>Table1[[#This Row],[Quantity]]/48</f>
        <v>0.10416666666666667</v>
      </c>
      <c r="T516" s="36"/>
      <c r="U516" s="36"/>
      <c r="V516" s="36"/>
      <c r="W516" s="129"/>
      <c r="X516" s="36"/>
      <c r="Y516" s="36"/>
      <c r="Z516" s="36"/>
      <c r="AA516" s="125" t="s">
        <v>121</v>
      </c>
      <c r="AB516" s="173">
        <v>45848</v>
      </c>
      <c r="AC516" s="119" t="s">
        <v>3411</v>
      </c>
      <c r="AD516" s="36">
        <f t="shared" si="65"/>
        <v>39659110</v>
      </c>
      <c r="AE516" s="36" t="str">
        <f t="shared" si="66"/>
        <v>EDP KUH.6316-A-M-3001 004</v>
      </c>
      <c r="AF516" s="36">
        <v>5</v>
      </c>
      <c r="AG516" s="120">
        <f t="shared" si="67"/>
        <v>17.2</v>
      </c>
      <c r="AH516" s="36"/>
      <c r="AI516" s="124"/>
      <c r="AJ516" s="122" t="s">
        <v>3412</v>
      </c>
      <c r="AK516" s="129" t="str">
        <f t="shared" ca="1" si="68"/>
        <v>On Time</v>
      </c>
      <c r="AL516" s="268" t="str">
        <f t="shared" si="69"/>
        <v>July</v>
      </c>
      <c r="AM516" s="133">
        <f>YEAR(Table1[[#This Row],[ETA
As requested
dd.mm.yyyy]])</f>
        <v>2025</v>
      </c>
    </row>
    <row r="517" spans="1:40" hidden="1">
      <c r="A517" s="123" t="s">
        <v>83</v>
      </c>
      <c r="B517" s="36" t="s">
        <v>1170</v>
      </c>
      <c r="C517" s="117">
        <v>39852082</v>
      </c>
      <c r="D517" s="165">
        <v>45821</v>
      </c>
      <c r="E517" s="117" t="s">
        <v>88</v>
      </c>
      <c r="F517" s="36" t="str">
        <f>IFERROR(VLOOKUP(Table1[[#This Row],[Part Number]],DATABASE_FG!$C$6:D10506,2,FALSE)," ")</f>
        <v>096287888-0000</v>
      </c>
      <c r="G517" s="117" t="str">
        <f>IFERROR(_xlfn.XLOOKUP(Table1[[#This Row],[Part Number]],Table3[Part number],Table3[Drawing
 Revision]),"")</f>
        <v>AA</v>
      </c>
      <c r="H517" s="118" cm="1">
        <f t="array" ref="H517">IFERROR(INDEX(PDB!$C:$AT,MATCH(E517,PDB!$B:$B,0),MATCH(YEAR(K517),0+PDB!$C$1:$AT$1,0)),"")</f>
        <v>3.44</v>
      </c>
      <c r="I517" s="36">
        <v>102</v>
      </c>
      <c r="J517" s="125">
        <f>IFERROR(Table1[[#This Row],[Quantity]]*Table1[[#This Row],[Price/Unit
EUR]]," ")</f>
        <v>350.88</v>
      </c>
      <c r="K517" s="126">
        <v>45887</v>
      </c>
      <c r="L517" s="36">
        <f>WEEKNUM(Table1[[#This Row],[ETA
As requested
dd.mm.yyyy]])</f>
        <v>34</v>
      </c>
      <c r="M517" s="36">
        <f>YEAR(Table1[[#This Row],[ETA
As requested
dd.mm.yyyy]])</f>
        <v>2025</v>
      </c>
      <c r="N517" s="36">
        <f>IFERROR(INDEX(DATABASE_FG!$H$5:$H$367, MATCH(E517, DATABASE_FG!$C$5:$C$367, 0)), " ")</f>
        <v>0</v>
      </c>
      <c r="O517" s="129" t="str">
        <f>IF(E517&lt;&gt;"", _xlfn.XLOOKUP(E517, DATABASE_FG!C:C, DATABASE_FG!F:F), " ")</f>
        <v>Alama</v>
      </c>
      <c r="P517" s="129">
        <v>0</v>
      </c>
      <c r="Q517" s="36"/>
      <c r="R517" s="125" t="s">
        <v>3105</v>
      </c>
      <c r="S517" s="123">
        <f>Table1[[#This Row],[Quantity]]/48</f>
        <v>2.125</v>
      </c>
      <c r="T517" s="36" t="s">
        <v>679</v>
      </c>
      <c r="U517" s="36"/>
      <c r="V517" s="36"/>
      <c r="W517" s="129"/>
      <c r="X517" s="36"/>
      <c r="Y517" s="36"/>
      <c r="Z517" s="36"/>
      <c r="AA517" s="125" t="s">
        <v>121</v>
      </c>
      <c r="AB517" s="173">
        <v>45880</v>
      </c>
      <c r="AC517" s="119" t="s">
        <v>3560</v>
      </c>
      <c r="AD517" s="36">
        <f t="shared" si="65"/>
        <v>39852082</v>
      </c>
      <c r="AE517" s="36" t="str">
        <f t="shared" si="66"/>
        <v>EDP KUH.6316-A-M-3001 004</v>
      </c>
      <c r="AF517" s="36">
        <v>102</v>
      </c>
      <c r="AG517" s="120">
        <f t="shared" si="67"/>
        <v>350.88</v>
      </c>
      <c r="AH517" s="36"/>
      <c r="AI517" s="124"/>
      <c r="AJ517" s="122" t="s">
        <v>3561</v>
      </c>
      <c r="AK517" s="129" t="str">
        <f t="shared" ca="1" si="68"/>
        <v>On Time</v>
      </c>
      <c r="AL517" s="268" t="str">
        <f t="shared" si="69"/>
        <v>August</v>
      </c>
      <c r="AM517" s="133">
        <f>YEAR(Table1[[#This Row],[ETA
As requested
dd.mm.yyyy]])</f>
        <v>2025</v>
      </c>
    </row>
    <row r="518" spans="1:40" hidden="1">
      <c r="A518" s="123" t="s">
        <v>83</v>
      </c>
      <c r="B518" s="36" t="s">
        <v>1170</v>
      </c>
      <c r="C518" s="117">
        <v>39852082</v>
      </c>
      <c r="D518" s="165">
        <v>45821</v>
      </c>
      <c r="E518" s="117" t="s">
        <v>88</v>
      </c>
      <c r="F518" s="36" t="str">
        <f>IFERROR(VLOOKUP(Table1[[#This Row],[Part Number]],DATABASE_FG!$C$6:D10507,2,FALSE)," ")</f>
        <v>096287888-0000</v>
      </c>
      <c r="G518" s="117" t="str">
        <f>IFERROR(_xlfn.XLOOKUP(Table1[[#This Row],[Part Number]],Table3[Part number],Table3[Drawing
 Revision]),"")</f>
        <v>AA</v>
      </c>
      <c r="H518" s="118" cm="1">
        <f t="array" ref="H518">IFERROR(INDEX(PDB!$C:$AT,MATCH(E518,PDB!$B:$B,0),MATCH(YEAR(K518),0+PDB!$C$1:$AT$1,0)),"")</f>
        <v>3.44</v>
      </c>
      <c r="I518" s="36">
        <v>72</v>
      </c>
      <c r="J518" s="125">
        <f>IFERROR(Table1[[#This Row],[Quantity]]*Table1[[#This Row],[Price/Unit
EUR]]," ")</f>
        <v>247.68</v>
      </c>
      <c r="K518" s="126">
        <v>45887</v>
      </c>
      <c r="L518" s="36">
        <f>WEEKNUM(Table1[[#This Row],[ETA
As requested
dd.mm.yyyy]])</f>
        <v>34</v>
      </c>
      <c r="M518" s="36">
        <f>YEAR(Table1[[#This Row],[ETA
As requested
dd.mm.yyyy]])</f>
        <v>2025</v>
      </c>
      <c r="N518" s="36">
        <f>IFERROR(INDEX(DATABASE_FG!$H$5:$H$367, MATCH(E518, DATABASE_FG!$C$5:$C$367, 0)), " ")</f>
        <v>0</v>
      </c>
      <c r="O518" s="129" t="str">
        <f>IF(E518&lt;&gt;"", _xlfn.XLOOKUP(E518, DATABASE_FG!C:C, DATABASE_FG!F:F), " ")</f>
        <v>Alama</v>
      </c>
      <c r="P518" s="129">
        <v>0</v>
      </c>
      <c r="Q518" s="36"/>
      <c r="R518" s="125" t="s">
        <v>3105</v>
      </c>
      <c r="S518" s="123">
        <f>Table1[[#This Row],[Quantity]]/48</f>
        <v>1.5</v>
      </c>
      <c r="T518" s="36" t="s">
        <v>679</v>
      </c>
      <c r="U518" s="36"/>
      <c r="V518" s="36"/>
      <c r="W518" s="129"/>
      <c r="X518" s="36"/>
      <c r="Y518" s="36"/>
      <c r="Z518" s="36"/>
      <c r="AA518" s="125" t="s">
        <v>121</v>
      </c>
      <c r="AB518" s="173">
        <v>45881</v>
      </c>
      <c r="AC518" s="119" t="s">
        <v>3562</v>
      </c>
      <c r="AD518" s="36">
        <f t="shared" si="65"/>
        <v>39852082</v>
      </c>
      <c r="AE518" s="36" t="str">
        <f t="shared" si="66"/>
        <v>EDP KUH.6316-A-M-3001 004</v>
      </c>
      <c r="AF518" s="36">
        <v>72</v>
      </c>
      <c r="AG518" s="120">
        <f t="shared" si="67"/>
        <v>247.68</v>
      </c>
      <c r="AH518" s="36"/>
      <c r="AI518" s="124"/>
      <c r="AJ518" s="122" t="s">
        <v>3563</v>
      </c>
      <c r="AK518" s="129" t="str">
        <f t="shared" ca="1" si="68"/>
        <v>On Time</v>
      </c>
      <c r="AL518" s="268" t="str">
        <f t="shared" si="69"/>
        <v>August</v>
      </c>
      <c r="AM518" s="133">
        <f>YEAR(Table1[[#This Row],[ETA
As requested
dd.mm.yyyy]])</f>
        <v>2025</v>
      </c>
    </row>
    <row r="519" spans="1:40" hidden="1">
      <c r="A519" s="123" t="s">
        <v>83</v>
      </c>
      <c r="B519" s="36" t="s">
        <v>1170</v>
      </c>
      <c r="C519" s="117">
        <v>39839923</v>
      </c>
      <c r="D519" s="165">
        <v>45821</v>
      </c>
      <c r="E519" s="117" t="s">
        <v>88</v>
      </c>
      <c r="F519" s="36" t="str">
        <f>IFERROR(VLOOKUP(Table1[[#This Row],[Part Number]],DATABASE_FG!$C$6:D10508,2,FALSE)," ")</f>
        <v>096287888-0000</v>
      </c>
      <c r="G519" s="117" t="str">
        <f>IFERROR(_xlfn.XLOOKUP(Table1[[#This Row],[Part Number]],Table3[Part number],Table3[Drawing
 Revision]),"")</f>
        <v>AA</v>
      </c>
      <c r="H519" s="118" cm="1">
        <f t="array" ref="H519">IFERROR(INDEX(PDB!$C:$AT,MATCH(E519,PDB!$B:$B,0),MATCH(YEAR(K519),0+PDB!$C$1:$AT$1,0)),"")</f>
        <v>3.44</v>
      </c>
      <c r="I519" s="36">
        <v>52</v>
      </c>
      <c r="J519" s="125">
        <f>IFERROR(Table1[[#This Row],[Quantity]]*Table1[[#This Row],[Price/Unit
EUR]]," ")</f>
        <v>178.88</v>
      </c>
      <c r="K519" s="126">
        <v>45887</v>
      </c>
      <c r="L519" s="36">
        <f>WEEKNUM(Table1[[#This Row],[ETA
As requested
dd.mm.yyyy]])</f>
        <v>34</v>
      </c>
      <c r="M519" s="36">
        <f>YEAR(Table1[[#This Row],[ETA
As requested
dd.mm.yyyy]])</f>
        <v>2025</v>
      </c>
      <c r="N519" s="36">
        <f>IFERROR(INDEX(DATABASE_FG!$H$5:$H$367, MATCH(E519, DATABASE_FG!$C$5:$C$367, 0)), " ")</f>
        <v>0</v>
      </c>
      <c r="O519" s="129" t="str">
        <f>IF(E519&lt;&gt;"", _xlfn.XLOOKUP(E519, DATABASE_FG!C:C, DATABASE_FG!F:F), " ")</f>
        <v>Alama</v>
      </c>
      <c r="P519" s="129">
        <v>0</v>
      </c>
      <c r="Q519" s="36"/>
      <c r="R519" s="125" t="s">
        <v>3105</v>
      </c>
      <c r="S519" s="123">
        <f>Table1[[#This Row],[Quantity]]/48</f>
        <v>1.0833333333333333</v>
      </c>
      <c r="T519" s="36" t="s">
        <v>679</v>
      </c>
      <c r="U519" s="36"/>
      <c r="V519" s="36"/>
      <c r="W519" s="129"/>
      <c r="X519" s="36"/>
      <c r="Y519" s="36"/>
      <c r="Z519" s="36"/>
      <c r="AA519" s="125" t="s">
        <v>121</v>
      </c>
      <c r="AB519" s="173">
        <v>45882</v>
      </c>
      <c r="AC519" s="119" t="s">
        <v>3564</v>
      </c>
      <c r="AD519" s="36">
        <f t="shared" si="65"/>
        <v>39839923</v>
      </c>
      <c r="AE519" s="36" t="str">
        <f t="shared" si="66"/>
        <v>EDP KUH.6316-A-M-3001 004</v>
      </c>
      <c r="AF519" s="36">
        <v>52</v>
      </c>
      <c r="AG519" s="120">
        <f t="shared" si="67"/>
        <v>178.88</v>
      </c>
      <c r="AH519" s="36"/>
      <c r="AI519" s="124"/>
      <c r="AJ519" s="122" t="s">
        <v>3565</v>
      </c>
      <c r="AK519" s="129" t="str">
        <f t="shared" ca="1" si="68"/>
        <v>On Time</v>
      </c>
      <c r="AL519" s="268" t="str">
        <f t="shared" si="69"/>
        <v>August</v>
      </c>
      <c r="AM519" s="133">
        <f>YEAR(Table1[[#This Row],[ETA
As requested
dd.mm.yyyy]])</f>
        <v>2025</v>
      </c>
    </row>
    <row r="520" spans="1:40" hidden="1">
      <c r="A520" s="123" t="s">
        <v>83</v>
      </c>
      <c r="B520" s="36" t="s">
        <v>1170</v>
      </c>
      <c r="C520" s="117">
        <v>39852082</v>
      </c>
      <c r="D520" s="165">
        <v>45821</v>
      </c>
      <c r="E520" s="117" t="s">
        <v>88</v>
      </c>
      <c r="F520" s="36" t="str">
        <f>IFERROR(VLOOKUP(Table1[[#This Row],[Part Number]],DATABASE_FG!$C$6:D10509,2,FALSE)," ")</f>
        <v>096287888-0000</v>
      </c>
      <c r="G520" s="117" t="str">
        <f>IFERROR(_xlfn.XLOOKUP(Table1[[#This Row],[Part Number]],Table3[Part number],Table3[Drawing
 Revision]),"")</f>
        <v>AA</v>
      </c>
      <c r="H520" s="118" cm="1">
        <f t="array" ref="H520">IFERROR(INDEX(PDB!$C:$AT,MATCH(E520,PDB!$B:$B,0),MATCH(YEAR(K520),0+PDB!$C$1:$AT$1,0)),"")</f>
        <v>3.44</v>
      </c>
      <c r="I520" s="36">
        <f>266-102-72</f>
        <v>92</v>
      </c>
      <c r="J520" s="125">
        <f>IFERROR(Table1[[#This Row],[Quantity]]*Table1[[#This Row],[Price/Unit
EUR]]," ")</f>
        <v>316.48</v>
      </c>
      <c r="K520" s="126">
        <v>45887</v>
      </c>
      <c r="L520" s="36">
        <f>WEEKNUM(Table1[[#This Row],[ETA
As requested
dd.mm.yyyy]])</f>
        <v>34</v>
      </c>
      <c r="M520" s="36">
        <f>YEAR(Table1[[#This Row],[ETA
As requested
dd.mm.yyyy]])</f>
        <v>2025</v>
      </c>
      <c r="N520" s="36">
        <f>IFERROR(INDEX(DATABASE_FG!$H$5:$H$367, MATCH(E520, DATABASE_FG!$C$5:$C$367, 0)), " ")</f>
        <v>0</v>
      </c>
      <c r="O520" s="129" t="str">
        <f>IF(E520&lt;&gt;"", _xlfn.XLOOKUP(E520, DATABASE_FG!C:C, DATABASE_FG!F:F), " ")</f>
        <v>Alama</v>
      </c>
      <c r="P520" s="129">
        <v>0</v>
      </c>
      <c r="Q520" s="36"/>
      <c r="R520" s="125" t="s">
        <v>3105</v>
      </c>
      <c r="S520" s="123">
        <f>Table1[[#This Row],[Quantity]]/48</f>
        <v>1.9166666666666667</v>
      </c>
      <c r="T520" s="36" t="s">
        <v>679</v>
      </c>
      <c r="U520" s="36"/>
      <c r="V520" s="36"/>
      <c r="W520" s="129"/>
      <c r="X520" s="36"/>
      <c r="Y520" s="36"/>
      <c r="Z520" s="36"/>
      <c r="AA520" s="125" t="s">
        <v>121</v>
      </c>
      <c r="AB520" s="173">
        <v>45882</v>
      </c>
      <c r="AC520" s="119" t="s">
        <v>3566</v>
      </c>
      <c r="AD520" s="36">
        <f t="shared" si="65"/>
        <v>39852082</v>
      </c>
      <c r="AE520" s="36" t="str">
        <f t="shared" si="66"/>
        <v>EDP KUH.6316-A-M-3001 004</v>
      </c>
      <c r="AF520" s="36">
        <v>92</v>
      </c>
      <c r="AG520" s="120">
        <f t="shared" si="67"/>
        <v>316.48</v>
      </c>
      <c r="AH520" s="36"/>
      <c r="AI520" s="124"/>
      <c r="AJ520" s="122" t="s">
        <v>3567</v>
      </c>
      <c r="AK520" s="129" t="str">
        <f t="shared" ca="1" si="68"/>
        <v>On Time</v>
      </c>
      <c r="AL520" s="268" t="str">
        <f t="shared" si="69"/>
        <v>August</v>
      </c>
      <c r="AM520" s="133">
        <f>YEAR(Table1[[#This Row],[ETA
As requested
dd.mm.yyyy]])</f>
        <v>2025</v>
      </c>
    </row>
    <row r="521" spans="1:40" hidden="1">
      <c r="A521" s="123" t="s">
        <v>83</v>
      </c>
      <c r="B521" s="36" t="s">
        <v>1170</v>
      </c>
      <c r="C521" s="117">
        <v>39839923</v>
      </c>
      <c r="D521" s="165">
        <v>45821</v>
      </c>
      <c r="E521" s="117" t="s">
        <v>88</v>
      </c>
      <c r="F521" s="36" t="str">
        <f>IFERROR(VLOOKUP(Table1[[#This Row],[Part Number]],DATABASE_FG!$C$6:D10510,2,FALSE)," ")</f>
        <v>096287888-0000</v>
      </c>
      <c r="G521" s="117" t="str">
        <f>IFERROR(_xlfn.XLOOKUP(Table1[[#This Row],[Part Number]],Table3[Part number],Table3[Drawing
 Revision]),"")</f>
        <v>AA</v>
      </c>
      <c r="H521" s="118" cm="1">
        <f t="array" ref="H521">IFERROR(INDEX(PDB!$C:$AT,MATCH(E521,PDB!$B:$B,0),MATCH(YEAR(K521),0+PDB!$C$1:$AT$1,0)),"")</f>
        <v>3.44</v>
      </c>
      <c r="I521" s="36">
        <v>216</v>
      </c>
      <c r="J521" s="125">
        <f>IFERROR(Table1[[#This Row],[Quantity]]*Table1[[#This Row],[Price/Unit
EUR]]," ")</f>
        <v>743.04</v>
      </c>
      <c r="K521" s="126">
        <v>45887</v>
      </c>
      <c r="L521" s="36">
        <f>WEEKNUM(Table1[[#This Row],[ETA
As requested
dd.mm.yyyy]])</f>
        <v>34</v>
      </c>
      <c r="M521" s="36">
        <f>YEAR(Table1[[#This Row],[ETA
As requested
dd.mm.yyyy]])</f>
        <v>2025</v>
      </c>
      <c r="N521" s="36">
        <f>IFERROR(INDEX(DATABASE_FG!$H$5:$H$367, MATCH(E521, DATABASE_FG!$C$5:$C$367, 0)), " ")</f>
        <v>0</v>
      </c>
      <c r="O521" s="129" t="str">
        <f>IF(E521&lt;&gt;"", _xlfn.XLOOKUP(E521, DATABASE_FG!C:C, DATABASE_FG!F:F), " ")</f>
        <v>Alama</v>
      </c>
      <c r="P521" s="129">
        <v>0</v>
      </c>
      <c r="Q521" s="36"/>
      <c r="R521" s="125" t="s">
        <v>3105</v>
      </c>
      <c r="S521" s="123">
        <f>Table1[[#This Row],[Quantity]]/48</f>
        <v>4.5</v>
      </c>
      <c r="T521" s="36" t="s">
        <v>679</v>
      </c>
      <c r="U521" s="36"/>
      <c r="V521" s="36"/>
      <c r="W521" s="129"/>
      <c r="X521" s="36"/>
      <c r="Y521" s="36"/>
      <c r="Z521" s="36"/>
      <c r="AA521" s="125" t="s">
        <v>121</v>
      </c>
      <c r="AB521" s="173">
        <v>45883</v>
      </c>
      <c r="AC521" s="119" t="s">
        <v>3568</v>
      </c>
      <c r="AD521" s="36">
        <f t="shared" si="65"/>
        <v>39839923</v>
      </c>
      <c r="AE521" s="36" t="str">
        <f t="shared" si="66"/>
        <v>EDP KUH.6316-A-M-3001 004</v>
      </c>
      <c r="AF521" s="36">
        <v>216</v>
      </c>
      <c r="AG521" s="120">
        <f t="shared" si="67"/>
        <v>743.04</v>
      </c>
      <c r="AH521" s="36"/>
      <c r="AI521" s="124"/>
      <c r="AJ521" s="122" t="s">
        <v>3569</v>
      </c>
      <c r="AK521" s="129" t="str">
        <f t="shared" ca="1" si="68"/>
        <v>On Time</v>
      </c>
      <c r="AL521" s="268" t="str">
        <f t="shared" si="69"/>
        <v>August</v>
      </c>
      <c r="AM521" s="133">
        <f>YEAR(Table1[[#This Row],[ETA
As requested
dd.mm.yyyy]])</f>
        <v>2025</v>
      </c>
    </row>
    <row r="522" spans="1:40" hidden="1">
      <c r="A522" s="123" t="s">
        <v>83</v>
      </c>
      <c r="B522" s="36" t="s">
        <v>1170</v>
      </c>
      <c r="C522" s="117">
        <v>39839923</v>
      </c>
      <c r="D522" s="165">
        <v>45821</v>
      </c>
      <c r="E522" s="117" t="s">
        <v>88</v>
      </c>
      <c r="F522" s="36" t="str">
        <f>IFERROR(VLOOKUP(Table1[[#This Row],[Part Number]],DATABASE_FG!$C$6:D10511,2,FALSE)," ")</f>
        <v>096287888-0000</v>
      </c>
      <c r="G522" s="117" t="str">
        <f>IFERROR(_xlfn.XLOOKUP(Table1[[#This Row],[Part Number]],Table3[Part number],Table3[Drawing
 Revision]),"")</f>
        <v>AA</v>
      </c>
      <c r="H522" s="118" cm="1">
        <f t="array" ref="H522">IFERROR(INDEX(PDB!$C:$AT,MATCH(E522,PDB!$B:$B,0),MATCH(YEAR(K522),0+PDB!$C$1:$AT$1,0)),"")</f>
        <v>3.44</v>
      </c>
      <c r="I522" s="36">
        <v>108</v>
      </c>
      <c r="J522" s="125">
        <f>IFERROR(Table1[[#This Row],[Quantity]]*Table1[[#This Row],[Price/Unit
EUR]]," ")</f>
        <v>371.52</v>
      </c>
      <c r="K522" s="126">
        <v>45887</v>
      </c>
      <c r="L522" s="36">
        <f>WEEKNUM(Table1[[#This Row],[ETA
As requested
dd.mm.yyyy]])</f>
        <v>34</v>
      </c>
      <c r="M522" s="36">
        <f>YEAR(Table1[[#This Row],[ETA
As requested
dd.mm.yyyy]])</f>
        <v>2025</v>
      </c>
      <c r="N522" s="36">
        <f>IFERROR(INDEX(DATABASE_FG!$H$5:$H$367, MATCH(E522, DATABASE_FG!$C$5:$C$367, 0)), " ")</f>
        <v>0</v>
      </c>
      <c r="O522" s="129" t="str">
        <f>IF(E522&lt;&gt;"", _xlfn.XLOOKUP(E522, DATABASE_FG!C:C, DATABASE_FG!F:F), " ")</f>
        <v>Alama</v>
      </c>
      <c r="P522" s="129">
        <v>0</v>
      </c>
      <c r="Q522" s="36"/>
      <c r="R522" s="125" t="s">
        <v>3105</v>
      </c>
      <c r="S522" s="123">
        <f>Table1[[#This Row],[Quantity]]/48</f>
        <v>2.25</v>
      </c>
      <c r="T522" s="36" t="s">
        <v>679</v>
      </c>
      <c r="U522" s="36"/>
      <c r="V522" s="36"/>
      <c r="W522" s="129"/>
      <c r="X522" s="36"/>
      <c r="Y522" s="36"/>
      <c r="Z522" s="36"/>
      <c r="AA522" s="125" t="s">
        <v>121</v>
      </c>
      <c r="AB522" s="173">
        <v>45887</v>
      </c>
      <c r="AC522" s="119" t="s">
        <v>3570</v>
      </c>
      <c r="AD522" s="36">
        <f t="shared" si="65"/>
        <v>39839923</v>
      </c>
      <c r="AE522" s="36" t="str">
        <f t="shared" si="66"/>
        <v>EDP KUH.6316-A-M-3001 004</v>
      </c>
      <c r="AF522" s="36">
        <v>108</v>
      </c>
      <c r="AG522" s="120">
        <f t="shared" si="67"/>
        <v>371.52</v>
      </c>
      <c r="AH522" s="36"/>
      <c r="AI522" s="124"/>
      <c r="AJ522" s="122" t="s">
        <v>3571</v>
      </c>
      <c r="AK522" s="129" t="str">
        <f t="shared" ca="1" si="68"/>
        <v>On Time</v>
      </c>
      <c r="AL522" s="268" t="str">
        <f t="shared" si="69"/>
        <v>August</v>
      </c>
      <c r="AM522" s="133">
        <f>YEAR(Table1[[#This Row],[ETA
As requested
dd.mm.yyyy]])</f>
        <v>2025</v>
      </c>
    </row>
    <row r="523" spans="1:40" hidden="1">
      <c r="A523" s="123" t="s">
        <v>83</v>
      </c>
      <c r="B523" s="36" t="s">
        <v>1170</v>
      </c>
      <c r="C523" s="117">
        <v>39839923</v>
      </c>
      <c r="D523" s="165">
        <v>45821</v>
      </c>
      <c r="E523" s="117" t="s">
        <v>88</v>
      </c>
      <c r="F523" s="36" t="str">
        <f>IFERROR(VLOOKUP(Table1[[#This Row],[Part Number]],DATABASE_FG!$C$6:D10512,2,FALSE)," ")</f>
        <v>096287888-0000</v>
      </c>
      <c r="G523" s="117" t="str">
        <f>IFERROR(_xlfn.XLOOKUP(Table1[[#This Row],[Part Number]],Table3[Part number],Table3[Drawing
 Revision]),"")</f>
        <v>AA</v>
      </c>
      <c r="H523" s="118" cm="1">
        <f t="array" ref="H523">IFERROR(INDEX(PDB!$C:$AT,MATCH(E523,PDB!$B:$B,0),MATCH(YEAR(K523),0+PDB!$C$1:$AT$1,0)),"")</f>
        <v>3.44</v>
      </c>
      <c r="I523" s="36">
        <f>640-52-216-108</f>
        <v>264</v>
      </c>
      <c r="J523" s="125">
        <f>IFERROR(Table1[[#This Row],[Quantity]]*Table1[[#This Row],[Price/Unit
EUR]]," ")</f>
        <v>908.16</v>
      </c>
      <c r="K523" s="126">
        <v>45887</v>
      </c>
      <c r="L523" s="36">
        <f>WEEKNUM(Table1[[#This Row],[ETA
As requested
dd.mm.yyyy]])</f>
        <v>34</v>
      </c>
      <c r="M523" s="36">
        <f>YEAR(Table1[[#This Row],[ETA
As requested
dd.mm.yyyy]])</f>
        <v>2025</v>
      </c>
      <c r="N523" s="36">
        <f>IFERROR(INDEX(DATABASE_FG!$H$5:$H$367, MATCH(E523, DATABASE_FG!$C$5:$C$367, 0)), " ")</f>
        <v>0</v>
      </c>
      <c r="O523" s="129" t="str">
        <f>IF(E523&lt;&gt;"", _xlfn.XLOOKUP(E523, DATABASE_FG!C:C, DATABASE_FG!F:F), " ")</f>
        <v>Alama</v>
      </c>
      <c r="P523" s="129">
        <v>0</v>
      </c>
      <c r="Q523" s="36"/>
      <c r="R523" s="125" t="s">
        <v>3105</v>
      </c>
      <c r="S523" s="123">
        <f>Table1[[#This Row],[Quantity]]/48</f>
        <v>5.5</v>
      </c>
      <c r="T523" s="36" t="s">
        <v>679</v>
      </c>
      <c r="U523" s="36"/>
      <c r="V523" s="36"/>
      <c r="W523" s="129"/>
      <c r="X523" s="36"/>
      <c r="Y523" s="36"/>
      <c r="Z523" s="36"/>
      <c r="AA523" s="125" t="s">
        <v>121</v>
      </c>
      <c r="AB523" s="173">
        <v>45888</v>
      </c>
      <c r="AC523" s="119" t="s">
        <v>3572</v>
      </c>
      <c r="AD523" s="36">
        <f t="shared" si="65"/>
        <v>39839923</v>
      </c>
      <c r="AE523" s="36" t="str">
        <f t="shared" si="66"/>
        <v>EDP KUH.6316-A-M-3001 004</v>
      </c>
      <c r="AF523" s="36">
        <v>245</v>
      </c>
      <c r="AG523" s="120">
        <f t="shared" si="67"/>
        <v>842.8</v>
      </c>
      <c r="AH523" s="36">
        <v>19</v>
      </c>
      <c r="AI523" s="124"/>
      <c r="AJ523" s="122" t="s">
        <v>3573</v>
      </c>
      <c r="AK523" s="129" t="str">
        <f t="shared" ca="1" si="68"/>
        <v>On Time</v>
      </c>
      <c r="AL523" s="268" t="str">
        <f t="shared" si="69"/>
        <v>August</v>
      </c>
      <c r="AM523" s="133">
        <f>YEAR(Table1[[#This Row],[ETA
As requested
dd.mm.yyyy]])</f>
        <v>2025</v>
      </c>
    </row>
    <row r="524" spans="1:40" hidden="1">
      <c r="A524" s="123" t="s">
        <v>83</v>
      </c>
      <c r="B524" s="36" t="s">
        <v>2464</v>
      </c>
      <c r="C524" s="117"/>
      <c r="D524" s="165">
        <v>45821</v>
      </c>
      <c r="E524" s="117" t="s">
        <v>88</v>
      </c>
      <c r="F524" s="36" t="str">
        <f>IFERROR(VLOOKUP(Table1[[#This Row],[Part Number]],DATABASE_FG!$C$6:D10513,2,FALSE)," ")</f>
        <v>096287888-0000</v>
      </c>
      <c r="G524" s="117" t="str">
        <f>IFERROR(_xlfn.XLOOKUP(Table1[[#This Row],[Part Number]],Table3[Part number],Table3[Drawing
 Revision]),"")</f>
        <v>AA</v>
      </c>
      <c r="H524" s="118" cm="1">
        <f t="array" ref="H524">IFERROR(INDEX(PDB!$C:$AT,MATCH(E524,PDB!$B:$B,0),MATCH(YEAR(K524),0+PDB!$C$1:$AT$1,0)),"")</f>
        <v>3.44</v>
      </c>
      <c r="I524" s="36">
        <v>168</v>
      </c>
      <c r="J524" s="125">
        <f>IFERROR(Table1[[#This Row],[Quantity]]*Table1[[#This Row],[Price/Unit
EUR]]," ")</f>
        <v>577.91999999999996</v>
      </c>
      <c r="K524" s="126">
        <v>45930</v>
      </c>
      <c r="L524" s="36">
        <f>WEEKNUM(Table1[[#This Row],[ETA
As requested
dd.mm.yyyy]])</f>
        <v>40</v>
      </c>
      <c r="M524" s="36">
        <f>YEAR(Table1[[#This Row],[ETA
As requested
dd.mm.yyyy]])</f>
        <v>2025</v>
      </c>
      <c r="N524" s="36">
        <f>IFERROR(INDEX(DATABASE_FG!$H$5:$H$367, MATCH(E524, DATABASE_FG!$C$5:$C$367, 0)), " ")</f>
        <v>0</v>
      </c>
      <c r="O524" s="129" t="str">
        <f>IF(E524&lt;&gt;"", _xlfn.XLOOKUP(E524, DATABASE_FG!C:C, DATABASE_FG!F:F), " ")</f>
        <v>Alama</v>
      </c>
      <c r="P524" s="129">
        <v>0</v>
      </c>
      <c r="Q524" s="36"/>
      <c r="R524" s="125" t="s">
        <v>3105</v>
      </c>
      <c r="S524" s="123">
        <f>Table1[[#This Row],[Quantity]]/48</f>
        <v>3.5</v>
      </c>
      <c r="T524" s="36" t="s">
        <v>679</v>
      </c>
      <c r="U524" s="36"/>
      <c r="V524" s="36"/>
      <c r="W524" s="129"/>
      <c r="X524" s="36"/>
      <c r="Y524" s="36"/>
      <c r="Z524" s="36"/>
      <c r="AA524" s="125" t="s">
        <v>121</v>
      </c>
      <c r="AB524" s="173"/>
      <c r="AC524" s="119"/>
      <c r="AD524" s="36" t="str">
        <f t="shared" si="65"/>
        <v/>
      </c>
      <c r="AE524" s="36" t="str">
        <f t="shared" si="66"/>
        <v/>
      </c>
      <c r="AF524" s="36">
        <v>0</v>
      </c>
      <c r="AG524" s="120">
        <f t="shared" si="67"/>
        <v>0</v>
      </c>
      <c r="AH524" s="36"/>
      <c r="AI524" s="124" t="s">
        <v>2545</v>
      </c>
      <c r="AJ524" s="122"/>
      <c r="AK524" s="129" t="str">
        <f t="shared" ca="1" si="68"/>
        <v>Late</v>
      </c>
      <c r="AL524" s="268" t="str">
        <f t="shared" si="69"/>
        <v>September</v>
      </c>
      <c r="AM524" s="133">
        <f>YEAR(Table1[[#This Row],[ETA
As requested
dd.mm.yyyy]])</f>
        <v>2025</v>
      </c>
    </row>
    <row r="525" spans="1:40" hidden="1">
      <c r="A525" s="123" t="s">
        <v>83</v>
      </c>
      <c r="B525" s="36" t="s">
        <v>1170</v>
      </c>
      <c r="C525" s="117">
        <v>50340765</v>
      </c>
      <c r="D525" s="165">
        <v>45932</v>
      </c>
      <c r="E525" s="117" t="s">
        <v>88</v>
      </c>
      <c r="F525" s="36" t="str">
        <f>IFERROR(VLOOKUP(Table1[[#This Row],[Part Number]],DATABASE_FG!$C$6:D10514,2,FALSE)," ")</f>
        <v>096287888-0000</v>
      </c>
      <c r="G525" s="117" t="str">
        <f>IFERROR(_xlfn.XLOOKUP(Table1[[#This Row],[Part Number]],Table3[Part number],Table3[Drawing
 Revision]),"")</f>
        <v>AA</v>
      </c>
      <c r="H525" s="118" cm="1">
        <f t="array" ref="H525">IFERROR(INDEX(PDB!$C:$AT,MATCH(E525,PDB!$B:$B,0),MATCH(YEAR(K525),0+PDB!$C$1:$AT$1,0)),"")</f>
        <v>3.44</v>
      </c>
      <c r="I525" s="36">
        <v>359</v>
      </c>
      <c r="J525" s="125">
        <f>IFERROR(Table1[[#This Row],[Quantity]]*Table1[[#This Row],[Price/Unit
EUR]]," ")</f>
        <v>1234.96</v>
      </c>
      <c r="K525" s="126">
        <v>45943</v>
      </c>
      <c r="L525" s="36">
        <f>WEEKNUM(Table1[[#This Row],[ETA
As requested
dd.mm.yyyy]])</f>
        <v>42</v>
      </c>
      <c r="M525" s="36">
        <f>YEAR(Table1[[#This Row],[ETA
As requested
dd.mm.yyyy]])</f>
        <v>2025</v>
      </c>
      <c r="N525" s="36">
        <f>IFERROR(INDEX(DATABASE_FG!$H$5:$H$367, MATCH(E525, DATABASE_FG!$C$5:$C$367, 0)), " ")</f>
        <v>0</v>
      </c>
      <c r="O525" s="129" t="str">
        <f>IF(E525&lt;&gt;"", _xlfn.XLOOKUP(E525, DATABASE_FG!C:C, DATABASE_FG!F:F), " ")</f>
        <v>Alama</v>
      </c>
      <c r="P525" s="129">
        <v>0</v>
      </c>
      <c r="Q525" s="36"/>
      <c r="R525" s="125" t="s">
        <v>3105</v>
      </c>
      <c r="S525" s="123">
        <f>Table1[[#This Row],[Quantity]]/48</f>
        <v>7.479166666666667</v>
      </c>
      <c r="T525" s="36"/>
      <c r="U525" s="36"/>
      <c r="V525" s="36"/>
      <c r="W525" s="129"/>
      <c r="X525" s="36"/>
      <c r="Y525" s="36"/>
      <c r="Z525" s="36"/>
      <c r="AA525" s="125" t="s">
        <v>121</v>
      </c>
      <c r="AB525" s="173">
        <v>45937</v>
      </c>
      <c r="AC525" s="119">
        <v>2025226</v>
      </c>
      <c r="AD525" s="36">
        <f t="shared" si="65"/>
        <v>50340765</v>
      </c>
      <c r="AE525" s="36" t="str">
        <f t="shared" si="66"/>
        <v>EDP KUH.6316-A-M-3001 004</v>
      </c>
      <c r="AF525" s="36">
        <v>359</v>
      </c>
      <c r="AG525" s="120">
        <f t="shared" si="67"/>
        <v>1234.96</v>
      </c>
      <c r="AH525" s="36"/>
      <c r="AI525" s="124"/>
      <c r="AJ525" s="122" t="s">
        <v>3812</v>
      </c>
      <c r="AK525" s="129" t="str">
        <f t="shared" ca="1" si="68"/>
        <v>On Time</v>
      </c>
      <c r="AL525" s="268" t="str">
        <f t="shared" ref="AL525" si="70">TEXT(K525,"mmmm")</f>
        <v>October</v>
      </c>
      <c r="AM525" s="133">
        <f>YEAR(Table1[[#This Row],[ETA
As requested
dd.mm.yyyy]])</f>
        <v>2025</v>
      </c>
      <c r="AN525" s="191"/>
    </row>
    <row r="526" spans="1:40" hidden="1">
      <c r="A526" s="123" t="s">
        <v>83</v>
      </c>
      <c r="B526" s="36" t="s">
        <v>1170</v>
      </c>
      <c r="C526" s="117">
        <v>50340765</v>
      </c>
      <c r="D526" s="165">
        <v>45932</v>
      </c>
      <c r="E526" s="117" t="s">
        <v>88</v>
      </c>
      <c r="F526" s="36" t="str">
        <f>IFERROR(VLOOKUP(Table1[[#This Row],[Part Number]],DATABASE_FG!$C$6:D10515,2,FALSE)," ")</f>
        <v>096287888-0000</v>
      </c>
      <c r="G526" s="117" t="str">
        <f>IFERROR(_xlfn.XLOOKUP(Table1[[#This Row],[Part Number]],Table3[Part number],Table3[Drawing
 Revision]),"")</f>
        <v>AA</v>
      </c>
      <c r="H526" s="118" cm="1">
        <f t="array" ref="H526">IFERROR(INDEX(PDB!$C:$AT,MATCH(E526,PDB!$B:$B,0),MATCH(YEAR(K526),0+PDB!$C$1:$AT$1,0)),"")</f>
        <v>3.44</v>
      </c>
      <c r="I526" s="36">
        <f>636-359</f>
        <v>277</v>
      </c>
      <c r="J526" s="125">
        <f>IFERROR(Table1[[#This Row],[Quantity]]*Table1[[#This Row],[Price/Unit
EUR]]," ")</f>
        <v>952.88</v>
      </c>
      <c r="K526" s="126">
        <v>45943</v>
      </c>
      <c r="L526" s="36">
        <f>WEEKNUM(Table1[[#This Row],[ETA
As requested
dd.mm.yyyy]])</f>
        <v>42</v>
      </c>
      <c r="M526" s="36">
        <f>YEAR(Table1[[#This Row],[ETA
As requested
dd.mm.yyyy]])</f>
        <v>2025</v>
      </c>
      <c r="N526" s="36">
        <f>IFERROR(INDEX(DATABASE_FG!$H$5:$H$367, MATCH(E526, DATABASE_FG!$C$5:$C$367, 0)), " ")</f>
        <v>0</v>
      </c>
      <c r="O526" s="129" t="str">
        <f>IF(E526&lt;&gt;"", _xlfn.XLOOKUP(E526, DATABASE_FG!C:C, DATABASE_FG!F:F), " ")</f>
        <v>Alama</v>
      </c>
      <c r="P526" s="129">
        <v>0</v>
      </c>
      <c r="Q526" s="36"/>
      <c r="R526" s="125" t="s">
        <v>3105</v>
      </c>
      <c r="S526" s="123">
        <f>Table1[[#This Row],[Quantity]]/48</f>
        <v>5.770833333333333</v>
      </c>
      <c r="T526" s="36"/>
      <c r="U526" s="36"/>
      <c r="V526" s="36"/>
      <c r="W526" s="129"/>
      <c r="X526" s="36"/>
      <c r="Y526" s="36"/>
      <c r="Z526" s="36"/>
      <c r="AA526" s="125" t="s">
        <v>121</v>
      </c>
      <c r="AB526" s="173">
        <v>45939</v>
      </c>
      <c r="AC526" s="119">
        <v>2025233</v>
      </c>
      <c r="AD526" s="36">
        <f>IF(NOT(ISBLANK(#REF!)), C526, "")</f>
        <v>50340765</v>
      </c>
      <c r="AE526" s="36" t="str">
        <f>IF(NOT(ISBLANK(#REF!)), E526, "")</f>
        <v>EDP KUH.6316-A-M-3001 004</v>
      </c>
      <c r="AF526" s="36">
        <v>277</v>
      </c>
      <c r="AG526" s="120">
        <f t="shared" si="67"/>
        <v>952.88</v>
      </c>
      <c r="AH526" s="36"/>
      <c r="AI526" s="124"/>
      <c r="AJ526" s="122" t="s">
        <v>3813</v>
      </c>
      <c r="AK526" s="129" t="str">
        <f ca="1">IF(AB533="", IF(K526 &lt; TODAY(), "Late", ""), IF(AB533 &lt;= K526 + 2, "On Time", "Late"))</f>
        <v>On Time</v>
      </c>
      <c r="AL526" s="268" t="str">
        <f>TEXT(K526,"mmmm")</f>
        <v>October</v>
      </c>
      <c r="AM526" s="133">
        <f>YEAR(Table1[[#This Row],[ETA
As requested
dd.mm.yyyy]])</f>
        <v>2025</v>
      </c>
      <c r="AN526" s="191"/>
    </row>
    <row r="527" spans="1:40" hidden="1">
      <c r="A527" s="123" t="s">
        <v>83</v>
      </c>
      <c r="B527" s="36" t="s">
        <v>1170</v>
      </c>
      <c r="C527" s="117">
        <v>50347683</v>
      </c>
      <c r="D527" s="165">
        <v>45933</v>
      </c>
      <c r="E527" s="117" t="s">
        <v>88</v>
      </c>
      <c r="F527" s="36" t="str">
        <f>IFERROR(VLOOKUP(Table1[[#This Row],[Part Number]],DATABASE_FG!$C$6:D10516,2,FALSE)," ")</f>
        <v>096287888-0000</v>
      </c>
      <c r="G527" s="117" t="str">
        <f>IFERROR(_xlfn.XLOOKUP(Table1[[#This Row],[Part Number]],Table3[Part number],Table3[Drawing
 Revision]),"")</f>
        <v>AA</v>
      </c>
      <c r="H527" s="118" cm="1">
        <f t="array" ref="H527">IFERROR(INDEX(PDB!$C:$AT,MATCH(E527,PDB!$B:$B,0),MATCH(YEAR(K527),0+PDB!$C$1:$AT$1,0)),"")</f>
        <v>3.44</v>
      </c>
      <c r="I527" s="36">
        <v>155</v>
      </c>
      <c r="J527" s="125">
        <f>IFERROR(Table1[[#This Row],[Quantity]]*Table1[[#This Row],[Price/Unit
EUR]]," ")</f>
        <v>533.20000000000005</v>
      </c>
      <c r="K527" s="126">
        <v>45947</v>
      </c>
      <c r="L527" s="36">
        <f>WEEKNUM(Table1[[#This Row],[ETA
As requested
dd.mm.yyyy]])</f>
        <v>42</v>
      </c>
      <c r="M527" s="36">
        <f>YEAR(Table1[[#This Row],[ETA
As requested
dd.mm.yyyy]])</f>
        <v>2025</v>
      </c>
      <c r="N527" s="36">
        <f>IFERROR(INDEX(DATABASE_FG!$H$5:$H$367, MATCH(E527, DATABASE_FG!$C$5:$C$367, 0)), " ")</f>
        <v>0</v>
      </c>
      <c r="O527" s="129" t="str">
        <f>IF(E527&lt;&gt;"", _xlfn.XLOOKUP(E527, DATABASE_FG!C:C, DATABASE_FG!F:F), " ")</f>
        <v>Alama</v>
      </c>
      <c r="P527" s="129">
        <v>0</v>
      </c>
      <c r="Q527" s="36"/>
      <c r="R527" s="125" t="s">
        <v>3105</v>
      </c>
      <c r="S527" s="195">
        <f>Table1[[#This Row],[Quantity]]/48</f>
        <v>3.2291666666666665</v>
      </c>
      <c r="T527" s="194"/>
      <c r="U527" s="194"/>
      <c r="V527" s="194"/>
      <c r="W527" s="204"/>
      <c r="X527" s="194"/>
      <c r="Y527" s="194"/>
      <c r="Z527" s="194"/>
      <c r="AA527" s="125" t="s">
        <v>121</v>
      </c>
      <c r="AB527" s="173">
        <v>45939</v>
      </c>
      <c r="AC527" s="119">
        <v>2025233</v>
      </c>
      <c r="AD527" s="36">
        <f t="shared" ref="AD527:AD590" si="71">IF(NOT(ISBLANK(AC527)), C527, "")</f>
        <v>50347683</v>
      </c>
      <c r="AE527" s="36" t="str">
        <f t="shared" ref="AE527:AE590" si="72">IF(NOT(ISBLANK(AC527)), E527, "")</f>
        <v>EDP KUH.6316-A-M-3001 004</v>
      </c>
      <c r="AF527" s="36">
        <v>155</v>
      </c>
      <c r="AG527" s="120">
        <f t="shared" si="67"/>
        <v>533.20000000000005</v>
      </c>
      <c r="AH527" s="36"/>
      <c r="AI527" s="124"/>
      <c r="AJ527" s="122" t="s">
        <v>3814</v>
      </c>
      <c r="AK527" s="129" t="str">
        <f t="shared" ca="1" si="68"/>
        <v>On Time</v>
      </c>
      <c r="AL527" s="268" t="str">
        <f t="shared" ref="AL527" si="73">TEXT(K527,"mmmm")</f>
        <v>October</v>
      </c>
      <c r="AM527" s="133">
        <f>YEAR(Table1[[#This Row],[ETA
As requested
dd.mm.yyyy]])</f>
        <v>2025</v>
      </c>
      <c r="AN527" s="191"/>
    </row>
    <row r="528" spans="1:40" hidden="1">
      <c r="A528" s="123" t="s">
        <v>83</v>
      </c>
      <c r="B528" s="36" t="s">
        <v>1170</v>
      </c>
      <c r="C528" s="117">
        <v>50347683</v>
      </c>
      <c r="D528" s="165">
        <v>45933</v>
      </c>
      <c r="E528" s="117" t="s">
        <v>88</v>
      </c>
      <c r="F528" s="36" t="str">
        <f>IFERROR(VLOOKUP(Table1[[#This Row],[Part Number]],DATABASE_FG!$C$6:D10517,2,FALSE)," ")</f>
        <v>096287888-0000</v>
      </c>
      <c r="G528" s="117" t="str">
        <f>IFERROR(_xlfn.XLOOKUP(Table1[[#This Row],[Part Number]],Table3[Part number],Table3[Drawing
 Revision]),"")</f>
        <v>AA</v>
      </c>
      <c r="H528" s="118" cm="1">
        <f t="array" ref="H528">IFERROR(INDEX(PDB!$C:$AT,MATCH(E528,PDB!$B:$B,0),MATCH(YEAR(K528),0+PDB!$C$1:$AT$1,0)),"")</f>
        <v>3.44</v>
      </c>
      <c r="I528" s="36">
        <v>169</v>
      </c>
      <c r="J528" s="125">
        <f>IFERROR(Table1[[#This Row],[Quantity]]*Table1[[#This Row],[Price/Unit
EUR]]," ")</f>
        <v>581.36</v>
      </c>
      <c r="K528" s="126">
        <v>45947</v>
      </c>
      <c r="L528" s="36">
        <f>WEEKNUM(Table1[[#This Row],[ETA
As requested
dd.mm.yyyy]])</f>
        <v>42</v>
      </c>
      <c r="M528" s="36">
        <f>YEAR(Table1[[#This Row],[ETA
As requested
dd.mm.yyyy]])</f>
        <v>2025</v>
      </c>
      <c r="N528" s="36">
        <f>IFERROR(INDEX(DATABASE_FG!$H$5:$H$367, MATCH(E528, DATABASE_FG!$C$5:$C$367, 0)), " ")</f>
        <v>0</v>
      </c>
      <c r="O528" s="129" t="str">
        <f>IF(E528&lt;&gt;"", _xlfn.XLOOKUP(E528, DATABASE_FG!C:C, DATABASE_FG!F:F), " ")</f>
        <v>Alama</v>
      </c>
      <c r="P528" s="129">
        <v>0</v>
      </c>
      <c r="Q528" s="36"/>
      <c r="R528" s="125" t="s">
        <v>3105</v>
      </c>
      <c r="S528" s="195">
        <f>Table1[[#This Row],[Quantity]]/48</f>
        <v>3.5208333333333335</v>
      </c>
      <c r="T528" s="194"/>
      <c r="U528" s="194"/>
      <c r="V528" s="194"/>
      <c r="W528" s="204"/>
      <c r="X528" s="194"/>
      <c r="Y528" s="194"/>
      <c r="Z528" s="194"/>
      <c r="AA528" s="125" t="s">
        <v>121</v>
      </c>
      <c r="AB528" s="173">
        <v>45944</v>
      </c>
      <c r="AC528" s="119" t="s">
        <v>4335</v>
      </c>
      <c r="AD528" s="36">
        <f t="shared" si="71"/>
        <v>50347683</v>
      </c>
      <c r="AE528" s="36" t="str">
        <f t="shared" si="72"/>
        <v>EDP KUH.6316-A-M-3001 004</v>
      </c>
      <c r="AF528" s="36">
        <v>147</v>
      </c>
      <c r="AG528" s="120">
        <f t="shared" si="67"/>
        <v>505.68</v>
      </c>
      <c r="AH528" s="36">
        <v>22</v>
      </c>
      <c r="AI528" s="124"/>
      <c r="AJ528" s="122" t="s">
        <v>4347</v>
      </c>
      <c r="AK528" s="129" t="str">
        <f t="shared" ref="AK528:AK591" ca="1" si="74">IF(AB528="", IF(K528 &lt; TODAY(), "Late", ""), IF(AB528 &lt;= K528 + 2, "On Time", "Late"))</f>
        <v>On Time</v>
      </c>
      <c r="AL528" s="268" t="str">
        <f t="shared" ref="AL528:AL559" si="75">TEXT(K528,"mmmm")</f>
        <v>October</v>
      </c>
      <c r="AM528" s="133">
        <f>YEAR(Table1[[#This Row],[ETA
As requested
dd.mm.yyyy]])</f>
        <v>2025</v>
      </c>
      <c r="AN528" s="191"/>
    </row>
    <row r="529" spans="1:39" hidden="1">
      <c r="A529" s="123" t="s">
        <v>83</v>
      </c>
      <c r="B529" s="36" t="s">
        <v>1170</v>
      </c>
      <c r="C529" s="117">
        <v>50347683</v>
      </c>
      <c r="D529" s="165">
        <v>45933</v>
      </c>
      <c r="E529" s="117" t="s">
        <v>88</v>
      </c>
      <c r="F529" s="36" t="str">
        <f>IFERROR(VLOOKUP(Table1[[#This Row],[Part Number]],DATABASE_FG!$C$6:D10518,2,FALSE)," ")</f>
        <v>096287888-0000</v>
      </c>
      <c r="G529" s="117" t="str">
        <f>IFERROR(_xlfn.XLOOKUP(Table1[[#This Row],[Part Number]],Table3[Part number],Table3[Drawing
 Revision]),"")</f>
        <v>AA</v>
      </c>
      <c r="H529" s="118" cm="1">
        <f t="array" ref="H529">IFERROR(INDEX(PDB!$C:$AT,MATCH(E529,PDB!$B:$B,0),MATCH(YEAR(K529),0+PDB!$C$1:$AT$1,0)),"")</f>
        <v>3.44</v>
      </c>
      <c r="I529" s="36">
        <f>336-155-169</f>
        <v>12</v>
      </c>
      <c r="J529" s="125">
        <f>IFERROR(Table1[[#This Row],[Quantity]]*Table1[[#This Row],[Price/Unit
EUR]]," ")</f>
        <v>41.28</v>
      </c>
      <c r="K529" s="126">
        <v>45947</v>
      </c>
      <c r="L529" s="36">
        <f>WEEKNUM(Table1[[#This Row],[ETA
As requested
dd.mm.yyyy]])</f>
        <v>42</v>
      </c>
      <c r="M529" s="36">
        <f>YEAR(Table1[[#This Row],[ETA
As requested
dd.mm.yyyy]])</f>
        <v>2025</v>
      </c>
      <c r="N529" s="36">
        <f>IFERROR(INDEX(DATABASE_FG!$H$5:$H$367, MATCH(E529, DATABASE_FG!$C$5:$C$367, 0)), " ")</f>
        <v>0</v>
      </c>
      <c r="O529" s="129" t="str">
        <f>IF(E529&lt;&gt;"", _xlfn.XLOOKUP(E529, DATABASE_FG!C:C, DATABASE_FG!F:F), " ")</f>
        <v>Alama</v>
      </c>
      <c r="P529" s="129">
        <v>0</v>
      </c>
      <c r="Q529" s="36"/>
      <c r="R529" s="125" t="s">
        <v>3105</v>
      </c>
      <c r="S529" s="123">
        <f>Table1[[#This Row],[Quantity]]/48</f>
        <v>0.25</v>
      </c>
      <c r="T529" s="36" t="s">
        <v>679</v>
      </c>
      <c r="U529" s="36"/>
      <c r="V529" s="36"/>
      <c r="W529" s="129"/>
      <c r="X529" s="36"/>
      <c r="Y529" s="36"/>
      <c r="Z529" s="36"/>
      <c r="AA529" s="125" t="s">
        <v>121</v>
      </c>
      <c r="AB529" s="173">
        <v>45947</v>
      </c>
      <c r="AC529" s="119"/>
      <c r="AD529" s="36" t="str">
        <f t="shared" si="71"/>
        <v/>
      </c>
      <c r="AE529" s="36" t="str">
        <f t="shared" si="72"/>
        <v/>
      </c>
      <c r="AF529" s="36"/>
      <c r="AG529" s="120">
        <f t="shared" si="67"/>
        <v>0</v>
      </c>
      <c r="AH529" s="36"/>
      <c r="AI529" s="124" t="s">
        <v>4360</v>
      </c>
      <c r="AJ529" s="122"/>
      <c r="AK529" s="129" t="str">
        <f t="shared" ca="1" si="74"/>
        <v>On Time</v>
      </c>
      <c r="AL529" s="268" t="str">
        <f t="shared" si="75"/>
        <v>October</v>
      </c>
      <c r="AM529" s="133">
        <f>YEAR(Table1[[#This Row],[ETA
As requested
dd.mm.yyyy]])</f>
        <v>2025</v>
      </c>
    </row>
    <row r="530" spans="1:39" hidden="1">
      <c r="A530" s="123" t="s">
        <v>83</v>
      </c>
      <c r="B530" s="36" t="s">
        <v>2464</v>
      </c>
      <c r="C530" s="117"/>
      <c r="D530" s="165">
        <v>45821</v>
      </c>
      <c r="E530" s="117" t="s">
        <v>88</v>
      </c>
      <c r="F530" s="36" t="str">
        <f>IFERROR(VLOOKUP(Table1[[#This Row],[Part Number]],DATABASE_FG!$C$6:D10519,2,FALSE)," ")</f>
        <v>096287888-0000</v>
      </c>
      <c r="G530" s="117" t="str">
        <f>IFERROR(_xlfn.XLOOKUP(Table1[[#This Row],[Part Number]],Table3[Part number],Table3[Drawing
 Revision]),"")</f>
        <v>AA</v>
      </c>
      <c r="H530" s="118" cm="1">
        <f t="array" ref="H530">IFERROR(INDEX(PDB!$C:$AT,MATCH(E530,PDB!$B:$B,0),MATCH(YEAR(K530),0+PDB!$C$1:$AT$1,0)),"")</f>
        <v>3.44</v>
      </c>
      <c r="I530" s="36">
        <v>462</v>
      </c>
      <c r="J530" s="125">
        <f>IFERROR(Table1[[#This Row],[Quantity]]*Table1[[#This Row],[Price/Unit
EUR]]," ")</f>
        <v>1589.28</v>
      </c>
      <c r="K530" s="126">
        <v>45991</v>
      </c>
      <c r="L530" s="36">
        <f>WEEKNUM(Table1[[#This Row],[ETA
As requested
dd.mm.yyyy]])</f>
        <v>49</v>
      </c>
      <c r="M530" s="36">
        <f>YEAR(Table1[[#This Row],[ETA
As requested
dd.mm.yyyy]])</f>
        <v>2025</v>
      </c>
      <c r="N530" s="36">
        <f>IFERROR(INDEX(DATABASE_FG!$H$5:$H$367, MATCH(E530, DATABASE_FG!$C$5:$C$367, 0)), " ")</f>
        <v>0</v>
      </c>
      <c r="O530" s="129" t="str">
        <f>IF(E530&lt;&gt;"", _xlfn.XLOOKUP(E530, DATABASE_FG!C:C, DATABASE_FG!F:F), " ")</f>
        <v>Alama</v>
      </c>
      <c r="P530" s="129">
        <v>0</v>
      </c>
      <c r="Q530" s="36"/>
      <c r="R530" s="125" t="s">
        <v>3105</v>
      </c>
      <c r="S530" s="123">
        <f>Table1[[#This Row],[Quantity]]/48</f>
        <v>9.625</v>
      </c>
      <c r="T530" s="36" t="s">
        <v>679</v>
      </c>
      <c r="U530" s="36"/>
      <c r="V530" s="36"/>
      <c r="W530" s="129"/>
      <c r="X530" s="36"/>
      <c r="Y530" s="36"/>
      <c r="Z530" s="36"/>
      <c r="AA530" s="125" t="s">
        <v>3</v>
      </c>
      <c r="AB530" s="173"/>
      <c r="AC530" s="119"/>
      <c r="AD530" s="36" t="str">
        <f t="shared" si="71"/>
        <v/>
      </c>
      <c r="AE530" s="36" t="str">
        <f t="shared" si="72"/>
        <v/>
      </c>
      <c r="AF530" s="36"/>
      <c r="AG530" s="120">
        <f t="shared" si="67"/>
        <v>0</v>
      </c>
      <c r="AH530" s="36"/>
      <c r="AI530" s="124"/>
      <c r="AJ530" s="122"/>
      <c r="AK530" s="129" t="str">
        <f t="shared" ca="1" si="74"/>
        <v/>
      </c>
      <c r="AL530" s="268" t="str">
        <f t="shared" si="75"/>
        <v>November</v>
      </c>
      <c r="AM530" s="133">
        <f>YEAR(Table1[[#This Row],[ETA
As requested
dd.mm.yyyy]])</f>
        <v>2025</v>
      </c>
    </row>
    <row r="531" spans="1:39" hidden="1">
      <c r="A531" s="123" t="s">
        <v>83</v>
      </c>
      <c r="B531" s="36" t="s">
        <v>1170</v>
      </c>
      <c r="C531" s="117">
        <v>36541754</v>
      </c>
      <c r="D531" s="165">
        <v>45385</v>
      </c>
      <c r="E531" s="224" t="s">
        <v>86</v>
      </c>
      <c r="F531" s="36" t="str">
        <f>IFERROR(VLOOKUP(Table1[[#This Row],[Part Number]],DATABASE_FG!$C$6:D10520,2,FALSE)," ")</f>
        <v>096486538-0000</v>
      </c>
      <c r="G531" s="117" t="str">
        <f>IFERROR(_xlfn.XLOOKUP(Table1[[#This Row],[Part Number]],Table3[Part number],Table3[Drawing
 Revision]),"")</f>
        <v>AA</v>
      </c>
      <c r="H531" s="118" cm="1">
        <f t="array" ref="H531">IFERROR(INDEX(PDB!$C:$AT,MATCH(E531,PDB!$B:$B,0),MATCH(YEAR(K531),0+PDB!$C$1:$AT$1,0)),"")</f>
        <v>3.44</v>
      </c>
      <c r="I531" s="36">
        <v>207</v>
      </c>
      <c r="J531" s="125">
        <f>IFERROR(Table1[[#This Row],[Quantity]]*Table1[[#This Row],[Price/Unit
EUR]]," ")</f>
        <v>712.08</v>
      </c>
      <c r="K531" s="126">
        <v>45397</v>
      </c>
      <c r="L531" s="36">
        <f>WEEKNUM(Table1[[#This Row],[ETA
As requested
dd.mm.yyyy]])</f>
        <v>16</v>
      </c>
      <c r="M531" s="36">
        <f>YEAR(Table1[[#This Row],[ETA
As requested
dd.mm.yyyy]])</f>
        <v>2024</v>
      </c>
      <c r="N531" s="36">
        <f>IFERROR(INDEX(DATABASE_FG!$H$5:$H$367, MATCH(E531, DATABASE_FG!$C$5:$C$367, 0)), " ")</f>
        <v>0</v>
      </c>
      <c r="O531" s="129" t="str">
        <f>IF(E531&lt;&gt;"", _xlfn.XLOOKUP(E531, DATABASE_FG!C:C, DATABASE_FG!F:F), " ")</f>
        <v>Alama</v>
      </c>
      <c r="P531" s="129">
        <f>IFERROR(INDEX(DATABASE_FG!$G$5:$G$367, MATCH(E531, DATABASE_FG!$C$5:$C$367, 0)), "Not Found")</f>
        <v>0</v>
      </c>
      <c r="Q531" s="36"/>
      <c r="R531" s="125" t="s">
        <v>678</v>
      </c>
      <c r="S531" s="123">
        <f>IFERROR(INDEX(DATABASE_FG!$L$5:$L$367, MATCH(E531, DATABASE_FG!$C$5:$C$367, 0)), " ")</f>
        <v>42</v>
      </c>
      <c r="T531" s="36" t="s">
        <v>679</v>
      </c>
      <c r="U531" s="36"/>
      <c r="V531" s="36"/>
      <c r="W531" s="129"/>
      <c r="X531" s="36"/>
      <c r="Y531" s="36"/>
      <c r="Z531" s="36">
        <v>241501</v>
      </c>
      <c r="AA531" s="125" t="s">
        <v>121</v>
      </c>
      <c r="AB531" s="173">
        <v>45407</v>
      </c>
      <c r="AC531" s="119">
        <v>20232236</v>
      </c>
      <c r="AD531" s="36">
        <f t="shared" si="71"/>
        <v>36541754</v>
      </c>
      <c r="AE531" s="36" t="str">
        <f t="shared" si="72"/>
        <v>EDP KUH.6317-A-M-3001 004</v>
      </c>
      <c r="AF531" s="36">
        <v>152</v>
      </c>
      <c r="AG531" s="120">
        <f t="shared" si="67"/>
        <v>522.88</v>
      </c>
      <c r="AH531" s="36"/>
      <c r="AI531" s="124"/>
      <c r="AJ531" s="122" t="s">
        <v>1337</v>
      </c>
      <c r="AK531" s="129" t="str">
        <f t="shared" ca="1" si="74"/>
        <v>Late</v>
      </c>
      <c r="AL531" s="268" t="str">
        <f t="shared" si="75"/>
        <v>April</v>
      </c>
      <c r="AM531" s="133">
        <f>YEAR(Table1[[#This Row],[ETA
As requested
dd.mm.yyyy]])</f>
        <v>2024</v>
      </c>
    </row>
    <row r="532" spans="1:39" hidden="1">
      <c r="A532" s="123" t="s">
        <v>83</v>
      </c>
      <c r="B532" s="36" t="s">
        <v>1170</v>
      </c>
      <c r="C532" s="117">
        <v>36550892</v>
      </c>
      <c r="D532" s="165">
        <v>45386</v>
      </c>
      <c r="E532" s="224" t="s">
        <v>86</v>
      </c>
      <c r="F532" s="36" t="str">
        <f>IFERROR(VLOOKUP(Table1[[#This Row],[Part Number]],DATABASE_FG!$C$6:D10521,2,FALSE)," ")</f>
        <v>096486538-0000</v>
      </c>
      <c r="G532" s="117" t="str">
        <f>IFERROR(_xlfn.XLOOKUP(Table1[[#This Row],[Part Number]],Table3[Part number],Table3[Drawing
 Revision]),"")</f>
        <v>AA</v>
      </c>
      <c r="H532" s="118" cm="1">
        <f t="array" ref="H532">IFERROR(INDEX(PDB!$C:$AT,MATCH(E532,PDB!$B:$B,0),MATCH(YEAR(K532),0+PDB!$C$1:$AT$1,0)),"")</f>
        <v>3.44</v>
      </c>
      <c r="I532" s="36">
        <v>303</v>
      </c>
      <c r="J532" s="125">
        <f>IFERROR(Table1[[#This Row],[Quantity]]*Table1[[#This Row],[Price/Unit
EUR]]," ")</f>
        <v>1042.32</v>
      </c>
      <c r="K532" s="126">
        <v>45397</v>
      </c>
      <c r="L532" s="36">
        <f>WEEKNUM(Table1[[#This Row],[ETA
As requested
dd.mm.yyyy]])</f>
        <v>16</v>
      </c>
      <c r="M532" s="36">
        <f>YEAR(Table1[[#This Row],[ETA
As requested
dd.mm.yyyy]])</f>
        <v>2024</v>
      </c>
      <c r="N532" s="36">
        <f>IFERROR(INDEX(DATABASE_FG!$H$5:$H$367, MATCH(E532, DATABASE_FG!$C$5:$C$367, 0)), " ")</f>
        <v>0</v>
      </c>
      <c r="O532" s="129" t="str">
        <f>IF(E532&lt;&gt;"", _xlfn.XLOOKUP(E532, DATABASE_FG!C:C, DATABASE_FG!F:F), " ")</f>
        <v>Alama</v>
      </c>
      <c r="P532" s="129">
        <f>IFERROR(INDEX(DATABASE_FG!$G$5:$G$367, MATCH(E532, DATABASE_FG!$C$5:$C$367, 0)), "Not Found")</f>
        <v>0</v>
      </c>
      <c r="Q532" s="36"/>
      <c r="R532" s="125" t="s">
        <v>678</v>
      </c>
      <c r="S532" s="123">
        <f>IFERROR(INDEX(DATABASE_FG!$L$5:$L$367, MATCH(E532, DATABASE_FG!$C$5:$C$367, 0)), " ")</f>
        <v>42</v>
      </c>
      <c r="T532" s="36" t="s">
        <v>679</v>
      </c>
      <c r="U532" s="36"/>
      <c r="V532" s="36"/>
      <c r="W532" s="129"/>
      <c r="X532" s="36"/>
      <c r="Y532" s="36"/>
      <c r="Z532" s="36">
        <v>241711</v>
      </c>
      <c r="AA532" s="125" t="s">
        <v>121</v>
      </c>
      <c r="AB532" s="173">
        <v>45407</v>
      </c>
      <c r="AC532" s="119">
        <v>2024417</v>
      </c>
      <c r="AD532" s="36">
        <f t="shared" si="71"/>
        <v>36550892</v>
      </c>
      <c r="AE532" s="36" t="str">
        <f t="shared" si="72"/>
        <v>EDP KUH.6317-A-M-3001 004</v>
      </c>
      <c r="AF532" s="36">
        <v>8</v>
      </c>
      <c r="AG532" s="120">
        <f t="shared" si="67"/>
        <v>27.52</v>
      </c>
      <c r="AH532" s="36"/>
      <c r="AI532" s="124" t="s">
        <v>1338</v>
      </c>
      <c r="AJ532" s="122" t="s">
        <v>1339</v>
      </c>
      <c r="AK532" s="129" t="str">
        <f t="shared" ca="1" si="74"/>
        <v>Late</v>
      </c>
      <c r="AL532" s="268" t="str">
        <f t="shared" si="75"/>
        <v>April</v>
      </c>
      <c r="AM532" s="133">
        <f>YEAR(Table1[[#This Row],[ETA
As requested
dd.mm.yyyy]])</f>
        <v>2024</v>
      </c>
    </row>
    <row r="533" spans="1:39" hidden="1">
      <c r="A533" s="123" t="s">
        <v>83</v>
      </c>
      <c r="B533" s="36" t="s">
        <v>1170</v>
      </c>
      <c r="C533" s="117">
        <v>36541754</v>
      </c>
      <c r="D533" s="165">
        <v>45385</v>
      </c>
      <c r="E533" s="224" t="s">
        <v>86</v>
      </c>
      <c r="F533" s="36" t="str">
        <f>IFERROR(VLOOKUP(Table1[[#This Row],[Part Number]],DATABASE_FG!$C$6:D10522,2,FALSE)," ")</f>
        <v>096486538-0000</v>
      </c>
      <c r="G533" s="117" t="str">
        <f>IFERROR(_xlfn.XLOOKUP(Table1[[#This Row],[Part Number]],Table3[Part number],Table3[Drawing
 Revision]),"")</f>
        <v>AA</v>
      </c>
      <c r="H533" s="118" cm="1">
        <f t="array" ref="H533">IFERROR(INDEX(PDB!$C:$AT,MATCH(E533,PDB!$B:$B,0),MATCH(YEAR(K533),0+PDB!$C$1:$AT$1,0)),"")</f>
        <v>3.44</v>
      </c>
      <c r="I533" s="36"/>
      <c r="J533" s="125">
        <f>IFERROR(Table1[[#This Row],[Quantity]]*Table1[[#This Row],[Price/Unit
EUR]]," ")</f>
        <v>0</v>
      </c>
      <c r="K533" s="126">
        <v>45397</v>
      </c>
      <c r="L533" s="36">
        <f>WEEKNUM(Table1[[#This Row],[ETA
As requested
dd.mm.yyyy]])</f>
        <v>16</v>
      </c>
      <c r="M533" s="36">
        <f>YEAR(Table1[[#This Row],[ETA
As requested
dd.mm.yyyy]])</f>
        <v>2024</v>
      </c>
      <c r="N533" s="36">
        <f>IFERROR(INDEX(DATABASE_FG!$H$5:$H$367, MATCH(E533, DATABASE_FG!$C$5:$C$367, 0)), " ")</f>
        <v>0</v>
      </c>
      <c r="O533" s="129" t="str">
        <f>IF(E533&lt;&gt;"", _xlfn.XLOOKUP(E533, DATABASE_FG!C:C, DATABASE_FG!F:F), " ")</f>
        <v>Alama</v>
      </c>
      <c r="P533" s="129">
        <f>IFERROR(INDEX(DATABASE_FG!$G$5:$G$367, MATCH(E533, DATABASE_FG!$C$5:$C$367, 0)), "Not Found")</f>
        <v>0</v>
      </c>
      <c r="Q533" s="36"/>
      <c r="R533" s="125"/>
      <c r="S533" s="123">
        <f>IFERROR(INDEX(DATABASE_FG!$L$5:$L$367, MATCH(E533, DATABASE_FG!$C$5:$C$367, 0)), " ")</f>
        <v>42</v>
      </c>
      <c r="T533" s="36"/>
      <c r="U533" s="36"/>
      <c r="V533" s="36"/>
      <c r="W533" s="129"/>
      <c r="X533" s="36"/>
      <c r="Y533" s="36"/>
      <c r="Z533" s="36"/>
      <c r="AA533" s="125" t="s">
        <v>121</v>
      </c>
      <c r="AB533" s="173">
        <v>45408</v>
      </c>
      <c r="AC533" s="119">
        <v>2024409</v>
      </c>
      <c r="AD533" s="36">
        <f t="shared" si="71"/>
        <v>36541754</v>
      </c>
      <c r="AE533" s="36" t="str">
        <f t="shared" si="72"/>
        <v>EDP KUH.6317-A-M-3001 004</v>
      </c>
      <c r="AF533" s="36">
        <v>55</v>
      </c>
      <c r="AG533" s="120">
        <f t="shared" si="67"/>
        <v>189.2</v>
      </c>
      <c r="AH533" s="36"/>
      <c r="AI533" s="124"/>
      <c r="AJ533" s="122" t="s">
        <v>1340</v>
      </c>
      <c r="AK533" s="129" t="str">
        <f t="shared" ca="1" si="74"/>
        <v>Late</v>
      </c>
      <c r="AL533" s="268" t="str">
        <f t="shared" si="75"/>
        <v>April</v>
      </c>
      <c r="AM533" s="133">
        <f>YEAR(Table1[[#This Row],[ETA
As requested
dd.mm.yyyy]])</f>
        <v>2024</v>
      </c>
    </row>
    <row r="534" spans="1:39" hidden="1">
      <c r="A534" s="123" t="s">
        <v>83</v>
      </c>
      <c r="B534" s="36" t="s">
        <v>1170</v>
      </c>
      <c r="C534" s="117">
        <v>36550892</v>
      </c>
      <c r="D534" s="165">
        <v>45386</v>
      </c>
      <c r="E534" s="224" t="s">
        <v>86</v>
      </c>
      <c r="F534" s="36" t="str">
        <f>IFERROR(VLOOKUP(Table1[[#This Row],[Part Number]],DATABASE_FG!$C$6:D10523,2,FALSE)," ")</f>
        <v>096486538-0000</v>
      </c>
      <c r="G534" s="117" t="str">
        <f>IFERROR(_xlfn.XLOOKUP(Table1[[#This Row],[Part Number]],Table3[Part number],Table3[Drawing
 Revision]),"")</f>
        <v>AA</v>
      </c>
      <c r="H534" s="118" cm="1">
        <f t="array" ref="H534">IFERROR(INDEX(PDB!$C:$AT,MATCH(E534,PDB!$B:$B,0),MATCH(YEAR(K534),0+PDB!$C$1:$AT$1,0)),"")</f>
        <v>3.44</v>
      </c>
      <c r="I534" s="36"/>
      <c r="J534" s="125">
        <f>IFERROR(Table1[[#This Row],[Quantity]]*Table1[[#This Row],[Price/Unit
EUR]]," ")</f>
        <v>0</v>
      </c>
      <c r="K534" s="126">
        <v>45397</v>
      </c>
      <c r="L534" s="36">
        <f>WEEKNUM(Table1[[#This Row],[ETA
As requested
dd.mm.yyyy]])</f>
        <v>16</v>
      </c>
      <c r="M534" s="36">
        <f>YEAR(Table1[[#This Row],[ETA
As requested
dd.mm.yyyy]])</f>
        <v>2024</v>
      </c>
      <c r="N534" s="36">
        <f>IFERROR(INDEX(DATABASE_FG!$H$5:$H$367, MATCH(E534, DATABASE_FG!$C$5:$C$367, 0)), " ")</f>
        <v>0</v>
      </c>
      <c r="O534" s="129" t="str">
        <f>IF(E534&lt;&gt;"", _xlfn.XLOOKUP(E534, DATABASE_FG!C:C, DATABASE_FG!F:F), " ")</f>
        <v>Alama</v>
      </c>
      <c r="P534" s="129">
        <f>IFERROR(INDEX(DATABASE_FG!$G$5:$G$367, MATCH(E534, DATABASE_FG!$C$5:$C$367, 0)), "Not Found")</f>
        <v>0</v>
      </c>
      <c r="Q534" s="36"/>
      <c r="R534" s="125"/>
      <c r="S534" s="123">
        <f>IFERROR(INDEX(DATABASE_FG!$L$5:$L$367, MATCH(E534, DATABASE_FG!$C$5:$C$367, 0)), " ")</f>
        <v>42</v>
      </c>
      <c r="T534" s="36"/>
      <c r="U534" s="36"/>
      <c r="V534" s="36"/>
      <c r="W534" s="129"/>
      <c r="X534" s="36"/>
      <c r="Y534" s="36"/>
      <c r="Z534" s="36"/>
      <c r="AA534" s="125" t="s">
        <v>121</v>
      </c>
      <c r="AB534" s="173">
        <v>45408</v>
      </c>
      <c r="AC534" s="119">
        <v>2024410</v>
      </c>
      <c r="AD534" s="36">
        <f t="shared" si="71"/>
        <v>36550892</v>
      </c>
      <c r="AE534" s="36" t="str">
        <f t="shared" si="72"/>
        <v>EDP KUH.6317-A-M-3001 004</v>
      </c>
      <c r="AF534" s="36">
        <v>45</v>
      </c>
      <c r="AG534" s="120">
        <f t="shared" si="67"/>
        <v>154.80000000000001</v>
      </c>
      <c r="AH534" s="36"/>
      <c r="AI534" s="124"/>
      <c r="AJ534" s="122" t="s">
        <v>1341</v>
      </c>
      <c r="AK534" s="129" t="str">
        <f t="shared" ca="1" si="74"/>
        <v>Late</v>
      </c>
      <c r="AL534" s="268" t="str">
        <f t="shared" si="75"/>
        <v>April</v>
      </c>
      <c r="AM534" s="133">
        <f>YEAR(Table1[[#This Row],[ETA
As requested
dd.mm.yyyy]])</f>
        <v>2024</v>
      </c>
    </row>
    <row r="535" spans="1:39" hidden="1">
      <c r="A535" s="123" t="s">
        <v>83</v>
      </c>
      <c r="B535" s="36" t="s">
        <v>1170</v>
      </c>
      <c r="C535" s="117">
        <v>36550892</v>
      </c>
      <c r="D535" s="165">
        <v>45386</v>
      </c>
      <c r="E535" s="224" t="s">
        <v>86</v>
      </c>
      <c r="F535" s="36" t="str">
        <f>IFERROR(VLOOKUP(Table1[[#This Row],[Part Number]],DATABASE_FG!$C$6:D10524,2,FALSE)," ")</f>
        <v>096486538-0000</v>
      </c>
      <c r="G535" s="117" t="str">
        <f>IFERROR(_xlfn.XLOOKUP(Table1[[#This Row],[Part Number]],Table3[Part number],Table3[Drawing
 Revision]),"")</f>
        <v>AA</v>
      </c>
      <c r="H535" s="118" cm="1">
        <f t="array" ref="H535">IFERROR(INDEX(PDB!$C:$AT,MATCH(E535,PDB!$B:$B,0),MATCH(YEAR(K535),0+PDB!$C$1:$AT$1,0)),"")</f>
        <v>3.44</v>
      </c>
      <c r="I535" s="36"/>
      <c r="J535" s="125">
        <f>IFERROR(Table1[[#This Row],[Quantity]]*Table1[[#This Row],[Price/Unit
EUR]]," ")</f>
        <v>0</v>
      </c>
      <c r="K535" s="126">
        <v>45397</v>
      </c>
      <c r="L535" s="36">
        <f>WEEKNUM(Table1[[#This Row],[ETA
As requested
dd.mm.yyyy]])</f>
        <v>16</v>
      </c>
      <c r="M535" s="36">
        <f>YEAR(Table1[[#This Row],[ETA
As requested
dd.mm.yyyy]])</f>
        <v>2024</v>
      </c>
      <c r="N535" s="36">
        <f>IFERROR(INDEX(DATABASE_FG!$H$5:$H$367, MATCH(E535, DATABASE_FG!$C$5:$C$367, 0)), " ")</f>
        <v>0</v>
      </c>
      <c r="O535" s="129" t="str">
        <f>IF(E535&lt;&gt;"", _xlfn.XLOOKUP(E535, DATABASE_FG!C:C, DATABASE_FG!F:F), " ")</f>
        <v>Alama</v>
      </c>
      <c r="P535" s="129">
        <f>IFERROR(INDEX(DATABASE_FG!$G$5:$G$367, MATCH(E535, DATABASE_FG!$C$5:$C$367, 0)), "Not Found")</f>
        <v>0</v>
      </c>
      <c r="Q535" s="36"/>
      <c r="R535" s="125"/>
      <c r="S535" s="123">
        <f>IFERROR(INDEX(DATABASE_FG!$L$5:$L$367, MATCH(E535, DATABASE_FG!$C$5:$C$367, 0)), " ")</f>
        <v>42</v>
      </c>
      <c r="T535" s="36"/>
      <c r="U535" s="36"/>
      <c r="V535" s="36"/>
      <c r="W535" s="129"/>
      <c r="X535" s="36"/>
      <c r="Y535" s="36"/>
      <c r="Z535" s="36"/>
      <c r="AA535" s="125" t="s">
        <v>121</v>
      </c>
      <c r="AB535" s="173">
        <v>45408</v>
      </c>
      <c r="AC535" s="119">
        <v>2024415</v>
      </c>
      <c r="AD535" s="36">
        <f t="shared" si="71"/>
        <v>36550892</v>
      </c>
      <c r="AE535" s="36" t="str">
        <f t="shared" si="72"/>
        <v>EDP KUH.6317-A-M-3001 004</v>
      </c>
      <c r="AF535" s="36">
        <v>30</v>
      </c>
      <c r="AG535" s="120">
        <f t="shared" si="67"/>
        <v>103.2</v>
      </c>
      <c r="AH535" s="36"/>
      <c r="AI535" s="124"/>
      <c r="AJ535" s="122" t="s">
        <v>1342</v>
      </c>
      <c r="AK535" s="129" t="str">
        <f t="shared" ca="1" si="74"/>
        <v>Late</v>
      </c>
      <c r="AL535" s="268" t="str">
        <f t="shared" si="75"/>
        <v>April</v>
      </c>
      <c r="AM535" s="133">
        <f>YEAR(Table1[[#This Row],[ETA
As requested
dd.mm.yyyy]])</f>
        <v>2024</v>
      </c>
    </row>
    <row r="536" spans="1:39" hidden="1">
      <c r="A536" s="123" t="s">
        <v>83</v>
      </c>
      <c r="B536" s="36" t="s">
        <v>1170</v>
      </c>
      <c r="C536" s="117">
        <v>36550892</v>
      </c>
      <c r="D536" s="165">
        <v>45386</v>
      </c>
      <c r="E536" s="224" t="s">
        <v>86</v>
      </c>
      <c r="F536" s="36" t="str">
        <f>IFERROR(VLOOKUP(Table1[[#This Row],[Part Number]],DATABASE_FG!$C$6:D10525,2,FALSE)," ")</f>
        <v>096486538-0000</v>
      </c>
      <c r="G536" s="117" t="str">
        <f>IFERROR(_xlfn.XLOOKUP(Table1[[#This Row],[Part Number]],Table3[Part number],Table3[Drawing
 Revision]),"")</f>
        <v>AA</v>
      </c>
      <c r="H536" s="118" cm="1">
        <f t="array" ref="H536">IFERROR(INDEX(PDB!$C:$AT,MATCH(E536,PDB!$B:$B,0),MATCH(YEAR(K536),0+PDB!$C$1:$AT$1,0)),"")</f>
        <v>3.44</v>
      </c>
      <c r="I536" s="36"/>
      <c r="J536" s="125">
        <f>IFERROR(Table1[[#This Row],[Quantity]]*Table1[[#This Row],[Price/Unit
EUR]]," ")</f>
        <v>0</v>
      </c>
      <c r="K536" s="126">
        <v>45397</v>
      </c>
      <c r="L536" s="36">
        <f>WEEKNUM(Table1[[#This Row],[ETA
As requested
dd.mm.yyyy]])</f>
        <v>16</v>
      </c>
      <c r="M536" s="36">
        <f>YEAR(Table1[[#This Row],[ETA
As requested
dd.mm.yyyy]])</f>
        <v>2024</v>
      </c>
      <c r="N536" s="36">
        <f>IFERROR(INDEX(DATABASE_FG!$H$5:$H$367, MATCH(E536, DATABASE_FG!$C$5:$C$367, 0)), " ")</f>
        <v>0</v>
      </c>
      <c r="O536" s="129" t="str">
        <f>IF(E536&lt;&gt;"", _xlfn.XLOOKUP(E536, DATABASE_FG!C:C, DATABASE_FG!F:F), " ")</f>
        <v>Alama</v>
      </c>
      <c r="P536" s="129">
        <f>IFERROR(INDEX(DATABASE_FG!$G$5:$G$367, MATCH(E536, DATABASE_FG!$C$5:$C$367, 0)), "Not Found")</f>
        <v>0</v>
      </c>
      <c r="Q536" s="36"/>
      <c r="R536" s="125"/>
      <c r="S536" s="123">
        <f>IFERROR(INDEX(DATABASE_FG!$L$5:$L$367, MATCH(E536, DATABASE_FG!$C$5:$C$367, 0)), " ")</f>
        <v>42</v>
      </c>
      <c r="T536" s="36"/>
      <c r="U536" s="36"/>
      <c r="V536" s="36"/>
      <c r="W536" s="129"/>
      <c r="X536" s="36"/>
      <c r="Y536" s="36"/>
      <c r="Z536" s="36"/>
      <c r="AA536" s="125" t="s">
        <v>121</v>
      </c>
      <c r="AB536" s="173">
        <v>45408</v>
      </c>
      <c r="AC536" s="119">
        <v>20232237</v>
      </c>
      <c r="AD536" s="36">
        <f t="shared" si="71"/>
        <v>36550892</v>
      </c>
      <c r="AE536" s="36" t="str">
        <f t="shared" si="72"/>
        <v>EDP KUH.6317-A-M-3001 004</v>
      </c>
      <c r="AF536" s="36">
        <v>86</v>
      </c>
      <c r="AG536" s="120">
        <f t="shared" si="67"/>
        <v>295.83999999999997</v>
      </c>
      <c r="AH536" s="36"/>
      <c r="AI536" s="124"/>
      <c r="AJ536" s="122" t="s">
        <v>1343</v>
      </c>
      <c r="AK536" s="129" t="str">
        <f t="shared" ca="1" si="74"/>
        <v>Late</v>
      </c>
      <c r="AL536" s="268" t="str">
        <f t="shared" si="75"/>
        <v>April</v>
      </c>
      <c r="AM536" s="133">
        <f>YEAR(Table1[[#This Row],[ETA
As requested
dd.mm.yyyy]])</f>
        <v>2024</v>
      </c>
    </row>
    <row r="537" spans="1:39" hidden="1">
      <c r="A537" s="123" t="s">
        <v>83</v>
      </c>
      <c r="B537" s="36" t="s">
        <v>1170</v>
      </c>
      <c r="C537" s="117">
        <v>36550892</v>
      </c>
      <c r="D537" s="165">
        <v>45386</v>
      </c>
      <c r="E537" s="224" t="s">
        <v>86</v>
      </c>
      <c r="F537" s="36" t="str">
        <f>IFERROR(VLOOKUP(Table1[[#This Row],[Part Number]],DATABASE_FG!$C$6:D10526,2,FALSE)," ")</f>
        <v>096486538-0000</v>
      </c>
      <c r="G537" s="117" t="str">
        <f>IFERROR(_xlfn.XLOOKUP(Table1[[#This Row],[Part Number]],Table3[Part number],Table3[Drawing
 Revision]),"")</f>
        <v>AA</v>
      </c>
      <c r="H537" s="118" cm="1">
        <f t="array" ref="H537">IFERROR(INDEX(PDB!$C:$AT,MATCH(E537,PDB!$B:$B,0),MATCH(YEAR(K537),0+PDB!$C$1:$AT$1,0)),"")</f>
        <v>3.44</v>
      </c>
      <c r="I537" s="36"/>
      <c r="J537" s="125">
        <f>IFERROR(Table1[[#This Row],[Quantity]]*Table1[[#This Row],[Price/Unit
EUR]]," ")</f>
        <v>0</v>
      </c>
      <c r="K537" s="126">
        <v>45397</v>
      </c>
      <c r="L537" s="36">
        <f>WEEKNUM(Table1[[#This Row],[ETA
As requested
dd.mm.yyyy]])</f>
        <v>16</v>
      </c>
      <c r="M537" s="36">
        <f>YEAR(Table1[[#This Row],[ETA
As requested
dd.mm.yyyy]])</f>
        <v>2024</v>
      </c>
      <c r="N537" s="36">
        <f>IFERROR(INDEX(DATABASE_FG!$H$5:$H$367, MATCH(E537, DATABASE_FG!$C$5:$C$367, 0)), " ")</f>
        <v>0</v>
      </c>
      <c r="O537" s="129" t="str">
        <f>IF(E537&lt;&gt;"", _xlfn.XLOOKUP(E537, DATABASE_FG!C:C, DATABASE_FG!F:F), " ")</f>
        <v>Alama</v>
      </c>
      <c r="P537" s="129">
        <f>IFERROR(INDEX(DATABASE_FG!$G$5:$G$367, MATCH(E537, DATABASE_FG!$C$5:$C$367, 0)), "Not Found")</f>
        <v>0</v>
      </c>
      <c r="Q537" s="36"/>
      <c r="R537" s="125"/>
      <c r="S537" s="123">
        <f>IFERROR(INDEX(DATABASE_FG!$L$5:$L$367, MATCH(E537, DATABASE_FG!$C$5:$C$367, 0)), " ")</f>
        <v>42</v>
      </c>
      <c r="T537" s="36"/>
      <c r="U537" s="36"/>
      <c r="V537" s="36"/>
      <c r="W537" s="129"/>
      <c r="X537" s="36"/>
      <c r="Y537" s="36"/>
      <c r="Z537" s="36"/>
      <c r="AA537" s="125" t="s">
        <v>121</v>
      </c>
      <c r="AB537" s="173">
        <v>45409</v>
      </c>
      <c r="AC537" s="119">
        <v>20232238</v>
      </c>
      <c r="AD537" s="36">
        <f t="shared" si="71"/>
        <v>36550892</v>
      </c>
      <c r="AE537" s="36" t="str">
        <f t="shared" si="72"/>
        <v>EDP KUH.6317-A-M-3001 004</v>
      </c>
      <c r="AF537" s="36">
        <v>66</v>
      </c>
      <c r="AG537" s="120">
        <f t="shared" si="67"/>
        <v>227.04</v>
      </c>
      <c r="AH537" s="36"/>
      <c r="AI537" s="124"/>
      <c r="AJ537" s="122" t="s">
        <v>1344</v>
      </c>
      <c r="AK537" s="129" t="str">
        <f t="shared" ca="1" si="74"/>
        <v>Late</v>
      </c>
      <c r="AL537" s="268" t="str">
        <f t="shared" si="75"/>
        <v>April</v>
      </c>
      <c r="AM537" s="133">
        <f>YEAR(Table1[[#This Row],[ETA
As requested
dd.mm.yyyy]])</f>
        <v>2024</v>
      </c>
    </row>
    <row r="538" spans="1:39" hidden="1">
      <c r="A538" s="123" t="s">
        <v>83</v>
      </c>
      <c r="B538" s="36" t="s">
        <v>1170</v>
      </c>
      <c r="C538" s="117">
        <v>36550892</v>
      </c>
      <c r="D538" s="165">
        <v>45386</v>
      </c>
      <c r="E538" s="224" t="s">
        <v>86</v>
      </c>
      <c r="F538" s="36" t="str">
        <f>IFERROR(VLOOKUP(Table1[[#This Row],[Part Number]],DATABASE_FG!$C$6:D10527,2,FALSE)," ")</f>
        <v>096486538-0000</v>
      </c>
      <c r="G538" s="117" t="str">
        <f>IFERROR(_xlfn.XLOOKUP(Table1[[#This Row],[Part Number]],Table3[Part number],Table3[Drawing
 Revision]),"")</f>
        <v>AA</v>
      </c>
      <c r="H538" s="118" cm="1">
        <f t="array" ref="H538">IFERROR(INDEX(PDB!$C:$AT,MATCH(E538,PDB!$B:$B,0),MATCH(YEAR(K538),0+PDB!$C$1:$AT$1,0)),"")</f>
        <v>3.44</v>
      </c>
      <c r="I538" s="36"/>
      <c r="J538" s="125">
        <f>IFERROR(Table1[[#This Row],[Quantity]]*Table1[[#This Row],[Price/Unit
EUR]]," ")</f>
        <v>0</v>
      </c>
      <c r="K538" s="126">
        <v>45397</v>
      </c>
      <c r="L538" s="36">
        <f>WEEKNUM(Table1[[#This Row],[ETA
As requested
dd.mm.yyyy]])</f>
        <v>16</v>
      </c>
      <c r="M538" s="36">
        <f>YEAR(Table1[[#This Row],[ETA
As requested
dd.mm.yyyy]])</f>
        <v>2024</v>
      </c>
      <c r="N538" s="36">
        <f>IFERROR(INDEX(DATABASE_FG!$H$5:$H$367, MATCH(E538, DATABASE_FG!$C$5:$C$367, 0)), " ")</f>
        <v>0</v>
      </c>
      <c r="O538" s="129" t="str">
        <f>IF(E538&lt;&gt;"", _xlfn.XLOOKUP(E538, DATABASE_FG!C:C, DATABASE_FG!F:F), " ")</f>
        <v>Alama</v>
      </c>
      <c r="P538" s="129">
        <f>IFERROR(INDEX(DATABASE_FG!$G$5:$G$367, MATCH(E538, DATABASE_FG!$C$5:$C$367, 0)), "Not Found")</f>
        <v>0</v>
      </c>
      <c r="Q538" s="36"/>
      <c r="R538" s="125"/>
      <c r="S538" s="123">
        <f>IFERROR(INDEX(DATABASE_FG!$L$5:$L$367, MATCH(E538, DATABASE_FG!$C$5:$C$367, 0)), " ")</f>
        <v>42</v>
      </c>
      <c r="T538" s="36"/>
      <c r="U538" s="36"/>
      <c r="V538" s="36"/>
      <c r="W538" s="129"/>
      <c r="X538" s="36"/>
      <c r="Y538" s="36"/>
      <c r="Z538" s="36"/>
      <c r="AA538" s="125" t="s">
        <v>121</v>
      </c>
      <c r="AB538" s="172">
        <v>45409</v>
      </c>
      <c r="AC538" s="119">
        <v>2024418</v>
      </c>
      <c r="AD538" s="36">
        <f t="shared" si="71"/>
        <v>36550892</v>
      </c>
      <c r="AE538" s="36" t="str">
        <f t="shared" si="72"/>
        <v>EDP KUH.6317-A-M-3001 004</v>
      </c>
      <c r="AF538" s="36">
        <v>54</v>
      </c>
      <c r="AG538" s="120">
        <f t="shared" si="67"/>
        <v>185.76</v>
      </c>
      <c r="AH538" s="36">
        <v>14</v>
      </c>
      <c r="AI538" s="124" t="s">
        <v>1345</v>
      </c>
      <c r="AJ538" s="122"/>
      <c r="AK538" s="129" t="str">
        <f t="shared" ca="1" si="74"/>
        <v>Late</v>
      </c>
      <c r="AL538" s="268" t="str">
        <f t="shared" si="75"/>
        <v>April</v>
      </c>
      <c r="AM538" s="133">
        <f>YEAR(Table1[[#This Row],[ETA
As requested
dd.mm.yyyy]])</f>
        <v>2024</v>
      </c>
    </row>
    <row r="539" spans="1:39" hidden="1">
      <c r="A539" s="123" t="s">
        <v>83</v>
      </c>
      <c r="B539" s="36" t="s">
        <v>1170</v>
      </c>
      <c r="C539" s="117">
        <v>38594919</v>
      </c>
      <c r="D539" s="165">
        <v>45698</v>
      </c>
      <c r="E539" s="224" t="s">
        <v>86</v>
      </c>
      <c r="F539" s="36" t="str">
        <f>IFERROR(VLOOKUP(Table1[[#This Row],[Part Number]],DATABASE_FG!$C$6:D10528,2,FALSE)," ")</f>
        <v>096486538-0000</v>
      </c>
      <c r="G539" s="117" t="str">
        <f>IFERROR(_xlfn.XLOOKUP(Table1[[#This Row],[Part Number]],Table3[Part number],Table3[Drawing
 Revision]),"")</f>
        <v>AA</v>
      </c>
      <c r="H539" s="118" cm="1">
        <f t="array" ref="H539">IFERROR(INDEX(PDB!$C:$AT,MATCH(E539,PDB!$B:$B,0),MATCH(YEAR(K539),0+PDB!$C$1:$AT$1,0)),"")</f>
        <v>3.44</v>
      </c>
      <c r="I539" s="36">
        <v>5</v>
      </c>
      <c r="J539" s="125">
        <f>IFERROR(Table1[[#This Row],[Quantity]]*Table1[[#This Row],[Price/Unit
EUR]]," ")</f>
        <v>17.2</v>
      </c>
      <c r="K539" s="126">
        <v>45713</v>
      </c>
      <c r="L539" s="36">
        <f>WEEKNUM(Table1[[#This Row],[ETA
As requested
dd.mm.yyyy]])</f>
        <v>9</v>
      </c>
      <c r="M539" s="36">
        <f>YEAR(Table1[[#This Row],[ETA
As requested
dd.mm.yyyy]])</f>
        <v>2025</v>
      </c>
      <c r="N539" s="36"/>
      <c r="O539" s="129" t="str">
        <f>IF(E539&lt;&gt;"", _xlfn.XLOOKUP(E539, DATABASE_FG!C:C, DATABASE_FG!F:F), " ")</f>
        <v>Alama</v>
      </c>
      <c r="P539" s="129"/>
      <c r="Q539" s="36"/>
      <c r="R539" s="125" t="s">
        <v>678</v>
      </c>
      <c r="S539" s="123"/>
      <c r="T539" s="36" t="s">
        <v>679</v>
      </c>
      <c r="U539" s="36"/>
      <c r="V539" s="36"/>
      <c r="W539" s="129"/>
      <c r="X539" s="36"/>
      <c r="Y539" s="36" t="s">
        <v>121</v>
      </c>
      <c r="Z539" s="36"/>
      <c r="AA539" s="125" t="s">
        <v>121</v>
      </c>
      <c r="AB539" s="172">
        <v>45713</v>
      </c>
      <c r="AC539" s="119">
        <v>25263</v>
      </c>
      <c r="AD539" s="36">
        <f t="shared" si="71"/>
        <v>38594919</v>
      </c>
      <c r="AE539" s="36" t="str">
        <f t="shared" si="72"/>
        <v>EDP KUH.6317-A-M-3001 004</v>
      </c>
      <c r="AF539" s="36">
        <v>5</v>
      </c>
      <c r="AG539" s="120">
        <f t="shared" si="67"/>
        <v>17.2</v>
      </c>
      <c r="AH539" s="36"/>
      <c r="AI539" s="124"/>
      <c r="AJ539" s="122" t="s">
        <v>2884</v>
      </c>
      <c r="AK539" s="129" t="str">
        <f t="shared" ca="1" si="74"/>
        <v>On Time</v>
      </c>
      <c r="AL539" s="268" t="str">
        <f t="shared" si="75"/>
        <v>February</v>
      </c>
      <c r="AM539" s="133">
        <f>YEAR(Table1[[#This Row],[ETA
As requested
dd.mm.yyyy]])</f>
        <v>2025</v>
      </c>
    </row>
    <row r="540" spans="1:39" hidden="1">
      <c r="A540" s="123" t="s">
        <v>83</v>
      </c>
      <c r="B540" s="36" t="s">
        <v>1170</v>
      </c>
      <c r="C540" s="117">
        <v>38594919</v>
      </c>
      <c r="D540" s="165">
        <v>45698</v>
      </c>
      <c r="E540" s="224" t="s">
        <v>86</v>
      </c>
      <c r="F540" s="36" t="str">
        <f>IFERROR(VLOOKUP(Table1[[#This Row],[Part Number]],DATABASE_FG!$C$6:D10529,2,FALSE)," ")</f>
        <v>096486538-0000</v>
      </c>
      <c r="G540" s="117" t="str">
        <f>IFERROR(_xlfn.XLOOKUP(Table1[[#This Row],[Part Number]],Table3[Part number],Table3[Drawing
 Revision]),"")</f>
        <v>AA</v>
      </c>
      <c r="H540" s="118" cm="1">
        <f t="array" ref="H540">IFERROR(INDEX(PDB!$C:$AT,MATCH(E540,PDB!$B:$B,0),MATCH(YEAR(K540),0+PDB!$C$1:$AT$1,0)),"")</f>
        <v>3.44</v>
      </c>
      <c r="I540" s="36">
        <v>455</v>
      </c>
      <c r="J540" s="125">
        <f>IFERROR(Table1[[#This Row],[Quantity]]*Table1[[#This Row],[Price/Unit
EUR]]," ")</f>
        <v>1565.2</v>
      </c>
      <c r="K540" s="126">
        <v>45713</v>
      </c>
      <c r="L540" s="36">
        <f>WEEKNUM(Table1[[#This Row],[ETA
As requested
dd.mm.yyyy]])</f>
        <v>9</v>
      </c>
      <c r="M540" s="36">
        <f>YEAR(Table1[[#This Row],[ETA
As requested
dd.mm.yyyy]])</f>
        <v>2025</v>
      </c>
      <c r="N540" s="36"/>
      <c r="O540" s="129" t="str">
        <f>IF(E540&lt;&gt;"", _xlfn.XLOOKUP(E540, DATABASE_FG!C:C, DATABASE_FG!F:F), " ")</f>
        <v>Alama</v>
      </c>
      <c r="P540" s="129"/>
      <c r="Q540" s="36"/>
      <c r="R540" s="125" t="s">
        <v>678</v>
      </c>
      <c r="S540" s="123"/>
      <c r="T540" s="36" t="s">
        <v>679</v>
      </c>
      <c r="U540" s="36"/>
      <c r="V540" s="36"/>
      <c r="W540" s="129"/>
      <c r="X540" s="36"/>
      <c r="Y540" s="36" t="s">
        <v>121</v>
      </c>
      <c r="Z540" s="36"/>
      <c r="AA540" s="125" t="s">
        <v>121</v>
      </c>
      <c r="AB540" s="172">
        <v>45716</v>
      </c>
      <c r="AC540" s="119">
        <v>25278</v>
      </c>
      <c r="AD540" s="36">
        <f t="shared" si="71"/>
        <v>38594919</v>
      </c>
      <c r="AE540" s="36" t="str">
        <f t="shared" si="72"/>
        <v>EDP KUH.6317-A-M-3001 004</v>
      </c>
      <c r="AF540" s="36">
        <v>446</v>
      </c>
      <c r="AG540" s="120">
        <f t="shared" si="67"/>
        <v>1534.24</v>
      </c>
      <c r="AH540" s="36">
        <v>9</v>
      </c>
      <c r="AI540" s="124"/>
      <c r="AJ540" s="122" t="s">
        <v>2886</v>
      </c>
      <c r="AK540" s="129" t="str">
        <f t="shared" ca="1" si="74"/>
        <v>Late</v>
      </c>
      <c r="AL540" s="268" t="str">
        <f t="shared" si="75"/>
        <v>February</v>
      </c>
      <c r="AM540" s="133">
        <f>YEAR(Table1[[#This Row],[ETA
As requested
dd.mm.yyyy]])</f>
        <v>2025</v>
      </c>
    </row>
    <row r="541" spans="1:39" hidden="1">
      <c r="A541" s="123" t="s">
        <v>83</v>
      </c>
      <c r="B541" s="36" t="s">
        <v>1170</v>
      </c>
      <c r="C541" s="117">
        <v>38698799</v>
      </c>
      <c r="D541" s="165">
        <v>45713</v>
      </c>
      <c r="E541" s="224" t="s">
        <v>86</v>
      </c>
      <c r="F541" s="36" t="str">
        <f>IFERROR(VLOOKUP(Table1[[#This Row],[Part Number]],DATABASE_FG!$C$6:D10530,2,FALSE)," ")</f>
        <v>096486538-0000</v>
      </c>
      <c r="G541" s="117" t="str">
        <f>IFERROR(_xlfn.XLOOKUP(Table1[[#This Row],[Part Number]],Table3[Part number],Table3[Drawing
 Revision]),"")</f>
        <v>AA</v>
      </c>
      <c r="H541" s="118" cm="1">
        <f t="array" ref="H541">IFERROR(INDEX(PDB!$C:$AT,MATCH(E541,PDB!$B:$B,0),MATCH(YEAR(K541),0+PDB!$C$1:$AT$1,0)),"")</f>
        <v>3.44</v>
      </c>
      <c r="I541" s="36">
        <v>30</v>
      </c>
      <c r="J541" s="125">
        <f>IFERROR(Table1[[#This Row],[Quantity]]*Table1[[#This Row],[Price/Unit
EUR]]," ")</f>
        <v>103.2</v>
      </c>
      <c r="K541" s="126">
        <v>45716</v>
      </c>
      <c r="L541" s="36">
        <f>WEEKNUM(Table1[[#This Row],[ETA
As requested
dd.mm.yyyy]])</f>
        <v>9</v>
      </c>
      <c r="M541" s="36">
        <f>YEAR(Table1[[#This Row],[ETA
As requested
dd.mm.yyyy]])</f>
        <v>2025</v>
      </c>
      <c r="N541" s="36"/>
      <c r="O541" s="129" t="str">
        <f>IF(E541&lt;&gt;"", _xlfn.XLOOKUP(E541, DATABASE_FG!C:C, DATABASE_FG!F:F), " ")</f>
        <v>Alama</v>
      </c>
      <c r="P541" s="129">
        <f>IFERROR(INDEX(DATABASE_FG!$G$5:$G$367, MATCH(E541, DATABASE_FG!$C$5:$C$367, 0)), "Not Found")</f>
        <v>0</v>
      </c>
      <c r="Q541" s="36"/>
      <c r="R541" s="125" t="s">
        <v>678</v>
      </c>
      <c r="S541" s="123">
        <f>IFERROR(INDEX(DATABASE_FG!$L$5:$L$367, MATCH(E541, DATABASE_FG!$C$5:$C$367, 0)), " ")</f>
        <v>42</v>
      </c>
      <c r="T541" s="36" t="s">
        <v>679</v>
      </c>
      <c r="U541" s="36"/>
      <c r="V541" s="36"/>
      <c r="W541" s="129"/>
      <c r="X541" s="36"/>
      <c r="Y541" s="36"/>
      <c r="Z541" s="36"/>
      <c r="AA541" s="125" t="s">
        <v>121</v>
      </c>
      <c r="AB541" s="172">
        <v>45728</v>
      </c>
      <c r="AC541" s="119">
        <v>25361</v>
      </c>
      <c r="AD541" s="36">
        <f t="shared" si="71"/>
        <v>38698799</v>
      </c>
      <c r="AE541" s="36" t="str">
        <f t="shared" si="72"/>
        <v>EDP KUH.6317-A-M-3001 004</v>
      </c>
      <c r="AF541" s="36">
        <v>30</v>
      </c>
      <c r="AG541" s="120">
        <f t="shared" si="67"/>
        <v>103.2</v>
      </c>
      <c r="AH541" s="36"/>
      <c r="AI541" s="124"/>
      <c r="AJ541" s="122" t="s">
        <v>2900</v>
      </c>
      <c r="AK541" s="129" t="str">
        <f t="shared" ca="1" si="74"/>
        <v>Late</v>
      </c>
      <c r="AL541" s="268" t="str">
        <f t="shared" si="75"/>
        <v>February</v>
      </c>
      <c r="AM541" s="133">
        <f>YEAR(Table1[[#This Row],[ETA
As requested
dd.mm.yyyy]])</f>
        <v>2025</v>
      </c>
    </row>
    <row r="542" spans="1:39" hidden="1">
      <c r="A542" s="123" t="s">
        <v>83</v>
      </c>
      <c r="B542" s="36" t="s">
        <v>1170</v>
      </c>
      <c r="C542" s="117">
        <v>38594919</v>
      </c>
      <c r="D542" s="165">
        <v>45698</v>
      </c>
      <c r="E542" s="224" t="s">
        <v>86</v>
      </c>
      <c r="F542" s="36" t="str">
        <f>IFERROR(VLOOKUP(Table1[[#This Row],[Part Number]],DATABASE_FG!$C$6:D10531,2,FALSE)," ")</f>
        <v>096486538-0000</v>
      </c>
      <c r="G542" s="117" t="str">
        <f>IFERROR(_xlfn.XLOOKUP(Table1[[#This Row],[Part Number]],Table3[Part number],Table3[Drawing
 Revision]),"")</f>
        <v>AA</v>
      </c>
      <c r="H542" s="118" cm="1">
        <f t="array" ref="H542">IFERROR(INDEX(PDB!$C:$AT,MATCH(E542,PDB!$B:$B,0),MATCH(YEAR(K542),0+PDB!$C$1:$AT$1,0)),"")</f>
        <v>3.44</v>
      </c>
      <c r="I542" s="36">
        <v>126</v>
      </c>
      <c r="J542" s="125">
        <f>IFERROR(Table1[[#This Row],[Quantity]]*Table1[[#This Row],[Price/Unit
EUR]]," ")</f>
        <v>433.44</v>
      </c>
      <c r="K542" s="126">
        <v>45838</v>
      </c>
      <c r="L542" s="36">
        <f>WEEKNUM(Table1[[#This Row],[ETA
As requested
dd.mm.yyyy]])</f>
        <v>27</v>
      </c>
      <c r="M542" s="36">
        <f>YEAR(Table1[[#This Row],[ETA
As requested
dd.mm.yyyy]])</f>
        <v>2025</v>
      </c>
      <c r="N542" s="36">
        <f>IFERROR(INDEX(DATABASE_FG!$H$5:$H$367, MATCH(E542, DATABASE_FG!$C$5:$C$367, 0)), " ")</f>
        <v>0</v>
      </c>
      <c r="O542" s="129" t="str">
        <f>IF(E542&lt;&gt;"", _xlfn.XLOOKUP(E542, DATABASE_FG!C:C, DATABASE_FG!F:F), " ")</f>
        <v>Alama</v>
      </c>
      <c r="P542" s="129"/>
      <c r="Q542" s="36"/>
      <c r="R542" s="125" t="s">
        <v>678</v>
      </c>
      <c r="S542" s="123">
        <f>Table1[[#This Row],[Quantity]]/48</f>
        <v>2.625</v>
      </c>
      <c r="T542" s="36" t="s">
        <v>679</v>
      </c>
      <c r="U542" s="36"/>
      <c r="V542" s="36"/>
      <c r="W542" s="129"/>
      <c r="X542" s="36"/>
      <c r="Y542" s="36"/>
      <c r="Z542" s="36"/>
      <c r="AA542" s="125" t="s">
        <v>121</v>
      </c>
      <c r="AB542" s="172">
        <v>45838</v>
      </c>
      <c r="AC542" s="119">
        <v>260013</v>
      </c>
      <c r="AD542" s="36">
        <f t="shared" si="71"/>
        <v>38594919</v>
      </c>
      <c r="AE542" s="36" t="str">
        <f t="shared" si="72"/>
        <v>EDP KUH.6317-A-M-3001 004</v>
      </c>
      <c r="AF542" s="36">
        <v>126</v>
      </c>
      <c r="AG542" s="120">
        <f t="shared" si="67"/>
        <v>433.44</v>
      </c>
      <c r="AH542" s="36"/>
      <c r="AI542" s="124"/>
      <c r="AJ542" s="122" t="s">
        <v>3372</v>
      </c>
      <c r="AK542" s="129" t="str">
        <f t="shared" ca="1" si="74"/>
        <v>On Time</v>
      </c>
      <c r="AL542" s="268" t="str">
        <f t="shared" si="75"/>
        <v>June</v>
      </c>
      <c r="AM542" s="133">
        <f>YEAR(Table1[[#This Row],[ETA
As requested
dd.mm.yyyy]])</f>
        <v>2025</v>
      </c>
    </row>
    <row r="543" spans="1:39" hidden="1">
      <c r="A543" s="123" t="s">
        <v>83</v>
      </c>
      <c r="B543" s="36" t="s">
        <v>1170</v>
      </c>
      <c r="C543" s="117">
        <v>38594919</v>
      </c>
      <c r="D543" s="165">
        <v>45698</v>
      </c>
      <c r="E543" s="224" t="s">
        <v>86</v>
      </c>
      <c r="F543" s="36" t="str">
        <f>IFERROR(VLOOKUP(Table1[[#This Row],[Part Number]],DATABASE_FG!$C$6:D10532,2,FALSE)," ")</f>
        <v>096486538-0000</v>
      </c>
      <c r="G543" s="117" t="str">
        <f>IFERROR(_xlfn.XLOOKUP(Table1[[#This Row],[Part Number]],Table3[Part number],Table3[Drawing
 Revision]),"")</f>
        <v>AA</v>
      </c>
      <c r="H543" s="118" cm="1">
        <f t="array" ref="H543">IFERROR(INDEX(PDB!$C:$AT,MATCH(E543,PDB!$B:$B,0),MATCH(YEAR(K543),0+PDB!$C$1:$AT$1,0)),"")</f>
        <v>3.44</v>
      </c>
      <c r="I543" s="36">
        <v>144</v>
      </c>
      <c r="J543" s="125">
        <f>IFERROR(Table1[[#This Row],[Quantity]]*Table1[[#This Row],[Price/Unit
EUR]]," ")</f>
        <v>495.36</v>
      </c>
      <c r="K543" s="126">
        <v>45838</v>
      </c>
      <c r="L543" s="36">
        <f>WEEKNUM(Table1[[#This Row],[ETA
As requested
dd.mm.yyyy]])</f>
        <v>27</v>
      </c>
      <c r="M543" s="36">
        <f>YEAR(Table1[[#This Row],[ETA
As requested
dd.mm.yyyy]])</f>
        <v>2025</v>
      </c>
      <c r="N543" s="36">
        <f>IFERROR(INDEX(DATABASE_FG!$H$5:$H$367, MATCH(E543, DATABASE_FG!$C$5:$C$367, 0)), " ")</f>
        <v>0</v>
      </c>
      <c r="O543" s="129" t="str">
        <f>IF(E543&lt;&gt;"", _xlfn.XLOOKUP(E543, DATABASE_FG!C:C, DATABASE_FG!F:F), " ")</f>
        <v>Alama</v>
      </c>
      <c r="P543" s="129"/>
      <c r="Q543" s="36"/>
      <c r="R543" s="125" t="s">
        <v>678</v>
      </c>
      <c r="S543" s="123">
        <f>Table1[[#This Row],[Quantity]]/48</f>
        <v>3</v>
      </c>
      <c r="T543" s="36" t="s">
        <v>679</v>
      </c>
      <c r="U543" s="36"/>
      <c r="V543" s="36"/>
      <c r="W543" s="129"/>
      <c r="X543" s="36"/>
      <c r="Y543" s="36"/>
      <c r="Z543" s="36"/>
      <c r="AA543" s="125" t="s">
        <v>121</v>
      </c>
      <c r="AB543" s="172">
        <v>45839</v>
      </c>
      <c r="AC543" s="119">
        <v>251001</v>
      </c>
      <c r="AD543" s="36">
        <f t="shared" si="71"/>
        <v>38594919</v>
      </c>
      <c r="AE543" s="36" t="str">
        <f t="shared" si="72"/>
        <v>EDP KUH.6317-A-M-3001 004</v>
      </c>
      <c r="AF543" s="36">
        <v>144</v>
      </c>
      <c r="AG543" s="120">
        <f t="shared" si="67"/>
        <v>495.36</v>
      </c>
      <c r="AH543" s="36"/>
      <c r="AI543" s="124"/>
      <c r="AJ543" s="122" t="s">
        <v>3374</v>
      </c>
      <c r="AK543" s="129" t="str">
        <f t="shared" ca="1" si="74"/>
        <v>On Time</v>
      </c>
      <c r="AL543" s="268" t="str">
        <f t="shared" si="75"/>
        <v>June</v>
      </c>
      <c r="AM543" s="133">
        <f>YEAR(Table1[[#This Row],[ETA
As requested
dd.mm.yyyy]])</f>
        <v>2025</v>
      </c>
    </row>
    <row r="544" spans="1:39" hidden="1">
      <c r="A544" s="123" t="s">
        <v>83</v>
      </c>
      <c r="B544" s="36" t="s">
        <v>1170</v>
      </c>
      <c r="C544" s="117">
        <v>38594919</v>
      </c>
      <c r="D544" s="165">
        <v>45698</v>
      </c>
      <c r="E544" s="224" t="s">
        <v>86</v>
      </c>
      <c r="F544" s="36" t="str">
        <f>IFERROR(VLOOKUP(Table1[[#This Row],[Part Number]],DATABASE_FG!$C$6:D10533,2,FALSE)," ")</f>
        <v>096486538-0000</v>
      </c>
      <c r="G544" s="117" t="str">
        <f>IFERROR(_xlfn.XLOOKUP(Table1[[#This Row],[Part Number]],Table3[Part number],Table3[Drawing
 Revision]),"")</f>
        <v>AA</v>
      </c>
      <c r="H544" s="118" cm="1">
        <f t="array" ref="H544">IFERROR(INDEX(PDB!$C:$AT,MATCH(E544,PDB!$B:$B,0),MATCH(YEAR(K544),0+PDB!$C$1:$AT$1,0)),"")</f>
        <v>3.44</v>
      </c>
      <c r="I544" s="36">
        <v>144</v>
      </c>
      <c r="J544" s="125">
        <f>IFERROR(Table1[[#This Row],[Quantity]]*Table1[[#This Row],[Price/Unit
EUR]]," ")</f>
        <v>495.36</v>
      </c>
      <c r="K544" s="126">
        <v>45838</v>
      </c>
      <c r="L544" s="36">
        <f>WEEKNUM(Table1[[#This Row],[ETA
As requested
dd.mm.yyyy]])</f>
        <v>27</v>
      </c>
      <c r="M544" s="36">
        <f>YEAR(Table1[[#This Row],[ETA
As requested
dd.mm.yyyy]])</f>
        <v>2025</v>
      </c>
      <c r="N544" s="36">
        <f>IFERROR(INDEX(DATABASE_FG!$H$5:$H$367, MATCH(E544, DATABASE_FG!$C$5:$C$367, 0)), " ")</f>
        <v>0</v>
      </c>
      <c r="O544" s="129" t="str">
        <f>IF(E544&lt;&gt;"", _xlfn.XLOOKUP(E544, DATABASE_FG!C:C, DATABASE_FG!F:F), " ")</f>
        <v>Alama</v>
      </c>
      <c r="P544" s="129"/>
      <c r="Q544" s="36"/>
      <c r="R544" s="125" t="s">
        <v>678</v>
      </c>
      <c r="S544" s="123">
        <f>Table1[[#This Row],[Quantity]]/48</f>
        <v>3</v>
      </c>
      <c r="T544" s="36" t="s">
        <v>679</v>
      </c>
      <c r="U544" s="36"/>
      <c r="V544" s="36"/>
      <c r="W544" s="129"/>
      <c r="X544" s="36"/>
      <c r="Y544" s="36"/>
      <c r="Z544" s="36"/>
      <c r="AA544" s="125" t="s">
        <v>121</v>
      </c>
      <c r="AB544" s="172">
        <v>45840</v>
      </c>
      <c r="AC544" s="119">
        <v>260032</v>
      </c>
      <c r="AD544" s="36">
        <f t="shared" si="71"/>
        <v>38594919</v>
      </c>
      <c r="AE544" s="36" t="str">
        <f t="shared" si="72"/>
        <v>EDP KUH.6317-A-M-3001 004</v>
      </c>
      <c r="AF544" s="36">
        <v>144</v>
      </c>
      <c r="AG544" s="120">
        <f t="shared" si="67"/>
        <v>495.36</v>
      </c>
      <c r="AH544" s="36"/>
      <c r="AI544" s="124"/>
      <c r="AJ544" s="122" t="s">
        <v>3375</v>
      </c>
      <c r="AK544" s="129" t="str">
        <f t="shared" ca="1" si="74"/>
        <v>On Time</v>
      </c>
      <c r="AL544" s="268" t="str">
        <f t="shared" si="75"/>
        <v>June</v>
      </c>
      <c r="AM544" s="133">
        <f>YEAR(Table1[[#This Row],[ETA
As requested
dd.mm.yyyy]])</f>
        <v>2025</v>
      </c>
    </row>
    <row r="545" spans="1:39" ht="36.75" hidden="1">
      <c r="A545" s="123" t="s">
        <v>83</v>
      </c>
      <c r="B545" s="36" t="s">
        <v>1170</v>
      </c>
      <c r="C545" s="210">
        <v>39546441</v>
      </c>
      <c r="D545" s="165">
        <v>45698</v>
      </c>
      <c r="E545" s="224" t="s">
        <v>86</v>
      </c>
      <c r="F545" s="36" t="str">
        <f>IFERROR(VLOOKUP(Table1[[#This Row],[Part Number]],DATABASE_FG!$C$6:D10534,2,FALSE)," ")</f>
        <v>096486538-0000</v>
      </c>
      <c r="G545" s="117" t="str">
        <f>IFERROR(_xlfn.XLOOKUP(Table1[[#This Row],[Part Number]],Table3[Part number],Table3[Drawing
 Revision]),"")</f>
        <v>AA</v>
      </c>
      <c r="H545" s="118" cm="1">
        <f t="array" ref="H545">IFERROR(INDEX(PDB!$C:$AT,MATCH(E545,PDB!$B:$B,0),MATCH(YEAR(K545),0+PDB!$C$1:$AT$1,0)),"")</f>
        <v>3.44</v>
      </c>
      <c r="I545" s="36">
        <v>84</v>
      </c>
      <c r="J545" s="125">
        <f>IFERROR(Table1[[#This Row],[Quantity]]*Table1[[#This Row],[Price/Unit
EUR]]," ")</f>
        <v>288.95999999999998</v>
      </c>
      <c r="K545" s="126">
        <v>45838</v>
      </c>
      <c r="L545" s="36">
        <f>WEEKNUM(Table1[[#This Row],[ETA
As requested
dd.mm.yyyy]])</f>
        <v>27</v>
      </c>
      <c r="M545" s="36">
        <f>YEAR(Table1[[#This Row],[ETA
As requested
dd.mm.yyyy]])</f>
        <v>2025</v>
      </c>
      <c r="N545" s="36">
        <f>IFERROR(INDEX(DATABASE_FG!$H$5:$H$367, MATCH(E545, DATABASE_FG!$C$5:$C$367, 0)), " ")</f>
        <v>0</v>
      </c>
      <c r="O545" s="129" t="str">
        <f>IF(E545&lt;&gt;"", _xlfn.XLOOKUP(E545, DATABASE_FG!C:C, DATABASE_FG!F:F), " ")</f>
        <v>Alama</v>
      </c>
      <c r="P545" s="129"/>
      <c r="Q545" s="36"/>
      <c r="R545" s="125" t="s">
        <v>678</v>
      </c>
      <c r="S545" s="123">
        <f>Table1[[#This Row],[Quantity]]/48</f>
        <v>1.75</v>
      </c>
      <c r="T545" s="36" t="s">
        <v>679</v>
      </c>
      <c r="U545" s="36"/>
      <c r="V545" s="36"/>
      <c r="W545" s="129"/>
      <c r="X545" s="36"/>
      <c r="Y545" s="36"/>
      <c r="Z545" s="36"/>
      <c r="AA545" s="125" t="s">
        <v>121</v>
      </c>
      <c r="AB545" s="172">
        <v>45841</v>
      </c>
      <c r="AC545" s="119">
        <v>251061</v>
      </c>
      <c r="AD545" s="36">
        <f t="shared" si="71"/>
        <v>39546441</v>
      </c>
      <c r="AE545" s="36" t="str">
        <f t="shared" si="72"/>
        <v>EDP KUH.6317-A-M-3001 004</v>
      </c>
      <c r="AF545" s="36">
        <v>84</v>
      </c>
      <c r="AG545" s="120">
        <f t="shared" si="67"/>
        <v>288.95999999999998</v>
      </c>
      <c r="AH545" s="36"/>
      <c r="AI545" s="217" t="s">
        <v>3376</v>
      </c>
      <c r="AJ545" s="122" t="s">
        <v>3377</v>
      </c>
      <c r="AK545" s="129" t="str">
        <f t="shared" ca="1" si="74"/>
        <v>Late</v>
      </c>
      <c r="AL545" s="268" t="str">
        <f t="shared" si="75"/>
        <v>June</v>
      </c>
      <c r="AM545" s="133">
        <f>YEAR(Table1[[#This Row],[ETA
As requested
dd.mm.yyyy]])</f>
        <v>2025</v>
      </c>
    </row>
    <row r="546" spans="1:39" hidden="1">
      <c r="A546" s="123" t="s">
        <v>83</v>
      </c>
      <c r="B546" s="36" t="s">
        <v>1170</v>
      </c>
      <c r="C546" s="117">
        <v>38594919</v>
      </c>
      <c r="D546" s="165">
        <v>45698</v>
      </c>
      <c r="E546" s="224" t="s">
        <v>86</v>
      </c>
      <c r="F546" s="36" t="str">
        <f>IFERROR(VLOOKUP(Table1[[#This Row],[Part Number]],DATABASE_FG!$C$6:D10535,2,FALSE)," ")</f>
        <v>096486538-0000</v>
      </c>
      <c r="G546" s="117" t="str">
        <f>IFERROR(_xlfn.XLOOKUP(Table1[[#This Row],[Part Number]],Table3[Part number],Table3[Drawing
 Revision]),"")</f>
        <v>AA</v>
      </c>
      <c r="H546" s="118" cm="1">
        <f t="array" ref="H546">IFERROR(INDEX(PDB!$C:$AT,MATCH(E546,PDB!$B:$B,0),MATCH(YEAR(K546),0+PDB!$C$1:$AT$1,0)),"")</f>
        <v>3.44</v>
      </c>
      <c r="I546" s="36">
        <v>157</v>
      </c>
      <c r="J546" s="125">
        <f>IFERROR(Table1[[#This Row],[Quantity]]*Table1[[#This Row],[Price/Unit
EUR]]," ")</f>
        <v>540.08000000000004</v>
      </c>
      <c r="K546" s="126">
        <v>45838</v>
      </c>
      <c r="L546" s="36">
        <f>WEEKNUM(Table1[[#This Row],[ETA
As requested
dd.mm.yyyy]])</f>
        <v>27</v>
      </c>
      <c r="M546" s="36">
        <f>YEAR(Table1[[#This Row],[ETA
As requested
dd.mm.yyyy]])</f>
        <v>2025</v>
      </c>
      <c r="N546" s="36">
        <f>IFERROR(INDEX(DATABASE_FG!$H$5:$H$367, MATCH(E546, DATABASE_FG!$C$5:$C$367, 0)), " ")</f>
        <v>0</v>
      </c>
      <c r="O546" s="129" t="str">
        <f>IF(E546&lt;&gt;"", _xlfn.XLOOKUP(E546, DATABASE_FG!C:C, DATABASE_FG!F:F), " ")</f>
        <v>Alama</v>
      </c>
      <c r="P546" s="129"/>
      <c r="Q546" s="36"/>
      <c r="R546" s="125" t="s">
        <v>678</v>
      </c>
      <c r="S546" s="123">
        <f>Table1[[#This Row],[Quantity]]/48</f>
        <v>3.2708333333333335</v>
      </c>
      <c r="T546" s="36" t="s">
        <v>679</v>
      </c>
      <c r="U546" s="36"/>
      <c r="V546" s="36"/>
      <c r="W546" s="129"/>
      <c r="X546" s="36"/>
      <c r="Y546" s="36"/>
      <c r="Z546" s="36"/>
      <c r="AA546" s="125" t="s">
        <v>121</v>
      </c>
      <c r="AB546" s="172">
        <v>45842</v>
      </c>
      <c r="AC546" s="119">
        <v>251029</v>
      </c>
      <c r="AD546" s="36">
        <f t="shared" si="71"/>
        <v>38594919</v>
      </c>
      <c r="AE546" s="36" t="str">
        <f t="shared" si="72"/>
        <v>EDP KUH.6317-A-M-3001 004</v>
      </c>
      <c r="AF546" s="36">
        <v>157</v>
      </c>
      <c r="AG546" s="120">
        <f t="shared" ref="AG546:AG609" si="76">AF546*H546</f>
        <v>540.08000000000004</v>
      </c>
      <c r="AH546" s="36"/>
      <c r="AI546" s="124"/>
      <c r="AJ546" s="122" t="s">
        <v>3378</v>
      </c>
      <c r="AK546" s="129" t="str">
        <f t="shared" ca="1" si="74"/>
        <v>Late</v>
      </c>
      <c r="AL546" s="268" t="str">
        <f t="shared" si="75"/>
        <v>June</v>
      </c>
      <c r="AM546" s="133">
        <f>YEAR(Table1[[#This Row],[ETA
As requested
dd.mm.yyyy]])</f>
        <v>2025</v>
      </c>
    </row>
    <row r="547" spans="1:39" hidden="1">
      <c r="A547" s="123" t="s">
        <v>83</v>
      </c>
      <c r="B547" s="36" t="s">
        <v>1170</v>
      </c>
      <c r="C547" s="117">
        <v>39745683</v>
      </c>
      <c r="D547" s="165">
        <v>45862</v>
      </c>
      <c r="E547" s="224" t="s">
        <v>86</v>
      </c>
      <c r="F547" s="36" t="str">
        <f>IFERROR(VLOOKUP(Table1[[#This Row],[Part Number]],DATABASE_FG!$C$6:D10536,2,FALSE)," ")</f>
        <v>096486538-0000</v>
      </c>
      <c r="G547" s="117" t="str">
        <f>IFERROR(_xlfn.XLOOKUP(Table1[[#This Row],[Part Number]],Table3[Part number],Table3[Drawing
 Revision]),"")</f>
        <v>AA</v>
      </c>
      <c r="H547" s="118" cm="1">
        <f t="array" ref="H547">IFERROR(INDEX(PDB!$C:$AT,MATCH(E547,PDB!$B:$B,0),MATCH(YEAR(K547),0+PDB!$C$1:$AT$1,0)),"")</f>
        <v>3.44</v>
      </c>
      <c r="I547" s="36">
        <v>66</v>
      </c>
      <c r="J547" s="125">
        <f>IFERROR(Table1[[#This Row],[Quantity]]*Table1[[#This Row],[Price/Unit
EUR]]," ")</f>
        <v>227.04</v>
      </c>
      <c r="K547" s="126">
        <v>45869</v>
      </c>
      <c r="L547" s="36">
        <f>WEEKNUM(Table1[[#This Row],[ETA
As requested
dd.mm.yyyy]])</f>
        <v>31</v>
      </c>
      <c r="M547" s="36">
        <f>YEAR(Table1[[#This Row],[ETA
As requested
dd.mm.yyyy]])</f>
        <v>2025</v>
      </c>
      <c r="N547" s="36">
        <f>IFERROR(INDEX(DATABASE_FG!$H$5:$H$367, MATCH(E547, DATABASE_FG!$C$5:$C$367, 0)), " ")</f>
        <v>0</v>
      </c>
      <c r="O547" s="129" t="str">
        <f>IF(E547&lt;&gt;"", _xlfn.XLOOKUP(E547, DATABASE_FG!C:C, DATABASE_FG!F:F), " ")</f>
        <v>Alama</v>
      </c>
      <c r="P547" s="129"/>
      <c r="Q547" s="36"/>
      <c r="R547" s="125" t="s">
        <v>678</v>
      </c>
      <c r="S547" s="123">
        <f>Table1[[#This Row],[Quantity]]/48</f>
        <v>1.375</v>
      </c>
      <c r="T547" s="36" t="s">
        <v>679</v>
      </c>
      <c r="U547" s="36"/>
      <c r="V547" s="36"/>
      <c r="W547" s="129"/>
      <c r="X547" s="36"/>
      <c r="Y547" s="36"/>
      <c r="Z547" s="36"/>
      <c r="AA547" s="125" t="s">
        <v>121</v>
      </c>
      <c r="AB547" s="172">
        <v>45862</v>
      </c>
      <c r="AC547" s="119">
        <v>202551</v>
      </c>
      <c r="AD547" s="36">
        <f t="shared" si="71"/>
        <v>39745683</v>
      </c>
      <c r="AE547" s="36" t="str">
        <f t="shared" si="72"/>
        <v>EDP KUH.6317-A-M-3001 004</v>
      </c>
      <c r="AF547" s="36">
        <v>66</v>
      </c>
      <c r="AG547" s="120">
        <f t="shared" si="76"/>
        <v>227.04</v>
      </c>
      <c r="AH547" s="36"/>
      <c r="AI547" s="124"/>
      <c r="AJ547" s="122" t="s">
        <v>3487</v>
      </c>
      <c r="AK547" s="129" t="str">
        <f t="shared" ca="1" si="74"/>
        <v>On Time</v>
      </c>
      <c r="AL547" s="268" t="str">
        <f t="shared" si="75"/>
        <v>July</v>
      </c>
      <c r="AM547" s="133">
        <f>YEAR(Table1[[#This Row],[ETA
As requested
dd.mm.yyyy]])</f>
        <v>2025</v>
      </c>
    </row>
    <row r="548" spans="1:39" hidden="1">
      <c r="A548" s="123" t="s">
        <v>83</v>
      </c>
      <c r="B548" s="36" t="s">
        <v>1170</v>
      </c>
      <c r="C548" s="117">
        <v>39745683</v>
      </c>
      <c r="D548" s="165">
        <v>45862</v>
      </c>
      <c r="E548" s="224" t="s">
        <v>86</v>
      </c>
      <c r="F548" s="36" t="str">
        <f>IFERROR(VLOOKUP(Table1[[#This Row],[Part Number]],DATABASE_FG!$C$6:D10537,2,FALSE)," ")</f>
        <v>096486538-0000</v>
      </c>
      <c r="G548" s="117" t="str">
        <f>IFERROR(_xlfn.XLOOKUP(Table1[[#This Row],[Part Number]],Table3[Part number],Table3[Drawing
 Revision]),"")</f>
        <v>AA</v>
      </c>
      <c r="H548" s="118" cm="1">
        <f t="array" ref="H548">IFERROR(INDEX(PDB!$C:$AT,MATCH(E548,PDB!$B:$B,0),MATCH(YEAR(K548),0+PDB!$C$1:$AT$1,0)),"")</f>
        <v>3.44</v>
      </c>
      <c r="I548" s="36">
        <v>66</v>
      </c>
      <c r="J548" s="125">
        <f>IFERROR(Table1[[#This Row],[Quantity]]*Table1[[#This Row],[Price/Unit
EUR]]," ")</f>
        <v>227.04</v>
      </c>
      <c r="K548" s="126">
        <v>45869</v>
      </c>
      <c r="L548" s="36">
        <f>WEEKNUM(Table1[[#This Row],[ETA
As requested
dd.mm.yyyy]])</f>
        <v>31</v>
      </c>
      <c r="M548" s="36">
        <f>YEAR(Table1[[#This Row],[ETA
As requested
dd.mm.yyyy]])</f>
        <v>2025</v>
      </c>
      <c r="N548" s="36">
        <f>IFERROR(INDEX(DATABASE_FG!$H$5:$H$367, MATCH(E548, DATABASE_FG!$C$5:$C$367, 0)), " ")</f>
        <v>0</v>
      </c>
      <c r="O548" s="129" t="str">
        <f>IF(E548&lt;&gt;"", _xlfn.XLOOKUP(E548, DATABASE_FG!C:C, DATABASE_FG!F:F), " ")</f>
        <v>Alama</v>
      </c>
      <c r="P548" s="129"/>
      <c r="Q548" s="36"/>
      <c r="R548" s="125" t="s">
        <v>678</v>
      </c>
      <c r="S548" s="123">
        <f>Table1[[#This Row],[Quantity]]/48</f>
        <v>1.375</v>
      </c>
      <c r="T548" s="36" t="s">
        <v>679</v>
      </c>
      <c r="U548" s="36"/>
      <c r="V548" s="36"/>
      <c r="W548" s="129"/>
      <c r="X548" s="36"/>
      <c r="Y548" s="36"/>
      <c r="Z548" s="36"/>
      <c r="AA548" s="125" t="s">
        <v>121</v>
      </c>
      <c r="AB548" s="172">
        <v>45863</v>
      </c>
      <c r="AC548" s="119">
        <v>202556</v>
      </c>
      <c r="AD548" s="36">
        <f t="shared" si="71"/>
        <v>39745683</v>
      </c>
      <c r="AE548" s="36" t="str">
        <f t="shared" si="72"/>
        <v>EDP KUH.6317-A-M-3001 004</v>
      </c>
      <c r="AF548" s="36">
        <v>66</v>
      </c>
      <c r="AG548" s="120">
        <f t="shared" si="76"/>
        <v>227.04</v>
      </c>
      <c r="AH548" s="36"/>
      <c r="AI548" s="124"/>
      <c r="AJ548" s="122" t="s">
        <v>3489</v>
      </c>
      <c r="AK548" s="129" t="str">
        <f t="shared" ca="1" si="74"/>
        <v>On Time</v>
      </c>
      <c r="AL548" s="268" t="str">
        <f t="shared" si="75"/>
        <v>July</v>
      </c>
      <c r="AM548" s="133">
        <f>YEAR(Table1[[#This Row],[ETA
As requested
dd.mm.yyyy]])</f>
        <v>2025</v>
      </c>
    </row>
    <row r="549" spans="1:39" hidden="1">
      <c r="A549" s="123" t="s">
        <v>83</v>
      </c>
      <c r="B549" s="36" t="s">
        <v>1170</v>
      </c>
      <c r="C549" s="117">
        <v>39745683</v>
      </c>
      <c r="D549" s="165">
        <v>45862</v>
      </c>
      <c r="E549" s="224" t="s">
        <v>86</v>
      </c>
      <c r="F549" s="36" t="str">
        <f>IFERROR(VLOOKUP(Table1[[#This Row],[Part Number]],DATABASE_FG!$C$6:D10538,2,FALSE)," ")</f>
        <v>096486538-0000</v>
      </c>
      <c r="G549" s="117" t="str">
        <f>IFERROR(_xlfn.XLOOKUP(Table1[[#This Row],[Part Number]],Table3[Part number],Table3[Drawing
 Revision]),"")</f>
        <v>AA</v>
      </c>
      <c r="H549" s="118" cm="1">
        <f t="array" ref="H549">IFERROR(INDEX(PDB!$C:$AT,MATCH(E549,PDB!$B:$B,0),MATCH(YEAR(K549),0+PDB!$C$1:$AT$1,0)),"")</f>
        <v>3.44</v>
      </c>
      <c r="I549" s="36">
        <v>132</v>
      </c>
      <c r="J549" s="125">
        <f>IFERROR(Table1[[#This Row],[Quantity]]*Table1[[#This Row],[Price/Unit
EUR]]," ")</f>
        <v>454.08</v>
      </c>
      <c r="K549" s="126">
        <v>45869</v>
      </c>
      <c r="L549" s="36">
        <f>WEEKNUM(Table1[[#This Row],[ETA
As requested
dd.mm.yyyy]])</f>
        <v>31</v>
      </c>
      <c r="M549" s="36">
        <f>YEAR(Table1[[#This Row],[ETA
As requested
dd.mm.yyyy]])</f>
        <v>2025</v>
      </c>
      <c r="N549" s="36">
        <f>IFERROR(INDEX(DATABASE_FG!$H$5:$H$367, MATCH(E549, DATABASE_FG!$C$5:$C$367, 0)), " ")</f>
        <v>0</v>
      </c>
      <c r="O549" s="129" t="str">
        <f>IF(E549&lt;&gt;"", _xlfn.XLOOKUP(E549, DATABASE_FG!C:C, DATABASE_FG!F:F), " ")</f>
        <v>Alama</v>
      </c>
      <c r="P549" s="129"/>
      <c r="Q549" s="36"/>
      <c r="R549" s="125" t="s">
        <v>678</v>
      </c>
      <c r="S549" s="123">
        <f>Table1[[#This Row],[Quantity]]/48</f>
        <v>2.75</v>
      </c>
      <c r="T549" s="36" t="s">
        <v>679</v>
      </c>
      <c r="U549" s="36"/>
      <c r="V549" s="36"/>
      <c r="W549" s="129"/>
      <c r="X549" s="36"/>
      <c r="Y549" s="36"/>
      <c r="Z549" s="36"/>
      <c r="AA549" s="125" t="s">
        <v>121</v>
      </c>
      <c r="AB549" s="172">
        <v>45866</v>
      </c>
      <c r="AC549" s="119" t="s">
        <v>3491</v>
      </c>
      <c r="AD549" s="36">
        <f t="shared" si="71"/>
        <v>39745683</v>
      </c>
      <c r="AE549" s="36" t="str">
        <f t="shared" si="72"/>
        <v>EDP KUH.6317-A-M-3001 004</v>
      </c>
      <c r="AF549" s="36">
        <v>132</v>
      </c>
      <c r="AG549" s="120">
        <f t="shared" si="76"/>
        <v>454.08</v>
      </c>
      <c r="AH549" s="36"/>
      <c r="AI549" s="124"/>
      <c r="AJ549" s="122" t="s">
        <v>3492</v>
      </c>
      <c r="AK549" s="129" t="str">
        <f t="shared" ca="1" si="74"/>
        <v>On Time</v>
      </c>
      <c r="AL549" s="268" t="str">
        <f t="shared" si="75"/>
        <v>July</v>
      </c>
      <c r="AM549" s="133">
        <f>YEAR(Table1[[#This Row],[ETA
As requested
dd.mm.yyyy]])</f>
        <v>2025</v>
      </c>
    </row>
    <row r="550" spans="1:39" hidden="1">
      <c r="A550" s="123" t="s">
        <v>83</v>
      </c>
      <c r="B550" s="36" t="s">
        <v>1170</v>
      </c>
      <c r="C550" s="117">
        <v>39745683</v>
      </c>
      <c r="D550" s="165">
        <v>45862</v>
      </c>
      <c r="E550" s="224" t="s">
        <v>86</v>
      </c>
      <c r="F550" s="36" t="str">
        <f>IFERROR(VLOOKUP(Table1[[#This Row],[Part Number]],DATABASE_FG!$C$6:D10539,2,FALSE)," ")</f>
        <v>096486538-0000</v>
      </c>
      <c r="G550" s="117" t="str">
        <f>IFERROR(_xlfn.XLOOKUP(Table1[[#This Row],[Part Number]],Table3[Part number],Table3[Drawing
 Revision]),"")</f>
        <v>AA</v>
      </c>
      <c r="H550" s="118" cm="1">
        <f t="array" ref="H550">IFERROR(INDEX(PDB!$C:$AT,MATCH(E550,PDB!$B:$B,0),MATCH(YEAR(K550),0+PDB!$C$1:$AT$1,0)),"")</f>
        <v>3.44</v>
      </c>
      <c r="I550" s="36">
        <v>234</v>
      </c>
      <c r="J550" s="125">
        <f>IFERROR(Table1[[#This Row],[Quantity]]*Table1[[#This Row],[Price/Unit
EUR]]," ")</f>
        <v>804.96</v>
      </c>
      <c r="K550" s="126">
        <v>45869</v>
      </c>
      <c r="L550" s="36">
        <f>WEEKNUM(Table1[[#This Row],[ETA
As requested
dd.mm.yyyy]])</f>
        <v>31</v>
      </c>
      <c r="M550" s="36">
        <f>YEAR(Table1[[#This Row],[ETA
As requested
dd.mm.yyyy]])</f>
        <v>2025</v>
      </c>
      <c r="N550" s="36">
        <f>IFERROR(INDEX(DATABASE_FG!$H$5:$H$367, MATCH(E550, DATABASE_FG!$C$5:$C$367, 0)), " ")</f>
        <v>0</v>
      </c>
      <c r="O550" s="129" t="str">
        <f>IF(E550&lt;&gt;"", _xlfn.XLOOKUP(E550, DATABASE_FG!C:C, DATABASE_FG!F:F), " ")</f>
        <v>Alama</v>
      </c>
      <c r="P550" s="129"/>
      <c r="Q550" s="36"/>
      <c r="R550" s="125" t="s">
        <v>678</v>
      </c>
      <c r="S550" s="123">
        <f>Table1[[#This Row],[Quantity]]/48</f>
        <v>4.875</v>
      </c>
      <c r="T550" s="36" t="s">
        <v>679</v>
      </c>
      <c r="U550" s="36"/>
      <c r="V550" s="36"/>
      <c r="W550" s="129"/>
      <c r="X550" s="36"/>
      <c r="Y550" s="36"/>
      <c r="Z550" s="36"/>
      <c r="AA550" s="125" t="s">
        <v>121</v>
      </c>
      <c r="AB550" s="173">
        <v>45867</v>
      </c>
      <c r="AC550" s="119" t="s">
        <v>3493</v>
      </c>
      <c r="AD550" s="36">
        <f t="shared" si="71"/>
        <v>39745683</v>
      </c>
      <c r="AE550" s="36" t="str">
        <f t="shared" si="72"/>
        <v>EDP KUH.6317-A-M-3001 004</v>
      </c>
      <c r="AF550" s="36">
        <v>234</v>
      </c>
      <c r="AG550" s="120">
        <f t="shared" si="76"/>
        <v>804.96</v>
      </c>
      <c r="AH550" s="36"/>
      <c r="AI550" s="124"/>
      <c r="AJ550" s="122" t="s">
        <v>3494</v>
      </c>
      <c r="AK550" s="129" t="str">
        <f t="shared" ca="1" si="74"/>
        <v>On Time</v>
      </c>
      <c r="AL550" s="268" t="str">
        <f t="shared" si="75"/>
        <v>July</v>
      </c>
      <c r="AM550" s="133">
        <f>YEAR(Table1[[#This Row],[ETA
As requested
dd.mm.yyyy]])</f>
        <v>2025</v>
      </c>
    </row>
    <row r="551" spans="1:39" hidden="1">
      <c r="A551" s="123" t="s">
        <v>83</v>
      </c>
      <c r="B551" s="36" t="s">
        <v>1170</v>
      </c>
      <c r="C551" s="117">
        <v>39745683</v>
      </c>
      <c r="D551" s="165">
        <v>45862</v>
      </c>
      <c r="E551" s="224" t="s">
        <v>86</v>
      </c>
      <c r="F551" s="36" t="str">
        <f>IFERROR(VLOOKUP(Table1[[#This Row],[Part Number]],DATABASE_FG!$C$6:D10540,2,FALSE)," ")</f>
        <v>096486538-0000</v>
      </c>
      <c r="G551" s="117" t="str">
        <f>IFERROR(_xlfn.XLOOKUP(Table1[[#This Row],[Part Number]],Table3[Part number],Table3[Drawing
 Revision]),"")</f>
        <v>AA</v>
      </c>
      <c r="H551" s="118" cm="1">
        <f t="array" ref="H551">IFERROR(INDEX(PDB!$C:$AT,MATCH(E551,PDB!$B:$B,0),MATCH(YEAR(K551),0+PDB!$C$1:$AT$1,0)),"")</f>
        <v>3.44</v>
      </c>
      <c r="I551" s="36">
        <v>198</v>
      </c>
      <c r="J551" s="125">
        <f>IFERROR(Table1[[#This Row],[Quantity]]*Table1[[#This Row],[Price/Unit
EUR]]," ")</f>
        <v>681.12</v>
      </c>
      <c r="K551" s="126">
        <v>45869</v>
      </c>
      <c r="L551" s="36">
        <f>WEEKNUM(Table1[[#This Row],[ETA
As requested
dd.mm.yyyy]])</f>
        <v>31</v>
      </c>
      <c r="M551" s="36">
        <f>YEAR(Table1[[#This Row],[ETA
As requested
dd.mm.yyyy]])</f>
        <v>2025</v>
      </c>
      <c r="N551" s="36">
        <f>IFERROR(INDEX(DATABASE_FG!$H$5:$H$367, MATCH(E551, DATABASE_FG!$C$5:$C$367, 0)), " ")</f>
        <v>0</v>
      </c>
      <c r="O551" s="129" t="str">
        <f>IF(E551&lt;&gt;"", _xlfn.XLOOKUP(E551, DATABASE_FG!C:C, DATABASE_FG!F:F), " ")</f>
        <v>Alama</v>
      </c>
      <c r="P551" s="129"/>
      <c r="Q551" s="36"/>
      <c r="R551" s="125" t="s">
        <v>678</v>
      </c>
      <c r="S551" s="123">
        <f>Table1[[#This Row],[Quantity]]/48</f>
        <v>4.125</v>
      </c>
      <c r="T551" s="36" t="s">
        <v>679</v>
      </c>
      <c r="U551" s="36"/>
      <c r="V551" s="36"/>
      <c r="W551" s="129"/>
      <c r="X551" s="36"/>
      <c r="Y551" s="36"/>
      <c r="Z551" s="36"/>
      <c r="AA551" s="125" t="s">
        <v>121</v>
      </c>
      <c r="AB551" s="173">
        <v>45868</v>
      </c>
      <c r="AC551" s="119" t="s">
        <v>3495</v>
      </c>
      <c r="AD551" s="36">
        <f t="shared" si="71"/>
        <v>39745683</v>
      </c>
      <c r="AE551" s="36" t="str">
        <f t="shared" si="72"/>
        <v>EDP KUH.6317-A-M-3001 004</v>
      </c>
      <c r="AF551" s="36">
        <v>198</v>
      </c>
      <c r="AG551" s="120">
        <f t="shared" si="76"/>
        <v>681.12</v>
      </c>
      <c r="AH551" s="36"/>
      <c r="AI551" s="124"/>
      <c r="AJ551" s="122" t="s">
        <v>3496</v>
      </c>
      <c r="AK551" s="129" t="str">
        <f t="shared" ca="1" si="74"/>
        <v>On Time</v>
      </c>
      <c r="AL551" s="268" t="str">
        <f t="shared" si="75"/>
        <v>July</v>
      </c>
      <c r="AM551" s="133">
        <f>YEAR(Table1[[#This Row],[ETA
As requested
dd.mm.yyyy]])</f>
        <v>2025</v>
      </c>
    </row>
    <row r="552" spans="1:39" hidden="1">
      <c r="A552" s="123" t="s">
        <v>83</v>
      </c>
      <c r="B552" s="36" t="s">
        <v>1170</v>
      </c>
      <c r="C552" s="117">
        <v>39745683</v>
      </c>
      <c r="D552" s="165">
        <v>45862</v>
      </c>
      <c r="E552" s="224" t="s">
        <v>86</v>
      </c>
      <c r="F552" s="36" t="str">
        <f>IFERROR(VLOOKUP(Table1[[#This Row],[Part Number]],DATABASE_FG!$C$6:D10541,2,FALSE)," ")</f>
        <v>096486538-0000</v>
      </c>
      <c r="G552" s="117" t="str">
        <f>IFERROR(_xlfn.XLOOKUP(Table1[[#This Row],[Part Number]],Table3[Part number],Table3[Drawing
 Revision]),"")</f>
        <v>AA</v>
      </c>
      <c r="H552" s="118" cm="1">
        <f t="array" ref="H552">IFERROR(INDEX(PDB!$C:$AT,MATCH(E552,PDB!$B:$B,0),MATCH(YEAR(K552),0+PDB!$C$1:$AT$1,0)),"")</f>
        <v>3.44</v>
      </c>
      <c r="I552" s="36">
        <v>95</v>
      </c>
      <c r="J552" s="125">
        <f>IFERROR(Table1[[#This Row],[Quantity]]*Table1[[#This Row],[Price/Unit
EUR]]," ")</f>
        <v>326.8</v>
      </c>
      <c r="K552" s="126">
        <v>45869</v>
      </c>
      <c r="L552" s="36">
        <f>WEEKNUM(Table1[[#This Row],[ETA
As requested
dd.mm.yyyy]])</f>
        <v>31</v>
      </c>
      <c r="M552" s="36">
        <f>YEAR(Table1[[#This Row],[ETA
As requested
dd.mm.yyyy]])</f>
        <v>2025</v>
      </c>
      <c r="N552" s="36">
        <f>IFERROR(INDEX(DATABASE_FG!$H$5:$H$367, MATCH(E552, DATABASE_FG!$C$5:$C$367, 0)), " ")</f>
        <v>0</v>
      </c>
      <c r="O552" s="129" t="str">
        <f>IF(E552&lt;&gt;"", _xlfn.XLOOKUP(E552, DATABASE_FG!C:C, DATABASE_FG!F:F), " ")</f>
        <v>Alama</v>
      </c>
      <c r="P552" s="129"/>
      <c r="Q552" s="36"/>
      <c r="R552" s="125" t="s">
        <v>678</v>
      </c>
      <c r="S552" s="123">
        <f>Table1[[#This Row],[Quantity]]/48</f>
        <v>1.9791666666666667</v>
      </c>
      <c r="T552" s="36" t="s">
        <v>679</v>
      </c>
      <c r="U552" s="36"/>
      <c r="V552" s="36"/>
      <c r="W552" s="129"/>
      <c r="X552" s="36"/>
      <c r="Y552" s="36"/>
      <c r="Z552" s="36"/>
      <c r="AA552" s="125" t="s">
        <v>121</v>
      </c>
      <c r="AB552" s="173">
        <v>45869</v>
      </c>
      <c r="AC552" s="119" t="s">
        <v>3497</v>
      </c>
      <c r="AD552" s="36">
        <f t="shared" si="71"/>
        <v>39745683</v>
      </c>
      <c r="AE552" s="36" t="str">
        <f t="shared" si="72"/>
        <v>EDP KUH.6317-A-M-3001 004</v>
      </c>
      <c r="AF552" s="36">
        <v>95</v>
      </c>
      <c r="AG552" s="120">
        <f t="shared" si="76"/>
        <v>326.8</v>
      </c>
      <c r="AH552" s="36"/>
      <c r="AI552" s="124"/>
      <c r="AJ552" s="122" t="s">
        <v>3498</v>
      </c>
      <c r="AK552" s="129" t="str">
        <f t="shared" ca="1" si="74"/>
        <v>On Time</v>
      </c>
      <c r="AL552" s="268" t="str">
        <f t="shared" si="75"/>
        <v>July</v>
      </c>
      <c r="AM552" s="133">
        <f>YEAR(Table1[[#This Row],[ETA
As requested
dd.mm.yyyy]])</f>
        <v>2025</v>
      </c>
    </row>
    <row r="553" spans="1:39" hidden="1">
      <c r="A553" s="123" t="s">
        <v>83</v>
      </c>
      <c r="B553" s="36" t="s">
        <v>1170</v>
      </c>
      <c r="C553" s="117">
        <v>39745683</v>
      </c>
      <c r="D553" s="165">
        <v>45862</v>
      </c>
      <c r="E553" s="224" t="s">
        <v>86</v>
      </c>
      <c r="F553" s="36" t="str">
        <f>IFERROR(VLOOKUP(Table1[[#This Row],[Part Number]],DATABASE_FG!$C$6:D10542,2,FALSE)," ")</f>
        <v>096486538-0000</v>
      </c>
      <c r="G553" s="117" t="str">
        <f>IFERROR(_xlfn.XLOOKUP(Table1[[#This Row],[Part Number]],Table3[Part number],Table3[Drawing
 Revision]),"")</f>
        <v>AA</v>
      </c>
      <c r="H553" s="118" cm="1">
        <f t="array" ref="H553">IFERROR(INDEX(PDB!$C:$AT,MATCH(E553,PDB!$B:$B,0),MATCH(YEAR(K553),0+PDB!$C$1:$AT$1,0)),"")</f>
        <v>3.44</v>
      </c>
      <c r="I553" s="36">
        <v>132</v>
      </c>
      <c r="J553" s="125">
        <f>IFERROR(Table1[[#This Row],[Quantity]]*Table1[[#This Row],[Price/Unit
EUR]]," ")</f>
        <v>454.08</v>
      </c>
      <c r="K553" s="126">
        <v>45869</v>
      </c>
      <c r="L553" s="36">
        <f>WEEKNUM(Table1[[#This Row],[ETA
As requested
dd.mm.yyyy]])</f>
        <v>31</v>
      </c>
      <c r="M553" s="36">
        <f>YEAR(Table1[[#This Row],[ETA
As requested
dd.mm.yyyy]])</f>
        <v>2025</v>
      </c>
      <c r="N553" s="36">
        <f>IFERROR(INDEX(DATABASE_FG!$H$5:$H$367, MATCH(E553, DATABASE_FG!$C$5:$C$367, 0)), " ")</f>
        <v>0</v>
      </c>
      <c r="O553" s="129" t="str">
        <f>IF(E553&lt;&gt;"", _xlfn.XLOOKUP(E553, DATABASE_FG!C:C, DATABASE_FG!F:F), " ")</f>
        <v>Alama</v>
      </c>
      <c r="P553" s="129"/>
      <c r="Q553" s="36"/>
      <c r="R553" s="125" t="s">
        <v>678</v>
      </c>
      <c r="S553" s="123">
        <f>Table1[[#This Row],[Quantity]]/48</f>
        <v>2.75</v>
      </c>
      <c r="T553" s="36" t="s">
        <v>679</v>
      </c>
      <c r="U553" s="36"/>
      <c r="V553" s="36"/>
      <c r="W553" s="129"/>
      <c r="X553" s="36"/>
      <c r="Y553" s="36"/>
      <c r="Z553" s="36"/>
      <c r="AA553" s="125" t="s">
        <v>121</v>
      </c>
      <c r="AB553" s="173">
        <v>45870</v>
      </c>
      <c r="AC553" s="119" t="s">
        <v>3499</v>
      </c>
      <c r="AD553" s="36">
        <f t="shared" si="71"/>
        <v>39745683</v>
      </c>
      <c r="AE553" s="36" t="str">
        <f t="shared" si="72"/>
        <v>EDP KUH.6317-A-M-3001 004</v>
      </c>
      <c r="AF553" s="36">
        <v>132</v>
      </c>
      <c r="AG553" s="120">
        <f t="shared" si="76"/>
        <v>454.08</v>
      </c>
      <c r="AH553" s="36"/>
      <c r="AI553" s="124"/>
      <c r="AJ553" s="122" t="s">
        <v>3500</v>
      </c>
      <c r="AK553" s="129" t="str">
        <f t="shared" ca="1" si="74"/>
        <v>On Time</v>
      </c>
      <c r="AL553" s="268" t="str">
        <f t="shared" si="75"/>
        <v>July</v>
      </c>
      <c r="AM553" s="133">
        <f>YEAR(Table1[[#This Row],[ETA
As requested
dd.mm.yyyy]])</f>
        <v>2025</v>
      </c>
    </row>
    <row r="554" spans="1:39" hidden="1">
      <c r="A554" s="123" t="s">
        <v>83</v>
      </c>
      <c r="B554" s="36" t="s">
        <v>1170</v>
      </c>
      <c r="C554" s="117">
        <v>39745683</v>
      </c>
      <c r="D554" s="165">
        <v>45862</v>
      </c>
      <c r="E554" s="224" t="s">
        <v>86</v>
      </c>
      <c r="F554" s="36" t="str">
        <f>IFERROR(VLOOKUP(Table1[[#This Row],[Part Number]],DATABASE_FG!$C$6:D10543,2,FALSE)," ")</f>
        <v>096486538-0000</v>
      </c>
      <c r="G554" s="117" t="str">
        <f>IFERROR(_xlfn.XLOOKUP(Table1[[#This Row],[Part Number]],Table3[Part number],Table3[Drawing
 Revision]),"")</f>
        <v>AA</v>
      </c>
      <c r="H554" s="118" cm="1">
        <f t="array" ref="H554">IFERROR(INDEX(PDB!$C:$AT,MATCH(E554,PDB!$B:$B,0),MATCH(YEAR(K554),0+PDB!$C$1:$AT$1,0)),"")</f>
        <v>3.44</v>
      </c>
      <c r="I554" s="36">
        <f>1125-66-66-132-234-198-95-132</f>
        <v>202</v>
      </c>
      <c r="J554" s="125">
        <f>IFERROR(Table1[[#This Row],[Quantity]]*Table1[[#This Row],[Price/Unit
EUR]]," ")</f>
        <v>694.88</v>
      </c>
      <c r="K554" s="126">
        <v>45869</v>
      </c>
      <c r="L554" s="36">
        <f>WEEKNUM(Table1[[#This Row],[ETA
As requested
dd.mm.yyyy]])</f>
        <v>31</v>
      </c>
      <c r="M554" s="36">
        <f>YEAR(Table1[[#This Row],[ETA
As requested
dd.mm.yyyy]])</f>
        <v>2025</v>
      </c>
      <c r="N554" s="36">
        <f>IFERROR(INDEX(DATABASE_FG!$H$5:$H$367, MATCH(E554, DATABASE_FG!$C$5:$C$367, 0)), " ")</f>
        <v>0</v>
      </c>
      <c r="O554" s="129" t="str">
        <f>IF(E554&lt;&gt;"", _xlfn.XLOOKUP(E554, DATABASE_FG!C:C, DATABASE_FG!F:F), " ")</f>
        <v>Alama</v>
      </c>
      <c r="P554" s="129"/>
      <c r="Q554" s="36"/>
      <c r="R554" s="125" t="s">
        <v>678</v>
      </c>
      <c r="S554" s="123">
        <f>Table1[[#This Row],[Quantity]]/48</f>
        <v>4.208333333333333</v>
      </c>
      <c r="T554" s="36" t="s">
        <v>679</v>
      </c>
      <c r="U554" s="36"/>
      <c r="V554" s="36"/>
      <c r="W554" s="129"/>
      <c r="X554" s="36"/>
      <c r="Y554" s="36"/>
      <c r="Z554" s="36"/>
      <c r="AA554" s="125" t="s">
        <v>121</v>
      </c>
      <c r="AB554" s="173">
        <v>45874</v>
      </c>
      <c r="AC554" s="119" t="s">
        <v>3501</v>
      </c>
      <c r="AD554" s="36">
        <f t="shared" si="71"/>
        <v>39745683</v>
      </c>
      <c r="AE554" s="36" t="str">
        <f t="shared" si="72"/>
        <v>EDP KUH.6317-A-M-3001 004</v>
      </c>
      <c r="AF554" s="36">
        <v>202</v>
      </c>
      <c r="AG554" s="120">
        <f t="shared" si="76"/>
        <v>694.88</v>
      </c>
      <c r="AH554" s="36"/>
      <c r="AI554" s="124"/>
      <c r="AJ554" s="122" t="s">
        <v>3502</v>
      </c>
      <c r="AK554" s="129" t="str">
        <f t="shared" ca="1" si="74"/>
        <v>Late</v>
      </c>
      <c r="AL554" s="268" t="str">
        <f t="shared" si="75"/>
        <v>July</v>
      </c>
      <c r="AM554" s="133">
        <f>YEAR(Table1[[#This Row],[ETA
As requested
dd.mm.yyyy]])</f>
        <v>2025</v>
      </c>
    </row>
    <row r="555" spans="1:39" hidden="1">
      <c r="A555" s="123" t="s">
        <v>83</v>
      </c>
      <c r="B555" s="36" t="s">
        <v>1170</v>
      </c>
      <c r="C555" s="210">
        <v>39754368</v>
      </c>
      <c r="D555" s="165">
        <v>45862</v>
      </c>
      <c r="E555" s="224" t="s">
        <v>86</v>
      </c>
      <c r="F555" s="36" t="str">
        <f>IFERROR(VLOOKUP(Table1[[#This Row],[Part Number]],DATABASE_FG!$C$6:D10544,2,FALSE)," ")</f>
        <v>096486538-0000</v>
      </c>
      <c r="G555" s="117" t="str">
        <f>IFERROR(_xlfn.XLOOKUP(Table1[[#This Row],[Part Number]],Table3[Part number],Table3[Drawing
 Revision]),"")</f>
        <v>AA</v>
      </c>
      <c r="H555" s="118" cm="1">
        <f t="array" ref="H555">IFERROR(INDEX(PDB!$C:$AT,MATCH(E555,PDB!$B:$B,0),MATCH(YEAR(K555),0+PDB!$C$1:$AT$1,0)),"")</f>
        <v>3.44</v>
      </c>
      <c r="I555" s="36">
        <v>62</v>
      </c>
      <c r="J555" s="125">
        <f>IFERROR(Table1[[#This Row],[Quantity]]*Table1[[#This Row],[Price/Unit
EUR]]," ")</f>
        <v>213.28</v>
      </c>
      <c r="K555" s="126">
        <v>45869</v>
      </c>
      <c r="L555" s="36">
        <f>WEEKNUM(Table1[[#This Row],[ETA
As requested
dd.mm.yyyy]])</f>
        <v>31</v>
      </c>
      <c r="M555" s="36">
        <f>YEAR(Table1[[#This Row],[ETA
As requested
dd.mm.yyyy]])</f>
        <v>2025</v>
      </c>
      <c r="N555" s="36">
        <f>IFERROR(INDEX(DATABASE_FG!$H$5:$H$367, MATCH(E555, DATABASE_FG!$C$5:$C$367, 0)), " ")</f>
        <v>0</v>
      </c>
      <c r="O555" s="129" t="str">
        <f>IF(E555&lt;&gt;"", _xlfn.XLOOKUP(E555, DATABASE_FG!C:C, DATABASE_FG!F:F), " ")</f>
        <v>Alama</v>
      </c>
      <c r="P555" s="129"/>
      <c r="Q555" s="36"/>
      <c r="R555" s="125" t="s">
        <v>678</v>
      </c>
      <c r="S555" s="123">
        <f>Table1[[#This Row],[Quantity]]/48</f>
        <v>1.2916666666666667</v>
      </c>
      <c r="T555" s="36" t="s">
        <v>679</v>
      </c>
      <c r="U555" s="36"/>
      <c r="V555" s="36"/>
      <c r="W555" s="129"/>
      <c r="X555" s="36"/>
      <c r="Y555" s="36"/>
      <c r="Z555" s="36"/>
      <c r="AA555" s="125" t="s">
        <v>121</v>
      </c>
      <c r="AB555" s="173">
        <v>45874</v>
      </c>
      <c r="AC555" s="119" t="s">
        <v>3503</v>
      </c>
      <c r="AD555" s="36">
        <f t="shared" si="71"/>
        <v>39754368</v>
      </c>
      <c r="AE555" s="36" t="str">
        <f t="shared" si="72"/>
        <v>EDP KUH.6317-A-M-3001 004</v>
      </c>
      <c r="AF555" s="36">
        <v>62</v>
      </c>
      <c r="AG555" s="120">
        <f t="shared" si="76"/>
        <v>213.28</v>
      </c>
      <c r="AH555" s="36"/>
      <c r="AI555" s="124"/>
      <c r="AJ555" s="122" t="s">
        <v>3504</v>
      </c>
      <c r="AK555" s="129" t="str">
        <f t="shared" ca="1" si="74"/>
        <v>Late</v>
      </c>
      <c r="AL555" s="268" t="str">
        <f t="shared" si="75"/>
        <v>July</v>
      </c>
      <c r="AM555" s="133">
        <f>YEAR(Table1[[#This Row],[ETA
As requested
dd.mm.yyyy]])</f>
        <v>2025</v>
      </c>
    </row>
    <row r="556" spans="1:39" hidden="1">
      <c r="A556" s="123" t="s">
        <v>83</v>
      </c>
      <c r="B556" s="36" t="s">
        <v>1170</v>
      </c>
      <c r="C556" s="210">
        <v>39754368</v>
      </c>
      <c r="D556" s="165">
        <v>45862</v>
      </c>
      <c r="E556" s="224" t="s">
        <v>86</v>
      </c>
      <c r="F556" s="36" t="str">
        <f>IFERROR(VLOOKUP(Table1[[#This Row],[Part Number]],DATABASE_FG!$C$6:D10545,2,FALSE)," ")</f>
        <v>096486538-0000</v>
      </c>
      <c r="G556" s="117" t="str">
        <f>IFERROR(_xlfn.XLOOKUP(Table1[[#This Row],[Part Number]],Table3[Part number],Table3[Drawing
 Revision]),"")</f>
        <v>AA</v>
      </c>
      <c r="H556" s="118" cm="1">
        <f t="array" ref="H556">IFERROR(INDEX(PDB!$C:$AT,MATCH(E556,PDB!$B:$B,0),MATCH(YEAR(K556),0+PDB!$C$1:$AT$1,0)),"")</f>
        <v>3.44</v>
      </c>
      <c r="I556" s="36">
        <v>264</v>
      </c>
      <c r="J556" s="125">
        <f>IFERROR(Table1[[#This Row],[Quantity]]*Table1[[#This Row],[Price/Unit
EUR]]," ")</f>
        <v>908.16</v>
      </c>
      <c r="K556" s="126">
        <v>45869</v>
      </c>
      <c r="L556" s="36">
        <f>WEEKNUM(Table1[[#This Row],[ETA
As requested
dd.mm.yyyy]])</f>
        <v>31</v>
      </c>
      <c r="M556" s="36">
        <f>YEAR(Table1[[#This Row],[ETA
As requested
dd.mm.yyyy]])</f>
        <v>2025</v>
      </c>
      <c r="N556" s="36">
        <f>IFERROR(INDEX(DATABASE_FG!$H$5:$H$367, MATCH(E556, DATABASE_FG!$C$5:$C$367, 0)), " ")</f>
        <v>0</v>
      </c>
      <c r="O556" s="129" t="str">
        <f>IF(E556&lt;&gt;"", _xlfn.XLOOKUP(E556, DATABASE_FG!C:C, DATABASE_FG!F:F), " ")</f>
        <v>Alama</v>
      </c>
      <c r="P556" s="129"/>
      <c r="Q556" s="36"/>
      <c r="R556" s="125" t="s">
        <v>678</v>
      </c>
      <c r="S556" s="123">
        <f>Table1[[#This Row],[Quantity]]/48</f>
        <v>5.5</v>
      </c>
      <c r="T556" s="36" t="s">
        <v>679</v>
      </c>
      <c r="U556" s="36"/>
      <c r="V556" s="36"/>
      <c r="W556" s="129"/>
      <c r="X556" s="36"/>
      <c r="Y556" s="36"/>
      <c r="Z556" s="36"/>
      <c r="AA556" s="125" t="s">
        <v>121</v>
      </c>
      <c r="AB556" s="173">
        <v>45876</v>
      </c>
      <c r="AC556" s="119" t="s">
        <v>3505</v>
      </c>
      <c r="AD556" s="36">
        <f t="shared" si="71"/>
        <v>39754368</v>
      </c>
      <c r="AE556" s="36" t="str">
        <f t="shared" si="72"/>
        <v>EDP KUH.6317-A-M-3001 004</v>
      </c>
      <c r="AF556" s="36">
        <v>264</v>
      </c>
      <c r="AG556" s="120">
        <f t="shared" si="76"/>
        <v>908.16</v>
      </c>
      <c r="AH556" s="36"/>
      <c r="AI556" s="124"/>
      <c r="AJ556" s="122" t="s">
        <v>3506</v>
      </c>
      <c r="AK556" s="129" t="str">
        <f t="shared" ca="1" si="74"/>
        <v>Late</v>
      </c>
      <c r="AL556" s="268" t="str">
        <f t="shared" si="75"/>
        <v>July</v>
      </c>
      <c r="AM556" s="133">
        <f>YEAR(Table1[[#This Row],[ETA
As requested
dd.mm.yyyy]])</f>
        <v>2025</v>
      </c>
    </row>
    <row r="557" spans="1:39" hidden="1">
      <c r="A557" s="123" t="s">
        <v>83</v>
      </c>
      <c r="B557" s="36" t="s">
        <v>1170</v>
      </c>
      <c r="C557" s="210">
        <v>39754368</v>
      </c>
      <c r="D557" s="165">
        <v>45862</v>
      </c>
      <c r="E557" s="224" t="s">
        <v>86</v>
      </c>
      <c r="F557" s="36" t="str">
        <f>IFERROR(VLOOKUP(Table1[[#This Row],[Part Number]],DATABASE_FG!$C$6:D10546,2,FALSE)," ")</f>
        <v>096486538-0000</v>
      </c>
      <c r="G557" s="117" t="str">
        <f>IFERROR(_xlfn.XLOOKUP(Table1[[#This Row],[Part Number]],Table3[Part number],Table3[Drawing
 Revision]),"")</f>
        <v>AA</v>
      </c>
      <c r="H557" s="118" cm="1">
        <f t="array" ref="H557">IFERROR(INDEX(PDB!$C:$AT,MATCH(E557,PDB!$B:$B,0),MATCH(YEAR(K557),0+PDB!$C$1:$AT$1,0)),"")</f>
        <v>3.44</v>
      </c>
      <c r="I557" s="36">
        <f>520-62-264</f>
        <v>194</v>
      </c>
      <c r="J557" s="125">
        <f>IFERROR(Table1[[#This Row],[Quantity]]*Table1[[#This Row],[Price/Unit
EUR]]," ")</f>
        <v>667.36</v>
      </c>
      <c r="K557" s="126">
        <v>45869</v>
      </c>
      <c r="L557" s="36">
        <f>WEEKNUM(Table1[[#This Row],[ETA
As requested
dd.mm.yyyy]])</f>
        <v>31</v>
      </c>
      <c r="M557" s="36">
        <f>YEAR(Table1[[#This Row],[ETA
As requested
dd.mm.yyyy]])</f>
        <v>2025</v>
      </c>
      <c r="N557" s="36">
        <f>IFERROR(INDEX(DATABASE_FG!$H$5:$H$367, MATCH(E557, DATABASE_FG!$C$5:$C$367, 0)), " ")</f>
        <v>0</v>
      </c>
      <c r="O557" s="129" t="str">
        <f>IF(E557&lt;&gt;"", _xlfn.XLOOKUP(E557, DATABASE_FG!C:C, DATABASE_FG!F:F), " ")</f>
        <v>Alama</v>
      </c>
      <c r="P557" s="129"/>
      <c r="Q557" s="36"/>
      <c r="R557" s="125" t="s">
        <v>678</v>
      </c>
      <c r="S557" s="123">
        <f>Table1[[#This Row],[Quantity]]/48</f>
        <v>4.041666666666667</v>
      </c>
      <c r="T557" s="36" t="s">
        <v>679</v>
      </c>
      <c r="U557" s="36"/>
      <c r="V557" s="36"/>
      <c r="W557" s="129"/>
      <c r="X557" s="36"/>
      <c r="Y557" s="36"/>
      <c r="Z557" s="36"/>
      <c r="AA557" s="125" t="s">
        <v>121</v>
      </c>
      <c r="AB557" s="173">
        <v>45877</v>
      </c>
      <c r="AC557" s="119" t="s">
        <v>3507</v>
      </c>
      <c r="AD557" s="36">
        <f t="shared" si="71"/>
        <v>39754368</v>
      </c>
      <c r="AE557" s="36" t="str">
        <f t="shared" si="72"/>
        <v>EDP KUH.6317-A-M-3001 004</v>
      </c>
      <c r="AF557" s="36">
        <v>194</v>
      </c>
      <c r="AG557" s="120">
        <f t="shared" si="76"/>
        <v>667.36</v>
      </c>
      <c r="AH557" s="36"/>
      <c r="AI557" s="124"/>
      <c r="AJ557" s="122" t="s">
        <v>3508</v>
      </c>
      <c r="AK557" s="129" t="str">
        <f t="shared" ca="1" si="74"/>
        <v>Late</v>
      </c>
      <c r="AL557" s="268" t="str">
        <f t="shared" si="75"/>
        <v>July</v>
      </c>
      <c r="AM557" s="133">
        <f>YEAR(Table1[[#This Row],[ETA
As requested
dd.mm.yyyy]])</f>
        <v>2025</v>
      </c>
    </row>
    <row r="558" spans="1:39" hidden="1">
      <c r="A558" s="123" t="s">
        <v>83</v>
      </c>
      <c r="B558" s="36" t="s">
        <v>1170</v>
      </c>
      <c r="C558" s="117">
        <v>39839933</v>
      </c>
      <c r="D558" s="165">
        <v>45862</v>
      </c>
      <c r="E558" s="224" t="s">
        <v>86</v>
      </c>
      <c r="F558" s="36" t="str">
        <f>IFERROR(VLOOKUP(Table1[[#This Row],[Part Number]],DATABASE_FG!$C$6:D10547,2,FALSE)," ")</f>
        <v>096486538-0000</v>
      </c>
      <c r="G558" s="117" t="str">
        <f>IFERROR(_xlfn.XLOOKUP(Table1[[#This Row],[Part Number]],Table3[Part number],Table3[Drawing
 Revision]),"")</f>
        <v>AA</v>
      </c>
      <c r="H558" s="118" cm="1">
        <f t="array" ref="H558">IFERROR(INDEX(PDB!$C:$AT,MATCH(E558,PDB!$B:$B,0),MATCH(YEAR(K558),0+PDB!$C$1:$AT$1,0)),"")</f>
        <v>3.44</v>
      </c>
      <c r="I558" s="36">
        <v>109</v>
      </c>
      <c r="J558" s="125">
        <f>IFERROR(Table1[[#This Row],[Quantity]]*Table1[[#This Row],[Price/Unit
EUR]]," ")</f>
        <v>374.96</v>
      </c>
      <c r="K558" s="126">
        <v>45900</v>
      </c>
      <c r="L558" s="36">
        <f>WEEKNUM(Table1[[#This Row],[ETA
As requested
dd.mm.yyyy]])</f>
        <v>36</v>
      </c>
      <c r="M558" s="36">
        <f>YEAR(Table1[[#This Row],[ETA
As requested
dd.mm.yyyy]])</f>
        <v>2025</v>
      </c>
      <c r="N558" s="36">
        <f>IFERROR(INDEX(DATABASE_FG!$H$5:$H$367, MATCH(E558, DATABASE_FG!$C$5:$C$367, 0)), " ")</f>
        <v>0</v>
      </c>
      <c r="O558" s="129" t="str">
        <f>IF(E558&lt;&gt;"", _xlfn.XLOOKUP(E558, DATABASE_FG!C:C, DATABASE_FG!F:F), " ")</f>
        <v>Alama</v>
      </c>
      <c r="P558" s="129"/>
      <c r="Q558" s="36"/>
      <c r="R558" s="125" t="s">
        <v>678</v>
      </c>
      <c r="S558" s="123">
        <f>Table1[[#This Row],[Quantity]]/48</f>
        <v>2.2708333333333335</v>
      </c>
      <c r="T558" s="36" t="s">
        <v>679</v>
      </c>
      <c r="U558" s="36"/>
      <c r="V558" s="36"/>
      <c r="W558" s="129"/>
      <c r="X558" s="36"/>
      <c r="Y558" s="36"/>
      <c r="Z558" s="36"/>
      <c r="AA558" s="125" t="s">
        <v>121</v>
      </c>
      <c r="AB558" s="173">
        <v>45877</v>
      </c>
      <c r="AC558" s="119" t="s">
        <v>3642</v>
      </c>
      <c r="AD558" s="36">
        <f t="shared" si="71"/>
        <v>39839933</v>
      </c>
      <c r="AE558" s="36" t="str">
        <f t="shared" si="72"/>
        <v>EDP KUH.6317-A-M-3001 004</v>
      </c>
      <c r="AF558" s="36">
        <v>109</v>
      </c>
      <c r="AG558" s="120">
        <f t="shared" si="76"/>
        <v>374.96</v>
      </c>
      <c r="AH558" s="36"/>
      <c r="AI558" s="124"/>
      <c r="AJ558" s="122" t="s">
        <v>3643</v>
      </c>
      <c r="AK558" s="129" t="str">
        <f t="shared" ca="1" si="74"/>
        <v>On Time</v>
      </c>
      <c r="AL558" s="268" t="str">
        <f t="shared" si="75"/>
        <v>August</v>
      </c>
      <c r="AM558" s="133">
        <f>YEAR(Table1[[#This Row],[ETA
As requested
dd.mm.yyyy]])</f>
        <v>2025</v>
      </c>
    </row>
    <row r="559" spans="1:39" hidden="1">
      <c r="A559" s="123" t="s">
        <v>83</v>
      </c>
      <c r="B559" s="36" t="s">
        <v>1170</v>
      </c>
      <c r="C559" s="117">
        <v>39839933</v>
      </c>
      <c r="D559" s="165">
        <v>45862</v>
      </c>
      <c r="E559" s="224" t="s">
        <v>86</v>
      </c>
      <c r="F559" s="36" t="str">
        <f>IFERROR(VLOOKUP(Table1[[#This Row],[Part Number]],DATABASE_FG!$C$6:D10548,2,FALSE)," ")</f>
        <v>096486538-0000</v>
      </c>
      <c r="G559" s="117" t="str">
        <f>IFERROR(_xlfn.XLOOKUP(Table1[[#This Row],[Part Number]],Table3[Part number],Table3[Drawing
 Revision]),"")</f>
        <v>AA</v>
      </c>
      <c r="H559" s="118" cm="1">
        <f t="array" ref="H559">IFERROR(INDEX(PDB!$C:$AT,MATCH(E559,PDB!$B:$B,0),MATCH(YEAR(K559),0+PDB!$C$1:$AT$1,0)),"")</f>
        <v>3.44</v>
      </c>
      <c r="I559" s="36">
        <v>132</v>
      </c>
      <c r="J559" s="125">
        <f>IFERROR(Table1[[#This Row],[Quantity]]*Table1[[#This Row],[Price/Unit
EUR]]," ")</f>
        <v>454.08</v>
      </c>
      <c r="K559" s="126">
        <v>45900</v>
      </c>
      <c r="L559" s="36">
        <f>WEEKNUM(Table1[[#This Row],[ETA
As requested
dd.mm.yyyy]])</f>
        <v>36</v>
      </c>
      <c r="M559" s="36">
        <f>YEAR(Table1[[#This Row],[ETA
As requested
dd.mm.yyyy]])</f>
        <v>2025</v>
      </c>
      <c r="N559" s="36">
        <f>IFERROR(INDEX(DATABASE_FG!$H$5:$H$367, MATCH(E559, DATABASE_FG!$C$5:$C$367, 0)), " ")</f>
        <v>0</v>
      </c>
      <c r="O559" s="129" t="str">
        <f>IF(E559&lt;&gt;"", _xlfn.XLOOKUP(E559, DATABASE_FG!C:C, DATABASE_FG!F:F), " ")</f>
        <v>Alama</v>
      </c>
      <c r="P559" s="129"/>
      <c r="Q559" s="36"/>
      <c r="R559" s="125" t="s">
        <v>678</v>
      </c>
      <c r="S559" s="123">
        <f>Table1[[#This Row],[Quantity]]/48</f>
        <v>2.75</v>
      </c>
      <c r="T559" s="36" t="s">
        <v>679</v>
      </c>
      <c r="U559" s="36"/>
      <c r="V559" s="36"/>
      <c r="W559" s="129"/>
      <c r="X559" s="36"/>
      <c r="Y559" s="36"/>
      <c r="Z559" s="36"/>
      <c r="AA559" s="125" t="s">
        <v>121</v>
      </c>
      <c r="AB559" s="173">
        <v>45880</v>
      </c>
      <c r="AC559" s="119" t="s">
        <v>3644</v>
      </c>
      <c r="AD559" s="36">
        <f t="shared" si="71"/>
        <v>39839933</v>
      </c>
      <c r="AE559" s="36" t="str">
        <f t="shared" si="72"/>
        <v>EDP KUH.6317-A-M-3001 004</v>
      </c>
      <c r="AF559" s="36">
        <v>132</v>
      </c>
      <c r="AG559" s="120">
        <f t="shared" si="76"/>
        <v>454.08</v>
      </c>
      <c r="AH559" s="36"/>
      <c r="AI559" s="124"/>
      <c r="AJ559" s="122" t="s">
        <v>3645</v>
      </c>
      <c r="AK559" s="129" t="str">
        <f t="shared" ca="1" si="74"/>
        <v>On Time</v>
      </c>
      <c r="AL559" s="268" t="str">
        <f t="shared" si="75"/>
        <v>August</v>
      </c>
      <c r="AM559" s="133">
        <f>YEAR(Table1[[#This Row],[ETA
As requested
dd.mm.yyyy]])</f>
        <v>2025</v>
      </c>
    </row>
    <row r="560" spans="1:39" hidden="1">
      <c r="A560" s="123" t="s">
        <v>83</v>
      </c>
      <c r="B560" s="36" t="s">
        <v>1170</v>
      </c>
      <c r="C560" s="117">
        <v>39839933</v>
      </c>
      <c r="D560" s="165">
        <v>45862</v>
      </c>
      <c r="E560" s="224" t="s">
        <v>86</v>
      </c>
      <c r="F560" s="36" t="str">
        <f>IFERROR(VLOOKUP(Table1[[#This Row],[Part Number]],DATABASE_FG!$C$6:D10549,2,FALSE)," ")</f>
        <v>096486538-0000</v>
      </c>
      <c r="G560" s="117" t="str">
        <f>IFERROR(_xlfn.XLOOKUP(Table1[[#This Row],[Part Number]],Table3[Part number],Table3[Drawing
 Revision]),"")</f>
        <v>AA</v>
      </c>
      <c r="H560" s="118" cm="1">
        <f t="array" ref="H560">IFERROR(INDEX(PDB!$C:$AT,MATCH(E560,PDB!$B:$B,0),MATCH(YEAR(K560),0+PDB!$C$1:$AT$1,0)),"")</f>
        <v>3.44</v>
      </c>
      <c r="I560" s="36">
        <v>264</v>
      </c>
      <c r="J560" s="125">
        <f>IFERROR(Table1[[#This Row],[Quantity]]*Table1[[#This Row],[Price/Unit
EUR]]," ")</f>
        <v>908.16</v>
      </c>
      <c r="K560" s="126">
        <v>45900</v>
      </c>
      <c r="L560" s="36">
        <f>WEEKNUM(Table1[[#This Row],[ETA
As requested
dd.mm.yyyy]])</f>
        <v>36</v>
      </c>
      <c r="M560" s="36">
        <f>YEAR(Table1[[#This Row],[ETA
As requested
dd.mm.yyyy]])</f>
        <v>2025</v>
      </c>
      <c r="N560" s="36">
        <f>IFERROR(INDEX(DATABASE_FG!$H$5:$H$367, MATCH(E560, DATABASE_FG!$C$5:$C$367, 0)), " ")</f>
        <v>0</v>
      </c>
      <c r="O560" s="129" t="str">
        <f>IF(E560&lt;&gt;"", _xlfn.XLOOKUP(E560, DATABASE_FG!C:C, DATABASE_FG!F:F), " ")</f>
        <v>Alama</v>
      </c>
      <c r="P560" s="129"/>
      <c r="Q560" s="36"/>
      <c r="R560" s="125" t="s">
        <v>678</v>
      </c>
      <c r="S560" s="123">
        <f>Table1[[#This Row],[Quantity]]/48</f>
        <v>5.5</v>
      </c>
      <c r="T560" s="36" t="s">
        <v>679</v>
      </c>
      <c r="U560" s="36"/>
      <c r="V560" s="36"/>
      <c r="W560" s="129"/>
      <c r="X560" s="36"/>
      <c r="Y560" s="36"/>
      <c r="Z560" s="36"/>
      <c r="AA560" s="125" t="s">
        <v>121</v>
      </c>
      <c r="AB560" s="173">
        <v>45881</v>
      </c>
      <c r="AC560" s="119" t="s">
        <v>3646</v>
      </c>
      <c r="AD560" s="36">
        <f t="shared" si="71"/>
        <v>39839933</v>
      </c>
      <c r="AE560" s="36" t="str">
        <f t="shared" si="72"/>
        <v>EDP KUH.6317-A-M-3001 004</v>
      </c>
      <c r="AF560" s="36">
        <v>264</v>
      </c>
      <c r="AG560" s="120">
        <f t="shared" si="76"/>
        <v>908.16</v>
      </c>
      <c r="AH560" s="36"/>
      <c r="AI560" s="124"/>
      <c r="AJ560" s="122" t="s">
        <v>3647</v>
      </c>
      <c r="AK560" s="129" t="str">
        <f t="shared" ca="1" si="74"/>
        <v>On Time</v>
      </c>
      <c r="AL560" s="268" t="str">
        <f t="shared" ref="AL560:AL591" si="77">TEXT(K560,"mmmm")</f>
        <v>August</v>
      </c>
      <c r="AM560" s="133">
        <f>YEAR(Table1[[#This Row],[ETA
As requested
dd.mm.yyyy]])</f>
        <v>2025</v>
      </c>
    </row>
    <row r="561" spans="1:40" hidden="1">
      <c r="A561" s="123" t="s">
        <v>83</v>
      </c>
      <c r="B561" s="36" t="s">
        <v>1170</v>
      </c>
      <c r="C561" s="117">
        <v>39839933</v>
      </c>
      <c r="D561" s="165">
        <v>45862</v>
      </c>
      <c r="E561" s="224" t="s">
        <v>86</v>
      </c>
      <c r="F561" s="36" t="str">
        <f>IFERROR(VLOOKUP(Table1[[#This Row],[Part Number]],DATABASE_FG!$C$6:D10550,2,FALSE)," ")</f>
        <v>096486538-0000</v>
      </c>
      <c r="G561" s="117" t="str">
        <f>IFERROR(_xlfn.XLOOKUP(Table1[[#This Row],[Part Number]],Table3[Part number],Table3[Drawing
 Revision]),"")</f>
        <v>AA</v>
      </c>
      <c r="H561" s="118" cm="1">
        <f t="array" ref="H561">IFERROR(INDEX(PDB!$C:$AT,MATCH(E561,PDB!$B:$B,0),MATCH(YEAR(K561),0+PDB!$C$1:$AT$1,0)),"")</f>
        <v>3.44</v>
      </c>
      <c r="I561" s="36">
        <v>264</v>
      </c>
      <c r="J561" s="125">
        <f>IFERROR(Table1[[#This Row],[Quantity]]*Table1[[#This Row],[Price/Unit
EUR]]," ")</f>
        <v>908.16</v>
      </c>
      <c r="K561" s="126">
        <v>45900</v>
      </c>
      <c r="L561" s="36">
        <f>WEEKNUM(Table1[[#This Row],[ETA
As requested
dd.mm.yyyy]])</f>
        <v>36</v>
      </c>
      <c r="M561" s="36">
        <f>YEAR(Table1[[#This Row],[ETA
As requested
dd.mm.yyyy]])</f>
        <v>2025</v>
      </c>
      <c r="N561" s="36">
        <f>IFERROR(INDEX(DATABASE_FG!$H$5:$H$367, MATCH(E561, DATABASE_FG!$C$5:$C$367, 0)), " ")</f>
        <v>0</v>
      </c>
      <c r="O561" s="129" t="str">
        <f>IF(E561&lt;&gt;"", _xlfn.XLOOKUP(E561, DATABASE_FG!C:C, DATABASE_FG!F:F), " ")</f>
        <v>Alama</v>
      </c>
      <c r="P561" s="129"/>
      <c r="Q561" s="36"/>
      <c r="R561" s="125" t="s">
        <v>678</v>
      </c>
      <c r="S561" s="123">
        <f>Table1[[#This Row],[Quantity]]/48</f>
        <v>5.5</v>
      </c>
      <c r="T561" s="36" t="s">
        <v>679</v>
      </c>
      <c r="U561" s="36"/>
      <c r="V561" s="36"/>
      <c r="W561" s="129"/>
      <c r="X561" s="36"/>
      <c r="Y561" s="36"/>
      <c r="Z561" s="36"/>
      <c r="AA561" s="125" t="s">
        <v>121</v>
      </c>
      <c r="AB561" s="173">
        <v>45882</v>
      </c>
      <c r="AC561" s="119" t="s">
        <v>3648</v>
      </c>
      <c r="AD561" s="36">
        <f t="shared" si="71"/>
        <v>39839933</v>
      </c>
      <c r="AE561" s="36" t="str">
        <f t="shared" si="72"/>
        <v>EDP KUH.6317-A-M-3001 004</v>
      </c>
      <c r="AF561" s="36">
        <v>264</v>
      </c>
      <c r="AG561" s="120">
        <f t="shared" si="76"/>
        <v>908.16</v>
      </c>
      <c r="AH561" s="36"/>
      <c r="AI561" s="124"/>
      <c r="AJ561" s="122" t="s">
        <v>3649</v>
      </c>
      <c r="AK561" s="129" t="str">
        <f t="shared" ca="1" si="74"/>
        <v>On Time</v>
      </c>
      <c r="AL561" s="268" t="str">
        <f t="shared" si="77"/>
        <v>August</v>
      </c>
      <c r="AM561" s="133">
        <f>YEAR(Table1[[#This Row],[ETA
As requested
dd.mm.yyyy]])</f>
        <v>2025</v>
      </c>
    </row>
    <row r="562" spans="1:40" hidden="1">
      <c r="A562" s="123" t="s">
        <v>83</v>
      </c>
      <c r="B562" s="36" t="s">
        <v>1170</v>
      </c>
      <c r="C562" s="117">
        <v>39839933</v>
      </c>
      <c r="D562" s="165">
        <v>45862</v>
      </c>
      <c r="E562" s="224" t="s">
        <v>86</v>
      </c>
      <c r="F562" s="36" t="str">
        <f>IFERROR(VLOOKUP(Table1[[#This Row],[Part Number]],DATABASE_FG!$C$6:D10551,2,FALSE)," ")</f>
        <v>096486538-0000</v>
      </c>
      <c r="G562" s="117" t="str">
        <f>IFERROR(_xlfn.XLOOKUP(Table1[[#This Row],[Part Number]],Table3[Part number],Table3[Drawing
 Revision]),"")</f>
        <v>AA</v>
      </c>
      <c r="H562" s="118" cm="1">
        <f t="array" ref="H562">IFERROR(INDEX(PDB!$C:$AT,MATCH(E562,PDB!$B:$B,0),MATCH(YEAR(K562),0+PDB!$C$1:$AT$1,0)),"")</f>
        <v>3.44</v>
      </c>
      <c r="I562" s="36">
        <v>198</v>
      </c>
      <c r="J562" s="125">
        <f>IFERROR(Table1[[#This Row],[Quantity]]*Table1[[#This Row],[Price/Unit
EUR]]," ")</f>
        <v>681.12</v>
      </c>
      <c r="K562" s="126">
        <v>45900</v>
      </c>
      <c r="L562" s="36">
        <f>WEEKNUM(Table1[[#This Row],[ETA
As requested
dd.mm.yyyy]])</f>
        <v>36</v>
      </c>
      <c r="M562" s="36">
        <f>YEAR(Table1[[#This Row],[ETA
As requested
dd.mm.yyyy]])</f>
        <v>2025</v>
      </c>
      <c r="N562" s="36">
        <f>IFERROR(INDEX(DATABASE_FG!$H$5:$H$367, MATCH(E562, DATABASE_FG!$C$5:$C$367, 0)), " ")</f>
        <v>0</v>
      </c>
      <c r="O562" s="129" t="str">
        <f>IF(E562&lt;&gt;"", _xlfn.XLOOKUP(E562, DATABASE_FG!C:C, DATABASE_FG!F:F), " ")</f>
        <v>Alama</v>
      </c>
      <c r="P562" s="129"/>
      <c r="Q562" s="36"/>
      <c r="R562" s="125" t="s">
        <v>678</v>
      </c>
      <c r="S562" s="123">
        <f>Table1[[#This Row],[Quantity]]/48</f>
        <v>4.125</v>
      </c>
      <c r="T562" s="36" t="s">
        <v>679</v>
      </c>
      <c r="U562" s="36"/>
      <c r="V562" s="36"/>
      <c r="W562" s="129"/>
      <c r="X562" s="36"/>
      <c r="Y562" s="36"/>
      <c r="Z562" s="36"/>
      <c r="AA562" s="125" t="s">
        <v>121</v>
      </c>
      <c r="AB562" s="173">
        <v>45883</v>
      </c>
      <c r="AC562" s="119" t="s">
        <v>3650</v>
      </c>
      <c r="AD562" s="36">
        <f t="shared" si="71"/>
        <v>39839933</v>
      </c>
      <c r="AE562" s="36" t="str">
        <f t="shared" si="72"/>
        <v>EDP KUH.6317-A-M-3001 004</v>
      </c>
      <c r="AF562" s="36">
        <v>198</v>
      </c>
      <c r="AG562" s="120">
        <f t="shared" si="76"/>
        <v>681.12</v>
      </c>
      <c r="AH562" s="36"/>
      <c r="AI562" s="124"/>
      <c r="AJ562" s="122" t="s">
        <v>3651</v>
      </c>
      <c r="AK562" s="129" t="str">
        <f t="shared" ca="1" si="74"/>
        <v>On Time</v>
      </c>
      <c r="AL562" s="268" t="str">
        <f t="shared" si="77"/>
        <v>August</v>
      </c>
      <c r="AM562" s="133">
        <f>YEAR(Table1[[#This Row],[ETA
As requested
dd.mm.yyyy]])</f>
        <v>2025</v>
      </c>
    </row>
    <row r="563" spans="1:40" hidden="1">
      <c r="A563" s="123" t="s">
        <v>83</v>
      </c>
      <c r="B563" s="36" t="s">
        <v>1170</v>
      </c>
      <c r="C563" s="117">
        <v>39839933</v>
      </c>
      <c r="D563" s="165">
        <v>45862</v>
      </c>
      <c r="E563" s="224" t="s">
        <v>86</v>
      </c>
      <c r="F563" s="36" t="str">
        <f>IFERROR(VLOOKUP(Table1[[#This Row],[Part Number]],DATABASE_FG!$C$6:D10552,2,FALSE)," ")</f>
        <v>096486538-0000</v>
      </c>
      <c r="G563" s="117" t="str">
        <f>IFERROR(_xlfn.XLOOKUP(Table1[[#This Row],[Part Number]],Table3[Part number],Table3[Drawing
 Revision]),"")</f>
        <v>AA</v>
      </c>
      <c r="H563" s="118" cm="1">
        <f t="array" ref="H563">IFERROR(INDEX(PDB!$C:$AT,MATCH(E563,PDB!$B:$B,0),MATCH(YEAR(K563),0+PDB!$C$1:$AT$1,0)),"")</f>
        <v>3.44</v>
      </c>
      <c r="I563" s="36">
        <v>198</v>
      </c>
      <c r="J563" s="125">
        <f>IFERROR(Table1[[#This Row],[Quantity]]*Table1[[#This Row],[Price/Unit
EUR]]," ")</f>
        <v>681.12</v>
      </c>
      <c r="K563" s="126">
        <v>45900</v>
      </c>
      <c r="L563" s="36">
        <f>WEEKNUM(Table1[[#This Row],[ETA
As requested
dd.mm.yyyy]])</f>
        <v>36</v>
      </c>
      <c r="M563" s="36">
        <f>YEAR(Table1[[#This Row],[ETA
As requested
dd.mm.yyyy]])</f>
        <v>2025</v>
      </c>
      <c r="N563" s="36">
        <f>IFERROR(INDEX(DATABASE_FG!$H$5:$H$367, MATCH(E563, DATABASE_FG!$C$5:$C$367, 0)), " ")</f>
        <v>0</v>
      </c>
      <c r="O563" s="129" t="str">
        <f>IF(E563&lt;&gt;"", _xlfn.XLOOKUP(E563, DATABASE_FG!C:C, DATABASE_FG!F:F), " ")</f>
        <v>Alama</v>
      </c>
      <c r="P563" s="129"/>
      <c r="Q563" s="36"/>
      <c r="R563" s="125" t="s">
        <v>678</v>
      </c>
      <c r="S563" s="123">
        <f>Table1[[#This Row],[Quantity]]/48</f>
        <v>4.125</v>
      </c>
      <c r="T563" s="36" t="s">
        <v>679</v>
      </c>
      <c r="U563" s="36"/>
      <c r="V563" s="36"/>
      <c r="W563" s="129"/>
      <c r="X563" s="36"/>
      <c r="Y563" s="36"/>
      <c r="Z563" s="36"/>
      <c r="AA563" s="125" t="s">
        <v>121</v>
      </c>
      <c r="AB563" s="173">
        <v>45888</v>
      </c>
      <c r="AC563" s="119" t="s">
        <v>3652</v>
      </c>
      <c r="AD563" s="36">
        <f t="shared" si="71"/>
        <v>39839933</v>
      </c>
      <c r="AE563" s="36" t="str">
        <f t="shared" si="72"/>
        <v>EDP KUH.6317-A-M-3001 004</v>
      </c>
      <c r="AF563" s="36">
        <v>198</v>
      </c>
      <c r="AG563" s="120">
        <f t="shared" si="76"/>
        <v>681.12</v>
      </c>
      <c r="AH563" s="36"/>
      <c r="AI563" s="124"/>
      <c r="AJ563" s="122" t="s">
        <v>3653</v>
      </c>
      <c r="AK563" s="129" t="str">
        <f t="shared" ca="1" si="74"/>
        <v>On Time</v>
      </c>
      <c r="AL563" s="268" t="str">
        <f t="shared" si="77"/>
        <v>August</v>
      </c>
      <c r="AM563" s="133">
        <f>YEAR(Table1[[#This Row],[ETA
As requested
dd.mm.yyyy]])</f>
        <v>2025</v>
      </c>
    </row>
    <row r="564" spans="1:40" hidden="1">
      <c r="A564" s="123" t="s">
        <v>83</v>
      </c>
      <c r="B564" s="36" t="s">
        <v>1170</v>
      </c>
      <c r="C564" s="117">
        <v>39839933</v>
      </c>
      <c r="D564" s="165">
        <v>45862</v>
      </c>
      <c r="E564" s="224" t="s">
        <v>86</v>
      </c>
      <c r="F564" s="36" t="str">
        <f>IFERROR(VLOOKUP(Table1[[#This Row],[Part Number]],DATABASE_FG!$C$6:D10553,2,FALSE)," ")</f>
        <v>096486538-0000</v>
      </c>
      <c r="G564" s="117" t="str">
        <f>IFERROR(_xlfn.XLOOKUP(Table1[[#This Row],[Part Number]],Table3[Part number],Table3[Drawing
 Revision]),"")</f>
        <v>AA</v>
      </c>
      <c r="H564" s="118" cm="1">
        <f t="array" ref="H564">IFERROR(INDEX(PDB!$C:$AT,MATCH(E564,PDB!$B:$B,0),MATCH(YEAR(K564),0+PDB!$C$1:$AT$1,0)),"")</f>
        <v>3.44</v>
      </c>
      <c r="I564" s="36">
        <f>1180-109-132-264-264-198-198</f>
        <v>15</v>
      </c>
      <c r="J564" s="125">
        <f>IFERROR(Table1[[#This Row],[Quantity]]*Table1[[#This Row],[Price/Unit
EUR]]," ")</f>
        <v>51.6</v>
      </c>
      <c r="K564" s="126">
        <v>45900</v>
      </c>
      <c r="L564" s="36">
        <f>WEEKNUM(Table1[[#This Row],[ETA
As requested
dd.mm.yyyy]])</f>
        <v>36</v>
      </c>
      <c r="M564" s="36">
        <f>YEAR(Table1[[#This Row],[ETA
As requested
dd.mm.yyyy]])</f>
        <v>2025</v>
      </c>
      <c r="N564" s="36">
        <f>IFERROR(INDEX(DATABASE_FG!$H$5:$H$367, MATCH(E564, DATABASE_FG!$C$5:$C$367, 0)), " ")</f>
        <v>0</v>
      </c>
      <c r="O564" s="129" t="str">
        <f>IF(E564&lt;&gt;"", _xlfn.XLOOKUP(E564, DATABASE_FG!C:C, DATABASE_FG!F:F), " ")</f>
        <v>Alama</v>
      </c>
      <c r="P564" s="129"/>
      <c r="Q564" s="36"/>
      <c r="R564" s="125" t="s">
        <v>678</v>
      </c>
      <c r="S564" s="123">
        <f>Table1[[#This Row],[Quantity]]/48</f>
        <v>0.3125</v>
      </c>
      <c r="T564" s="36" t="s">
        <v>679</v>
      </c>
      <c r="U564" s="36"/>
      <c r="V564" s="36"/>
      <c r="W564" s="129"/>
      <c r="X564" s="36"/>
      <c r="Y564" s="36"/>
      <c r="Z564" s="36"/>
      <c r="AA564" s="125" t="s">
        <v>121</v>
      </c>
      <c r="AB564" s="173">
        <v>45889</v>
      </c>
      <c r="AC564" s="119" t="s">
        <v>3654</v>
      </c>
      <c r="AD564" s="36">
        <f t="shared" si="71"/>
        <v>39839933</v>
      </c>
      <c r="AE564" s="36" t="str">
        <f t="shared" si="72"/>
        <v>EDP KUH.6317-A-M-3001 004</v>
      </c>
      <c r="AF564" s="36">
        <v>15</v>
      </c>
      <c r="AG564" s="120">
        <f t="shared" si="76"/>
        <v>51.6</v>
      </c>
      <c r="AH564" s="36"/>
      <c r="AI564" s="124"/>
      <c r="AJ564" s="122" t="s">
        <v>3655</v>
      </c>
      <c r="AK564" s="129" t="str">
        <f t="shared" ca="1" si="74"/>
        <v>On Time</v>
      </c>
      <c r="AL564" s="268" t="str">
        <f t="shared" si="77"/>
        <v>August</v>
      </c>
      <c r="AM564" s="133">
        <f>YEAR(Table1[[#This Row],[ETA
As requested
dd.mm.yyyy]])</f>
        <v>2025</v>
      </c>
    </row>
    <row r="565" spans="1:40" hidden="1">
      <c r="A565" s="123" t="s">
        <v>83</v>
      </c>
      <c r="B565" s="36" t="s">
        <v>1170</v>
      </c>
      <c r="C565" s="117">
        <v>50380743</v>
      </c>
      <c r="D565" s="165">
        <v>45939</v>
      </c>
      <c r="E565" s="224" t="s">
        <v>86</v>
      </c>
      <c r="F565" s="36" t="str">
        <f>IFERROR(VLOOKUP(Table1[[#This Row],[Part Number]],DATABASE_FG!$C$6:D10554,2,FALSE)," ")</f>
        <v>096486538-0000</v>
      </c>
      <c r="G565" s="117" t="str">
        <f>IFERROR(_xlfn.XLOOKUP(Table1[[#This Row],[Part Number]],Table3[Part number],Table3[Drawing
 Revision]),"")</f>
        <v>AA</v>
      </c>
      <c r="H565" s="118" cm="1">
        <f t="array" ref="H565">IFERROR(INDEX(PDB!$C:$AT,MATCH(E565,PDB!$B:$B,0),MATCH(YEAR(K565),0+PDB!$C$1:$AT$1,0)),"")</f>
        <v>3.44</v>
      </c>
      <c r="I565" s="36">
        <v>792</v>
      </c>
      <c r="J565" s="125">
        <f>IFERROR(Table1[[#This Row],[Quantity]]*Table1[[#This Row],[Price/Unit
EUR]]," ")</f>
        <v>2724.48</v>
      </c>
      <c r="K565" s="126">
        <v>45950</v>
      </c>
      <c r="L565" s="36">
        <f>WEEKNUM(Table1[[#This Row],[ETA
As requested
dd.mm.yyyy]])</f>
        <v>43</v>
      </c>
      <c r="M565" s="36">
        <f>YEAR(Table1[[#This Row],[ETA
As requested
dd.mm.yyyy]])</f>
        <v>2025</v>
      </c>
      <c r="N565" s="36">
        <f>IFERROR(INDEX(DATABASE_FG!$H$5:$H$367, MATCH(E565, DATABASE_FG!$C$5:$C$367, 0)), " ")</f>
        <v>0</v>
      </c>
      <c r="O565" s="129" t="str">
        <f>IF(E565&lt;&gt;"", _xlfn.XLOOKUP(E565, DATABASE_FG!C:C, DATABASE_FG!F:F), " ")</f>
        <v>Alama</v>
      </c>
      <c r="P565" s="129"/>
      <c r="Q565" s="36"/>
      <c r="R565" s="125" t="s">
        <v>678</v>
      </c>
      <c r="S565" s="123">
        <f>Table1[[#This Row],[Quantity]]/48</f>
        <v>16.5</v>
      </c>
      <c r="T565" s="36"/>
      <c r="U565" s="194"/>
      <c r="V565" s="194"/>
      <c r="W565" s="204"/>
      <c r="X565" s="194"/>
      <c r="Y565" s="194"/>
      <c r="Z565" s="194"/>
      <c r="AA565" s="125" t="s">
        <v>121</v>
      </c>
      <c r="AB565" s="173">
        <v>45946</v>
      </c>
      <c r="AC565" s="119" t="s">
        <v>4366</v>
      </c>
      <c r="AD565" s="36">
        <f t="shared" si="71"/>
        <v>50380743</v>
      </c>
      <c r="AE565" s="36" t="str">
        <f t="shared" si="72"/>
        <v>EDP KUH.6317-A-M-3001 004</v>
      </c>
      <c r="AF565" s="36">
        <v>792</v>
      </c>
      <c r="AG565" s="120">
        <f t="shared" si="76"/>
        <v>2724.48</v>
      </c>
      <c r="AH565" s="36"/>
      <c r="AI565" s="124"/>
      <c r="AJ565" s="122" t="s">
        <v>4365</v>
      </c>
      <c r="AK565" s="129" t="str">
        <f t="shared" ca="1" si="74"/>
        <v>On Time</v>
      </c>
      <c r="AL565" s="268" t="str">
        <f t="shared" si="77"/>
        <v>October</v>
      </c>
      <c r="AM565" s="133">
        <f>YEAR(Table1[[#This Row],[ETA
As requested
dd.mm.yyyy]])</f>
        <v>2025</v>
      </c>
      <c r="AN565" s="191"/>
    </row>
    <row r="566" spans="1:40" hidden="1">
      <c r="A566" s="123" t="s">
        <v>83</v>
      </c>
      <c r="B566" s="36" t="s">
        <v>1170</v>
      </c>
      <c r="C566" s="117">
        <v>50380743</v>
      </c>
      <c r="D566" s="165">
        <v>45939</v>
      </c>
      <c r="E566" s="224" t="s">
        <v>86</v>
      </c>
      <c r="F566" s="36" t="str">
        <f>IFERROR(VLOOKUP(Table1[[#This Row],[Part Number]],DATABASE_FG!$C$6:D10555,2,FALSE)," ")</f>
        <v>096486538-0000</v>
      </c>
      <c r="G566" s="117" t="str">
        <f>IFERROR(_xlfn.XLOOKUP(Table1[[#This Row],[Part Number]],Table3[Part number],Table3[Drawing
 Revision]),"")</f>
        <v>AA</v>
      </c>
      <c r="H566" s="118" cm="1">
        <f t="array" ref="H566">IFERROR(INDEX(PDB!$C:$AT,MATCH(E566,PDB!$B:$B,0),MATCH(YEAR(K566),0+PDB!$C$1:$AT$1,0)),"")</f>
        <v>3.44</v>
      </c>
      <c r="I566" s="36">
        <f>940-792</f>
        <v>148</v>
      </c>
      <c r="J566" s="125">
        <f>IFERROR(Table1[[#This Row],[Quantity]]*Table1[[#This Row],[Price/Unit
EUR]]," ")</f>
        <v>509.12</v>
      </c>
      <c r="K566" s="126">
        <v>45950</v>
      </c>
      <c r="L566" s="36">
        <f>WEEKNUM(Table1[[#This Row],[ETA
As requested
dd.mm.yyyy]])</f>
        <v>43</v>
      </c>
      <c r="M566" s="36">
        <f>YEAR(Table1[[#This Row],[ETA
As requested
dd.mm.yyyy]])</f>
        <v>2025</v>
      </c>
      <c r="N566" s="36">
        <f>IFERROR(INDEX(DATABASE_FG!$H$5:$H$367, MATCH(E566, DATABASE_FG!$C$5:$C$367, 0)), " ")</f>
        <v>0</v>
      </c>
      <c r="O566" s="129" t="str">
        <f>IF(E566&lt;&gt;"", _xlfn.XLOOKUP(E566, DATABASE_FG!C:C, DATABASE_FG!F:F), " ")</f>
        <v>Alama</v>
      </c>
      <c r="P566" s="129"/>
      <c r="Q566" s="36"/>
      <c r="R566" s="125" t="s">
        <v>678</v>
      </c>
      <c r="S566" s="123">
        <f>Table1[[#This Row],[Quantity]]/48</f>
        <v>3.0833333333333335</v>
      </c>
      <c r="T566" s="36" t="s">
        <v>679</v>
      </c>
      <c r="U566" s="36"/>
      <c r="V566" s="36"/>
      <c r="W566" s="129"/>
      <c r="X566" s="36"/>
      <c r="Y566" s="36"/>
      <c r="Z566" s="36"/>
      <c r="AA566" s="125" t="s">
        <v>121</v>
      </c>
      <c r="AB566" s="173">
        <v>45947</v>
      </c>
      <c r="AC566" s="119" t="s">
        <v>4355</v>
      </c>
      <c r="AD566" s="36">
        <f t="shared" si="71"/>
        <v>50380743</v>
      </c>
      <c r="AE566" s="36" t="str">
        <f t="shared" si="72"/>
        <v>EDP KUH.6317-A-M-3001 004</v>
      </c>
      <c r="AF566" s="36">
        <v>148</v>
      </c>
      <c r="AG566" s="120">
        <f t="shared" si="76"/>
        <v>509.12</v>
      </c>
      <c r="AH566" s="36"/>
      <c r="AI566" s="124"/>
      <c r="AJ566" s="122" t="s">
        <v>4372</v>
      </c>
      <c r="AK566" s="129" t="str">
        <f t="shared" ca="1" si="74"/>
        <v>On Time</v>
      </c>
      <c r="AL566" s="268" t="str">
        <f t="shared" si="77"/>
        <v>October</v>
      </c>
      <c r="AM566" s="133">
        <f>YEAR(Table1[[#This Row],[ETA
As requested
dd.mm.yyyy]])</f>
        <v>2025</v>
      </c>
    </row>
    <row r="567" spans="1:40" hidden="1">
      <c r="A567" s="123" t="s">
        <v>83</v>
      </c>
      <c r="B567" s="36" t="s">
        <v>1170</v>
      </c>
      <c r="C567" s="117"/>
      <c r="D567" s="165">
        <v>45862</v>
      </c>
      <c r="E567" s="224" t="s">
        <v>86</v>
      </c>
      <c r="F567" s="36" t="str">
        <f>IFERROR(VLOOKUP(Table1[[#This Row],[Part Number]],DATABASE_FG!$C$6:D10556,2,FALSE)," ")</f>
        <v>096486538-0000</v>
      </c>
      <c r="G567" s="117" t="str">
        <f>IFERROR(_xlfn.XLOOKUP(Table1[[#This Row],[Part Number]],Table3[Part number],Table3[Drawing
 Revision]),"")</f>
        <v>AA</v>
      </c>
      <c r="H567" s="118" cm="1">
        <f t="array" ref="H567">IFERROR(INDEX(PDB!$C:$AT,MATCH(E567,PDB!$B:$B,0),MATCH(YEAR(K567),0+PDB!$C$1:$AT$1,0)),"")</f>
        <v>3.44</v>
      </c>
      <c r="I567" s="36">
        <v>1705</v>
      </c>
      <c r="J567" s="125">
        <f>IFERROR(Table1[[#This Row],[Quantity]]*Table1[[#This Row],[Price/Unit
EUR]]," ")</f>
        <v>5865.2</v>
      </c>
      <c r="K567" s="126">
        <v>46009</v>
      </c>
      <c r="L567" s="36">
        <f>WEEKNUM(Table1[[#This Row],[ETA
As requested
dd.mm.yyyy]])</f>
        <v>51</v>
      </c>
      <c r="M567" s="36">
        <f>YEAR(Table1[[#This Row],[ETA
As requested
dd.mm.yyyy]])</f>
        <v>2025</v>
      </c>
      <c r="N567" s="36">
        <f>IFERROR(INDEX(DATABASE_FG!$H$5:$H$367, MATCH(E567, DATABASE_FG!$C$5:$C$367, 0)), " ")</f>
        <v>0</v>
      </c>
      <c r="O567" s="129" t="str">
        <f>IF(E567&lt;&gt;"", _xlfn.XLOOKUP(E567, DATABASE_FG!C:C, DATABASE_FG!F:F), " ")</f>
        <v>Alama</v>
      </c>
      <c r="P567" s="129"/>
      <c r="Q567" s="36"/>
      <c r="R567" s="125" t="s">
        <v>678</v>
      </c>
      <c r="S567" s="123">
        <f>Table1[[#This Row],[Quantity]]/48</f>
        <v>35.520833333333336</v>
      </c>
      <c r="T567" s="36" t="s">
        <v>679</v>
      </c>
      <c r="U567" s="36"/>
      <c r="V567" s="36"/>
      <c r="W567" s="129"/>
      <c r="X567" s="36"/>
      <c r="Y567" s="36"/>
      <c r="Z567" s="36"/>
      <c r="AA567" s="125" t="s">
        <v>3</v>
      </c>
      <c r="AB567" s="173"/>
      <c r="AC567" s="119"/>
      <c r="AD567" s="36" t="str">
        <f t="shared" si="71"/>
        <v/>
      </c>
      <c r="AE567" s="36" t="str">
        <f t="shared" si="72"/>
        <v/>
      </c>
      <c r="AF567" s="36"/>
      <c r="AG567" s="120">
        <f t="shared" si="76"/>
        <v>0</v>
      </c>
      <c r="AH567" s="36"/>
      <c r="AI567" s="124"/>
      <c r="AJ567" s="122"/>
      <c r="AK567" s="129" t="str">
        <f t="shared" ca="1" si="74"/>
        <v/>
      </c>
      <c r="AL567" s="268" t="str">
        <f t="shared" si="77"/>
        <v>December</v>
      </c>
      <c r="AM567" s="133">
        <f>YEAR(Table1[[#This Row],[ETA
As requested
dd.mm.yyyy]])</f>
        <v>2025</v>
      </c>
    </row>
    <row r="568" spans="1:40" hidden="1">
      <c r="A568" s="123" t="s">
        <v>82</v>
      </c>
      <c r="B568" s="36" t="s">
        <v>1170</v>
      </c>
      <c r="C568" s="117">
        <v>36618901</v>
      </c>
      <c r="D568" s="165">
        <v>45398</v>
      </c>
      <c r="E568" s="117" t="s">
        <v>370</v>
      </c>
      <c r="F568" s="36" t="str">
        <f>IFERROR(VLOOKUP(Table1[[#This Row],[Part Number]],DATABASE_FG!$C$6:D10557,2,FALSE)," ")</f>
        <v>005152879-0000</v>
      </c>
      <c r="G568" s="117" t="str">
        <f>IFERROR(_xlfn.XLOOKUP(Table1[[#This Row],[Part Number]],Table3[Part number],Table3[Drawing
 Revision]),"")</f>
        <v>AI</v>
      </c>
      <c r="H568" s="118" cm="1">
        <f t="array" ref="H568">IFERROR(INDEX(PDB!$C:$AT,MATCH(E568,PDB!$B:$B,0),MATCH(YEAR(K568),0+PDB!$C$1:$AT$1,0)),"")</f>
        <v>21.41</v>
      </c>
      <c r="I568" s="36">
        <v>20</v>
      </c>
      <c r="J568" s="125">
        <f>IFERROR(Table1[[#This Row],[Quantity]]*Table1[[#This Row],[Price/Unit
EUR]]," ")</f>
        <v>428.2</v>
      </c>
      <c r="K568" s="126">
        <v>45446</v>
      </c>
      <c r="L568" s="36">
        <f>WEEKNUM(Table1[[#This Row],[ETA
As requested
dd.mm.yyyy]])</f>
        <v>23</v>
      </c>
      <c r="M568" s="36">
        <f>YEAR(Table1[[#This Row],[ETA
As requested
dd.mm.yyyy]])</f>
        <v>2024</v>
      </c>
      <c r="N568" s="36">
        <f>IFERROR(INDEX(DATABASE_FG!$H$5:$H$367, MATCH(E568, DATABASE_FG!$C$5:$C$367, 0)), " ")</f>
        <v>0</v>
      </c>
      <c r="O568" s="129">
        <f>IF(E568&lt;&gt;"", _xlfn.XLOOKUP(E568, DATABASE_FG!C:C, DATABASE_FG!F:F), " ")</f>
        <v>0</v>
      </c>
      <c r="P568" s="129">
        <f>IFERROR(INDEX(DATABASE_FG!$G$5:$G$367, MATCH(E568, DATABASE_FG!$C$5:$C$367, 0)), "Not Found")</f>
        <v>50</v>
      </c>
      <c r="Q568" s="36"/>
      <c r="R568" s="125" t="s">
        <v>680</v>
      </c>
      <c r="S568" s="123">
        <f>IFERROR(INDEX(DATABASE_FG!$L$5:$L$367, MATCH(E568, DATABASE_FG!$C$5:$C$367, 0)), " ")</f>
        <v>56</v>
      </c>
      <c r="T568" s="36" t="s">
        <v>679</v>
      </c>
      <c r="U568" s="36"/>
      <c r="V568" s="36"/>
      <c r="W568" s="129"/>
      <c r="X568" s="36"/>
      <c r="Y568" s="36"/>
      <c r="Z568" s="36">
        <v>242210</v>
      </c>
      <c r="AA568" s="125" t="s">
        <v>121</v>
      </c>
      <c r="AB568" s="173">
        <v>45546</v>
      </c>
      <c r="AC568" s="119">
        <v>202401123</v>
      </c>
      <c r="AD568" s="36">
        <f t="shared" si="71"/>
        <v>36618901</v>
      </c>
      <c r="AE568" s="36" t="str">
        <f t="shared" si="72"/>
        <v>EDP PL.LFDL52-B-0021 000</v>
      </c>
      <c r="AF568" s="36">
        <v>20</v>
      </c>
      <c r="AG568" s="120">
        <f t="shared" si="76"/>
        <v>428.2</v>
      </c>
      <c r="AH568" s="36"/>
      <c r="AI568" s="124" t="s">
        <v>1598</v>
      </c>
      <c r="AJ568" s="122" t="s">
        <v>1599</v>
      </c>
      <c r="AK568" s="129" t="str">
        <f t="shared" ca="1" si="74"/>
        <v>Late</v>
      </c>
      <c r="AL568" s="268" t="str">
        <f t="shared" si="77"/>
        <v>June</v>
      </c>
      <c r="AM568" s="133">
        <f>YEAR(Table1[[#This Row],[ETA
As requested
dd.mm.yyyy]])</f>
        <v>2024</v>
      </c>
    </row>
    <row r="569" spans="1:40" hidden="1">
      <c r="A569" s="123" t="s">
        <v>82</v>
      </c>
      <c r="B569" s="36" t="s">
        <v>1170</v>
      </c>
      <c r="C569" s="117">
        <v>38973385</v>
      </c>
      <c r="D569" s="165">
        <v>45747</v>
      </c>
      <c r="E569" s="117" t="s">
        <v>370</v>
      </c>
      <c r="F569" s="36" t="str">
        <f>IFERROR(VLOOKUP(Table1[[#This Row],[Part Number]],DATABASE_FG!$C$6:D10558,2,FALSE)," ")</f>
        <v>005152879-0000</v>
      </c>
      <c r="G569" s="117" t="str">
        <f>IFERROR(_xlfn.XLOOKUP(Table1[[#This Row],[Part Number]],Table3[Part number],Table3[Drawing
 Revision]),"")</f>
        <v>AI</v>
      </c>
      <c r="H569" s="118" cm="1">
        <f t="array" ref="H569">IFERROR(INDEX(PDB!$C:$AT,MATCH(E569,PDB!$B:$B,0),MATCH(YEAR(K569),0+PDB!$C$1:$AT$1,0)),"")</f>
        <v>21.41</v>
      </c>
      <c r="I569" s="36">
        <f>30+3</f>
        <v>33</v>
      </c>
      <c r="J569" s="125">
        <f>IFERROR(Table1[[#This Row],[Quantity]]*Table1[[#This Row],[Price/Unit
EUR]]," ")</f>
        <v>706.53</v>
      </c>
      <c r="K569" s="126">
        <v>45811</v>
      </c>
      <c r="L569" s="36">
        <f>WEEKNUM(Table1[[#This Row],[ETA
As requested
dd.mm.yyyy]])</f>
        <v>23</v>
      </c>
      <c r="M569" s="36">
        <f>YEAR(Table1[[#This Row],[ETA
As requested
dd.mm.yyyy]])</f>
        <v>2025</v>
      </c>
      <c r="N569" s="36">
        <f>IFERROR(INDEX(DATABASE_FG!$H$5:$H$367, MATCH(E569, DATABASE_FG!$C$5:$C$367, 0)), " ")</f>
        <v>0</v>
      </c>
      <c r="O569" s="129">
        <f>IF(E569&lt;&gt;"", _xlfn.XLOOKUP(E569, DATABASE_FG!C:C, DATABASE_FG!F:F), " ")</f>
        <v>0</v>
      </c>
      <c r="P569" s="129">
        <v>0</v>
      </c>
      <c r="Q569" s="36"/>
      <c r="R569" s="125" t="s">
        <v>678</v>
      </c>
      <c r="S569" s="123">
        <f>IFERROR(INDEX(DATABASE_FG!$L$5:$L$367, MATCH(E569, DATABASE_FG!$C$5:$C$367, 0)), " ")</f>
        <v>56</v>
      </c>
      <c r="T569" s="36" t="s">
        <v>677</v>
      </c>
      <c r="U569" s="36"/>
      <c r="V569" s="36"/>
      <c r="W569" s="129" t="s">
        <v>677</v>
      </c>
      <c r="X569" s="36"/>
      <c r="Y569" s="36"/>
      <c r="Z569" s="36"/>
      <c r="AA569" s="125" t="s">
        <v>121</v>
      </c>
      <c r="AB569" s="173">
        <v>45859</v>
      </c>
      <c r="AC569" s="119">
        <v>251086</v>
      </c>
      <c r="AD569" s="36">
        <f t="shared" si="71"/>
        <v>38973385</v>
      </c>
      <c r="AE569" s="36" t="str">
        <f t="shared" si="72"/>
        <v>EDP PL.LFDL52-B-0021 000</v>
      </c>
      <c r="AF569" s="36">
        <v>33</v>
      </c>
      <c r="AG569" s="120">
        <f t="shared" si="76"/>
        <v>706.53</v>
      </c>
      <c r="AH569" s="36"/>
      <c r="AI569" s="124"/>
      <c r="AJ569" s="122" t="s">
        <v>3237</v>
      </c>
      <c r="AK569" s="129" t="str">
        <f t="shared" ca="1" si="74"/>
        <v>Late</v>
      </c>
      <c r="AL569" s="268" t="str">
        <f t="shared" si="77"/>
        <v>June</v>
      </c>
      <c r="AM569" s="133">
        <f>YEAR(Table1[[#This Row],[ETA
As requested
dd.mm.yyyy]])</f>
        <v>2025</v>
      </c>
    </row>
    <row r="570" spans="1:40" hidden="1">
      <c r="A570" s="123" t="s">
        <v>82</v>
      </c>
      <c r="B570" s="36" t="s">
        <v>1170</v>
      </c>
      <c r="C570" s="117">
        <v>36653481</v>
      </c>
      <c r="D570" s="165">
        <v>45404</v>
      </c>
      <c r="E570" s="117" t="s">
        <v>360</v>
      </c>
      <c r="F570" s="36" t="str">
        <f>IFERROR(VLOOKUP(Table1[[#This Row],[Part Number]],DATABASE_FG!$C$6:D10559,2,FALSE)," ")</f>
        <v>005084350-0000</v>
      </c>
      <c r="G570" s="117" t="str">
        <f>IFERROR(_xlfn.XLOOKUP(Table1[[#This Row],[Part Number]],Table3[Part number],Table3[Drawing
 Revision]),"")</f>
        <v>AA</v>
      </c>
      <c r="H570" s="118" cm="1">
        <f t="array" ref="H570">IFERROR(INDEX(PDB!$C:$AT,MATCH(E570,PDB!$B:$B,0),MATCH(YEAR(K570),0+PDB!$C$1:$AT$1,0)),"")</f>
        <v>9.8000000000000007</v>
      </c>
      <c r="I570" s="36">
        <v>30</v>
      </c>
      <c r="J570" s="125">
        <f>IFERROR(Table1[[#This Row],[Quantity]]*Table1[[#This Row],[Price/Unit
EUR]]," ")</f>
        <v>294</v>
      </c>
      <c r="K570" s="126">
        <v>45446</v>
      </c>
      <c r="L570" s="36">
        <f>WEEKNUM(Table1[[#This Row],[ETA
As requested
dd.mm.yyyy]])</f>
        <v>23</v>
      </c>
      <c r="M570" s="36">
        <f>YEAR(Table1[[#This Row],[ETA
As requested
dd.mm.yyyy]])</f>
        <v>2024</v>
      </c>
      <c r="N570" s="36">
        <f>IFERROR(INDEX(DATABASE_FG!$H$5:$H$367, MATCH(E570, DATABASE_FG!$C$5:$C$367, 0)), " ")</f>
        <v>0</v>
      </c>
      <c r="O570" s="129">
        <f>IF(E570&lt;&gt;"", _xlfn.XLOOKUP(E570, DATABASE_FG!C:C, DATABASE_FG!F:F), " ")</f>
        <v>0</v>
      </c>
      <c r="P570" s="129">
        <f>IFERROR(INDEX(DATABASE_FG!$G$5:$G$367, MATCH(E570, DATABASE_FG!$C$5:$C$367, 0)), "Not Found")</f>
        <v>50</v>
      </c>
      <c r="Q570" s="36"/>
      <c r="R570" s="125" t="s">
        <v>678</v>
      </c>
      <c r="S570" s="123">
        <f>IFERROR(INDEX(DATABASE_FG!$L$5:$L$367, MATCH(E570, DATABASE_FG!$C$5:$C$367, 0)), " ")</f>
        <v>56</v>
      </c>
      <c r="T570" s="36" t="s">
        <v>677</v>
      </c>
      <c r="U570" s="36"/>
      <c r="V570" s="36"/>
      <c r="W570" s="129"/>
      <c r="X570" s="36"/>
      <c r="Y570" s="36"/>
      <c r="Z570" s="36">
        <v>242112</v>
      </c>
      <c r="AA570" s="125" t="s">
        <v>121</v>
      </c>
      <c r="AB570" s="173">
        <v>45478</v>
      </c>
      <c r="AC570" s="119">
        <v>2024805</v>
      </c>
      <c r="AD570" s="36">
        <f t="shared" si="71"/>
        <v>36653481</v>
      </c>
      <c r="AE570" s="36" t="str">
        <f t="shared" si="72"/>
        <v>EDP PLLFDL52B-0011 000</v>
      </c>
      <c r="AF570" s="36">
        <v>28</v>
      </c>
      <c r="AG570" s="120">
        <f t="shared" si="76"/>
        <v>274.40000000000003</v>
      </c>
      <c r="AH570" s="36"/>
      <c r="AI570" s="124" t="s">
        <v>1595</v>
      </c>
      <c r="AJ570" s="122" t="s">
        <v>1596</v>
      </c>
      <c r="AK570" s="129" t="str">
        <f t="shared" ca="1" si="74"/>
        <v>Late</v>
      </c>
      <c r="AL570" s="268" t="str">
        <f t="shared" si="77"/>
        <v>June</v>
      </c>
      <c r="AM570" s="133">
        <f>YEAR(Table1[[#This Row],[ETA
As requested
dd.mm.yyyy]])</f>
        <v>2024</v>
      </c>
    </row>
    <row r="571" spans="1:40" hidden="1">
      <c r="A571" s="123" t="s">
        <v>82</v>
      </c>
      <c r="B571" s="36" t="s">
        <v>1170</v>
      </c>
      <c r="C571" s="117">
        <v>38973388</v>
      </c>
      <c r="D571" s="165">
        <v>45747</v>
      </c>
      <c r="E571" s="117" t="s">
        <v>360</v>
      </c>
      <c r="F571" s="36" t="str">
        <f>IFERROR(VLOOKUP(Table1[[#This Row],[Part Number]],DATABASE_FG!$C$6:D10560,2,FALSE)," ")</f>
        <v>005084350-0000</v>
      </c>
      <c r="G571" s="117" t="str">
        <f>IFERROR(_xlfn.XLOOKUP(Table1[[#This Row],[Part Number]],Table3[Part number],Table3[Drawing
 Revision]),"")</f>
        <v>AA</v>
      </c>
      <c r="H571" s="118" cm="1">
        <f t="array" ref="H571">IFERROR(INDEX(PDB!$C:$AT,MATCH(E571,PDB!$B:$B,0),MATCH(YEAR(K571),0+PDB!$C$1:$AT$1,0)),"")</f>
        <v>9.8000000000000007</v>
      </c>
      <c r="I571" s="36">
        <v>20</v>
      </c>
      <c r="J571" s="125">
        <f>IFERROR(Table1[[#This Row],[Quantity]]*Table1[[#This Row],[Price/Unit
EUR]]," ")</f>
        <v>196</v>
      </c>
      <c r="K571" s="126">
        <v>45811</v>
      </c>
      <c r="L571" s="36">
        <f>WEEKNUM(Table1[[#This Row],[ETA
As requested
dd.mm.yyyy]])</f>
        <v>23</v>
      </c>
      <c r="M571" s="36">
        <f>YEAR(Table1[[#This Row],[ETA
As requested
dd.mm.yyyy]])</f>
        <v>2025</v>
      </c>
      <c r="N571" s="36">
        <f>IFERROR(INDEX(DATABASE_FG!$H$5:$H$367, MATCH(E571, DATABASE_FG!$C$5:$C$367, 0)), " ")</f>
        <v>0</v>
      </c>
      <c r="O571" s="129">
        <f>IF(E571&lt;&gt;"", _xlfn.XLOOKUP(E571, DATABASE_FG!C:C, DATABASE_FG!F:F), " ")</f>
        <v>0</v>
      </c>
      <c r="P571" s="129">
        <v>0</v>
      </c>
      <c r="Q571" s="36"/>
      <c r="R571" s="125" t="s">
        <v>678</v>
      </c>
      <c r="S571" s="123">
        <f>IFERROR(INDEX(DATABASE_FG!$L$5:$L$367, MATCH(E571, DATABASE_FG!$C$5:$C$367, 0)), " ")</f>
        <v>56</v>
      </c>
      <c r="T571" s="36" t="s">
        <v>677</v>
      </c>
      <c r="U571" s="36"/>
      <c r="V571" s="36"/>
      <c r="W571" s="129" t="s">
        <v>677</v>
      </c>
      <c r="X571" s="36"/>
      <c r="Y571" s="36"/>
      <c r="Z571" s="36"/>
      <c r="AA571" s="125" t="s">
        <v>121</v>
      </c>
      <c r="AB571" s="173">
        <v>45838</v>
      </c>
      <c r="AC571" s="119">
        <v>260018</v>
      </c>
      <c r="AD571" s="36">
        <f t="shared" si="71"/>
        <v>38973388</v>
      </c>
      <c r="AE571" s="36" t="str">
        <f t="shared" si="72"/>
        <v>EDP PLLFDL52B-0011 000</v>
      </c>
      <c r="AF571" s="36">
        <v>20</v>
      </c>
      <c r="AG571" s="120">
        <f t="shared" si="76"/>
        <v>196</v>
      </c>
      <c r="AH571" s="36"/>
      <c r="AI571" s="124"/>
      <c r="AJ571" s="122"/>
      <c r="AK571" s="129" t="str">
        <f t="shared" ca="1" si="74"/>
        <v>Late</v>
      </c>
      <c r="AL571" s="268" t="str">
        <f t="shared" si="77"/>
        <v>June</v>
      </c>
      <c r="AM571" s="133">
        <f>YEAR(Table1[[#This Row],[ETA
As requested
dd.mm.yyyy]])</f>
        <v>2025</v>
      </c>
    </row>
    <row r="572" spans="1:40" hidden="1">
      <c r="A572" s="123" t="s">
        <v>82</v>
      </c>
      <c r="B572" s="36" t="s">
        <v>1170</v>
      </c>
      <c r="C572" s="117">
        <v>38973388</v>
      </c>
      <c r="D572" s="165">
        <v>45747</v>
      </c>
      <c r="E572" s="117" t="s">
        <v>360</v>
      </c>
      <c r="F572" s="36" t="str">
        <f>IFERROR(VLOOKUP(Table1[[#This Row],[Part Number]],DATABASE_FG!$C$6:D10561,2,FALSE)," ")</f>
        <v>005084350-0000</v>
      </c>
      <c r="G572" s="117" t="str">
        <f>IFERROR(_xlfn.XLOOKUP(Table1[[#This Row],[Part Number]],Table3[Part number],Table3[Drawing
 Revision]),"")</f>
        <v>AA</v>
      </c>
      <c r="H572" s="118" cm="1">
        <f t="array" ref="H572">IFERROR(INDEX(PDB!$C:$AT,MATCH(E572,PDB!$B:$B,0),MATCH(YEAR(K572),0+PDB!$C$1:$AT$1,0)),"")</f>
        <v>9.8000000000000007</v>
      </c>
      <c r="I572" s="36">
        <f>30-20-1</f>
        <v>9</v>
      </c>
      <c r="J572" s="125">
        <f>IFERROR(Table1[[#This Row],[Quantity]]*Table1[[#This Row],[Price/Unit
EUR]]," ")</f>
        <v>88.2</v>
      </c>
      <c r="K572" s="126">
        <v>45811</v>
      </c>
      <c r="L572" s="36">
        <f>WEEKNUM(Table1[[#This Row],[ETA
As requested
dd.mm.yyyy]])</f>
        <v>23</v>
      </c>
      <c r="M572" s="36">
        <f>YEAR(Table1[[#This Row],[ETA
As requested
dd.mm.yyyy]])</f>
        <v>2025</v>
      </c>
      <c r="N572" s="36">
        <f>IFERROR(INDEX(DATABASE_FG!$H$5:$H$367, MATCH(E572, DATABASE_FG!$C$5:$C$367, 0)), " ")</f>
        <v>0</v>
      </c>
      <c r="O572" s="129">
        <f>IF(E572&lt;&gt;"", _xlfn.XLOOKUP(E572, DATABASE_FG!C:C, DATABASE_FG!F:F), " ")</f>
        <v>0</v>
      </c>
      <c r="P572" s="129">
        <v>0</v>
      </c>
      <c r="Q572" s="36"/>
      <c r="R572" s="125" t="s">
        <v>678</v>
      </c>
      <c r="S572" s="123">
        <f>IFERROR(INDEX(DATABASE_FG!$L$5:$L$367, MATCH(E572, DATABASE_FG!$C$5:$C$367, 0)), " ")</f>
        <v>56</v>
      </c>
      <c r="T572" s="36" t="s">
        <v>677</v>
      </c>
      <c r="U572" s="36"/>
      <c r="V572" s="36"/>
      <c r="W572" s="129" t="s">
        <v>677</v>
      </c>
      <c r="X572" s="36"/>
      <c r="Y572" s="36"/>
      <c r="Z572" s="36"/>
      <c r="AA572" s="125" t="s">
        <v>121</v>
      </c>
      <c r="AB572" s="173">
        <v>45859</v>
      </c>
      <c r="AC572" s="119">
        <v>251085</v>
      </c>
      <c r="AD572" s="36">
        <f t="shared" si="71"/>
        <v>38973388</v>
      </c>
      <c r="AE572" s="36" t="str">
        <f t="shared" si="72"/>
        <v>EDP PLLFDL52B-0011 000</v>
      </c>
      <c r="AF572" s="36">
        <v>9</v>
      </c>
      <c r="AG572" s="120">
        <f t="shared" si="76"/>
        <v>88.2</v>
      </c>
      <c r="AH572" s="36"/>
      <c r="AI572" s="124"/>
      <c r="AJ572" s="122" t="s">
        <v>3238</v>
      </c>
      <c r="AK572" s="129" t="str">
        <f t="shared" ca="1" si="74"/>
        <v>Late</v>
      </c>
      <c r="AL572" s="268" t="str">
        <f t="shared" si="77"/>
        <v>June</v>
      </c>
      <c r="AM572" s="133">
        <f>YEAR(Table1[[#This Row],[ETA
As requested
dd.mm.yyyy]])</f>
        <v>2025</v>
      </c>
    </row>
    <row r="573" spans="1:40" hidden="1">
      <c r="A573" s="123" t="s">
        <v>83</v>
      </c>
      <c r="B573" s="36" t="s">
        <v>1170</v>
      </c>
      <c r="C573" s="117">
        <v>36368369</v>
      </c>
      <c r="D573" s="165">
        <v>45357</v>
      </c>
      <c r="E573" s="117" t="s">
        <v>1230</v>
      </c>
      <c r="F573" s="36" t="str">
        <f>IFERROR(VLOOKUP(Table1[[#This Row],[Part Number]],DATABASE_FG!$C$6:D10562,2,FALSE)," ")</f>
        <v xml:space="preserve">096353970-0000 </v>
      </c>
      <c r="G573" s="117" t="str">
        <f>IFERROR(_xlfn.XLOOKUP(Table1[[#This Row],[Part Number]],Table3[Part number],Table3[Drawing
 Revision]),"")</f>
        <v>AC</v>
      </c>
      <c r="H573" s="118" cm="1">
        <f t="array" ref="H573">IFERROR(INDEX(PDB!$C:$AT,MATCH(E573,PDB!$B:$B,0),MATCH(YEAR(K573),0+PDB!$C$1:$AT$1,0)),"")</f>
        <v>5.69</v>
      </c>
      <c r="I573" s="36">
        <v>20</v>
      </c>
      <c r="J573" s="125">
        <f>IFERROR(Table1[[#This Row],[Quantity]]*Table1[[#This Row],[Price/Unit
EUR]]," ")</f>
        <v>113.80000000000001</v>
      </c>
      <c r="K573" s="126">
        <v>45371</v>
      </c>
      <c r="L573" s="36">
        <f>WEEKNUM(Table1[[#This Row],[ETA
As requested
dd.mm.yyyy]])</f>
        <v>12</v>
      </c>
      <c r="M573" s="36">
        <f>YEAR(Table1[[#This Row],[ETA
As requested
dd.mm.yyyy]])</f>
        <v>2024</v>
      </c>
      <c r="N573" s="36">
        <f>IFERROR(INDEX(DATABASE_FG!$H$5:$H$367, MATCH(E573, DATABASE_FG!$C$5:$C$367, 0)), " ")</f>
        <v>0</v>
      </c>
      <c r="O573" s="129" t="str">
        <f>IF(E573&lt;&gt;"", _xlfn.XLOOKUP(E573, DATABASE_FG!C:C, DATABASE_FG!F:F), " ")</f>
        <v>Alama</v>
      </c>
      <c r="P573" s="129">
        <f>IFERROR(INDEX(DATABASE_FG!$G$5:$G$367, MATCH(E573, DATABASE_FG!$C$5:$C$367, 0)), "Not Found")</f>
        <v>0</v>
      </c>
      <c r="Q573" s="36"/>
      <c r="R573" s="125" t="s">
        <v>680</v>
      </c>
      <c r="S573" s="123">
        <f>IFERROR(INDEX(DATABASE_FG!$L$5:$L$367, MATCH(E573, DATABASE_FG!$C$5:$C$367, 0)), " ")</f>
        <v>42</v>
      </c>
      <c r="T573" s="36" t="s">
        <v>679</v>
      </c>
      <c r="U573" s="36"/>
      <c r="V573" s="36"/>
      <c r="W573" s="129"/>
      <c r="X573" s="36"/>
      <c r="Y573" s="36"/>
      <c r="Z573" s="36">
        <v>241209</v>
      </c>
      <c r="AA573" s="125" t="s">
        <v>677</v>
      </c>
      <c r="AB573" s="173">
        <v>45397</v>
      </c>
      <c r="AC573" s="119">
        <v>2024353</v>
      </c>
      <c r="AD573" s="36">
        <f t="shared" si="71"/>
        <v>36368369</v>
      </c>
      <c r="AE573" s="36" t="str">
        <f t="shared" si="72"/>
        <v>EDS F-801631-1031.RKKM.ZL-M3A</v>
      </c>
      <c r="AF573" s="36">
        <v>5</v>
      </c>
      <c r="AG573" s="120">
        <f t="shared" si="76"/>
        <v>28.450000000000003</v>
      </c>
      <c r="AH573" s="36"/>
      <c r="AI573" s="124" t="s">
        <v>1201</v>
      </c>
      <c r="AJ573" s="122" t="s">
        <v>1232</v>
      </c>
      <c r="AK573" s="129" t="str">
        <f t="shared" ca="1" si="74"/>
        <v>Late</v>
      </c>
      <c r="AL573" s="268" t="str">
        <f t="shared" si="77"/>
        <v>March</v>
      </c>
      <c r="AM573" s="133">
        <f>YEAR(Table1[[#This Row],[ETA
As requested
dd.mm.yyyy]])</f>
        <v>2024</v>
      </c>
    </row>
    <row r="574" spans="1:40" hidden="1">
      <c r="A574" s="123" t="s">
        <v>83</v>
      </c>
      <c r="B574" s="36" t="s">
        <v>1170</v>
      </c>
      <c r="C574" s="117">
        <v>36895643</v>
      </c>
      <c r="D574" s="165">
        <v>45439</v>
      </c>
      <c r="E574" s="117" t="s">
        <v>1669</v>
      </c>
      <c r="F574" s="36" t="str">
        <f>IFERROR(VLOOKUP(Table1[[#This Row],[Part Number]],DATABASE_FG!$C$6:D10563,2,FALSE)," ")</f>
        <v>300784627-0000</v>
      </c>
      <c r="G574" s="117" t="str">
        <f>IFERROR(_xlfn.XLOOKUP(Table1[[#This Row],[Part Number]],Table3[Part number],Table3[Drawing
 Revision]),"")</f>
        <v>AA</v>
      </c>
      <c r="H574" s="118" cm="1">
        <f t="array" ref="H574">IFERROR(INDEX(PDB!$C:$AT,MATCH(E574,PDB!$B:$B,0),MATCH(YEAR(K574),0+PDB!$C$1:$AT$1,0)),"")</f>
        <v>0.76</v>
      </c>
      <c r="I574" s="36">
        <v>1308</v>
      </c>
      <c r="J574" s="125">
        <f>IFERROR(Table1[[#This Row],[Quantity]]*Table1[[#This Row],[Price/Unit
EUR]]," ")</f>
        <v>994.08</v>
      </c>
      <c r="K574" s="126">
        <v>45455</v>
      </c>
      <c r="L574" s="36">
        <f>WEEKNUM(Table1[[#This Row],[ETA
As requested
dd.mm.yyyy]])</f>
        <v>24</v>
      </c>
      <c r="M574" s="36">
        <f>YEAR(Table1[[#This Row],[ETA
As requested
dd.mm.yyyy]])</f>
        <v>2024</v>
      </c>
      <c r="N574" s="36">
        <f>IFERROR(INDEX(DATABASE_FG!$H$5:$H$367, MATCH(E574, DATABASE_FG!$C$5:$C$367, 0)), " ")</f>
        <v>0</v>
      </c>
      <c r="O574" s="129" t="str">
        <f>IF(E574&lt;&gt;"", _xlfn.XLOOKUP(E574, DATABASE_FG!C:C, DATABASE_FG!F:F), " ")</f>
        <v>Alama</v>
      </c>
      <c r="P574" s="129">
        <f>IFERROR(INDEX(DATABASE_FG!$G$5:$G$367, MATCH(E574, DATABASE_FG!$C$5:$C$367, 0)), "Not Found")</f>
        <v>500</v>
      </c>
      <c r="Q574" s="36"/>
      <c r="R574" s="125" t="s">
        <v>678</v>
      </c>
      <c r="S574" s="123">
        <f>IFERROR(INDEX(DATABASE_FG!$L$5:$L$367, MATCH(E574, DATABASE_FG!$C$5:$C$367, 0)), " ")</f>
        <v>42</v>
      </c>
      <c r="T574" s="36" t="s">
        <v>679</v>
      </c>
      <c r="U574" s="36"/>
      <c r="V574" s="36"/>
      <c r="W574" s="129"/>
      <c r="X574" s="36"/>
      <c r="Y574" s="36"/>
      <c r="Z574" s="36" t="s">
        <v>1671</v>
      </c>
      <c r="AA574" s="125" t="s">
        <v>121</v>
      </c>
      <c r="AB574" s="173">
        <v>45457</v>
      </c>
      <c r="AC574" s="119">
        <v>2024661</v>
      </c>
      <c r="AD574" s="36">
        <f t="shared" si="71"/>
        <v>36895643</v>
      </c>
      <c r="AE574" s="36" t="str">
        <f t="shared" si="72"/>
        <v>EDS RKDK.N217-E-Y3-1042 000 AA</v>
      </c>
      <c r="AF574" s="36">
        <v>390</v>
      </c>
      <c r="AG574" s="120">
        <f t="shared" si="76"/>
        <v>296.39999999999998</v>
      </c>
      <c r="AH574" s="36"/>
      <c r="AI574" s="124"/>
      <c r="AJ574" s="122" t="s">
        <v>1672</v>
      </c>
      <c r="AK574" s="129" t="str">
        <f t="shared" ca="1" si="74"/>
        <v>On Time</v>
      </c>
      <c r="AL574" s="268" t="str">
        <f t="shared" si="77"/>
        <v>June</v>
      </c>
      <c r="AM574" s="133">
        <f>YEAR(Table1[[#This Row],[ETA
As requested
dd.mm.yyyy]])</f>
        <v>2024</v>
      </c>
    </row>
    <row r="575" spans="1:40" hidden="1">
      <c r="A575" s="123" t="s">
        <v>83</v>
      </c>
      <c r="B575" s="36" t="s">
        <v>1170</v>
      </c>
      <c r="C575" s="117">
        <v>36895643</v>
      </c>
      <c r="D575" s="165">
        <v>45439</v>
      </c>
      <c r="E575" s="117" t="s">
        <v>1669</v>
      </c>
      <c r="F575" s="36" t="str">
        <f>IFERROR(VLOOKUP(Table1[[#This Row],[Part Number]],DATABASE_FG!$C$6:D10564,2,FALSE)," ")</f>
        <v>300784627-0000</v>
      </c>
      <c r="G575" s="117" t="str">
        <f>IFERROR(_xlfn.XLOOKUP(Table1[[#This Row],[Part Number]],Table3[Part number],Table3[Drawing
 Revision]),"")</f>
        <v>AA</v>
      </c>
      <c r="H575" s="118" cm="1">
        <f t="array" ref="H575">IFERROR(INDEX(PDB!$C:$AT,MATCH(E575,PDB!$B:$B,0),MATCH(YEAR(K575),0+PDB!$C$1:$AT$1,0)),"")</f>
        <v>0.76</v>
      </c>
      <c r="I575" s="36"/>
      <c r="J575" s="125">
        <f>IFERROR(Table1[[#This Row],[Quantity]]*Table1[[#This Row],[Price/Unit
EUR]]," ")</f>
        <v>0</v>
      </c>
      <c r="K575" s="126">
        <v>45455</v>
      </c>
      <c r="L575" s="36">
        <f>WEEKNUM(Table1[[#This Row],[ETA
As requested
dd.mm.yyyy]])</f>
        <v>24</v>
      </c>
      <c r="M575" s="36">
        <f>YEAR(Table1[[#This Row],[ETA
As requested
dd.mm.yyyy]])</f>
        <v>2024</v>
      </c>
      <c r="N575" s="36">
        <f>IFERROR(INDEX(DATABASE_FG!$H$5:$H$367, MATCH(E575, DATABASE_FG!$C$5:$C$367, 0)), " ")</f>
        <v>0</v>
      </c>
      <c r="O575" s="129" t="str">
        <f>IF(E575&lt;&gt;"", _xlfn.XLOOKUP(E575, DATABASE_FG!C:C, DATABASE_FG!F:F), " ")</f>
        <v>Alama</v>
      </c>
      <c r="P575" s="129">
        <f>IFERROR(INDEX(DATABASE_FG!$G$5:$G$367, MATCH(E575, DATABASE_FG!$C$5:$C$367, 0)), "Not Found")</f>
        <v>500</v>
      </c>
      <c r="Q575" s="36"/>
      <c r="R575" s="125"/>
      <c r="S575" s="123">
        <f>Table1[[#This Row],[Quantity]]/48</f>
        <v>0</v>
      </c>
      <c r="T575" s="36"/>
      <c r="U575" s="36"/>
      <c r="V575" s="36"/>
      <c r="W575" s="129"/>
      <c r="X575" s="36"/>
      <c r="Y575" s="36"/>
      <c r="Z575" s="36"/>
      <c r="AA575" s="125" t="s">
        <v>121</v>
      </c>
      <c r="AB575" s="173">
        <v>45460</v>
      </c>
      <c r="AC575" s="119">
        <v>2024674</v>
      </c>
      <c r="AD575" s="36">
        <f t="shared" si="71"/>
        <v>36895643</v>
      </c>
      <c r="AE575" s="36" t="str">
        <f t="shared" si="72"/>
        <v>EDS RKDK.N217-E-Y3-1042 000 AA</v>
      </c>
      <c r="AF575" s="36">
        <v>438</v>
      </c>
      <c r="AG575" s="120">
        <f t="shared" si="76"/>
        <v>332.88</v>
      </c>
      <c r="AH575" s="36"/>
      <c r="AI575" s="124"/>
      <c r="AJ575" s="122" t="s">
        <v>1673</v>
      </c>
      <c r="AK575" s="129" t="str">
        <f t="shared" ca="1" si="74"/>
        <v>Late</v>
      </c>
      <c r="AL575" s="268" t="str">
        <f t="shared" si="77"/>
        <v>June</v>
      </c>
      <c r="AM575" s="133">
        <f>YEAR(Table1[[#This Row],[ETA
As requested
dd.mm.yyyy]])</f>
        <v>2024</v>
      </c>
    </row>
    <row r="576" spans="1:40" hidden="1">
      <c r="A576" s="123" t="s">
        <v>83</v>
      </c>
      <c r="B576" s="36" t="s">
        <v>1170</v>
      </c>
      <c r="C576" s="117">
        <v>36895643</v>
      </c>
      <c r="D576" s="165">
        <v>45439</v>
      </c>
      <c r="E576" s="117" t="s">
        <v>1669</v>
      </c>
      <c r="F576" s="36" t="str">
        <f>IFERROR(VLOOKUP(Table1[[#This Row],[Part Number]],DATABASE_FG!$C$6:D10565,2,FALSE)," ")</f>
        <v>300784627-0000</v>
      </c>
      <c r="G576" s="117" t="str">
        <f>IFERROR(_xlfn.XLOOKUP(Table1[[#This Row],[Part Number]],Table3[Part number],Table3[Drawing
 Revision]),"")</f>
        <v>AA</v>
      </c>
      <c r="H576" s="118" cm="1">
        <f t="array" ref="H576">IFERROR(INDEX(PDB!$C:$AT,MATCH(E576,PDB!$B:$B,0),MATCH(YEAR(K576),0+PDB!$C$1:$AT$1,0)),"")</f>
        <v>0.76</v>
      </c>
      <c r="I576" s="36"/>
      <c r="J576" s="125">
        <f>IFERROR(Table1[[#This Row],[Quantity]]*Table1[[#This Row],[Price/Unit
EUR]]," ")</f>
        <v>0</v>
      </c>
      <c r="K576" s="126">
        <v>45455</v>
      </c>
      <c r="L576" s="36">
        <f>WEEKNUM(Table1[[#This Row],[ETA
As requested
dd.mm.yyyy]])</f>
        <v>24</v>
      </c>
      <c r="M576" s="36">
        <f>YEAR(Table1[[#This Row],[ETA
As requested
dd.mm.yyyy]])</f>
        <v>2024</v>
      </c>
      <c r="N576" s="36">
        <f>IFERROR(INDEX(DATABASE_FG!$H$5:$H$367, MATCH(E576, DATABASE_FG!$C$5:$C$367, 0)), " ")</f>
        <v>0</v>
      </c>
      <c r="O576" s="129" t="str">
        <f>IF(E576&lt;&gt;"", _xlfn.XLOOKUP(E576, DATABASE_FG!C:C, DATABASE_FG!F:F), " ")</f>
        <v>Alama</v>
      </c>
      <c r="P576" s="129">
        <f>IFERROR(INDEX(DATABASE_FG!$G$5:$G$367, MATCH(E576, DATABASE_FG!$C$5:$C$367, 0)), "Not Found")</f>
        <v>500</v>
      </c>
      <c r="Q576" s="36"/>
      <c r="R576" s="125"/>
      <c r="S576" s="123">
        <f>Table1[[#This Row],[Quantity]]/48</f>
        <v>0</v>
      </c>
      <c r="T576" s="36"/>
      <c r="U576" s="36"/>
      <c r="V576" s="36"/>
      <c r="W576" s="129"/>
      <c r="X576" s="36"/>
      <c r="Y576" s="36"/>
      <c r="Z576" s="36"/>
      <c r="AA576" s="125" t="s">
        <v>121</v>
      </c>
      <c r="AB576" s="173">
        <v>45461</v>
      </c>
      <c r="AC576" s="119">
        <v>2024679</v>
      </c>
      <c r="AD576" s="36">
        <f t="shared" si="71"/>
        <v>36895643</v>
      </c>
      <c r="AE576" s="36" t="str">
        <f t="shared" si="72"/>
        <v>EDS RKDK.N217-E-Y3-1042 000 AA</v>
      </c>
      <c r="AF576" s="36">
        <v>149</v>
      </c>
      <c r="AG576" s="120">
        <f t="shared" si="76"/>
        <v>113.24</v>
      </c>
      <c r="AH576" s="36"/>
      <c r="AI576" s="124"/>
      <c r="AJ576" s="122" t="s">
        <v>1674</v>
      </c>
      <c r="AK576" s="129" t="str">
        <f t="shared" ca="1" si="74"/>
        <v>Late</v>
      </c>
      <c r="AL576" s="268" t="str">
        <f t="shared" si="77"/>
        <v>June</v>
      </c>
      <c r="AM576" s="133">
        <f>YEAR(Table1[[#This Row],[ETA
As requested
dd.mm.yyyy]])</f>
        <v>2024</v>
      </c>
    </row>
    <row r="577" spans="1:40" hidden="1">
      <c r="A577" s="123" t="s">
        <v>83</v>
      </c>
      <c r="B577" s="36" t="s">
        <v>1170</v>
      </c>
      <c r="C577" s="117">
        <v>36895643</v>
      </c>
      <c r="D577" s="165">
        <v>45439</v>
      </c>
      <c r="E577" s="117" t="s">
        <v>1669</v>
      </c>
      <c r="F577" s="36" t="str">
        <f>IFERROR(VLOOKUP(Table1[[#This Row],[Part Number]],DATABASE_FG!$C$6:D10566,2,FALSE)," ")</f>
        <v>300784627-0000</v>
      </c>
      <c r="G577" s="117" t="str">
        <f>IFERROR(_xlfn.XLOOKUP(Table1[[#This Row],[Part Number]],Table3[Part number],Table3[Drawing
 Revision]),"")</f>
        <v>AA</v>
      </c>
      <c r="H577" s="118" cm="1">
        <f t="array" ref="H577">IFERROR(INDEX(PDB!$C:$AT,MATCH(E577,PDB!$B:$B,0),MATCH(YEAR(K577),0+PDB!$C$1:$AT$1,0)),"")</f>
        <v>0.76</v>
      </c>
      <c r="I577" s="36"/>
      <c r="J577" s="125">
        <f>IFERROR(Table1[[#This Row],[Quantity]]*Table1[[#This Row],[Price/Unit
EUR]]," ")</f>
        <v>0</v>
      </c>
      <c r="K577" s="126">
        <v>45455</v>
      </c>
      <c r="L577" s="36">
        <f>WEEKNUM(Table1[[#This Row],[ETA
As requested
dd.mm.yyyy]])</f>
        <v>24</v>
      </c>
      <c r="M577" s="36">
        <f>YEAR(Table1[[#This Row],[ETA
As requested
dd.mm.yyyy]])</f>
        <v>2024</v>
      </c>
      <c r="N577" s="36">
        <f>IFERROR(INDEX(DATABASE_FG!$H$5:$H$367, MATCH(E577, DATABASE_FG!$C$5:$C$367, 0)), " ")</f>
        <v>0</v>
      </c>
      <c r="O577" s="129" t="str">
        <f>IF(E577&lt;&gt;"", _xlfn.XLOOKUP(E577, DATABASE_FG!C:C, DATABASE_FG!F:F), " ")</f>
        <v>Alama</v>
      </c>
      <c r="P577" s="129">
        <f>IFERROR(INDEX(DATABASE_FG!$G$5:$G$367, MATCH(E577, DATABASE_FG!$C$5:$C$367, 0)), "Not Found")</f>
        <v>500</v>
      </c>
      <c r="Q577" s="36"/>
      <c r="R577" s="125"/>
      <c r="S577" s="123">
        <f>Table1[[#This Row],[Quantity]]/48</f>
        <v>0</v>
      </c>
      <c r="T577" s="36"/>
      <c r="U577" s="36"/>
      <c r="V577" s="36"/>
      <c r="W577" s="129"/>
      <c r="X577" s="36"/>
      <c r="Y577" s="36"/>
      <c r="Z577" s="36"/>
      <c r="AA577" s="125" t="s">
        <v>121</v>
      </c>
      <c r="AB577" s="173">
        <v>45462</v>
      </c>
      <c r="AC577" s="119">
        <v>2024690</v>
      </c>
      <c r="AD577" s="36">
        <f t="shared" si="71"/>
        <v>36895643</v>
      </c>
      <c r="AE577" s="36" t="str">
        <f t="shared" si="72"/>
        <v>EDS RKDK.N217-E-Y3-1042 000 AA</v>
      </c>
      <c r="AF577" s="36">
        <v>226</v>
      </c>
      <c r="AG577" s="120">
        <f t="shared" si="76"/>
        <v>171.76</v>
      </c>
      <c r="AH577" s="36"/>
      <c r="AI577" s="124"/>
      <c r="AJ577" s="122" t="s">
        <v>1675</v>
      </c>
      <c r="AK577" s="129" t="str">
        <f t="shared" ca="1" si="74"/>
        <v>Late</v>
      </c>
      <c r="AL577" s="268" t="str">
        <f t="shared" si="77"/>
        <v>June</v>
      </c>
      <c r="AM577" s="133">
        <f>YEAR(Table1[[#This Row],[ETA
As requested
dd.mm.yyyy]])</f>
        <v>2024</v>
      </c>
    </row>
    <row r="578" spans="1:40" hidden="1">
      <c r="A578" s="123" t="s">
        <v>83</v>
      </c>
      <c r="B578" s="36" t="s">
        <v>1170</v>
      </c>
      <c r="C578" s="117">
        <v>36895643</v>
      </c>
      <c r="D578" s="165">
        <v>45439</v>
      </c>
      <c r="E578" s="117" t="s">
        <v>1669</v>
      </c>
      <c r="F578" s="36" t="str">
        <f>IFERROR(VLOOKUP(Table1[[#This Row],[Part Number]],DATABASE_FG!$C$6:D10567,2,FALSE)," ")</f>
        <v>300784627-0000</v>
      </c>
      <c r="G578" s="117" t="str">
        <f>IFERROR(_xlfn.XLOOKUP(Table1[[#This Row],[Part Number]],Table3[Part number],Table3[Drawing
 Revision]),"")</f>
        <v>AA</v>
      </c>
      <c r="H578" s="118" cm="1">
        <f t="array" ref="H578">IFERROR(INDEX(PDB!$C:$AT,MATCH(E578,PDB!$B:$B,0),MATCH(YEAR(K578),0+PDB!$C$1:$AT$1,0)),"")</f>
        <v>0.76</v>
      </c>
      <c r="I578" s="36"/>
      <c r="J578" s="125">
        <f>IFERROR(Table1[[#This Row],[Quantity]]*Table1[[#This Row],[Price/Unit
EUR]]," ")</f>
        <v>0</v>
      </c>
      <c r="K578" s="126">
        <v>45455</v>
      </c>
      <c r="L578" s="36">
        <f>WEEKNUM(Table1[[#This Row],[ETA
As requested
dd.mm.yyyy]])</f>
        <v>24</v>
      </c>
      <c r="M578" s="36">
        <f>YEAR(Table1[[#This Row],[ETA
As requested
dd.mm.yyyy]])</f>
        <v>2024</v>
      </c>
      <c r="N578" s="36">
        <f>IFERROR(INDEX(DATABASE_FG!$H$5:$H$367, MATCH(E578, DATABASE_FG!$C$5:$C$367, 0)), " ")</f>
        <v>0</v>
      </c>
      <c r="O578" s="129" t="str">
        <f>IF(E578&lt;&gt;"", _xlfn.XLOOKUP(E578, DATABASE_FG!C:C, DATABASE_FG!F:F), " ")</f>
        <v>Alama</v>
      </c>
      <c r="P578" s="129">
        <f>IFERROR(INDEX(DATABASE_FG!$G$5:$G$367, MATCH(E578, DATABASE_FG!$C$5:$C$367, 0)), "Not Found")</f>
        <v>500</v>
      </c>
      <c r="Q578" s="36"/>
      <c r="R578" s="125"/>
      <c r="S578" s="123">
        <f>Table1[[#This Row],[Quantity]]/48</f>
        <v>0</v>
      </c>
      <c r="T578" s="36"/>
      <c r="U578" s="36"/>
      <c r="V578" s="36"/>
      <c r="W578" s="129"/>
      <c r="X578" s="36"/>
      <c r="Y578" s="36"/>
      <c r="Z578" s="36"/>
      <c r="AA578" s="125" t="s">
        <v>121</v>
      </c>
      <c r="AB578" s="173">
        <v>45464</v>
      </c>
      <c r="AC578" s="119">
        <v>2024709</v>
      </c>
      <c r="AD578" s="36">
        <f t="shared" si="71"/>
        <v>36895643</v>
      </c>
      <c r="AE578" s="36" t="str">
        <f t="shared" si="72"/>
        <v>EDS RKDK.N217-E-Y3-1042 000 AA</v>
      </c>
      <c r="AF578" s="36">
        <v>105</v>
      </c>
      <c r="AG578" s="120">
        <f t="shared" si="76"/>
        <v>79.8</v>
      </c>
      <c r="AH578" s="36"/>
      <c r="AI578" s="124"/>
      <c r="AJ578" s="122" t="s">
        <v>1676</v>
      </c>
      <c r="AK578" s="129" t="str">
        <f t="shared" ca="1" si="74"/>
        <v>Late</v>
      </c>
      <c r="AL578" s="268" t="str">
        <f t="shared" si="77"/>
        <v>June</v>
      </c>
      <c r="AM578" s="133">
        <f>YEAR(Table1[[#This Row],[ETA
As requested
dd.mm.yyyy]])</f>
        <v>2024</v>
      </c>
    </row>
    <row r="579" spans="1:40" hidden="1">
      <c r="A579" s="123" t="s">
        <v>83</v>
      </c>
      <c r="B579" s="36" t="s">
        <v>1170</v>
      </c>
      <c r="C579" s="117">
        <v>37392580</v>
      </c>
      <c r="D579" s="165">
        <v>45506</v>
      </c>
      <c r="E579" s="117" t="s">
        <v>1669</v>
      </c>
      <c r="F579" s="36" t="str">
        <f>IFERROR(VLOOKUP(Table1[[#This Row],[Part Number]],DATABASE_FG!$C$6:D10568,2,FALSE)," ")</f>
        <v>300784627-0000</v>
      </c>
      <c r="G579" s="117" t="str">
        <f>IFERROR(_xlfn.XLOOKUP(Table1[[#This Row],[Part Number]],Table3[Part number],Table3[Drawing
 Revision]),"")</f>
        <v>AA</v>
      </c>
      <c r="H579" s="118" cm="1">
        <f t="array" ref="H579">IFERROR(INDEX(PDB!$C:$AT,MATCH(E579,PDB!$B:$B,0),MATCH(YEAR(K579),0+PDB!$C$1:$AT$1,0)),"")</f>
        <v>0.76</v>
      </c>
      <c r="I579" s="36">
        <v>1650</v>
      </c>
      <c r="J579" s="125">
        <f>IFERROR(Table1[[#This Row],[Quantity]]*Table1[[#This Row],[Price/Unit
EUR]]," ")</f>
        <v>1254</v>
      </c>
      <c r="K579" s="126">
        <v>45523</v>
      </c>
      <c r="L579" s="36">
        <f>WEEKNUM(Table1[[#This Row],[ETA
As requested
dd.mm.yyyy]])</f>
        <v>34</v>
      </c>
      <c r="M579" s="36">
        <f>YEAR(Table1[[#This Row],[ETA
As requested
dd.mm.yyyy]])</f>
        <v>2024</v>
      </c>
      <c r="N579" s="36">
        <f>IFERROR(INDEX(DATABASE_FG!$H$5:$H$367, MATCH(E579, DATABASE_FG!$C$5:$C$367, 0)), " ")</f>
        <v>0</v>
      </c>
      <c r="O579" s="129" t="str">
        <f>IF(E579&lt;&gt;"", _xlfn.XLOOKUP(E579, DATABASE_FG!C:C, DATABASE_FG!F:F), " ")</f>
        <v>Alama</v>
      </c>
      <c r="P579" s="129">
        <f>IFERROR(INDEX(DATABASE_FG!$G$5:$G$367, MATCH(E579, DATABASE_FG!$C$5:$C$367, 0)), "Not Found")</f>
        <v>500</v>
      </c>
      <c r="Q579" s="36"/>
      <c r="R579" s="125" t="s">
        <v>678</v>
      </c>
      <c r="S579" s="123">
        <f>IFERROR(INDEX(DATABASE_FG!$L$5:$L$367, MATCH(E579, DATABASE_FG!$C$5:$C$367, 0)), " ")</f>
        <v>42</v>
      </c>
      <c r="T579" s="36" t="s">
        <v>679</v>
      </c>
      <c r="U579" s="36"/>
      <c r="V579" s="36"/>
      <c r="W579" s="129"/>
      <c r="X579" s="36"/>
      <c r="Y579" s="36"/>
      <c r="Z579" s="36"/>
      <c r="AA579" s="125" t="s">
        <v>121</v>
      </c>
      <c r="AB579" s="173">
        <v>45523</v>
      </c>
      <c r="AC579" s="119">
        <v>202401038</v>
      </c>
      <c r="AD579" s="36">
        <f t="shared" si="71"/>
        <v>37392580</v>
      </c>
      <c r="AE579" s="36" t="str">
        <f t="shared" si="72"/>
        <v>EDS RKDK.N217-E-Y3-1042 000 AA</v>
      </c>
      <c r="AF579" s="36">
        <v>1495</v>
      </c>
      <c r="AG579" s="120">
        <f t="shared" si="76"/>
        <v>1136.2</v>
      </c>
      <c r="AH579" s="36"/>
      <c r="AI579" s="124"/>
      <c r="AJ579" s="122" t="s">
        <v>2102</v>
      </c>
      <c r="AK579" s="129" t="str">
        <f t="shared" ca="1" si="74"/>
        <v>On Time</v>
      </c>
      <c r="AL579" s="268" t="str">
        <f t="shared" si="77"/>
        <v>August</v>
      </c>
      <c r="AM579" s="133">
        <f>YEAR(Table1[[#This Row],[ETA
As requested
dd.mm.yyyy]])</f>
        <v>2024</v>
      </c>
    </row>
    <row r="580" spans="1:40" hidden="1">
      <c r="A580" s="123" t="s">
        <v>83</v>
      </c>
      <c r="B580" s="36" t="s">
        <v>1170</v>
      </c>
      <c r="C580" s="117">
        <v>37392580</v>
      </c>
      <c r="D580" s="165">
        <v>45507</v>
      </c>
      <c r="E580" s="117" t="s">
        <v>1669</v>
      </c>
      <c r="F580" s="36" t="str">
        <f>IFERROR(VLOOKUP(Table1[[#This Row],[Part Number]],DATABASE_FG!$C$6:D10569,2,FALSE)," ")</f>
        <v>300784627-0000</v>
      </c>
      <c r="G580" s="117" t="str">
        <f>IFERROR(_xlfn.XLOOKUP(Table1[[#This Row],[Part Number]],Table3[Part number],Table3[Drawing
 Revision]),"")</f>
        <v>AA</v>
      </c>
      <c r="H580" s="118" cm="1">
        <f t="array" ref="H580">IFERROR(INDEX(PDB!$C:$AT,MATCH(E580,PDB!$B:$B,0),MATCH(YEAR(K580),0+PDB!$C$1:$AT$1,0)),"")</f>
        <v>0.76</v>
      </c>
      <c r="I580" s="36"/>
      <c r="J580" s="125">
        <f>IFERROR(Table1[[#This Row],[Quantity]]*Table1[[#This Row],[Price/Unit
EUR]]," ")</f>
        <v>0</v>
      </c>
      <c r="K580" s="126">
        <v>45523</v>
      </c>
      <c r="L580" s="36">
        <f>WEEKNUM(Table1[[#This Row],[ETA
As requested
dd.mm.yyyy]])</f>
        <v>34</v>
      </c>
      <c r="M580" s="36">
        <f>YEAR(Table1[[#This Row],[ETA
As requested
dd.mm.yyyy]])</f>
        <v>2024</v>
      </c>
      <c r="N580" s="36">
        <f>IFERROR(INDEX(DATABASE_FG!$H$5:$H$367, MATCH(E580, DATABASE_FG!$C$5:$C$367, 0)), " ")</f>
        <v>0</v>
      </c>
      <c r="O580" s="129" t="str">
        <f>IF(E580&lt;&gt;"", _xlfn.XLOOKUP(E580, DATABASE_FG!C:C, DATABASE_FG!F:F), " ")</f>
        <v>Alama</v>
      </c>
      <c r="P580" s="129">
        <f>IFERROR(INDEX(DATABASE_FG!$G$5:$G$367, MATCH(E580, DATABASE_FG!$C$5:$C$367, 0)), "Not Found")</f>
        <v>500</v>
      </c>
      <c r="Q580" s="36"/>
      <c r="R580" s="125"/>
      <c r="S580" s="123">
        <f>Table1[[#This Row],[Quantity]]/48</f>
        <v>0</v>
      </c>
      <c r="T580" s="36"/>
      <c r="U580" s="36"/>
      <c r="V580" s="36"/>
      <c r="W580" s="129"/>
      <c r="X580" s="36"/>
      <c r="Y580" s="36"/>
      <c r="Z580" s="36"/>
      <c r="AA580" s="125" t="s">
        <v>121</v>
      </c>
      <c r="AB580" s="173">
        <v>45524</v>
      </c>
      <c r="AC580" s="119">
        <v>202401046</v>
      </c>
      <c r="AD580" s="36">
        <f t="shared" si="71"/>
        <v>37392580</v>
      </c>
      <c r="AE580" s="36" t="str">
        <f t="shared" si="72"/>
        <v>EDS RKDK.N217-E-Y3-1042 000 AA</v>
      </c>
      <c r="AF580" s="36">
        <v>155</v>
      </c>
      <c r="AG580" s="120">
        <f t="shared" si="76"/>
        <v>117.8</v>
      </c>
      <c r="AH580" s="36"/>
      <c r="AI580" s="124"/>
      <c r="AJ580" s="122" t="s">
        <v>2103</v>
      </c>
      <c r="AK580" s="129" t="str">
        <f t="shared" ca="1" si="74"/>
        <v>On Time</v>
      </c>
      <c r="AL580" s="268" t="str">
        <f t="shared" si="77"/>
        <v>August</v>
      </c>
      <c r="AM580" s="133">
        <f>YEAR(Table1[[#This Row],[ETA
As requested
dd.mm.yyyy]])</f>
        <v>2024</v>
      </c>
    </row>
    <row r="581" spans="1:40" hidden="1">
      <c r="A581" s="123" t="s">
        <v>58</v>
      </c>
      <c r="B581" s="36" t="s">
        <v>1170</v>
      </c>
      <c r="C581" s="117" t="s">
        <v>1250</v>
      </c>
      <c r="D581" s="165">
        <v>45373</v>
      </c>
      <c r="E581" s="117" t="s">
        <v>1251</v>
      </c>
      <c r="F581" s="36" t="str">
        <f>IFERROR(VLOOKUP(Table1[[#This Row],[Part Number]],DATABASE_FG!$C$6:D10570,2,FALSE)," ")</f>
        <v xml:space="preserve"> </v>
      </c>
      <c r="G581" s="117" t="str">
        <f>IFERROR(_xlfn.XLOOKUP(Table1[[#This Row],[Part Number]],Table3[Part number],Table3[Drawing
 Revision]),"")</f>
        <v/>
      </c>
      <c r="H581" s="118" t="str" cm="1">
        <f t="array" ref="H581">IFERROR(INDEX(PDB!$C:$AT,MATCH(E581,PDB!$B:$B,0),MATCH(YEAR(K581),0+PDB!$C$1:$AT$1,0)),"")</f>
        <v/>
      </c>
      <c r="I581" s="36">
        <v>22</v>
      </c>
      <c r="J581" s="125" t="str">
        <f>IFERROR(Table1[[#This Row],[Quantity]]*Table1[[#This Row],[Price/Unit
EUR]]," ")</f>
        <v xml:space="preserve"> </v>
      </c>
      <c r="K581" s="126">
        <v>45379</v>
      </c>
      <c r="L581" s="36">
        <f>WEEKNUM(Table1[[#This Row],[ETA
As requested
dd.mm.yyyy]])</f>
        <v>13</v>
      </c>
      <c r="M581" s="36">
        <f>YEAR(Table1[[#This Row],[ETA
As requested
dd.mm.yyyy]])</f>
        <v>2024</v>
      </c>
      <c r="N581" s="36" t="str">
        <f>IFERROR(INDEX(DATABASE_FG!$H$5:$H$367, MATCH(E581, DATABASE_FG!$C$5:$C$367, 0)), " ")</f>
        <v xml:space="preserve"> </v>
      </c>
      <c r="O581" s="129" t="e">
        <f>IF(E581&lt;&gt;"", _xlfn.XLOOKUP(E581, DATABASE_FG!C:C, DATABASE_FG!F:F), " ")</f>
        <v>#N/A</v>
      </c>
      <c r="P581" s="129" t="str">
        <f>IFERROR(INDEX(DATABASE_FG!$G$5:$G$367, MATCH(E581, DATABASE_FG!$C$5:$C$367, 0)), "Not Found")</f>
        <v>Not Found</v>
      </c>
      <c r="Q581" s="36"/>
      <c r="R581" s="125" t="s">
        <v>678</v>
      </c>
      <c r="S581" s="123">
        <f>Table1[[#This Row],[Quantity]]/48</f>
        <v>0.45833333333333331</v>
      </c>
      <c r="T581" s="36" t="s">
        <v>679</v>
      </c>
      <c r="U581" s="36"/>
      <c r="V581" s="36"/>
      <c r="W581" s="129"/>
      <c r="X581" s="36"/>
      <c r="Y581" s="36"/>
      <c r="Z581" s="36" t="s">
        <v>1252</v>
      </c>
      <c r="AA581" s="125" t="s">
        <v>121</v>
      </c>
      <c r="AB581" s="173">
        <v>45378</v>
      </c>
      <c r="AC581" s="119">
        <v>2024279</v>
      </c>
      <c r="AD581" s="36" t="str">
        <f t="shared" si="71"/>
        <v>RA118470</v>
      </c>
      <c r="AE581" s="36" t="str">
        <f t="shared" si="72"/>
        <v>EJD0000017112</v>
      </c>
      <c r="AF581" s="36">
        <v>22</v>
      </c>
      <c r="AG581" s="120" t="e">
        <f t="shared" si="76"/>
        <v>#VALUE!</v>
      </c>
      <c r="AH581" s="36"/>
      <c r="AI581" s="124"/>
      <c r="AJ581" s="122"/>
      <c r="AK581" s="129" t="str">
        <f t="shared" ca="1" si="74"/>
        <v>On Time</v>
      </c>
      <c r="AL581" s="268" t="str">
        <f t="shared" si="77"/>
        <v>March</v>
      </c>
      <c r="AM581" s="133">
        <f>YEAR(Table1[[#This Row],[ETA
As requested
dd.mm.yyyy]])</f>
        <v>2024</v>
      </c>
    </row>
    <row r="582" spans="1:40" hidden="1">
      <c r="A582" s="123" t="s">
        <v>4382</v>
      </c>
      <c r="B582" s="36" t="s">
        <v>1170</v>
      </c>
      <c r="C582" s="117" t="s">
        <v>4386</v>
      </c>
      <c r="D582" s="165">
        <v>45950</v>
      </c>
      <c r="E582" s="117" t="s">
        <v>4383</v>
      </c>
      <c r="F582" s="36">
        <f>IFERROR(VLOOKUP(Table1[[#This Row],[Part Number]],DATABASE_FG!$C$6:D10571,2,FALSE)," ")</f>
        <v>0</v>
      </c>
      <c r="G582" s="117">
        <f>IFERROR(_xlfn.XLOOKUP(Table1[[#This Row],[Part Number]],Table3[Part number],Table3[Drawing
 Revision]),"")</f>
        <v>0</v>
      </c>
      <c r="H582" s="118" cm="1">
        <f t="array" ref="H582">IFERROR(INDEX(PDB!$C:$AT,MATCH(E582,PDB!$B:$B,0),MATCH(YEAR(K582),0+PDB!$C$1:$AT$1,0)),"")</f>
        <v>1</v>
      </c>
      <c r="I582" s="36">
        <v>40</v>
      </c>
      <c r="J582" s="125">
        <f>IFERROR(Table1[[#This Row],[Quantity]]*Table1[[#This Row],[Price/Unit
EUR]]," ")</f>
        <v>40</v>
      </c>
      <c r="K582" s="126">
        <v>45971</v>
      </c>
      <c r="L582" s="36">
        <f>WEEKNUM(Table1[[#This Row],[ETA
As requested
dd.mm.yyyy]])</f>
        <v>46</v>
      </c>
      <c r="M582" s="36">
        <f>YEAR(Table1[[#This Row],[ETA
As requested
dd.mm.yyyy]])</f>
        <v>2025</v>
      </c>
      <c r="N582" s="36">
        <f>IFERROR(INDEX(DATABASE_FG!$H$5:$H$367, MATCH(E582, DATABASE_FG!$C$5:$C$367, 0)), " ")</f>
        <v>0</v>
      </c>
      <c r="O582" s="129" t="str">
        <f>IF(E582&lt;&gt;"", _xlfn.XLOOKUP(E582, DATABASE_FG!C:C, DATABASE_FG!F:F), " ")</f>
        <v>Strunjire moale</v>
      </c>
      <c r="P582" s="129">
        <f>IFERROR(INDEX(DATABASE_FG!$G$5:$G$367, MATCH(E582, DATABASE_FG!$C$5:$C$367, 0)), "Not Found")</f>
        <v>0</v>
      </c>
      <c r="Q582" s="36">
        <v>43</v>
      </c>
      <c r="R582" s="125"/>
      <c r="S582" s="123">
        <f>IFERROR(INDEX(DATABASE_FG!$L$5:$L$367, MATCH(E582, DATABASE_FG!$C$5:$C$367, 0)), " ")</f>
        <v>0</v>
      </c>
      <c r="T582" s="36" t="s">
        <v>677</v>
      </c>
      <c r="U582" s="36"/>
      <c r="V582" s="36"/>
      <c r="W582" s="129"/>
      <c r="X582" s="36"/>
      <c r="Y582" s="36"/>
      <c r="Z582" s="36"/>
      <c r="AA582" s="125" t="s">
        <v>3</v>
      </c>
      <c r="AB582" s="173"/>
      <c r="AC582" s="119"/>
      <c r="AD582" s="36" t="str">
        <f t="shared" si="71"/>
        <v/>
      </c>
      <c r="AE582" s="36" t="str">
        <f t="shared" si="72"/>
        <v/>
      </c>
      <c r="AF582" s="36"/>
      <c r="AG582" s="120">
        <f t="shared" si="76"/>
        <v>0</v>
      </c>
      <c r="AH582" s="36"/>
      <c r="AI582" s="124"/>
      <c r="AJ582" s="122"/>
      <c r="AK582" s="129" t="str">
        <f t="shared" ca="1" si="74"/>
        <v/>
      </c>
      <c r="AL582" s="268" t="str">
        <f t="shared" si="77"/>
        <v>November</v>
      </c>
      <c r="AM582" s="133">
        <f>YEAR(Table1[[#This Row],[ETA
As requested
dd.mm.yyyy]])</f>
        <v>2025</v>
      </c>
      <c r="AN582" s="191"/>
    </row>
    <row r="583" spans="1:40" hidden="1">
      <c r="A583" s="123" t="s">
        <v>4382</v>
      </c>
      <c r="B583" s="36" t="s">
        <v>1170</v>
      </c>
      <c r="C583" s="117" t="s">
        <v>4386</v>
      </c>
      <c r="D583" s="165">
        <v>45950</v>
      </c>
      <c r="E583" s="117" t="s">
        <v>4384</v>
      </c>
      <c r="F583" s="36">
        <f>IFERROR(VLOOKUP(Table1[[#This Row],[Part Number]],DATABASE_FG!$C$6:D10572,2,FALSE)," ")</f>
        <v>0</v>
      </c>
      <c r="G583" s="117">
        <f>IFERROR(_xlfn.XLOOKUP(Table1[[#This Row],[Part Number]],Table3[Part number],Table3[Drawing
 Revision]),"")</f>
        <v>0</v>
      </c>
      <c r="H583" s="118" cm="1">
        <f t="array" ref="H583">IFERROR(INDEX(PDB!$C:$AT,MATCH(E583,PDB!$B:$B,0),MATCH(YEAR(K583),0+PDB!$C$1:$AT$1,0)),"")</f>
        <v>1</v>
      </c>
      <c r="I583" s="36">
        <v>7</v>
      </c>
      <c r="J583" s="125">
        <f>IFERROR(Table1[[#This Row],[Quantity]]*Table1[[#This Row],[Price/Unit
EUR]]," ")</f>
        <v>7</v>
      </c>
      <c r="K583" s="126">
        <v>45972</v>
      </c>
      <c r="L583" s="36">
        <f>WEEKNUM(Table1[[#This Row],[ETA
As requested
dd.mm.yyyy]])</f>
        <v>46</v>
      </c>
      <c r="M583" s="36">
        <f>YEAR(Table1[[#This Row],[ETA
As requested
dd.mm.yyyy]])</f>
        <v>2025</v>
      </c>
      <c r="N583" s="36">
        <f>IFERROR(INDEX(DATABASE_FG!$H$5:$H$367, MATCH(E583, DATABASE_FG!$C$5:$C$367, 0)), " ")</f>
        <v>0</v>
      </c>
      <c r="O583" s="129" t="str">
        <f>IF(E583&lt;&gt;"", _xlfn.XLOOKUP(E583, DATABASE_FG!C:C, DATABASE_FG!F:F), " ")</f>
        <v>Strunjire moale</v>
      </c>
      <c r="P583" s="129">
        <f>IFERROR(INDEX(DATABASE_FG!$G$5:$G$367, MATCH(E583, DATABASE_FG!$C$5:$C$367, 0)), "Not Found")</f>
        <v>0</v>
      </c>
      <c r="Q583" s="36">
        <v>44</v>
      </c>
      <c r="R583" s="125"/>
      <c r="S583" s="123">
        <f>IFERROR(INDEX(DATABASE_FG!$L$5:$L$367, MATCH(E583, DATABASE_FG!$C$5:$C$367, 0)), " ")</f>
        <v>0</v>
      </c>
      <c r="T583" s="36" t="s">
        <v>677</v>
      </c>
      <c r="U583" s="36"/>
      <c r="V583" s="36"/>
      <c r="W583" s="129"/>
      <c r="X583" s="36"/>
      <c r="Y583" s="36"/>
      <c r="Z583" s="36"/>
      <c r="AA583" s="125" t="s">
        <v>3</v>
      </c>
      <c r="AB583" s="173"/>
      <c r="AC583" s="119"/>
      <c r="AD583" s="36" t="str">
        <f t="shared" si="71"/>
        <v/>
      </c>
      <c r="AE583" s="36" t="str">
        <f t="shared" si="72"/>
        <v/>
      </c>
      <c r="AF583" s="36"/>
      <c r="AG583" s="120">
        <f t="shared" si="76"/>
        <v>0</v>
      </c>
      <c r="AH583" s="36"/>
      <c r="AI583" s="124"/>
      <c r="AJ583" s="122"/>
      <c r="AK583" s="129" t="str">
        <f t="shared" ca="1" si="74"/>
        <v/>
      </c>
      <c r="AL583" s="268" t="str">
        <f t="shared" si="77"/>
        <v>November</v>
      </c>
      <c r="AM583" s="133">
        <f>YEAR(Table1[[#This Row],[ETA
As requested
dd.mm.yyyy]])</f>
        <v>2025</v>
      </c>
      <c r="AN583" s="191"/>
    </row>
    <row r="584" spans="1:40" hidden="1">
      <c r="A584" s="123" t="s">
        <v>83</v>
      </c>
      <c r="B584" s="36" t="s">
        <v>1170</v>
      </c>
      <c r="C584" s="222">
        <v>50443246</v>
      </c>
      <c r="D584" s="165">
        <v>45946</v>
      </c>
      <c r="E584" s="117" t="s">
        <v>4341</v>
      </c>
      <c r="F584" s="36" t="str">
        <f>IFERROR(VLOOKUP(Table1[[#This Row],[Part Number]],DATABASE_FG!$C$6:D10573,2,FALSE)," ")</f>
        <v>009692185-0000</v>
      </c>
      <c r="G584" s="117">
        <f>IFERROR(_xlfn.XLOOKUP(Table1[[#This Row],[Part Number]],Table3[Part number],Table3[Drawing
 Revision]),"")</f>
        <v>0</v>
      </c>
      <c r="H584" s="118" cm="1">
        <f t="array" ref="H584">IFERROR(INDEX(PDB!$C:$AT,MATCH(E584,PDB!$B:$B,0),MATCH(YEAR(K584),0+PDB!$C$1:$AT$1,0)),"")</f>
        <v>5.32</v>
      </c>
      <c r="I584" s="36">
        <v>5</v>
      </c>
      <c r="J584" s="125">
        <f>IFERROR(Table1[[#This Row],[Quantity]]*Table1[[#This Row],[Price/Unit
EUR]]," ")</f>
        <v>26.6</v>
      </c>
      <c r="K584" s="126">
        <v>45960</v>
      </c>
      <c r="L584" s="36">
        <f>WEEKNUM(Table1[[#This Row],[ETA
As requested
dd.mm.yyyy]])</f>
        <v>44</v>
      </c>
      <c r="M584" s="36">
        <f>YEAR(Table1[[#This Row],[ETA
As requested
dd.mm.yyyy]])</f>
        <v>2025</v>
      </c>
      <c r="N584" s="36">
        <f>IFERROR(INDEX(DATABASE_FG!$H$5:$H$367, MATCH(E584, DATABASE_FG!$C$5:$C$367, 0)), " ")</f>
        <v>0</v>
      </c>
      <c r="O584" s="129" t="str">
        <f>IF(E584&lt;&gt;"", _xlfn.XLOOKUP(E584, DATABASE_FG!C:C, DATABASE_FG!F:F), " ")</f>
        <v>Strunjire moale</v>
      </c>
      <c r="P584" s="129">
        <f>IFERROR(INDEX(DATABASE_FG!$G$5:$G$367, MATCH(E584, DATABASE_FG!$C$5:$C$367, 0)), "Not Found")</f>
        <v>0</v>
      </c>
      <c r="Q584" s="36"/>
      <c r="R584" s="125" t="s">
        <v>680</v>
      </c>
      <c r="S584" s="123">
        <f>Table1[[#This Row],[Quantity]]/48</f>
        <v>0.10416666666666667</v>
      </c>
      <c r="T584" s="36"/>
      <c r="U584" s="36"/>
      <c r="V584" s="36"/>
      <c r="W584" s="129"/>
      <c r="X584" s="36"/>
      <c r="Y584" s="36"/>
      <c r="Z584" s="36"/>
      <c r="AA584" s="125" t="s">
        <v>3</v>
      </c>
      <c r="AB584" s="173"/>
      <c r="AC584" s="119"/>
      <c r="AD584" s="36" t="str">
        <f t="shared" si="71"/>
        <v/>
      </c>
      <c r="AE584" s="36" t="str">
        <f t="shared" si="72"/>
        <v/>
      </c>
      <c r="AF584" s="36"/>
      <c r="AG584" s="120">
        <f t="shared" si="76"/>
        <v>0</v>
      </c>
      <c r="AH584" s="36"/>
      <c r="AI584" s="124"/>
      <c r="AJ584" s="122"/>
      <c r="AK584" s="129" t="str">
        <f t="shared" ca="1" si="74"/>
        <v>Late</v>
      </c>
      <c r="AL584" s="268" t="str">
        <f t="shared" si="77"/>
        <v>October</v>
      </c>
      <c r="AM584" s="133">
        <f>YEAR(Table1[[#This Row],[ETA
As requested
dd.mm.yyyy]])</f>
        <v>2025</v>
      </c>
      <c r="AN584" s="191"/>
    </row>
    <row r="585" spans="1:40" hidden="1">
      <c r="A585" s="123" t="s">
        <v>83</v>
      </c>
      <c r="B585" s="36" t="s">
        <v>1170</v>
      </c>
      <c r="C585" s="222">
        <v>50443246</v>
      </c>
      <c r="D585" s="165">
        <v>45946</v>
      </c>
      <c r="E585" s="117" t="s">
        <v>4341</v>
      </c>
      <c r="F585" s="36" t="str">
        <f>IFERROR(VLOOKUP(Table1[[#This Row],[Part Number]],DATABASE_FG!$C$6:D10574,2,FALSE)," ")</f>
        <v>009692185-0000</v>
      </c>
      <c r="G585" s="117">
        <f>IFERROR(_xlfn.XLOOKUP(Table1[[#This Row],[Part Number]],Table3[Part number],Table3[Drawing
 Revision]),"")</f>
        <v>0</v>
      </c>
      <c r="H585" s="118" cm="1">
        <f t="array" ref="H585">IFERROR(INDEX(PDB!$C:$AT,MATCH(E585,PDB!$B:$B,0),MATCH(YEAR(K585),0+PDB!$C$1:$AT$1,0)),"")</f>
        <v>5.32</v>
      </c>
      <c r="I585" s="36">
        <v>500</v>
      </c>
      <c r="J585" s="125">
        <f>IFERROR(Table1[[#This Row],[Quantity]]*Table1[[#This Row],[Price/Unit
EUR]]," ")</f>
        <v>2660</v>
      </c>
      <c r="K585" s="126">
        <v>45960</v>
      </c>
      <c r="L585" s="36">
        <f>WEEKNUM(Table1[[#This Row],[ETA
As requested
dd.mm.yyyy]])</f>
        <v>44</v>
      </c>
      <c r="M585" s="36">
        <f>YEAR(Table1[[#This Row],[ETA
As requested
dd.mm.yyyy]])</f>
        <v>2025</v>
      </c>
      <c r="N585" s="36">
        <f>IFERROR(INDEX(DATABASE_FG!$H$5:$H$367, MATCH(E585, DATABASE_FG!$C$5:$C$367, 0)), " ")</f>
        <v>0</v>
      </c>
      <c r="O585" s="129" t="str">
        <f>IF(E585&lt;&gt;"", _xlfn.XLOOKUP(E585, DATABASE_FG!C:C, DATABASE_FG!F:F), " ")</f>
        <v>Strunjire moale</v>
      </c>
      <c r="P585" s="129">
        <f>IFERROR(INDEX(DATABASE_FG!$G$5:$G$367, MATCH(E585, DATABASE_FG!$C$5:$C$367, 0)), "Not Found")</f>
        <v>0</v>
      </c>
      <c r="Q585" s="36"/>
      <c r="R585" s="125" t="s">
        <v>680</v>
      </c>
      <c r="S585" s="123">
        <f>Table1[[#This Row],[Quantity]]/48</f>
        <v>10.416666666666666</v>
      </c>
      <c r="T585" s="36"/>
      <c r="U585" s="36"/>
      <c r="V585" s="36"/>
      <c r="W585" s="129"/>
      <c r="X585" s="36"/>
      <c r="Y585" s="36"/>
      <c r="Z585" s="36"/>
      <c r="AA585" s="125" t="s">
        <v>121</v>
      </c>
      <c r="AB585" s="173">
        <v>45947</v>
      </c>
      <c r="AC585" s="119">
        <v>2025252</v>
      </c>
      <c r="AD585" s="36">
        <f t="shared" si="71"/>
        <v>50443246</v>
      </c>
      <c r="AE585" s="36" t="str">
        <f t="shared" si="72"/>
        <v>F-154085.6-111 /108 </v>
      </c>
      <c r="AF585" s="36">
        <v>500</v>
      </c>
      <c r="AG585" s="120">
        <f t="shared" si="76"/>
        <v>2660</v>
      </c>
      <c r="AH585" s="36"/>
      <c r="AI585" s="124"/>
      <c r="AJ585" s="122" t="s">
        <v>4376</v>
      </c>
      <c r="AK585" s="129" t="str">
        <f t="shared" ca="1" si="74"/>
        <v>On Time</v>
      </c>
      <c r="AL585" s="268" t="str">
        <f t="shared" si="77"/>
        <v>October</v>
      </c>
      <c r="AM585" s="133">
        <f>YEAR(Table1[[#This Row],[ETA
As requested
dd.mm.yyyy]])</f>
        <v>2025</v>
      </c>
      <c r="AN585" s="191"/>
    </row>
    <row r="586" spans="1:40" hidden="1">
      <c r="A586" s="123" t="s">
        <v>83</v>
      </c>
      <c r="B586" s="36" t="s">
        <v>1170</v>
      </c>
      <c r="C586" s="117">
        <v>36473916</v>
      </c>
      <c r="D586" s="165">
        <v>45372</v>
      </c>
      <c r="E586" s="117" t="s">
        <v>314</v>
      </c>
      <c r="F586" s="36" t="str">
        <f>IFERROR(VLOOKUP(Table1[[#This Row],[Part Number]],DATABASE_FG!$C$6:D10575,2,FALSE)," ")</f>
        <v xml:space="preserve">096214309-0000 </v>
      </c>
      <c r="G586" s="117" t="str">
        <f>IFERROR(_xlfn.XLOOKUP(Table1[[#This Row],[Part Number]],Table3[Part number],Table3[Drawing
 Revision]),"")</f>
        <v>AG</v>
      </c>
      <c r="H586" s="118" cm="1">
        <f t="array" ref="H586">IFERROR(INDEX(PDB!$C:$AT,MATCH(E586,PDB!$B:$B,0),MATCH(YEAR(K586),0+PDB!$C$1:$AT$1,0)),"")</f>
        <v>24.97</v>
      </c>
      <c r="I586" s="36">
        <v>104</v>
      </c>
      <c r="J586" s="125">
        <f>IFERROR(Table1[[#This Row],[Quantity]]*Table1[[#This Row],[Price/Unit
EUR]]," ")</f>
        <v>2596.88</v>
      </c>
      <c r="K586" s="126">
        <v>45387</v>
      </c>
      <c r="L586" s="36">
        <f>WEEKNUM(Table1[[#This Row],[ETA
As requested
dd.mm.yyyy]])</f>
        <v>14</v>
      </c>
      <c r="M586" s="36">
        <f>YEAR(Table1[[#This Row],[ETA
As requested
dd.mm.yyyy]])</f>
        <v>2024</v>
      </c>
      <c r="N586" s="36">
        <f>IFERROR(INDEX(DATABASE_FG!$H$5:$H$367, MATCH(E586, DATABASE_FG!$C$5:$C$367, 0)), " ")</f>
        <v>0</v>
      </c>
      <c r="O586" s="129" t="str">
        <f>IF(E586&lt;&gt;"", _xlfn.XLOOKUP(E586, DATABASE_FG!C:C, DATABASE_FG!F:F), " ")</f>
        <v>Strunjire moale</v>
      </c>
      <c r="P586" s="129">
        <f>IFERROR(INDEX(DATABASE_FG!$G$5:$G$367, MATCH(E586, DATABASE_FG!$C$5:$C$367, 0)), "Not Found")</f>
        <v>100</v>
      </c>
      <c r="Q586" s="36"/>
      <c r="R586" s="125" t="s">
        <v>678</v>
      </c>
      <c r="S586" s="123">
        <f>IFERROR(INDEX(DATABASE_FG!$L$5:$L$367, MATCH(E586, DATABASE_FG!$C$5:$C$367, 0)), " ")</f>
        <v>42</v>
      </c>
      <c r="T586" s="36" t="s">
        <v>679</v>
      </c>
      <c r="U586" s="36"/>
      <c r="V586" s="36"/>
      <c r="W586" s="129"/>
      <c r="X586" s="36"/>
      <c r="Y586" s="36"/>
      <c r="Z586" s="36" t="s">
        <v>1277</v>
      </c>
      <c r="AA586" s="125" t="s">
        <v>121</v>
      </c>
      <c r="AB586" s="173">
        <v>45400</v>
      </c>
      <c r="AC586" s="119">
        <v>2024380</v>
      </c>
      <c r="AD586" s="36">
        <f t="shared" si="71"/>
        <v>36473916</v>
      </c>
      <c r="AE586" s="36" t="str">
        <f t="shared" si="72"/>
        <v>F-155077-13-WW1</v>
      </c>
      <c r="AF586" s="36">
        <v>88</v>
      </c>
      <c r="AG586" s="120">
        <f t="shared" si="76"/>
        <v>2197.3599999999997</v>
      </c>
      <c r="AH586" s="36">
        <v>9</v>
      </c>
      <c r="AI586" s="124"/>
      <c r="AJ586" s="122" t="s">
        <v>1278</v>
      </c>
      <c r="AK586" s="129" t="str">
        <f t="shared" ca="1" si="74"/>
        <v>Late</v>
      </c>
      <c r="AL586" s="268" t="str">
        <f t="shared" si="77"/>
        <v>April</v>
      </c>
      <c r="AM586" s="133">
        <f>YEAR(Table1[[#This Row],[ETA
As requested
dd.mm.yyyy]])</f>
        <v>2024</v>
      </c>
    </row>
    <row r="587" spans="1:40" hidden="1">
      <c r="A587" s="123" t="s">
        <v>83</v>
      </c>
      <c r="B587" s="36" t="s">
        <v>1170</v>
      </c>
      <c r="C587" s="117">
        <v>36473916</v>
      </c>
      <c r="D587" s="165">
        <v>45372</v>
      </c>
      <c r="E587" s="117" t="s">
        <v>314</v>
      </c>
      <c r="F587" s="36" t="str">
        <f>IFERROR(VLOOKUP(Table1[[#This Row],[Part Number]],DATABASE_FG!$C$6:D10576,2,FALSE)," ")</f>
        <v xml:space="preserve">096214309-0000 </v>
      </c>
      <c r="G587" s="117" t="str">
        <f>IFERROR(_xlfn.XLOOKUP(Table1[[#This Row],[Part Number]],Table3[Part number],Table3[Drawing
 Revision]),"")</f>
        <v>AG</v>
      </c>
      <c r="H587" s="118" cm="1">
        <f t="array" ref="H587">IFERROR(INDEX(PDB!$C:$AT,MATCH(E587,PDB!$B:$B,0),MATCH(YEAR(K587),0+PDB!$C$1:$AT$1,0)),"")</f>
        <v>24.97</v>
      </c>
      <c r="I587" s="36"/>
      <c r="J587" s="125">
        <f>IFERROR(Table1[[#This Row],[Quantity]]*Table1[[#This Row],[Price/Unit
EUR]]," ")</f>
        <v>0</v>
      </c>
      <c r="K587" s="126">
        <v>45387</v>
      </c>
      <c r="L587" s="36">
        <f>WEEKNUM(Table1[[#This Row],[ETA
As requested
dd.mm.yyyy]])</f>
        <v>14</v>
      </c>
      <c r="M587" s="36">
        <f>YEAR(Table1[[#This Row],[ETA
As requested
dd.mm.yyyy]])</f>
        <v>2024</v>
      </c>
      <c r="N587" s="36">
        <f>IFERROR(INDEX(DATABASE_FG!$H$5:$H$367, MATCH(E587, DATABASE_FG!$C$5:$C$367, 0)), " ")</f>
        <v>0</v>
      </c>
      <c r="O587" s="129" t="str">
        <f>IF(E587&lt;&gt;"", _xlfn.XLOOKUP(E587, DATABASE_FG!C:C, DATABASE_FG!F:F), " ")</f>
        <v>Strunjire moale</v>
      </c>
      <c r="P587" s="129">
        <f>IFERROR(INDEX(DATABASE_FG!$G$5:$G$367, MATCH(E587, DATABASE_FG!$C$5:$C$367, 0)), "Not Found")</f>
        <v>100</v>
      </c>
      <c r="Q587" s="36"/>
      <c r="R587" s="125"/>
      <c r="S587" s="123">
        <f>IFERROR(INDEX(DATABASE_FG!$L$5:$L$367, MATCH(E587, DATABASE_FG!$C$5:$C$367, 0)), " ")</f>
        <v>42</v>
      </c>
      <c r="T587" s="36"/>
      <c r="U587" s="36"/>
      <c r="V587" s="36"/>
      <c r="W587" s="129"/>
      <c r="X587" s="36"/>
      <c r="Y587" s="36"/>
      <c r="Z587" s="36"/>
      <c r="AA587" s="125" t="s">
        <v>121</v>
      </c>
      <c r="AB587" s="173">
        <v>45419</v>
      </c>
      <c r="AC587" s="119">
        <v>2024436</v>
      </c>
      <c r="AD587" s="36">
        <f t="shared" si="71"/>
        <v>36473916</v>
      </c>
      <c r="AE587" s="36" t="str">
        <f t="shared" si="72"/>
        <v>F-155077-13-WW1</v>
      </c>
      <c r="AF587" s="36">
        <v>5</v>
      </c>
      <c r="AG587" s="120">
        <f t="shared" si="76"/>
        <v>124.85</v>
      </c>
      <c r="AH587" s="36">
        <v>2</v>
      </c>
      <c r="AI587" s="124" t="s">
        <v>1279</v>
      </c>
      <c r="AJ587" s="122" t="s">
        <v>1280</v>
      </c>
      <c r="AK587" s="129" t="str">
        <f t="shared" ca="1" si="74"/>
        <v>Late</v>
      </c>
      <c r="AL587" s="268" t="str">
        <f t="shared" si="77"/>
        <v>April</v>
      </c>
      <c r="AM587" s="133">
        <f>YEAR(Table1[[#This Row],[ETA
As requested
dd.mm.yyyy]])</f>
        <v>2024</v>
      </c>
    </row>
    <row r="588" spans="1:40" hidden="1">
      <c r="A588" s="123" t="s">
        <v>83</v>
      </c>
      <c r="B588" s="36" t="s">
        <v>1170</v>
      </c>
      <c r="C588" s="117">
        <v>36626472</v>
      </c>
      <c r="D588" s="165">
        <v>45399</v>
      </c>
      <c r="E588" s="117" t="s">
        <v>314</v>
      </c>
      <c r="F588" s="36" t="str">
        <f>IFERROR(VLOOKUP(Table1[[#This Row],[Part Number]],DATABASE_FG!$C$6:D10577,2,FALSE)," ")</f>
        <v xml:space="preserve">096214309-0000 </v>
      </c>
      <c r="G588" s="117" t="str">
        <f>IFERROR(_xlfn.XLOOKUP(Table1[[#This Row],[Part Number]],Table3[Part number],Table3[Drawing
 Revision]),"")</f>
        <v>AG</v>
      </c>
      <c r="H588" s="118" cm="1">
        <f t="array" ref="H588">IFERROR(INDEX(PDB!$C:$AT,MATCH(E588,PDB!$B:$B,0),MATCH(YEAR(K588),0+PDB!$C$1:$AT$1,0)),"")</f>
        <v>24.97</v>
      </c>
      <c r="I588" s="36">
        <v>70</v>
      </c>
      <c r="J588" s="125">
        <f>IFERROR(Table1[[#This Row],[Quantity]]*Table1[[#This Row],[Price/Unit
EUR]]," ")</f>
        <v>1747.8999999999999</v>
      </c>
      <c r="K588" s="126">
        <v>45419</v>
      </c>
      <c r="L588" s="36">
        <f>WEEKNUM(Table1[[#This Row],[ETA
As requested
dd.mm.yyyy]])</f>
        <v>19</v>
      </c>
      <c r="M588" s="36">
        <f>YEAR(Table1[[#This Row],[ETA
As requested
dd.mm.yyyy]])</f>
        <v>2024</v>
      </c>
      <c r="N588" s="36">
        <f>IFERROR(INDEX(DATABASE_FG!$H$5:$H$367, MATCH(E588, DATABASE_FG!$C$5:$C$367, 0)), " ")</f>
        <v>0</v>
      </c>
      <c r="O588" s="129" t="str">
        <f>IF(E588&lt;&gt;"", _xlfn.XLOOKUP(E588, DATABASE_FG!C:C, DATABASE_FG!F:F), " ")</f>
        <v>Strunjire moale</v>
      </c>
      <c r="P588" s="129">
        <f>IFERROR(INDEX(DATABASE_FG!$G$5:$G$367, MATCH(E588, DATABASE_FG!$C$5:$C$367, 0)), "Not Found")</f>
        <v>100</v>
      </c>
      <c r="Q588" s="36"/>
      <c r="R588" s="125" t="s">
        <v>678</v>
      </c>
      <c r="S588" s="123">
        <f>IFERROR(INDEX(DATABASE_FG!$L$5:$L$367, MATCH(E588, DATABASE_FG!$C$5:$C$367, 0)), " ")</f>
        <v>42</v>
      </c>
      <c r="T588" s="36" t="s">
        <v>679</v>
      </c>
      <c r="U588" s="36"/>
      <c r="V588" s="36"/>
      <c r="W588" s="129"/>
      <c r="X588" s="36"/>
      <c r="Y588" s="36"/>
      <c r="Z588" s="36">
        <v>241704</v>
      </c>
      <c r="AA588" s="125" t="s">
        <v>121</v>
      </c>
      <c r="AB588" s="173">
        <v>45428</v>
      </c>
      <c r="AC588" s="119">
        <v>2024495</v>
      </c>
      <c r="AD588" s="36">
        <f t="shared" si="71"/>
        <v>36626472</v>
      </c>
      <c r="AE588" s="36" t="str">
        <f t="shared" si="72"/>
        <v>F-155077-13-WW1</v>
      </c>
      <c r="AF588" s="36">
        <v>70</v>
      </c>
      <c r="AG588" s="120">
        <f t="shared" si="76"/>
        <v>1747.8999999999999</v>
      </c>
      <c r="AH588" s="36"/>
      <c r="AI588" s="124"/>
      <c r="AJ588" s="122" t="s">
        <v>1463</v>
      </c>
      <c r="AK588" s="129" t="str">
        <f t="shared" ca="1" si="74"/>
        <v>Late</v>
      </c>
      <c r="AL588" s="268" t="str">
        <f t="shared" si="77"/>
        <v>May</v>
      </c>
      <c r="AM588" s="133">
        <f>YEAR(Table1[[#This Row],[ETA
As requested
dd.mm.yyyy]])</f>
        <v>2024</v>
      </c>
    </row>
    <row r="589" spans="1:40" hidden="1">
      <c r="A589" s="123" t="s">
        <v>83</v>
      </c>
      <c r="B589" s="36" t="s">
        <v>1170</v>
      </c>
      <c r="C589" s="117">
        <v>36626472</v>
      </c>
      <c r="D589" s="165">
        <v>45399</v>
      </c>
      <c r="E589" s="117" t="s">
        <v>314</v>
      </c>
      <c r="F589" s="36" t="str">
        <f>IFERROR(VLOOKUP(Table1[[#This Row],[Part Number]],DATABASE_FG!$C$6:D10578,2,FALSE)," ")</f>
        <v xml:space="preserve">096214309-0000 </v>
      </c>
      <c r="G589" s="117" t="str">
        <f>IFERROR(_xlfn.XLOOKUP(Table1[[#This Row],[Part Number]],Table3[Part number],Table3[Drawing
 Revision]),"")</f>
        <v>AG</v>
      </c>
      <c r="H589" s="118" cm="1">
        <f t="array" ref="H589">IFERROR(INDEX(PDB!$C:$AT,MATCH(E589,PDB!$B:$B,0),MATCH(YEAR(K589),0+PDB!$C$1:$AT$1,0)),"")</f>
        <v>24.97</v>
      </c>
      <c r="I589" s="36">
        <v>82</v>
      </c>
      <c r="J589" s="125">
        <f>IFERROR(Table1[[#This Row],[Quantity]]*Table1[[#This Row],[Price/Unit
EUR]]," ")</f>
        <v>2047.54</v>
      </c>
      <c r="K589" s="126">
        <v>45419</v>
      </c>
      <c r="L589" s="36">
        <f>WEEKNUM(Table1[[#This Row],[ETA
As requested
dd.mm.yyyy]])</f>
        <v>19</v>
      </c>
      <c r="M589" s="36">
        <f>YEAR(Table1[[#This Row],[ETA
As requested
dd.mm.yyyy]])</f>
        <v>2024</v>
      </c>
      <c r="N589" s="36">
        <f>IFERROR(INDEX(DATABASE_FG!$H$5:$H$367, MATCH(E589, DATABASE_FG!$C$5:$C$367, 0)), " ")</f>
        <v>0</v>
      </c>
      <c r="O589" s="129" t="str">
        <f>IF(E589&lt;&gt;"", _xlfn.XLOOKUP(E589, DATABASE_FG!C:C, DATABASE_FG!F:F), " ")</f>
        <v>Strunjire moale</v>
      </c>
      <c r="P589" s="129">
        <f>IFERROR(INDEX(DATABASE_FG!$G$5:$G$367, MATCH(E589, DATABASE_FG!$C$5:$C$367, 0)), "Not Found")</f>
        <v>100</v>
      </c>
      <c r="Q589" s="36"/>
      <c r="R589" s="125"/>
      <c r="S589" s="123">
        <f>IFERROR(INDEX(DATABASE_FG!$L$5:$L$367, MATCH(E589, DATABASE_FG!$C$5:$C$367, 0)), " ")</f>
        <v>42</v>
      </c>
      <c r="T589" s="36"/>
      <c r="U589" s="36"/>
      <c r="V589" s="36"/>
      <c r="W589" s="129"/>
      <c r="X589" s="36"/>
      <c r="Y589" s="36"/>
      <c r="Z589" s="36"/>
      <c r="AA589" s="125" t="s">
        <v>121</v>
      </c>
      <c r="AB589" s="173">
        <v>45429</v>
      </c>
      <c r="AC589" s="119">
        <v>2024503</v>
      </c>
      <c r="AD589" s="36">
        <f t="shared" si="71"/>
        <v>36626472</v>
      </c>
      <c r="AE589" s="36" t="str">
        <f t="shared" si="72"/>
        <v>F-155077-13-WW1</v>
      </c>
      <c r="AF589" s="36">
        <v>74</v>
      </c>
      <c r="AG589" s="120">
        <f t="shared" si="76"/>
        <v>1847.78</v>
      </c>
      <c r="AH589" s="36">
        <v>8</v>
      </c>
      <c r="AI589" s="124" t="s">
        <v>1465</v>
      </c>
      <c r="AJ589" s="122" t="s">
        <v>1466</v>
      </c>
      <c r="AK589" s="129" t="str">
        <f t="shared" ca="1" si="74"/>
        <v>Late</v>
      </c>
      <c r="AL589" s="268" t="str">
        <f t="shared" si="77"/>
        <v>May</v>
      </c>
      <c r="AM589" s="133">
        <f>YEAR(Table1[[#This Row],[ETA
As requested
dd.mm.yyyy]])</f>
        <v>2024</v>
      </c>
    </row>
    <row r="590" spans="1:40" hidden="1">
      <c r="A590" s="123" t="s">
        <v>83</v>
      </c>
      <c r="B590" s="36" t="s">
        <v>1170</v>
      </c>
      <c r="C590" s="117">
        <v>36920678</v>
      </c>
      <c r="D590" s="165">
        <v>45449</v>
      </c>
      <c r="E590" s="117" t="s">
        <v>314</v>
      </c>
      <c r="F590" s="36" t="str">
        <f>IFERROR(VLOOKUP(Table1[[#This Row],[Part Number]],DATABASE_FG!$C$6:D10579,2,FALSE)," ")</f>
        <v xml:space="preserve">096214309-0000 </v>
      </c>
      <c r="G590" s="117" t="str">
        <f>IFERROR(_xlfn.XLOOKUP(Table1[[#This Row],[Part Number]],Table3[Part number],Table3[Drawing
 Revision]),"")</f>
        <v>AG</v>
      </c>
      <c r="H590" s="118" cm="1">
        <f t="array" ref="H590">IFERROR(INDEX(PDB!$C:$AT,MATCH(E590,PDB!$B:$B,0),MATCH(YEAR(K590),0+PDB!$C$1:$AT$1,0)),"")</f>
        <v>24.97</v>
      </c>
      <c r="I590" s="36">
        <v>100</v>
      </c>
      <c r="J590" s="125">
        <f>IFERROR(Table1[[#This Row],[Quantity]]*Table1[[#This Row],[Price/Unit
EUR]]," ")</f>
        <v>2497</v>
      </c>
      <c r="K590" s="126">
        <v>45474</v>
      </c>
      <c r="L590" s="36">
        <f>WEEKNUM(Table1[[#This Row],[ETA
As requested
dd.mm.yyyy]])</f>
        <v>27</v>
      </c>
      <c r="M590" s="36">
        <f>YEAR(Table1[[#This Row],[ETA
As requested
dd.mm.yyyy]])</f>
        <v>2024</v>
      </c>
      <c r="N590" s="36">
        <f>IFERROR(INDEX(DATABASE_FG!$H$5:$H$367, MATCH(E590, DATABASE_FG!$C$5:$C$367, 0)), " ")</f>
        <v>0</v>
      </c>
      <c r="O590" s="129" t="str">
        <f>IF(E590&lt;&gt;"", _xlfn.XLOOKUP(E590, DATABASE_FG!C:C, DATABASE_FG!F:F), " ")</f>
        <v>Strunjire moale</v>
      </c>
      <c r="P590" s="129">
        <f>IFERROR(INDEX(DATABASE_FG!$G$5:$G$367, MATCH(E590, DATABASE_FG!$C$5:$C$367, 0)), "Not Found")</f>
        <v>100</v>
      </c>
      <c r="Q590" s="36"/>
      <c r="R590" s="125" t="s">
        <v>678</v>
      </c>
      <c r="S590" s="123">
        <f>IFERROR(INDEX(DATABASE_FG!$L$5:$L$367, MATCH(E590, DATABASE_FG!$C$5:$C$367, 0)), " ")</f>
        <v>42</v>
      </c>
      <c r="T590" s="36" t="s">
        <v>679</v>
      </c>
      <c r="U590" s="36"/>
      <c r="V590" s="36"/>
      <c r="W590" s="129"/>
      <c r="X590" s="36"/>
      <c r="Y590" s="36"/>
      <c r="Z590" s="36">
        <v>242513</v>
      </c>
      <c r="AA590" s="125" t="s">
        <v>121</v>
      </c>
      <c r="AB590" s="173">
        <v>45491</v>
      </c>
      <c r="AC590" s="119">
        <v>2024876</v>
      </c>
      <c r="AD590" s="36">
        <f t="shared" si="71"/>
        <v>36920678</v>
      </c>
      <c r="AE590" s="36" t="str">
        <f t="shared" si="72"/>
        <v>F-155077-13-WW1</v>
      </c>
      <c r="AF590" s="36">
        <v>95</v>
      </c>
      <c r="AG590" s="120">
        <f t="shared" si="76"/>
        <v>2372.15</v>
      </c>
      <c r="AH590" s="36">
        <v>5</v>
      </c>
      <c r="AI590" s="124"/>
      <c r="AJ590" s="122" t="s">
        <v>1749</v>
      </c>
      <c r="AK590" s="129" t="str">
        <f t="shared" ca="1" si="74"/>
        <v>Late</v>
      </c>
      <c r="AL590" s="268" t="str">
        <f t="shared" si="77"/>
        <v>July</v>
      </c>
      <c r="AM590" s="133">
        <f>YEAR(Table1[[#This Row],[ETA
As requested
dd.mm.yyyy]])</f>
        <v>2024</v>
      </c>
    </row>
    <row r="591" spans="1:40" hidden="1">
      <c r="A591" s="123" t="s">
        <v>83</v>
      </c>
      <c r="B591" s="36" t="s">
        <v>1170</v>
      </c>
      <c r="C591" s="117">
        <v>37423922</v>
      </c>
      <c r="D591" s="165">
        <v>45450</v>
      </c>
      <c r="E591" s="117" t="s">
        <v>314</v>
      </c>
      <c r="F591" s="36" t="str">
        <f>IFERROR(VLOOKUP(Table1[[#This Row],[Part Number]],DATABASE_FG!$C$6:D10580,2,FALSE)," ")</f>
        <v xml:space="preserve">096214309-0000 </v>
      </c>
      <c r="G591" s="117" t="str">
        <f>IFERROR(_xlfn.XLOOKUP(Table1[[#This Row],[Part Number]],Table3[Part number],Table3[Drawing
 Revision]),"")</f>
        <v>AG</v>
      </c>
      <c r="H591" s="118" cm="1">
        <f t="array" ref="H591">IFERROR(INDEX(PDB!$C:$AT,MATCH(E591,PDB!$B:$B,0),MATCH(YEAR(K591),0+PDB!$C$1:$AT$1,0)),"")</f>
        <v>24.97</v>
      </c>
      <c r="I591" s="36">
        <v>110</v>
      </c>
      <c r="J591" s="125">
        <f>IFERROR(Table1[[#This Row],[Quantity]]*Table1[[#This Row],[Price/Unit
EUR]]," ")</f>
        <v>2746.7</v>
      </c>
      <c r="K591" s="126">
        <v>45539</v>
      </c>
      <c r="L591" s="36">
        <f>WEEKNUM(Table1[[#This Row],[ETA
As requested
dd.mm.yyyy]])</f>
        <v>36</v>
      </c>
      <c r="M591" s="36">
        <f>YEAR(Table1[[#This Row],[ETA
As requested
dd.mm.yyyy]])</f>
        <v>2024</v>
      </c>
      <c r="N591" s="36">
        <f>IFERROR(INDEX(DATABASE_FG!$H$5:$H$367, MATCH(E591, DATABASE_FG!$C$5:$C$367, 0)), " ")</f>
        <v>0</v>
      </c>
      <c r="O591" s="129" t="str">
        <f>IF(E591&lt;&gt;"", _xlfn.XLOOKUP(E591, DATABASE_FG!C:C, DATABASE_FG!F:F), " ")</f>
        <v>Strunjire moale</v>
      </c>
      <c r="P591" s="129">
        <f>IFERROR(INDEX(DATABASE_FG!$G$5:$G$367, MATCH(E591, DATABASE_FG!$C$5:$C$367, 0)), "Not Found")</f>
        <v>100</v>
      </c>
      <c r="Q591" s="36"/>
      <c r="R591" s="125" t="s">
        <v>678</v>
      </c>
      <c r="S591" s="123">
        <f>IFERROR(INDEX(DATABASE_FG!$L$5:$L$367, MATCH(E591, DATABASE_FG!$C$5:$C$367, 0)), " ")</f>
        <v>42</v>
      </c>
      <c r="T591" s="36" t="s">
        <v>679</v>
      </c>
      <c r="U591" s="36"/>
      <c r="V591" s="36"/>
      <c r="W591" s="129"/>
      <c r="X591" s="36" t="s">
        <v>2317</v>
      </c>
      <c r="Y591" s="36"/>
      <c r="Z591" s="36"/>
      <c r="AA591" s="125" t="s">
        <v>121</v>
      </c>
      <c r="AB591" s="173">
        <v>45553</v>
      </c>
      <c r="AC591" s="119">
        <v>202401148</v>
      </c>
      <c r="AD591" s="36">
        <f t="shared" ref="AD591:AD654" si="78">IF(NOT(ISBLANK(AC591)), C591, "")</f>
        <v>37423922</v>
      </c>
      <c r="AE591" s="36" t="str">
        <f t="shared" ref="AE591:AE654" si="79">IF(NOT(ISBLANK(AC591)), E591, "")</f>
        <v>F-155077-13-WW1</v>
      </c>
      <c r="AF591" s="36">
        <v>102</v>
      </c>
      <c r="AG591" s="120">
        <f t="shared" si="76"/>
        <v>2546.94</v>
      </c>
      <c r="AH591" s="36">
        <v>8</v>
      </c>
      <c r="AI591" s="124"/>
      <c r="AJ591" s="122" t="s">
        <v>2319</v>
      </c>
      <c r="AK591" s="129" t="str">
        <f t="shared" ca="1" si="74"/>
        <v>Late</v>
      </c>
      <c r="AL591" s="268" t="str">
        <f t="shared" si="77"/>
        <v>September</v>
      </c>
      <c r="AM591" s="133">
        <f>YEAR(Table1[[#This Row],[ETA
As requested
dd.mm.yyyy]])</f>
        <v>2024</v>
      </c>
    </row>
    <row r="592" spans="1:40" hidden="1">
      <c r="A592" s="123" t="s">
        <v>83</v>
      </c>
      <c r="B592" s="36" t="s">
        <v>2464</v>
      </c>
      <c r="C592" s="117"/>
      <c r="D592" s="165">
        <v>45452</v>
      </c>
      <c r="E592" s="117" t="s">
        <v>314</v>
      </c>
      <c r="F592" s="36" t="str">
        <f>IFERROR(VLOOKUP(Table1[[#This Row],[Part Number]],DATABASE_FG!$C$6:D10581,2,FALSE)," ")</f>
        <v xml:space="preserve">096214309-0000 </v>
      </c>
      <c r="G592" s="117" t="str">
        <f>IFERROR(_xlfn.XLOOKUP(Table1[[#This Row],[Part Number]],Table3[Part number],Table3[Drawing
 Revision]),"")</f>
        <v>AG</v>
      </c>
      <c r="H592" s="118" cm="1">
        <f t="array" ref="H592">IFERROR(INDEX(PDB!$C:$AT,MATCH(E592,PDB!$B:$B,0),MATCH(YEAR(K592),0+PDB!$C$1:$AT$1,0)),"")</f>
        <v>24.97</v>
      </c>
      <c r="I592" s="36">
        <v>100</v>
      </c>
      <c r="J592" s="125">
        <f>IFERROR(Table1[[#This Row],[Quantity]]*Table1[[#This Row],[Price/Unit
EUR]]," ")</f>
        <v>2497</v>
      </c>
      <c r="K592" s="126">
        <v>45616</v>
      </c>
      <c r="L592" s="36">
        <f>WEEKNUM(Table1[[#This Row],[ETA
As requested
dd.mm.yyyy]])</f>
        <v>47</v>
      </c>
      <c r="M592" s="36">
        <f>YEAR(Table1[[#This Row],[ETA
As requested
dd.mm.yyyy]])</f>
        <v>2024</v>
      </c>
      <c r="N592" s="36">
        <f>IFERROR(INDEX(DATABASE_FG!$H$5:$H$367, MATCH(E592, DATABASE_FG!$C$5:$C$367, 0)), " ")</f>
        <v>0</v>
      </c>
      <c r="O592" s="129" t="str">
        <f>IF(E592&lt;&gt;"", _xlfn.XLOOKUP(E592, DATABASE_FG!C:C, DATABASE_FG!F:F), " ")</f>
        <v>Strunjire moale</v>
      </c>
      <c r="P592" s="129">
        <f>IFERROR(INDEX(DATABASE_FG!$G$5:$G$367, MATCH(E592, DATABASE_FG!$C$5:$C$367, 0)), "Not Found")</f>
        <v>100</v>
      </c>
      <c r="Q592" s="36"/>
      <c r="R592" s="125" t="s">
        <v>678</v>
      </c>
      <c r="S592" s="123">
        <f>IFERROR(INDEX(DATABASE_FG!$L$5:$L$367, MATCH(E592, DATABASE_FG!$C$5:$C$367, 0)), " ")</f>
        <v>42</v>
      </c>
      <c r="T592" s="36" t="s">
        <v>679</v>
      </c>
      <c r="U592" s="36"/>
      <c r="V592" s="36"/>
      <c r="W592" s="129"/>
      <c r="X592" s="36"/>
      <c r="Y592" s="36" t="s">
        <v>2491</v>
      </c>
      <c r="Z592" s="36"/>
      <c r="AA592" s="125" t="s">
        <v>121</v>
      </c>
      <c r="AB592" s="173"/>
      <c r="AC592" s="119"/>
      <c r="AD592" s="36" t="str">
        <f t="shared" si="78"/>
        <v/>
      </c>
      <c r="AE592" s="36" t="str">
        <f t="shared" si="79"/>
        <v/>
      </c>
      <c r="AF592" s="36">
        <v>0</v>
      </c>
      <c r="AG592" s="120">
        <f t="shared" si="76"/>
        <v>0</v>
      </c>
      <c r="AH592" s="36"/>
      <c r="AI592" s="124" t="s">
        <v>2619</v>
      </c>
      <c r="AJ592" s="122"/>
      <c r="AK592" s="129" t="str">
        <f t="shared" ref="AK592:AK655" ca="1" si="80">IF(AB592="", IF(K592 &lt; TODAY(), "Late", ""), IF(AB592 &lt;= K592 + 2, "On Time", "Late"))</f>
        <v>Late</v>
      </c>
      <c r="AL592" s="268" t="str">
        <f t="shared" ref="AL592:AL612" si="81">TEXT(K592,"mmmm")</f>
        <v>November</v>
      </c>
      <c r="AM592" s="133">
        <f>YEAR(Table1[[#This Row],[ETA
As requested
dd.mm.yyyy]])</f>
        <v>2024</v>
      </c>
    </row>
    <row r="593" spans="1:39" hidden="1">
      <c r="A593" s="123" t="s">
        <v>83</v>
      </c>
      <c r="B593" s="36" t="s">
        <v>2464</v>
      </c>
      <c r="C593" s="117"/>
      <c r="D593" s="165">
        <v>45453</v>
      </c>
      <c r="E593" s="117" t="s">
        <v>314</v>
      </c>
      <c r="F593" s="36" t="str">
        <f>IFERROR(VLOOKUP(Table1[[#This Row],[Part Number]],DATABASE_FG!$C$6:D10582,2,FALSE)," ")</f>
        <v xml:space="preserve">096214309-0000 </v>
      </c>
      <c r="G593" s="117" t="str">
        <f>IFERROR(_xlfn.XLOOKUP(Table1[[#This Row],[Part Number]],Table3[Part number],Table3[Drawing
 Revision]),"")</f>
        <v>AG</v>
      </c>
      <c r="H593" s="118" cm="1">
        <f t="array" ref="H593">IFERROR(INDEX(PDB!$C:$AT,MATCH(E593,PDB!$B:$B,0),MATCH(YEAR(K593),0+PDB!$C$1:$AT$1,0)),"")</f>
        <v>24.97</v>
      </c>
      <c r="I593" s="36">
        <v>100</v>
      </c>
      <c r="J593" s="125">
        <f>IFERROR(Table1[[#This Row],[Quantity]]*Table1[[#This Row],[Price/Unit
EUR]]," ")</f>
        <v>2497</v>
      </c>
      <c r="K593" s="126">
        <v>45646</v>
      </c>
      <c r="L593" s="36">
        <f>WEEKNUM(Table1[[#This Row],[ETA
As requested
dd.mm.yyyy]])</f>
        <v>51</v>
      </c>
      <c r="M593" s="36">
        <f>YEAR(Table1[[#This Row],[ETA
As requested
dd.mm.yyyy]])</f>
        <v>2024</v>
      </c>
      <c r="N593" s="36">
        <f>IFERROR(INDEX(DATABASE_FG!$H$5:$H$367, MATCH(E593, DATABASE_FG!$C$5:$C$367, 0)), " ")</f>
        <v>0</v>
      </c>
      <c r="O593" s="129" t="str">
        <f>IF(E593&lt;&gt;"", _xlfn.XLOOKUP(E593, DATABASE_FG!C:C, DATABASE_FG!F:F), " ")</f>
        <v>Strunjire moale</v>
      </c>
      <c r="P593" s="129">
        <f>IFERROR(INDEX(DATABASE_FG!$G$5:$G$367, MATCH(E593, DATABASE_FG!$C$5:$C$367, 0)), "Not Found")</f>
        <v>100</v>
      </c>
      <c r="Q593" s="36"/>
      <c r="R593" s="125" t="s">
        <v>678</v>
      </c>
      <c r="S593" s="123">
        <f>IFERROR(INDEX(DATABASE_FG!$L$5:$L$367, MATCH(E593, DATABASE_FG!$C$5:$C$367, 0)), " ")</f>
        <v>42</v>
      </c>
      <c r="T593" s="36" t="s">
        <v>679</v>
      </c>
      <c r="U593" s="36"/>
      <c r="V593" s="36"/>
      <c r="W593" s="129"/>
      <c r="X593" s="36"/>
      <c r="Y593" s="36"/>
      <c r="Z593" s="36"/>
      <c r="AA593" s="125" t="s">
        <v>121</v>
      </c>
      <c r="AB593" s="173"/>
      <c r="AC593" s="119"/>
      <c r="AD593" s="36" t="str">
        <f t="shared" si="78"/>
        <v/>
      </c>
      <c r="AE593" s="36" t="str">
        <f t="shared" si="79"/>
        <v/>
      </c>
      <c r="AF593" s="36">
        <v>0</v>
      </c>
      <c r="AG593" s="120">
        <f t="shared" si="76"/>
        <v>0</v>
      </c>
      <c r="AH593" s="36"/>
      <c r="AI593" s="124" t="s">
        <v>2619</v>
      </c>
      <c r="AJ593" s="122"/>
      <c r="AK593" s="129" t="str">
        <f t="shared" ca="1" si="80"/>
        <v>Late</v>
      </c>
      <c r="AL593" s="268" t="str">
        <f t="shared" si="81"/>
        <v>December</v>
      </c>
      <c r="AM593" s="133">
        <f>YEAR(Table1[[#This Row],[ETA
As requested
dd.mm.yyyy]])</f>
        <v>2024</v>
      </c>
    </row>
    <row r="594" spans="1:39" hidden="1">
      <c r="A594" s="123" t="s">
        <v>83</v>
      </c>
      <c r="B594" s="36" t="s">
        <v>1170</v>
      </c>
      <c r="C594" s="117">
        <v>38565465</v>
      </c>
      <c r="D594" s="165">
        <v>45694</v>
      </c>
      <c r="E594" s="117" t="s">
        <v>314</v>
      </c>
      <c r="F594" s="36" t="str">
        <f>IFERROR(VLOOKUP(Table1[[#This Row],[Part Number]],DATABASE_FG!$C$6:D10583,2,FALSE)," ")</f>
        <v xml:space="preserve">096214309-0000 </v>
      </c>
      <c r="G594" s="117" t="str">
        <f>IFERROR(_xlfn.XLOOKUP(Table1[[#This Row],[Part Number]],Table3[Part number],Table3[Drawing
 Revision]),"")</f>
        <v>AG</v>
      </c>
      <c r="H594" s="118" cm="1">
        <f t="array" ref="H594">IFERROR(INDEX(PDB!$C:$AT,MATCH(E594,PDB!$B:$B,0),MATCH(YEAR(K594),0+PDB!$C$1:$AT$1,0)),"")</f>
        <v>24.97</v>
      </c>
      <c r="I594" s="36">
        <v>98</v>
      </c>
      <c r="J594" s="125">
        <f>IFERROR(Table1[[#This Row],[Quantity]]*Table1[[#This Row],[Price/Unit
EUR]]," ")</f>
        <v>2447.06</v>
      </c>
      <c r="K594" s="126">
        <v>45709</v>
      </c>
      <c r="L594" s="36">
        <f>WEEKNUM(Table1[[#This Row],[ETA
As requested
dd.mm.yyyy]])</f>
        <v>8</v>
      </c>
      <c r="M594" s="36">
        <f>YEAR(Table1[[#This Row],[ETA
As requested
dd.mm.yyyy]])</f>
        <v>2025</v>
      </c>
      <c r="N594" s="36">
        <f>IFERROR(INDEX(DATABASE_FG!$H$5:$H$367, MATCH(E594, DATABASE_FG!$C$5:$C$367, 0)), " ")</f>
        <v>0</v>
      </c>
      <c r="O594" s="129" t="str">
        <f>IF(E594&lt;&gt;"", _xlfn.XLOOKUP(E594, DATABASE_FG!C:C, DATABASE_FG!F:F), " ")</f>
        <v>Strunjire moale</v>
      </c>
      <c r="P594" s="129">
        <f>IFERROR(INDEX(DATABASE_FG!$G$5:$G$367, MATCH(E594, DATABASE_FG!$C$5:$C$367, 0)), "Not Found")</f>
        <v>100</v>
      </c>
      <c r="Q594" s="36"/>
      <c r="R594" s="125" t="s">
        <v>678</v>
      </c>
      <c r="S594" s="123">
        <f>IFERROR(INDEX(DATABASE_FG!$L$5:$L$367, MATCH(E594, DATABASE_FG!$C$5:$C$367, 0)), " ")</f>
        <v>42</v>
      </c>
      <c r="T594" s="36" t="s">
        <v>679</v>
      </c>
      <c r="U594" s="36"/>
      <c r="V594" s="36"/>
      <c r="W594" s="129"/>
      <c r="X594" s="36"/>
      <c r="Y594" s="36" t="s">
        <v>121</v>
      </c>
      <c r="Z594" s="36"/>
      <c r="AA594" s="125" t="s">
        <v>121</v>
      </c>
      <c r="AB594" s="173">
        <v>45716</v>
      </c>
      <c r="AC594" s="119">
        <v>25280</v>
      </c>
      <c r="AD594" s="36">
        <f t="shared" si="78"/>
        <v>38565465</v>
      </c>
      <c r="AE594" s="36" t="str">
        <f t="shared" si="79"/>
        <v>F-155077-13-WW1</v>
      </c>
      <c r="AF594" s="36">
        <v>93</v>
      </c>
      <c r="AG594" s="120">
        <f t="shared" si="76"/>
        <v>2322.21</v>
      </c>
      <c r="AH594" s="36">
        <v>6</v>
      </c>
      <c r="AI594" s="124"/>
      <c r="AJ594" s="122" t="s">
        <v>2859</v>
      </c>
      <c r="AK594" s="129" t="str">
        <f t="shared" ca="1" si="80"/>
        <v>Late</v>
      </c>
      <c r="AL594" s="268" t="str">
        <f t="shared" si="81"/>
        <v>February</v>
      </c>
      <c r="AM594" s="133">
        <f>YEAR(Table1[[#This Row],[ETA
As requested
dd.mm.yyyy]])</f>
        <v>2025</v>
      </c>
    </row>
    <row r="595" spans="1:39" hidden="1">
      <c r="A595" s="123" t="s">
        <v>83</v>
      </c>
      <c r="B595" s="36" t="s">
        <v>1170</v>
      </c>
      <c r="C595" s="117">
        <v>36671455</v>
      </c>
      <c r="D595" s="165">
        <v>45405</v>
      </c>
      <c r="E595" s="117" t="s">
        <v>274</v>
      </c>
      <c r="F595" s="36" t="str">
        <f>IFERROR(VLOOKUP(Table1[[#This Row],[Part Number]],DATABASE_FG!$C$6:D10584,2,FALSE)," ")</f>
        <v xml:space="preserve">097204102-0000 </v>
      </c>
      <c r="G595" s="117" t="str">
        <f>IFERROR(_xlfn.XLOOKUP(Table1[[#This Row],[Part Number]],Table3[Part number],Table3[Drawing
 Revision]),"")</f>
        <v>AB</v>
      </c>
      <c r="H595" s="118" cm="1">
        <f t="array" ref="H595">IFERROR(INDEX(PDB!$C:$AT,MATCH(E595,PDB!$B:$B,0),MATCH(YEAR(K595),0+PDB!$C$1:$AT$1,0)),"")</f>
        <v>18.63</v>
      </c>
      <c r="I595" s="36">
        <v>150</v>
      </c>
      <c r="J595" s="125">
        <f>IFERROR(Table1[[#This Row],[Quantity]]*Table1[[#This Row],[Price/Unit
EUR]]," ")</f>
        <v>2794.5</v>
      </c>
      <c r="K595" s="126">
        <v>45412</v>
      </c>
      <c r="L595" s="36">
        <f>WEEKNUM(Table1[[#This Row],[ETA
As requested
dd.mm.yyyy]])</f>
        <v>18</v>
      </c>
      <c r="M595" s="36">
        <f>YEAR(Table1[[#This Row],[ETA
As requested
dd.mm.yyyy]])</f>
        <v>2024</v>
      </c>
      <c r="N595" s="36">
        <f>IFERROR(INDEX(DATABASE_FG!$H$5:$H$367, MATCH(E595, DATABASE_FG!$C$5:$C$367, 0)), " ")</f>
        <v>0</v>
      </c>
      <c r="O595" s="129" t="str">
        <f>IF(E595&lt;&gt;"", _xlfn.XLOOKUP(E595, DATABASE_FG!C:C, DATABASE_FG!F:F), " ")</f>
        <v>Strunjire moale</v>
      </c>
      <c r="P595" s="129">
        <f>IFERROR(INDEX(DATABASE_FG!$G$5:$G$367, MATCH(E595, DATABASE_FG!$C$5:$C$367, 0)), "Not Found")</f>
        <v>100</v>
      </c>
      <c r="Q595" s="36"/>
      <c r="R595" s="125" t="s">
        <v>678</v>
      </c>
      <c r="S595" s="123">
        <f>IFERROR(INDEX(DATABASE_FG!$L$5:$L$367, MATCH(E595, DATABASE_FG!$C$5:$C$367, 0)), " ")</f>
        <v>42</v>
      </c>
      <c r="T595" s="36" t="s">
        <v>679</v>
      </c>
      <c r="U595" s="36"/>
      <c r="V595" s="36"/>
      <c r="W595" s="129"/>
      <c r="X595" s="36"/>
      <c r="Y595" s="36"/>
      <c r="Z595" s="36">
        <v>242307</v>
      </c>
      <c r="AA595" s="125" t="s">
        <v>121</v>
      </c>
      <c r="AB595" s="173">
        <v>45457</v>
      </c>
      <c r="AC595" s="119">
        <v>2024662</v>
      </c>
      <c r="AD595" s="36">
        <f t="shared" si="78"/>
        <v>36671455</v>
      </c>
      <c r="AE595" s="36" t="str">
        <f t="shared" si="79"/>
        <v>F-155077-43-WW1</v>
      </c>
      <c r="AF595" s="36">
        <v>150</v>
      </c>
      <c r="AG595" s="120">
        <f t="shared" si="76"/>
        <v>2794.5</v>
      </c>
      <c r="AH595" s="36" t="s">
        <v>1420</v>
      </c>
      <c r="AI595" s="124"/>
      <c r="AJ595" s="122" t="s">
        <v>1421</v>
      </c>
      <c r="AK595" s="129" t="str">
        <f t="shared" ca="1" si="80"/>
        <v>Late</v>
      </c>
      <c r="AL595" s="268" t="str">
        <f t="shared" si="81"/>
        <v>April</v>
      </c>
      <c r="AM595" s="133">
        <f>YEAR(Table1[[#This Row],[ETA
As requested
dd.mm.yyyy]])</f>
        <v>2024</v>
      </c>
    </row>
    <row r="596" spans="1:39" hidden="1">
      <c r="A596" s="123" t="s">
        <v>83</v>
      </c>
      <c r="B596" s="36" t="s">
        <v>1170</v>
      </c>
      <c r="C596" s="117">
        <v>36956361</v>
      </c>
      <c r="D596" s="165">
        <v>45447</v>
      </c>
      <c r="E596" s="117" t="s">
        <v>274</v>
      </c>
      <c r="F596" s="36" t="str">
        <f>IFERROR(VLOOKUP(Table1[[#This Row],[Part Number]],DATABASE_FG!$C$6:D10585,2,FALSE)," ")</f>
        <v xml:space="preserve">097204102-0000 </v>
      </c>
      <c r="G596" s="117" t="str">
        <f>IFERROR(_xlfn.XLOOKUP(Table1[[#This Row],[Part Number]],Table3[Part number],Table3[Drawing
 Revision]),"")</f>
        <v>AB</v>
      </c>
      <c r="H596" s="118" cm="1">
        <f t="array" ref="H596">IFERROR(INDEX(PDB!$C:$AT,MATCH(E596,PDB!$B:$B,0),MATCH(YEAR(K596),0+PDB!$C$1:$AT$1,0)),"")</f>
        <v>18.63</v>
      </c>
      <c r="I596" s="36">
        <v>100</v>
      </c>
      <c r="J596" s="125">
        <f>IFERROR(Table1[[#This Row],[Quantity]]*Table1[[#This Row],[Price/Unit
EUR]]," ")</f>
        <v>1863</v>
      </c>
      <c r="K596" s="126">
        <v>45470</v>
      </c>
      <c r="L596" s="36">
        <f>WEEKNUM(Table1[[#This Row],[ETA
As requested
dd.mm.yyyy]])</f>
        <v>26</v>
      </c>
      <c r="M596" s="36">
        <f>YEAR(Table1[[#This Row],[ETA
As requested
dd.mm.yyyy]])</f>
        <v>2024</v>
      </c>
      <c r="N596" s="36">
        <f>IFERROR(INDEX(DATABASE_FG!$H$5:$H$367, MATCH(E596, DATABASE_FG!$C$5:$C$367, 0)), " ")</f>
        <v>0</v>
      </c>
      <c r="O596" s="129" t="str">
        <f>IF(E596&lt;&gt;"", _xlfn.XLOOKUP(E596, DATABASE_FG!C:C, DATABASE_FG!F:F), " ")</f>
        <v>Strunjire moale</v>
      </c>
      <c r="P596" s="129">
        <f>IFERROR(INDEX(DATABASE_FG!$G$5:$G$367, MATCH(E596, DATABASE_FG!$C$5:$C$367, 0)), "Not Found")</f>
        <v>100</v>
      </c>
      <c r="Q596" s="36"/>
      <c r="R596" s="125" t="s">
        <v>678</v>
      </c>
      <c r="S596" s="123">
        <f>IFERROR(INDEX(DATABASE_FG!$L$5:$L$367, MATCH(E596, DATABASE_FG!$C$5:$C$367, 0)), " ")</f>
        <v>42</v>
      </c>
      <c r="T596" s="36" t="s">
        <v>679</v>
      </c>
      <c r="U596" s="36"/>
      <c r="V596" s="36"/>
      <c r="W596" s="129"/>
      <c r="X596" s="36"/>
      <c r="Y596" s="36"/>
      <c r="Z596" s="36">
        <v>242512</v>
      </c>
      <c r="AA596" s="125" t="s">
        <v>121</v>
      </c>
      <c r="AB596" s="173">
        <v>45489</v>
      </c>
      <c r="AC596" s="119">
        <v>2024857</v>
      </c>
      <c r="AD596" s="36">
        <f t="shared" si="78"/>
        <v>36956361</v>
      </c>
      <c r="AE596" s="36" t="str">
        <f t="shared" si="79"/>
        <v>F-155077-43-WW1</v>
      </c>
      <c r="AF596" s="36">
        <v>98</v>
      </c>
      <c r="AG596" s="120">
        <f t="shared" si="76"/>
        <v>1825.74</v>
      </c>
      <c r="AH596" s="36">
        <v>2</v>
      </c>
      <c r="AI596" s="124"/>
      <c r="AJ596" s="122" t="s">
        <v>1739</v>
      </c>
      <c r="AK596" s="129" t="str">
        <f t="shared" ca="1" si="80"/>
        <v>Late</v>
      </c>
      <c r="AL596" s="268" t="str">
        <f t="shared" si="81"/>
        <v>June</v>
      </c>
      <c r="AM596" s="133">
        <f>YEAR(Table1[[#This Row],[ETA
As requested
dd.mm.yyyy]])</f>
        <v>2024</v>
      </c>
    </row>
    <row r="597" spans="1:39" hidden="1">
      <c r="A597" s="123" t="s">
        <v>83</v>
      </c>
      <c r="B597" s="36" t="s">
        <v>1170</v>
      </c>
      <c r="C597" s="117">
        <v>37290739</v>
      </c>
      <c r="D597" s="165">
        <v>45491</v>
      </c>
      <c r="E597" s="117" t="s">
        <v>274</v>
      </c>
      <c r="F597" s="36" t="str">
        <f>IFERROR(VLOOKUP(Table1[[#This Row],[Part Number]],DATABASE_FG!$C$6:D10586,2,FALSE)," ")</f>
        <v xml:space="preserve">097204102-0000 </v>
      </c>
      <c r="G597" s="117" t="str">
        <f>IFERROR(_xlfn.XLOOKUP(Table1[[#This Row],[Part Number]],Table3[Part number],Table3[Drawing
 Revision]),"")</f>
        <v>AB</v>
      </c>
      <c r="H597" s="118" cm="1">
        <f t="array" ref="H597">IFERROR(INDEX(PDB!$C:$AT,MATCH(E597,PDB!$B:$B,0),MATCH(YEAR(K597),0+PDB!$C$1:$AT$1,0)),"")</f>
        <v>18.63</v>
      </c>
      <c r="I597" s="36">
        <v>53</v>
      </c>
      <c r="J597" s="125">
        <f>IFERROR(Table1[[#This Row],[Quantity]]*Table1[[#This Row],[Price/Unit
EUR]]," ")</f>
        <v>987.39</v>
      </c>
      <c r="K597" s="126">
        <v>45506</v>
      </c>
      <c r="L597" s="36">
        <f>WEEKNUM(Table1[[#This Row],[ETA
As requested
dd.mm.yyyy]])</f>
        <v>31</v>
      </c>
      <c r="M597" s="36">
        <f>YEAR(Table1[[#This Row],[ETA
As requested
dd.mm.yyyy]])</f>
        <v>2024</v>
      </c>
      <c r="N597" s="36">
        <f>IFERROR(INDEX(DATABASE_FG!$H$5:$H$367, MATCH(E597, DATABASE_FG!$C$5:$C$367, 0)), " ")</f>
        <v>0</v>
      </c>
      <c r="O597" s="129" t="str">
        <f>IF(E597&lt;&gt;"", _xlfn.XLOOKUP(E597, DATABASE_FG!C:C, DATABASE_FG!F:F), " ")</f>
        <v>Strunjire moale</v>
      </c>
      <c r="P597" s="129">
        <f>IFERROR(INDEX(DATABASE_FG!$G$5:$G$367, MATCH(E597, DATABASE_FG!$C$5:$C$367, 0)), "Not Found")</f>
        <v>100</v>
      </c>
      <c r="Q597" s="36"/>
      <c r="R597" s="125" t="s">
        <v>678</v>
      </c>
      <c r="S597" s="123">
        <f>IFERROR(INDEX(DATABASE_FG!$L$5:$L$367, MATCH(E597, DATABASE_FG!$C$5:$C$367, 0)), " ")</f>
        <v>42</v>
      </c>
      <c r="T597" s="36" t="s">
        <v>679</v>
      </c>
      <c r="U597" s="36"/>
      <c r="V597" s="36"/>
      <c r="W597" s="129"/>
      <c r="X597" s="36"/>
      <c r="Y597" s="36"/>
      <c r="Z597" s="36"/>
      <c r="AA597" s="125" t="s">
        <v>121</v>
      </c>
      <c r="AB597" s="173">
        <v>45505</v>
      </c>
      <c r="AC597" s="119">
        <v>2024959</v>
      </c>
      <c r="AD597" s="36">
        <f t="shared" si="78"/>
        <v>37290739</v>
      </c>
      <c r="AE597" s="36" t="str">
        <f t="shared" si="79"/>
        <v>F-155077-43-WW1</v>
      </c>
      <c r="AF597" s="36">
        <v>46</v>
      </c>
      <c r="AG597" s="120">
        <f t="shared" si="76"/>
        <v>856.9799999999999</v>
      </c>
      <c r="AH597" s="36">
        <v>7</v>
      </c>
      <c r="AI597" s="124"/>
      <c r="AJ597" s="122" t="s">
        <v>1900</v>
      </c>
      <c r="AK597" s="129" t="str">
        <f t="shared" ca="1" si="80"/>
        <v>On Time</v>
      </c>
      <c r="AL597" s="268" t="str">
        <f t="shared" si="81"/>
        <v>August</v>
      </c>
      <c r="AM597" s="133">
        <f>YEAR(Table1[[#This Row],[ETA
As requested
dd.mm.yyyy]])</f>
        <v>2024</v>
      </c>
    </row>
    <row r="598" spans="1:39" hidden="1">
      <c r="A598" s="123" t="s">
        <v>83</v>
      </c>
      <c r="B598" s="36" t="s">
        <v>1170</v>
      </c>
      <c r="C598" s="117">
        <v>37423933</v>
      </c>
      <c r="D598" s="165">
        <v>45450</v>
      </c>
      <c r="E598" s="117" t="s">
        <v>274</v>
      </c>
      <c r="F598" s="36" t="str">
        <f>IFERROR(VLOOKUP(Table1[[#This Row],[Part Number]],DATABASE_FG!$C$6:D10587,2,FALSE)," ")</f>
        <v xml:space="preserve">097204102-0000 </v>
      </c>
      <c r="G598" s="117" t="str">
        <f>IFERROR(_xlfn.XLOOKUP(Table1[[#This Row],[Part Number]],Table3[Part number],Table3[Drawing
 Revision]),"")</f>
        <v>AB</v>
      </c>
      <c r="H598" s="118" cm="1">
        <f t="array" ref="H598">IFERROR(INDEX(PDB!$C:$AT,MATCH(E598,PDB!$B:$B,0),MATCH(YEAR(K598),0+PDB!$C$1:$AT$1,0)),"")</f>
        <v>18.63</v>
      </c>
      <c r="I598" s="36">
        <v>110</v>
      </c>
      <c r="J598" s="125">
        <f>IFERROR(Table1[[#This Row],[Quantity]]*Table1[[#This Row],[Price/Unit
EUR]]," ")</f>
        <v>2049.2999999999997</v>
      </c>
      <c r="K598" s="126">
        <v>45539</v>
      </c>
      <c r="L598" s="36">
        <f>WEEKNUM(Table1[[#This Row],[ETA
As requested
dd.mm.yyyy]])</f>
        <v>36</v>
      </c>
      <c r="M598" s="36">
        <f>YEAR(Table1[[#This Row],[ETA
As requested
dd.mm.yyyy]])</f>
        <v>2024</v>
      </c>
      <c r="N598" s="36">
        <f>IFERROR(INDEX(DATABASE_FG!$H$5:$H$367, MATCH(E598, DATABASE_FG!$C$5:$C$367, 0)), " ")</f>
        <v>0</v>
      </c>
      <c r="O598" s="129" t="str">
        <f>IF(E598&lt;&gt;"", _xlfn.XLOOKUP(E598, DATABASE_FG!C:C, DATABASE_FG!F:F), " ")</f>
        <v>Strunjire moale</v>
      </c>
      <c r="P598" s="129">
        <f>IFERROR(INDEX(DATABASE_FG!$G$5:$G$367, MATCH(E598, DATABASE_FG!$C$5:$C$367, 0)), "Not Found")</f>
        <v>100</v>
      </c>
      <c r="Q598" s="36"/>
      <c r="R598" s="125" t="s">
        <v>678</v>
      </c>
      <c r="S598" s="123">
        <f>IFERROR(INDEX(DATABASE_FG!$L$5:$L$367, MATCH(E598, DATABASE_FG!$C$5:$C$367, 0)), " ")</f>
        <v>42</v>
      </c>
      <c r="T598" s="36" t="s">
        <v>679</v>
      </c>
      <c r="U598" s="36"/>
      <c r="V598" s="36"/>
      <c r="W598" s="129"/>
      <c r="X598" s="36" t="s">
        <v>2317</v>
      </c>
      <c r="Y598" s="36"/>
      <c r="Z598" s="36"/>
      <c r="AA598" s="125" t="s">
        <v>121</v>
      </c>
      <c r="AB598" s="173">
        <v>45525</v>
      </c>
      <c r="AC598" s="119">
        <v>202401050</v>
      </c>
      <c r="AD598" s="36">
        <f t="shared" si="78"/>
        <v>37423933</v>
      </c>
      <c r="AE598" s="36" t="str">
        <f t="shared" si="79"/>
        <v>F-155077-43-WW1</v>
      </c>
      <c r="AF598" s="36">
        <v>109</v>
      </c>
      <c r="AG598" s="120">
        <f t="shared" si="76"/>
        <v>2030.6699999999998</v>
      </c>
      <c r="AH598" s="36">
        <v>1</v>
      </c>
      <c r="AI598" s="124"/>
      <c r="AJ598" t="s">
        <v>2318</v>
      </c>
      <c r="AK598" s="129" t="str">
        <f t="shared" ca="1" si="80"/>
        <v>On Time</v>
      </c>
      <c r="AL598" s="268" t="str">
        <f t="shared" si="81"/>
        <v>September</v>
      </c>
      <c r="AM598" s="133">
        <f>YEAR(Table1[[#This Row],[ETA
As requested
dd.mm.yyyy]])</f>
        <v>2024</v>
      </c>
    </row>
    <row r="599" spans="1:39" hidden="1">
      <c r="A599" s="123" t="s">
        <v>83</v>
      </c>
      <c r="B599" s="36" t="s">
        <v>2464</v>
      </c>
      <c r="C599" s="117"/>
      <c r="D599" s="165">
        <v>45452</v>
      </c>
      <c r="E599" s="117" t="s">
        <v>274</v>
      </c>
      <c r="F599" s="36" t="str">
        <f>IFERROR(VLOOKUP(Table1[[#This Row],[Part Number]],DATABASE_FG!$C$6:D10588,2,FALSE)," ")</f>
        <v xml:space="preserve">097204102-0000 </v>
      </c>
      <c r="G599" s="117" t="str">
        <f>IFERROR(_xlfn.XLOOKUP(Table1[[#This Row],[Part Number]],Table3[Part number],Table3[Drawing
 Revision]),"")</f>
        <v>AB</v>
      </c>
      <c r="H599" s="118" cm="1">
        <f t="array" ref="H599">IFERROR(INDEX(PDB!$C:$AT,MATCH(E599,PDB!$B:$B,0),MATCH(YEAR(K599),0+PDB!$C$1:$AT$1,0)),"")</f>
        <v>18.63</v>
      </c>
      <c r="I599" s="36">
        <v>100</v>
      </c>
      <c r="J599" s="125">
        <f>IFERROR(Table1[[#This Row],[Quantity]]*Table1[[#This Row],[Price/Unit
EUR]]," ")</f>
        <v>1863</v>
      </c>
      <c r="K599" s="126">
        <v>45616</v>
      </c>
      <c r="L599" s="36">
        <f>WEEKNUM(Table1[[#This Row],[ETA
As requested
dd.mm.yyyy]])</f>
        <v>47</v>
      </c>
      <c r="M599" s="36">
        <f>YEAR(Table1[[#This Row],[ETA
As requested
dd.mm.yyyy]])</f>
        <v>2024</v>
      </c>
      <c r="N599" s="36">
        <f>IFERROR(INDEX(DATABASE_FG!$H$5:$H$367, MATCH(E599, DATABASE_FG!$C$5:$C$367, 0)), " ")</f>
        <v>0</v>
      </c>
      <c r="O599" s="129" t="str">
        <f>IF(E599&lt;&gt;"", _xlfn.XLOOKUP(E599, DATABASE_FG!C:C, DATABASE_FG!F:F), " ")</f>
        <v>Strunjire moale</v>
      </c>
      <c r="P599" s="129">
        <f>IFERROR(INDEX(DATABASE_FG!$G$5:$G$367, MATCH(E599, DATABASE_FG!$C$5:$C$367, 0)), "Not Found")</f>
        <v>100</v>
      </c>
      <c r="Q599" s="36"/>
      <c r="R599" s="125" t="s">
        <v>678</v>
      </c>
      <c r="S599" s="123">
        <f>IFERROR(INDEX(DATABASE_FG!$L$5:$L$367, MATCH(E599, DATABASE_FG!$C$5:$C$367, 0)), " ")</f>
        <v>42</v>
      </c>
      <c r="T599" s="36" t="s">
        <v>679</v>
      </c>
      <c r="U599" s="36"/>
      <c r="V599" s="36"/>
      <c r="W599" s="129"/>
      <c r="X599" s="36"/>
      <c r="Y599" s="36" t="s">
        <v>2491</v>
      </c>
      <c r="Z599" s="36"/>
      <c r="AA599" s="125" t="s">
        <v>121</v>
      </c>
      <c r="AB599" s="173"/>
      <c r="AC599" s="119"/>
      <c r="AD599" s="36" t="str">
        <f t="shared" si="78"/>
        <v/>
      </c>
      <c r="AE599" s="36" t="str">
        <f t="shared" si="79"/>
        <v/>
      </c>
      <c r="AF599" s="36">
        <v>0</v>
      </c>
      <c r="AG599" s="120">
        <f t="shared" si="76"/>
        <v>0</v>
      </c>
      <c r="AH599" s="36"/>
      <c r="AI599" s="124" t="s">
        <v>2620</v>
      </c>
      <c r="AJ599" s="122"/>
      <c r="AK599" s="129" t="str">
        <f t="shared" ca="1" si="80"/>
        <v>Late</v>
      </c>
      <c r="AL599" s="268" t="str">
        <f t="shared" si="81"/>
        <v>November</v>
      </c>
      <c r="AM599" s="133">
        <f>YEAR(Table1[[#This Row],[ETA
As requested
dd.mm.yyyy]])</f>
        <v>2024</v>
      </c>
    </row>
    <row r="600" spans="1:39" ht="15.75" hidden="1">
      <c r="A600" s="123" t="s">
        <v>83</v>
      </c>
      <c r="B600" s="36" t="s">
        <v>1170</v>
      </c>
      <c r="C600" s="117">
        <v>36754988</v>
      </c>
      <c r="D600" s="165">
        <v>45421</v>
      </c>
      <c r="E600" s="117" t="s">
        <v>851</v>
      </c>
      <c r="F600" s="36" t="str">
        <f>IFERROR(VLOOKUP(Table1[[#This Row],[Part Number]],DATABASE_FG!$C$6:D10589,2,FALSE)," ")</f>
        <v xml:space="preserve">096215143-0000 </v>
      </c>
      <c r="G600" s="117" t="str">
        <f>IFERROR(_xlfn.XLOOKUP(Table1[[#This Row],[Part Number]],Table3[Part number],Table3[Drawing
 Revision]),"")</f>
        <v>AC</v>
      </c>
      <c r="H600" s="118" cm="1">
        <f t="array" ref="H600">IFERROR(INDEX(PDB!$C:$AT,MATCH(E600,PDB!$B:$B,0),MATCH(YEAR(K600),0+PDB!$C$1:$AT$1,0)),"")</f>
        <v>23.79</v>
      </c>
      <c r="I600" s="36">
        <v>214</v>
      </c>
      <c r="J600" s="125">
        <f>IFERROR(Table1[[#This Row],[Quantity]]*Table1[[#This Row],[Price/Unit
EUR]]," ")</f>
        <v>5091.0599999999995</v>
      </c>
      <c r="K600" s="126">
        <v>45449</v>
      </c>
      <c r="L600" s="36">
        <f>WEEKNUM(Table1[[#This Row],[ETA
As requested
dd.mm.yyyy]])</f>
        <v>23</v>
      </c>
      <c r="M600" s="36">
        <f>YEAR(Table1[[#This Row],[ETA
As requested
dd.mm.yyyy]])</f>
        <v>2024</v>
      </c>
      <c r="N600" s="36">
        <f>IFERROR(INDEX(DATABASE_FG!$H$5:$H$367, MATCH(E600, DATABASE_FG!$C$5:$C$367, 0)), " ")</f>
        <v>0</v>
      </c>
      <c r="O600" s="129" t="str">
        <f>IF(E600&lt;&gt;"", _xlfn.XLOOKUP(E600, DATABASE_FG!C:C, DATABASE_FG!F:F), " ")</f>
        <v>Strunjire moale</v>
      </c>
      <c r="P600" s="129">
        <f>IFERROR(INDEX(DATABASE_FG!$G$5:$G$367, MATCH(E600, DATABASE_FG!$C$5:$C$367, 0)), "Not Found")</f>
        <v>100</v>
      </c>
      <c r="Q600" s="36"/>
      <c r="R600" s="125" t="s">
        <v>678</v>
      </c>
      <c r="S600" s="123">
        <f>IFERROR(INDEX(DATABASE_FG!$L$5:$L$367, MATCH(E600, DATABASE_FG!$C$5:$C$367, 0)), " ")</f>
        <v>42</v>
      </c>
      <c r="T600" s="36" t="s">
        <v>679</v>
      </c>
      <c r="U600" s="36"/>
      <c r="V600" s="36"/>
      <c r="W600" s="129"/>
      <c r="X600" s="36"/>
      <c r="Y600" s="36"/>
      <c r="Z600" s="36">
        <v>242315</v>
      </c>
      <c r="AA600" s="125" t="s">
        <v>121</v>
      </c>
      <c r="AB600" s="173">
        <v>45470</v>
      </c>
      <c r="AC600" s="119">
        <v>2024731</v>
      </c>
      <c r="AD600" s="36">
        <f t="shared" si="78"/>
        <v>36754988</v>
      </c>
      <c r="AE600" s="36" t="str">
        <f t="shared" si="79"/>
        <v>F-229209-0022-WW1</v>
      </c>
      <c r="AF600" s="36">
        <f>208-1</f>
        <v>207</v>
      </c>
      <c r="AG600" s="120">
        <f t="shared" si="76"/>
        <v>4924.53</v>
      </c>
      <c r="AH600" s="36">
        <v>6</v>
      </c>
      <c r="AI600" s="124" t="s">
        <v>1637</v>
      </c>
      <c r="AJ600" s="122" t="s">
        <v>1638</v>
      </c>
      <c r="AK600" s="129" t="str">
        <f t="shared" ca="1" si="80"/>
        <v>Late</v>
      </c>
      <c r="AL600" s="268" t="str">
        <f t="shared" si="81"/>
        <v>June</v>
      </c>
      <c r="AM600" s="133">
        <f>YEAR(Table1[[#This Row],[ETA
As requested
dd.mm.yyyy]])</f>
        <v>2024</v>
      </c>
    </row>
    <row r="601" spans="1:39" hidden="1">
      <c r="A601" s="123" t="s">
        <v>83</v>
      </c>
      <c r="B601" s="36" t="s">
        <v>1170</v>
      </c>
      <c r="C601" s="117">
        <v>37848147</v>
      </c>
      <c r="D601" s="165">
        <v>45583</v>
      </c>
      <c r="E601" s="117" t="s">
        <v>851</v>
      </c>
      <c r="F601" s="36" t="str">
        <f>IFERROR(VLOOKUP(Table1[[#This Row],[Part Number]],DATABASE_FG!$C$6:D10590,2,FALSE)," ")</f>
        <v xml:space="preserve">096215143-0000 </v>
      </c>
      <c r="G601" s="117" t="str">
        <f>IFERROR(_xlfn.XLOOKUP(Table1[[#This Row],[Part Number]],Table3[Part number],Table3[Drawing
 Revision]),"")</f>
        <v>AC</v>
      </c>
      <c r="H601" s="118" cm="1">
        <f t="array" ref="H601">IFERROR(INDEX(PDB!$C:$AT,MATCH(E601,PDB!$B:$B,0),MATCH(YEAR(K601),0+PDB!$C$1:$AT$1,0)),"")</f>
        <v>23.79</v>
      </c>
      <c r="I601" s="36">
        <v>57</v>
      </c>
      <c r="J601" s="125">
        <f>IFERROR(Table1[[#This Row],[Quantity]]*Table1[[#This Row],[Price/Unit
EUR]]," ")</f>
        <v>1356.03</v>
      </c>
      <c r="K601" s="126">
        <v>45595</v>
      </c>
      <c r="L601" s="36">
        <f>WEEKNUM(Table1[[#This Row],[ETA
As requested
dd.mm.yyyy]])</f>
        <v>44</v>
      </c>
      <c r="M601" s="36">
        <f>YEAR(Table1[[#This Row],[ETA
As requested
dd.mm.yyyy]])</f>
        <v>2024</v>
      </c>
      <c r="N601" s="36">
        <f>IFERROR(INDEX(DATABASE_FG!$H$5:$H$367, MATCH(E601, DATABASE_FG!$C$5:$C$367, 0)), " ")</f>
        <v>0</v>
      </c>
      <c r="O601" s="129" t="str">
        <f>IF(E601&lt;&gt;"", _xlfn.XLOOKUP(E601, DATABASE_FG!C:C, DATABASE_FG!F:F), " ")</f>
        <v>Strunjire moale</v>
      </c>
      <c r="P601" s="129">
        <f>IFERROR(INDEX(DATABASE_FG!$G$5:$G$367, MATCH(E601, DATABASE_FG!$C$5:$C$367, 0)), "Not Found")</f>
        <v>100</v>
      </c>
      <c r="Q601" s="36"/>
      <c r="R601" s="125" t="s">
        <v>678</v>
      </c>
      <c r="S601" s="123">
        <f>IFERROR(INDEX(DATABASE_FG!$L$5:$L$367, MATCH(E601, DATABASE_FG!$C$5:$C$367, 0)), " ")</f>
        <v>42</v>
      </c>
      <c r="T601" s="36" t="s">
        <v>679</v>
      </c>
      <c r="U601" s="36"/>
      <c r="V601" s="36"/>
      <c r="W601" s="129"/>
      <c r="X601" s="36"/>
      <c r="Y601" s="36"/>
      <c r="Z601" s="36"/>
      <c r="AA601" s="125" t="s">
        <v>121</v>
      </c>
      <c r="AB601" s="173">
        <v>45607</v>
      </c>
      <c r="AC601" s="119">
        <v>202401366</v>
      </c>
      <c r="AD601" s="36">
        <f t="shared" si="78"/>
        <v>37848147</v>
      </c>
      <c r="AE601" s="36" t="str">
        <f t="shared" si="79"/>
        <v>F-229209-0022-WW1</v>
      </c>
      <c r="AF601" s="36">
        <v>56</v>
      </c>
      <c r="AG601" s="120">
        <f t="shared" si="76"/>
        <v>1332.24</v>
      </c>
      <c r="AH601" s="36">
        <v>1</v>
      </c>
      <c r="AI601" s="124"/>
      <c r="AJ601" s="122" t="s">
        <v>2533</v>
      </c>
      <c r="AK601" s="129" t="str">
        <f t="shared" ca="1" si="80"/>
        <v>Late</v>
      </c>
      <c r="AL601" s="268" t="str">
        <f t="shared" si="81"/>
        <v>October</v>
      </c>
      <c r="AM601" s="133">
        <f>YEAR(Table1[[#This Row],[ETA
As requested
dd.mm.yyyy]])</f>
        <v>2024</v>
      </c>
    </row>
    <row r="602" spans="1:39" hidden="1">
      <c r="A602" s="123" t="s">
        <v>83</v>
      </c>
      <c r="B602" s="36" t="s">
        <v>1170</v>
      </c>
      <c r="C602" s="117">
        <v>38733787</v>
      </c>
      <c r="D602" s="165">
        <v>45716</v>
      </c>
      <c r="E602" s="117" t="s">
        <v>851</v>
      </c>
      <c r="F602" s="36" t="str">
        <f>IFERROR(VLOOKUP(Table1[[#This Row],[Part Number]],DATABASE_FG!$C$6:D10591,2,FALSE)," ")</f>
        <v xml:space="preserve">096215143-0000 </v>
      </c>
      <c r="G602" s="117" t="str">
        <f>IFERROR(_xlfn.XLOOKUP(Table1[[#This Row],[Part Number]],Table3[Part number],Table3[Drawing
 Revision]),"")</f>
        <v>AC</v>
      </c>
      <c r="H602" s="118" cm="1">
        <f t="array" ref="H602">IFERROR(INDEX(PDB!$C:$AT,MATCH(E602,PDB!$B:$B,0),MATCH(YEAR(K602),0+PDB!$C$1:$AT$1,0)),"")</f>
        <v>23.79</v>
      </c>
      <c r="I602" s="36">
        <v>86</v>
      </c>
      <c r="J602" s="125">
        <f>IFERROR(Table1[[#This Row],[Quantity]]*Table1[[#This Row],[Price/Unit
EUR]]," ")</f>
        <v>2045.9399999999998</v>
      </c>
      <c r="K602" s="126">
        <v>45730</v>
      </c>
      <c r="L602" s="36">
        <f>WEEKNUM(Table1[[#This Row],[ETA
As requested
dd.mm.yyyy]])</f>
        <v>11</v>
      </c>
      <c r="M602" s="36">
        <f>YEAR(Table1[[#This Row],[ETA
As requested
dd.mm.yyyy]])</f>
        <v>2025</v>
      </c>
      <c r="N602" s="36">
        <f>IFERROR(INDEX(DATABASE_FG!$H$5:$H$367, MATCH(E602, DATABASE_FG!$C$5:$C$367, 0)), " ")</f>
        <v>0</v>
      </c>
      <c r="O602" s="129" t="str">
        <f>IF(E602&lt;&gt;"", _xlfn.XLOOKUP(E602, DATABASE_FG!C:C, DATABASE_FG!F:F), " ")</f>
        <v>Strunjire moale</v>
      </c>
      <c r="P602" s="129">
        <f>IFERROR(INDEX(DATABASE_FG!$G$5:$G$367, MATCH(E602, DATABASE_FG!$C$5:$C$367, 0)), "Not Found")</f>
        <v>100</v>
      </c>
      <c r="Q602" s="36"/>
      <c r="R602" s="125" t="s">
        <v>678</v>
      </c>
      <c r="S602" s="123">
        <f>IFERROR(INDEX(DATABASE_FG!$L$5:$L$367, MATCH(E602, DATABASE_FG!$C$5:$C$367, 0)), " ")</f>
        <v>42</v>
      </c>
      <c r="T602" s="36"/>
      <c r="U602" s="36"/>
      <c r="V602" s="36"/>
      <c r="W602" s="129"/>
      <c r="X602" s="36"/>
      <c r="Y602" s="36"/>
      <c r="Z602" s="36"/>
      <c r="AA602" s="125" t="s">
        <v>121</v>
      </c>
      <c r="AB602" s="173">
        <v>45763</v>
      </c>
      <c r="AC602" s="119" t="s">
        <v>2958</v>
      </c>
      <c r="AD602" s="36">
        <f t="shared" si="78"/>
        <v>38733787</v>
      </c>
      <c r="AE602" s="36" t="str">
        <f t="shared" si="79"/>
        <v>F-229209-0022-WW1</v>
      </c>
      <c r="AF602" s="36">
        <v>86</v>
      </c>
      <c r="AG602" s="120">
        <f t="shared" si="76"/>
        <v>2045.9399999999998</v>
      </c>
      <c r="AH602" s="36"/>
      <c r="AI602" s="124"/>
      <c r="AJ602" s="122" t="s">
        <v>2959</v>
      </c>
      <c r="AK602" s="129" t="str">
        <f t="shared" ca="1" si="80"/>
        <v>Late</v>
      </c>
      <c r="AL602" s="268" t="str">
        <f t="shared" si="81"/>
        <v>March</v>
      </c>
      <c r="AM602" s="133">
        <f>YEAR(Table1[[#This Row],[ETA
As requested
dd.mm.yyyy]])</f>
        <v>2025</v>
      </c>
    </row>
    <row r="603" spans="1:39" hidden="1">
      <c r="A603" s="123" t="s">
        <v>83</v>
      </c>
      <c r="B603" s="36" t="s">
        <v>1170</v>
      </c>
      <c r="C603" s="117">
        <v>38733787</v>
      </c>
      <c r="D603" s="165">
        <v>45716</v>
      </c>
      <c r="E603" s="117" t="s">
        <v>851</v>
      </c>
      <c r="F603" s="36" t="str">
        <f>IFERROR(VLOOKUP(Table1[[#This Row],[Part Number]],DATABASE_FG!$C$6:D10592,2,FALSE)," ")</f>
        <v xml:space="preserve">096215143-0000 </v>
      </c>
      <c r="G603" s="117" t="str">
        <f>IFERROR(_xlfn.XLOOKUP(Table1[[#This Row],[Part Number]],Table3[Part number],Table3[Drawing
 Revision]),"")</f>
        <v>AC</v>
      </c>
      <c r="H603" s="118" cm="1">
        <f t="array" ref="H603">IFERROR(INDEX(PDB!$C:$AT,MATCH(E603,PDB!$B:$B,0),MATCH(YEAR(K603),0+PDB!$C$1:$AT$1,0)),"")</f>
        <v>23.79</v>
      </c>
      <c r="I603" s="36">
        <f>248-86</f>
        <v>162</v>
      </c>
      <c r="J603" s="125">
        <f>IFERROR(Table1[[#This Row],[Quantity]]*Table1[[#This Row],[Price/Unit
EUR]]," ")</f>
        <v>3853.98</v>
      </c>
      <c r="K603" s="126">
        <v>45730</v>
      </c>
      <c r="L603" s="36">
        <f>WEEKNUM(Table1[[#This Row],[ETA
As requested
dd.mm.yyyy]])</f>
        <v>11</v>
      </c>
      <c r="M603" s="36">
        <f>YEAR(Table1[[#This Row],[ETA
As requested
dd.mm.yyyy]])</f>
        <v>2025</v>
      </c>
      <c r="N603" s="36">
        <f>IFERROR(INDEX(DATABASE_FG!$H$5:$H$367, MATCH(E603, DATABASE_FG!$C$5:$C$367, 0)), " ")</f>
        <v>0</v>
      </c>
      <c r="O603" s="129" t="str">
        <f>IF(E603&lt;&gt;"", _xlfn.XLOOKUP(E603, DATABASE_FG!C:C, DATABASE_FG!F:F), " ")</f>
        <v>Strunjire moale</v>
      </c>
      <c r="P603" s="129">
        <f>IFERROR(INDEX(DATABASE_FG!$G$5:$G$367, MATCH(E603, DATABASE_FG!$C$5:$C$367, 0)), "Not Found")</f>
        <v>100</v>
      </c>
      <c r="Q603" s="36"/>
      <c r="R603" s="125" t="s">
        <v>678</v>
      </c>
      <c r="S603" s="123">
        <f>IFERROR(INDEX(DATABASE_FG!$L$5:$L$367, MATCH(E603, DATABASE_FG!$C$5:$C$367, 0)), " ")</f>
        <v>42</v>
      </c>
      <c r="T603" s="36" t="s">
        <v>679</v>
      </c>
      <c r="U603" s="36"/>
      <c r="V603" s="36"/>
      <c r="W603" s="129"/>
      <c r="X603" s="36"/>
      <c r="Y603" s="36"/>
      <c r="Z603" s="36"/>
      <c r="AA603" s="125" t="s">
        <v>121</v>
      </c>
      <c r="AB603" s="172">
        <v>45790</v>
      </c>
      <c r="AC603" s="119">
        <v>25764</v>
      </c>
      <c r="AD603" s="36">
        <f t="shared" si="78"/>
        <v>38733787</v>
      </c>
      <c r="AE603" s="36" t="str">
        <f t="shared" si="79"/>
        <v>F-229209-0022-WW1</v>
      </c>
      <c r="AF603" s="36">
        <v>161</v>
      </c>
      <c r="AG603" s="120">
        <f t="shared" si="76"/>
        <v>3830.19</v>
      </c>
      <c r="AH603" s="36">
        <v>1</v>
      </c>
      <c r="AI603" s="124"/>
      <c r="AJ603" s="122" t="s">
        <v>2960</v>
      </c>
      <c r="AK603" s="129" t="str">
        <f t="shared" ca="1" si="80"/>
        <v>Late</v>
      </c>
      <c r="AL603" s="268" t="str">
        <f t="shared" si="81"/>
        <v>March</v>
      </c>
      <c r="AM603" s="133">
        <f>YEAR(Table1[[#This Row],[ETA
As requested
dd.mm.yyyy]])</f>
        <v>2025</v>
      </c>
    </row>
    <row r="604" spans="1:39" hidden="1">
      <c r="A604" s="123" t="s">
        <v>83</v>
      </c>
      <c r="B604" s="36" t="s">
        <v>1170</v>
      </c>
      <c r="C604" s="117">
        <v>39363921</v>
      </c>
      <c r="D604" s="165">
        <v>45716</v>
      </c>
      <c r="E604" s="117" t="s">
        <v>851</v>
      </c>
      <c r="F604" s="36" t="str">
        <f>IFERROR(VLOOKUP(Table1[[#This Row],[Part Number]],DATABASE_FG!$C$6:D10593,2,FALSE)," ")</f>
        <v xml:space="preserve">096215143-0000 </v>
      </c>
      <c r="G604" s="117" t="str">
        <f>IFERROR(_xlfn.XLOOKUP(Table1[[#This Row],[Part Number]],Table3[Part number],Table3[Drawing
 Revision]),"")</f>
        <v>AC</v>
      </c>
      <c r="H604" s="118" cm="1">
        <f t="array" ref="H604">IFERROR(INDEX(PDB!$C:$AT,MATCH(E604,PDB!$B:$B,0),MATCH(YEAR(K604),0+PDB!$C$1:$AT$1,0)),"")</f>
        <v>23.79</v>
      </c>
      <c r="I604" s="36">
        <v>80</v>
      </c>
      <c r="J604" s="125">
        <f>IFERROR(Table1[[#This Row],[Quantity]]*Table1[[#This Row],[Price/Unit
EUR]]," ")</f>
        <v>1903.1999999999998</v>
      </c>
      <c r="K604" s="126">
        <v>45821</v>
      </c>
      <c r="L604" s="36">
        <f>WEEKNUM(Table1[[#This Row],[ETA
As requested
dd.mm.yyyy]])</f>
        <v>24</v>
      </c>
      <c r="M604" s="36">
        <f>YEAR(Table1[[#This Row],[ETA
As requested
dd.mm.yyyy]])</f>
        <v>2025</v>
      </c>
      <c r="N604" s="36">
        <f>IFERROR(INDEX(DATABASE_FG!$H$5:$H$367, MATCH(E604, DATABASE_FG!$C$5:$C$367, 0)), " ")</f>
        <v>0</v>
      </c>
      <c r="O604" s="129" t="str">
        <f>IF(E604&lt;&gt;"", _xlfn.XLOOKUP(E604, DATABASE_FG!C:C, DATABASE_FG!F:F), " ")</f>
        <v>Strunjire moale</v>
      </c>
      <c r="P604" s="129">
        <f>IFERROR(INDEX(DATABASE_FG!$G$5:$G$367, MATCH(E604, DATABASE_FG!$C$5:$C$367, 0)), "Not Found")</f>
        <v>100</v>
      </c>
      <c r="Q604" s="36"/>
      <c r="R604" s="125" t="s">
        <v>678</v>
      </c>
      <c r="S604" s="123">
        <f>Table1[[#This Row],[Quantity]]/48</f>
        <v>1.6666666666666667</v>
      </c>
      <c r="T604" s="36"/>
      <c r="U604" s="36"/>
      <c r="V604" s="36"/>
      <c r="W604" s="129"/>
      <c r="X604" s="36"/>
      <c r="Y604" s="36"/>
      <c r="Z604" s="36"/>
      <c r="AA604" s="125" t="s">
        <v>121</v>
      </c>
      <c r="AB604" s="172">
        <v>45820</v>
      </c>
      <c r="AC604" s="119">
        <v>25922</v>
      </c>
      <c r="AD604" s="36">
        <f t="shared" si="78"/>
        <v>39363921</v>
      </c>
      <c r="AE604" s="36" t="str">
        <f t="shared" si="79"/>
        <v>F-229209-0022-WW1</v>
      </c>
      <c r="AF604" s="36">
        <v>80</v>
      </c>
      <c r="AG604" s="120">
        <f t="shared" si="76"/>
        <v>1903.1999999999998</v>
      </c>
      <c r="AH604" s="36"/>
      <c r="AI604" s="124"/>
      <c r="AJ604" s="122" t="s">
        <v>3263</v>
      </c>
      <c r="AK604" s="129" t="str">
        <f t="shared" ca="1" si="80"/>
        <v>On Time</v>
      </c>
      <c r="AL604" s="268" t="str">
        <f t="shared" si="81"/>
        <v>June</v>
      </c>
      <c r="AM604" s="133">
        <f>YEAR(Table1[[#This Row],[ETA
As requested
dd.mm.yyyy]])</f>
        <v>2025</v>
      </c>
    </row>
    <row r="605" spans="1:39" hidden="1">
      <c r="A605" s="123" t="s">
        <v>83</v>
      </c>
      <c r="B605" s="36" t="s">
        <v>1170</v>
      </c>
      <c r="C605" s="117">
        <v>39363921</v>
      </c>
      <c r="D605" s="165">
        <v>45716</v>
      </c>
      <c r="E605" s="117" t="s">
        <v>851</v>
      </c>
      <c r="F605" s="36" t="str">
        <f>IFERROR(VLOOKUP(Table1[[#This Row],[Part Number]],DATABASE_FG!$C$6:D10594,2,FALSE)," ")</f>
        <v xml:space="preserve">096215143-0000 </v>
      </c>
      <c r="G605" s="117" t="str">
        <f>IFERROR(_xlfn.XLOOKUP(Table1[[#This Row],[Part Number]],Table3[Part number],Table3[Drawing
 Revision]),"")</f>
        <v>AC</v>
      </c>
      <c r="H605" s="118" cm="1">
        <f t="array" ref="H605">IFERROR(INDEX(PDB!$C:$AT,MATCH(E605,PDB!$B:$B,0),MATCH(YEAR(K605),0+PDB!$C$1:$AT$1,0)),"")</f>
        <v>23.79</v>
      </c>
      <c r="I605" s="36">
        <v>98</v>
      </c>
      <c r="J605" s="125">
        <f>IFERROR(Table1[[#This Row],[Quantity]]*Table1[[#This Row],[Price/Unit
EUR]]," ")</f>
        <v>2331.42</v>
      </c>
      <c r="K605" s="126">
        <v>45821</v>
      </c>
      <c r="L605" s="36">
        <f>WEEKNUM(Table1[[#This Row],[ETA
As requested
dd.mm.yyyy]])</f>
        <v>24</v>
      </c>
      <c r="M605" s="36">
        <f>YEAR(Table1[[#This Row],[ETA
As requested
dd.mm.yyyy]])</f>
        <v>2025</v>
      </c>
      <c r="N605" s="36">
        <f>IFERROR(INDEX(DATABASE_FG!$H$5:$H$367, MATCH(E605, DATABASE_FG!$C$5:$C$367, 0)), " ")</f>
        <v>0</v>
      </c>
      <c r="O605" s="129" t="str">
        <f>IF(E605&lt;&gt;"", _xlfn.XLOOKUP(E605, DATABASE_FG!C:C, DATABASE_FG!F:F), " ")</f>
        <v>Strunjire moale</v>
      </c>
      <c r="P605" s="129">
        <f>IFERROR(INDEX(DATABASE_FG!$G$5:$G$367, MATCH(E605, DATABASE_FG!$C$5:$C$367, 0)), "Not Found")</f>
        <v>100</v>
      </c>
      <c r="Q605" s="36"/>
      <c r="R605" s="125" t="s">
        <v>678</v>
      </c>
      <c r="S605" s="123">
        <f>Table1[[#This Row],[Quantity]]/48</f>
        <v>2.0416666666666665</v>
      </c>
      <c r="T605" s="36"/>
      <c r="U605" s="36"/>
      <c r="V605" s="36"/>
      <c r="W605" s="129"/>
      <c r="X605" s="36"/>
      <c r="Y605" s="36"/>
      <c r="Z605" s="36"/>
      <c r="AA605" s="125" t="s">
        <v>121</v>
      </c>
      <c r="AB605" s="172">
        <v>45825</v>
      </c>
      <c r="AC605" s="119">
        <v>25939</v>
      </c>
      <c r="AD605" s="36">
        <f t="shared" si="78"/>
        <v>39363921</v>
      </c>
      <c r="AE605" s="36" t="str">
        <f t="shared" si="79"/>
        <v>F-229209-0022-WW1</v>
      </c>
      <c r="AF605" s="36">
        <v>95</v>
      </c>
      <c r="AG605" s="120">
        <f t="shared" si="76"/>
        <v>2260.0499999999997</v>
      </c>
      <c r="AH605" s="36">
        <v>3</v>
      </c>
      <c r="AI605" s="124"/>
      <c r="AJ605" s="122" t="s">
        <v>3267</v>
      </c>
      <c r="AK605" s="129" t="str">
        <f t="shared" ca="1" si="80"/>
        <v>Late</v>
      </c>
      <c r="AL605" s="268" t="str">
        <f t="shared" si="81"/>
        <v>June</v>
      </c>
      <c r="AM605" s="133">
        <f>YEAR(Table1[[#This Row],[ETA
As requested
dd.mm.yyyy]])</f>
        <v>2025</v>
      </c>
    </row>
    <row r="606" spans="1:39" hidden="1">
      <c r="A606" s="123" t="s">
        <v>83</v>
      </c>
      <c r="B606" s="36" t="s">
        <v>1170</v>
      </c>
      <c r="C606" s="117">
        <v>36470109</v>
      </c>
      <c r="D606" s="165">
        <v>45372</v>
      </c>
      <c r="E606" s="117" t="s">
        <v>106</v>
      </c>
      <c r="F606" s="36" t="str">
        <f>IFERROR(VLOOKUP(Table1[[#This Row],[Part Number]],DATABASE_FG!$C$6:D10595,2,FALSE)," ")</f>
        <v>096215194-0000</v>
      </c>
      <c r="G606" s="117" t="str">
        <f>IFERROR(_xlfn.XLOOKUP(Table1[[#This Row],[Part Number]],Table3[Part number],Table3[Drawing
 Revision]),"")</f>
        <v>AI</v>
      </c>
      <c r="H606" s="118" cm="1">
        <f t="array" ref="H606">IFERROR(INDEX(PDB!$C:$AT,MATCH(E606,PDB!$B:$B,0),MATCH(YEAR(K606),0+PDB!$C$1:$AT$1,0)),"")</f>
        <v>36.44</v>
      </c>
      <c r="I606" s="36">
        <v>203</v>
      </c>
      <c r="J606" s="125">
        <f>IFERROR(Table1[[#This Row],[Quantity]]*Table1[[#This Row],[Price/Unit
EUR]]," ")</f>
        <v>7397.32</v>
      </c>
      <c r="K606" s="126">
        <v>45397</v>
      </c>
      <c r="L606" s="36">
        <f>WEEKNUM(Table1[[#This Row],[ETA
As requested
dd.mm.yyyy]])</f>
        <v>16</v>
      </c>
      <c r="M606" s="36">
        <f>YEAR(Table1[[#This Row],[ETA
As requested
dd.mm.yyyy]])</f>
        <v>2024</v>
      </c>
      <c r="N606" s="36">
        <f>IFERROR(INDEX(DATABASE_FG!$H$5:$H$367, MATCH(E606, DATABASE_FG!$C$5:$C$367, 0)), " ")</f>
        <v>0</v>
      </c>
      <c r="O606" s="129" t="str">
        <f>IF(E606&lt;&gt;"", _xlfn.XLOOKUP(E606, DATABASE_FG!C:C, DATABASE_FG!F:F), " ")</f>
        <v>Strunjire moale</v>
      </c>
      <c r="P606" s="129">
        <f>IFERROR(INDEX(DATABASE_FG!$G$5:$G$367, MATCH(E606, DATABASE_FG!$C$5:$C$367, 0)), "Not Found")</f>
        <v>100</v>
      </c>
      <c r="Q606" s="36"/>
      <c r="R606" s="125" t="s">
        <v>678</v>
      </c>
      <c r="S606" s="123">
        <f>IFERROR(INDEX(DATABASE_FG!$L$5:$L$367, MATCH(E606, DATABASE_FG!$C$5:$C$367, 0)), " ")</f>
        <v>42</v>
      </c>
      <c r="T606" s="36" t="s">
        <v>679</v>
      </c>
      <c r="U606" s="36"/>
      <c r="V606" s="36"/>
      <c r="W606" s="129"/>
      <c r="X606" s="36"/>
      <c r="Y606" s="36"/>
      <c r="Z606" s="36" t="s">
        <v>1346</v>
      </c>
      <c r="AA606" s="125" t="s">
        <v>121</v>
      </c>
      <c r="AB606" s="172">
        <v>45434</v>
      </c>
      <c r="AC606" s="119">
        <v>2024521</v>
      </c>
      <c r="AD606" s="36">
        <f t="shared" si="78"/>
        <v>36470109</v>
      </c>
      <c r="AE606" s="36" t="str">
        <f t="shared" si="79"/>
        <v>F-229209-12-WW1</v>
      </c>
      <c r="AF606" s="36">
        <v>90</v>
      </c>
      <c r="AG606" s="120">
        <f t="shared" si="76"/>
        <v>3279.6</v>
      </c>
      <c r="AH606" s="36"/>
      <c r="AI606" s="124"/>
      <c r="AJ606" s="122" t="s">
        <v>1347</v>
      </c>
      <c r="AK606" s="129" t="str">
        <f t="shared" ca="1" si="80"/>
        <v>Late</v>
      </c>
      <c r="AL606" s="268" t="str">
        <f t="shared" si="81"/>
        <v>April</v>
      </c>
      <c r="AM606" s="133">
        <f>YEAR(Table1[[#This Row],[ETA
As requested
dd.mm.yyyy]])</f>
        <v>2024</v>
      </c>
    </row>
    <row r="607" spans="1:39" hidden="1">
      <c r="A607" s="123" t="s">
        <v>83</v>
      </c>
      <c r="B607" s="36" t="s">
        <v>1170</v>
      </c>
      <c r="C607" s="117">
        <v>36470109</v>
      </c>
      <c r="D607" s="165">
        <v>45372</v>
      </c>
      <c r="E607" s="117" t="s">
        <v>106</v>
      </c>
      <c r="F607" s="36" t="str">
        <f>IFERROR(VLOOKUP(Table1[[#This Row],[Part Number]],DATABASE_FG!$C$6:D10596,2,FALSE)," ")</f>
        <v>096215194-0000</v>
      </c>
      <c r="G607" s="117" t="str">
        <f>IFERROR(_xlfn.XLOOKUP(Table1[[#This Row],[Part Number]],Table3[Part number],Table3[Drawing
 Revision]),"")</f>
        <v>AI</v>
      </c>
      <c r="H607" s="118" cm="1">
        <f t="array" ref="H607">IFERROR(INDEX(PDB!$C:$AT,MATCH(E607,PDB!$B:$B,0),MATCH(YEAR(K607),0+PDB!$C$1:$AT$1,0)),"")</f>
        <v>36.44</v>
      </c>
      <c r="I607" s="36"/>
      <c r="J607" s="125">
        <f>IFERROR(Table1[[#This Row],[Quantity]]*Table1[[#This Row],[Price/Unit
EUR]]," ")</f>
        <v>0</v>
      </c>
      <c r="K607" s="126">
        <v>45397</v>
      </c>
      <c r="L607" s="36">
        <f>WEEKNUM(Table1[[#This Row],[ETA
As requested
dd.mm.yyyy]])</f>
        <v>16</v>
      </c>
      <c r="M607" s="36">
        <f>YEAR(Table1[[#This Row],[ETA
As requested
dd.mm.yyyy]])</f>
        <v>2024</v>
      </c>
      <c r="N607" s="36">
        <f>IFERROR(INDEX(DATABASE_FG!$H$5:$H$367, MATCH(E607, DATABASE_FG!$C$5:$C$367, 0)), " ")</f>
        <v>0</v>
      </c>
      <c r="O607" s="129" t="str">
        <f>IF(E607&lt;&gt;"", _xlfn.XLOOKUP(E607, DATABASE_FG!C:C, DATABASE_FG!F:F), " ")</f>
        <v>Strunjire moale</v>
      </c>
      <c r="P607" s="129">
        <f>IFERROR(INDEX(DATABASE_FG!$G$5:$G$367, MATCH(E607, DATABASE_FG!$C$5:$C$367, 0)), "Not Found")</f>
        <v>100</v>
      </c>
      <c r="Q607" s="36"/>
      <c r="R607" s="125"/>
      <c r="S607" s="123">
        <f>IFERROR(INDEX(DATABASE_FG!$L$5:$L$367, MATCH(E607, DATABASE_FG!$C$5:$C$367, 0)), " ")</f>
        <v>42</v>
      </c>
      <c r="T607" s="36"/>
      <c r="U607" s="36"/>
      <c r="V607" s="36"/>
      <c r="W607" s="129"/>
      <c r="X607" s="36"/>
      <c r="Y607" s="36"/>
      <c r="Z607" s="36"/>
      <c r="AA607" s="125" t="s">
        <v>121</v>
      </c>
      <c r="AB607" s="172">
        <v>45436</v>
      </c>
      <c r="AC607" s="119">
        <v>2024534</v>
      </c>
      <c r="AD607" s="36">
        <f t="shared" si="78"/>
        <v>36470109</v>
      </c>
      <c r="AE607" s="36" t="str">
        <f t="shared" si="79"/>
        <v>F-229209-12-WW1</v>
      </c>
      <c r="AF607" s="36">
        <v>98</v>
      </c>
      <c r="AG607" s="120">
        <f t="shared" si="76"/>
        <v>3571.12</v>
      </c>
      <c r="AH607" s="36">
        <v>15</v>
      </c>
      <c r="AI607" s="124" t="s">
        <v>1348</v>
      </c>
      <c r="AJ607" s="122" t="s">
        <v>1349</v>
      </c>
      <c r="AK607" s="129" t="str">
        <f t="shared" ca="1" si="80"/>
        <v>Late</v>
      </c>
      <c r="AL607" s="268" t="str">
        <f t="shared" si="81"/>
        <v>April</v>
      </c>
      <c r="AM607" s="133">
        <f>YEAR(Table1[[#This Row],[ETA
As requested
dd.mm.yyyy]])</f>
        <v>2024</v>
      </c>
    </row>
    <row r="608" spans="1:39" hidden="1">
      <c r="A608" s="123" t="s">
        <v>83</v>
      </c>
      <c r="B608" s="36" t="s">
        <v>1170</v>
      </c>
      <c r="C608" s="117">
        <v>37373984</v>
      </c>
      <c r="D608" s="165">
        <v>45504</v>
      </c>
      <c r="E608" s="117" t="s">
        <v>106</v>
      </c>
      <c r="F608" s="36" t="str">
        <f>IFERROR(VLOOKUP(Table1[[#This Row],[Part Number]],DATABASE_FG!$C$6:D10597,2,FALSE)," ")</f>
        <v>096215194-0000</v>
      </c>
      <c r="G608" s="117" t="str">
        <f>IFERROR(_xlfn.XLOOKUP(Table1[[#This Row],[Part Number]],Table3[Part number],Table3[Drawing
 Revision]),"")</f>
        <v>AI</v>
      </c>
      <c r="H608" s="118" cm="1">
        <f t="array" ref="H608">IFERROR(INDEX(PDB!$C:$AT,MATCH(E608,PDB!$B:$B,0),MATCH(YEAR(K608),0+PDB!$C$1:$AT$1,0)),"")</f>
        <v>36.44</v>
      </c>
      <c r="I608" s="36">
        <v>110</v>
      </c>
      <c r="J608" s="125">
        <f>IFERROR(Table1[[#This Row],[Quantity]]*Table1[[#This Row],[Price/Unit
EUR]]," ")</f>
        <v>4008.3999999999996</v>
      </c>
      <c r="K608" s="126">
        <v>45520</v>
      </c>
      <c r="L608" s="36">
        <f>WEEKNUM(Table1[[#This Row],[ETA
As requested
dd.mm.yyyy]])</f>
        <v>33</v>
      </c>
      <c r="M608" s="36">
        <f>YEAR(Table1[[#This Row],[ETA
As requested
dd.mm.yyyy]])</f>
        <v>2024</v>
      </c>
      <c r="N608" s="36">
        <f>IFERROR(INDEX(DATABASE_FG!$H$5:$H$367, MATCH(E608, DATABASE_FG!$C$5:$C$367, 0)), " ")</f>
        <v>0</v>
      </c>
      <c r="O608" s="129" t="str">
        <f>IF(E608&lt;&gt;"", _xlfn.XLOOKUP(E608, DATABASE_FG!C:C, DATABASE_FG!F:F), " ")</f>
        <v>Strunjire moale</v>
      </c>
      <c r="P608" s="129">
        <f>IFERROR(INDEX(DATABASE_FG!$G$5:$G$367, MATCH(E608, DATABASE_FG!$C$5:$C$367, 0)), "Not Found")</f>
        <v>100</v>
      </c>
      <c r="Q608" s="36"/>
      <c r="R608" s="125" t="s">
        <v>678</v>
      </c>
      <c r="S608" s="123">
        <f>IFERROR(INDEX(DATABASE_FG!$L$5:$L$367, MATCH(E608, DATABASE_FG!$C$5:$C$367, 0)), " ")</f>
        <v>42</v>
      </c>
      <c r="T608" s="36" t="s">
        <v>679</v>
      </c>
      <c r="U608" s="36"/>
      <c r="V608" s="36"/>
      <c r="W608" s="129"/>
      <c r="X608" s="36"/>
      <c r="Y608" s="36"/>
      <c r="Z608" s="36"/>
      <c r="AA608" s="125" t="s">
        <v>121</v>
      </c>
      <c r="AB608" s="172">
        <v>45548</v>
      </c>
      <c r="AC608" s="119">
        <v>202401132</v>
      </c>
      <c r="AD608" s="36">
        <f t="shared" si="78"/>
        <v>37373984</v>
      </c>
      <c r="AE608" s="36" t="str">
        <f t="shared" si="79"/>
        <v>F-229209-12-WW1</v>
      </c>
      <c r="AF608" s="36">
        <v>99</v>
      </c>
      <c r="AG608" s="120">
        <f t="shared" si="76"/>
        <v>3607.56</v>
      </c>
      <c r="AH608" s="36">
        <v>11</v>
      </c>
      <c r="AI608" s="124"/>
      <c r="AJ608" s="122" t="s">
        <v>1978</v>
      </c>
      <c r="AK608" s="129" t="str">
        <f t="shared" ca="1" si="80"/>
        <v>Late</v>
      </c>
      <c r="AL608" s="268" t="str">
        <f t="shared" si="81"/>
        <v>August</v>
      </c>
      <c r="AM608" s="133">
        <f>YEAR(Table1[[#This Row],[ETA
As requested
dd.mm.yyyy]])</f>
        <v>2024</v>
      </c>
    </row>
    <row r="609" spans="1:40" hidden="1">
      <c r="A609" s="123" t="s">
        <v>83</v>
      </c>
      <c r="B609" s="36" t="s">
        <v>1170</v>
      </c>
      <c r="C609" s="117">
        <v>37886571</v>
      </c>
      <c r="D609" s="165">
        <v>45503</v>
      </c>
      <c r="E609" s="117" t="s">
        <v>106</v>
      </c>
      <c r="F609" s="36" t="str">
        <f>IFERROR(VLOOKUP(Table1[[#This Row],[Part Number]],DATABASE_FG!$C$6:D10598,2,FALSE)," ")</f>
        <v>096215194-0000</v>
      </c>
      <c r="G609" s="117" t="str">
        <f>IFERROR(_xlfn.XLOOKUP(Table1[[#This Row],[Part Number]],Table3[Part number],Table3[Drawing
 Revision]),"")</f>
        <v>AI</v>
      </c>
      <c r="H609" s="118" cm="1">
        <f t="array" ref="H609">IFERROR(INDEX(PDB!$C:$AT,MATCH(E609,PDB!$B:$B,0),MATCH(YEAR(K609),0+PDB!$C$1:$AT$1,0)),"")</f>
        <v>36.44</v>
      </c>
      <c r="I609" s="36">
        <v>90</v>
      </c>
      <c r="J609" s="125">
        <f>IFERROR(Table1[[#This Row],[Quantity]]*Table1[[#This Row],[Price/Unit
EUR]]," ")</f>
        <v>3279.6</v>
      </c>
      <c r="K609" s="126">
        <v>45603</v>
      </c>
      <c r="L609" s="36">
        <f>WEEKNUM(Table1[[#This Row],[ETA
As requested
dd.mm.yyyy]])</f>
        <v>45</v>
      </c>
      <c r="M609" s="36">
        <f>YEAR(Table1[[#This Row],[ETA
As requested
dd.mm.yyyy]])</f>
        <v>2024</v>
      </c>
      <c r="N609" s="36">
        <f>IFERROR(INDEX(DATABASE_FG!$H$5:$H$367, MATCH(E609, DATABASE_FG!$C$5:$C$367, 0)), " ")</f>
        <v>0</v>
      </c>
      <c r="O609" s="129" t="str">
        <f>IF(E609&lt;&gt;"", _xlfn.XLOOKUP(E609, DATABASE_FG!C:C, DATABASE_FG!F:F), " ")</f>
        <v>Strunjire moale</v>
      </c>
      <c r="P609" s="129">
        <f>IFERROR(INDEX(DATABASE_FG!$G$5:$G$367, MATCH(E609, DATABASE_FG!$C$5:$C$367, 0)), "Not Found")</f>
        <v>100</v>
      </c>
      <c r="Q609" s="36"/>
      <c r="R609" s="125" t="s">
        <v>678</v>
      </c>
      <c r="S609" s="123">
        <f>IFERROR(INDEX(DATABASE_FG!$L$5:$L$367, MATCH(E609, DATABASE_FG!$C$5:$C$367, 0)), " ")</f>
        <v>42</v>
      </c>
      <c r="T609" s="36" t="s">
        <v>679</v>
      </c>
      <c r="U609" s="36"/>
      <c r="V609" s="36"/>
      <c r="W609" s="129"/>
      <c r="X609" s="36" t="s">
        <v>2568</v>
      </c>
      <c r="Y609" s="36"/>
      <c r="Z609" s="36"/>
      <c r="AA609" s="125" t="s">
        <v>121</v>
      </c>
      <c r="AB609" s="172">
        <v>45625</v>
      </c>
      <c r="AC609" s="119">
        <v>202401446</v>
      </c>
      <c r="AD609" s="36">
        <f t="shared" si="78"/>
        <v>37886571</v>
      </c>
      <c r="AE609" s="36" t="str">
        <f t="shared" si="79"/>
        <v>F-229209-12-WW1</v>
      </c>
      <c r="AF609" s="36">
        <v>83</v>
      </c>
      <c r="AG609" s="120">
        <f t="shared" si="76"/>
        <v>3024.52</v>
      </c>
      <c r="AH609" s="36">
        <v>7</v>
      </c>
      <c r="AI609" s="124"/>
      <c r="AJ609" s="122" t="s">
        <v>2492</v>
      </c>
      <c r="AK609" s="129" t="str">
        <f t="shared" ca="1" si="80"/>
        <v>Late</v>
      </c>
      <c r="AL609" s="268" t="str">
        <f t="shared" si="81"/>
        <v>November</v>
      </c>
      <c r="AM609" s="133">
        <f>YEAR(Table1[[#This Row],[ETA
As requested
dd.mm.yyyy]])</f>
        <v>2024</v>
      </c>
    </row>
    <row r="610" spans="1:40" hidden="1">
      <c r="A610" s="123" t="s">
        <v>83</v>
      </c>
      <c r="B610" s="36" t="s">
        <v>1170</v>
      </c>
      <c r="C610" s="117">
        <v>38521910</v>
      </c>
      <c r="D610" s="165">
        <v>45687</v>
      </c>
      <c r="E610" s="117" t="s">
        <v>106</v>
      </c>
      <c r="F610" s="36" t="str">
        <f>IFERROR(VLOOKUP(Table1[[#This Row],[Part Number]],DATABASE_FG!$C$6:D10599,2,FALSE)," ")</f>
        <v>096215194-0000</v>
      </c>
      <c r="G610" s="117" t="str">
        <f>IFERROR(_xlfn.XLOOKUP(Table1[[#This Row],[Part Number]],Table3[Part number],Table3[Drawing
 Revision]),"")</f>
        <v>AI</v>
      </c>
      <c r="H610" s="118" cm="1">
        <f t="array" ref="H610">IFERROR(INDEX(PDB!$C:$AT,MATCH(E610,PDB!$B:$B,0),MATCH(YEAR(K610),0+PDB!$C$1:$AT$1,0)),"")</f>
        <v>36.44</v>
      </c>
      <c r="I610" s="36">
        <v>110</v>
      </c>
      <c r="J610" s="125">
        <f>IFERROR(Table1[[#This Row],[Quantity]]*Table1[[#This Row],[Price/Unit
EUR]]," ")</f>
        <v>4008.3999999999996</v>
      </c>
      <c r="K610" s="126">
        <v>45761</v>
      </c>
      <c r="L610" s="36">
        <f>WEEKNUM(Table1[[#This Row],[ETA
As requested
dd.mm.yyyy]])</f>
        <v>16</v>
      </c>
      <c r="M610" s="36">
        <f>YEAR(Table1[[#This Row],[ETA
As requested
dd.mm.yyyy]])</f>
        <v>2025</v>
      </c>
      <c r="N610" s="36">
        <f>IFERROR(INDEX(DATABASE_FG!$H$5:$H$367, MATCH(E610, DATABASE_FG!$C$5:$C$367, 0)), " ")</f>
        <v>0</v>
      </c>
      <c r="O610" s="129" t="str">
        <f>IF(E610&lt;&gt;"", _xlfn.XLOOKUP(E610, DATABASE_FG!C:C, DATABASE_FG!F:F), " ")</f>
        <v>Strunjire moale</v>
      </c>
      <c r="P610" s="129">
        <f>IFERROR(INDEX(DATABASE_FG!$G$5:$G$367, MATCH(E610, DATABASE_FG!$C$5:$C$367, 0)), "Not Found")</f>
        <v>100</v>
      </c>
      <c r="Q610" s="36"/>
      <c r="R610" s="125"/>
      <c r="S610" s="123">
        <f>IFERROR(INDEX(DATABASE_FG!$L$5:$L$367, MATCH(E610, DATABASE_FG!$C$5:$C$367, 0)), " ")</f>
        <v>42</v>
      </c>
      <c r="T610" s="36" t="s">
        <v>679</v>
      </c>
      <c r="U610" s="36"/>
      <c r="V610" s="36"/>
      <c r="W610" s="129"/>
      <c r="X610" s="36"/>
      <c r="Y610" s="36"/>
      <c r="Z610" s="36"/>
      <c r="AA610" s="125" t="s">
        <v>121</v>
      </c>
      <c r="AB610" s="172">
        <v>45722</v>
      </c>
      <c r="AC610" s="119">
        <v>25334</v>
      </c>
      <c r="AD610" s="36">
        <f t="shared" si="78"/>
        <v>38521910</v>
      </c>
      <c r="AE610" s="36" t="str">
        <f t="shared" si="79"/>
        <v>F-229209-12-WW1</v>
      </c>
      <c r="AF610" s="36">
        <v>107</v>
      </c>
      <c r="AG610" s="120">
        <f t="shared" ref="AG610:AG673" si="82">AF610*H610</f>
        <v>3899.08</v>
      </c>
      <c r="AH610" s="36">
        <v>3</v>
      </c>
      <c r="AI610" s="124"/>
      <c r="AJ610" s="122" t="s">
        <v>3071</v>
      </c>
      <c r="AK610" s="129" t="str">
        <f t="shared" ca="1" si="80"/>
        <v>On Time</v>
      </c>
      <c r="AL610" s="268" t="str">
        <f t="shared" si="81"/>
        <v>April</v>
      </c>
      <c r="AM610" s="133">
        <f>YEAR(Table1[[#This Row],[ETA
As requested
dd.mm.yyyy]])</f>
        <v>2025</v>
      </c>
    </row>
    <row r="611" spans="1:40" hidden="1">
      <c r="A611" s="123" t="s">
        <v>83</v>
      </c>
      <c r="B611" s="36" t="s">
        <v>2464</v>
      </c>
      <c r="C611" s="117">
        <v>37886571</v>
      </c>
      <c r="D611" s="165">
        <v>45503</v>
      </c>
      <c r="E611" s="117" t="s">
        <v>106</v>
      </c>
      <c r="F611" s="36" t="str">
        <f>IFERROR(VLOOKUP(Table1[[#This Row],[Part Number]],DATABASE_FG!$C$6:D10600,2,FALSE)," ")</f>
        <v>096215194-0000</v>
      </c>
      <c r="G611" s="117" t="str">
        <f>IFERROR(_xlfn.XLOOKUP(Table1[[#This Row],[Part Number]],Table3[Part number],Table3[Drawing
 Revision]),"")</f>
        <v>AI</v>
      </c>
      <c r="H611" s="118" cm="1">
        <f t="array" ref="H611">IFERROR(INDEX(PDB!$C:$AT,MATCH(E611,PDB!$B:$B,0),MATCH(YEAR(K611),0+PDB!$C$1:$AT$1,0)),"")</f>
        <v>36.44</v>
      </c>
      <c r="I611" s="36">
        <v>274</v>
      </c>
      <c r="J611" s="125">
        <f>IFERROR(Table1[[#This Row],[Quantity]]*Table1[[#This Row],[Price/Unit
EUR]]," ")</f>
        <v>9984.56</v>
      </c>
      <c r="K611" s="126">
        <v>45826</v>
      </c>
      <c r="L611" s="36">
        <f>WEEKNUM(Table1[[#This Row],[ETA
As requested
dd.mm.yyyy]])</f>
        <v>25</v>
      </c>
      <c r="M611" s="36">
        <f>YEAR(Table1[[#This Row],[ETA
As requested
dd.mm.yyyy]])</f>
        <v>2025</v>
      </c>
      <c r="N611" s="36">
        <f>IFERROR(INDEX(DATABASE_FG!$H$5:$H$367, MATCH(E611, DATABASE_FG!$C$5:$C$367, 0)), " ")</f>
        <v>0</v>
      </c>
      <c r="O611" s="129" t="str">
        <f>IF(E611&lt;&gt;"", _xlfn.XLOOKUP(E611, DATABASE_FG!C:C, DATABASE_FG!F:F), " ")</f>
        <v>Strunjire moale</v>
      </c>
      <c r="P611" s="129">
        <f>IFERROR(INDEX(DATABASE_FG!$G$5:$G$367, MATCH(E611, DATABASE_FG!$C$5:$C$367, 0)), "Not Found")</f>
        <v>100</v>
      </c>
      <c r="Q611" s="36"/>
      <c r="R611" s="125" t="s">
        <v>678</v>
      </c>
      <c r="S611" s="123">
        <f>Table1[[#This Row],[Quantity]]/48</f>
        <v>5.708333333333333</v>
      </c>
      <c r="T611" s="36" t="s">
        <v>679</v>
      </c>
      <c r="U611" s="36"/>
      <c r="V611" s="36"/>
      <c r="W611" s="129"/>
      <c r="X611" s="36"/>
      <c r="Y611" s="36"/>
      <c r="Z611" s="36"/>
      <c r="AA611" s="125" t="s">
        <v>121</v>
      </c>
      <c r="AB611" s="172"/>
      <c r="AC611" s="119"/>
      <c r="AD611" s="36" t="str">
        <f t="shared" si="78"/>
        <v/>
      </c>
      <c r="AE611" s="36" t="str">
        <f t="shared" si="79"/>
        <v/>
      </c>
      <c r="AF611" s="36">
        <v>0</v>
      </c>
      <c r="AG611" s="120">
        <f t="shared" si="82"/>
        <v>0</v>
      </c>
      <c r="AH611" s="36"/>
      <c r="AI611" s="124" t="s">
        <v>2620</v>
      </c>
      <c r="AJ611" s="122"/>
      <c r="AK611" s="129" t="str">
        <f t="shared" ca="1" si="80"/>
        <v>Late</v>
      </c>
      <c r="AL611" s="268" t="str">
        <f t="shared" si="81"/>
        <v>June</v>
      </c>
      <c r="AM611" s="133">
        <f>YEAR(Table1[[#This Row],[ETA
As requested
dd.mm.yyyy]])</f>
        <v>2025</v>
      </c>
    </row>
    <row r="612" spans="1:40" hidden="1">
      <c r="A612" s="123" t="s">
        <v>83</v>
      </c>
      <c r="B612" s="36" t="s">
        <v>1170</v>
      </c>
      <c r="C612" s="117">
        <v>50067741</v>
      </c>
      <c r="D612" s="165">
        <v>45895</v>
      </c>
      <c r="E612" s="117" t="s">
        <v>106</v>
      </c>
      <c r="F612" s="36" t="str">
        <f>IFERROR(VLOOKUP(Table1[[#This Row],[Part Number]],DATABASE_FG!$C$6:D10601,2,FALSE)," ")</f>
        <v>096215194-0000</v>
      </c>
      <c r="G612" s="117" t="str">
        <f>IFERROR(_xlfn.XLOOKUP(Table1[[#This Row],[Part Number]],Table3[Part number],Table3[Drawing
 Revision]),"")</f>
        <v>AI</v>
      </c>
      <c r="H612" s="118" cm="1">
        <f t="array" ref="H612">IFERROR(INDEX(PDB!$C:$AT,MATCH(E612,PDB!$B:$B,0),MATCH(YEAR(K612),0+PDB!$C$1:$AT$1,0)),"")</f>
        <v>36.44</v>
      </c>
      <c r="I612" s="36">
        <v>111</v>
      </c>
      <c r="J612" s="125">
        <f>IFERROR(Table1[[#This Row],[Quantity]]*Table1[[#This Row],[Price/Unit
EUR]]," ")</f>
        <v>4044.8399999999997</v>
      </c>
      <c r="K612" s="126">
        <v>45939</v>
      </c>
      <c r="L612" s="36">
        <f>WEEKNUM(Table1[[#This Row],[ETA
As requested
dd.mm.yyyy]])</f>
        <v>41</v>
      </c>
      <c r="M612" s="36">
        <f>YEAR(Table1[[#This Row],[ETA
As requested
dd.mm.yyyy]])</f>
        <v>2025</v>
      </c>
      <c r="N612" s="36">
        <f>IFERROR(INDEX(DATABASE_FG!$H$5:$H$367, MATCH(E612, DATABASE_FG!$C$5:$C$367, 0)), " ")</f>
        <v>0</v>
      </c>
      <c r="O612" s="129" t="str">
        <f>IF(E612&lt;&gt;"", _xlfn.XLOOKUP(E612, DATABASE_FG!C:C, DATABASE_FG!F:F), " ")</f>
        <v>Strunjire moale</v>
      </c>
      <c r="P612" s="129">
        <f>IFERROR(INDEX(DATABASE_FG!$G$5:$G$367, MATCH(E612, DATABASE_FG!$C$5:$C$367, 0)), "Not Found")</f>
        <v>100</v>
      </c>
      <c r="Q612" s="36"/>
      <c r="R612" s="125"/>
      <c r="S612" s="123">
        <f>Table1[[#This Row],[Quantity]]/48</f>
        <v>2.3125</v>
      </c>
      <c r="T612" s="36"/>
      <c r="U612" s="36"/>
      <c r="V612" s="36"/>
      <c r="W612" s="129"/>
      <c r="X612" s="36"/>
      <c r="Y612" s="36"/>
      <c r="Z612" s="36"/>
      <c r="AA612" s="125" t="s">
        <v>121</v>
      </c>
      <c r="AB612" s="173">
        <v>45930</v>
      </c>
      <c r="AC612" s="119">
        <v>2025218</v>
      </c>
      <c r="AD612" s="36">
        <f t="shared" si="78"/>
        <v>50067741</v>
      </c>
      <c r="AE612" s="36" t="str">
        <f t="shared" si="79"/>
        <v>F-229209-12-WW1</v>
      </c>
      <c r="AF612" s="36">
        <v>111</v>
      </c>
      <c r="AG612" s="120">
        <f t="shared" si="82"/>
        <v>4044.8399999999997</v>
      </c>
      <c r="AH612" s="36"/>
      <c r="AI612" s="124"/>
      <c r="AJ612" s="122" t="s">
        <v>3806</v>
      </c>
      <c r="AK612" s="129" t="str">
        <f t="shared" ca="1" si="80"/>
        <v>On Time</v>
      </c>
      <c r="AL612" s="268" t="str">
        <f t="shared" si="81"/>
        <v>October</v>
      </c>
      <c r="AM612" s="133">
        <f>YEAR(Table1[[#This Row],[ETA
As requested
dd.mm.yyyy]])</f>
        <v>2025</v>
      </c>
      <c r="AN612" s="191"/>
    </row>
    <row r="613" spans="1:40" hidden="1">
      <c r="A613" s="123" t="s">
        <v>83</v>
      </c>
      <c r="B613" s="36" t="s">
        <v>1170</v>
      </c>
      <c r="C613" s="117">
        <v>50067741</v>
      </c>
      <c r="D613" s="165">
        <v>45895</v>
      </c>
      <c r="E613" s="117" t="s">
        <v>106</v>
      </c>
      <c r="F613" s="36" t="str">
        <f>IFERROR(VLOOKUP(Table1[[#This Row],[Part Number]],DATABASE_FG!$C$6:D10602,2,FALSE)," ")</f>
        <v>096215194-0000</v>
      </c>
      <c r="G613" s="117" t="str">
        <f>IFERROR(_xlfn.XLOOKUP(Table1[[#This Row],[Part Number]],Table3[Part number],Table3[Drawing
 Revision]),"")</f>
        <v>AI</v>
      </c>
      <c r="H613" s="118" cm="1">
        <f t="array" ref="H613">IFERROR(INDEX(PDB!$C:$AT,MATCH(E613,PDB!$B:$B,0),MATCH(YEAR(K613),0+PDB!$C$1:$AT$1,0)),"")</f>
        <v>36.44</v>
      </c>
      <c r="I613" s="36">
        <v>38</v>
      </c>
      <c r="J613" s="125">
        <f>IFERROR(Table1[[#This Row],[Quantity]]*Table1[[#This Row],[Price/Unit
EUR]]," ")</f>
        <v>1384.7199999999998</v>
      </c>
      <c r="K613" s="126">
        <v>45939</v>
      </c>
      <c r="L613" s="36">
        <f>WEEKNUM(Table1[[#This Row],[ETA
As requested
dd.mm.yyyy]])</f>
        <v>41</v>
      </c>
      <c r="M613" s="36">
        <f>YEAR(Table1[[#This Row],[ETA
As requested
dd.mm.yyyy]])</f>
        <v>2025</v>
      </c>
      <c r="N613" s="36">
        <f>IFERROR(INDEX(DATABASE_FG!$H$5:$H$367, MATCH(E613, DATABASE_FG!$C$5:$C$367, 0)), " ")</f>
        <v>0</v>
      </c>
      <c r="O613" s="129" t="str">
        <f>IF(E613&lt;&gt;"", _xlfn.XLOOKUP(E613, DATABASE_FG!C:C, DATABASE_FG!F:F), " ")</f>
        <v>Strunjire moale</v>
      </c>
      <c r="P613" s="129">
        <f>IFERROR(INDEX(DATABASE_FG!$G$5:$G$367, MATCH(E613, DATABASE_FG!$C$5:$C$367, 0)), "Not Found")</f>
        <v>100</v>
      </c>
      <c r="Q613" s="36"/>
      <c r="R613" s="125"/>
      <c r="S613" s="123">
        <f>Table1[[#This Row],[Quantity]]/48</f>
        <v>0.79166666666666663</v>
      </c>
      <c r="T613" s="36"/>
      <c r="U613" s="36"/>
      <c r="V613" s="36"/>
      <c r="W613" s="129"/>
      <c r="X613" s="36"/>
      <c r="Y613" s="36"/>
      <c r="Z613" s="36"/>
      <c r="AA613" s="125" t="s">
        <v>121</v>
      </c>
      <c r="AB613" s="173">
        <v>45937</v>
      </c>
      <c r="AC613" s="119" t="s">
        <v>3807</v>
      </c>
      <c r="AD613" s="36">
        <f t="shared" si="78"/>
        <v>50067741</v>
      </c>
      <c r="AE613" s="36" t="str">
        <f t="shared" si="79"/>
        <v>F-229209-12-WW1</v>
      </c>
      <c r="AF613" s="36">
        <v>29</v>
      </c>
      <c r="AG613" s="120">
        <f t="shared" si="82"/>
        <v>1056.76</v>
      </c>
      <c r="AH613" s="36">
        <v>9</v>
      </c>
      <c r="AI613" s="124"/>
      <c r="AJ613" s="122" t="s">
        <v>3808</v>
      </c>
      <c r="AK613" s="129" t="str">
        <f t="shared" ca="1" si="80"/>
        <v>On Time</v>
      </c>
      <c r="AL613" s="268" t="str">
        <f t="shared" ref="AL613" si="83">TEXT(K613,"mmmm")</f>
        <v>October</v>
      </c>
      <c r="AM613" s="133">
        <f>YEAR(Table1[[#This Row],[ETA
As requested
dd.mm.yyyy]])</f>
        <v>2025</v>
      </c>
      <c r="AN613" s="191"/>
    </row>
    <row r="614" spans="1:40" hidden="1">
      <c r="A614" s="123" t="s">
        <v>83</v>
      </c>
      <c r="B614" s="36" t="s">
        <v>1170</v>
      </c>
      <c r="C614" s="117">
        <v>50067741</v>
      </c>
      <c r="D614" s="165">
        <v>45895</v>
      </c>
      <c r="E614" s="117" t="s">
        <v>106</v>
      </c>
      <c r="F614" s="36" t="str">
        <f>IFERROR(VLOOKUP(Table1[[#This Row],[Part Number]],DATABASE_FG!$C$6:D10603,2,FALSE)," ")</f>
        <v>096215194-0000</v>
      </c>
      <c r="G614" s="117" t="str">
        <f>IFERROR(_xlfn.XLOOKUP(Table1[[#This Row],[Part Number]],Table3[Part number],Table3[Drawing
 Revision]),"")</f>
        <v>AI</v>
      </c>
      <c r="H614" s="118" cm="1">
        <f t="array" ref="H614">IFERROR(INDEX(PDB!$C:$AT,MATCH(E614,PDB!$B:$B,0),MATCH(YEAR(K614),0+PDB!$C$1:$AT$1,0)),"")</f>
        <v>36.44</v>
      </c>
      <c r="I614" s="36">
        <f>152-111-38</f>
        <v>3</v>
      </c>
      <c r="J614" s="125">
        <f>IFERROR(Table1[[#This Row],[Quantity]]*Table1[[#This Row],[Price/Unit
EUR]]," ")</f>
        <v>109.32</v>
      </c>
      <c r="K614" s="126">
        <v>45939</v>
      </c>
      <c r="L614" s="36">
        <f>WEEKNUM(Table1[[#This Row],[ETA
As requested
dd.mm.yyyy]])</f>
        <v>41</v>
      </c>
      <c r="M614" s="36">
        <f>YEAR(Table1[[#This Row],[ETA
As requested
dd.mm.yyyy]])</f>
        <v>2025</v>
      </c>
      <c r="N614" s="36">
        <f>IFERROR(INDEX(DATABASE_FG!$H$5:$H$367, MATCH(E614, DATABASE_FG!$C$5:$C$367, 0)), " ")</f>
        <v>0</v>
      </c>
      <c r="O614" s="129" t="str">
        <f>IF(E614&lt;&gt;"", _xlfn.XLOOKUP(E614, DATABASE_FG!C:C, DATABASE_FG!F:F), " ")</f>
        <v>Strunjire moale</v>
      </c>
      <c r="P614" s="129">
        <f>IFERROR(INDEX(DATABASE_FG!$G$5:$G$367, MATCH(E614, DATABASE_FG!$C$5:$C$367, 0)), "Not Found")</f>
        <v>100</v>
      </c>
      <c r="Q614" s="36"/>
      <c r="R614" s="125"/>
      <c r="S614" s="123">
        <f>IFERROR(INDEX(DATABASE_FG!$L$5:$L$367, MATCH(E614, DATABASE_FG!$C$5:$C$367, 0)), " ")</f>
        <v>42</v>
      </c>
      <c r="T614" s="36" t="s">
        <v>679</v>
      </c>
      <c r="U614" s="36"/>
      <c r="V614" s="36"/>
      <c r="W614" s="129"/>
      <c r="X614" s="36"/>
      <c r="Y614" s="36"/>
      <c r="Z614" s="36"/>
      <c r="AA614" s="125" t="s">
        <v>3</v>
      </c>
      <c r="AB614" s="173"/>
      <c r="AC614" s="119"/>
      <c r="AD614" s="36" t="str">
        <f t="shared" si="78"/>
        <v/>
      </c>
      <c r="AE614" s="36" t="str">
        <f t="shared" si="79"/>
        <v/>
      </c>
      <c r="AF614" s="36"/>
      <c r="AG614" s="120">
        <f t="shared" si="82"/>
        <v>0</v>
      </c>
      <c r="AH614" s="36"/>
      <c r="AI614" s="124"/>
      <c r="AJ614" s="122"/>
      <c r="AK614" s="129" t="str">
        <f t="shared" ca="1" si="80"/>
        <v>Late</v>
      </c>
      <c r="AL614" s="268" t="str">
        <f t="shared" ref="AL614:AL677" si="84">TEXT(K614,"mmmm")</f>
        <v>October</v>
      </c>
      <c r="AM614" s="133">
        <f>YEAR(Table1[[#This Row],[ETA
As requested
dd.mm.yyyy]])</f>
        <v>2025</v>
      </c>
    </row>
    <row r="615" spans="1:40" hidden="1">
      <c r="A615" s="123" t="s">
        <v>83</v>
      </c>
      <c r="B615" s="36" t="s">
        <v>1170</v>
      </c>
      <c r="C615" s="117">
        <v>36313644</v>
      </c>
      <c r="D615" s="165">
        <v>45350</v>
      </c>
      <c r="E615" s="117" t="s">
        <v>854</v>
      </c>
      <c r="F615" s="36" t="str">
        <f>IFERROR(VLOOKUP(Table1[[#This Row],[Part Number]],DATABASE_FG!$C$6:D10604,2,FALSE)," ")</f>
        <v xml:space="preserve">096215500-0000 </v>
      </c>
      <c r="G615" s="117" t="str">
        <f>IFERROR(_xlfn.XLOOKUP(Table1[[#This Row],[Part Number]],Table3[Part number],Table3[Drawing
 Revision]),"")</f>
        <v>AG</v>
      </c>
      <c r="H615" s="118" cm="1">
        <f t="array" ref="H615">IFERROR(INDEX(PDB!$C:$AT,MATCH(E615,PDB!$B:$B,0),MATCH(YEAR(K615),0+PDB!$C$1:$AT$1,0)),"")</f>
        <v>18.37</v>
      </c>
      <c r="I615" s="36">
        <v>106</v>
      </c>
      <c r="J615" s="125">
        <f>IFERROR(Table1[[#This Row],[Quantity]]*Table1[[#This Row],[Price/Unit
EUR]]," ")</f>
        <v>1947.22</v>
      </c>
      <c r="K615" s="126">
        <v>45365</v>
      </c>
      <c r="L615" s="36">
        <f>WEEKNUM(Table1[[#This Row],[ETA
As requested
dd.mm.yyyy]])</f>
        <v>11</v>
      </c>
      <c r="M615" s="36">
        <f>YEAR(Table1[[#This Row],[ETA
As requested
dd.mm.yyyy]])</f>
        <v>2024</v>
      </c>
      <c r="N615" s="36">
        <f>IFERROR(INDEX(DATABASE_FG!$H$5:$H$367, MATCH(E615, DATABASE_FG!$C$5:$C$367, 0)), " ")</f>
        <v>0</v>
      </c>
      <c r="O615" s="129" t="str">
        <f>IF(E615&lt;&gt;"", _xlfn.XLOOKUP(E615, DATABASE_FG!C:C, DATABASE_FG!F:F), " ")</f>
        <v>Strunjire moale</v>
      </c>
      <c r="P615" s="129">
        <f>IFERROR(INDEX(DATABASE_FG!$G$5:$G$367, MATCH(E615, DATABASE_FG!$C$5:$C$367, 0)), "Not Found")</f>
        <v>100</v>
      </c>
      <c r="Q615" s="36"/>
      <c r="R615" s="125" t="s">
        <v>678</v>
      </c>
      <c r="S615" s="123">
        <f>IFERROR(INDEX(DATABASE_FG!$L$5:$L$367, MATCH(E615, DATABASE_FG!$C$5:$C$367, 0)), " ")</f>
        <v>42</v>
      </c>
      <c r="T615" s="36" t="s">
        <v>679</v>
      </c>
      <c r="U615" s="36"/>
      <c r="V615" s="36"/>
      <c r="W615" s="129"/>
      <c r="X615" s="36"/>
      <c r="Y615" s="36"/>
      <c r="Z615" s="36" t="s">
        <v>1220</v>
      </c>
      <c r="AA615" s="125" t="s">
        <v>121</v>
      </c>
      <c r="AB615" s="173">
        <v>45383</v>
      </c>
      <c r="AC615" s="119">
        <v>2024294</v>
      </c>
      <c r="AD615" s="36">
        <f t="shared" si="78"/>
        <v>36313644</v>
      </c>
      <c r="AE615" s="36" t="str">
        <f t="shared" si="79"/>
        <v>F-229461-12-WW1</v>
      </c>
      <c r="AF615" s="36">
        <v>104</v>
      </c>
      <c r="AG615" s="120">
        <f t="shared" si="82"/>
        <v>1910.48</v>
      </c>
      <c r="AH615" s="36">
        <v>2</v>
      </c>
      <c r="AI615" s="124" t="s">
        <v>1221</v>
      </c>
      <c r="AJ615" s="122" t="s">
        <v>1222</v>
      </c>
      <c r="AK615" s="129" t="str">
        <f t="shared" ca="1" si="80"/>
        <v>Late</v>
      </c>
      <c r="AL615" s="268" t="str">
        <f t="shared" si="84"/>
        <v>March</v>
      </c>
      <c r="AM615" s="133">
        <f>YEAR(Table1[[#This Row],[ETA
As requested
dd.mm.yyyy]])</f>
        <v>2024</v>
      </c>
    </row>
    <row r="616" spans="1:40" hidden="1">
      <c r="A616" s="123" t="s">
        <v>83</v>
      </c>
      <c r="B616" s="36" t="s">
        <v>1170</v>
      </c>
      <c r="C616" s="117">
        <v>36754936</v>
      </c>
      <c r="D616" s="165">
        <v>45421</v>
      </c>
      <c r="E616" s="117" t="s">
        <v>854</v>
      </c>
      <c r="F616" s="36" t="str">
        <f>IFERROR(VLOOKUP(Table1[[#This Row],[Part Number]],DATABASE_FG!$C$6:D10605,2,FALSE)," ")</f>
        <v xml:space="preserve">096215500-0000 </v>
      </c>
      <c r="G616" s="117" t="str">
        <f>IFERROR(_xlfn.XLOOKUP(Table1[[#This Row],[Part Number]],Table3[Part number],Table3[Drawing
 Revision]),"")</f>
        <v>AG</v>
      </c>
      <c r="H616" s="118" cm="1">
        <f t="array" ref="H616">IFERROR(INDEX(PDB!$C:$AT,MATCH(E616,PDB!$B:$B,0),MATCH(YEAR(K616),0+PDB!$C$1:$AT$1,0)),"")</f>
        <v>18.37</v>
      </c>
      <c r="I616" s="36">
        <v>123</v>
      </c>
      <c r="J616" s="125">
        <f>IFERROR(Table1[[#This Row],[Quantity]]*Table1[[#This Row],[Price/Unit
EUR]]," ")</f>
        <v>2259.5100000000002</v>
      </c>
      <c r="K616" s="126">
        <v>45447</v>
      </c>
      <c r="L616" s="36">
        <f>WEEKNUM(Table1[[#This Row],[ETA
As requested
dd.mm.yyyy]])</f>
        <v>23</v>
      </c>
      <c r="M616" s="36">
        <f>YEAR(Table1[[#This Row],[ETA
As requested
dd.mm.yyyy]])</f>
        <v>2024</v>
      </c>
      <c r="N616" s="36">
        <f>IFERROR(INDEX(DATABASE_FG!$H$5:$H$367, MATCH(E616, DATABASE_FG!$C$5:$C$367, 0)), " ")</f>
        <v>0</v>
      </c>
      <c r="O616" s="129" t="str">
        <f>IF(E616&lt;&gt;"", _xlfn.XLOOKUP(E616, DATABASE_FG!C:C, DATABASE_FG!F:F), " ")</f>
        <v>Strunjire moale</v>
      </c>
      <c r="P616" s="129">
        <f>IFERROR(INDEX(DATABASE_FG!$G$5:$G$367, MATCH(E616, DATABASE_FG!$C$5:$C$367, 0)), "Not Found")</f>
        <v>100</v>
      </c>
      <c r="Q616" s="36"/>
      <c r="R616" s="125" t="s">
        <v>678</v>
      </c>
      <c r="S616" s="123">
        <f>IFERROR(INDEX(DATABASE_FG!$L$5:$L$367, MATCH(E616, DATABASE_FG!$C$5:$C$367, 0)), " ")</f>
        <v>42</v>
      </c>
      <c r="T616" s="36" t="s">
        <v>679</v>
      </c>
      <c r="U616" s="36"/>
      <c r="V616" s="36"/>
      <c r="W616" s="129"/>
      <c r="X616" s="36"/>
      <c r="Y616" s="36"/>
      <c r="Z616" s="36">
        <v>242116</v>
      </c>
      <c r="AA616" s="125" t="s">
        <v>121</v>
      </c>
      <c r="AB616" s="173">
        <v>45449</v>
      </c>
      <c r="AC616" s="119">
        <v>2024616</v>
      </c>
      <c r="AD616" s="36">
        <f t="shared" si="78"/>
        <v>36754936</v>
      </c>
      <c r="AE616" s="36" t="str">
        <f t="shared" si="79"/>
        <v>F-229461-12-WW1</v>
      </c>
      <c r="AF616" s="36">
        <v>120</v>
      </c>
      <c r="AG616" s="120">
        <f t="shared" si="82"/>
        <v>2204.4</v>
      </c>
      <c r="AH616" s="36">
        <v>3</v>
      </c>
      <c r="AI616" s="124"/>
      <c r="AJ616" s="122" t="s">
        <v>1604</v>
      </c>
      <c r="AK616" s="129" t="str">
        <f t="shared" ca="1" si="80"/>
        <v>On Time</v>
      </c>
      <c r="AL616" s="268" t="str">
        <f t="shared" si="84"/>
        <v>June</v>
      </c>
      <c r="AM616" s="133">
        <f>YEAR(Table1[[#This Row],[ETA
As requested
dd.mm.yyyy]])</f>
        <v>2024</v>
      </c>
    </row>
    <row r="617" spans="1:40" hidden="1">
      <c r="A617" s="123" t="s">
        <v>83</v>
      </c>
      <c r="B617" s="36" t="s">
        <v>1170</v>
      </c>
      <c r="C617" s="117">
        <v>37158756</v>
      </c>
      <c r="D617" s="165">
        <v>45477</v>
      </c>
      <c r="E617" s="117" t="s">
        <v>854</v>
      </c>
      <c r="F617" s="36" t="str">
        <f>IFERROR(VLOOKUP(Table1[[#This Row],[Part Number]],DATABASE_FG!$C$6:D10606,2,FALSE)," ")</f>
        <v xml:space="preserve">096215500-0000 </v>
      </c>
      <c r="G617" s="117" t="str">
        <f>IFERROR(_xlfn.XLOOKUP(Table1[[#This Row],[Part Number]],Table3[Part number],Table3[Drawing
 Revision]),"")</f>
        <v>AG</v>
      </c>
      <c r="H617" s="118" cm="1">
        <f t="array" ref="H617">IFERROR(INDEX(PDB!$C:$AT,MATCH(E617,PDB!$B:$B,0),MATCH(YEAR(K617),0+PDB!$C$1:$AT$1,0)),"")</f>
        <v>18.37</v>
      </c>
      <c r="I617" s="36">
        <v>80</v>
      </c>
      <c r="J617" s="125">
        <f>IFERROR(Table1[[#This Row],[Quantity]]*Table1[[#This Row],[Price/Unit
EUR]]," ")</f>
        <v>1469.6000000000001</v>
      </c>
      <c r="K617" s="126">
        <v>45493</v>
      </c>
      <c r="L617" s="36">
        <f>WEEKNUM(Table1[[#This Row],[ETA
As requested
dd.mm.yyyy]])</f>
        <v>29</v>
      </c>
      <c r="M617" s="36">
        <f>YEAR(Table1[[#This Row],[ETA
As requested
dd.mm.yyyy]])</f>
        <v>2024</v>
      </c>
      <c r="N617" s="36">
        <f>IFERROR(INDEX(DATABASE_FG!$H$5:$H$367, MATCH(E617, DATABASE_FG!$C$5:$C$367, 0)), " ")</f>
        <v>0</v>
      </c>
      <c r="O617" s="129" t="str">
        <f>IF(E617&lt;&gt;"", _xlfn.XLOOKUP(E617, DATABASE_FG!C:C, DATABASE_FG!F:F), " ")</f>
        <v>Strunjire moale</v>
      </c>
      <c r="P617" s="129">
        <f>IFERROR(INDEX(DATABASE_FG!$G$5:$G$367, MATCH(E617, DATABASE_FG!$C$5:$C$367, 0)), "Not Found")</f>
        <v>100</v>
      </c>
      <c r="Q617" s="36"/>
      <c r="R617" s="125" t="s">
        <v>678</v>
      </c>
      <c r="S617" s="123">
        <f>IFERROR(INDEX(DATABASE_FG!$L$5:$L$367, MATCH(E617, DATABASE_FG!$C$5:$C$367, 0)), " ")</f>
        <v>42</v>
      </c>
      <c r="T617" s="36" t="s">
        <v>679</v>
      </c>
      <c r="U617" s="36"/>
      <c r="V617" s="36"/>
      <c r="W617" s="129"/>
      <c r="X617" s="36"/>
      <c r="Y617" s="36"/>
      <c r="Z617" s="36">
        <v>242717</v>
      </c>
      <c r="AA617" s="125" t="s">
        <v>121</v>
      </c>
      <c r="AB617" s="173">
        <v>45505</v>
      </c>
      <c r="AC617" s="119">
        <v>2024960</v>
      </c>
      <c r="AD617" s="36">
        <f t="shared" si="78"/>
        <v>37158756</v>
      </c>
      <c r="AE617" s="36" t="str">
        <f t="shared" si="79"/>
        <v>F-229461-12-WW1</v>
      </c>
      <c r="AF617" s="36">
        <v>78</v>
      </c>
      <c r="AG617" s="120">
        <f t="shared" si="82"/>
        <v>1432.8600000000001</v>
      </c>
      <c r="AH617" s="36">
        <v>2</v>
      </c>
      <c r="AI617" s="124"/>
      <c r="AJ617" s="122" t="s">
        <v>1850</v>
      </c>
      <c r="AK617" s="129" t="str">
        <f t="shared" ca="1" si="80"/>
        <v>Late</v>
      </c>
      <c r="AL617" s="268" t="str">
        <f t="shared" si="84"/>
        <v>July</v>
      </c>
      <c r="AM617" s="133">
        <f>YEAR(Table1[[#This Row],[ETA
As requested
dd.mm.yyyy]])</f>
        <v>2024</v>
      </c>
    </row>
    <row r="618" spans="1:40" hidden="1">
      <c r="A618" s="123" t="s">
        <v>83</v>
      </c>
      <c r="B618" s="36" t="s">
        <v>1170</v>
      </c>
      <c r="C618" s="117">
        <v>36915968</v>
      </c>
      <c r="D618" s="165">
        <v>45447</v>
      </c>
      <c r="E618" s="117" t="s">
        <v>471</v>
      </c>
      <c r="F618" s="36" t="str">
        <f>IFERROR(VLOOKUP(Table1[[#This Row],[Part Number]],DATABASE_FG!$C$6:D10607,2,FALSE)," ")</f>
        <v xml:space="preserve">096215283-0000 </v>
      </c>
      <c r="G618" s="117" t="str">
        <f>IFERROR(_xlfn.XLOOKUP(Table1[[#This Row],[Part Number]],Table3[Part number],Table3[Drawing
 Revision]),"")</f>
        <v xml:space="preserve">AH </v>
      </c>
      <c r="H618" s="118" cm="1">
        <f t="array" ref="H618">IFERROR(INDEX(PDB!$C:$AT,MATCH(E618,PDB!$B:$B,0),MATCH(YEAR(K618),0+PDB!$C$1:$AT$1,0)),"")</f>
        <v>24.63</v>
      </c>
      <c r="I618" s="36">
        <v>80</v>
      </c>
      <c r="J618" s="125">
        <f>IFERROR(Table1[[#This Row],[Quantity]]*Table1[[#This Row],[Price/Unit
EUR]]," ")</f>
        <v>1970.3999999999999</v>
      </c>
      <c r="K618" s="126">
        <v>45476</v>
      </c>
      <c r="L618" s="36">
        <f>WEEKNUM(Table1[[#This Row],[ETA
As requested
dd.mm.yyyy]])</f>
        <v>27</v>
      </c>
      <c r="M618" s="36">
        <f>YEAR(Table1[[#This Row],[ETA
As requested
dd.mm.yyyy]])</f>
        <v>2024</v>
      </c>
      <c r="N618" s="36">
        <f>IFERROR(INDEX(DATABASE_FG!$H$5:$H$367, MATCH(E618, DATABASE_FG!$C$5:$C$367, 0)), " ")</f>
        <v>0</v>
      </c>
      <c r="O618" s="129" t="str">
        <f>IF(E618&lt;&gt;"", _xlfn.XLOOKUP(E618, DATABASE_FG!C:C, DATABASE_FG!F:F), " ")</f>
        <v>Strunjire moale</v>
      </c>
      <c r="P618" s="129">
        <f>IFERROR(INDEX(DATABASE_FG!$G$5:$G$367, MATCH(E618, DATABASE_FG!$C$5:$C$367, 0)), "Not Found")</f>
        <v>200</v>
      </c>
      <c r="Q618" s="36"/>
      <c r="R618" s="125" t="s">
        <v>680</v>
      </c>
      <c r="S618" s="123">
        <f>IFERROR(INDEX(DATABASE_FG!$L$5:$L$367, MATCH(E618, DATABASE_FG!$C$5:$C$367, 0)), " ")</f>
        <v>42</v>
      </c>
      <c r="T618" s="36" t="s">
        <v>679</v>
      </c>
      <c r="U618" s="36"/>
      <c r="V618" s="36"/>
      <c r="W618" s="129"/>
      <c r="X618" s="36"/>
      <c r="Y618" s="36"/>
      <c r="Z618" s="36">
        <v>242504</v>
      </c>
      <c r="AA618" s="125" t="s">
        <v>121</v>
      </c>
      <c r="AB618" s="173">
        <v>45477</v>
      </c>
      <c r="AC618" s="119">
        <v>2024795</v>
      </c>
      <c r="AD618" s="36">
        <f t="shared" si="78"/>
        <v>36915968</v>
      </c>
      <c r="AE618" s="36" t="str">
        <f t="shared" si="79"/>
        <v>F-235905-0013-WW1</v>
      </c>
      <c r="AF618" s="36">
        <v>75</v>
      </c>
      <c r="AG618" s="120">
        <f t="shared" si="82"/>
        <v>1847.25</v>
      </c>
      <c r="AH618" s="36">
        <v>5</v>
      </c>
      <c r="AI618" s="124"/>
      <c r="AJ618" s="122" t="s">
        <v>1761</v>
      </c>
      <c r="AK618" s="129" t="str">
        <f t="shared" ca="1" si="80"/>
        <v>On Time</v>
      </c>
      <c r="AL618" s="268" t="str">
        <f t="shared" si="84"/>
        <v>July</v>
      </c>
      <c r="AM618" s="133">
        <f>YEAR(Table1[[#This Row],[ETA
As requested
dd.mm.yyyy]])</f>
        <v>2024</v>
      </c>
    </row>
    <row r="619" spans="1:40" hidden="1">
      <c r="A619" s="123" t="s">
        <v>83</v>
      </c>
      <c r="B619" s="36" t="s">
        <v>1170</v>
      </c>
      <c r="C619" s="117">
        <v>37412823</v>
      </c>
      <c r="D619" s="165">
        <v>45510</v>
      </c>
      <c r="E619" s="117" t="s">
        <v>471</v>
      </c>
      <c r="F619" s="36" t="str">
        <f>IFERROR(VLOOKUP(Table1[[#This Row],[Part Number]],DATABASE_FG!$C$6:D10608,2,FALSE)," ")</f>
        <v xml:space="preserve">096215283-0000 </v>
      </c>
      <c r="G619" s="117" t="str">
        <f>IFERROR(_xlfn.XLOOKUP(Table1[[#This Row],[Part Number]],Table3[Part number],Table3[Drawing
 Revision]),"")</f>
        <v xml:space="preserve">AH </v>
      </c>
      <c r="H619" s="118" cm="1">
        <f t="array" ref="H619">IFERROR(INDEX(PDB!$C:$AT,MATCH(E619,PDB!$B:$B,0),MATCH(YEAR(K619),0+PDB!$C$1:$AT$1,0)),"")</f>
        <v>24.63</v>
      </c>
      <c r="I619" s="36">
        <v>156</v>
      </c>
      <c r="J619" s="125">
        <f>IFERROR(Table1[[#This Row],[Quantity]]*Table1[[#This Row],[Price/Unit
EUR]]," ")</f>
        <v>3842.2799999999997</v>
      </c>
      <c r="K619" s="126">
        <v>45525</v>
      </c>
      <c r="L619" s="36">
        <f>WEEKNUM(Table1[[#This Row],[ETA
As requested
dd.mm.yyyy]])</f>
        <v>34</v>
      </c>
      <c r="M619" s="36">
        <f>YEAR(Table1[[#This Row],[ETA
As requested
dd.mm.yyyy]])</f>
        <v>2024</v>
      </c>
      <c r="N619" s="36">
        <f>IFERROR(INDEX(DATABASE_FG!$H$5:$H$367, MATCH(E619, DATABASE_FG!$C$5:$C$367, 0)), " ")</f>
        <v>0</v>
      </c>
      <c r="O619" s="129" t="str">
        <f>IF(E619&lt;&gt;"", _xlfn.XLOOKUP(E619, DATABASE_FG!C:C, DATABASE_FG!F:F), " ")</f>
        <v>Strunjire moale</v>
      </c>
      <c r="P619" s="129">
        <f>IFERROR(INDEX(DATABASE_FG!$G$5:$G$367, MATCH(E619, DATABASE_FG!$C$5:$C$367, 0)), "Not Found")</f>
        <v>200</v>
      </c>
      <c r="Q619" s="36"/>
      <c r="R619" s="125" t="s">
        <v>680</v>
      </c>
      <c r="S619" s="123">
        <f>IFERROR(INDEX(DATABASE_FG!$L$5:$L$367, MATCH(E619, DATABASE_FG!$C$5:$C$367, 0)), " ")</f>
        <v>42</v>
      </c>
      <c r="T619" s="36" t="s">
        <v>679</v>
      </c>
      <c r="U619" s="36"/>
      <c r="V619" s="36"/>
      <c r="W619" s="129"/>
      <c r="X619" s="36" t="s">
        <v>2110</v>
      </c>
      <c r="Y619" s="36"/>
      <c r="Z619" s="36"/>
      <c r="AA619" s="125" t="s">
        <v>121</v>
      </c>
      <c r="AB619" s="173">
        <v>45517</v>
      </c>
      <c r="AC619" s="119">
        <v>202401019</v>
      </c>
      <c r="AD619" s="36">
        <f t="shared" si="78"/>
        <v>37412823</v>
      </c>
      <c r="AE619" s="36" t="str">
        <f t="shared" si="79"/>
        <v>F-235905-0013-WW1</v>
      </c>
      <c r="AF619" s="36">
        <v>152</v>
      </c>
      <c r="AG619" s="120">
        <f t="shared" si="82"/>
        <v>3743.7599999999998</v>
      </c>
      <c r="AH619" s="36">
        <v>4</v>
      </c>
      <c r="AI619" s="124"/>
      <c r="AJ619" s="122" t="s">
        <v>2111</v>
      </c>
      <c r="AK619" s="129" t="str">
        <f t="shared" ca="1" si="80"/>
        <v>On Time</v>
      </c>
      <c r="AL619" s="268" t="str">
        <f t="shared" si="84"/>
        <v>August</v>
      </c>
      <c r="AM619" s="133">
        <f>YEAR(Table1[[#This Row],[ETA
As requested
dd.mm.yyyy]])</f>
        <v>2024</v>
      </c>
    </row>
    <row r="620" spans="1:40" hidden="1">
      <c r="A620" s="123" t="s">
        <v>83</v>
      </c>
      <c r="B620" s="36" t="s">
        <v>1170</v>
      </c>
      <c r="C620" s="117">
        <v>37764010</v>
      </c>
      <c r="D620" s="165">
        <v>45453</v>
      </c>
      <c r="E620" s="117" t="s">
        <v>471</v>
      </c>
      <c r="F620" s="36" t="str">
        <f>IFERROR(VLOOKUP(Table1[[#This Row],[Part Number]],DATABASE_FG!$C$6:D10609,2,FALSE)," ")</f>
        <v xml:space="preserve">096215283-0000 </v>
      </c>
      <c r="G620" s="117" t="str">
        <f>IFERROR(_xlfn.XLOOKUP(Table1[[#This Row],[Part Number]],Table3[Part number],Table3[Drawing
 Revision]),"")</f>
        <v xml:space="preserve">AH </v>
      </c>
      <c r="H620" s="118" cm="1">
        <f t="array" ref="H620">IFERROR(INDEX(PDB!$C:$AT,MATCH(E620,PDB!$B:$B,0),MATCH(YEAR(K620),0+PDB!$C$1:$AT$1,0)),"")</f>
        <v>24.63</v>
      </c>
      <c r="I620" s="36">
        <v>163</v>
      </c>
      <c r="J620" s="125">
        <f>IFERROR(Table1[[#This Row],[Quantity]]*Table1[[#This Row],[Price/Unit
EUR]]," ")</f>
        <v>4014.69</v>
      </c>
      <c r="K620" s="126">
        <v>45586</v>
      </c>
      <c r="L620" s="36">
        <f>WEEKNUM(Table1[[#This Row],[ETA
As requested
dd.mm.yyyy]])</f>
        <v>43</v>
      </c>
      <c r="M620" s="36">
        <f>YEAR(Table1[[#This Row],[ETA
As requested
dd.mm.yyyy]])</f>
        <v>2024</v>
      </c>
      <c r="N620" s="36">
        <f>IFERROR(INDEX(DATABASE_FG!$H$5:$H$367, MATCH(E620, DATABASE_FG!$C$5:$C$367, 0)), " ")</f>
        <v>0</v>
      </c>
      <c r="O620" s="129" t="str">
        <f>IF(E620&lt;&gt;"", _xlfn.XLOOKUP(E620, DATABASE_FG!C:C, DATABASE_FG!F:F), " ")</f>
        <v>Strunjire moale</v>
      </c>
      <c r="P620" s="129">
        <f>IFERROR(INDEX(DATABASE_FG!$G$5:$G$367, MATCH(E620, DATABASE_FG!$C$5:$C$367, 0)), "Not Found")</f>
        <v>200</v>
      </c>
      <c r="Q620" s="36"/>
      <c r="R620" s="125" t="s">
        <v>678</v>
      </c>
      <c r="S620" s="123">
        <f>IFERROR(INDEX(DATABASE_FG!$L$5:$L$367, MATCH(E620, DATABASE_FG!$C$5:$C$367, 0)), " ")</f>
        <v>42</v>
      </c>
      <c r="T620" s="36" t="s">
        <v>679</v>
      </c>
      <c r="U620" s="36"/>
      <c r="V620" s="36"/>
      <c r="W620" s="129"/>
      <c r="X620" s="36"/>
      <c r="Y620" s="36"/>
      <c r="Z620" s="36"/>
      <c r="AA620" s="125" t="s">
        <v>121</v>
      </c>
      <c r="AB620" s="173">
        <v>45587</v>
      </c>
      <c r="AC620" s="119">
        <v>202401270</v>
      </c>
      <c r="AD620" s="36">
        <f t="shared" si="78"/>
        <v>37764010</v>
      </c>
      <c r="AE620" s="36" t="str">
        <f t="shared" si="79"/>
        <v>F-235905-0013-WW1</v>
      </c>
      <c r="AF620" s="36">
        <v>163</v>
      </c>
      <c r="AG620" s="120">
        <f t="shared" si="82"/>
        <v>4014.69</v>
      </c>
      <c r="AH620" s="36"/>
      <c r="AI620" s="124" t="s">
        <v>2488</v>
      </c>
      <c r="AJ620" s="122" t="s">
        <v>2489</v>
      </c>
      <c r="AK620" s="129" t="str">
        <f t="shared" ca="1" si="80"/>
        <v>On Time</v>
      </c>
      <c r="AL620" s="268" t="str">
        <f t="shared" si="84"/>
        <v>October</v>
      </c>
      <c r="AM620" s="133">
        <f>YEAR(Table1[[#This Row],[ETA
As requested
dd.mm.yyyy]])</f>
        <v>2024</v>
      </c>
    </row>
    <row r="621" spans="1:40" hidden="1">
      <c r="A621" s="123" t="s">
        <v>83</v>
      </c>
      <c r="B621" s="36" t="s">
        <v>1170</v>
      </c>
      <c r="C621" s="117">
        <v>37764010</v>
      </c>
      <c r="D621" s="165">
        <v>45569</v>
      </c>
      <c r="E621" s="117" t="s">
        <v>471</v>
      </c>
      <c r="F621" s="36" t="str">
        <f>IFERROR(VLOOKUP(Table1[[#This Row],[Part Number]],DATABASE_FG!$C$6:D10610,2,FALSE)," ")</f>
        <v xml:space="preserve">096215283-0000 </v>
      </c>
      <c r="G621" s="117" t="str">
        <f>IFERROR(_xlfn.XLOOKUP(Table1[[#This Row],[Part Number]],Table3[Part number],Table3[Drawing
 Revision]),"")</f>
        <v xml:space="preserve">AH </v>
      </c>
      <c r="H621" s="118" cm="1">
        <f t="array" ref="H621">IFERROR(INDEX(PDB!$C:$AT,MATCH(E621,PDB!$B:$B,0),MATCH(YEAR(K621),0+PDB!$C$1:$AT$1,0)),"")</f>
        <v>24.63</v>
      </c>
      <c r="I621" s="36">
        <v>6</v>
      </c>
      <c r="J621" s="125">
        <f>IFERROR(Table1[[#This Row],[Quantity]]*Table1[[#This Row],[Price/Unit
EUR]]," ")</f>
        <v>147.78</v>
      </c>
      <c r="K621" s="126">
        <v>45586</v>
      </c>
      <c r="L621" s="36">
        <f>WEEKNUM(Table1[[#This Row],[ETA
As requested
dd.mm.yyyy]])</f>
        <v>43</v>
      </c>
      <c r="M621" s="36">
        <f>YEAR(Table1[[#This Row],[ETA
As requested
dd.mm.yyyy]])</f>
        <v>2024</v>
      </c>
      <c r="N621" s="36">
        <f>IFERROR(INDEX(DATABASE_FG!$H$5:$H$367, MATCH(E621, DATABASE_FG!$C$5:$C$367, 0)), " ")</f>
        <v>0</v>
      </c>
      <c r="O621" s="129" t="str">
        <f>IF(E621&lt;&gt;"", _xlfn.XLOOKUP(E621, DATABASE_FG!C:C, DATABASE_FG!F:F), " ")</f>
        <v>Strunjire moale</v>
      </c>
      <c r="P621" s="129">
        <f>IFERROR(INDEX(DATABASE_FG!$G$5:$G$367, MATCH(E621, DATABASE_FG!$C$5:$C$367, 0)), "Not Found")</f>
        <v>200</v>
      </c>
      <c r="Q621" s="36"/>
      <c r="R621" s="125" t="s">
        <v>678</v>
      </c>
      <c r="S621" s="123">
        <f>IFERROR(INDEX(DATABASE_FG!$L$5:$L$367, MATCH(E621, DATABASE_FG!$C$5:$C$367, 0)), " ")</f>
        <v>42</v>
      </c>
      <c r="T621" s="36" t="s">
        <v>679</v>
      </c>
      <c r="U621" s="36"/>
      <c r="V621" s="36"/>
      <c r="W621" s="129"/>
      <c r="X621" s="36"/>
      <c r="Y621" s="36"/>
      <c r="Z621" s="36"/>
      <c r="AA621" s="125" t="s">
        <v>121</v>
      </c>
      <c r="AB621" s="172">
        <v>45596</v>
      </c>
      <c r="AC621" s="119">
        <v>202401310</v>
      </c>
      <c r="AD621" s="36">
        <f t="shared" si="78"/>
        <v>37764010</v>
      </c>
      <c r="AE621" s="36" t="str">
        <f t="shared" si="79"/>
        <v>F-235905-0013-WW1</v>
      </c>
      <c r="AF621" s="36">
        <v>6</v>
      </c>
      <c r="AG621" s="120">
        <f t="shared" si="82"/>
        <v>147.78</v>
      </c>
      <c r="AH621" s="36"/>
      <c r="AI621" s="124"/>
      <c r="AJ621" s="122" t="s">
        <v>2490</v>
      </c>
      <c r="AK621" s="129" t="str">
        <f t="shared" ca="1" si="80"/>
        <v>Late</v>
      </c>
      <c r="AL621" s="268" t="str">
        <f t="shared" si="84"/>
        <v>October</v>
      </c>
      <c r="AM621" s="133">
        <f>YEAR(Table1[[#This Row],[ETA
As requested
dd.mm.yyyy]])</f>
        <v>2024</v>
      </c>
    </row>
    <row r="622" spans="1:40" hidden="1">
      <c r="A622" s="123" t="s">
        <v>83</v>
      </c>
      <c r="B622" s="36" t="s">
        <v>1170</v>
      </c>
      <c r="C622" s="117">
        <v>37764010</v>
      </c>
      <c r="D622" s="165">
        <v>45453</v>
      </c>
      <c r="E622" s="117" t="s">
        <v>471</v>
      </c>
      <c r="F622" s="36" t="str">
        <f>IFERROR(VLOOKUP(Table1[[#This Row],[Part Number]],DATABASE_FG!$C$6:D10611,2,FALSE)," ")</f>
        <v xml:space="preserve">096215283-0000 </v>
      </c>
      <c r="G622" s="117" t="str">
        <f>IFERROR(_xlfn.XLOOKUP(Table1[[#This Row],[Part Number]],Table3[Part number],Table3[Drawing
 Revision]),"")</f>
        <v xml:space="preserve">AH </v>
      </c>
      <c r="H622" s="118" cm="1">
        <f t="array" ref="H622">IFERROR(INDEX(PDB!$C:$AT,MATCH(E622,PDB!$B:$B,0),MATCH(YEAR(K622),0+PDB!$C$1:$AT$1,0)),"")</f>
        <v>24.63</v>
      </c>
      <c r="I622" s="36">
        <v>50</v>
      </c>
      <c r="J622" s="125">
        <f>IFERROR(Table1[[#This Row],[Quantity]]*Table1[[#This Row],[Price/Unit
EUR]]," ")</f>
        <v>1231.5</v>
      </c>
      <c r="K622" s="126">
        <v>45586</v>
      </c>
      <c r="L622" s="36">
        <f>WEEKNUM(Table1[[#This Row],[ETA
As requested
dd.mm.yyyy]])</f>
        <v>43</v>
      </c>
      <c r="M622" s="36">
        <f>YEAR(Table1[[#This Row],[ETA
As requested
dd.mm.yyyy]])</f>
        <v>2024</v>
      </c>
      <c r="N622" s="36">
        <f>IFERROR(INDEX(DATABASE_FG!$H$5:$H$367, MATCH(E622, DATABASE_FG!$C$5:$C$367, 0)), " ")</f>
        <v>0</v>
      </c>
      <c r="O622" s="129" t="str">
        <f>IF(E622&lt;&gt;"", _xlfn.XLOOKUP(E622, DATABASE_FG!C:C, DATABASE_FG!F:F), " ")</f>
        <v>Strunjire moale</v>
      </c>
      <c r="P622" s="129">
        <f>IFERROR(INDEX(DATABASE_FG!$G$5:$G$367, MATCH(E622, DATABASE_FG!$C$5:$C$367, 0)), "Not Found")</f>
        <v>200</v>
      </c>
      <c r="Q622" s="36"/>
      <c r="R622" s="125" t="s">
        <v>678</v>
      </c>
      <c r="S622" s="123">
        <f>IFERROR(INDEX(DATABASE_FG!$L$5:$L$367, MATCH(E622, DATABASE_FG!$C$5:$C$367, 0)), " ")</f>
        <v>42</v>
      </c>
      <c r="T622" s="36" t="s">
        <v>679</v>
      </c>
      <c r="U622" s="36"/>
      <c r="V622" s="36"/>
      <c r="W622" s="129"/>
      <c r="X622" s="36"/>
      <c r="Y622" s="36" t="s">
        <v>2491</v>
      </c>
      <c r="Z622" s="36"/>
      <c r="AA622" s="125" t="s">
        <v>121</v>
      </c>
      <c r="AB622" s="172">
        <v>45625</v>
      </c>
      <c r="AC622" s="119">
        <v>202401447</v>
      </c>
      <c r="AD622" s="36">
        <f t="shared" si="78"/>
        <v>37764010</v>
      </c>
      <c r="AE622" s="36" t="str">
        <f t="shared" si="79"/>
        <v>F-235905-0013-WW1</v>
      </c>
      <c r="AF622" s="36">
        <v>50</v>
      </c>
      <c r="AG622" s="120">
        <f t="shared" si="82"/>
        <v>1231.5</v>
      </c>
      <c r="AH622" s="36"/>
      <c r="AI622" s="124"/>
      <c r="AJ622" s="122" t="s">
        <v>2492</v>
      </c>
      <c r="AK622" s="129" t="str">
        <f t="shared" ca="1" si="80"/>
        <v>Late</v>
      </c>
      <c r="AL622" s="268" t="str">
        <f t="shared" si="84"/>
        <v>October</v>
      </c>
      <c r="AM622" s="133">
        <f>YEAR(Table1[[#This Row],[ETA
As requested
dd.mm.yyyy]])</f>
        <v>2024</v>
      </c>
    </row>
    <row r="623" spans="1:40" hidden="1">
      <c r="A623" s="123" t="s">
        <v>83</v>
      </c>
      <c r="B623" s="36" t="s">
        <v>2464</v>
      </c>
      <c r="C623" s="117"/>
      <c r="D623" s="165">
        <v>45453</v>
      </c>
      <c r="E623" s="117" t="s">
        <v>471</v>
      </c>
      <c r="F623" s="36" t="str">
        <f>IFERROR(VLOOKUP(Table1[[#This Row],[Part Number]],DATABASE_FG!$C$6:D10612,2,FALSE)," ")</f>
        <v xml:space="preserve">096215283-0000 </v>
      </c>
      <c r="G623" s="117" t="str">
        <f>IFERROR(_xlfn.XLOOKUP(Table1[[#This Row],[Part Number]],Table3[Part number],Table3[Drawing
 Revision]),"")</f>
        <v xml:space="preserve">AH </v>
      </c>
      <c r="H623" s="118" cm="1">
        <f t="array" ref="H623">IFERROR(INDEX(PDB!$C:$AT,MATCH(E623,PDB!$B:$B,0),MATCH(YEAR(K623),0+PDB!$C$1:$AT$1,0)),"")</f>
        <v>24.63</v>
      </c>
      <c r="I623" s="36">
        <v>108</v>
      </c>
      <c r="J623" s="125">
        <f>IFERROR(Table1[[#This Row],[Quantity]]*Table1[[#This Row],[Price/Unit
EUR]]," ")</f>
        <v>2660.04</v>
      </c>
      <c r="K623" s="126">
        <v>45597</v>
      </c>
      <c r="L623" s="36">
        <f>WEEKNUM(Table1[[#This Row],[ETA
As requested
dd.mm.yyyy]])</f>
        <v>44</v>
      </c>
      <c r="M623" s="36">
        <f>YEAR(Table1[[#This Row],[ETA
As requested
dd.mm.yyyy]])</f>
        <v>2024</v>
      </c>
      <c r="N623" s="36">
        <f>IFERROR(INDEX(DATABASE_FG!$H$5:$H$367, MATCH(E623, DATABASE_FG!$C$5:$C$367, 0)), " ")</f>
        <v>0</v>
      </c>
      <c r="O623" s="129" t="str">
        <f>IF(E623&lt;&gt;"", _xlfn.XLOOKUP(E623, DATABASE_FG!C:C, DATABASE_FG!F:F), " ")</f>
        <v>Strunjire moale</v>
      </c>
      <c r="P623" s="129">
        <f>IFERROR(INDEX(DATABASE_FG!$G$5:$G$367, MATCH(E623, DATABASE_FG!$C$5:$C$367, 0)), "Not Found")</f>
        <v>200</v>
      </c>
      <c r="Q623" s="36"/>
      <c r="R623" s="125" t="s">
        <v>678</v>
      </c>
      <c r="S623" s="123">
        <f>IFERROR(INDEX(DATABASE_FG!$L$5:$L$367, MATCH(E623, DATABASE_FG!$C$5:$C$367, 0)), " ")</f>
        <v>42</v>
      </c>
      <c r="T623" s="36" t="s">
        <v>679</v>
      </c>
      <c r="U623" s="36"/>
      <c r="V623" s="36"/>
      <c r="W623" s="129"/>
      <c r="X623" s="36"/>
      <c r="Y623" s="36" t="s">
        <v>2491</v>
      </c>
      <c r="Z623" s="36"/>
      <c r="AA623" s="125" t="s">
        <v>121</v>
      </c>
      <c r="AB623" s="172"/>
      <c r="AC623" s="119"/>
      <c r="AD623" s="36" t="str">
        <f t="shared" si="78"/>
        <v/>
      </c>
      <c r="AE623" s="36" t="str">
        <f t="shared" si="79"/>
        <v/>
      </c>
      <c r="AF623" s="36">
        <v>0</v>
      </c>
      <c r="AG623" s="120">
        <f t="shared" si="82"/>
        <v>0</v>
      </c>
      <c r="AH623" s="36"/>
      <c r="AI623" s="124" t="s">
        <v>2545</v>
      </c>
      <c r="AJ623" s="122"/>
      <c r="AK623" s="129" t="str">
        <f t="shared" ca="1" si="80"/>
        <v>Late</v>
      </c>
      <c r="AL623" s="268" t="str">
        <f t="shared" si="84"/>
        <v>November</v>
      </c>
      <c r="AM623" s="133">
        <f>YEAR(Table1[[#This Row],[ETA
As requested
dd.mm.yyyy]])</f>
        <v>2024</v>
      </c>
    </row>
    <row r="624" spans="1:40" hidden="1">
      <c r="A624" s="123" t="s">
        <v>83</v>
      </c>
      <c r="B624" s="36" t="s">
        <v>2464</v>
      </c>
      <c r="C624" s="117"/>
      <c r="D624" s="165">
        <v>45453</v>
      </c>
      <c r="E624" s="117" t="s">
        <v>471</v>
      </c>
      <c r="F624" s="36" t="str">
        <f>IFERROR(VLOOKUP(Table1[[#This Row],[Part Number]],DATABASE_FG!$C$6:D10613,2,FALSE)," ")</f>
        <v xml:space="preserve">096215283-0000 </v>
      </c>
      <c r="G624" s="117" t="str">
        <f>IFERROR(_xlfn.XLOOKUP(Table1[[#This Row],[Part Number]],Table3[Part number],Table3[Drawing
 Revision]),"")</f>
        <v xml:space="preserve">AH </v>
      </c>
      <c r="H624" s="118" cm="1">
        <f t="array" ref="H624">IFERROR(INDEX(PDB!$C:$AT,MATCH(E624,PDB!$B:$B,0),MATCH(YEAR(K624),0+PDB!$C$1:$AT$1,0)),"")</f>
        <v>24.63</v>
      </c>
      <c r="I624" s="36">
        <v>108</v>
      </c>
      <c r="J624" s="125">
        <f>IFERROR(Table1[[#This Row],[Quantity]]*Table1[[#This Row],[Price/Unit
EUR]]," ")</f>
        <v>2660.04</v>
      </c>
      <c r="K624" s="126">
        <v>45658</v>
      </c>
      <c r="L624" s="36">
        <f>WEEKNUM(Table1[[#This Row],[ETA
As requested
dd.mm.yyyy]])</f>
        <v>1</v>
      </c>
      <c r="M624" s="36">
        <f>YEAR(Table1[[#This Row],[ETA
As requested
dd.mm.yyyy]])</f>
        <v>2025</v>
      </c>
      <c r="N624" s="36">
        <f>IFERROR(INDEX(DATABASE_FG!$H$5:$H$367, MATCH(E624, DATABASE_FG!$C$5:$C$367, 0)), " ")</f>
        <v>0</v>
      </c>
      <c r="O624" s="129" t="str">
        <f>IF(E624&lt;&gt;"", _xlfn.XLOOKUP(E624, DATABASE_FG!C:C, DATABASE_FG!F:F), " ")</f>
        <v>Strunjire moale</v>
      </c>
      <c r="P624" s="129">
        <f>IFERROR(INDEX(DATABASE_FG!$G$5:$G$367, MATCH(E624, DATABASE_FG!$C$5:$C$367, 0)), "Not Found")</f>
        <v>200</v>
      </c>
      <c r="Q624" s="36"/>
      <c r="R624" s="125" t="s">
        <v>678</v>
      </c>
      <c r="S624" s="123">
        <f>IFERROR(INDEX(DATABASE_FG!$L$5:$L$367, MATCH(E624, DATABASE_FG!$C$5:$C$367, 0)), " ")</f>
        <v>42</v>
      </c>
      <c r="T624" s="36" t="s">
        <v>679</v>
      </c>
      <c r="U624" s="36"/>
      <c r="V624" s="36"/>
      <c r="W624" s="129"/>
      <c r="X624" s="36"/>
      <c r="Y624" s="36"/>
      <c r="Z624" s="36"/>
      <c r="AA624" s="125" t="s">
        <v>121</v>
      </c>
      <c r="AB624" s="173"/>
      <c r="AC624" s="119"/>
      <c r="AD624" s="36" t="str">
        <f t="shared" si="78"/>
        <v/>
      </c>
      <c r="AE624" s="36" t="str">
        <f t="shared" si="79"/>
        <v/>
      </c>
      <c r="AF624" s="36">
        <v>0</v>
      </c>
      <c r="AG624" s="120">
        <f t="shared" si="82"/>
        <v>0</v>
      </c>
      <c r="AH624" s="36"/>
      <c r="AI624" s="124" t="s">
        <v>2545</v>
      </c>
      <c r="AJ624" s="122"/>
      <c r="AK624" s="129" t="str">
        <f t="shared" ca="1" si="80"/>
        <v>Late</v>
      </c>
      <c r="AL624" s="268" t="str">
        <f t="shared" si="84"/>
        <v>January</v>
      </c>
      <c r="AM624" s="133">
        <f>YEAR(Table1[[#This Row],[ETA
As requested
dd.mm.yyyy]])</f>
        <v>2025</v>
      </c>
    </row>
    <row r="625" spans="1:39" hidden="1">
      <c r="A625" s="123" t="s">
        <v>83</v>
      </c>
      <c r="B625" s="36" t="s">
        <v>2464</v>
      </c>
      <c r="C625" s="117"/>
      <c r="D625" s="165">
        <v>45453</v>
      </c>
      <c r="E625" s="117" t="s">
        <v>471</v>
      </c>
      <c r="F625" s="36" t="str">
        <f>IFERROR(VLOOKUP(Table1[[#This Row],[Part Number]],DATABASE_FG!$C$6:D10614,2,FALSE)," ")</f>
        <v xml:space="preserve">096215283-0000 </v>
      </c>
      <c r="G625" s="117" t="str">
        <f>IFERROR(_xlfn.XLOOKUP(Table1[[#This Row],[Part Number]],Table3[Part number],Table3[Drawing
 Revision]),"")</f>
        <v xml:space="preserve">AH </v>
      </c>
      <c r="H625" s="118" cm="1">
        <f t="array" ref="H625">IFERROR(INDEX(PDB!$C:$AT,MATCH(E625,PDB!$B:$B,0),MATCH(YEAR(K625),0+PDB!$C$1:$AT$1,0)),"")</f>
        <v>24.63</v>
      </c>
      <c r="I625" s="36">
        <v>108</v>
      </c>
      <c r="J625" s="125">
        <f>IFERROR(Table1[[#This Row],[Quantity]]*Table1[[#This Row],[Price/Unit
EUR]]," ")</f>
        <v>2660.04</v>
      </c>
      <c r="K625" s="126">
        <v>45689</v>
      </c>
      <c r="L625" s="36">
        <f>WEEKNUM(Table1[[#This Row],[ETA
As requested
dd.mm.yyyy]])</f>
        <v>5</v>
      </c>
      <c r="M625" s="36">
        <f>YEAR(Table1[[#This Row],[ETA
As requested
dd.mm.yyyy]])</f>
        <v>2025</v>
      </c>
      <c r="N625" s="36">
        <f>IFERROR(INDEX(DATABASE_FG!$H$5:$H$367, MATCH(E625, DATABASE_FG!$C$5:$C$367, 0)), " ")</f>
        <v>0</v>
      </c>
      <c r="O625" s="129" t="str">
        <f>IF(E625&lt;&gt;"", _xlfn.XLOOKUP(E625, DATABASE_FG!C:C, DATABASE_FG!F:F), " ")</f>
        <v>Strunjire moale</v>
      </c>
      <c r="P625" s="129">
        <f>IFERROR(INDEX(DATABASE_FG!$G$5:$G$367, MATCH(E625, DATABASE_FG!$C$5:$C$367, 0)), "Not Found")</f>
        <v>200</v>
      </c>
      <c r="Q625" s="36"/>
      <c r="R625" s="125" t="s">
        <v>678</v>
      </c>
      <c r="S625" s="123">
        <f>IFERROR(INDEX(DATABASE_FG!$L$5:$L$367, MATCH(E625, DATABASE_FG!$C$5:$C$367, 0)), " ")</f>
        <v>42</v>
      </c>
      <c r="T625" s="36" t="s">
        <v>679</v>
      </c>
      <c r="U625" s="36"/>
      <c r="V625" s="36"/>
      <c r="W625" s="129"/>
      <c r="X625" s="36"/>
      <c r="Y625" s="36"/>
      <c r="Z625" s="36"/>
      <c r="AA625" s="125" t="s">
        <v>121</v>
      </c>
      <c r="AB625" s="172"/>
      <c r="AC625" s="119"/>
      <c r="AD625" s="36" t="str">
        <f t="shared" si="78"/>
        <v/>
      </c>
      <c r="AE625" s="36" t="str">
        <f t="shared" si="79"/>
        <v/>
      </c>
      <c r="AF625" s="36">
        <v>0</v>
      </c>
      <c r="AG625" s="120">
        <f t="shared" si="82"/>
        <v>0</v>
      </c>
      <c r="AH625" s="36"/>
      <c r="AI625" s="124" t="s">
        <v>2545</v>
      </c>
      <c r="AJ625" s="122"/>
      <c r="AK625" s="129" t="str">
        <f t="shared" ca="1" si="80"/>
        <v>Late</v>
      </c>
      <c r="AL625" s="268" t="str">
        <f t="shared" si="84"/>
        <v>February</v>
      </c>
      <c r="AM625" s="133">
        <f>YEAR(Table1[[#This Row],[ETA
As requested
dd.mm.yyyy]])</f>
        <v>2025</v>
      </c>
    </row>
    <row r="626" spans="1:39" hidden="1">
      <c r="A626" s="123" t="s">
        <v>83</v>
      </c>
      <c r="B626" s="36" t="s">
        <v>1170</v>
      </c>
      <c r="C626" s="117">
        <v>38554437</v>
      </c>
      <c r="D626" s="165">
        <v>45693</v>
      </c>
      <c r="E626" s="117" t="s">
        <v>471</v>
      </c>
      <c r="F626" s="36" t="str">
        <f>IFERROR(VLOOKUP(Table1[[#This Row],[Part Number]],DATABASE_FG!$C$6:D10615,2,FALSE)," ")</f>
        <v xml:space="preserve">096215283-0000 </v>
      </c>
      <c r="G626" s="117" t="str">
        <f>IFERROR(_xlfn.XLOOKUP(Table1[[#This Row],[Part Number]],Table3[Part number],Table3[Drawing
 Revision]),"")</f>
        <v xml:space="preserve">AH </v>
      </c>
      <c r="H626" s="118" cm="1">
        <f t="array" ref="H626">IFERROR(INDEX(PDB!$C:$AT,MATCH(E626,PDB!$B:$B,0),MATCH(YEAR(K626),0+PDB!$C$1:$AT$1,0)),"")</f>
        <v>24.63</v>
      </c>
      <c r="I626" s="36">
        <v>76</v>
      </c>
      <c r="J626" s="125">
        <f>IFERROR(Table1[[#This Row],[Quantity]]*Table1[[#This Row],[Price/Unit
EUR]]," ")</f>
        <v>1871.8799999999999</v>
      </c>
      <c r="K626" s="126">
        <v>45708</v>
      </c>
      <c r="L626" s="36">
        <f>WEEKNUM(Table1[[#This Row],[ETA
As requested
dd.mm.yyyy]])</f>
        <v>8</v>
      </c>
      <c r="M626" s="36">
        <f>YEAR(Table1[[#This Row],[ETA
As requested
dd.mm.yyyy]])</f>
        <v>2025</v>
      </c>
      <c r="N626" s="36">
        <f>IFERROR(INDEX(DATABASE_FG!$H$5:$H$367, MATCH(E626, DATABASE_FG!$C$5:$C$367, 0)), " ")</f>
        <v>0</v>
      </c>
      <c r="O626" s="129" t="str">
        <f>IF(E626&lt;&gt;"", _xlfn.XLOOKUP(E626, DATABASE_FG!C:C, DATABASE_FG!F:F), " ")</f>
        <v>Strunjire moale</v>
      </c>
      <c r="P626" s="129">
        <f>IFERROR(INDEX(DATABASE_FG!$G$5:$G$367, MATCH(E626, DATABASE_FG!$C$5:$C$367, 0)), "Not Found")</f>
        <v>200</v>
      </c>
      <c r="Q626" s="36"/>
      <c r="R626" s="125" t="s">
        <v>678</v>
      </c>
      <c r="S626" s="123">
        <f>IFERROR(INDEX(DATABASE_FG!$L$5:$L$367, MATCH(E626, DATABASE_FG!$C$5:$C$367, 0)), " ")</f>
        <v>42</v>
      </c>
      <c r="T626" s="36" t="s">
        <v>679</v>
      </c>
      <c r="U626" s="36"/>
      <c r="V626" s="36"/>
      <c r="W626" s="129"/>
      <c r="X626" s="36"/>
      <c r="Y626" s="36" t="s">
        <v>121</v>
      </c>
      <c r="Z626" s="36"/>
      <c r="AA626" s="125" t="s">
        <v>121</v>
      </c>
      <c r="AB626" s="172">
        <v>45703</v>
      </c>
      <c r="AC626" s="119">
        <v>25208</v>
      </c>
      <c r="AD626" s="36">
        <f t="shared" si="78"/>
        <v>38554437</v>
      </c>
      <c r="AE626" s="36" t="str">
        <f t="shared" si="79"/>
        <v>F-235905-0013-WW1</v>
      </c>
      <c r="AF626" s="36">
        <v>76</v>
      </c>
      <c r="AG626" s="120">
        <f t="shared" si="82"/>
        <v>1871.8799999999999</v>
      </c>
      <c r="AH626" s="36"/>
      <c r="AI626" s="124"/>
      <c r="AJ626" s="122" t="s">
        <v>2843</v>
      </c>
      <c r="AK626" s="129" t="str">
        <f t="shared" ca="1" si="80"/>
        <v>On Time</v>
      </c>
      <c r="AL626" s="268" t="str">
        <f t="shared" si="84"/>
        <v>February</v>
      </c>
      <c r="AM626" s="133">
        <f>YEAR(Table1[[#This Row],[ETA
As requested
dd.mm.yyyy]])</f>
        <v>2025</v>
      </c>
    </row>
    <row r="627" spans="1:39" hidden="1">
      <c r="A627" s="123" t="s">
        <v>83</v>
      </c>
      <c r="B627" s="36" t="s">
        <v>1170</v>
      </c>
      <c r="C627" s="117">
        <v>38554437</v>
      </c>
      <c r="D627" s="165">
        <v>45693</v>
      </c>
      <c r="E627" s="117" t="s">
        <v>471</v>
      </c>
      <c r="F627" s="36" t="str">
        <f>IFERROR(VLOOKUP(Table1[[#This Row],[Part Number]],DATABASE_FG!$C$6:D10616,2,FALSE)," ")</f>
        <v xml:space="preserve">096215283-0000 </v>
      </c>
      <c r="G627" s="117" t="str">
        <f>IFERROR(_xlfn.XLOOKUP(Table1[[#This Row],[Part Number]],Table3[Part number],Table3[Drawing
 Revision]),"")</f>
        <v xml:space="preserve">AH </v>
      </c>
      <c r="H627" s="118" cm="1">
        <f t="array" ref="H627">IFERROR(INDEX(PDB!$C:$AT,MATCH(E627,PDB!$B:$B,0),MATCH(YEAR(K627),0+PDB!$C$1:$AT$1,0)),"")</f>
        <v>24.63</v>
      </c>
      <c r="I627" s="36">
        <v>50</v>
      </c>
      <c r="J627" s="125">
        <f>IFERROR(Table1[[#This Row],[Quantity]]*Table1[[#This Row],[Price/Unit
EUR]]," ")</f>
        <v>1231.5</v>
      </c>
      <c r="K627" s="126">
        <v>45708</v>
      </c>
      <c r="L627" s="36">
        <f>WEEKNUM(Table1[[#This Row],[ETA
As requested
dd.mm.yyyy]])</f>
        <v>8</v>
      </c>
      <c r="M627" s="36">
        <f>YEAR(Table1[[#This Row],[ETA
As requested
dd.mm.yyyy]])</f>
        <v>2025</v>
      </c>
      <c r="N627" s="36">
        <f>IFERROR(INDEX(DATABASE_FG!$H$5:$H$367, MATCH(E627, DATABASE_FG!$C$5:$C$367, 0)), " ")</f>
        <v>0</v>
      </c>
      <c r="O627" s="129" t="str">
        <f>IF(E627&lt;&gt;"", _xlfn.XLOOKUP(E627, DATABASE_FG!C:C, DATABASE_FG!F:F), " ")</f>
        <v>Strunjire moale</v>
      </c>
      <c r="P627" s="129">
        <f>IFERROR(INDEX(DATABASE_FG!$G$5:$G$367, MATCH(E627, DATABASE_FG!$C$5:$C$367, 0)), "Not Found")</f>
        <v>200</v>
      </c>
      <c r="Q627" s="36"/>
      <c r="R627" s="125" t="s">
        <v>678</v>
      </c>
      <c r="S627" s="123">
        <f>IFERROR(INDEX(DATABASE_FG!$L$5:$L$367, MATCH(E627, DATABASE_FG!$C$5:$C$367, 0)), " ")</f>
        <v>42</v>
      </c>
      <c r="T627" s="36" t="s">
        <v>679</v>
      </c>
      <c r="U627" s="36"/>
      <c r="V627" s="36"/>
      <c r="W627" s="129"/>
      <c r="X627" s="36"/>
      <c r="Y627" s="36" t="s">
        <v>121</v>
      </c>
      <c r="Z627" s="36"/>
      <c r="AA627" s="125" t="s">
        <v>121</v>
      </c>
      <c r="AB627" s="172">
        <v>45706</v>
      </c>
      <c r="AC627" s="119">
        <v>25228</v>
      </c>
      <c r="AD627" s="36">
        <f t="shared" si="78"/>
        <v>38554437</v>
      </c>
      <c r="AE627" s="36" t="str">
        <f t="shared" si="79"/>
        <v>F-235905-0013-WW1</v>
      </c>
      <c r="AF627" s="36">
        <v>47</v>
      </c>
      <c r="AG627" s="120">
        <f t="shared" si="82"/>
        <v>1157.6099999999999</v>
      </c>
      <c r="AH627" s="36">
        <v>3</v>
      </c>
      <c r="AI627" s="124"/>
      <c r="AJ627" s="122" t="s">
        <v>2847</v>
      </c>
      <c r="AK627" s="129" t="str">
        <f t="shared" ca="1" si="80"/>
        <v>On Time</v>
      </c>
      <c r="AL627" s="268" t="str">
        <f t="shared" si="84"/>
        <v>February</v>
      </c>
      <c r="AM627" s="133">
        <f>YEAR(Table1[[#This Row],[ETA
As requested
dd.mm.yyyy]])</f>
        <v>2025</v>
      </c>
    </row>
    <row r="628" spans="1:39" hidden="1">
      <c r="A628" s="123" t="s">
        <v>83</v>
      </c>
      <c r="B628" s="36" t="s">
        <v>2464</v>
      </c>
      <c r="C628" s="117"/>
      <c r="D628" s="165">
        <v>45453</v>
      </c>
      <c r="E628" s="117" t="s">
        <v>471</v>
      </c>
      <c r="F628" s="36" t="str">
        <f>IFERROR(VLOOKUP(Table1[[#This Row],[Part Number]],DATABASE_FG!$C$6:D10617,2,FALSE)," ")</f>
        <v xml:space="preserve">096215283-0000 </v>
      </c>
      <c r="G628" s="117" t="str">
        <f>IFERROR(_xlfn.XLOOKUP(Table1[[#This Row],[Part Number]],Table3[Part number],Table3[Drawing
 Revision]),"")</f>
        <v xml:space="preserve">AH </v>
      </c>
      <c r="H628" s="118" cm="1">
        <f t="array" ref="H628">IFERROR(INDEX(PDB!$C:$AT,MATCH(E628,PDB!$B:$B,0),MATCH(YEAR(K628),0+PDB!$C$1:$AT$1,0)),"")</f>
        <v>24.63</v>
      </c>
      <c r="I628" s="36">
        <v>108</v>
      </c>
      <c r="J628" s="125">
        <f>IFERROR(Table1[[#This Row],[Quantity]]*Table1[[#This Row],[Price/Unit
EUR]]," ")</f>
        <v>2660.04</v>
      </c>
      <c r="K628" s="126">
        <v>45717</v>
      </c>
      <c r="L628" s="36">
        <f>WEEKNUM(Table1[[#This Row],[ETA
As requested
dd.mm.yyyy]])</f>
        <v>9</v>
      </c>
      <c r="M628" s="36">
        <f>YEAR(Table1[[#This Row],[ETA
As requested
dd.mm.yyyy]])</f>
        <v>2025</v>
      </c>
      <c r="N628" s="36">
        <f>IFERROR(INDEX(DATABASE_FG!$H$5:$H$367, MATCH(E628, DATABASE_FG!$C$5:$C$367, 0)), " ")</f>
        <v>0</v>
      </c>
      <c r="O628" s="129" t="str">
        <f>IF(E628&lt;&gt;"", _xlfn.XLOOKUP(E628, DATABASE_FG!C:C, DATABASE_FG!F:F), " ")</f>
        <v>Strunjire moale</v>
      </c>
      <c r="P628" s="129">
        <f>IFERROR(INDEX(DATABASE_FG!$G$5:$G$367, MATCH(E628, DATABASE_FG!$C$5:$C$367, 0)), "Not Found")</f>
        <v>200</v>
      </c>
      <c r="Q628" s="36"/>
      <c r="R628" s="125" t="s">
        <v>678</v>
      </c>
      <c r="S628" s="123">
        <f>IFERROR(INDEX(DATABASE_FG!$L$5:$L$367, MATCH(E628, DATABASE_FG!$C$5:$C$367, 0)), " ")</f>
        <v>42</v>
      </c>
      <c r="T628" s="36" t="s">
        <v>679</v>
      </c>
      <c r="U628" s="36"/>
      <c r="V628" s="36"/>
      <c r="W628" s="129"/>
      <c r="X628" s="36"/>
      <c r="Y628" s="36"/>
      <c r="Z628" s="36"/>
      <c r="AA628" s="125" t="s">
        <v>121</v>
      </c>
      <c r="AB628" s="172"/>
      <c r="AC628" s="119"/>
      <c r="AD628" s="36" t="str">
        <f t="shared" si="78"/>
        <v/>
      </c>
      <c r="AE628" s="36" t="str">
        <f t="shared" si="79"/>
        <v/>
      </c>
      <c r="AF628" s="36">
        <v>0</v>
      </c>
      <c r="AG628" s="120">
        <f t="shared" si="82"/>
        <v>0</v>
      </c>
      <c r="AH628" s="36"/>
      <c r="AI628" s="124" t="s">
        <v>2545</v>
      </c>
      <c r="AJ628" s="122"/>
      <c r="AK628" s="129" t="str">
        <f t="shared" ca="1" si="80"/>
        <v>Late</v>
      </c>
      <c r="AL628" s="268" t="str">
        <f t="shared" si="84"/>
        <v>March</v>
      </c>
      <c r="AM628" s="133">
        <f>YEAR(Table1[[#This Row],[ETA
As requested
dd.mm.yyyy]])</f>
        <v>2025</v>
      </c>
    </row>
    <row r="629" spans="1:39" hidden="1">
      <c r="A629" s="123" t="s">
        <v>83</v>
      </c>
      <c r="B629" s="36" t="s">
        <v>1170</v>
      </c>
      <c r="C629" s="117">
        <v>38708622</v>
      </c>
      <c r="D629" s="165">
        <v>45714</v>
      </c>
      <c r="E629" s="117" t="s">
        <v>471</v>
      </c>
      <c r="F629" s="36" t="str">
        <f>IFERROR(VLOOKUP(Table1[[#This Row],[Part Number]],DATABASE_FG!$C$6:D10618,2,FALSE)," ")</f>
        <v xml:space="preserve">096215283-0000 </v>
      </c>
      <c r="G629" s="117" t="str">
        <f>IFERROR(_xlfn.XLOOKUP(Table1[[#This Row],[Part Number]],Table3[Part number],Table3[Drawing
 Revision]),"")</f>
        <v xml:space="preserve">AH </v>
      </c>
      <c r="H629" s="118" cm="1">
        <f t="array" ref="H629">IFERROR(INDEX(PDB!$C:$AT,MATCH(E629,PDB!$B:$B,0),MATCH(YEAR(K629),0+PDB!$C$1:$AT$1,0)),"")</f>
        <v>24.63</v>
      </c>
      <c r="I629" s="36">
        <v>81</v>
      </c>
      <c r="J629" s="125">
        <f>IFERROR(Table1[[#This Row],[Quantity]]*Table1[[#This Row],[Price/Unit
EUR]]," ")</f>
        <v>1995.03</v>
      </c>
      <c r="K629" s="126">
        <v>45728</v>
      </c>
      <c r="L629" s="36">
        <f>WEEKNUM(Table1[[#This Row],[ETA
As requested
dd.mm.yyyy]])</f>
        <v>11</v>
      </c>
      <c r="M629" s="36">
        <f>YEAR(Table1[[#This Row],[ETA
As requested
dd.mm.yyyy]])</f>
        <v>2025</v>
      </c>
      <c r="N629" s="36"/>
      <c r="O629" s="129" t="str">
        <f>IF(E629&lt;&gt;"", _xlfn.XLOOKUP(E629, DATABASE_FG!C:C, DATABASE_FG!F:F), " ")</f>
        <v>Strunjire moale</v>
      </c>
      <c r="P629" s="129">
        <f>IFERROR(INDEX(DATABASE_FG!$G$5:$G$367, MATCH(E629, DATABASE_FG!$C$5:$C$367, 0)), "Not Found")</f>
        <v>200</v>
      </c>
      <c r="Q629" s="36"/>
      <c r="R629" s="125" t="s">
        <v>678</v>
      </c>
      <c r="S629" s="123">
        <f>IFERROR(INDEX(DATABASE_FG!$L$5:$L$367, MATCH(E629, DATABASE_FG!$C$5:$C$367, 0)), " ")</f>
        <v>42</v>
      </c>
      <c r="T629" s="36" t="s">
        <v>679</v>
      </c>
      <c r="U629" s="36"/>
      <c r="V629" s="36"/>
      <c r="W629" s="129"/>
      <c r="X629" s="36"/>
      <c r="Y629" s="36"/>
      <c r="Z629" s="36"/>
      <c r="AA629" s="125" t="s">
        <v>121</v>
      </c>
      <c r="AB629" s="172">
        <v>45728</v>
      </c>
      <c r="AC629" s="119">
        <v>25362</v>
      </c>
      <c r="AD629" s="36">
        <f t="shared" si="78"/>
        <v>38708622</v>
      </c>
      <c r="AE629" s="36" t="str">
        <f t="shared" si="79"/>
        <v>F-235905-0013-WW1</v>
      </c>
      <c r="AF629" s="36">
        <v>81</v>
      </c>
      <c r="AG629" s="120">
        <f t="shared" si="82"/>
        <v>1995.03</v>
      </c>
      <c r="AH629" s="36"/>
      <c r="AI629" s="124"/>
      <c r="AJ629" s="122" t="s">
        <v>2947</v>
      </c>
      <c r="AK629" s="129" t="str">
        <f t="shared" ca="1" si="80"/>
        <v>On Time</v>
      </c>
      <c r="AL629" s="268" t="str">
        <f t="shared" si="84"/>
        <v>March</v>
      </c>
      <c r="AM629" s="133">
        <f>YEAR(Table1[[#This Row],[ETA
As requested
dd.mm.yyyy]])</f>
        <v>2025</v>
      </c>
    </row>
    <row r="630" spans="1:39" hidden="1">
      <c r="A630" s="123" t="s">
        <v>83</v>
      </c>
      <c r="B630" s="36" t="s">
        <v>2464</v>
      </c>
      <c r="C630" s="117"/>
      <c r="D630" s="165">
        <v>45453</v>
      </c>
      <c r="E630" s="117" t="s">
        <v>471</v>
      </c>
      <c r="F630" s="36" t="str">
        <f>IFERROR(VLOOKUP(Table1[[#This Row],[Part Number]],DATABASE_FG!$C$6:D10619,2,FALSE)," ")</f>
        <v xml:space="preserve">096215283-0000 </v>
      </c>
      <c r="G630" s="117" t="str">
        <f>IFERROR(_xlfn.XLOOKUP(Table1[[#This Row],[Part Number]],Table3[Part number],Table3[Drawing
 Revision]),"")</f>
        <v xml:space="preserve">AH </v>
      </c>
      <c r="H630" s="118" cm="1">
        <f t="array" ref="H630">IFERROR(INDEX(PDB!$C:$AT,MATCH(E630,PDB!$B:$B,0),MATCH(YEAR(K630),0+PDB!$C$1:$AT$1,0)),"")</f>
        <v>24.63</v>
      </c>
      <c r="I630" s="36">
        <v>108</v>
      </c>
      <c r="J630" s="125">
        <f>IFERROR(Table1[[#This Row],[Quantity]]*Table1[[#This Row],[Price/Unit
EUR]]," ")</f>
        <v>2660.04</v>
      </c>
      <c r="K630" s="126">
        <v>45748</v>
      </c>
      <c r="L630" s="36">
        <f>WEEKNUM(Table1[[#This Row],[ETA
As requested
dd.mm.yyyy]])</f>
        <v>14</v>
      </c>
      <c r="M630" s="36">
        <f>YEAR(Table1[[#This Row],[ETA
As requested
dd.mm.yyyy]])</f>
        <v>2025</v>
      </c>
      <c r="N630" s="36">
        <f>IFERROR(INDEX(DATABASE_FG!$H$5:$H$367, MATCH(E630, DATABASE_FG!$C$5:$C$367, 0)), " ")</f>
        <v>0</v>
      </c>
      <c r="O630" s="129" t="str">
        <f>IF(E630&lt;&gt;"", _xlfn.XLOOKUP(E630, DATABASE_FG!C:C, DATABASE_FG!F:F), " ")</f>
        <v>Strunjire moale</v>
      </c>
      <c r="P630" s="129">
        <f>IFERROR(INDEX(DATABASE_FG!$G$5:$G$367, MATCH(E630, DATABASE_FG!$C$5:$C$367, 0)), "Not Found")</f>
        <v>200</v>
      </c>
      <c r="Q630" s="36"/>
      <c r="R630" s="125" t="s">
        <v>678</v>
      </c>
      <c r="S630" s="123">
        <f>IFERROR(INDEX(DATABASE_FG!$L$5:$L$367, MATCH(E630, DATABASE_FG!$C$5:$C$367, 0)), " ")</f>
        <v>42</v>
      </c>
      <c r="T630" s="36" t="s">
        <v>679</v>
      </c>
      <c r="U630" s="36"/>
      <c r="V630" s="36"/>
      <c r="W630" s="129"/>
      <c r="X630" s="36"/>
      <c r="Y630" s="36"/>
      <c r="Z630" s="36"/>
      <c r="AA630" s="125" t="s">
        <v>121</v>
      </c>
      <c r="AB630" s="172"/>
      <c r="AC630" s="119"/>
      <c r="AD630" s="36" t="str">
        <f t="shared" si="78"/>
        <v/>
      </c>
      <c r="AE630" s="36" t="str">
        <f t="shared" si="79"/>
        <v/>
      </c>
      <c r="AF630" s="36">
        <v>0</v>
      </c>
      <c r="AG630" s="120">
        <f t="shared" si="82"/>
        <v>0</v>
      </c>
      <c r="AH630" s="36"/>
      <c r="AI630" s="124" t="s">
        <v>2545</v>
      </c>
      <c r="AJ630" s="122"/>
      <c r="AK630" s="129" t="str">
        <f t="shared" ca="1" si="80"/>
        <v>Late</v>
      </c>
      <c r="AL630" s="268" t="str">
        <f t="shared" si="84"/>
        <v>April</v>
      </c>
      <c r="AM630" s="133">
        <f>YEAR(Table1[[#This Row],[ETA
As requested
dd.mm.yyyy]])</f>
        <v>2025</v>
      </c>
    </row>
    <row r="631" spans="1:39" hidden="1">
      <c r="A631" s="123" t="s">
        <v>83</v>
      </c>
      <c r="B631" s="36" t="s">
        <v>1170</v>
      </c>
      <c r="C631" s="117">
        <v>5364229</v>
      </c>
      <c r="D631" s="165">
        <v>45371</v>
      </c>
      <c r="E631" s="117" t="s">
        <v>347</v>
      </c>
      <c r="F631" s="36" t="str">
        <f>IFERROR(VLOOKUP(Table1[[#This Row],[Part Number]],DATABASE_FG!$C$6:D10620,2,FALSE)," ")</f>
        <v>096215305-0000_x000D_</v>
      </c>
      <c r="G631" s="117" t="str">
        <f>IFERROR(_xlfn.XLOOKUP(Table1[[#This Row],[Part Number]],Table3[Part number],Table3[Drawing
 Revision]),"")</f>
        <v>AD</v>
      </c>
      <c r="H631" s="118" cm="1">
        <f t="array" ref="H631">IFERROR(INDEX(PDB!$C:$AT,MATCH(E631,PDB!$B:$B,0),MATCH(YEAR(K631),0+PDB!$C$1:$AT$1,0)),"")</f>
        <v>10.44</v>
      </c>
      <c r="I631" s="36">
        <v>100</v>
      </c>
      <c r="J631" s="125">
        <f>IFERROR(Table1[[#This Row],[Quantity]]*Table1[[#This Row],[Price/Unit
EUR]]," ")</f>
        <v>1044</v>
      </c>
      <c r="K631" s="126">
        <v>45392</v>
      </c>
      <c r="L631" s="36">
        <f>WEEKNUM(Table1[[#This Row],[ETA
As requested
dd.mm.yyyy]])</f>
        <v>15</v>
      </c>
      <c r="M631" s="36">
        <f>YEAR(Table1[[#This Row],[ETA
As requested
dd.mm.yyyy]])</f>
        <v>2024</v>
      </c>
      <c r="N631" s="36">
        <f>IFERROR(INDEX(DATABASE_FG!$H$5:$H$367, MATCH(E631, DATABASE_FG!$C$5:$C$367, 0)), " ")</f>
        <v>0</v>
      </c>
      <c r="O631" s="129" t="str">
        <f>IF(E631&lt;&gt;"", _xlfn.XLOOKUP(E631, DATABASE_FG!C:C, DATABASE_FG!F:F), " ")</f>
        <v>Strunjire moale</v>
      </c>
      <c r="P631" s="129">
        <f>IFERROR(INDEX(DATABASE_FG!$G$5:$G$367, MATCH(E631, DATABASE_FG!$C$5:$C$367, 0)), "Not Found")</f>
        <v>200</v>
      </c>
      <c r="Q631" s="36"/>
      <c r="R631" s="125" t="s">
        <v>678</v>
      </c>
      <c r="S631" s="123">
        <f>IFERROR(INDEX(DATABASE_FG!$L$5:$L$367, MATCH(E631, DATABASE_FG!$C$5:$C$367, 0)), " ")</f>
        <v>42</v>
      </c>
      <c r="T631" s="36" t="s">
        <v>679</v>
      </c>
      <c r="U631" s="36"/>
      <c r="V631" s="36"/>
      <c r="W631" s="129"/>
      <c r="X631" s="36"/>
      <c r="Y631" s="36"/>
      <c r="Z631" s="36" t="s">
        <v>1302</v>
      </c>
      <c r="AA631" s="125" t="s">
        <v>121</v>
      </c>
      <c r="AB631" s="172">
        <v>45399</v>
      </c>
      <c r="AC631" s="119">
        <v>2024373</v>
      </c>
      <c r="AD631" s="36">
        <f t="shared" si="78"/>
        <v>5364229</v>
      </c>
      <c r="AE631" s="36" t="str">
        <f t="shared" si="79"/>
        <v>F-235905-0042-WW1</v>
      </c>
      <c r="AF631" s="36">
        <v>200</v>
      </c>
      <c r="AG631" s="120">
        <f t="shared" si="82"/>
        <v>2088</v>
      </c>
      <c r="AH631" s="36"/>
      <c r="AI631" s="124"/>
      <c r="AJ631" s="122" t="s">
        <v>1303</v>
      </c>
      <c r="AK631" s="129" t="str">
        <f t="shared" ca="1" si="80"/>
        <v>Late</v>
      </c>
      <c r="AL631" s="268" t="str">
        <f t="shared" si="84"/>
        <v>April</v>
      </c>
      <c r="AM631" s="133">
        <f>YEAR(Table1[[#This Row],[ETA
As requested
dd.mm.yyyy]])</f>
        <v>2024</v>
      </c>
    </row>
    <row r="632" spans="1:39" hidden="1">
      <c r="A632" s="123" t="s">
        <v>83</v>
      </c>
      <c r="B632" s="36" t="s">
        <v>1170</v>
      </c>
      <c r="C632" s="117">
        <v>5364229</v>
      </c>
      <c r="D632" s="165">
        <v>45426</v>
      </c>
      <c r="E632" s="117" t="s">
        <v>347</v>
      </c>
      <c r="F632" s="36" t="str">
        <f>IFERROR(VLOOKUP(Table1[[#This Row],[Part Number]],DATABASE_FG!$C$6:D10621,2,FALSE)," ")</f>
        <v>096215305-0000_x000D_</v>
      </c>
      <c r="G632" s="117" t="str">
        <f>IFERROR(_xlfn.XLOOKUP(Table1[[#This Row],[Part Number]],Table3[Part number],Table3[Drawing
 Revision]),"")</f>
        <v>AD</v>
      </c>
      <c r="H632" s="118" cm="1">
        <f t="array" ref="H632">IFERROR(INDEX(PDB!$C:$AT,MATCH(E632,PDB!$B:$B,0),MATCH(YEAR(K632),0+PDB!$C$1:$AT$1,0)),"")</f>
        <v>10.44</v>
      </c>
      <c r="I632" s="36">
        <v>200</v>
      </c>
      <c r="J632" s="125">
        <f>IFERROR(Table1[[#This Row],[Quantity]]*Table1[[#This Row],[Price/Unit
EUR]]," ")</f>
        <v>2088</v>
      </c>
      <c r="K632" s="126">
        <v>45443</v>
      </c>
      <c r="L632" s="36">
        <f>WEEKNUM(Table1[[#This Row],[ETA
As requested
dd.mm.yyyy]])</f>
        <v>22</v>
      </c>
      <c r="M632" s="36">
        <f>YEAR(Table1[[#This Row],[ETA
As requested
dd.mm.yyyy]])</f>
        <v>2024</v>
      </c>
      <c r="N632" s="36">
        <f>IFERROR(INDEX(DATABASE_FG!$H$5:$H$367, MATCH(E632, DATABASE_FG!$C$5:$C$367, 0)), " ")</f>
        <v>0</v>
      </c>
      <c r="O632" s="129" t="str">
        <f>IF(E632&lt;&gt;"", _xlfn.XLOOKUP(E632, DATABASE_FG!C:C, DATABASE_FG!F:F), " ")</f>
        <v>Strunjire moale</v>
      </c>
      <c r="P632" s="129">
        <f>IFERROR(INDEX(DATABASE_FG!$G$5:$G$367, MATCH(E632, DATABASE_FG!$C$5:$C$367, 0)), "Not Found")</f>
        <v>200</v>
      </c>
      <c r="Q632" s="36"/>
      <c r="R632" s="125" t="s">
        <v>678</v>
      </c>
      <c r="S632" s="123">
        <f>IFERROR(INDEX(DATABASE_FG!$L$5:$L$367, MATCH(E632, DATABASE_FG!$C$5:$C$367, 0)), " ")</f>
        <v>42</v>
      </c>
      <c r="T632" s="36" t="s">
        <v>679</v>
      </c>
      <c r="U632" s="36"/>
      <c r="V632" s="36"/>
      <c r="W632" s="129"/>
      <c r="X632" s="36"/>
      <c r="Y632" s="36"/>
      <c r="Z632" s="36">
        <v>241410</v>
      </c>
      <c r="AA632" s="125" t="s">
        <v>121</v>
      </c>
      <c r="AB632" s="173">
        <v>45447</v>
      </c>
      <c r="AC632" s="119">
        <v>2024599</v>
      </c>
      <c r="AD632" s="36">
        <f t="shared" si="78"/>
        <v>5364229</v>
      </c>
      <c r="AE632" s="36" t="str">
        <f t="shared" si="79"/>
        <v>F-235905-0042-WW1</v>
      </c>
      <c r="AF632" s="36">
        <v>200</v>
      </c>
      <c r="AG632" s="120">
        <f t="shared" si="82"/>
        <v>2088</v>
      </c>
      <c r="AH632" s="36"/>
      <c r="AI632" s="124"/>
      <c r="AJ632" s="122" t="s">
        <v>1590</v>
      </c>
      <c r="AK632" s="129" t="str">
        <f t="shared" ca="1" si="80"/>
        <v>Late</v>
      </c>
      <c r="AL632" s="268" t="str">
        <f t="shared" si="84"/>
        <v>May</v>
      </c>
      <c r="AM632" s="133">
        <f>YEAR(Table1[[#This Row],[ETA
As requested
dd.mm.yyyy]])</f>
        <v>2024</v>
      </c>
    </row>
    <row r="633" spans="1:39" hidden="1">
      <c r="A633" s="123" t="s">
        <v>83</v>
      </c>
      <c r="B633" s="36" t="s">
        <v>1170</v>
      </c>
      <c r="C633" s="117">
        <v>5364229</v>
      </c>
      <c r="D633" s="165">
        <v>45426</v>
      </c>
      <c r="E633" s="117" t="s">
        <v>347</v>
      </c>
      <c r="F633" s="36" t="str">
        <f>IFERROR(VLOOKUP(Table1[[#This Row],[Part Number]],DATABASE_FG!$C$6:D10622,2,FALSE)," ")</f>
        <v>096215305-0000_x000D_</v>
      </c>
      <c r="G633" s="117" t="str">
        <f>IFERROR(_xlfn.XLOOKUP(Table1[[#This Row],[Part Number]],Table3[Part number],Table3[Drawing
 Revision]),"")</f>
        <v>AD</v>
      </c>
      <c r="H633" s="118" cm="1">
        <f t="array" ref="H633">IFERROR(INDEX(PDB!$C:$AT,MATCH(E633,PDB!$B:$B,0),MATCH(YEAR(K633),0+PDB!$C$1:$AT$1,0)),"")</f>
        <v>10.44</v>
      </c>
      <c r="I633" s="36">
        <v>200</v>
      </c>
      <c r="J633" s="125">
        <f>IFERROR(Table1[[#This Row],[Quantity]]*Table1[[#This Row],[Price/Unit
EUR]]," ")</f>
        <v>2088</v>
      </c>
      <c r="K633" s="126">
        <v>45485</v>
      </c>
      <c r="L633" s="36">
        <f>WEEKNUM(Table1[[#This Row],[ETA
As requested
dd.mm.yyyy]])</f>
        <v>28</v>
      </c>
      <c r="M633" s="36">
        <f>YEAR(Table1[[#This Row],[ETA
As requested
dd.mm.yyyy]])</f>
        <v>2024</v>
      </c>
      <c r="N633" s="36">
        <f>IFERROR(INDEX(DATABASE_FG!$H$5:$H$367, MATCH(E633, DATABASE_FG!$C$5:$C$367, 0)), " ")</f>
        <v>0</v>
      </c>
      <c r="O633" s="129" t="str">
        <f>IF(E633&lt;&gt;"", _xlfn.XLOOKUP(E633, DATABASE_FG!C:C, DATABASE_FG!F:F), " ")</f>
        <v>Strunjire moale</v>
      </c>
      <c r="P633" s="129">
        <f>IFERROR(INDEX(DATABASE_FG!$G$5:$G$367, MATCH(E633, DATABASE_FG!$C$5:$C$367, 0)), "Not Found")</f>
        <v>200</v>
      </c>
      <c r="Q633" s="36"/>
      <c r="R633" s="125" t="s">
        <v>678</v>
      </c>
      <c r="S633" s="123">
        <f>IFERROR(INDEX(DATABASE_FG!$L$5:$L$367, MATCH(E633, DATABASE_FG!$C$5:$C$367, 0)), " ")</f>
        <v>42</v>
      </c>
      <c r="T633" s="36" t="s">
        <v>679</v>
      </c>
      <c r="U633" s="36"/>
      <c r="V633" s="36"/>
      <c r="W633" s="129"/>
      <c r="X633" s="36"/>
      <c r="Y633" s="36"/>
      <c r="Z633" s="36" t="s">
        <v>1834</v>
      </c>
      <c r="AA633" s="125" t="s">
        <v>121</v>
      </c>
      <c r="AB633" s="173">
        <v>45496</v>
      </c>
      <c r="AC633" s="119">
        <v>2024905</v>
      </c>
      <c r="AD633" s="36">
        <f t="shared" si="78"/>
        <v>5364229</v>
      </c>
      <c r="AE633" s="36" t="str">
        <f t="shared" si="79"/>
        <v>F-235905-0042-WW1</v>
      </c>
      <c r="AF633" s="36">
        <v>191</v>
      </c>
      <c r="AG633" s="120">
        <f t="shared" si="82"/>
        <v>1994.04</v>
      </c>
      <c r="AH633" s="36">
        <v>9</v>
      </c>
      <c r="AI633" s="124"/>
      <c r="AJ633" s="122" t="s">
        <v>1835</v>
      </c>
      <c r="AK633" s="129" t="str">
        <f t="shared" ca="1" si="80"/>
        <v>Late</v>
      </c>
      <c r="AL633" s="268" t="str">
        <f t="shared" si="84"/>
        <v>July</v>
      </c>
      <c r="AM633" s="133">
        <f>YEAR(Table1[[#This Row],[ETA
As requested
dd.mm.yyyy]])</f>
        <v>2024</v>
      </c>
    </row>
    <row r="634" spans="1:39" hidden="1">
      <c r="A634" s="123" t="s">
        <v>83</v>
      </c>
      <c r="B634" s="36" t="s">
        <v>1170</v>
      </c>
      <c r="C634" s="117">
        <v>5364229</v>
      </c>
      <c r="D634" s="165">
        <v>45559</v>
      </c>
      <c r="E634" s="117" t="s">
        <v>347</v>
      </c>
      <c r="F634" s="36" t="str">
        <f>IFERROR(VLOOKUP(Table1[[#This Row],[Part Number]],DATABASE_FG!$C$6:D10623,2,FALSE)," ")</f>
        <v>096215305-0000_x000D_</v>
      </c>
      <c r="G634" s="117" t="str">
        <f>IFERROR(_xlfn.XLOOKUP(Table1[[#This Row],[Part Number]],Table3[Part number],Table3[Drawing
 Revision]),"")</f>
        <v>AD</v>
      </c>
      <c r="H634" s="118" cm="1">
        <f t="array" ref="H634">IFERROR(INDEX(PDB!$C:$AT,MATCH(E634,PDB!$B:$B,0),MATCH(YEAR(K634),0+PDB!$C$1:$AT$1,0)),"")</f>
        <v>10.44</v>
      </c>
      <c r="I634" s="36">
        <v>200</v>
      </c>
      <c r="J634" s="125">
        <f>IFERROR(Table1[[#This Row],[Quantity]]*Table1[[#This Row],[Price/Unit
EUR]]," ")</f>
        <v>2088</v>
      </c>
      <c r="K634" s="126">
        <v>45583</v>
      </c>
      <c r="L634" s="36">
        <f>WEEKNUM(Table1[[#This Row],[ETA
As requested
dd.mm.yyyy]])</f>
        <v>42</v>
      </c>
      <c r="M634" s="36">
        <f>YEAR(Table1[[#This Row],[ETA
As requested
dd.mm.yyyy]])</f>
        <v>2024</v>
      </c>
      <c r="N634" s="36">
        <f>IFERROR(INDEX(DATABASE_FG!$H$5:$H$367, MATCH(E634, DATABASE_FG!$C$5:$C$367, 0)), " ")</f>
        <v>0</v>
      </c>
      <c r="O634" s="129" t="str">
        <f>IF(E634&lt;&gt;"", _xlfn.XLOOKUP(E634, DATABASE_FG!C:C, DATABASE_FG!F:F), " ")</f>
        <v>Strunjire moale</v>
      </c>
      <c r="P634" s="129">
        <f>IFERROR(INDEX(DATABASE_FG!$G$5:$G$367, MATCH(E634, DATABASE_FG!$C$5:$C$367, 0)), "Not Found")</f>
        <v>200</v>
      </c>
      <c r="Q634" s="36"/>
      <c r="R634" s="125" t="s">
        <v>678</v>
      </c>
      <c r="S634" s="123">
        <f>IFERROR(INDEX(DATABASE_FG!$L$5:$L$367, MATCH(E634, DATABASE_FG!$C$5:$C$367, 0)), " ")</f>
        <v>42</v>
      </c>
      <c r="T634" s="36" t="s">
        <v>679</v>
      </c>
      <c r="U634" s="36"/>
      <c r="V634" s="36"/>
      <c r="W634" s="129"/>
      <c r="X634" s="36"/>
      <c r="Y634" s="36"/>
      <c r="Z634" s="36"/>
      <c r="AA634" s="125" t="s">
        <v>121</v>
      </c>
      <c r="AB634" s="172">
        <v>45562</v>
      </c>
      <c r="AC634" s="119">
        <v>202401175</v>
      </c>
      <c r="AD634" s="36">
        <f t="shared" si="78"/>
        <v>5364229</v>
      </c>
      <c r="AE634" s="36" t="str">
        <f t="shared" si="79"/>
        <v>F-235905-0042-WW1</v>
      </c>
      <c r="AF634" s="36">
        <v>199</v>
      </c>
      <c r="AG634" s="120">
        <f t="shared" si="82"/>
        <v>2077.56</v>
      </c>
      <c r="AH634" s="36">
        <v>1</v>
      </c>
      <c r="AI634" s="124"/>
      <c r="AJ634" s="122" t="s">
        <v>2484</v>
      </c>
      <c r="AK634" s="129" t="str">
        <f t="shared" ca="1" si="80"/>
        <v>On Time</v>
      </c>
      <c r="AL634" s="268" t="str">
        <f t="shared" si="84"/>
        <v>October</v>
      </c>
      <c r="AM634" s="133">
        <f>YEAR(Table1[[#This Row],[ETA
As requested
dd.mm.yyyy]])</f>
        <v>2024</v>
      </c>
    </row>
    <row r="635" spans="1:39" hidden="1">
      <c r="A635" s="123" t="s">
        <v>83</v>
      </c>
      <c r="B635" s="36" t="s">
        <v>1170</v>
      </c>
      <c r="C635" s="117">
        <v>5364229</v>
      </c>
      <c r="D635" s="165">
        <v>45547</v>
      </c>
      <c r="E635" s="117" t="s">
        <v>347</v>
      </c>
      <c r="F635" s="36" t="str">
        <f>IFERROR(VLOOKUP(Table1[[#This Row],[Part Number]],DATABASE_FG!$C$6:D10624,2,FALSE)," ")</f>
        <v>096215305-0000_x000D_</v>
      </c>
      <c r="G635" s="117" t="str">
        <f>IFERROR(_xlfn.XLOOKUP(Table1[[#This Row],[Part Number]],Table3[Part number],Table3[Drawing
 Revision]),"")</f>
        <v>AD</v>
      </c>
      <c r="H635" s="118" cm="1">
        <f t="array" ref="H635">IFERROR(INDEX(PDB!$C:$AT,MATCH(E635,PDB!$B:$B,0),MATCH(YEAR(K635),0+PDB!$C$1:$AT$1,0)),"")</f>
        <v>10.44</v>
      </c>
      <c r="I635" s="36">
        <v>42</v>
      </c>
      <c r="J635" s="125">
        <f>IFERROR(Table1[[#This Row],[Quantity]]*Table1[[#This Row],[Price/Unit
EUR]]," ")</f>
        <v>438.47999999999996</v>
      </c>
      <c r="K635" s="126">
        <v>45594</v>
      </c>
      <c r="L635" s="36">
        <f>WEEKNUM(Table1[[#This Row],[ETA
As requested
dd.mm.yyyy]])</f>
        <v>44</v>
      </c>
      <c r="M635" s="36">
        <f>YEAR(Table1[[#This Row],[ETA
As requested
dd.mm.yyyy]])</f>
        <v>2024</v>
      </c>
      <c r="N635" s="36">
        <f>IFERROR(INDEX(DATABASE_FG!$H$5:$H$367, MATCH(E635, DATABASE_FG!$C$5:$C$367, 0)), " ")</f>
        <v>0</v>
      </c>
      <c r="O635" s="129" t="str">
        <f>IF(E635&lt;&gt;"", _xlfn.XLOOKUP(E635, DATABASE_FG!C:C, DATABASE_FG!F:F), " ")</f>
        <v>Strunjire moale</v>
      </c>
      <c r="P635" s="129">
        <f>IFERROR(INDEX(DATABASE_FG!$G$5:$G$367, MATCH(E635, DATABASE_FG!$C$5:$C$367, 0)), "Not Found")</f>
        <v>200</v>
      </c>
      <c r="Q635" s="36"/>
      <c r="R635" s="125" t="s">
        <v>678</v>
      </c>
      <c r="S635" s="123">
        <f>IFERROR(INDEX(DATABASE_FG!$L$5:$L$367, MATCH(E635, DATABASE_FG!$C$5:$C$367, 0)), " ")</f>
        <v>42</v>
      </c>
      <c r="T635" s="36" t="s">
        <v>679</v>
      </c>
      <c r="U635" s="36"/>
      <c r="V635" s="36"/>
      <c r="W635" s="129"/>
      <c r="X635" s="36"/>
      <c r="Y635" s="36" t="s">
        <v>2491</v>
      </c>
      <c r="Z635" s="36"/>
      <c r="AA635" s="125" t="s">
        <v>121</v>
      </c>
      <c r="AB635" s="172">
        <v>45686</v>
      </c>
      <c r="AC635" s="119">
        <v>25109</v>
      </c>
      <c r="AD635" s="36">
        <f t="shared" si="78"/>
        <v>5364229</v>
      </c>
      <c r="AE635" s="36" t="str">
        <f t="shared" si="79"/>
        <v>F-235905-0042-WW1</v>
      </c>
      <c r="AF635" s="36">
        <v>42</v>
      </c>
      <c r="AG635" s="120">
        <f t="shared" si="82"/>
        <v>438.47999999999996</v>
      </c>
      <c r="AH635" s="36"/>
      <c r="AI635" s="124"/>
      <c r="AJ635" s="122" t="s">
        <v>2532</v>
      </c>
      <c r="AK635" s="129" t="str">
        <f t="shared" ca="1" si="80"/>
        <v>Late</v>
      </c>
      <c r="AL635" s="268" t="str">
        <f t="shared" si="84"/>
        <v>October</v>
      </c>
      <c r="AM635" s="133">
        <f>YEAR(Table1[[#This Row],[ETA
As requested
dd.mm.yyyy]])</f>
        <v>2024</v>
      </c>
    </row>
    <row r="636" spans="1:39" hidden="1">
      <c r="A636" s="123" t="s">
        <v>83</v>
      </c>
      <c r="B636" s="36" t="s">
        <v>1170</v>
      </c>
      <c r="C636" s="117">
        <v>5364229</v>
      </c>
      <c r="D636" s="165">
        <v>45559</v>
      </c>
      <c r="E636" s="117" t="s">
        <v>347</v>
      </c>
      <c r="F636" s="36" t="str">
        <f>IFERROR(VLOOKUP(Table1[[#This Row],[Part Number]],DATABASE_FG!$C$6:D10625,2,FALSE)," ")</f>
        <v>096215305-0000_x000D_</v>
      </c>
      <c r="G636" s="117" t="str">
        <f>IFERROR(_xlfn.XLOOKUP(Table1[[#This Row],[Part Number]],Table3[Part number],Table3[Drawing
 Revision]),"")</f>
        <v>AD</v>
      </c>
      <c r="H636" s="118" cm="1">
        <f t="array" ref="H636">IFERROR(INDEX(PDB!$C:$AT,MATCH(E636,PDB!$B:$B,0),MATCH(YEAR(K636),0+PDB!$C$1:$AT$1,0)),"")</f>
        <v>10.44</v>
      </c>
      <c r="I636" s="36">
        <v>120</v>
      </c>
      <c r="J636" s="125">
        <f>IFERROR(Table1[[#This Row],[Quantity]]*Table1[[#This Row],[Price/Unit
EUR]]," ")</f>
        <v>1252.8</v>
      </c>
      <c r="K636" s="126">
        <v>45616</v>
      </c>
      <c r="L636" s="36">
        <f>WEEKNUM(Table1[[#This Row],[ETA
As requested
dd.mm.yyyy]])</f>
        <v>47</v>
      </c>
      <c r="M636" s="36">
        <f>YEAR(Table1[[#This Row],[ETA
As requested
dd.mm.yyyy]])</f>
        <v>2024</v>
      </c>
      <c r="N636" s="36">
        <f>IFERROR(INDEX(DATABASE_FG!$H$5:$H$367, MATCH(E636, DATABASE_FG!$C$5:$C$367, 0)), " ")</f>
        <v>0</v>
      </c>
      <c r="O636" s="129" t="str">
        <f>IF(E636&lt;&gt;"", _xlfn.XLOOKUP(E636, DATABASE_FG!C:C, DATABASE_FG!F:F), " ")</f>
        <v>Strunjire moale</v>
      </c>
      <c r="P636" s="129">
        <f>IFERROR(INDEX(DATABASE_FG!$G$5:$G$367, MATCH(E636, DATABASE_FG!$C$5:$C$367, 0)), "Not Found")</f>
        <v>200</v>
      </c>
      <c r="Q636" s="36"/>
      <c r="R636" s="125" t="s">
        <v>678</v>
      </c>
      <c r="S636" s="123">
        <f>IFERROR(INDEX(DATABASE_FG!$L$5:$L$367, MATCH(E636, DATABASE_FG!$C$5:$C$367, 0)), " ")</f>
        <v>42</v>
      </c>
      <c r="T636" s="36" t="s">
        <v>679</v>
      </c>
      <c r="U636" s="36"/>
      <c r="V636" s="36"/>
      <c r="W636" s="129"/>
      <c r="X636" s="36"/>
      <c r="Y636" s="36"/>
      <c r="Z636" s="36"/>
      <c r="AA636" s="125" t="s">
        <v>121</v>
      </c>
      <c r="AB636" s="173">
        <v>45621</v>
      </c>
      <c r="AC636" s="119">
        <v>202401423</v>
      </c>
      <c r="AD636" s="36">
        <f t="shared" si="78"/>
        <v>5364229</v>
      </c>
      <c r="AE636" s="36" t="str">
        <f t="shared" si="79"/>
        <v>F-235905-0042-WW1</v>
      </c>
      <c r="AF636" s="36">
        <v>119</v>
      </c>
      <c r="AG636" s="120">
        <f t="shared" si="82"/>
        <v>1242.3599999999999</v>
      </c>
      <c r="AH636" s="36">
        <v>1</v>
      </c>
      <c r="AI636" s="124"/>
      <c r="AJ636" s="122" t="s">
        <v>2616</v>
      </c>
      <c r="AK636" s="129" t="str">
        <f t="shared" ca="1" si="80"/>
        <v>Late</v>
      </c>
      <c r="AL636" s="268" t="str">
        <f t="shared" si="84"/>
        <v>November</v>
      </c>
      <c r="AM636" s="133">
        <f>YEAR(Table1[[#This Row],[ETA
As requested
dd.mm.yyyy]])</f>
        <v>2024</v>
      </c>
    </row>
    <row r="637" spans="1:39" hidden="1">
      <c r="A637" s="123" t="s">
        <v>83</v>
      </c>
      <c r="B637" s="36" t="s">
        <v>1170</v>
      </c>
      <c r="C637" s="117">
        <v>5364229</v>
      </c>
      <c r="D637" s="165">
        <v>45547</v>
      </c>
      <c r="E637" s="117" t="s">
        <v>347</v>
      </c>
      <c r="F637" s="36" t="str">
        <f>IFERROR(VLOOKUP(Table1[[#This Row],[Part Number]],DATABASE_FG!$C$6:D10626,2,FALSE)," ")</f>
        <v>096215305-0000_x000D_</v>
      </c>
      <c r="G637" s="117" t="str">
        <f>IFERROR(_xlfn.XLOOKUP(Table1[[#This Row],[Part Number]],Table3[Part number],Table3[Drawing
 Revision]),"")</f>
        <v>AD</v>
      </c>
      <c r="H637" s="118" cm="1">
        <f t="array" ref="H637">IFERROR(INDEX(PDB!$C:$AT,MATCH(E637,PDB!$B:$B,0),MATCH(YEAR(K637),0+PDB!$C$1:$AT$1,0)),"")</f>
        <v>10.44</v>
      </c>
      <c r="I637" s="36">
        <v>22</v>
      </c>
      <c r="J637" s="125">
        <f>IFERROR(Table1[[#This Row],[Quantity]]*Table1[[#This Row],[Price/Unit
EUR]]," ")</f>
        <v>229.67999999999998</v>
      </c>
      <c r="K637" s="126">
        <v>45630</v>
      </c>
      <c r="L637" s="36">
        <f>WEEKNUM(Table1[[#This Row],[ETA
As requested
dd.mm.yyyy]])</f>
        <v>49</v>
      </c>
      <c r="M637" s="36">
        <f>YEAR(Table1[[#This Row],[ETA
As requested
dd.mm.yyyy]])</f>
        <v>2024</v>
      </c>
      <c r="N637" s="36">
        <f>IFERROR(INDEX(DATABASE_FG!$H$5:$H$367, MATCH(E637, DATABASE_FG!$C$5:$C$367, 0)), " ")</f>
        <v>0</v>
      </c>
      <c r="O637" s="129" t="str">
        <f>IF(E637&lt;&gt;"", _xlfn.XLOOKUP(E637, DATABASE_FG!C:C, DATABASE_FG!F:F), " ")</f>
        <v>Strunjire moale</v>
      </c>
      <c r="P637" s="129">
        <f>IFERROR(INDEX(DATABASE_FG!$G$5:$G$367, MATCH(E637, DATABASE_FG!$C$5:$C$367, 0)), "Not Found")</f>
        <v>200</v>
      </c>
      <c r="Q637" s="36"/>
      <c r="R637" s="125" t="s">
        <v>678</v>
      </c>
      <c r="S637" s="123">
        <f>IFERROR(INDEX(DATABASE_FG!$L$5:$L$367, MATCH(E637, DATABASE_FG!$C$5:$C$367, 0)), " ")</f>
        <v>42</v>
      </c>
      <c r="T637" s="36" t="s">
        <v>679</v>
      </c>
      <c r="U637" s="36"/>
      <c r="V637" s="36"/>
      <c r="W637" s="129"/>
      <c r="X637" s="36"/>
      <c r="Y637" s="36"/>
      <c r="Z637" s="36"/>
      <c r="AA637" s="125" t="s">
        <v>121</v>
      </c>
      <c r="AB637" s="173">
        <v>45686</v>
      </c>
      <c r="AC637" s="119">
        <v>25109</v>
      </c>
      <c r="AD637" s="36">
        <f t="shared" si="78"/>
        <v>5364229</v>
      </c>
      <c r="AE637" s="36" t="str">
        <f t="shared" si="79"/>
        <v>F-235905-0042-WW1</v>
      </c>
      <c r="AF637" s="36">
        <v>22</v>
      </c>
      <c r="AG637" s="120">
        <f t="shared" si="82"/>
        <v>229.67999999999998</v>
      </c>
      <c r="AH637" s="36"/>
      <c r="AI637" s="124"/>
      <c r="AJ637" s="122"/>
      <c r="AK637" s="129" t="str">
        <f t="shared" ca="1" si="80"/>
        <v>Late</v>
      </c>
      <c r="AL637" s="268" t="str">
        <f t="shared" si="84"/>
        <v>December</v>
      </c>
      <c r="AM637" s="133">
        <f>YEAR(Table1[[#This Row],[ETA
As requested
dd.mm.yyyy]])</f>
        <v>2024</v>
      </c>
    </row>
    <row r="638" spans="1:39" hidden="1">
      <c r="A638" s="123" t="s">
        <v>83</v>
      </c>
      <c r="B638" s="36" t="s">
        <v>1170</v>
      </c>
      <c r="C638" s="117">
        <v>5364229</v>
      </c>
      <c r="D638" s="165">
        <v>45547</v>
      </c>
      <c r="E638" s="117" t="s">
        <v>347</v>
      </c>
      <c r="F638" s="36" t="str">
        <f>IFERROR(VLOOKUP(Table1[[#This Row],[Part Number]],DATABASE_FG!$C$6:D10627,2,FALSE)," ")</f>
        <v>096215305-0000_x000D_</v>
      </c>
      <c r="G638" s="117" t="str">
        <f>IFERROR(_xlfn.XLOOKUP(Table1[[#This Row],[Part Number]],Table3[Part number],Table3[Drawing
 Revision]),"")</f>
        <v>AD</v>
      </c>
      <c r="H638" s="118" cm="1">
        <f t="array" ref="H638">IFERROR(INDEX(PDB!$C:$AT,MATCH(E638,PDB!$B:$B,0),MATCH(YEAR(K638),0+PDB!$C$1:$AT$1,0)),"")</f>
        <v>10.44</v>
      </c>
      <c r="I638" s="36">
        <v>35</v>
      </c>
      <c r="J638" s="125">
        <f>IFERROR(Table1[[#This Row],[Quantity]]*Table1[[#This Row],[Price/Unit
EUR]]," ")</f>
        <v>365.4</v>
      </c>
      <c r="K638" s="126">
        <v>45646</v>
      </c>
      <c r="L638" s="36">
        <f>WEEKNUM(Table1[[#This Row],[ETA
As requested
dd.mm.yyyy]])</f>
        <v>51</v>
      </c>
      <c r="M638" s="36">
        <f>YEAR(Table1[[#This Row],[ETA
As requested
dd.mm.yyyy]])</f>
        <v>2024</v>
      </c>
      <c r="N638" s="36">
        <f>IFERROR(INDEX(DATABASE_FG!$H$5:$H$367, MATCH(E638, DATABASE_FG!$C$5:$C$367, 0)), " ")</f>
        <v>0</v>
      </c>
      <c r="O638" s="129" t="str">
        <f>IF(E638&lt;&gt;"", _xlfn.XLOOKUP(E638, DATABASE_FG!C:C, DATABASE_FG!F:F), " ")</f>
        <v>Strunjire moale</v>
      </c>
      <c r="P638" s="129">
        <f>IFERROR(INDEX(DATABASE_FG!$G$5:$G$367, MATCH(E638, DATABASE_FG!$C$5:$C$367, 0)), "Not Found")</f>
        <v>200</v>
      </c>
      <c r="Q638" s="36"/>
      <c r="R638" s="125" t="s">
        <v>678</v>
      </c>
      <c r="S638" s="123">
        <f>IFERROR(INDEX(DATABASE_FG!$L$5:$L$367, MATCH(E638, DATABASE_FG!$C$5:$C$367, 0)), " ")</f>
        <v>42</v>
      </c>
      <c r="T638" s="36" t="s">
        <v>679</v>
      </c>
      <c r="U638" s="36"/>
      <c r="V638" s="36"/>
      <c r="W638" s="129"/>
      <c r="X638" s="36"/>
      <c r="Y638" s="36"/>
      <c r="Z638" s="36"/>
      <c r="AA638" s="125" t="s">
        <v>121</v>
      </c>
      <c r="AB638" s="172">
        <v>45686</v>
      </c>
      <c r="AC638" s="119">
        <v>25109</v>
      </c>
      <c r="AD638" s="36">
        <f t="shared" si="78"/>
        <v>5364229</v>
      </c>
      <c r="AE638" s="36" t="str">
        <f t="shared" si="79"/>
        <v>F-235905-0042-WW1</v>
      </c>
      <c r="AF638" s="36">
        <v>31</v>
      </c>
      <c r="AG638" s="120">
        <f t="shared" si="82"/>
        <v>323.64</v>
      </c>
      <c r="AH638" s="36">
        <v>4</v>
      </c>
      <c r="AI638" s="124"/>
      <c r="AJ638" s="122"/>
      <c r="AK638" s="129" t="str">
        <f t="shared" ca="1" si="80"/>
        <v>Late</v>
      </c>
      <c r="AL638" s="268" t="str">
        <f t="shared" si="84"/>
        <v>December</v>
      </c>
      <c r="AM638" s="133">
        <f>YEAR(Table1[[#This Row],[ETA
As requested
dd.mm.yyyy]])</f>
        <v>2024</v>
      </c>
    </row>
    <row r="639" spans="1:39" hidden="1">
      <c r="A639" s="123" t="s">
        <v>83</v>
      </c>
      <c r="B639" s="36" t="s">
        <v>2464</v>
      </c>
      <c r="C639" s="117">
        <v>5364229</v>
      </c>
      <c r="D639" s="165">
        <v>45547</v>
      </c>
      <c r="E639" s="117" t="s">
        <v>347</v>
      </c>
      <c r="F639" s="36" t="str">
        <f>IFERROR(VLOOKUP(Table1[[#This Row],[Part Number]],DATABASE_FG!$C$6:D10628,2,FALSE)," ")</f>
        <v>096215305-0000_x000D_</v>
      </c>
      <c r="G639" s="117" t="str">
        <f>IFERROR(_xlfn.XLOOKUP(Table1[[#This Row],[Part Number]],Table3[Part number],Table3[Drawing
 Revision]),"")</f>
        <v>AD</v>
      </c>
      <c r="H639" s="118" cm="1">
        <f t="array" ref="H639">IFERROR(INDEX(PDB!$C:$AT,MATCH(E639,PDB!$B:$B,0),MATCH(YEAR(K639),0+PDB!$C$1:$AT$1,0)),"")</f>
        <v>10.44</v>
      </c>
      <c r="I639" s="36">
        <v>160</v>
      </c>
      <c r="J639" s="125">
        <f>IFERROR(Table1[[#This Row],[Quantity]]*Table1[[#This Row],[Price/Unit
EUR]]," ")</f>
        <v>1670.3999999999999</v>
      </c>
      <c r="K639" s="126">
        <v>45726</v>
      </c>
      <c r="L639" s="36">
        <f>WEEKNUM(Table1[[#This Row],[ETA
As requested
dd.mm.yyyy]])</f>
        <v>11</v>
      </c>
      <c r="M639" s="36">
        <f>YEAR(Table1[[#This Row],[ETA
As requested
dd.mm.yyyy]])</f>
        <v>2025</v>
      </c>
      <c r="N639" s="36">
        <f>IFERROR(INDEX(DATABASE_FG!$H$5:$H$367, MATCH(E639, DATABASE_FG!$C$5:$C$367, 0)), " ")</f>
        <v>0</v>
      </c>
      <c r="O639" s="129" t="str">
        <f>IF(E639&lt;&gt;"", _xlfn.XLOOKUP(E639, DATABASE_FG!C:C, DATABASE_FG!F:F), " ")</f>
        <v>Strunjire moale</v>
      </c>
      <c r="P639" s="129">
        <f>IFERROR(INDEX(DATABASE_FG!$G$5:$G$367, MATCH(E639, DATABASE_FG!$C$5:$C$367, 0)), "Not Found")</f>
        <v>200</v>
      </c>
      <c r="Q639" s="36"/>
      <c r="R639" s="125" t="s">
        <v>678</v>
      </c>
      <c r="S639" s="123">
        <f>IFERROR(INDEX(DATABASE_FG!$L$5:$L$367, MATCH(E639, DATABASE_FG!$C$5:$C$367, 0)), " ")</f>
        <v>42</v>
      </c>
      <c r="T639" s="36" t="s">
        <v>679</v>
      </c>
      <c r="U639" s="36"/>
      <c r="V639" s="36"/>
      <c r="W639" s="129"/>
      <c r="X639" s="36"/>
      <c r="Y639" s="36"/>
      <c r="Z639" s="36"/>
      <c r="AA639" s="125" t="s">
        <v>121</v>
      </c>
      <c r="AB639" s="173"/>
      <c r="AC639" s="119"/>
      <c r="AD639" s="36" t="str">
        <f t="shared" si="78"/>
        <v/>
      </c>
      <c r="AE639" s="36" t="str">
        <f t="shared" si="79"/>
        <v/>
      </c>
      <c r="AF639" s="36">
        <v>0</v>
      </c>
      <c r="AG639" s="120">
        <f t="shared" si="82"/>
        <v>0</v>
      </c>
      <c r="AH639" s="36"/>
      <c r="AI639" s="124" t="s">
        <v>2545</v>
      </c>
      <c r="AJ639" s="122"/>
      <c r="AK639" s="129" t="str">
        <f t="shared" ca="1" si="80"/>
        <v>Late</v>
      </c>
      <c r="AL639" s="268" t="str">
        <f t="shared" si="84"/>
        <v>March</v>
      </c>
      <c r="AM639" s="133">
        <f>YEAR(Table1[[#This Row],[ETA
As requested
dd.mm.yyyy]])</f>
        <v>2025</v>
      </c>
    </row>
    <row r="640" spans="1:39" hidden="1">
      <c r="A640" s="123" t="s">
        <v>83</v>
      </c>
      <c r="B640" s="36" t="s">
        <v>1170</v>
      </c>
      <c r="C640" s="117">
        <v>5364229</v>
      </c>
      <c r="D640" s="165">
        <v>45547</v>
      </c>
      <c r="E640" s="117" t="s">
        <v>347</v>
      </c>
      <c r="F640" s="36" t="str">
        <f>IFERROR(VLOOKUP(Table1[[#This Row],[Part Number]],DATABASE_FG!$C$6:D10629,2,FALSE)," ")</f>
        <v>096215305-0000_x000D_</v>
      </c>
      <c r="G640" s="117" t="str">
        <f>IFERROR(_xlfn.XLOOKUP(Table1[[#This Row],[Part Number]],Table3[Part number],Table3[Drawing
 Revision]),"")</f>
        <v>AD</v>
      </c>
      <c r="H640" s="118" cm="1">
        <f t="array" ref="H640">IFERROR(INDEX(PDB!$C:$AT,MATCH(E640,PDB!$B:$B,0),MATCH(YEAR(K640),0+PDB!$C$1:$AT$1,0)),"")</f>
        <v>10.44</v>
      </c>
      <c r="I640" s="36">
        <v>100</v>
      </c>
      <c r="J640" s="125">
        <f>IFERROR(Table1[[#This Row],[Quantity]]*Table1[[#This Row],[Price/Unit
EUR]]," ")</f>
        <v>1044</v>
      </c>
      <c r="K640" s="126">
        <v>45771</v>
      </c>
      <c r="L640" s="36">
        <f>WEEKNUM(Table1[[#This Row],[ETA
As requested
dd.mm.yyyy]])</f>
        <v>17</v>
      </c>
      <c r="M640" s="36">
        <f>YEAR(Table1[[#This Row],[ETA
As requested
dd.mm.yyyy]])</f>
        <v>2025</v>
      </c>
      <c r="N640" s="36">
        <f>IFERROR(INDEX(DATABASE_FG!$H$5:$H$367, MATCH(E640, DATABASE_FG!$C$5:$C$367, 0)), " ")</f>
        <v>0</v>
      </c>
      <c r="O640" s="129" t="str">
        <f>IF(E640&lt;&gt;"", _xlfn.XLOOKUP(E640, DATABASE_FG!C:C, DATABASE_FG!F:F), " ")</f>
        <v>Strunjire moale</v>
      </c>
      <c r="P640" s="129">
        <f>IFERROR(INDEX(DATABASE_FG!$G$5:$G$367, MATCH(E640, DATABASE_FG!$C$5:$C$367, 0)), "Not Found")</f>
        <v>200</v>
      </c>
      <c r="Q640" s="36"/>
      <c r="R640" s="125" t="s">
        <v>678</v>
      </c>
      <c r="S640" s="123">
        <f>IFERROR(INDEX(DATABASE_FG!$L$5:$L$367, MATCH(E640, DATABASE_FG!$C$5:$C$367, 0)), " ")</f>
        <v>42</v>
      </c>
      <c r="T640" s="36" t="s">
        <v>679</v>
      </c>
      <c r="U640" s="36"/>
      <c r="V640" s="36"/>
      <c r="W640" s="129"/>
      <c r="X640" s="36"/>
      <c r="Y640" s="36"/>
      <c r="Z640" s="36"/>
      <c r="AA640" s="125" t="s">
        <v>121</v>
      </c>
      <c r="AB640" s="173">
        <v>45804</v>
      </c>
      <c r="AC640" s="119">
        <v>25837</v>
      </c>
      <c r="AD640" s="36">
        <f t="shared" si="78"/>
        <v>5364229</v>
      </c>
      <c r="AE640" s="36" t="str">
        <f t="shared" si="79"/>
        <v>F-235905-0042-WW1</v>
      </c>
      <c r="AF640" s="36">
        <v>100</v>
      </c>
      <c r="AG640" s="120">
        <f t="shared" si="82"/>
        <v>1044</v>
      </c>
      <c r="AH640" s="36"/>
      <c r="AI640" s="124"/>
      <c r="AJ640" s="122" t="s">
        <v>3127</v>
      </c>
      <c r="AK640" s="129" t="str">
        <f t="shared" ca="1" si="80"/>
        <v>Late</v>
      </c>
      <c r="AL640" s="268" t="str">
        <f t="shared" si="84"/>
        <v>April</v>
      </c>
      <c r="AM640" s="133">
        <f>YEAR(Table1[[#This Row],[ETA
As requested
dd.mm.yyyy]])</f>
        <v>2025</v>
      </c>
    </row>
    <row r="641" spans="1:39" hidden="1">
      <c r="A641" s="123" t="s">
        <v>83</v>
      </c>
      <c r="B641" s="36" t="s">
        <v>2464</v>
      </c>
      <c r="C641" s="117">
        <v>5364229</v>
      </c>
      <c r="D641" s="165">
        <v>45547</v>
      </c>
      <c r="E641" s="117" t="s">
        <v>347</v>
      </c>
      <c r="F641" s="36" t="str">
        <f>IFERROR(VLOOKUP(Table1[[#This Row],[Part Number]],DATABASE_FG!$C$6:D10630,2,FALSE)," ")</f>
        <v>096215305-0000_x000D_</v>
      </c>
      <c r="G641" s="117" t="str">
        <f>IFERROR(_xlfn.XLOOKUP(Table1[[#This Row],[Part Number]],Table3[Part number],Table3[Drawing
 Revision]),"")</f>
        <v>AD</v>
      </c>
      <c r="H641" s="118" cm="1">
        <f t="array" ref="H641">IFERROR(INDEX(PDB!$C:$AT,MATCH(E641,PDB!$B:$B,0),MATCH(YEAR(K641),0+PDB!$C$1:$AT$1,0)),"")</f>
        <v>10.44</v>
      </c>
      <c r="I641" s="36">
        <v>80</v>
      </c>
      <c r="J641" s="125">
        <f>IFERROR(Table1[[#This Row],[Quantity]]*Table1[[#This Row],[Price/Unit
EUR]]," ")</f>
        <v>835.19999999999993</v>
      </c>
      <c r="K641" s="126">
        <v>45782</v>
      </c>
      <c r="L641" s="36">
        <f>WEEKNUM(Table1[[#This Row],[ETA
As requested
dd.mm.yyyy]])</f>
        <v>19</v>
      </c>
      <c r="M641" s="36">
        <f>YEAR(Table1[[#This Row],[ETA
As requested
dd.mm.yyyy]])</f>
        <v>2025</v>
      </c>
      <c r="N641" s="36">
        <f>IFERROR(INDEX(DATABASE_FG!$H$5:$H$367, MATCH(E641, DATABASE_FG!$C$5:$C$367, 0)), " ")</f>
        <v>0</v>
      </c>
      <c r="O641" s="129" t="str">
        <f>IF(E641&lt;&gt;"", _xlfn.XLOOKUP(E641, DATABASE_FG!C:C, DATABASE_FG!F:F), " ")</f>
        <v>Strunjire moale</v>
      </c>
      <c r="P641" s="129">
        <f>IFERROR(INDEX(DATABASE_FG!$G$5:$G$367, MATCH(E641, DATABASE_FG!$C$5:$C$367, 0)), "Not Found")</f>
        <v>200</v>
      </c>
      <c r="Q641" s="36"/>
      <c r="R641" s="125" t="s">
        <v>678</v>
      </c>
      <c r="S641" s="123">
        <f>IFERROR(INDEX(DATABASE_FG!$L$5:$L$367, MATCH(E641, DATABASE_FG!$C$5:$C$367, 0)), " ")</f>
        <v>42</v>
      </c>
      <c r="T641" s="36" t="s">
        <v>679</v>
      </c>
      <c r="U641" s="36"/>
      <c r="V641" s="36"/>
      <c r="W641" s="129"/>
      <c r="X641" s="36"/>
      <c r="Y641" s="36"/>
      <c r="Z641" s="36"/>
      <c r="AA641" s="125" t="s">
        <v>121</v>
      </c>
      <c r="AB641" s="173"/>
      <c r="AC641" s="119"/>
      <c r="AD641" s="36" t="str">
        <f t="shared" si="78"/>
        <v/>
      </c>
      <c r="AE641" s="36" t="str">
        <f t="shared" si="79"/>
        <v/>
      </c>
      <c r="AF641" s="36">
        <v>0</v>
      </c>
      <c r="AG641" s="120">
        <f t="shared" si="82"/>
        <v>0</v>
      </c>
      <c r="AH641" s="36"/>
      <c r="AI641" s="124" t="s">
        <v>2545</v>
      </c>
      <c r="AJ641" s="122"/>
      <c r="AK641" s="129" t="str">
        <f t="shared" ca="1" si="80"/>
        <v>Late</v>
      </c>
      <c r="AL641" s="268" t="str">
        <f t="shared" si="84"/>
        <v>May</v>
      </c>
      <c r="AM641" s="133">
        <f>YEAR(Table1[[#This Row],[ETA
As requested
dd.mm.yyyy]])</f>
        <v>2025</v>
      </c>
    </row>
    <row r="642" spans="1:39" hidden="1">
      <c r="A642" s="123" t="s">
        <v>83</v>
      </c>
      <c r="B642" s="36" t="s">
        <v>2464</v>
      </c>
      <c r="C642" s="117">
        <v>5364229</v>
      </c>
      <c r="D642" s="165">
        <v>45547</v>
      </c>
      <c r="E642" s="117" t="s">
        <v>347</v>
      </c>
      <c r="F642" s="36" t="str">
        <f>IFERROR(VLOOKUP(Table1[[#This Row],[Part Number]],DATABASE_FG!$C$6:D10631,2,FALSE)," ")</f>
        <v>096215305-0000_x000D_</v>
      </c>
      <c r="G642" s="117" t="str">
        <f>IFERROR(_xlfn.XLOOKUP(Table1[[#This Row],[Part Number]],Table3[Part number],Table3[Drawing
 Revision]),"")</f>
        <v>AD</v>
      </c>
      <c r="H642" s="118" cm="1">
        <f t="array" ref="H642">IFERROR(INDEX(PDB!$C:$AT,MATCH(E642,PDB!$B:$B,0),MATCH(YEAR(K642),0+PDB!$C$1:$AT$1,0)),"")</f>
        <v>10.44</v>
      </c>
      <c r="I642" s="36">
        <v>90</v>
      </c>
      <c r="J642" s="125">
        <f>IFERROR(Table1[[#This Row],[Quantity]]*Table1[[#This Row],[Price/Unit
EUR]]," ")</f>
        <v>939.59999999999991</v>
      </c>
      <c r="K642" s="126">
        <v>45810</v>
      </c>
      <c r="L642" s="36">
        <f>WEEKNUM(Table1[[#This Row],[ETA
As requested
dd.mm.yyyy]])</f>
        <v>23</v>
      </c>
      <c r="M642" s="36">
        <f>YEAR(Table1[[#This Row],[ETA
As requested
dd.mm.yyyy]])</f>
        <v>2025</v>
      </c>
      <c r="N642" s="36">
        <f>IFERROR(INDEX(DATABASE_FG!$H$5:$H$367, MATCH(E642, DATABASE_FG!$C$5:$C$367, 0)), " ")</f>
        <v>0</v>
      </c>
      <c r="O642" s="129" t="str">
        <f>IF(E642&lt;&gt;"", _xlfn.XLOOKUP(E642, DATABASE_FG!C:C, DATABASE_FG!F:F), " ")</f>
        <v>Strunjire moale</v>
      </c>
      <c r="P642" s="129">
        <f>IFERROR(INDEX(DATABASE_FG!$G$5:$G$367, MATCH(E642, DATABASE_FG!$C$5:$C$367, 0)), "Not Found")</f>
        <v>200</v>
      </c>
      <c r="Q642" s="36"/>
      <c r="R642" s="125" t="s">
        <v>678</v>
      </c>
      <c r="S642" s="123">
        <f>IFERROR(INDEX(DATABASE_FG!$L$5:$L$367, MATCH(E642, DATABASE_FG!$C$5:$C$367, 0)), " ")</f>
        <v>42</v>
      </c>
      <c r="T642" s="36" t="s">
        <v>679</v>
      </c>
      <c r="U642" s="36"/>
      <c r="V642" s="36"/>
      <c r="W642" s="129"/>
      <c r="X642" s="36"/>
      <c r="Y642" s="36"/>
      <c r="Z642" s="36"/>
      <c r="AA642" s="125" t="s">
        <v>121</v>
      </c>
      <c r="AB642" s="173"/>
      <c r="AC642" s="119"/>
      <c r="AD642" s="36" t="str">
        <f t="shared" si="78"/>
        <v/>
      </c>
      <c r="AE642" s="36" t="str">
        <f t="shared" si="79"/>
        <v/>
      </c>
      <c r="AF642" s="36">
        <v>0</v>
      </c>
      <c r="AG642" s="120">
        <f t="shared" si="82"/>
        <v>0</v>
      </c>
      <c r="AH642" s="36"/>
      <c r="AI642" s="124" t="s">
        <v>2545</v>
      </c>
      <c r="AJ642" s="122"/>
      <c r="AK642" s="129" t="str">
        <f t="shared" ca="1" si="80"/>
        <v>Late</v>
      </c>
      <c r="AL642" s="268" t="str">
        <f t="shared" si="84"/>
        <v>June</v>
      </c>
      <c r="AM642" s="133">
        <f>YEAR(Table1[[#This Row],[ETA
As requested
dd.mm.yyyy]])</f>
        <v>2025</v>
      </c>
    </row>
    <row r="643" spans="1:39" hidden="1">
      <c r="A643" s="123" t="s">
        <v>83</v>
      </c>
      <c r="B643" s="36" t="s">
        <v>2464</v>
      </c>
      <c r="C643" s="117">
        <v>5364229</v>
      </c>
      <c r="D643" s="165">
        <v>45547</v>
      </c>
      <c r="E643" s="117" t="s">
        <v>347</v>
      </c>
      <c r="F643" s="36" t="str">
        <f>IFERROR(VLOOKUP(Table1[[#This Row],[Part Number]],DATABASE_FG!$C$6:D10632,2,FALSE)," ")</f>
        <v>096215305-0000_x000D_</v>
      </c>
      <c r="G643" s="117" t="str">
        <f>IFERROR(_xlfn.XLOOKUP(Table1[[#This Row],[Part Number]],Table3[Part number],Table3[Drawing
 Revision]),"")</f>
        <v>AD</v>
      </c>
      <c r="H643" s="118" cm="1">
        <f t="array" ref="H643">IFERROR(INDEX(PDB!$C:$AT,MATCH(E643,PDB!$B:$B,0),MATCH(YEAR(K643),0+PDB!$C$1:$AT$1,0)),"")</f>
        <v>10.44</v>
      </c>
      <c r="I643" s="36">
        <v>80</v>
      </c>
      <c r="J643" s="125">
        <f>IFERROR(Table1[[#This Row],[Quantity]]*Table1[[#This Row],[Price/Unit
EUR]]," ")</f>
        <v>835.19999999999993</v>
      </c>
      <c r="K643" s="126">
        <v>45845</v>
      </c>
      <c r="L643" s="36">
        <f>WEEKNUM(Table1[[#This Row],[ETA
As requested
dd.mm.yyyy]])</f>
        <v>28</v>
      </c>
      <c r="M643" s="36">
        <f>YEAR(Table1[[#This Row],[ETA
As requested
dd.mm.yyyy]])</f>
        <v>2025</v>
      </c>
      <c r="N643" s="36">
        <f>IFERROR(INDEX(DATABASE_FG!$H$5:$H$367, MATCH(E643, DATABASE_FG!$C$5:$C$367, 0)), " ")</f>
        <v>0</v>
      </c>
      <c r="O643" s="129" t="str">
        <f>IF(E643&lt;&gt;"", _xlfn.XLOOKUP(E643, DATABASE_FG!C:C, DATABASE_FG!F:F), " ")</f>
        <v>Strunjire moale</v>
      </c>
      <c r="P643" s="129">
        <f>IFERROR(INDEX(DATABASE_FG!$G$5:$G$367, MATCH(E643, DATABASE_FG!$C$5:$C$367, 0)), "Not Found")</f>
        <v>200</v>
      </c>
      <c r="Q643" s="36"/>
      <c r="R643" s="125" t="s">
        <v>678</v>
      </c>
      <c r="S643" s="123">
        <f>IFERROR(INDEX(DATABASE_FG!$L$5:$L$367, MATCH(E643, DATABASE_FG!$C$5:$C$367, 0)), " ")</f>
        <v>42</v>
      </c>
      <c r="T643" s="36" t="s">
        <v>679</v>
      </c>
      <c r="U643" s="36"/>
      <c r="V643" s="36"/>
      <c r="W643" s="129"/>
      <c r="X643" s="36"/>
      <c r="Y643" s="36"/>
      <c r="Z643" s="36"/>
      <c r="AA643" s="125" t="s">
        <v>121</v>
      </c>
      <c r="AB643" s="173"/>
      <c r="AC643" s="119"/>
      <c r="AD643" s="36" t="str">
        <f t="shared" si="78"/>
        <v/>
      </c>
      <c r="AE643" s="36" t="str">
        <f t="shared" si="79"/>
        <v/>
      </c>
      <c r="AF643" s="36">
        <v>0</v>
      </c>
      <c r="AG643" s="120">
        <f t="shared" si="82"/>
        <v>0</v>
      </c>
      <c r="AH643" s="36"/>
      <c r="AI643" s="124" t="s">
        <v>2545</v>
      </c>
      <c r="AJ643" s="122"/>
      <c r="AK643" s="129" t="str">
        <f t="shared" ca="1" si="80"/>
        <v>Late</v>
      </c>
      <c r="AL643" s="268" t="str">
        <f t="shared" si="84"/>
        <v>July</v>
      </c>
      <c r="AM643" s="133">
        <f>YEAR(Table1[[#This Row],[ETA
As requested
dd.mm.yyyy]])</f>
        <v>2025</v>
      </c>
    </row>
    <row r="644" spans="1:39" hidden="1">
      <c r="A644" s="123" t="s">
        <v>83</v>
      </c>
      <c r="B644" s="36" t="s">
        <v>2464</v>
      </c>
      <c r="C644" s="117">
        <v>5364229</v>
      </c>
      <c r="D644" s="165">
        <v>45547</v>
      </c>
      <c r="E644" s="117" t="s">
        <v>347</v>
      </c>
      <c r="F644" s="36" t="str">
        <f>IFERROR(VLOOKUP(Table1[[#This Row],[Part Number]],DATABASE_FG!$C$6:D10633,2,FALSE)," ")</f>
        <v>096215305-0000_x000D_</v>
      </c>
      <c r="G644" s="117" t="str">
        <f>IFERROR(_xlfn.XLOOKUP(Table1[[#This Row],[Part Number]],Table3[Part number],Table3[Drawing
 Revision]),"")</f>
        <v>AD</v>
      </c>
      <c r="H644" s="118" cm="1">
        <f t="array" ref="H644">IFERROR(INDEX(PDB!$C:$AT,MATCH(E644,PDB!$B:$B,0),MATCH(YEAR(K644),0+PDB!$C$1:$AT$1,0)),"")</f>
        <v>10.44</v>
      </c>
      <c r="I644" s="36">
        <v>80</v>
      </c>
      <c r="J644" s="125">
        <f>IFERROR(Table1[[#This Row],[Quantity]]*Table1[[#This Row],[Price/Unit
EUR]]," ")</f>
        <v>835.19999999999993</v>
      </c>
      <c r="K644" s="126">
        <v>45852</v>
      </c>
      <c r="L644" s="36">
        <f>WEEKNUM(Table1[[#This Row],[ETA
As requested
dd.mm.yyyy]])</f>
        <v>29</v>
      </c>
      <c r="M644" s="36">
        <f>YEAR(Table1[[#This Row],[ETA
As requested
dd.mm.yyyy]])</f>
        <v>2025</v>
      </c>
      <c r="N644" s="36">
        <f>IFERROR(INDEX(DATABASE_FG!$H$5:$H$367, MATCH(E644, DATABASE_FG!$C$5:$C$367, 0)), " ")</f>
        <v>0</v>
      </c>
      <c r="O644" s="129" t="str">
        <f>IF(E644&lt;&gt;"", _xlfn.XLOOKUP(E644, DATABASE_FG!C:C, DATABASE_FG!F:F), " ")</f>
        <v>Strunjire moale</v>
      </c>
      <c r="P644" s="129">
        <f>IFERROR(INDEX(DATABASE_FG!$G$5:$G$367, MATCH(E644, DATABASE_FG!$C$5:$C$367, 0)), "Not Found")</f>
        <v>200</v>
      </c>
      <c r="Q644" s="36"/>
      <c r="R644" s="125" t="s">
        <v>678</v>
      </c>
      <c r="S644" s="123">
        <f>IFERROR(INDEX(DATABASE_FG!$L$5:$L$367, MATCH(E644, DATABASE_FG!$C$5:$C$367, 0)), " ")</f>
        <v>42</v>
      </c>
      <c r="T644" s="36" t="s">
        <v>679</v>
      </c>
      <c r="U644" s="36"/>
      <c r="V644" s="36"/>
      <c r="W644" s="129"/>
      <c r="X644" s="36"/>
      <c r="Y644" s="36"/>
      <c r="Z644" s="36"/>
      <c r="AA644" s="125" t="s">
        <v>121</v>
      </c>
      <c r="AB644" s="173"/>
      <c r="AC644" s="119"/>
      <c r="AD644" s="36" t="str">
        <f t="shared" si="78"/>
        <v/>
      </c>
      <c r="AE644" s="36" t="str">
        <f t="shared" si="79"/>
        <v/>
      </c>
      <c r="AF644" s="36">
        <v>0</v>
      </c>
      <c r="AG644" s="120">
        <f t="shared" si="82"/>
        <v>0</v>
      </c>
      <c r="AH644" s="36"/>
      <c r="AI644" s="124" t="s">
        <v>2545</v>
      </c>
      <c r="AJ644" s="122"/>
      <c r="AK644" s="129" t="str">
        <f t="shared" ca="1" si="80"/>
        <v>Late</v>
      </c>
      <c r="AL644" s="268" t="str">
        <f t="shared" si="84"/>
        <v>July</v>
      </c>
      <c r="AM644" s="133">
        <f>YEAR(Table1[[#This Row],[ETA
As requested
dd.mm.yyyy]])</f>
        <v>2025</v>
      </c>
    </row>
    <row r="645" spans="1:39" hidden="1">
      <c r="A645" s="123" t="s">
        <v>83</v>
      </c>
      <c r="B645" s="36" t="s">
        <v>2464</v>
      </c>
      <c r="C645" s="117">
        <v>5364229</v>
      </c>
      <c r="D645" s="165">
        <v>45547</v>
      </c>
      <c r="E645" s="117" t="s">
        <v>347</v>
      </c>
      <c r="F645" s="36" t="str">
        <f>IFERROR(VLOOKUP(Table1[[#This Row],[Part Number]],DATABASE_FG!$C$6:D10634,2,FALSE)," ")</f>
        <v>096215305-0000_x000D_</v>
      </c>
      <c r="G645" s="117" t="str">
        <f>IFERROR(_xlfn.XLOOKUP(Table1[[#This Row],[Part Number]],Table3[Part number],Table3[Drawing
 Revision]),"")</f>
        <v>AD</v>
      </c>
      <c r="H645" s="118" cm="1">
        <f t="array" ref="H645">IFERROR(INDEX(PDB!$C:$AT,MATCH(E645,PDB!$B:$B,0),MATCH(YEAR(K645),0+PDB!$C$1:$AT$1,0)),"")</f>
        <v>10.44</v>
      </c>
      <c r="I645" s="36">
        <v>80</v>
      </c>
      <c r="J645" s="125">
        <f>IFERROR(Table1[[#This Row],[Quantity]]*Table1[[#This Row],[Price/Unit
EUR]]," ")</f>
        <v>835.19999999999993</v>
      </c>
      <c r="K645" s="126">
        <v>45908</v>
      </c>
      <c r="L645" s="36">
        <f>WEEKNUM(Table1[[#This Row],[ETA
As requested
dd.mm.yyyy]])</f>
        <v>37</v>
      </c>
      <c r="M645" s="36">
        <f>YEAR(Table1[[#This Row],[ETA
As requested
dd.mm.yyyy]])</f>
        <v>2025</v>
      </c>
      <c r="N645" s="36">
        <f>IFERROR(INDEX(DATABASE_FG!$H$5:$H$367, MATCH(E645, DATABASE_FG!$C$5:$C$367, 0)), " ")</f>
        <v>0</v>
      </c>
      <c r="O645" s="129" t="str">
        <f>IF(E645&lt;&gt;"", _xlfn.XLOOKUP(E645, DATABASE_FG!C:C, DATABASE_FG!F:F), " ")</f>
        <v>Strunjire moale</v>
      </c>
      <c r="P645" s="129">
        <f>IFERROR(INDEX(DATABASE_FG!$G$5:$G$367, MATCH(E645, DATABASE_FG!$C$5:$C$367, 0)), "Not Found")</f>
        <v>200</v>
      </c>
      <c r="Q645" s="36"/>
      <c r="R645" s="125" t="s">
        <v>678</v>
      </c>
      <c r="S645" s="123">
        <f>IFERROR(INDEX(DATABASE_FG!$L$5:$L$367, MATCH(E645, DATABASE_FG!$C$5:$C$367, 0)), " ")</f>
        <v>42</v>
      </c>
      <c r="T645" s="36" t="s">
        <v>679</v>
      </c>
      <c r="U645" s="36"/>
      <c r="V645" s="36"/>
      <c r="W645" s="129"/>
      <c r="X645" s="36"/>
      <c r="Y645" s="36"/>
      <c r="Z645" s="36"/>
      <c r="AA645" s="125" t="s">
        <v>121</v>
      </c>
      <c r="AB645" s="173"/>
      <c r="AC645" s="119"/>
      <c r="AD645" s="36" t="str">
        <f t="shared" si="78"/>
        <v/>
      </c>
      <c r="AE645" s="36" t="str">
        <f t="shared" si="79"/>
        <v/>
      </c>
      <c r="AF645" s="36">
        <v>0</v>
      </c>
      <c r="AG645" s="120">
        <f t="shared" si="82"/>
        <v>0</v>
      </c>
      <c r="AH645" s="36"/>
      <c r="AI645" s="124" t="s">
        <v>2545</v>
      </c>
      <c r="AJ645" s="122"/>
      <c r="AK645" s="129" t="str">
        <f t="shared" ca="1" si="80"/>
        <v>Late</v>
      </c>
      <c r="AL645" s="268" t="str">
        <f t="shared" si="84"/>
        <v>September</v>
      </c>
      <c r="AM645" s="133">
        <f>YEAR(Table1[[#This Row],[ETA
As requested
dd.mm.yyyy]])</f>
        <v>2025</v>
      </c>
    </row>
    <row r="646" spans="1:39" hidden="1">
      <c r="A646" s="123" t="s">
        <v>83</v>
      </c>
      <c r="B646" s="36" t="s">
        <v>2464</v>
      </c>
      <c r="C646" s="117">
        <v>5364229</v>
      </c>
      <c r="D646" s="165">
        <v>45547</v>
      </c>
      <c r="E646" s="117" t="s">
        <v>347</v>
      </c>
      <c r="F646" s="36" t="str">
        <f>IFERROR(VLOOKUP(Table1[[#This Row],[Part Number]],DATABASE_FG!$C$6:D10635,2,FALSE)," ")</f>
        <v>096215305-0000_x000D_</v>
      </c>
      <c r="G646" s="117" t="str">
        <f>IFERROR(_xlfn.XLOOKUP(Table1[[#This Row],[Part Number]],Table3[Part number],Table3[Drawing
 Revision]),"")</f>
        <v>AD</v>
      </c>
      <c r="H646" s="118" cm="1">
        <f t="array" ref="H646">IFERROR(INDEX(PDB!$C:$AT,MATCH(E646,PDB!$B:$B,0),MATCH(YEAR(K646),0+PDB!$C$1:$AT$1,0)),"")</f>
        <v>10.44</v>
      </c>
      <c r="I646" s="36">
        <v>80</v>
      </c>
      <c r="J646" s="125">
        <f>IFERROR(Table1[[#This Row],[Quantity]]*Table1[[#This Row],[Price/Unit
EUR]]," ")</f>
        <v>835.19999999999993</v>
      </c>
      <c r="K646" s="126">
        <v>45936</v>
      </c>
      <c r="L646" s="36">
        <f>WEEKNUM(Table1[[#This Row],[ETA
As requested
dd.mm.yyyy]])</f>
        <v>41</v>
      </c>
      <c r="M646" s="36">
        <f>YEAR(Table1[[#This Row],[ETA
As requested
dd.mm.yyyy]])</f>
        <v>2025</v>
      </c>
      <c r="N646" s="36">
        <f>IFERROR(INDEX(DATABASE_FG!$H$5:$H$367, MATCH(E646, DATABASE_FG!$C$5:$C$367, 0)), " ")</f>
        <v>0</v>
      </c>
      <c r="O646" s="129" t="str">
        <f>IF(E646&lt;&gt;"", _xlfn.XLOOKUP(E646, DATABASE_FG!C:C, DATABASE_FG!F:F), " ")</f>
        <v>Strunjire moale</v>
      </c>
      <c r="P646" s="129">
        <f>IFERROR(INDEX(DATABASE_FG!$G$5:$G$367, MATCH(E646, DATABASE_FG!$C$5:$C$367, 0)), "Not Found")</f>
        <v>200</v>
      </c>
      <c r="Q646" s="36"/>
      <c r="R646" s="125" t="s">
        <v>678</v>
      </c>
      <c r="S646" s="123">
        <f>IFERROR(INDEX(DATABASE_FG!$L$5:$L$367, MATCH(E646, DATABASE_FG!$C$5:$C$367, 0)), " ")</f>
        <v>42</v>
      </c>
      <c r="T646" s="36" t="s">
        <v>679</v>
      </c>
      <c r="U646" s="36"/>
      <c r="V646" s="36"/>
      <c r="W646" s="129"/>
      <c r="X646" s="36"/>
      <c r="Y646" s="36"/>
      <c r="Z646" s="36"/>
      <c r="AA646" s="125" t="s">
        <v>121</v>
      </c>
      <c r="AB646" s="173">
        <v>45936</v>
      </c>
      <c r="AC646" s="119"/>
      <c r="AD646" s="36" t="str">
        <f t="shared" si="78"/>
        <v/>
      </c>
      <c r="AE646" s="36" t="str">
        <f t="shared" si="79"/>
        <v/>
      </c>
      <c r="AF646" s="36">
        <v>0</v>
      </c>
      <c r="AG646" s="120">
        <f t="shared" si="82"/>
        <v>0</v>
      </c>
      <c r="AH646" s="36"/>
      <c r="AI646" s="124" t="s">
        <v>2545</v>
      </c>
      <c r="AJ646" s="122"/>
      <c r="AK646" s="129" t="str">
        <f t="shared" ca="1" si="80"/>
        <v>On Time</v>
      </c>
      <c r="AL646" s="268" t="str">
        <f t="shared" si="84"/>
        <v>October</v>
      </c>
      <c r="AM646" s="133">
        <f>YEAR(Table1[[#This Row],[ETA
As requested
dd.mm.yyyy]])</f>
        <v>2025</v>
      </c>
    </row>
    <row r="647" spans="1:39" hidden="1">
      <c r="A647" s="123" t="s">
        <v>83</v>
      </c>
      <c r="B647" s="36" t="s">
        <v>2464</v>
      </c>
      <c r="C647" s="117">
        <v>5364229</v>
      </c>
      <c r="D647" s="165">
        <v>45547</v>
      </c>
      <c r="E647" s="117" t="s">
        <v>347</v>
      </c>
      <c r="F647" s="36" t="str">
        <f>IFERROR(VLOOKUP(Table1[[#This Row],[Part Number]],DATABASE_FG!$C$6:D10636,2,FALSE)," ")</f>
        <v>096215305-0000_x000D_</v>
      </c>
      <c r="G647" s="117" t="str">
        <f>IFERROR(_xlfn.XLOOKUP(Table1[[#This Row],[Part Number]],Table3[Part number],Table3[Drawing
 Revision]),"")</f>
        <v>AD</v>
      </c>
      <c r="H647" s="118" cm="1">
        <f t="array" ref="H647">IFERROR(INDEX(PDB!$C:$AT,MATCH(E647,PDB!$B:$B,0),MATCH(YEAR(K647),0+PDB!$C$1:$AT$1,0)),"")</f>
        <v>10.44</v>
      </c>
      <c r="I647" s="36">
        <v>80</v>
      </c>
      <c r="J647" s="125">
        <f>IFERROR(Table1[[#This Row],[Quantity]]*Table1[[#This Row],[Price/Unit
EUR]]," ")</f>
        <v>835.19999999999993</v>
      </c>
      <c r="K647" s="126">
        <v>45964</v>
      </c>
      <c r="L647" s="36">
        <f>WEEKNUM(Table1[[#This Row],[ETA
As requested
dd.mm.yyyy]])</f>
        <v>45</v>
      </c>
      <c r="M647" s="36">
        <f>YEAR(Table1[[#This Row],[ETA
As requested
dd.mm.yyyy]])</f>
        <v>2025</v>
      </c>
      <c r="N647" s="36">
        <f>IFERROR(INDEX(DATABASE_FG!$H$5:$H$367, MATCH(E647, DATABASE_FG!$C$5:$C$367, 0)), " ")</f>
        <v>0</v>
      </c>
      <c r="O647" s="129" t="str">
        <f>IF(E647&lt;&gt;"", _xlfn.XLOOKUP(E647, DATABASE_FG!C:C, DATABASE_FG!F:F), " ")</f>
        <v>Strunjire moale</v>
      </c>
      <c r="P647" s="129">
        <f>IFERROR(INDEX(DATABASE_FG!$G$5:$G$367, MATCH(E647, DATABASE_FG!$C$5:$C$367, 0)), "Not Found")</f>
        <v>200</v>
      </c>
      <c r="Q647" s="36"/>
      <c r="R647" s="125" t="s">
        <v>678</v>
      </c>
      <c r="S647" s="123">
        <f>IFERROR(INDEX(DATABASE_FG!$L$5:$L$367, MATCH(E647, DATABASE_FG!$C$5:$C$367, 0)), " ")</f>
        <v>42</v>
      </c>
      <c r="T647" s="36" t="s">
        <v>679</v>
      </c>
      <c r="U647" s="36"/>
      <c r="V647" s="36"/>
      <c r="W647" s="129"/>
      <c r="X647" s="36"/>
      <c r="Y647" s="36"/>
      <c r="Z647" s="36"/>
      <c r="AA647" s="125" t="s">
        <v>121</v>
      </c>
      <c r="AB647" s="173"/>
      <c r="AC647" s="119"/>
      <c r="AD647" s="36" t="str">
        <f t="shared" si="78"/>
        <v/>
      </c>
      <c r="AE647" s="36" t="str">
        <f t="shared" si="79"/>
        <v/>
      </c>
      <c r="AF647" s="36">
        <v>0</v>
      </c>
      <c r="AG647" s="120">
        <f t="shared" si="82"/>
        <v>0</v>
      </c>
      <c r="AH647" s="36"/>
      <c r="AI647" s="124" t="s">
        <v>2545</v>
      </c>
      <c r="AJ647" s="122"/>
      <c r="AK647" s="129" t="str">
        <f t="shared" ca="1" si="80"/>
        <v>Late</v>
      </c>
      <c r="AL647" s="268" t="str">
        <f t="shared" si="84"/>
        <v>November</v>
      </c>
      <c r="AM647" s="133">
        <f>YEAR(Table1[[#This Row],[ETA
As requested
dd.mm.yyyy]])</f>
        <v>2025</v>
      </c>
    </row>
    <row r="648" spans="1:39" hidden="1">
      <c r="A648" s="123" t="s">
        <v>83</v>
      </c>
      <c r="B648" s="36" t="s">
        <v>2464</v>
      </c>
      <c r="C648" s="117">
        <v>5364229</v>
      </c>
      <c r="D648" s="165">
        <v>45547</v>
      </c>
      <c r="E648" s="117" t="s">
        <v>347</v>
      </c>
      <c r="F648" s="36" t="str">
        <f>IFERROR(VLOOKUP(Table1[[#This Row],[Part Number]],DATABASE_FG!$C$6:D10637,2,FALSE)," ")</f>
        <v>096215305-0000_x000D_</v>
      </c>
      <c r="G648" s="117" t="str">
        <f>IFERROR(_xlfn.XLOOKUP(Table1[[#This Row],[Part Number]],Table3[Part number],Table3[Drawing
 Revision]),"")</f>
        <v>AD</v>
      </c>
      <c r="H648" s="118" cm="1">
        <f t="array" ref="H648">IFERROR(INDEX(PDB!$C:$AT,MATCH(E648,PDB!$B:$B,0),MATCH(YEAR(K648),0+PDB!$C$1:$AT$1,0)),"")</f>
        <v>10.44</v>
      </c>
      <c r="I648" s="36">
        <v>140</v>
      </c>
      <c r="J648" s="125">
        <f>IFERROR(Table1[[#This Row],[Quantity]]*Table1[[#This Row],[Price/Unit
EUR]]," ")</f>
        <v>1461.6</v>
      </c>
      <c r="K648" s="126">
        <v>45985</v>
      </c>
      <c r="L648" s="36">
        <f>WEEKNUM(Table1[[#This Row],[ETA
As requested
dd.mm.yyyy]])</f>
        <v>48</v>
      </c>
      <c r="M648" s="36">
        <f>YEAR(Table1[[#This Row],[ETA
As requested
dd.mm.yyyy]])</f>
        <v>2025</v>
      </c>
      <c r="N648" s="36">
        <f>IFERROR(INDEX(DATABASE_FG!$H$5:$H$367, MATCH(E648, DATABASE_FG!$C$5:$C$367, 0)), " ")</f>
        <v>0</v>
      </c>
      <c r="O648" s="129" t="str">
        <f>IF(E648&lt;&gt;"", _xlfn.XLOOKUP(E648, DATABASE_FG!C:C, DATABASE_FG!F:F), " ")</f>
        <v>Strunjire moale</v>
      </c>
      <c r="P648" s="129">
        <f>IFERROR(INDEX(DATABASE_FG!$G$5:$G$367, MATCH(E648, DATABASE_FG!$C$5:$C$367, 0)), "Not Found")</f>
        <v>200</v>
      </c>
      <c r="Q648" s="36"/>
      <c r="R648" s="125" t="s">
        <v>678</v>
      </c>
      <c r="S648" s="123">
        <f>IFERROR(INDEX(DATABASE_FG!$L$5:$L$367, MATCH(E648, DATABASE_FG!$C$5:$C$367, 0)), " ")</f>
        <v>42</v>
      </c>
      <c r="T648" s="36" t="s">
        <v>679</v>
      </c>
      <c r="U648" s="36"/>
      <c r="V648" s="36"/>
      <c r="W648" s="129"/>
      <c r="X648" s="36"/>
      <c r="Y648" s="36"/>
      <c r="Z648" s="36"/>
      <c r="AA648" s="125" t="s">
        <v>121</v>
      </c>
      <c r="AB648" s="173"/>
      <c r="AC648" s="119"/>
      <c r="AD648" s="36" t="str">
        <f t="shared" si="78"/>
        <v/>
      </c>
      <c r="AE648" s="36" t="str">
        <f t="shared" si="79"/>
        <v/>
      </c>
      <c r="AF648" s="36">
        <v>0</v>
      </c>
      <c r="AG648" s="120">
        <f t="shared" si="82"/>
        <v>0</v>
      </c>
      <c r="AH648" s="36"/>
      <c r="AI648" s="124" t="s">
        <v>2545</v>
      </c>
      <c r="AJ648" s="122"/>
      <c r="AK648" s="129" t="str">
        <f t="shared" ca="1" si="80"/>
        <v/>
      </c>
      <c r="AL648" s="268" t="str">
        <f t="shared" si="84"/>
        <v>November</v>
      </c>
      <c r="AM648" s="133">
        <f>YEAR(Table1[[#This Row],[ETA
As requested
dd.mm.yyyy]])</f>
        <v>2025</v>
      </c>
    </row>
    <row r="649" spans="1:39" hidden="1">
      <c r="A649" s="123" t="s">
        <v>83</v>
      </c>
      <c r="B649" s="36" t="s">
        <v>2464</v>
      </c>
      <c r="C649" s="117">
        <v>5364229</v>
      </c>
      <c r="D649" s="165">
        <v>45547</v>
      </c>
      <c r="E649" s="117" t="s">
        <v>347</v>
      </c>
      <c r="F649" s="36" t="str">
        <f>IFERROR(VLOOKUP(Table1[[#This Row],[Part Number]],DATABASE_FG!$C$6:D10638,2,FALSE)," ")</f>
        <v>096215305-0000_x000D_</v>
      </c>
      <c r="G649" s="117" t="str">
        <f>IFERROR(_xlfn.XLOOKUP(Table1[[#This Row],[Part Number]],Table3[Part number],Table3[Drawing
 Revision]),"")</f>
        <v>AD</v>
      </c>
      <c r="H649" s="118" cm="1">
        <f t="array" ref="H649">IFERROR(INDEX(PDB!$C:$AT,MATCH(E649,PDB!$B:$B,0),MATCH(YEAR(K649),0+PDB!$C$1:$AT$1,0)),"")</f>
        <v>10.44</v>
      </c>
      <c r="I649" s="36">
        <v>80</v>
      </c>
      <c r="J649" s="125">
        <f>IFERROR(Table1[[#This Row],[Quantity]]*Table1[[#This Row],[Price/Unit
EUR]]," ")</f>
        <v>835.19999999999993</v>
      </c>
      <c r="K649" s="126">
        <v>45993</v>
      </c>
      <c r="L649" s="36">
        <f>WEEKNUM(Table1[[#This Row],[ETA
As requested
dd.mm.yyyy]])</f>
        <v>49</v>
      </c>
      <c r="M649" s="36">
        <f>YEAR(Table1[[#This Row],[ETA
As requested
dd.mm.yyyy]])</f>
        <v>2025</v>
      </c>
      <c r="N649" s="36">
        <f>IFERROR(INDEX(DATABASE_FG!$H$5:$H$367, MATCH(E649, DATABASE_FG!$C$5:$C$367, 0)), " ")</f>
        <v>0</v>
      </c>
      <c r="O649" s="129" t="str">
        <f>IF(E649&lt;&gt;"", _xlfn.XLOOKUP(E649, DATABASE_FG!C:C, DATABASE_FG!F:F), " ")</f>
        <v>Strunjire moale</v>
      </c>
      <c r="P649" s="129">
        <f>IFERROR(INDEX(DATABASE_FG!$G$5:$G$367, MATCH(E649, DATABASE_FG!$C$5:$C$367, 0)), "Not Found")</f>
        <v>200</v>
      </c>
      <c r="Q649" s="36"/>
      <c r="R649" s="125" t="s">
        <v>678</v>
      </c>
      <c r="S649" s="123">
        <f>IFERROR(INDEX(DATABASE_FG!$L$5:$L$367, MATCH(E649, DATABASE_FG!$C$5:$C$367, 0)), " ")</f>
        <v>42</v>
      </c>
      <c r="T649" s="36" t="s">
        <v>679</v>
      </c>
      <c r="U649" s="36"/>
      <c r="V649" s="36"/>
      <c r="W649" s="129"/>
      <c r="X649" s="36"/>
      <c r="Y649" s="36"/>
      <c r="Z649" s="36"/>
      <c r="AA649" s="125" t="s">
        <v>121</v>
      </c>
      <c r="AB649" s="173"/>
      <c r="AC649" s="119"/>
      <c r="AD649" s="36" t="str">
        <f t="shared" si="78"/>
        <v/>
      </c>
      <c r="AE649" s="36" t="str">
        <f t="shared" si="79"/>
        <v/>
      </c>
      <c r="AF649" s="36">
        <v>0</v>
      </c>
      <c r="AG649" s="120">
        <f t="shared" si="82"/>
        <v>0</v>
      </c>
      <c r="AH649" s="36"/>
      <c r="AI649" s="124" t="s">
        <v>2545</v>
      </c>
      <c r="AJ649" s="122"/>
      <c r="AK649" s="129" t="str">
        <f t="shared" ca="1" si="80"/>
        <v/>
      </c>
      <c r="AL649" s="268" t="str">
        <f t="shared" si="84"/>
        <v>December</v>
      </c>
      <c r="AM649" s="133">
        <f>YEAR(Table1[[#This Row],[ETA
As requested
dd.mm.yyyy]])</f>
        <v>2025</v>
      </c>
    </row>
    <row r="650" spans="1:39" hidden="1">
      <c r="A650" s="123" t="s">
        <v>83</v>
      </c>
      <c r="B650" s="36" t="s">
        <v>2464</v>
      </c>
      <c r="C650" s="117">
        <v>5364229</v>
      </c>
      <c r="D650" s="165">
        <v>45547</v>
      </c>
      <c r="E650" s="117" t="s">
        <v>347</v>
      </c>
      <c r="F650" s="36" t="str">
        <f>IFERROR(VLOOKUP(Table1[[#This Row],[Part Number]],DATABASE_FG!$C$6:D10639,2,FALSE)," ")</f>
        <v>096215305-0000_x000D_</v>
      </c>
      <c r="G650" s="117" t="str">
        <f>IFERROR(_xlfn.XLOOKUP(Table1[[#This Row],[Part Number]],Table3[Part number],Table3[Drawing
 Revision]),"")</f>
        <v>AD</v>
      </c>
      <c r="H650" s="118" cm="1">
        <f t="array" ref="H650">IFERROR(INDEX(PDB!$C:$AT,MATCH(E650,PDB!$B:$B,0),MATCH(YEAR(K650),0+PDB!$C$1:$AT$1,0)),"")</f>
        <v>0</v>
      </c>
      <c r="I650" s="36">
        <v>80</v>
      </c>
      <c r="J650" s="125">
        <f>IFERROR(Table1[[#This Row],[Quantity]]*Table1[[#This Row],[Price/Unit
EUR]]," ")</f>
        <v>0</v>
      </c>
      <c r="K650" s="126">
        <v>46027</v>
      </c>
      <c r="L650" s="36">
        <f>WEEKNUM(Table1[[#This Row],[ETA
As requested
dd.mm.yyyy]])</f>
        <v>2</v>
      </c>
      <c r="M650" s="36">
        <f>YEAR(Table1[[#This Row],[ETA
As requested
dd.mm.yyyy]])</f>
        <v>2026</v>
      </c>
      <c r="N650" s="36">
        <f>IFERROR(INDEX(DATABASE_FG!$H$5:$H$367, MATCH(E650, DATABASE_FG!$C$5:$C$367, 0)), " ")</f>
        <v>0</v>
      </c>
      <c r="O650" s="129" t="str">
        <f>IF(E650&lt;&gt;"", _xlfn.XLOOKUP(E650, DATABASE_FG!C:C, DATABASE_FG!F:F), " ")</f>
        <v>Strunjire moale</v>
      </c>
      <c r="P650" s="129">
        <f>IFERROR(INDEX(DATABASE_FG!$G$5:$G$367, MATCH(E650, DATABASE_FG!$C$5:$C$367, 0)), "Not Found")</f>
        <v>200</v>
      </c>
      <c r="Q650" s="36"/>
      <c r="R650" s="125" t="s">
        <v>678</v>
      </c>
      <c r="S650" s="123">
        <f>IFERROR(INDEX(DATABASE_FG!$L$5:$L$367, MATCH(E650, DATABASE_FG!$C$5:$C$367, 0)), " ")</f>
        <v>42</v>
      </c>
      <c r="T650" s="36" t="s">
        <v>679</v>
      </c>
      <c r="U650" s="36"/>
      <c r="V650" s="36"/>
      <c r="W650" s="129"/>
      <c r="X650" s="36"/>
      <c r="Y650" s="36"/>
      <c r="Z650" s="36"/>
      <c r="AA650" s="125" t="s">
        <v>121</v>
      </c>
      <c r="AB650" s="173"/>
      <c r="AC650" s="119"/>
      <c r="AD650" s="36" t="str">
        <f t="shared" si="78"/>
        <v/>
      </c>
      <c r="AE650" s="36" t="str">
        <f t="shared" si="79"/>
        <v/>
      </c>
      <c r="AF650" s="36">
        <v>0</v>
      </c>
      <c r="AG650" s="120">
        <f t="shared" si="82"/>
        <v>0</v>
      </c>
      <c r="AH650" s="36"/>
      <c r="AI650" s="124" t="s">
        <v>2545</v>
      </c>
      <c r="AJ650" s="122"/>
      <c r="AK650" s="129" t="str">
        <f t="shared" ca="1" si="80"/>
        <v/>
      </c>
      <c r="AL650" s="268" t="str">
        <f t="shared" si="84"/>
        <v>January</v>
      </c>
      <c r="AM650" s="133">
        <f>YEAR(Table1[[#This Row],[ETA
As requested
dd.mm.yyyy]])</f>
        <v>2026</v>
      </c>
    </row>
    <row r="651" spans="1:39" hidden="1">
      <c r="A651" s="123" t="s">
        <v>83</v>
      </c>
      <c r="B651" s="36" t="s">
        <v>2464</v>
      </c>
      <c r="C651" s="117">
        <v>5364229</v>
      </c>
      <c r="D651" s="165">
        <v>45547</v>
      </c>
      <c r="E651" s="117" t="s">
        <v>347</v>
      </c>
      <c r="F651" s="36" t="str">
        <f>IFERROR(VLOOKUP(Table1[[#This Row],[Part Number]],DATABASE_FG!$C$6:D10640,2,FALSE)," ")</f>
        <v>096215305-0000_x000D_</v>
      </c>
      <c r="G651" s="117" t="str">
        <f>IFERROR(_xlfn.XLOOKUP(Table1[[#This Row],[Part Number]],Table3[Part number],Table3[Drawing
 Revision]),"")</f>
        <v>AD</v>
      </c>
      <c r="H651" s="118" cm="1">
        <f t="array" ref="H651">IFERROR(INDEX(PDB!$C:$AT,MATCH(E651,PDB!$B:$B,0),MATCH(YEAR(K651),0+PDB!$C$1:$AT$1,0)),"")</f>
        <v>0</v>
      </c>
      <c r="I651" s="36">
        <v>33</v>
      </c>
      <c r="J651" s="125">
        <f>IFERROR(Table1[[#This Row],[Quantity]]*Table1[[#This Row],[Price/Unit
EUR]]," ")</f>
        <v>0</v>
      </c>
      <c r="K651" s="126">
        <v>46083</v>
      </c>
      <c r="L651" s="36">
        <f>WEEKNUM(Table1[[#This Row],[ETA
As requested
dd.mm.yyyy]])</f>
        <v>10</v>
      </c>
      <c r="M651" s="36">
        <f>YEAR(Table1[[#This Row],[ETA
As requested
dd.mm.yyyy]])</f>
        <v>2026</v>
      </c>
      <c r="N651" s="36">
        <f>IFERROR(INDEX(DATABASE_FG!$H$5:$H$367, MATCH(E651, DATABASE_FG!$C$5:$C$367, 0)), " ")</f>
        <v>0</v>
      </c>
      <c r="O651" s="129" t="str">
        <f>IF(E651&lt;&gt;"", _xlfn.XLOOKUP(E651, DATABASE_FG!C:C, DATABASE_FG!F:F), " ")</f>
        <v>Strunjire moale</v>
      </c>
      <c r="P651" s="129">
        <f>IFERROR(INDEX(DATABASE_FG!$G$5:$G$367, MATCH(E651, DATABASE_FG!$C$5:$C$367, 0)), "Not Found")</f>
        <v>200</v>
      </c>
      <c r="Q651" s="36"/>
      <c r="R651" s="125" t="s">
        <v>678</v>
      </c>
      <c r="S651" s="123">
        <f>IFERROR(INDEX(DATABASE_FG!$L$5:$L$367, MATCH(E651, DATABASE_FG!$C$5:$C$367, 0)), " ")</f>
        <v>42</v>
      </c>
      <c r="T651" s="36" t="s">
        <v>679</v>
      </c>
      <c r="U651" s="36"/>
      <c r="V651" s="36"/>
      <c r="W651" s="129"/>
      <c r="X651" s="36"/>
      <c r="Y651" s="36"/>
      <c r="Z651" s="36"/>
      <c r="AA651" s="125" t="s">
        <v>121</v>
      </c>
      <c r="AB651" s="173"/>
      <c r="AC651" s="119"/>
      <c r="AD651" s="36" t="str">
        <f t="shared" si="78"/>
        <v/>
      </c>
      <c r="AE651" s="36" t="str">
        <f t="shared" si="79"/>
        <v/>
      </c>
      <c r="AF651" s="36">
        <v>0</v>
      </c>
      <c r="AG651" s="120">
        <f t="shared" si="82"/>
        <v>0</v>
      </c>
      <c r="AH651" s="36"/>
      <c r="AI651" s="124" t="s">
        <v>2545</v>
      </c>
      <c r="AJ651" s="122"/>
      <c r="AK651" s="129" t="str">
        <f t="shared" ca="1" si="80"/>
        <v/>
      </c>
      <c r="AL651" s="268" t="str">
        <f t="shared" si="84"/>
        <v>March</v>
      </c>
      <c r="AM651" s="133">
        <f>YEAR(Table1[[#This Row],[ETA
As requested
dd.mm.yyyy]])</f>
        <v>2026</v>
      </c>
    </row>
    <row r="652" spans="1:39" hidden="1">
      <c r="A652" s="123" t="s">
        <v>82</v>
      </c>
      <c r="B652" s="36" t="s">
        <v>1170</v>
      </c>
      <c r="C652" s="117">
        <v>36508461</v>
      </c>
      <c r="D652" s="165">
        <v>45378</v>
      </c>
      <c r="E652" s="117" t="s">
        <v>1429</v>
      </c>
      <c r="F652" s="36" t="str">
        <f>IFERROR(VLOOKUP(Table1[[#This Row],[Part Number]],DATABASE_FG!$C$6:D10641,2,FALSE)," ")</f>
        <v>096999527-0000</v>
      </c>
      <c r="G652" s="117" t="str">
        <f>IFERROR(_xlfn.XLOOKUP(Table1[[#This Row],[Part Number]],Table3[Part number],Table3[Drawing
 Revision]),"")</f>
        <v>AB</v>
      </c>
      <c r="H652" s="118" cm="1">
        <f t="array" ref="H652">IFERROR(INDEX(PDB!$C:$AT,MATCH(E652,PDB!$B:$B,0),MATCH(YEAR(K652),0+PDB!$C$1:$AT$1,0)),"")</f>
        <v>18.38</v>
      </c>
      <c r="I652" s="36">
        <v>42</v>
      </c>
      <c r="J652" s="125">
        <f>IFERROR(Table1[[#This Row],[Quantity]]*Table1[[#This Row],[Price/Unit
EUR]]," ")</f>
        <v>771.95999999999992</v>
      </c>
      <c r="K652" s="126">
        <v>45415</v>
      </c>
      <c r="L652" s="36">
        <f>WEEKNUM(Table1[[#This Row],[ETA
As requested
dd.mm.yyyy]])</f>
        <v>18</v>
      </c>
      <c r="M652" s="36">
        <f>YEAR(Table1[[#This Row],[ETA
As requested
dd.mm.yyyy]])</f>
        <v>2024</v>
      </c>
      <c r="N652" s="36">
        <f>IFERROR(INDEX(DATABASE_FG!$H$5:$H$367, MATCH(E652, DATABASE_FG!$C$5:$C$367, 0)), " ")</f>
        <v>0</v>
      </c>
      <c r="O652" s="129" t="str">
        <f>IF(E652&lt;&gt;"", _xlfn.XLOOKUP(E652, DATABASE_FG!C:C, DATABASE_FG!F:F), " ")</f>
        <v>Adapterplatte</v>
      </c>
      <c r="P652" s="129">
        <f>IFERROR(INDEX(DATABASE_FG!$G$5:$G$367, MATCH(E652, DATABASE_FG!$C$5:$C$367, 0)), "Not Found")</f>
        <v>65</v>
      </c>
      <c r="Q652" s="36"/>
      <c r="R652" s="125" t="s">
        <v>680</v>
      </c>
      <c r="S652" s="123">
        <f>IFERROR(INDEX(DATABASE_FG!$L$5:$L$367, MATCH(E652, DATABASE_FG!$C$5:$C$367, 0)), " ")</f>
        <v>42</v>
      </c>
      <c r="T652" s="36" t="s">
        <v>677</v>
      </c>
      <c r="U652" s="36"/>
      <c r="V652" s="36"/>
      <c r="W652" s="129"/>
      <c r="X652" s="36"/>
      <c r="Y652" s="36"/>
      <c r="Z652" s="36" t="s">
        <v>1430</v>
      </c>
      <c r="AA652" s="125" t="s">
        <v>121</v>
      </c>
      <c r="AB652" s="173">
        <v>45476</v>
      </c>
      <c r="AC652" s="119">
        <v>2024774</v>
      </c>
      <c r="AD652" s="36">
        <f t="shared" si="78"/>
        <v>36508461</v>
      </c>
      <c r="AE652" s="36" t="str">
        <f t="shared" si="79"/>
        <v>F-320745-0321.APL.ACT</v>
      </c>
      <c r="AF652" s="36">
        <v>42</v>
      </c>
      <c r="AG652" s="120">
        <f t="shared" si="82"/>
        <v>771.95999999999992</v>
      </c>
      <c r="AH652" s="36"/>
      <c r="AI652" s="124" t="s">
        <v>1431</v>
      </c>
      <c r="AJ652" s="122" t="s">
        <v>1432</v>
      </c>
      <c r="AK652" s="129" t="str">
        <f t="shared" ca="1" si="80"/>
        <v>Late</v>
      </c>
      <c r="AL652" s="268" t="str">
        <f t="shared" si="84"/>
        <v>May</v>
      </c>
      <c r="AM652" s="133">
        <f>YEAR(Table1[[#This Row],[ETA
As requested
dd.mm.yyyy]])</f>
        <v>2024</v>
      </c>
    </row>
    <row r="653" spans="1:39" hidden="1">
      <c r="A653" s="123" t="s">
        <v>82</v>
      </c>
      <c r="B653" s="36" t="s">
        <v>1170</v>
      </c>
      <c r="C653" s="117">
        <v>37307401</v>
      </c>
      <c r="D653" s="165">
        <v>45495</v>
      </c>
      <c r="E653" s="117" t="s">
        <v>1429</v>
      </c>
      <c r="F653" s="36" t="str">
        <f>IFERROR(VLOOKUP(Table1[[#This Row],[Part Number]],DATABASE_FG!$C$6:D10642,2,FALSE)," ")</f>
        <v>096999527-0000</v>
      </c>
      <c r="G653" s="117" t="str">
        <f>IFERROR(_xlfn.XLOOKUP(Table1[[#This Row],[Part Number]],Table3[Part number],Table3[Drawing
 Revision]),"")</f>
        <v>AB</v>
      </c>
      <c r="H653" s="118" cm="1">
        <f t="array" ref="H653">IFERROR(INDEX(PDB!$C:$AT,MATCH(E653,PDB!$B:$B,0),MATCH(YEAR(K653),0+PDB!$C$1:$AT$1,0)),"")</f>
        <v>18.38</v>
      </c>
      <c r="I653" s="36">
        <v>65</v>
      </c>
      <c r="J653" s="125">
        <f>IFERROR(Table1[[#This Row],[Quantity]]*Table1[[#This Row],[Price/Unit
EUR]]," ")</f>
        <v>1194.7</v>
      </c>
      <c r="K653" s="126">
        <v>45569</v>
      </c>
      <c r="L653" s="36">
        <f>WEEKNUM(Table1[[#This Row],[ETA
As requested
dd.mm.yyyy]])</f>
        <v>40</v>
      </c>
      <c r="M653" s="36">
        <f>YEAR(Table1[[#This Row],[ETA
As requested
dd.mm.yyyy]])</f>
        <v>2024</v>
      </c>
      <c r="N653" s="36">
        <f>IFERROR(INDEX(DATABASE_FG!$H$5:$H$367, MATCH(E653, DATABASE_FG!$C$5:$C$367, 0)), " ")</f>
        <v>0</v>
      </c>
      <c r="O653" s="129" t="str">
        <f>IF(E653&lt;&gt;"", _xlfn.XLOOKUP(E653, DATABASE_FG!C:C, DATABASE_FG!F:F), " ")</f>
        <v>Adapterplatte</v>
      </c>
      <c r="P653" s="129">
        <f>IFERROR(INDEX(DATABASE_FG!$G$5:$G$367, MATCH(E653, DATABASE_FG!$C$5:$C$367, 0)), "Not Found")</f>
        <v>65</v>
      </c>
      <c r="Q653" s="36"/>
      <c r="R653" s="125" t="s">
        <v>678</v>
      </c>
      <c r="S653" s="123">
        <f>IFERROR(INDEX(DATABASE_FG!$L$5:$L$367, MATCH(E653, DATABASE_FG!$C$5:$C$367, 0)), " ")</f>
        <v>42</v>
      </c>
      <c r="T653" s="36" t="s">
        <v>677</v>
      </c>
      <c r="U653" s="36"/>
      <c r="V653" s="36"/>
      <c r="W653" s="129"/>
      <c r="X653" s="36"/>
      <c r="Y653" s="36"/>
      <c r="Z653" s="36"/>
      <c r="AA653" s="125" t="s">
        <v>121</v>
      </c>
      <c r="AB653" s="172">
        <v>45577</v>
      </c>
      <c r="AC653" s="119">
        <v>20232285</v>
      </c>
      <c r="AD653" s="36">
        <f t="shared" si="78"/>
        <v>37307401</v>
      </c>
      <c r="AE653" s="36" t="str">
        <f t="shared" si="79"/>
        <v>F-320745-0321.APL.ACT</v>
      </c>
      <c r="AF653" s="36">
        <v>65</v>
      </c>
      <c r="AG653" s="120">
        <f t="shared" si="82"/>
        <v>1194.7</v>
      </c>
      <c r="AH653" s="36"/>
      <c r="AI653" s="124"/>
      <c r="AJ653" s="122" t="s">
        <v>2425</v>
      </c>
      <c r="AK653" s="129" t="str">
        <f t="shared" ca="1" si="80"/>
        <v>Late</v>
      </c>
      <c r="AL653" s="268" t="str">
        <f t="shared" si="84"/>
        <v>October</v>
      </c>
      <c r="AM653" s="133">
        <f>YEAR(Table1[[#This Row],[ETA
As requested
dd.mm.yyyy]])</f>
        <v>2024</v>
      </c>
    </row>
    <row r="654" spans="1:39" hidden="1">
      <c r="A654" s="123" t="s">
        <v>82</v>
      </c>
      <c r="B654" s="36" t="s">
        <v>1170</v>
      </c>
      <c r="C654" s="117">
        <v>37307401</v>
      </c>
      <c r="D654" s="165">
        <v>45495</v>
      </c>
      <c r="E654" s="117" t="s">
        <v>1429</v>
      </c>
      <c r="F654" s="36" t="str">
        <f>IFERROR(VLOOKUP(Table1[[#This Row],[Part Number]],DATABASE_FG!$C$6:D10643,2,FALSE)," ")</f>
        <v>096999527-0000</v>
      </c>
      <c r="G654" s="117" t="str">
        <f>IFERROR(_xlfn.XLOOKUP(Table1[[#This Row],[Part Number]],Table3[Part number],Table3[Drawing
 Revision]),"")</f>
        <v>AB</v>
      </c>
      <c r="H654" s="118" cm="1">
        <f t="array" ref="H654">IFERROR(INDEX(PDB!$C:$AT,MATCH(E654,PDB!$B:$B,0),MATCH(YEAR(K654),0+PDB!$C$1:$AT$1,0)),"")</f>
        <v>18.38</v>
      </c>
      <c r="I654" s="36">
        <v>5</v>
      </c>
      <c r="J654" s="125">
        <f>IFERROR(Table1[[#This Row],[Quantity]]*Table1[[#This Row],[Price/Unit
EUR]]," ")</f>
        <v>91.899999999999991</v>
      </c>
      <c r="K654" s="126">
        <v>45569</v>
      </c>
      <c r="L654" s="36">
        <f>WEEKNUM(Table1[[#This Row],[ETA
As requested
dd.mm.yyyy]])</f>
        <v>40</v>
      </c>
      <c r="M654" s="36">
        <f>YEAR(Table1[[#This Row],[ETA
As requested
dd.mm.yyyy]])</f>
        <v>2024</v>
      </c>
      <c r="N654" s="36">
        <f>IFERROR(INDEX(DATABASE_FG!$H$5:$H$367, MATCH(E654, DATABASE_FG!$C$5:$C$367, 0)), " ")</f>
        <v>0</v>
      </c>
      <c r="O654" s="129" t="str">
        <f>IF(E654&lt;&gt;"", _xlfn.XLOOKUP(E654, DATABASE_FG!C:C, DATABASE_FG!F:F), " ")</f>
        <v>Adapterplatte</v>
      </c>
      <c r="P654" s="129">
        <f>IFERROR(INDEX(DATABASE_FG!$G$5:$G$367, MATCH(E654, DATABASE_FG!$C$5:$C$367, 0)), "Not Found")</f>
        <v>65</v>
      </c>
      <c r="Q654" s="36"/>
      <c r="R654" s="125" t="s">
        <v>678</v>
      </c>
      <c r="S654" s="123">
        <f>IFERROR(INDEX(DATABASE_FG!$L$5:$L$367, MATCH(E654, DATABASE_FG!$C$5:$C$367, 0)), " ")</f>
        <v>42</v>
      </c>
      <c r="T654" s="36" t="s">
        <v>677</v>
      </c>
      <c r="U654" s="36"/>
      <c r="V654" s="36"/>
      <c r="W654" s="129"/>
      <c r="X654" s="36"/>
      <c r="Y654" s="36" t="s">
        <v>677</v>
      </c>
      <c r="Z654" s="36" t="s">
        <v>2428</v>
      </c>
      <c r="AA654" s="125" t="s">
        <v>121</v>
      </c>
      <c r="AB654" s="173">
        <v>45703</v>
      </c>
      <c r="AC654" s="119" t="s">
        <v>2432</v>
      </c>
      <c r="AD654" s="36">
        <f t="shared" si="78"/>
        <v>37307401</v>
      </c>
      <c r="AE654" s="36" t="str">
        <f t="shared" si="79"/>
        <v>F-320745-0321.APL.ACT</v>
      </c>
      <c r="AF654" s="36">
        <v>5</v>
      </c>
      <c r="AG654" s="120">
        <f t="shared" si="82"/>
        <v>91.899999999999991</v>
      </c>
      <c r="AH654" s="36"/>
      <c r="AI654" s="124" t="s">
        <v>2040</v>
      </c>
      <c r="AJ654" s="122" t="s">
        <v>2433</v>
      </c>
      <c r="AK654" s="129" t="str">
        <f t="shared" ca="1" si="80"/>
        <v>Late</v>
      </c>
      <c r="AL654" s="268" t="str">
        <f t="shared" si="84"/>
        <v>October</v>
      </c>
      <c r="AM654" s="133">
        <f>YEAR(Table1[[#This Row],[ETA
As requested
dd.mm.yyyy]])</f>
        <v>2024</v>
      </c>
    </row>
    <row r="655" spans="1:39" hidden="1">
      <c r="A655" s="123" t="s">
        <v>82</v>
      </c>
      <c r="B655" s="36" t="s">
        <v>3834</v>
      </c>
      <c r="C655" s="117">
        <v>6049234</v>
      </c>
      <c r="D655" s="165">
        <v>45371</v>
      </c>
      <c r="E655" s="117" t="s">
        <v>1429</v>
      </c>
      <c r="F655" s="36" t="str">
        <f>IFERROR(VLOOKUP(Table1[[#This Row],[Part Number]],DATABASE_FG!$C$6:D10644,2,FALSE)," ")</f>
        <v>096999527-0000</v>
      </c>
      <c r="G655" s="117" t="str">
        <f>IFERROR(_xlfn.XLOOKUP(Table1[[#This Row],[Part Number]],Table3[Part number],Table3[Drawing
 Revision]),"")</f>
        <v>AB</v>
      </c>
      <c r="H655" s="118" cm="1">
        <f t="array" ref="H655">IFERROR(INDEX(PDB!$C:$AT,MATCH(E655,PDB!$B:$B,0),MATCH(YEAR(K655),0+PDB!$C$1:$AT$1,0)),"")</f>
        <v>18.38</v>
      </c>
      <c r="I655" s="36">
        <f>260</f>
        <v>260</v>
      </c>
      <c r="J655" s="125">
        <f>IFERROR(Table1[[#This Row],[Quantity]]*Table1[[#This Row],[Price/Unit
EUR]]," ")</f>
        <v>4778.8</v>
      </c>
      <c r="K655" s="126">
        <v>46100</v>
      </c>
      <c r="L655" s="36">
        <f>WEEKNUM(Table1[[#This Row],[ETA
As requested
dd.mm.yyyy]])</f>
        <v>12</v>
      </c>
      <c r="M655" s="36">
        <f>YEAR(Table1[[#This Row],[ETA
As requested
dd.mm.yyyy]])</f>
        <v>2026</v>
      </c>
      <c r="N655" s="36">
        <f>IFERROR(INDEX(DATABASE_FG!$H$5:$H$367, MATCH(E655, DATABASE_FG!$C$5:$C$367, 0)), " ")</f>
        <v>0</v>
      </c>
      <c r="O655" s="129" t="str">
        <f>IF(E655&lt;&gt;"", _xlfn.XLOOKUP(E655, DATABASE_FG!C:C, DATABASE_FG!F:F), " ")</f>
        <v>Adapterplatte</v>
      </c>
      <c r="P655" s="129">
        <f>IFERROR(INDEX(DATABASE_FG!$G$5:$G$367, MATCH(E655, DATABASE_FG!$C$5:$C$367, 0)), "Not Found")</f>
        <v>65</v>
      </c>
      <c r="Q655" s="36"/>
      <c r="R655" s="125" t="s">
        <v>678</v>
      </c>
      <c r="S655" s="123">
        <f>IFERROR(INDEX(DATABASE_FG!$L$5:$L$367, MATCH(E655, DATABASE_FG!$C$5:$C$367, 0)), " ")</f>
        <v>42</v>
      </c>
      <c r="T655" s="36" t="s">
        <v>677</v>
      </c>
      <c r="U655" s="36"/>
      <c r="V655" s="36"/>
      <c r="W655" s="129"/>
      <c r="X655" s="36"/>
      <c r="Y655" s="36" t="s">
        <v>677</v>
      </c>
      <c r="Z655" s="36"/>
      <c r="AA655" s="125" t="s">
        <v>3</v>
      </c>
      <c r="AB655" s="173"/>
      <c r="AC655" s="119"/>
      <c r="AD655" s="36" t="str">
        <f t="shared" ref="AD655:AD718" si="85">IF(NOT(ISBLANK(AC655)), C655, "")</f>
        <v/>
      </c>
      <c r="AE655" s="36" t="str">
        <f t="shared" ref="AE655:AE718" si="86">IF(NOT(ISBLANK(AC655)), E655, "")</f>
        <v/>
      </c>
      <c r="AF655" s="36"/>
      <c r="AG655" s="120">
        <f t="shared" si="82"/>
        <v>0</v>
      </c>
      <c r="AH655" s="36"/>
      <c r="AI655" s="124"/>
      <c r="AJ655" s="122"/>
      <c r="AK655" s="129" t="str">
        <f t="shared" ca="1" si="80"/>
        <v/>
      </c>
      <c r="AL655" s="268" t="str">
        <f t="shared" si="84"/>
        <v>March</v>
      </c>
      <c r="AM655" s="133">
        <f>YEAR(Table1[[#This Row],[ETA
As requested
dd.mm.yyyy]])</f>
        <v>2026</v>
      </c>
    </row>
    <row r="656" spans="1:39" hidden="1">
      <c r="A656" s="123" t="s">
        <v>82</v>
      </c>
      <c r="B656" s="36" t="s">
        <v>1170</v>
      </c>
      <c r="C656" s="117">
        <v>36575603</v>
      </c>
      <c r="D656" s="165">
        <v>45391</v>
      </c>
      <c r="E656" s="117" t="s">
        <v>1437</v>
      </c>
      <c r="F656" s="36" t="str">
        <f>IFERROR(VLOOKUP(Table1[[#This Row],[Part Number]],DATABASE_FG!$C$6:D10645,2,FALSE)," ")</f>
        <v>096999438-0000</v>
      </c>
      <c r="G656" s="117" t="str">
        <f>IFERROR(_xlfn.XLOOKUP(Table1[[#This Row],[Part Number]],Table3[Part number],Table3[Drawing
 Revision]),"")</f>
        <v>AD</v>
      </c>
      <c r="H656" s="118" cm="1">
        <f t="array" ref="H656">IFERROR(INDEX(PDB!$C:$AT,MATCH(E656,PDB!$B:$B,0),MATCH(YEAR(K656),0+PDB!$C$1:$AT$1,0)),"")</f>
        <v>15.38</v>
      </c>
      <c r="I656" s="36">
        <v>42</v>
      </c>
      <c r="J656" s="125">
        <f>IFERROR(Table1[[#This Row],[Quantity]]*Table1[[#This Row],[Price/Unit
EUR]]," ")</f>
        <v>645.96</v>
      </c>
      <c r="K656" s="126">
        <v>45415</v>
      </c>
      <c r="L656" s="36">
        <f>WEEKNUM(Table1[[#This Row],[ETA
As requested
dd.mm.yyyy]])</f>
        <v>18</v>
      </c>
      <c r="M656" s="36">
        <f>YEAR(Table1[[#This Row],[ETA
As requested
dd.mm.yyyy]])</f>
        <v>2024</v>
      </c>
      <c r="N656" s="36">
        <f>IFERROR(INDEX(DATABASE_FG!$H$5:$H$367, MATCH(E656, DATABASE_FG!$C$5:$C$367, 0)), " ")</f>
        <v>0</v>
      </c>
      <c r="O656" s="129" t="str">
        <f>IF(E656&lt;&gt;"", _xlfn.XLOOKUP(E656, DATABASE_FG!C:C, DATABASE_FG!F:F), " ")</f>
        <v>Druckstuck</v>
      </c>
      <c r="P656" s="129">
        <f>IFERROR(INDEX(DATABASE_FG!$G$5:$G$367, MATCH(E656, DATABASE_FG!$C$5:$C$367, 0)), "Not Found")</f>
        <v>65</v>
      </c>
      <c r="Q656" s="36"/>
      <c r="R656" s="125" t="s">
        <v>680</v>
      </c>
      <c r="S656" s="123">
        <f>IFERROR(INDEX(DATABASE_FG!$L$5:$L$367, MATCH(E656, DATABASE_FG!$C$5:$C$367, 0)), " ")</f>
        <v>42</v>
      </c>
      <c r="T656" s="36" t="s">
        <v>677</v>
      </c>
      <c r="U656" s="36"/>
      <c r="V656" s="36"/>
      <c r="W656" s="129"/>
      <c r="X656" s="36"/>
      <c r="Y656" s="36"/>
      <c r="Z656" s="36" t="s">
        <v>1439</v>
      </c>
      <c r="AA656" s="125" t="s">
        <v>121</v>
      </c>
      <c r="AB656" s="173">
        <v>45476</v>
      </c>
      <c r="AC656" s="119">
        <v>2024778</v>
      </c>
      <c r="AD656" s="36">
        <f t="shared" si="85"/>
        <v>36575603</v>
      </c>
      <c r="AE656" s="36" t="str">
        <f t="shared" si="86"/>
        <v>F-320745-1401.BZ.ACT</v>
      </c>
      <c r="AF656" s="36">
        <v>42</v>
      </c>
      <c r="AG656" s="120">
        <f t="shared" si="82"/>
        <v>645.96</v>
      </c>
      <c r="AH656" s="36"/>
      <c r="AI656" s="124" t="s">
        <v>1435</v>
      </c>
      <c r="AJ656" s="122" t="s">
        <v>1440</v>
      </c>
      <c r="AK656" s="129" t="str">
        <f t="shared" ref="AK656:AK719" ca="1" si="87">IF(AB656="", IF(K656 &lt; TODAY(), "Late", ""), IF(AB656 &lt;= K656 + 2, "On Time", "Late"))</f>
        <v>Late</v>
      </c>
      <c r="AL656" s="268" t="str">
        <f t="shared" si="84"/>
        <v>May</v>
      </c>
      <c r="AM656" s="133">
        <f>YEAR(Table1[[#This Row],[ETA
As requested
dd.mm.yyyy]])</f>
        <v>2024</v>
      </c>
    </row>
    <row r="657" spans="1:39" hidden="1">
      <c r="A657" s="123" t="s">
        <v>82</v>
      </c>
      <c r="B657" s="36" t="s">
        <v>1170</v>
      </c>
      <c r="C657" s="117">
        <v>37307397</v>
      </c>
      <c r="D657" s="165">
        <v>45495</v>
      </c>
      <c r="E657" s="117" t="s">
        <v>1437</v>
      </c>
      <c r="F657" s="36" t="str">
        <f>IFERROR(VLOOKUP(Table1[[#This Row],[Part Number]],DATABASE_FG!$C$6:D10646,2,FALSE)," ")</f>
        <v>096999438-0000</v>
      </c>
      <c r="G657" s="117" t="str">
        <f>IFERROR(_xlfn.XLOOKUP(Table1[[#This Row],[Part Number]],Table3[Part number],Table3[Drawing
 Revision]),"")</f>
        <v>AD</v>
      </c>
      <c r="H657" s="118" cm="1">
        <f t="array" ref="H657">IFERROR(INDEX(PDB!$C:$AT,MATCH(E657,PDB!$B:$B,0),MATCH(YEAR(K657),0+PDB!$C$1:$AT$1,0)),"")</f>
        <v>15.38</v>
      </c>
      <c r="I657" s="36">
        <v>35</v>
      </c>
      <c r="J657" s="125">
        <f>IFERROR(Table1[[#This Row],[Quantity]]*Table1[[#This Row],[Price/Unit
EUR]]," ")</f>
        <v>538.30000000000007</v>
      </c>
      <c r="K657" s="126">
        <v>45569</v>
      </c>
      <c r="L657" s="36">
        <f>WEEKNUM(Table1[[#This Row],[ETA
As requested
dd.mm.yyyy]])</f>
        <v>40</v>
      </c>
      <c r="M657" s="36">
        <f>YEAR(Table1[[#This Row],[ETA
As requested
dd.mm.yyyy]])</f>
        <v>2024</v>
      </c>
      <c r="N657" s="36">
        <f>IFERROR(INDEX(DATABASE_FG!$H$5:$H$367, MATCH(E657, DATABASE_FG!$C$5:$C$367, 0)), " ")</f>
        <v>0</v>
      </c>
      <c r="O657" s="129" t="str">
        <f>IF(E657&lt;&gt;"", _xlfn.XLOOKUP(E657, DATABASE_FG!C:C, DATABASE_FG!F:F), " ")</f>
        <v>Druckstuck</v>
      </c>
      <c r="P657" s="129">
        <f>IFERROR(INDEX(DATABASE_FG!$G$5:$G$367, MATCH(E657, DATABASE_FG!$C$5:$C$367, 0)), "Not Found")</f>
        <v>65</v>
      </c>
      <c r="Q657" s="36"/>
      <c r="R657" s="125" t="s">
        <v>678</v>
      </c>
      <c r="S657" s="123">
        <f>IFERROR(INDEX(DATABASE_FG!$L$5:$L$367, MATCH(E657, DATABASE_FG!$C$5:$C$367, 0)), " ")</f>
        <v>42</v>
      </c>
      <c r="T657" s="36" t="s">
        <v>679</v>
      </c>
      <c r="U657" s="36"/>
      <c r="V657" s="36"/>
      <c r="W657" s="129"/>
      <c r="X657" s="36"/>
      <c r="Y657" s="36"/>
      <c r="Z657" s="36"/>
      <c r="AA657" s="125" t="s">
        <v>121</v>
      </c>
      <c r="AB657" s="173">
        <v>45577</v>
      </c>
      <c r="AC657" s="119">
        <v>20232283</v>
      </c>
      <c r="AD657" s="36">
        <f t="shared" si="85"/>
        <v>37307397</v>
      </c>
      <c r="AE657" s="36" t="str">
        <f t="shared" si="86"/>
        <v>F-320745-1401.BZ.ACT</v>
      </c>
      <c r="AF657" s="36">
        <v>35</v>
      </c>
      <c r="AG657" s="120">
        <f t="shared" si="82"/>
        <v>538.30000000000007</v>
      </c>
      <c r="AH657" s="36"/>
      <c r="AI657" s="124"/>
      <c r="AJ657" s="122" t="s">
        <v>2422</v>
      </c>
      <c r="AK657" s="129" t="str">
        <f t="shared" ca="1" si="87"/>
        <v>Late</v>
      </c>
      <c r="AL657" s="268" t="str">
        <f t="shared" si="84"/>
        <v>October</v>
      </c>
      <c r="AM657" s="133">
        <f>YEAR(Table1[[#This Row],[ETA
As requested
dd.mm.yyyy]])</f>
        <v>2024</v>
      </c>
    </row>
    <row r="658" spans="1:39" hidden="1">
      <c r="A658" s="123" t="s">
        <v>82</v>
      </c>
      <c r="B658" s="36" t="s">
        <v>1170</v>
      </c>
      <c r="C658" s="117">
        <v>37307397</v>
      </c>
      <c r="D658" s="165">
        <v>45495</v>
      </c>
      <c r="E658" s="117" t="s">
        <v>1437</v>
      </c>
      <c r="F658" s="36" t="str">
        <f>IFERROR(VLOOKUP(Table1[[#This Row],[Part Number]],DATABASE_FG!$C$6:D10647,2,FALSE)," ")</f>
        <v>096999438-0000</v>
      </c>
      <c r="G658" s="117" t="str">
        <f>IFERROR(_xlfn.XLOOKUP(Table1[[#This Row],[Part Number]],Table3[Part number],Table3[Drawing
 Revision]),"")</f>
        <v>AD</v>
      </c>
      <c r="H658" s="118" cm="1">
        <f t="array" ref="H658">IFERROR(INDEX(PDB!$C:$AT,MATCH(E658,PDB!$B:$B,0),MATCH(YEAR(K658),0+PDB!$C$1:$AT$1,0)),"")</f>
        <v>15.38</v>
      </c>
      <c r="I658" s="36">
        <v>35</v>
      </c>
      <c r="J658" s="125">
        <f>IFERROR(Table1[[#This Row],[Quantity]]*Table1[[#This Row],[Price/Unit
EUR]]," ")</f>
        <v>538.30000000000007</v>
      </c>
      <c r="K658" s="126">
        <v>45569</v>
      </c>
      <c r="L658" s="36">
        <f>WEEKNUM(Table1[[#This Row],[ETA
As requested
dd.mm.yyyy]])</f>
        <v>40</v>
      </c>
      <c r="M658" s="36">
        <f>YEAR(Table1[[#This Row],[ETA
As requested
dd.mm.yyyy]])</f>
        <v>2024</v>
      </c>
      <c r="N658" s="36">
        <f>IFERROR(INDEX(DATABASE_FG!$H$5:$H$367, MATCH(E658, DATABASE_FG!$C$5:$C$367, 0)), " ")</f>
        <v>0</v>
      </c>
      <c r="O658" s="129" t="str">
        <f>IF(E658&lt;&gt;"", _xlfn.XLOOKUP(E658, DATABASE_FG!C:C, DATABASE_FG!F:F), " ")</f>
        <v>Druckstuck</v>
      </c>
      <c r="P658" s="129">
        <f>IFERROR(INDEX(DATABASE_FG!$G$5:$G$367, MATCH(E658, DATABASE_FG!$C$5:$C$367, 0)), "Not Found")</f>
        <v>65</v>
      </c>
      <c r="Q658" s="36"/>
      <c r="R658" s="125" t="s">
        <v>678</v>
      </c>
      <c r="S658" s="123">
        <f>IFERROR(INDEX(DATABASE_FG!$L$5:$L$367, MATCH(E658, DATABASE_FG!$C$5:$C$367, 0)), " ")</f>
        <v>42</v>
      </c>
      <c r="T658" s="36" t="s">
        <v>679</v>
      </c>
      <c r="U658" s="36"/>
      <c r="V658" s="36"/>
      <c r="W658" s="129"/>
      <c r="X658" s="36"/>
      <c r="Y658" s="36"/>
      <c r="Z658" s="36"/>
      <c r="AA658" s="125" t="s">
        <v>121</v>
      </c>
      <c r="AB658" s="173">
        <v>45593</v>
      </c>
      <c r="AC658" s="119">
        <v>202401293</v>
      </c>
      <c r="AD658" s="36">
        <f t="shared" si="85"/>
        <v>37307397</v>
      </c>
      <c r="AE658" s="36" t="str">
        <f t="shared" si="86"/>
        <v>F-320745-1401.BZ.ACT</v>
      </c>
      <c r="AF658" s="36">
        <v>35</v>
      </c>
      <c r="AG658" s="120">
        <f t="shared" si="82"/>
        <v>538.30000000000007</v>
      </c>
      <c r="AH658" s="36"/>
      <c r="AI658" s="124"/>
      <c r="AJ658" s="122" t="s">
        <v>2427</v>
      </c>
      <c r="AK658" s="129" t="str">
        <f t="shared" ca="1" si="87"/>
        <v>Late</v>
      </c>
      <c r="AL658" s="268" t="str">
        <f t="shared" si="84"/>
        <v>October</v>
      </c>
      <c r="AM658" s="133">
        <f>YEAR(Table1[[#This Row],[ETA
As requested
dd.mm.yyyy]])</f>
        <v>2024</v>
      </c>
    </row>
    <row r="659" spans="1:39" hidden="1">
      <c r="A659" s="123" t="s">
        <v>82</v>
      </c>
      <c r="B659" s="36" t="s">
        <v>1170</v>
      </c>
      <c r="C659" s="117">
        <v>37307397</v>
      </c>
      <c r="D659" s="165">
        <v>45495</v>
      </c>
      <c r="E659" s="117" t="s">
        <v>1437</v>
      </c>
      <c r="F659" s="36" t="str">
        <f>IFERROR(VLOOKUP(Table1[[#This Row],[Part Number]],DATABASE_FG!$C$6:D10648,2,FALSE)," ")</f>
        <v>096999438-0000</v>
      </c>
      <c r="G659" s="117" t="str">
        <f>IFERROR(_xlfn.XLOOKUP(Table1[[#This Row],[Part Number]],Table3[Part number],Table3[Drawing
 Revision]),"")</f>
        <v>AD</v>
      </c>
      <c r="H659" s="118" cm="1">
        <f t="array" ref="H659">IFERROR(INDEX(PDB!$C:$AT,MATCH(E659,PDB!$B:$B,0),MATCH(YEAR(K659),0+PDB!$C$1:$AT$1,0)),"")</f>
        <v>15.38</v>
      </c>
      <c r="I659" s="36">
        <v>5</v>
      </c>
      <c r="J659" s="125">
        <f>IFERROR(Table1[[#This Row],[Quantity]]*Table1[[#This Row],[Price/Unit
EUR]]," ")</f>
        <v>76.900000000000006</v>
      </c>
      <c r="K659" s="126">
        <v>45569</v>
      </c>
      <c r="L659" s="36">
        <f>WEEKNUM(Table1[[#This Row],[ETA
As requested
dd.mm.yyyy]])</f>
        <v>40</v>
      </c>
      <c r="M659" s="36">
        <f>YEAR(Table1[[#This Row],[ETA
As requested
dd.mm.yyyy]])</f>
        <v>2024</v>
      </c>
      <c r="N659" s="36">
        <f>IFERROR(INDEX(DATABASE_FG!$H$5:$H$367, MATCH(E659, DATABASE_FG!$C$5:$C$367, 0)), " ")</f>
        <v>0</v>
      </c>
      <c r="O659" s="129" t="str">
        <f>IF(E659&lt;&gt;"", _xlfn.XLOOKUP(E659, DATABASE_FG!C:C, DATABASE_FG!F:F), " ")</f>
        <v>Druckstuck</v>
      </c>
      <c r="P659" s="129">
        <f>IFERROR(INDEX(DATABASE_FG!$G$5:$G$367, MATCH(E659, DATABASE_FG!$C$5:$C$367, 0)), "Not Found")</f>
        <v>65</v>
      </c>
      <c r="Q659" s="36"/>
      <c r="R659" s="125"/>
      <c r="S659" s="123">
        <f>Table1[[#This Row],[Quantity]]/48</f>
        <v>0.10416666666666667</v>
      </c>
      <c r="T659" s="36" t="s">
        <v>679</v>
      </c>
      <c r="U659" s="36"/>
      <c r="V659" s="36"/>
      <c r="W659" s="129"/>
      <c r="X659" s="36"/>
      <c r="Y659" s="36" t="s">
        <v>677</v>
      </c>
      <c r="Z659" s="36"/>
      <c r="AA659" s="125" t="s">
        <v>121</v>
      </c>
      <c r="AB659" s="173">
        <v>45764</v>
      </c>
      <c r="AC659" s="119">
        <v>25648</v>
      </c>
      <c r="AD659" s="36">
        <f t="shared" si="85"/>
        <v>37307397</v>
      </c>
      <c r="AE659" s="36" t="str">
        <f t="shared" si="86"/>
        <v>F-320745-1401.BZ.ACT</v>
      </c>
      <c r="AF659" s="36">
        <v>5</v>
      </c>
      <c r="AG659" s="120">
        <f t="shared" si="82"/>
        <v>76.900000000000006</v>
      </c>
      <c r="AH659" s="36"/>
      <c r="AI659" s="124"/>
      <c r="AJ659" s="122" t="s">
        <v>2435</v>
      </c>
      <c r="AK659" s="129" t="str">
        <f t="shared" ca="1" si="87"/>
        <v>Late</v>
      </c>
      <c r="AL659" s="268" t="str">
        <f t="shared" si="84"/>
        <v>October</v>
      </c>
      <c r="AM659" s="133">
        <f>YEAR(Table1[[#This Row],[ETA
As requested
dd.mm.yyyy]])</f>
        <v>2024</v>
      </c>
    </row>
    <row r="660" spans="1:39" hidden="1">
      <c r="A660" s="123" t="s">
        <v>82</v>
      </c>
      <c r="B660" s="36" t="s">
        <v>3834</v>
      </c>
      <c r="C660" s="117">
        <v>6049236</v>
      </c>
      <c r="D660" s="165">
        <v>45371</v>
      </c>
      <c r="E660" s="117" t="s">
        <v>1437</v>
      </c>
      <c r="F660" s="36" t="str">
        <f>IFERROR(VLOOKUP(Table1[[#This Row],[Part Number]],DATABASE_FG!$C$6:D10649,2,FALSE)," ")</f>
        <v>096999438-0000</v>
      </c>
      <c r="G660" s="117" t="str">
        <f>IFERROR(_xlfn.XLOOKUP(Table1[[#This Row],[Part Number]],Table3[Part number],Table3[Drawing
 Revision]),"")</f>
        <v>AD</v>
      </c>
      <c r="H660" s="118" cm="1">
        <f t="array" ref="H660">IFERROR(INDEX(PDB!$C:$AT,MATCH(E660,PDB!$B:$B,0),MATCH(YEAR(K660),0+PDB!$C$1:$AT$1,0)),"")</f>
        <v>15.38</v>
      </c>
      <c r="I660" s="36">
        <f>260-112-5</f>
        <v>143</v>
      </c>
      <c r="J660" s="125">
        <f>IFERROR(Table1[[#This Row],[Quantity]]*Table1[[#This Row],[Price/Unit
EUR]]," ")</f>
        <v>2199.34</v>
      </c>
      <c r="K660" s="126">
        <v>46100</v>
      </c>
      <c r="L660" s="36">
        <f>WEEKNUM(Table1[[#This Row],[ETA
As requested
dd.mm.yyyy]])</f>
        <v>12</v>
      </c>
      <c r="M660" s="36">
        <f>YEAR(Table1[[#This Row],[ETA
As requested
dd.mm.yyyy]])</f>
        <v>2026</v>
      </c>
      <c r="N660" s="36">
        <f>IFERROR(INDEX(DATABASE_FG!$H$5:$H$367, MATCH(E660, DATABASE_FG!$C$5:$C$367, 0)), " ")</f>
        <v>0</v>
      </c>
      <c r="O660" s="129" t="str">
        <f>IF(E660&lt;&gt;"", _xlfn.XLOOKUP(E660, DATABASE_FG!C:C, DATABASE_FG!F:F), " ")</f>
        <v>Druckstuck</v>
      </c>
      <c r="P660" s="129">
        <f>IFERROR(INDEX(DATABASE_FG!$G$5:$G$367, MATCH(E660, DATABASE_FG!$C$5:$C$367, 0)), "Not Found")</f>
        <v>65</v>
      </c>
      <c r="Q660" s="36"/>
      <c r="R660" s="125" t="s">
        <v>678</v>
      </c>
      <c r="S660" s="123">
        <f>IFERROR(INDEX(DATABASE_FG!$L$5:$L$367, MATCH(E660, DATABASE_FG!$C$5:$C$367, 0)), " ")</f>
        <v>42</v>
      </c>
      <c r="T660" s="36" t="s">
        <v>677</v>
      </c>
      <c r="U660" s="36"/>
      <c r="V660" s="36"/>
      <c r="W660" s="129"/>
      <c r="X660" s="36"/>
      <c r="Y660" s="36"/>
      <c r="Z660" s="36"/>
      <c r="AA660" s="125" t="s">
        <v>3</v>
      </c>
      <c r="AB660" s="172"/>
      <c r="AC660" s="119"/>
      <c r="AD660" s="36" t="str">
        <f t="shared" si="85"/>
        <v/>
      </c>
      <c r="AE660" s="36" t="str">
        <f t="shared" si="86"/>
        <v/>
      </c>
      <c r="AF660" s="36"/>
      <c r="AG660" s="120">
        <f t="shared" si="82"/>
        <v>0</v>
      </c>
      <c r="AH660" s="36"/>
      <c r="AI660" s="124"/>
      <c r="AJ660" s="122"/>
      <c r="AK660" s="129" t="str">
        <f t="shared" ca="1" si="87"/>
        <v/>
      </c>
      <c r="AL660" s="268" t="str">
        <f t="shared" si="84"/>
        <v>March</v>
      </c>
      <c r="AM660" s="133">
        <f>YEAR(Table1[[#This Row],[ETA
As requested
dd.mm.yyyy]])</f>
        <v>2026</v>
      </c>
    </row>
    <row r="661" spans="1:39" hidden="1">
      <c r="A661" s="123" t="s">
        <v>82</v>
      </c>
      <c r="B661" s="36" t="s">
        <v>1170</v>
      </c>
      <c r="C661" s="117">
        <v>36508379</v>
      </c>
      <c r="D661" s="165">
        <v>45378</v>
      </c>
      <c r="E661" s="117" t="s">
        <v>616</v>
      </c>
      <c r="F661" s="36" t="str">
        <f>IFERROR(VLOOKUP(Table1[[#This Row],[Part Number]],DATABASE_FG!$C$6:D10650,2,FALSE)," ")</f>
        <v>096999411-0000</v>
      </c>
      <c r="G661" s="117" t="str">
        <f>IFERROR(_xlfn.XLOOKUP(Table1[[#This Row],[Part Number]],Table3[Part number],Table3[Drawing
 Revision]),"")</f>
        <v>AA</v>
      </c>
      <c r="H661" s="118" cm="1">
        <f t="array" ref="H661">IFERROR(INDEX(PDB!$C:$AT,MATCH(E661,PDB!$B:$B,0),MATCH(YEAR(K661),0+PDB!$C$1:$AT$1,0)),"")</f>
        <v>15.03</v>
      </c>
      <c r="I661" s="36">
        <v>42</v>
      </c>
      <c r="J661" s="125">
        <f>IFERROR(Table1[[#This Row],[Quantity]]*Table1[[#This Row],[Price/Unit
EUR]]," ")</f>
        <v>631.26</v>
      </c>
      <c r="K661" s="126">
        <v>45415</v>
      </c>
      <c r="L661" s="36">
        <f>WEEKNUM(Table1[[#This Row],[ETA
As requested
dd.mm.yyyy]])</f>
        <v>18</v>
      </c>
      <c r="M661" s="36">
        <f>YEAR(Table1[[#This Row],[ETA
As requested
dd.mm.yyyy]])</f>
        <v>2024</v>
      </c>
      <c r="N661" s="36">
        <f>IFERROR(INDEX(DATABASE_FG!$H$5:$H$367, MATCH(E661, DATABASE_FG!$C$5:$C$367, 0)), " ")</f>
        <v>0</v>
      </c>
      <c r="O661" s="129" t="str">
        <f>IF(E661&lt;&gt;"", _xlfn.XLOOKUP(E661, DATABASE_FG!C:C, DATABASE_FG!F:F), " ")</f>
        <v>Sleeve</v>
      </c>
      <c r="P661" s="129">
        <f>IFERROR(INDEX(DATABASE_FG!$G$5:$G$367, MATCH(E661, DATABASE_FG!$C$5:$C$367, 0)), "Not Found")</f>
        <v>65</v>
      </c>
      <c r="Q661" s="36"/>
      <c r="R661" s="125" t="s">
        <v>680</v>
      </c>
      <c r="S661" s="123">
        <f>IFERROR(INDEX(DATABASE_FG!$L$5:$L$367, MATCH(E661, DATABASE_FG!$C$5:$C$367, 0)), " ")</f>
        <v>42</v>
      </c>
      <c r="T661" s="36" t="s">
        <v>677</v>
      </c>
      <c r="U661" s="36"/>
      <c r="V661" s="36"/>
      <c r="W661" s="129"/>
      <c r="X661" s="36"/>
      <c r="Y661" s="36"/>
      <c r="Z661" s="36" t="s">
        <v>1426</v>
      </c>
      <c r="AA661" s="125" t="s">
        <v>121</v>
      </c>
      <c r="AB661" s="172">
        <v>45476</v>
      </c>
      <c r="AC661" s="119">
        <v>2024775</v>
      </c>
      <c r="AD661" s="36">
        <f t="shared" si="85"/>
        <v>36508379</v>
      </c>
      <c r="AE661" s="36" t="str">
        <f t="shared" si="86"/>
        <v>F-320745-1701.HUE.ACT</v>
      </c>
      <c r="AF661" s="36">
        <v>42</v>
      </c>
      <c r="AG661" s="120">
        <f t="shared" si="82"/>
        <v>631.26</v>
      </c>
      <c r="AH661" s="36"/>
      <c r="AI661" s="124" t="s">
        <v>1427</v>
      </c>
      <c r="AJ661" s="122" t="s">
        <v>1428</v>
      </c>
      <c r="AK661" s="129" t="str">
        <f t="shared" ca="1" si="87"/>
        <v>Late</v>
      </c>
      <c r="AL661" s="268" t="str">
        <f t="shared" si="84"/>
        <v>May</v>
      </c>
      <c r="AM661" s="133">
        <f>YEAR(Table1[[#This Row],[ETA
As requested
dd.mm.yyyy]])</f>
        <v>2024</v>
      </c>
    </row>
    <row r="662" spans="1:39" hidden="1">
      <c r="A662" s="123" t="s">
        <v>82</v>
      </c>
      <c r="B662" s="36" t="s">
        <v>1170</v>
      </c>
      <c r="C662" s="117">
        <v>37307399</v>
      </c>
      <c r="D662" s="165">
        <v>45495</v>
      </c>
      <c r="E662" s="117" t="s">
        <v>616</v>
      </c>
      <c r="F662" s="36" t="str">
        <f>IFERROR(VLOOKUP(Table1[[#This Row],[Part Number]],DATABASE_FG!$C$6:D10651,2,FALSE)," ")</f>
        <v>096999411-0000</v>
      </c>
      <c r="G662" s="117" t="str">
        <f>IFERROR(_xlfn.XLOOKUP(Table1[[#This Row],[Part Number]],Table3[Part number],Table3[Drawing
 Revision]),"")</f>
        <v>AA</v>
      </c>
      <c r="H662" s="118" cm="1">
        <f t="array" ref="H662">IFERROR(INDEX(PDB!$C:$AT,MATCH(E662,PDB!$B:$B,0),MATCH(YEAR(K662),0+PDB!$C$1:$AT$1,0)),"")</f>
        <v>15.03</v>
      </c>
      <c r="I662" s="36">
        <v>48</v>
      </c>
      <c r="J662" s="125">
        <f>IFERROR(Table1[[#This Row],[Quantity]]*Table1[[#This Row],[Price/Unit
EUR]]," ")</f>
        <v>721.43999999999994</v>
      </c>
      <c r="K662" s="126">
        <v>45569</v>
      </c>
      <c r="L662" s="36">
        <f>WEEKNUM(Table1[[#This Row],[ETA
As requested
dd.mm.yyyy]])</f>
        <v>40</v>
      </c>
      <c r="M662" s="36">
        <f>YEAR(Table1[[#This Row],[ETA
As requested
dd.mm.yyyy]])</f>
        <v>2024</v>
      </c>
      <c r="N662" s="36">
        <f>IFERROR(INDEX(DATABASE_FG!$H$5:$H$367, MATCH(E662, DATABASE_FG!$C$5:$C$367, 0)), " ")</f>
        <v>0</v>
      </c>
      <c r="O662" s="129" t="str">
        <f>IF(E662&lt;&gt;"", _xlfn.XLOOKUP(E662, DATABASE_FG!C:C, DATABASE_FG!F:F), " ")</f>
        <v>Sleeve</v>
      </c>
      <c r="P662" s="129">
        <f>IFERROR(INDEX(DATABASE_FG!$G$5:$G$367, MATCH(E662, DATABASE_FG!$C$5:$C$367, 0)), "Not Found")</f>
        <v>65</v>
      </c>
      <c r="Q662" s="36"/>
      <c r="R662" s="125" t="s">
        <v>678</v>
      </c>
      <c r="S662" s="123">
        <f>IFERROR(INDEX(DATABASE_FG!$L$5:$L$367, MATCH(E662, DATABASE_FG!$C$5:$C$367, 0)), " ")</f>
        <v>42</v>
      </c>
      <c r="T662" s="36" t="s">
        <v>677</v>
      </c>
      <c r="U662" s="36"/>
      <c r="V662" s="36"/>
      <c r="W662" s="129"/>
      <c r="X662" s="36"/>
      <c r="Y662" s="36"/>
      <c r="Z662" s="36"/>
      <c r="AA662" s="125" t="s">
        <v>121</v>
      </c>
      <c r="AB662" s="172">
        <v>45577</v>
      </c>
      <c r="AC662" s="119">
        <v>20232284</v>
      </c>
      <c r="AD662" s="36">
        <f t="shared" si="85"/>
        <v>37307399</v>
      </c>
      <c r="AE662" s="36" t="str">
        <f t="shared" si="86"/>
        <v>F-320745-1701.HUE.ACT</v>
      </c>
      <c r="AF662" s="36">
        <v>48</v>
      </c>
      <c r="AG662" s="120">
        <f t="shared" si="82"/>
        <v>721.43999999999994</v>
      </c>
      <c r="AH662" s="36"/>
      <c r="AI662" s="124"/>
      <c r="AJ662" s="122" t="s">
        <v>2423</v>
      </c>
      <c r="AK662" s="129" t="str">
        <f t="shared" ca="1" si="87"/>
        <v>Late</v>
      </c>
      <c r="AL662" s="268" t="str">
        <f t="shared" si="84"/>
        <v>October</v>
      </c>
      <c r="AM662" s="133">
        <f>YEAR(Table1[[#This Row],[ETA
As requested
dd.mm.yyyy]])</f>
        <v>2024</v>
      </c>
    </row>
    <row r="663" spans="1:39" hidden="1">
      <c r="A663" s="123" t="s">
        <v>82</v>
      </c>
      <c r="B663" s="36" t="s">
        <v>1170</v>
      </c>
      <c r="C663" s="117">
        <v>37307399</v>
      </c>
      <c r="D663" s="165">
        <v>45495</v>
      </c>
      <c r="E663" s="117" t="s">
        <v>616</v>
      </c>
      <c r="F663" s="36" t="str">
        <f>IFERROR(VLOOKUP(Table1[[#This Row],[Part Number]],DATABASE_FG!$C$6:D10652,2,FALSE)," ")</f>
        <v>096999411-0000</v>
      </c>
      <c r="G663" s="117" t="str">
        <f>IFERROR(_xlfn.XLOOKUP(Table1[[#This Row],[Part Number]],Table3[Part number],Table3[Drawing
 Revision]),"")</f>
        <v>AA</v>
      </c>
      <c r="H663" s="118" cm="1">
        <f t="array" ref="H663">IFERROR(INDEX(PDB!$C:$AT,MATCH(E663,PDB!$B:$B,0),MATCH(YEAR(K663),0+PDB!$C$1:$AT$1,0)),"")</f>
        <v>15.03</v>
      </c>
      <c r="I663" s="36">
        <v>27</v>
      </c>
      <c r="J663" s="125">
        <f>IFERROR(Table1[[#This Row],[Quantity]]*Table1[[#This Row],[Price/Unit
EUR]]," ")</f>
        <v>405.81</v>
      </c>
      <c r="K663" s="126">
        <v>45569</v>
      </c>
      <c r="L663" s="36">
        <f>WEEKNUM(Table1[[#This Row],[ETA
As requested
dd.mm.yyyy]])</f>
        <v>40</v>
      </c>
      <c r="M663" s="36">
        <f>YEAR(Table1[[#This Row],[ETA
As requested
dd.mm.yyyy]])</f>
        <v>2024</v>
      </c>
      <c r="N663" s="36">
        <f>IFERROR(INDEX(DATABASE_FG!$H$5:$H$367, MATCH(E663, DATABASE_FG!$C$5:$C$367, 0)), " ")</f>
        <v>0</v>
      </c>
      <c r="O663" s="129" t="str">
        <f>IF(E663&lt;&gt;"", _xlfn.XLOOKUP(E663, DATABASE_FG!C:C, DATABASE_FG!F:F), " ")</f>
        <v>Sleeve</v>
      </c>
      <c r="P663" s="129">
        <f>IFERROR(INDEX(DATABASE_FG!$G$5:$G$367, MATCH(E663, DATABASE_FG!$C$5:$C$367, 0)), "Not Found")</f>
        <v>65</v>
      </c>
      <c r="Q663" s="36"/>
      <c r="R663" s="125" t="s">
        <v>678</v>
      </c>
      <c r="S663" s="123">
        <f>IFERROR(INDEX(DATABASE_FG!$L$5:$L$367, MATCH(E663, DATABASE_FG!$C$5:$C$367, 0)), " ")</f>
        <v>42</v>
      </c>
      <c r="T663" s="36" t="s">
        <v>677</v>
      </c>
      <c r="U663" s="36"/>
      <c r="V663" s="36"/>
      <c r="W663" s="129"/>
      <c r="X663" s="36"/>
      <c r="Y663" s="36" t="s">
        <v>677</v>
      </c>
      <c r="Z663" s="36" t="s">
        <v>2428</v>
      </c>
      <c r="AA663" s="125" t="s">
        <v>121</v>
      </c>
      <c r="AB663" s="173">
        <v>45721</v>
      </c>
      <c r="AC663" s="119">
        <v>25328</v>
      </c>
      <c r="AD663" s="36">
        <f t="shared" si="85"/>
        <v>37307399</v>
      </c>
      <c r="AE663" s="36" t="str">
        <f t="shared" si="86"/>
        <v>F-320745-1701.HUE.ACT</v>
      </c>
      <c r="AF663" s="36">
        <v>27</v>
      </c>
      <c r="AG663" s="120">
        <f t="shared" si="82"/>
        <v>405.81</v>
      </c>
      <c r="AH663" s="36"/>
      <c r="AI663" s="124"/>
      <c r="AJ663" s="122" t="s">
        <v>2434</v>
      </c>
      <c r="AK663" s="129" t="str">
        <f t="shared" ca="1" si="87"/>
        <v>Late</v>
      </c>
      <c r="AL663" s="268" t="str">
        <f t="shared" si="84"/>
        <v>October</v>
      </c>
      <c r="AM663" s="133">
        <f>YEAR(Table1[[#This Row],[ETA
As requested
dd.mm.yyyy]])</f>
        <v>2024</v>
      </c>
    </row>
    <row r="664" spans="1:39" hidden="1">
      <c r="A664" s="123" t="s">
        <v>82</v>
      </c>
      <c r="B664" s="36" t="s">
        <v>3834</v>
      </c>
      <c r="C664" s="117">
        <v>6049235</v>
      </c>
      <c r="D664" s="165">
        <v>45371</v>
      </c>
      <c r="E664" s="117" t="s">
        <v>616</v>
      </c>
      <c r="F664" s="36" t="str">
        <f>IFERROR(VLOOKUP(Table1[[#This Row],[Part Number]],DATABASE_FG!$C$6:D10653,2,FALSE)," ")</f>
        <v>096999411-0000</v>
      </c>
      <c r="G664" s="117" t="str">
        <f>IFERROR(_xlfn.XLOOKUP(Table1[[#This Row],[Part Number]],Table3[Part number],Table3[Drawing
 Revision]),"")</f>
        <v>AA</v>
      </c>
      <c r="H664" s="118" cm="1">
        <f t="array" ref="H664">IFERROR(INDEX(PDB!$C:$AT,MATCH(E664,PDB!$B:$B,0),MATCH(YEAR(K664),0+PDB!$C$1:$AT$1,0)),"")</f>
        <v>15.03</v>
      </c>
      <c r="I664" s="36">
        <f>260</f>
        <v>260</v>
      </c>
      <c r="J664" s="125">
        <f>IFERROR(Table1[[#This Row],[Quantity]]*Table1[[#This Row],[Price/Unit
EUR]]," ")</f>
        <v>3907.7999999999997</v>
      </c>
      <c r="K664" s="126">
        <v>46100</v>
      </c>
      <c r="L664" s="36">
        <f>WEEKNUM(Table1[[#This Row],[ETA
As requested
dd.mm.yyyy]])</f>
        <v>12</v>
      </c>
      <c r="M664" s="36">
        <f>YEAR(Table1[[#This Row],[ETA
As requested
dd.mm.yyyy]])</f>
        <v>2026</v>
      </c>
      <c r="N664" s="36">
        <f>IFERROR(INDEX(DATABASE_FG!$H$5:$H$367, MATCH(E664, DATABASE_FG!$C$5:$C$367, 0)), " ")</f>
        <v>0</v>
      </c>
      <c r="O664" s="129" t="str">
        <f>IF(E664&lt;&gt;"", _xlfn.XLOOKUP(E664, DATABASE_FG!C:C, DATABASE_FG!F:F), " ")</f>
        <v>Sleeve</v>
      </c>
      <c r="P664" s="129">
        <f>IFERROR(INDEX(DATABASE_FG!$G$5:$G$367, MATCH(E664, DATABASE_FG!$C$5:$C$367, 0)), "Not Found")</f>
        <v>65</v>
      </c>
      <c r="Q664" s="36"/>
      <c r="R664" s="125" t="s">
        <v>678</v>
      </c>
      <c r="S664" s="123">
        <f>IFERROR(INDEX(DATABASE_FG!$L$5:$L$367, MATCH(E664, DATABASE_FG!$C$5:$C$367, 0)), " ")</f>
        <v>42</v>
      </c>
      <c r="T664" s="36" t="s">
        <v>677</v>
      </c>
      <c r="U664" s="36"/>
      <c r="V664" s="36"/>
      <c r="W664" s="129"/>
      <c r="X664" s="36"/>
      <c r="Y664" s="36" t="s">
        <v>677</v>
      </c>
      <c r="Z664" s="36"/>
      <c r="AA664" s="125" t="s">
        <v>3</v>
      </c>
      <c r="AB664" s="173"/>
      <c r="AC664" s="119"/>
      <c r="AD664" s="36" t="str">
        <f t="shared" si="85"/>
        <v/>
      </c>
      <c r="AE664" s="36" t="str">
        <f t="shared" si="86"/>
        <v/>
      </c>
      <c r="AF664" s="36"/>
      <c r="AG664" s="120">
        <f t="shared" si="82"/>
        <v>0</v>
      </c>
      <c r="AH664" s="36"/>
      <c r="AI664" s="124"/>
      <c r="AJ664" s="122"/>
      <c r="AK664" s="129" t="str">
        <f t="shared" ca="1" si="87"/>
        <v/>
      </c>
      <c r="AL664" s="268" t="str">
        <f t="shared" si="84"/>
        <v>March</v>
      </c>
      <c r="AM664" s="133">
        <f>YEAR(Table1[[#This Row],[ETA
As requested
dd.mm.yyyy]])</f>
        <v>2026</v>
      </c>
    </row>
    <row r="665" spans="1:39" hidden="1">
      <c r="A665" s="123" t="s">
        <v>82</v>
      </c>
      <c r="B665" s="36" t="s">
        <v>1170</v>
      </c>
      <c r="C665" s="117">
        <v>36508525</v>
      </c>
      <c r="D665" s="165">
        <v>45378</v>
      </c>
      <c r="E665" s="117" t="s">
        <v>1441</v>
      </c>
      <c r="F665" s="36" t="str">
        <f>IFERROR(VLOOKUP(Table1[[#This Row],[Part Number]],DATABASE_FG!$C$6:D10654,2,FALSE)," ")</f>
        <v>096999497-0000</v>
      </c>
      <c r="G665" s="117" t="str">
        <f>IFERROR(_xlfn.XLOOKUP(Table1[[#This Row],[Part Number]],Table3[Part number],Table3[Drawing
 Revision]),"")</f>
        <v>AA</v>
      </c>
      <c r="H665" s="118" cm="1">
        <f t="array" ref="H665">IFERROR(INDEX(PDB!$C:$AT,MATCH(E665,PDB!$B:$B,0),MATCH(YEAR(K665),0+PDB!$C$1:$AT$1,0)),"")</f>
        <v>23.48</v>
      </c>
      <c r="I665" s="36">
        <v>32</v>
      </c>
      <c r="J665" s="125">
        <f>IFERROR(Table1[[#This Row],[Quantity]]*Table1[[#This Row],[Price/Unit
EUR]]," ")</f>
        <v>751.36</v>
      </c>
      <c r="K665" s="126">
        <v>45415</v>
      </c>
      <c r="L665" s="36">
        <f>WEEKNUM(Table1[[#This Row],[ETA
As requested
dd.mm.yyyy]])</f>
        <v>18</v>
      </c>
      <c r="M665" s="36">
        <f>YEAR(Table1[[#This Row],[ETA
As requested
dd.mm.yyyy]])</f>
        <v>2024</v>
      </c>
      <c r="N665" s="36">
        <f>IFERROR(INDEX(DATABASE_FG!$H$5:$H$367, MATCH(E665, DATABASE_FG!$C$5:$C$367, 0)), " ")</f>
        <v>0</v>
      </c>
      <c r="O665" s="129" t="str">
        <f>IF(E665&lt;&gt;"", _xlfn.XLOOKUP(E665, DATABASE_FG!C:C, DATABASE_FG!F:F), " ")</f>
        <v>Cover</v>
      </c>
      <c r="P665" s="129">
        <f>IFERROR(INDEX(DATABASE_FG!$G$5:$G$367, MATCH(E665, DATABASE_FG!$C$5:$C$367, 0)), "Not Found")</f>
        <v>65</v>
      </c>
      <c r="Q665" s="36"/>
      <c r="R665" s="125" t="s">
        <v>680</v>
      </c>
      <c r="S665" s="123">
        <f>IFERROR(INDEX(DATABASE_FG!$L$5:$L$367, MATCH(E665, DATABASE_FG!$C$5:$C$367, 0)), " ")</f>
        <v>56</v>
      </c>
      <c r="T665" s="36" t="s">
        <v>677</v>
      </c>
      <c r="U665" s="36"/>
      <c r="V665" s="36"/>
      <c r="W665" s="129"/>
      <c r="X665" s="36"/>
      <c r="Y665" s="36"/>
      <c r="Z665" s="36" t="s">
        <v>1443</v>
      </c>
      <c r="AA665" s="125" t="s">
        <v>121</v>
      </c>
      <c r="AB665" s="173">
        <v>45497</v>
      </c>
      <c r="AC665" s="119">
        <v>2024908</v>
      </c>
      <c r="AD665" s="36">
        <f t="shared" si="85"/>
        <v>36508525</v>
      </c>
      <c r="AE665" s="36" t="str">
        <f t="shared" si="86"/>
        <v>F-320745-1901.DL.ACT15</v>
      </c>
      <c r="AF665" s="36">
        <v>32</v>
      </c>
      <c r="AG665" s="120">
        <f t="shared" si="82"/>
        <v>751.36</v>
      </c>
      <c r="AH665" s="36"/>
      <c r="AI665" s="124" t="s">
        <v>1444</v>
      </c>
      <c r="AJ665" s="122" t="s">
        <v>1445</v>
      </c>
      <c r="AK665" s="129" t="str">
        <f t="shared" ca="1" si="87"/>
        <v>Late</v>
      </c>
      <c r="AL665" s="268" t="str">
        <f t="shared" si="84"/>
        <v>May</v>
      </c>
      <c r="AM665" s="133">
        <f>YEAR(Table1[[#This Row],[ETA
As requested
dd.mm.yyyy]])</f>
        <v>2024</v>
      </c>
    </row>
    <row r="666" spans="1:39" hidden="1">
      <c r="A666" s="123" t="s">
        <v>82</v>
      </c>
      <c r="B666" s="36" t="s">
        <v>1170</v>
      </c>
      <c r="C666" s="117">
        <v>36508525</v>
      </c>
      <c r="D666" s="165">
        <v>45378</v>
      </c>
      <c r="E666" s="117" t="s">
        <v>1441</v>
      </c>
      <c r="F666" s="36" t="str">
        <f>IFERROR(VLOOKUP(Table1[[#This Row],[Part Number]],DATABASE_FG!$C$6:D10655,2,FALSE)," ")</f>
        <v>096999497-0000</v>
      </c>
      <c r="G666" s="117" t="str">
        <f>IFERROR(_xlfn.XLOOKUP(Table1[[#This Row],[Part Number]],Table3[Part number],Table3[Drawing
 Revision]),"")</f>
        <v>AA</v>
      </c>
      <c r="H666" s="118" cm="1">
        <f t="array" ref="H666">IFERROR(INDEX(PDB!$C:$AT,MATCH(E666,PDB!$B:$B,0),MATCH(YEAR(K666),0+PDB!$C$1:$AT$1,0)),"")</f>
        <v>23.48</v>
      </c>
      <c r="I666" s="36">
        <v>10</v>
      </c>
      <c r="J666" s="125">
        <f>IFERROR(Table1[[#This Row],[Quantity]]*Table1[[#This Row],[Price/Unit
EUR]]," ")</f>
        <v>234.8</v>
      </c>
      <c r="K666" s="126">
        <v>45415</v>
      </c>
      <c r="L666" s="36">
        <f>WEEKNUM(Table1[[#This Row],[ETA
As requested
dd.mm.yyyy]])</f>
        <v>18</v>
      </c>
      <c r="M666" s="36">
        <f>YEAR(Table1[[#This Row],[ETA
As requested
dd.mm.yyyy]])</f>
        <v>2024</v>
      </c>
      <c r="N666" s="36">
        <f>IFERROR(INDEX(DATABASE_FG!$H$5:$H$367, MATCH(E666, DATABASE_FG!$C$5:$C$367, 0)), " ")</f>
        <v>0</v>
      </c>
      <c r="O666" s="129" t="str">
        <f>IF(E666&lt;&gt;"", _xlfn.XLOOKUP(E666, DATABASE_FG!C:C, DATABASE_FG!F:F), " ")</f>
        <v>Cover</v>
      </c>
      <c r="P666" s="129">
        <f>IFERROR(INDEX(DATABASE_FG!$G$5:$G$367, MATCH(E666, DATABASE_FG!$C$5:$C$367, 0)), "Not Found")</f>
        <v>65</v>
      </c>
      <c r="Q666" s="36"/>
      <c r="R666" s="125"/>
      <c r="S666" s="123">
        <f>Table1[[#This Row],[Quantity]]/48</f>
        <v>0.20833333333333334</v>
      </c>
      <c r="T666" s="36"/>
      <c r="U666" s="36"/>
      <c r="V666" s="36"/>
      <c r="W666" s="129"/>
      <c r="X666" s="36"/>
      <c r="Y666" s="36"/>
      <c r="Z666" s="36"/>
      <c r="AA666" s="125" t="s">
        <v>121</v>
      </c>
      <c r="AB666" s="173">
        <v>45577</v>
      </c>
      <c r="AC666" s="119">
        <v>20232280</v>
      </c>
      <c r="AD666" s="36">
        <f t="shared" si="85"/>
        <v>36508525</v>
      </c>
      <c r="AE666" s="36" t="str">
        <f t="shared" si="86"/>
        <v>F-320745-1901.DL.ACT15</v>
      </c>
      <c r="AF666" s="36">
        <v>10</v>
      </c>
      <c r="AG666" s="120">
        <f t="shared" si="82"/>
        <v>234.8</v>
      </c>
      <c r="AH666" s="36"/>
      <c r="AI666" s="124"/>
      <c r="AJ666" s="122" t="s">
        <v>1446</v>
      </c>
      <c r="AK666" s="129" t="str">
        <f t="shared" ca="1" si="87"/>
        <v>Late</v>
      </c>
      <c r="AL666" s="268" t="str">
        <f t="shared" si="84"/>
        <v>May</v>
      </c>
      <c r="AM666" s="133">
        <f>YEAR(Table1[[#This Row],[ETA
As requested
dd.mm.yyyy]])</f>
        <v>2024</v>
      </c>
    </row>
    <row r="667" spans="1:39" hidden="1">
      <c r="A667" s="123" t="s">
        <v>82</v>
      </c>
      <c r="B667" s="36" t="s">
        <v>1170</v>
      </c>
      <c r="C667" s="117">
        <v>37307402</v>
      </c>
      <c r="D667" s="165">
        <v>45495</v>
      </c>
      <c r="E667" s="117" t="s">
        <v>1441</v>
      </c>
      <c r="F667" s="36" t="str">
        <f>IFERROR(VLOOKUP(Table1[[#This Row],[Part Number]],DATABASE_FG!$C$6:D10656,2,FALSE)," ")</f>
        <v>096999497-0000</v>
      </c>
      <c r="G667" s="117" t="str">
        <f>IFERROR(_xlfn.XLOOKUP(Table1[[#This Row],[Part Number]],Table3[Part number],Table3[Drawing
 Revision]),"")</f>
        <v>AA</v>
      </c>
      <c r="H667" s="118" cm="1">
        <f t="array" ref="H667">IFERROR(INDEX(PDB!$C:$AT,MATCH(E667,PDB!$B:$B,0),MATCH(YEAR(K667),0+PDB!$C$1:$AT$1,0)),"")</f>
        <v>23.48</v>
      </c>
      <c r="I667" s="36">
        <v>70</v>
      </c>
      <c r="J667" s="125">
        <f>IFERROR(Table1[[#This Row],[Quantity]]*Table1[[#This Row],[Price/Unit
EUR]]," ")</f>
        <v>1643.6000000000001</v>
      </c>
      <c r="K667" s="126">
        <v>45569</v>
      </c>
      <c r="L667" s="36">
        <f>WEEKNUM(Table1[[#This Row],[ETA
As requested
dd.mm.yyyy]])</f>
        <v>40</v>
      </c>
      <c r="M667" s="36">
        <f>YEAR(Table1[[#This Row],[ETA
As requested
dd.mm.yyyy]])</f>
        <v>2024</v>
      </c>
      <c r="N667" s="36">
        <f>IFERROR(INDEX(DATABASE_FG!$H$5:$H$367, MATCH(E667, DATABASE_FG!$C$5:$C$367, 0)), " ")</f>
        <v>0</v>
      </c>
      <c r="O667" s="129" t="str">
        <f>IF(E667&lt;&gt;"", _xlfn.XLOOKUP(E667, DATABASE_FG!C:C, DATABASE_FG!F:F), " ")</f>
        <v>Cover</v>
      </c>
      <c r="P667" s="129">
        <f>IFERROR(INDEX(DATABASE_FG!$G$5:$G$367, MATCH(E667, DATABASE_FG!$C$5:$C$367, 0)), "Not Found")</f>
        <v>65</v>
      </c>
      <c r="Q667" s="36"/>
      <c r="R667" s="125" t="s">
        <v>678</v>
      </c>
      <c r="S667" s="123">
        <f>IFERROR(INDEX(DATABASE_FG!$L$5:$L$367, MATCH(E667, DATABASE_FG!$C$5:$C$367, 0)), " ")</f>
        <v>56</v>
      </c>
      <c r="T667" s="36" t="s">
        <v>677</v>
      </c>
      <c r="U667" s="36"/>
      <c r="V667" s="36"/>
      <c r="W667" s="129"/>
      <c r="X667" s="36">
        <v>45534</v>
      </c>
      <c r="Y667" s="36"/>
      <c r="Z667" s="36"/>
      <c r="AA667" s="125" t="s">
        <v>121</v>
      </c>
      <c r="AB667" s="173">
        <v>45577</v>
      </c>
      <c r="AC667" s="119">
        <v>20232281</v>
      </c>
      <c r="AD667" s="36">
        <f t="shared" si="85"/>
        <v>37307402</v>
      </c>
      <c r="AE667" s="36" t="str">
        <f t="shared" si="86"/>
        <v>F-320745-1901.DL.ACT15</v>
      </c>
      <c r="AF667" s="36">
        <v>70</v>
      </c>
      <c r="AG667" s="120">
        <f t="shared" si="82"/>
        <v>1643.6000000000001</v>
      </c>
      <c r="AH667" s="36"/>
      <c r="AI667" s="124"/>
      <c r="AJ667" s="122" t="s">
        <v>2426</v>
      </c>
      <c r="AK667" s="129" t="str">
        <f t="shared" ca="1" si="87"/>
        <v>Late</v>
      </c>
      <c r="AL667" s="268" t="str">
        <f t="shared" si="84"/>
        <v>October</v>
      </c>
      <c r="AM667" s="133">
        <f>YEAR(Table1[[#This Row],[ETA
As requested
dd.mm.yyyy]])</f>
        <v>2024</v>
      </c>
    </row>
    <row r="668" spans="1:39" hidden="1">
      <c r="A668" s="123" t="s">
        <v>82</v>
      </c>
      <c r="B668" s="36" t="s">
        <v>3834</v>
      </c>
      <c r="C668" s="117">
        <v>6049233</v>
      </c>
      <c r="D668" s="165">
        <v>45371</v>
      </c>
      <c r="E668" s="117" t="s">
        <v>1441</v>
      </c>
      <c r="F668" s="36" t="str">
        <f>IFERROR(VLOOKUP(Table1[[#This Row],[Part Number]],DATABASE_FG!$C$6:D10657,2,FALSE)," ")</f>
        <v>096999497-0000</v>
      </c>
      <c r="G668" s="117" t="str">
        <f>IFERROR(_xlfn.XLOOKUP(Table1[[#This Row],[Part Number]],Table3[Part number],Table3[Drawing
 Revision]),"")</f>
        <v>AA</v>
      </c>
      <c r="H668" s="118" cm="1">
        <f t="array" ref="H668">IFERROR(INDEX(PDB!$C:$AT,MATCH(E668,PDB!$B:$B,0),MATCH(YEAR(K668),0+PDB!$C$1:$AT$1,0)),"")</f>
        <v>23.48</v>
      </c>
      <c r="I668" s="36">
        <f>260-42-70</f>
        <v>148</v>
      </c>
      <c r="J668" s="125">
        <f>IFERROR(Table1[[#This Row],[Quantity]]*Table1[[#This Row],[Price/Unit
EUR]]," ")</f>
        <v>3475.04</v>
      </c>
      <c r="K668" s="126">
        <v>46100</v>
      </c>
      <c r="L668" s="36">
        <f>WEEKNUM(Table1[[#This Row],[ETA
As requested
dd.mm.yyyy]])</f>
        <v>12</v>
      </c>
      <c r="M668" s="36">
        <f>YEAR(Table1[[#This Row],[ETA
As requested
dd.mm.yyyy]])</f>
        <v>2026</v>
      </c>
      <c r="N668" s="36">
        <f>IFERROR(INDEX(DATABASE_FG!$H$5:$H$367, MATCH(E668, DATABASE_FG!$C$5:$C$367, 0)), " ")</f>
        <v>0</v>
      </c>
      <c r="O668" s="129" t="str">
        <f>IF(E668&lt;&gt;"", _xlfn.XLOOKUP(E668, DATABASE_FG!C:C, DATABASE_FG!F:F), " ")</f>
        <v>Cover</v>
      </c>
      <c r="P668" s="129">
        <f>IFERROR(INDEX(DATABASE_FG!$G$5:$G$367, MATCH(E668, DATABASE_FG!$C$5:$C$367, 0)), "Not Found")</f>
        <v>65</v>
      </c>
      <c r="Q668" s="36"/>
      <c r="R668" s="125" t="s">
        <v>678</v>
      </c>
      <c r="S668" s="123">
        <f>IFERROR(INDEX(DATABASE_FG!$L$5:$L$367, MATCH(E668, DATABASE_FG!$C$5:$C$367, 0)), " ")</f>
        <v>56</v>
      </c>
      <c r="T668" s="36" t="s">
        <v>677</v>
      </c>
      <c r="U668" s="36"/>
      <c r="V668" s="36"/>
      <c r="W668" s="129"/>
      <c r="X668" s="36"/>
      <c r="Y668" s="36"/>
      <c r="Z668" s="36"/>
      <c r="AA668" s="125" t="s">
        <v>3</v>
      </c>
      <c r="AB668" s="173"/>
      <c r="AC668" s="119"/>
      <c r="AD668" s="36" t="str">
        <f t="shared" si="85"/>
        <v/>
      </c>
      <c r="AE668" s="36" t="str">
        <f t="shared" si="86"/>
        <v/>
      </c>
      <c r="AF668" s="36"/>
      <c r="AG668" s="120">
        <f t="shared" si="82"/>
        <v>0</v>
      </c>
      <c r="AH668" s="36"/>
      <c r="AI668" s="124"/>
      <c r="AJ668" s="122"/>
      <c r="AK668" s="129" t="str">
        <f t="shared" ca="1" si="87"/>
        <v/>
      </c>
      <c r="AL668" s="268" t="str">
        <f t="shared" si="84"/>
        <v>March</v>
      </c>
      <c r="AM668" s="133">
        <f>YEAR(Table1[[#This Row],[ETA
As requested
dd.mm.yyyy]])</f>
        <v>2026</v>
      </c>
    </row>
    <row r="669" spans="1:39" hidden="1">
      <c r="A669" s="123" t="s">
        <v>82</v>
      </c>
      <c r="B669" s="36" t="s">
        <v>1170</v>
      </c>
      <c r="C669" s="117">
        <v>36498988</v>
      </c>
      <c r="D669" s="165">
        <v>45377</v>
      </c>
      <c r="E669" s="117" t="s">
        <v>619</v>
      </c>
      <c r="F669" s="36" t="str">
        <f>IFERROR(VLOOKUP(Table1[[#This Row],[Part Number]],DATABASE_FG!$C$6:D10658,2,FALSE)," ")</f>
        <v>096999276-0000</v>
      </c>
      <c r="G669" s="117" t="str">
        <f>IFERROR(_xlfn.XLOOKUP(Table1[[#This Row],[Part Number]],Table3[Part number],Table3[Drawing
 Revision]),"")</f>
        <v>AB</v>
      </c>
      <c r="H669" s="118" cm="1">
        <f t="array" ref="H669">IFERROR(INDEX(PDB!$C:$AT,MATCH(E669,PDB!$B:$B,0),MATCH(YEAR(K669),0+PDB!$C$1:$AT$1,0)),"")</f>
        <v>11.43</v>
      </c>
      <c r="I669" s="36">
        <v>42</v>
      </c>
      <c r="J669" s="125">
        <f>IFERROR(Table1[[#This Row],[Quantity]]*Table1[[#This Row],[Price/Unit
EUR]]," ")</f>
        <v>480.06</v>
      </c>
      <c r="K669" s="126">
        <v>45415</v>
      </c>
      <c r="L669" s="36">
        <f>WEEKNUM(Table1[[#This Row],[ETA
As requested
dd.mm.yyyy]])</f>
        <v>18</v>
      </c>
      <c r="M669" s="36">
        <f>YEAR(Table1[[#This Row],[ETA
As requested
dd.mm.yyyy]])</f>
        <v>2024</v>
      </c>
      <c r="N669" s="36">
        <f>IFERROR(INDEX(DATABASE_FG!$H$5:$H$367, MATCH(E669, DATABASE_FG!$C$5:$C$367, 0)), " ")</f>
        <v>0</v>
      </c>
      <c r="O669" s="129" t="str">
        <f>IF(E669&lt;&gt;"", _xlfn.XLOOKUP(E669, DATABASE_FG!C:C, DATABASE_FG!F:F), " ")</f>
        <v>Sealing screw</v>
      </c>
      <c r="P669" s="129">
        <f>IFERROR(INDEX(DATABASE_FG!$G$5:$G$367, MATCH(E669, DATABASE_FG!$C$5:$C$367, 0)), "Not Found")</f>
        <v>65</v>
      </c>
      <c r="Q669" s="36"/>
      <c r="R669" s="125" t="s">
        <v>680</v>
      </c>
      <c r="S669" s="123">
        <f>IFERROR(INDEX(DATABASE_FG!$L$5:$L$367, MATCH(E669, DATABASE_FG!$C$5:$C$367, 0)), " ")</f>
        <v>42</v>
      </c>
      <c r="T669" s="36" t="s">
        <v>677</v>
      </c>
      <c r="U669" s="36"/>
      <c r="V669" s="36"/>
      <c r="W669" s="129"/>
      <c r="X669" s="36"/>
      <c r="Y669" s="36"/>
      <c r="Z669" s="36" t="s">
        <v>1434</v>
      </c>
      <c r="AA669" s="125" t="s">
        <v>121</v>
      </c>
      <c r="AB669" s="173">
        <v>45476</v>
      </c>
      <c r="AC669" s="119">
        <v>2024776</v>
      </c>
      <c r="AD669" s="36">
        <f t="shared" si="85"/>
        <v>36498988</v>
      </c>
      <c r="AE669" s="36" t="str">
        <f t="shared" si="86"/>
        <v>F-320745-9001.VSHR.ACT</v>
      </c>
      <c r="AF669" s="36">
        <v>42</v>
      </c>
      <c r="AG669" s="120">
        <f t="shared" si="82"/>
        <v>480.06</v>
      </c>
      <c r="AH669" s="36"/>
      <c r="AI669" s="124" t="s">
        <v>1435</v>
      </c>
      <c r="AJ669" s="122" t="s">
        <v>1436</v>
      </c>
      <c r="AK669" s="129" t="str">
        <f t="shared" ca="1" si="87"/>
        <v>Late</v>
      </c>
      <c r="AL669" s="268" t="str">
        <f t="shared" si="84"/>
        <v>May</v>
      </c>
      <c r="AM669" s="133">
        <f>YEAR(Table1[[#This Row],[ETA
As requested
dd.mm.yyyy]])</f>
        <v>2024</v>
      </c>
    </row>
    <row r="670" spans="1:39" hidden="1">
      <c r="A670" s="123" t="s">
        <v>82</v>
      </c>
      <c r="B670" s="36" t="s">
        <v>1170</v>
      </c>
      <c r="C670" s="117">
        <v>37186920</v>
      </c>
      <c r="D670" s="165">
        <v>45495</v>
      </c>
      <c r="E670" s="117" t="s">
        <v>619</v>
      </c>
      <c r="F670" s="36" t="str">
        <f>IFERROR(VLOOKUP(Table1[[#This Row],[Part Number]],DATABASE_FG!$C$6:D10659,2,FALSE)," ")</f>
        <v>096999276-0000</v>
      </c>
      <c r="G670" s="117" t="str">
        <f>IFERROR(_xlfn.XLOOKUP(Table1[[#This Row],[Part Number]],Table3[Part number],Table3[Drawing
 Revision]),"")</f>
        <v>AB</v>
      </c>
      <c r="H670" s="118" cm="1">
        <f t="array" ref="H670">IFERROR(INDEX(PDB!$C:$AT,MATCH(E670,PDB!$B:$B,0),MATCH(YEAR(K670),0+PDB!$C$1:$AT$1,0)),"")</f>
        <v>11.43</v>
      </c>
      <c r="I670" s="36">
        <v>38</v>
      </c>
      <c r="J670" s="125">
        <f>IFERROR(Table1[[#This Row],[Quantity]]*Table1[[#This Row],[Price/Unit
EUR]]," ")</f>
        <v>434.34</v>
      </c>
      <c r="K670" s="126">
        <v>45569</v>
      </c>
      <c r="L670" s="36">
        <f>WEEKNUM(Table1[[#This Row],[ETA
As requested
dd.mm.yyyy]])</f>
        <v>40</v>
      </c>
      <c r="M670" s="36">
        <f>YEAR(Table1[[#This Row],[ETA
As requested
dd.mm.yyyy]])</f>
        <v>2024</v>
      </c>
      <c r="N670" s="36">
        <f>IFERROR(INDEX(DATABASE_FG!$H$5:$H$367, MATCH(E670, DATABASE_FG!$C$5:$C$367, 0)), " ")</f>
        <v>0</v>
      </c>
      <c r="O670" s="129" t="str">
        <f>IF(E670&lt;&gt;"", _xlfn.XLOOKUP(E670, DATABASE_FG!C:C, DATABASE_FG!F:F), " ")</f>
        <v>Sealing screw</v>
      </c>
      <c r="P670" s="129">
        <f>IFERROR(INDEX(DATABASE_FG!$G$5:$G$367, MATCH(E670, DATABASE_FG!$C$5:$C$367, 0)), "Not Found")</f>
        <v>65</v>
      </c>
      <c r="Q670" s="36"/>
      <c r="R670" s="125" t="s">
        <v>678</v>
      </c>
      <c r="S670" s="123">
        <f>IFERROR(INDEX(DATABASE_FG!$L$5:$L$367, MATCH(E670, DATABASE_FG!$C$5:$C$367, 0)), " ")</f>
        <v>42</v>
      </c>
      <c r="T670" s="36" t="s">
        <v>677</v>
      </c>
      <c r="U670" s="36"/>
      <c r="V670" s="36"/>
      <c r="W670" s="129"/>
      <c r="X670" s="36"/>
      <c r="Y670" s="36"/>
      <c r="Z670" s="36"/>
      <c r="AA670" s="125" t="s">
        <v>121</v>
      </c>
      <c r="AB670" s="173">
        <v>45577</v>
      </c>
      <c r="AC670" s="119">
        <v>20232282</v>
      </c>
      <c r="AD670" s="36">
        <f t="shared" si="85"/>
        <v>37186920</v>
      </c>
      <c r="AE670" s="36" t="str">
        <f t="shared" si="86"/>
        <v>F-320745-9001.VSHR.ACT</v>
      </c>
      <c r="AF670" s="36">
        <v>38</v>
      </c>
      <c r="AG670" s="120">
        <f t="shared" si="82"/>
        <v>434.34</v>
      </c>
      <c r="AH670" s="36"/>
      <c r="AI670" s="124"/>
      <c r="AJ670" s="122" t="s">
        <v>2421</v>
      </c>
      <c r="AK670" s="129" t="str">
        <f t="shared" ca="1" si="87"/>
        <v>Late</v>
      </c>
      <c r="AL670" s="268" t="str">
        <f t="shared" si="84"/>
        <v>October</v>
      </c>
      <c r="AM670" s="133">
        <f>YEAR(Table1[[#This Row],[ETA
As requested
dd.mm.yyyy]])</f>
        <v>2024</v>
      </c>
    </row>
    <row r="671" spans="1:39" hidden="1">
      <c r="A671" s="123" t="s">
        <v>82</v>
      </c>
      <c r="B671" s="36" t="s">
        <v>1170</v>
      </c>
      <c r="C671" s="117">
        <v>37186920</v>
      </c>
      <c r="D671" s="165">
        <v>45495</v>
      </c>
      <c r="E671" s="117" t="s">
        <v>619</v>
      </c>
      <c r="F671" s="36" t="str">
        <f>IFERROR(VLOOKUP(Table1[[#This Row],[Part Number]],DATABASE_FG!$C$6:D10660,2,FALSE)," ")</f>
        <v>096999276-0000</v>
      </c>
      <c r="G671" s="117" t="str">
        <f>IFERROR(_xlfn.XLOOKUP(Table1[[#This Row],[Part Number]],Table3[Part number],Table3[Drawing
 Revision]),"")</f>
        <v>AB</v>
      </c>
      <c r="H671" s="118" cm="1">
        <f t="array" ref="H671">IFERROR(INDEX(PDB!$C:$AT,MATCH(E671,PDB!$B:$B,0),MATCH(YEAR(K671),0+PDB!$C$1:$AT$1,0)),"")</f>
        <v>11.43</v>
      </c>
      <c r="I671" s="36">
        <v>35</v>
      </c>
      <c r="J671" s="125">
        <f>IFERROR(Table1[[#This Row],[Quantity]]*Table1[[#This Row],[Price/Unit
EUR]]," ")</f>
        <v>400.05</v>
      </c>
      <c r="K671" s="126">
        <v>45569</v>
      </c>
      <c r="L671" s="36">
        <f>WEEKNUM(Table1[[#This Row],[ETA
As requested
dd.mm.yyyy]])</f>
        <v>40</v>
      </c>
      <c r="M671" s="36">
        <f>YEAR(Table1[[#This Row],[ETA
As requested
dd.mm.yyyy]])</f>
        <v>2024</v>
      </c>
      <c r="N671" s="36">
        <f>IFERROR(INDEX(DATABASE_FG!$H$5:$H$367, MATCH(E671, DATABASE_FG!$C$5:$C$367, 0)), " ")</f>
        <v>0</v>
      </c>
      <c r="O671" s="129" t="str">
        <f>IF(E671&lt;&gt;"", _xlfn.XLOOKUP(E671, DATABASE_FG!C:C, DATABASE_FG!F:F), " ")</f>
        <v>Sealing screw</v>
      </c>
      <c r="P671" s="129">
        <f>IFERROR(INDEX(DATABASE_FG!$G$5:$G$367, MATCH(E671, DATABASE_FG!$C$5:$C$367, 0)), "Not Found")</f>
        <v>65</v>
      </c>
      <c r="Q671" s="36"/>
      <c r="R671" s="125" t="s">
        <v>678</v>
      </c>
      <c r="S671" s="123">
        <f>IFERROR(INDEX(DATABASE_FG!$L$5:$L$367, MATCH(E671, DATABASE_FG!$C$5:$C$367, 0)), " ")</f>
        <v>42</v>
      </c>
      <c r="T671" s="36" t="s">
        <v>677</v>
      </c>
      <c r="U671" s="36"/>
      <c r="V671" s="36"/>
      <c r="W671" s="129"/>
      <c r="X671" s="36"/>
      <c r="Y671" s="36" t="s">
        <v>121</v>
      </c>
      <c r="Z671" s="36" t="s">
        <v>2428</v>
      </c>
      <c r="AA671" s="125" t="s">
        <v>121</v>
      </c>
      <c r="AB671" s="173">
        <v>45703</v>
      </c>
      <c r="AC671" s="119" t="s">
        <v>2429</v>
      </c>
      <c r="AD671" s="36">
        <f t="shared" si="85"/>
        <v>37186920</v>
      </c>
      <c r="AE671" s="36" t="str">
        <f t="shared" si="86"/>
        <v>F-320745-9001.VSHR.ACT</v>
      </c>
      <c r="AF671" s="36">
        <v>35</v>
      </c>
      <c r="AG671" s="120">
        <f t="shared" si="82"/>
        <v>400.05</v>
      </c>
      <c r="AH671" s="36"/>
      <c r="AI671" s="124" t="s">
        <v>2430</v>
      </c>
      <c r="AJ671" s="122" t="s">
        <v>2431</v>
      </c>
      <c r="AK671" s="129" t="str">
        <f t="shared" ca="1" si="87"/>
        <v>Late</v>
      </c>
      <c r="AL671" s="268" t="str">
        <f t="shared" si="84"/>
        <v>October</v>
      </c>
      <c r="AM671" s="133">
        <f>YEAR(Table1[[#This Row],[ETA
As requested
dd.mm.yyyy]])</f>
        <v>2024</v>
      </c>
    </row>
    <row r="672" spans="1:39" hidden="1">
      <c r="A672" s="123" t="s">
        <v>82</v>
      </c>
      <c r="B672" s="36" t="s">
        <v>3834</v>
      </c>
      <c r="C672" s="117">
        <v>6049232</v>
      </c>
      <c r="D672" s="165">
        <v>45372</v>
      </c>
      <c r="E672" s="117" t="s">
        <v>619</v>
      </c>
      <c r="F672" s="36" t="str">
        <f>IFERROR(VLOOKUP(Table1[[#This Row],[Part Number]],DATABASE_FG!$C$6:D10661,2,FALSE)," ")</f>
        <v>096999276-0000</v>
      </c>
      <c r="G672" s="117" t="str">
        <f>IFERROR(_xlfn.XLOOKUP(Table1[[#This Row],[Part Number]],Table3[Part number],Table3[Drawing
 Revision]),"")</f>
        <v>AB</v>
      </c>
      <c r="H672" s="118" cm="1">
        <f t="array" ref="H672">IFERROR(INDEX(PDB!$C:$AT,MATCH(E672,PDB!$B:$B,0),MATCH(YEAR(K672),0+PDB!$C$1:$AT$1,0)),"")</f>
        <v>0</v>
      </c>
      <c r="I672" s="36">
        <v>145</v>
      </c>
      <c r="J672" s="125">
        <f>IFERROR(Table1[[#This Row],[Quantity]]*Table1[[#This Row],[Price/Unit
EUR]]," ")</f>
        <v>0</v>
      </c>
      <c r="K672" s="126">
        <v>46100</v>
      </c>
      <c r="L672" s="36">
        <f>WEEKNUM(Table1[[#This Row],[ETA
As requested
dd.mm.yyyy]])</f>
        <v>12</v>
      </c>
      <c r="M672" s="36">
        <f>YEAR(Table1[[#This Row],[ETA
As requested
dd.mm.yyyy]])</f>
        <v>2026</v>
      </c>
      <c r="N672" s="36">
        <f>IFERROR(INDEX(DATABASE_FG!$H$5:$H$367, MATCH(E672, DATABASE_FG!$C$5:$C$367, 0)), " ")</f>
        <v>0</v>
      </c>
      <c r="O672" s="129" t="str">
        <f>IF(E672&lt;&gt;"", _xlfn.XLOOKUP(E672, DATABASE_FG!C:C, DATABASE_FG!F:F), " ")</f>
        <v>Sealing screw</v>
      </c>
      <c r="P672" s="129">
        <f>IFERROR(INDEX(DATABASE_FG!$G$5:$G$367, MATCH(E672, DATABASE_FG!$C$5:$C$367, 0)), "Not Found")</f>
        <v>65</v>
      </c>
      <c r="Q672" s="36"/>
      <c r="R672" s="125" t="s">
        <v>678</v>
      </c>
      <c r="S672" s="123">
        <f>IFERROR(INDEX(DATABASE_FG!$L$5:$L$367, MATCH(E672, DATABASE_FG!$C$5:$C$367, 0)), " ")</f>
        <v>42</v>
      </c>
      <c r="T672" s="36" t="s">
        <v>677</v>
      </c>
      <c r="U672" s="36"/>
      <c r="V672" s="36"/>
      <c r="W672" s="129"/>
      <c r="X672" s="36"/>
      <c r="Y672" s="36" t="s">
        <v>121</v>
      </c>
      <c r="Z672" s="36"/>
      <c r="AA672" s="125" t="s">
        <v>3</v>
      </c>
      <c r="AB672" s="173"/>
      <c r="AC672" s="119"/>
      <c r="AD672" s="36" t="str">
        <f t="shared" si="85"/>
        <v/>
      </c>
      <c r="AE672" s="36" t="str">
        <f t="shared" si="86"/>
        <v/>
      </c>
      <c r="AF672" s="36"/>
      <c r="AG672" s="120">
        <f t="shared" si="82"/>
        <v>0</v>
      </c>
      <c r="AH672" s="36"/>
      <c r="AI672" s="124"/>
      <c r="AJ672" s="122"/>
      <c r="AK672" s="129" t="str">
        <f t="shared" ca="1" si="87"/>
        <v/>
      </c>
      <c r="AL672" s="268" t="str">
        <f t="shared" si="84"/>
        <v>March</v>
      </c>
      <c r="AM672" s="133">
        <f>YEAR(Table1[[#This Row],[ETA
As requested
dd.mm.yyyy]])</f>
        <v>2026</v>
      </c>
    </row>
    <row r="673" spans="1:39" hidden="1">
      <c r="A673" s="123" t="s">
        <v>83</v>
      </c>
      <c r="B673" s="36" t="s">
        <v>1170</v>
      </c>
      <c r="C673" s="117">
        <v>37890712</v>
      </c>
      <c r="D673" s="165">
        <v>45589</v>
      </c>
      <c r="E673" s="117" t="s">
        <v>2572</v>
      </c>
      <c r="F673" s="36" t="str">
        <f>IFERROR(VLOOKUP(Table1[[#This Row],[Part Number]],DATABASE_FG!$C$6:D10662,2,FALSE)," ")</f>
        <v>096393580-0000</v>
      </c>
      <c r="G673" s="117" t="str">
        <f>IFERROR(_xlfn.XLOOKUP(Table1[[#This Row],[Part Number]],Table3[Part number],Table3[Drawing
 Revision]),"")</f>
        <v>AC</v>
      </c>
      <c r="H673" s="118" cm="1">
        <f t="array" ref="H673">IFERROR(INDEX(PDB!$C:$AT,MATCH(E673,PDB!$B:$B,0),MATCH(YEAR(K673),0+PDB!$C$1:$AT$1,0)),"")</f>
        <v>16.68</v>
      </c>
      <c r="I673" s="36">
        <v>5</v>
      </c>
      <c r="J673" s="125">
        <f>IFERROR(Table1[[#This Row],[Quantity]]*Table1[[#This Row],[Price/Unit
EUR]]," ")</f>
        <v>83.4</v>
      </c>
      <c r="K673" s="126">
        <v>45604</v>
      </c>
      <c r="L673" s="36">
        <f>WEEKNUM(Table1[[#This Row],[ETA
As requested
dd.mm.yyyy]])</f>
        <v>45</v>
      </c>
      <c r="M673" s="36">
        <f>YEAR(Table1[[#This Row],[ETA
As requested
dd.mm.yyyy]])</f>
        <v>2024</v>
      </c>
      <c r="N673" s="36">
        <f>IFERROR(INDEX(DATABASE_FG!$H$5:$H$367, MATCH(E673, DATABASE_FG!$C$5:$C$367, 0)), " ")</f>
        <v>0</v>
      </c>
      <c r="O673" s="129" t="str">
        <f>IF(E673&lt;&gt;"", _xlfn.XLOOKUP(E673, DATABASE_FG!C:C, DATABASE_FG!F:F), " ")</f>
        <v>Rectificare</v>
      </c>
      <c r="P673" s="129">
        <f>IFERROR(INDEX(DATABASE_FG!$G$5:$G$367, MATCH(E673, DATABASE_FG!$C$5:$C$367, 0)), "Not Found")</f>
        <v>0</v>
      </c>
      <c r="Q673" s="36"/>
      <c r="R673" s="125" t="s">
        <v>680</v>
      </c>
      <c r="S673" s="123">
        <f>Table1[[#This Row],[Quantity]]/48</f>
        <v>0.10416666666666667</v>
      </c>
      <c r="T673" s="36"/>
      <c r="U673" s="36"/>
      <c r="V673" s="36"/>
      <c r="W673" s="129"/>
      <c r="X673" s="36" t="s">
        <v>2574</v>
      </c>
      <c r="Y673" s="36" t="s">
        <v>2575</v>
      </c>
      <c r="Z673" s="36"/>
      <c r="AA673" s="125" t="s">
        <v>121</v>
      </c>
      <c r="AB673" s="173">
        <v>45607</v>
      </c>
      <c r="AC673" s="119">
        <v>202401364</v>
      </c>
      <c r="AD673" s="36">
        <f t="shared" si="85"/>
        <v>37890712</v>
      </c>
      <c r="AE673" s="36" t="str">
        <f t="shared" si="86"/>
        <v>F-552663-0011.AU.VU</v>
      </c>
      <c r="AF673" s="36">
        <v>5</v>
      </c>
      <c r="AG673" s="120">
        <f t="shared" si="82"/>
        <v>83.4</v>
      </c>
      <c r="AH673" s="36"/>
      <c r="AI673" s="124"/>
      <c r="AJ673" s="122" t="s">
        <v>2576</v>
      </c>
      <c r="AK673" s="129" t="str">
        <f t="shared" ca="1" si="87"/>
        <v>Late</v>
      </c>
      <c r="AL673" s="268" t="str">
        <f t="shared" si="84"/>
        <v>November</v>
      </c>
      <c r="AM673" s="133">
        <f>YEAR(Table1[[#This Row],[ETA
As requested
dd.mm.yyyy]])</f>
        <v>2024</v>
      </c>
    </row>
    <row r="674" spans="1:39" hidden="1">
      <c r="A674" s="123" t="s">
        <v>83</v>
      </c>
      <c r="B674" s="36" t="s">
        <v>1170</v>
      </c>
      <c r="C674" s="117">
        <v>37890712</v>
      </c>
      <c r="D674" s="165">
        <v>45589</v>
      </c>
      <c r="E674" s="117" t="s">
        <v>2572</v>
      </c>
      <c r="F674" s="36" t="str">
        <f>IFERROR(VLOOKUP(Table1[[#This Row],[Part Number]],DATABASE_FG!$C$6:D10663,2,FALSE)," ")</f>
        <v>096393580-0000</v>
      </c>
      <c r="G674" s="117" t="str">
        <f>IFERROR(_xlfn.XLOOKUP(Table1[[#This Row],[Part Number]],Table3[Part number],Table3[Drawing
 Revision]),"")</f>
        <v>AC</v>
      </c>
      <c r="H674" s="118" cm="1">
        <f t="array" ref="H674">IFERROR(INDEX(PDB!$C:$AT,MATCH(E674,PDB!$B:$B,0),MATCH(YEAR(K674),0+PDB!$C$1:$AT$1,0)),"")</f>
        <v>16.68</v>
      </c>
      <c r="I674" s="36">
        <v>5</v>
      </c>
      <c r="J674" s="125">
        <f>IFERROR(Table1[[#This Row],[Quantity]]*Table1[[#This Row],[Price/Unit
EUR]]," ")</f>
        <v>83.4</v>
      </c>
      <c r="K674" s="126">
        <v>45604</v>
      </c>
      <c r="L674" s="36">
        <f>WEEKNUM(Table1[[#This Row],[ETA
As requested
dd.mm.yyyy]])</f>
        <v>45</v>
      </c>
      <c r="M674" s="36">
        <f>YEAR(Table1[[#This Row],[ETA
As requested
dd.mm.yyyy]])</f>
        <v>2024</v>
      </c>
      <c r="N674" s="36">
        <f>IFERROR(INDEX(DATABASE_FG!$H$5:$H$367, MATCH(E674, DATABASE_FG!$C$5:$C$367, 0)), " ")</f>
        <v>0</v>
      </c>
      <c r="O674" s="129" t="str">
        <f>IF(E674&lt;&gt;"", _xlfn.XLOOKUP(E674, DATABASE_FG!C:C, DATABASE_FG!F:F), " ")</f>
        <v>Rectificare</v>
      </c>
      <c r="P674" s="129">
        <f>IFERROR(INDEX(DATABASE_FG!$G$5:$G$367, MATCH(E674, DATABASE_FG!$C$5:$C$367, 0)), "Not Found")</f>
        <v>0</v>
      </c>
      <c r="Q674" s="36"/>
      <c r="R674" s="125"/>
      <c r="S674" s="123">
        <f>IFERROR(INDEX(DATABASE_FG!$L$5:$L$367, MATCH(E674, DATABASE_FG!$C$5:$C$367, 0)), " ")</f>
        <v>0</v>
      </c>
      <c r="T674" s="36"/>
      <c r="U674" s="36"/>
      <c r="V674" s="36"/>
      <c r="W674" s="129"/>
      <c r="X674" s="36"/>
      <c r="Y674" s="36"/>
      <c r="Z674" s="36"/>
      <c r="AA674" s="125" t="s">
        <v>121</v>
      </c>
      <c r="AB674" s="173">
        <v>45876</v>
      </c>
      <c r="AC674" s="119"/>
      <c r="AD674" s="36" t="str">
        <f t="shared" si="85"/>
        <v/>
      </c>
      <c r="AE674" s="36" t="str">
        <f t="shared" si="86"/>
        <v/>
      </c>
      <c r="AF674" s="36">
        <v>0</v>
      </c>
      <c r="AG674" s="120">
        <f t="shared" ref="AG674:AG737" si="88">AF674*H674</f>
        <v>0</v>
      </c>
      <c r="AH674" s="36"/>
      <c r="AI674" s="124"/>
      <c r="AJ674" s="122"/>
      <c r="AK674" s="129" t="str">
        <f t="shared" ca="1" si="87"/>
        <v>Late</v>
      </c>
      <c r="AL674" s="268" t="str">
        <f t="shared" si="84"/>
        <v>November</v>
      </c>
      <c r="AM674" s="133">
        <f>YEAR(Table1[[#This Row],[ETA
As requested
dd.mm.yyyy]])</f>
        <v>2024</v>
      </c>
    </row>
    <row r="675" spans="1:39" hidden="1">
      <c r="A675" s="123" t="s">
        <v>83</v>
      </c>
      <c r="B675" s="36" t="s">
        <v>1170</v>
      </c>
      <c r="C675" s="117">
        <v>37890714</v>
      </c>
      <c r="D675" s="165">
        <v>45589</v>
      </c>
      <c r="E675" s="117" t="s">
        <v>2579</v>
      </c>
      <c r="F675" s="36" t="str">
        <f>IFERROR(VLOOKUP(Table1[[#This Row],[Part Number]],DATABASE_FG!$C$6:D10664,2,FALSE)," ")</f>
        <v>096403977-0000</v>
      </c>
      <c r="G675" s="117" t="str">
        <f>IFERROR(_xlfn.XLOOKUP(Table1[[#This Row],[Part Number]],Table3[Part number],Table3[Drawing
 Revision]),"")</f>
        <v>AG</v>
      </c>
      <c r="H675" s="118" cm="1">
        <f t="array" ref="H675">IFERROR(INDEX(PDB!$C:$AT,MATCH(E675,PDB!$B:$B,0),MATCH(YEAR(K675),0+PDB!$C$1:$AT$1,0)),"")</f>
        <v>21.28</v>
      </c>
      <c r="I675" s="36">
        <v>10</v>
      </c>
      <c r="J675" s="125">
        <f>IFERROR(Table1[[#This Row],[Quantity]]*Table1[[#This Row],[Price/Unit
EUR]]," ")</f>
        <v>212.8</v>
      </c>
      <c r="K675" s="126">
        <v>45604</v>
      </c>
      <c r="L675" s="36">
        <f>WEEKNUM(Table1[[#This Row],[ETA
As requested
dd.mm.yyyy]])</f>
        <v>45</v>
      </c>
      <c r="M675" s="36">
        <f>YEAR(Table1[[#This Row],[ETA
As requested
dd.mm.yyyy]])</f>
        <v>2024</v>
      </c>
      <c r="N675" s="36">
        <f>IFERROR(INDEX(DATABASE_FG!$H$5:$H$367, MATCH(E675, DATABASE_FG!$C$5:$C$367, 0)), " ")</f>
        <v>0</v>
      </c>
      <c r="O675" s="129" t="str">
        <f>IF(E675&lt;&gt;"", _xlfn.XLOOKUP(E675, DATABASE_FG!C:C, DATABASE_FG!F:F), " ")</f>
        <v>Rectificare</v>
      </c>
      <c r="P675" s="129">
        <f>IFERROR(INDEX(DATABASE_FG!$G$5:$G$367, MATCH(E675, DATABASE_FG!$C$5:$C$367, 0)), "Not Found")</f>
        <v>0</v>
      </c>
      <c r="Q675" s="36"/>
      <c r="R675" s="125" t="s">
        <v>680</v>
      </c>
      <c r="S675" s="123">
        <f>IFERROR(INDEX(DATABASE_FG!$L$5:$L$367, MATCH(E675, DATABASE_FG!$C$5:$C$367, 0)), " ")</f>
        <v>0</v>
      </c>
      <c r="T675" s="36"/>
      <c r="U675" s="36"/>
      <c r="V675" s="36"/>
      <c r="W675" s="129"/>
      <c r="X675" s="36" t="s">
        <v>2574</v>
      </c>
      <c r="Y675" s="36"/>
      <c r="Z675" s="36"/>
      <c r="AA675" s="125" t="s">
        <v>121</v>
      </c>
      <c r="AB675" s="173">
        <v>45876</v>
      </c>
      <c r="AC675" s="119"/>
      <c r="AD675" s="36" t="str">
        <f t="shared" si="85"/>
        <v/>
      </c>
      <c r="AE675" s="36" t="str">
        <f t="shared" si="86"/>
        <v/>
      </c>
      <c r="AF675" s="36">
        <v>0</v>
      </c>
      <c r="AG675" s="120">
        <f t="shared" si="88"/>
        <v>0</v>
      </c>
      <c r="AH675" s="36"/>
      <c r="AI675" s="124"/>
      <c r="AJ675" s="122"/>
      <c r="AK675" s="129" t="str">
        <f t="shared" ca="1" si="87"/>
        <v>Late</v>
      </c>
      <c r="AL675" s="268" t="str">
        <f t="shared" si="84"/>
        <v>November</v>
      </c>
      <c r="AM675" s="133">
        <f>YEAR(Table1[[#This Row],[ETA
As requested
dd.mm.yyyy]])</f>
        <v>2024</v>
      </c>
    </row>
    <row r="676" spans="1:39" hidden="1">
      <c r="A676" s="123" t="s">
        <v>83</v>
      </c>
      <c r="B676" s="36" t="s">
        <v>1170</v>
      </c>
      <c r="C676" s="117">
        <v>36559483</v>
      </c>
      <c r="D676" s="165">
        <v>45387</v>
      </c>
      <c r="E676" s="117" t="s">
        <v>91</v>
      </c>
      <c r="F676" s="36" t="str">
        <f>IFERROR(VLOOKUP(Table1[[#This Row],[Part Number]],DATABASE_FG!$C$6:D10665,2,FALSE)," ")</f>
        <v>096403993-0000</v>
      </c>
      <c r="G676" s="117" t="str">
        <f>IFERROR(_xlfn.XLOOKUP(Table1[[#This Row],[Part Number]],Table3[Part number],Table3[Drawing
 Revision]),"")</f>
        <v>AB</v>
      </c>
      <c r="H676" s="118" cm="1">
        <f t="array" ref="H676">IFERROR(INDEX(PDB!$C:$AT,MATCH(E676,PDB!$B:$B,0),MATCH(YEAR(K676),0+PDB!$C$1:$AT$1,0)),"")</f>
        <v>16.14</v>
      </c>
      <c r="I676" s="36">
        <v>70</v>
      </c>
      <c r="J676" s="125">
        <f>IFERROR(Table1[[#This Row],[Quantity]]*Table1[[#This Row],[Price/Unit
EUR]]," ")</f>
        <v>1129.8</v>
      </c>
      <c r="K676" s="126">
        <v>45404</v>
      </c>
      <c r="L676" s="36">
        <f>WEEKNUM(Table1[[#This Row],[ETA
As requested
dd.mm.yyyy]])</f>
        <v>17</v>
      </c>
      <c r="M676" s="36">
        <f>YEAR(Table1[[#This Row],[ETA
As requested
dd.mm.yyyy]])</f>
        <v>2024</v>
      </c>
      <c r="N676" s="36">
        <f>IFERROR(INDEX(DATABASE_FG!$H$5:$H$367, MATCH(E676, DATABASE_FG!$C$5:$C$367, 0)), " ")</f>
        <v>0</v>
      </c>
      <c r="O676" s="129" t="str">
        <f>IF(E676&lt;&gt;"", _xlfn.XLOOKUP(E676, DATABASE_FG!C:C, DATABASE_FG!F:F), " ")</f>
        <v>Atlanta rectificare</v>
      </c>
      <c r="P676" s="129">
        <f>IFERROR(INDEX(DATABASE_FG!$G$5:$G$367, MATCH(E676, DATABASE_FG!$C$5:$C$367, 0)), "Not Found")</f>
        <v>200</v>
      </c>
      <c r="Q676" s="36"/>
      <c r="R676" s="125" t="s">
        <v>678</v>
      </c>
      <c r="S676" s="123">
        <f>IFERROR(INDEX(DATABASE_FG!$L$5:$L$367, MATCH(E676, DATABASE_FG!$C$5:$C$367, 0)), " ")</f>
        <v>42</v>
      </c>
      <c r="T676" s="36" t="s">
        <v>679</v>
      </c>
      <c r="U676" s="36"/>
      <c r="V676" s="36"/>
      <c r="W676" s="129"/>
      <c r="X676" s="36"/>
      <c r="Y676" s="36"/>
      <c r="Z676" s="36">
        <v>241504</v>
      </c>
      <c r="AA676" s="125" t="s">
        <v>677</v>
      </c>
      <c r="AB676" s="173">
        <v>45393</v>
      </c>
      <c r="AC676" s="119">
        <v>2024336</v>
      </c>
      <c r="AD676" s="36">
        <f t="shared" si="85"/>
        <v>36559483</v>
      </c>
      <c r="AE676" s="36" t="str">
        <f t="shared" si="86"/>
        <v>F-552668.01-0012</v>
      </c>
      <c r="AF676" s="36">
        <v>70</v>
      </c>
      <c r="AG676" s="120">
        <f t="shared" si="88"/>
        <v>1129.8</v>
      </c>
      <c r="AH676" s="36"/>
      <c r="AI676" s="124"/>
      <c r="AJ676" s="122" t="s">
        <v>1379</v>
      </c>
      <c r="AK676" s="129" t="str">
        <f t="shared" ca="1" si="87"/>
        <v>On Time</v>
      </c>
      <c r="AL676" s="268" t="str">
        <f t="shared" si="84"/>
        <v>April</v>
      </c>
      <c r="AM676" s="133">
        <f>YEAR(Table1[[#This Row],[ETA
As requested
dd.mm.yyyy]])</f>
        <v>2024</v>
      </c>
    </row>
    <row r="677" spans="1:39" hidden="1">
      <c r="A677" s="123" t="s">
        <v>83</v>
      </c>
      <c r="B677" s="36" t="s">
        <v>1170</v>
      </c>
      <c r="C677" s="117">
        <v>36559483</v>
      </c>
      <c r="D677" s="165">
        <v>45387</v>
      </c>
      <c r="E677" s="117" t="s">
        <v>91</v>
      </c>
      <c r="F677" s="36" t="str">
        <f>IFERROR(VLOOKUP(Table1[[#This Row],[Part Number]],DATABASE_FG!$C$6:D10666,2,FALSE)," ")</f>
        <v>096403993-0000</v>
      </c>
      <c r="G677" s="117" t="str">
        <f>IFERROR(_xlfn.XLOOKUP(Table1[[#This Row],[Part Number]],Table3[Part number],Table3[Drawing
 Revision]),"")</f>
        <v>AB</v>
      </c>
      <c r="H677" s="118" cm="1">
        <f t="array" ref="H677">IFERROR(INDEX(PDB!$C:$AT,MATCH(E677,PDB!$B:$B,0),MATCH(YEAR(K677),0+PDB!$C$1:$AT$1,0)),"")</f>
        <v>16.14</v>
      </c>
      <c r="I677" s="36">
        <v>27</v>
      </c>
      <c r="J677" s="125">
        <f>IFERROR(Table1[[#This Row],[Quantity]]*Table1[[#This Row],[Price/Unit
EUR]]," ")</f>
        <v>435.78000000000003</v>
      </c>
      <c r="K677" s="126">
        <v>45404</v>
      </c>
      <c r="L677" s="36">
        <f>WEEKNUM(Table1[[#This Row],[ETA
As requested
dd.mm.yyyy]])</f>
        <v>17</v>
      </c>
      <c r="M677" s="36">
        <f>YEAR(Table1[[#This Row],[ETA
As requested
dd.mm.yyyy]])</f>
        <v>2024</v>
      </c>
      <c r="N677" s="36">
        <f>IFERROR(INDEX(DATABASE_FG!$H$5:$H$367, MATCH(E677, DATABASE_FG!$C$5:$C$367, 0)), " ")</f>
        <v>0</v>
      </c>
      <c r="O677" s="129" t="str">
        <f>IF(E677&lt;&gt;"", _xlfn.XLOOKUP(E677, DATABASE_FG!C:C, DATABASE_FG!F:F), " ")</f>
        <v>Atlanta rectificare</v>
      </c>
      <c r="P677" s="129">
        <f>IFERROR(INDEX(DATABASE_FG!$G$5:$G$367, MATCH(E677, DATABASE_FG!$C$5:$C$367, 0)), "Not Found")</f>
        <v>200</v>
      </c>
      <c r="Q677" s="36"/>
      <c r="R677" s="125"/>
      <c r="S677" s="123">
        <f>IFERROR(INDEX(DATABASE_FG!$L$5:$L$367, MATCH(E677, DATABASE_FG!$C$5:$C$367, 0)), " ")</f>
        <v>42</v>
      </c>
      <c r="T677" s="36"/>
      <c r="U677" s="36"/>
      <c r="V677" s="36"/>
      <c r="W677" s="129"/>
      <c r="X677" s="36"/>
      <c r="Y677" s="36"/>
      <c r="Z677" s="36"/>
      <c r="AA677" s="125" t="s">
        <v>677</v>
      </c>
      <c r="AB677" s="173">
        <v>45394</v>
      </c>
      <c r="AC677" s="119">
        <v>2024344</v>
      </c>
      <c r="AD677" s="36">
        <f t="shared" si="85"/>
        <v>36559483</v>
      </c>
      <c r="AE677" s="36" t="str">
        <f t="shared" si="86"/>
        <v>F-552668.01-0012</v>
      </c>
      <c r="AF677" s="36">
        <v>27</v>
      </c>
      <c r="AG677" s="120">
        <f t="shared" si="88"/>
        <v>435.78000000000003</v>
      </c>
      <c r="AH677" s="36"/>
      <c r="AI677" s="124"/>
      <c r="AJ677" s="122" t="s">
        <v>1382</v>
      </c>
      <c r="AK677" s="129" t="str">
        <f t="shared" ca="1" si="87"/>
        <v>On Time</v>
      </c>
      <c r="AL677" s="268" t="str">
        <f t="shared" si="84"/>
        <v>April</v>
      </c>
      <c r="AM677" s="133">
        <f>YEAR(Table1[[#This Row],[ETA
As requested
dd.mm.yyyy]])</f>
        <v>2024</v>
      </c>
    </row>
    <row r="678" spans="1:39" hidden="1">
      <c r="A678" s="123" t="s">
        <v>83</v>
      </c>
      <c r="B678" s="36" t="s">
        <v>1170</v>
      </c>
      <c r="C678" s="117">
        <v>36903285</v>
      </c>
      <c r="D678" s="165">
        <v>45446</v>
      </c>
      <c r="E678" s="117" t="s">
        <v>91</v>
      </c>
      <c r="F678" s="36" t="str">
        <f>IFERROR(VLOOKUP(Table1[[#This Row],[Part Number]],DATABASE_FG!$C$6:D10667,2,FALSE)," ")</f>
        <v>096403993-0000</v>
      </c>
      <c r="G678" s="117" t="str">
        <f>IFERROR(_xlfn.XLOOKUP(Table1[[#This Row],[Part Number]],Table3[Part number],Table3[Drawing
 Revision]),"")</f>
        <v>AB</v>
      </c>
      <c r="H678" s="118" cm="1">
        <f t="array" ref="H678">IFERROR(INDEX(PDB!$C:$AT,MATCH(E678,PDB!$B:$B,0),MATCH(YEAR(K678),0+PDB!$C$1:$AT$1,0)),"")</f>
        <v>16.14</v>
      </c>
      <c r="I678" s="36">
        <v>72</v>
      </c>
      <c r="J678" s="125">
        <f>IFERROR(Table1[[#This Row],[Quantity]]*Table1[[#This Row],[Price/Unit
EUR]]," ")</f>
        <v>1162.08</v>
      </c>
      <c r="K678" s="126">
        <v>45462</v>
      </c>
      <c r="L678" s="36">
        <f>WEEKNUM(Table1[[#This Row],[ETA
As requested
dd.mm.yyyy]])</f>
        <v>25</v>
      </c>
      <c r="M678" s="36">
        <f>YEAR(Table1[[#This Row],[ETA
As requested
dd.mm.yyyy]])</f>
        <v>2024</v>
      </c>
      <c r="N678" s="36">
        <f>IFERROR(INDEX(DATABASE_FG!$H$5:$H$367, MATCH(E678, DATABASE_FG!$C$5:$C$367, 0)), " ")</f>
        <v>0</v>
      </c>
      <c r="O678" s="129" t="str">
        <f>IF(E678&lt;&gt;"", _xlfn.XLOOKUP(E678, DATABASE_FG!C:C, DATABASE_FG!F:F), " ")</f>
        <v>Atlanta rectificare</v>
      </c>
      <c r="P678" s="129">
        <f>IFERROR(INDEX(DATABASE_FG!$G$5:$G$367, MATCH(E678, DATABASE_FG!$C$5:$C$367, 0)), "Not Found")</f>
        <v>200</v>
      </c>
      <c r="Q678" s="36"/>
      <c r="R678" s="125" t="s">
        <v>678</v>
      </c>
      <c r="S678" s="123">
        <f>IFERROR(INDEX(DATABASE_FG!$L$5:$L$367, MATCH(E678, DATABASE_FG!$C$5:$C$367, 0)), " ")</f>
        <v>42</v>
      </c>
      <c r="T678" s="36" t="s">
        <v>679</v>
      </c>
      <c r="U678" s="36"/>
      <c r="V678" s="36"/>
      <c r="W678" s="129"/>
      <c r="X678" s="36"/>
      <c r="Y678" s="36"/>
      <c r="Z678" s="36">
        <v>242314</v>
      </c>
      <c r="AA678" s="125" t="s">
        <v>121</v>
      </c>
      <c r="AB678" s="173">
        <v>45460</v>
      </c>
      <c r="AC678" s="119">
        <v>2024668</v>
      </c>
      <c r="AD678" s="36">
        <f t="shared" si="85"/>
        <v>36903285</v>
      </c>
      <c r="AE678" s="36" t="str">
        <f t="shared" si="86"/>
        <v>F-552668.01-0012</v>
      </c>
      <c r="AF678" s="36">
        <v>72</v>
      </c>
      <c r="AG678" s="120">
        <f t="shared" si="88"/>
        <v>1162.08</v>
      </c>
      <c r="AH678" s="36"/>
      <c r="AI678" s="124"/>
      <c r="AJ678" s="122" t="s">
        <v>1702</v>
      </c>
      <c r="AK678" s="129" t="str">
        <f t="shared" ca="1" si="87"/>
        <v>On Time</v>
      </c>
      <c r="AL678" s="268" t="str">
        <f t="shared" ref="AL678:AL741" si="89">TEXT(K678,"mmmm")</f>
        <v>June</v>
      </c>
      <c r="AM678" s="133">
        <f>YEAR(Table1[[#This Row],[ETA
As requested
dd.mm.yyyy]])</f>
        <v>2024</v>
      </c>
    </row>
    <row r="679" spans="1:39" hidden="1">
      <c r="A679" s="123" t="s">
        <v>83</v>
      </c>
      <c r="B679" s="36" t="s">
        <v>1170</v>
      </c>
      <c r="C679" s="117">
        <v>36903285</v>
      </c>
      <c r="D679" s="165">
        <v>45446</v>
      </c>
      <c r="E679" s="117" t="s">
        <v>91</v>
      </c>
      <c r="F679" s="36" t="str">
        <f>IFERROR(VLOOKUP(Table1[[#This Row],[Part Number]],DATABASE_FG!$C$6:D10668,2,FALSE)," ")</f>
        <v>096403993-0000</v>
      </c>
      <c r="G679" s="117" t="str">
        <f>IFERROR(_xlfn.XLOOKUP(Table1[[#This Row],[Part Number]],Table3[Part number],Table3[Drawing
 Revision]),"")</f>
        <v>AB</v>
      </c>
      <c r="H679" s="118" cm="1">
        <f t="array" ref="H679">IFERROR(INDEX(PDB!$C:$AT,MATCH(E679,PDB!$B:$B,0),MATCH(YEAR(K679),0+PDB!$C$1:$AT$1,0)),"")</f>
        <v>16.14</v>
      </c>
      <c r="I679" s="36">
        <v>56</v>
      </c>
      <c r="J679" s="125">
        <f>IFERROR(Table1[[#This Row],[Quantity]]*Table1[[#This Row],[Price/Unit
EUR]]," ")</f>
        <v>903.84</v>
      </c>
      <c r="K679" s="126">
        <v>45462</v>
      </c>
      <c r="L679" s="36">
        <f>WEEKNUM(Table1[[#This Row],[ETA
As requested
dd.mm.yyyy]])</f>
        <v>25</v>
      </c>
      <c r="M679" s="36">
        <f>YEAR(Table1[[#This Row],[ETA
As requested
dd.mm.yyyy]])</f>
        <v>2024</v>
      </c>
      <c r="N679" s="36">
        <f>IFERROR(INDEX(DATABASE_FG!$H$5:$H$367, MATCH(E679, DATABASE_FG!$C$5:$C$367, 0)), " ")</f>
        <v>0</v>
      </c>
      <c r="O679" s="129" t="str">
        <f>IF(E679&lt;&gt;"", _xlfn.XLOOKUP(E679, DATABASE_FG!C:C, DATABASE_FG!F:F), " ")</f>
        <v>Atlanta rectificare</v>
      </c>
      <c r="P679" s="129">
        <f>IFERROR(INDEX(DATABASE_FG!$G$5:$G$367, MATCH(E679, DATABASE_FG!$C$5:$C$367, 0)), "Not Found")</f>
        <v>200</v>
      </c>
      <c r="Q679" s="36"/>
      <c r="R679" s="125" t="s">
        <v>678</v>
      </c>
      <c r="S679" s="123">
        <f>Table1[[#This Row],[Quantity]]/48</f>
        <v>1.1666666666666667</v>
      </c>
      <c r="T679" s="36" t="s">
        <v>679</v>
      </c>
      <c r="U679" s="36"/>
      <c r="V679" s="36"/>
      <c r="W679" s="129"/>
      <c r="X679" s="36"/>
      <c r="Y679" s="36"/>
      <c r="Z679" s="36"/>
      <c r="AA679" s="125" t="s">
        <v>121</v>
      </c>
      <c r="AB679" s="173">
        <v>45468</v>
      </c>
      <c r="AC679" s="119">
        <v>2024720</v>
      </c>
      <c r="AD679" s="36">
        <f t="shared" si="85"/>
        <v>36903285</v>
      </c>
      <c r="AE679" s="36" t="str">
        <f t="shared" si="86"/>
        <v>F-552668.01-0012</v>
      </c>
      <c r="AF679" s="36">
        <v>56</v>
      </c>
      <c r="AG679" s="120">
        <f t="shared" si="88"/>
        <v>903.84</v>
      </c>
      <c r="AH679" s="36">
        <v>1</v>
      </c>
      <c r="AI679" s="124"/>
      <c r="AJ679" s="122" t="s">
        <v>1703</v>
      </c>
      <c r="AK679" s="129" t="str">
        <f t="shared" ca="1" si="87"/>
        <v>Late</v>
      </c>
      <c r="AL679" s="268" t="str">
        <f t="shared" si="89"/>
        <v>June</v>
      </c>
      <c r="AM679" s="133">
        <f>YEAR(Table1[[#This Row],[ETA
As requested
dd.mm.yyyy]])</f>
        <v>2024</v>
      </c>
    </row>
    <row r="680" spans="1:39" hidden="1">
      <c r="A680" s="123" t="s">
        <v>83</v>
      </c>
      <c r="B680" s="36" t="s">
        <v>1170</v>
      </c>
      <c r="C680" s="117">
        <v>37187238</v>
      </c>
      <c r="D680" s="165">
        <v>45482</v>
      </c>
      <c r="E680" s="117" t="s">
        <v>91</v>
      </c>
      <c r="F680" s="36" t="str">
        <f>IFERROR(VLOOKUP(Table1[[#This Row],[Part Number]],DATABASE_FG!$C$6:D10669,2,FALSE)," ")</f>
        <v>096403993-0000</v>
      </c>
      <c r="G680" s="117" t="str">
        <f>IFERROR(_xlfn.XLOOKUP(Table1[[#This Row],[Part Number]],Table3[Part number],Table3[Drawing
 Revision]),"")</f>
        <v>AB</v>
      </c>
      <c r="H680" s="118" cm="1">
        <f t="array" ref="H680">IFERROR(INDEX(PDB!$C:$AT,MATCH(E680,PDB!$B:$B,0),MATCH(YEAR(K680),0+PDB!$C$1:$AT$1,0)),"")</f>
        <v>16.14</v>
      </c>
      <c r="I680" s="36">
        <v>30</v>
      </c>
      <c r="J680" s="125">
        <f>IFERROR(Table1[[#This Row],[Quantity]]*Table1[[#This Row],[Price/Unit
EUR]]," ")</f>
        <v>484.20000000000005</v>
      </c>
      <c r="K680" s="126">
        <v>45504</v>
      </c>
      <c r="L680" s="36">
        <f>WEEKNUM(Table1[[#This Row],[ETA
As requested
dd.mm.yyyy]])</f>
        <v>31</v>
      </c>
      <c r="M680" s="36">
        <f>YEAR(Table1[[#This Row],[ETA
As requested
dd.mm.yyyy]])</f>
        <v>2024</v>
      </c>
      <c r="N680" s="36">
        <f>IFERROR(INDEX(DATABASE_FG!$H$5:$H$367, MATCH(E680, DATABASE_FG!$C$5:$C$367, 0)), " ")</f>
        <v>0</v>
      </c>
      <c r="O680" s="129" t="str">
        <f>IF(E680&lt;&gt;"", _xlfn.XLOOKUP(E680, DATABASE_FG!C:C, DATABASE_FG!F:F), " ")</f>
        <v>Atlanta rectificare</v>
      </c>
      <c r="P680" s="129">
        <f>IFERROR(INDEX(DATABASE_FG!$G$5:$G$367, MATCH(E680, DATABASE_FG!$C$5:$C$367, 0)), "Not Found")</f>
        <v>200</v>
      </c>
      <c r="Q680" s="36"/>
      <c r="R680" s="125" t="s">
        <v>678</v>
      </c>
      <c r="S680" s="123">
        <f>IFERROR(INDEX(DATABASE_FG!$L$5:$L$367, MATCH(E680, DATABASE_FG!$C$5:$C$367, 0)), " ")</f>
        <v>42</v>
      </c>
      <c r="T680" s="36" t="s">
        <v>679</v>
      </c>
      <c r="U680" s="36"/>
      <c r="V680" s="36"/>
      <c r="W680" s="129"/>
      <c r="X680" s="36"/>
      <c r="Y680" s="36"/>
      <c r="Z680" s="36">
        <v>242808</v>
      </c>
      <c r="AA680" s="125" t="s">
        <v>121</v>
      </c>
      <c r="AB680" s="173">
        <v>45485</v>
      </c>
      <c r="AC680" s="119">
        <v>2024842</v>
      </c>
      <c r="AD680" s="36">
        <f t="shared" si="85"/>
        <v>37187238</v>
      </c>
      <c r="AE680" s="36" t="str">
        <f t="shared" si="86"/>
        <v>F-552668.01-0012</v>
      </c>
      <c r="AF680" s="36">
        <v>30</v>
      </c>
      <c r="AG680" s="120">
        <f t="shared" si="88"/>
        <v>484.20000000000005</v>
      </c>
      <c r="AH680" s="36"/>
      <c r="AI680" s="124"/>
      <c r="AJ680" s="122" t="s">
        <v>1890</v>
      </c>
      <c r="AK680" s="129" t="str">
        <f t="shared" ca="1" si="87"/>
        <v>On Time</v>
      </c>
      <c r="AL680" s="268" t="str">
        <f t="shared" si="89"/>
        <v>July</v>
      </c>
      <c r="AM680" s="133">
        <f>YEAR(Table1[[#This Row],[ETA
As requested
dd.mm.yyyy]])</f>
        <v>2024</v>
      </c>
    </row>
    <row r="681" spans="1:39" hidden="1">
      <c r="A681" s="123" t="s">
        <v>83</v>
      </c>
      <c r="B681" s="36" t="s">
        <v>1170</v>
      </c>
      <c r="C681" s="117">
        <v>37187238</v>
      </c>
      <c r="D681" s="165">
        <v>45482</v>
      </c>
      <c r="E681" s="117" t="s">
        <v>91</v>
      </c>
      <c r="F681" s="36" t="str">
        <f>IFERROR(VLOOKUP(Table1[[#This Row],[Part Number]],DATABASE_FG!$C$6:D10670,2,FALSE)," ")</f>
        <v>096403993-0000</v>
      </c>
      <c r="G681" s="117" t="str">
        <f>IFERROR(_xlfn.XLOOKUP(Table1[[#This Row],[Part Number]],Table3[Part number],Table3[Drawing
 Revision]),"")</f>
        <v>AB</v>
      </c>
      <c r="H681" s="118" cm="1">
        <f t="array" ref="H681">IFERROR(INDEX(PDB!$C:$AT,MATCH(E681,PDB!$B:$B,0),MATCH(YEAR(K681),0+PDB!$C$1:$AT$1,0)),"")</f>
        <v>16.14</v>
      </c>
      <c r="I681" s="36">
        <v>110</v>
      </c>
      <c r="J681" s="125">
        <f>IFERROR(Table1[[#This Row],[Quantity]]*Table1[[#This Row],[Price/Unit
EUR]]," ")</f>
        <v>1775.4</v>
      </c>
      <c r="K681" s="126">
        <v>45504</v>
      </c>
      <c r="L681" s="36">
        <f>WEEKNUM(Table1[[#This Row],[ETA
As requested
dd.mm.yyyy]])</f>
        <v>31</v>
      </c>
      <c r="M681" s="36">
        <f>YEAR(Table1[[#This Row],[ETA
As requested
dd.mm.yyyy]])</f>
        <v>2024</v>
      </c>
      <c r="N681" s="36">
        <f>IFERROR(INDEX(DATABASE_FG!$H$5:$H$367, MATCH(E681, DATABASE_FG!$C$5:$C$367, 0)), " ")</f>
        <v>0</v>
      </c>
      <c r="O681" s="129" t="str">
        <f>IF(E681&lt;&gt;"", _xlfn.XLOOKUP(E681, DATABASE_FG!C:C, DATABASE_FG!F:F), " ")</f>
        <v>Atlanta rectificare</v>
      </c>
      <c r="P681" s="129">
        <f>IFERROR(INDEX(DATABASE_FG!$G$5:$G$367, MATCH(E681, DATABASE_FG!$C$5:$C$367, 0)), "Not Found")</f>
        <v>200</v>
      </c>
      <c r="Q681" s="36"/>
      <c r="R681" s="125" t="s">
        <v>678</v>
      </c>
      <c r="S681" s="123">
        <f>Table1[[#This Row],[Quantity]]/48</f>
        <v>2.2916666666666665</v>
      </c>
      <c r="T681" s="36" t="s">
        <v>679</v>
      </c>
      <c r="U681" s="36"/>
      <c r="V681" s="36"/>
      <c r="W681" s="129"/>
      <c r="X681" s="36"/>
      <c r="Y681" s="36"/>
      <c r="Z681" s="36"/>
      <c r="AA681" s="125" t="s">
        <v>121</v>
      </c>
      <c r="AB681" s="173">
        <v>45492</v>
      </c>
      <c r="AC681" s="119">
        <v>2024879</v>
      </c>
      <c r="AD681" s="36">
        <f t="shared" si="85"/>
        <v>37187238</v>
      </c>
      <c r="AE681" s="36" t="str">
        <f t="shared" si="86"/>
        <v>F-552668.01-0012</v>
      </c>
      <c r="AF681" s="36">
        <v>110</v>
      </c>
      <c r="AG681" s="120">
        <f t="shared" si="88"/>
        <v>1775.4</v>
      </c>
      <c r="AH681" s="36"/>
      <c r="AI681" s="124"/>
      <c r="AJ681" s="122" t="s">
        <v>1891</v>
      </c>
      <c r="AK681" s="129" t="str">
        <f t="shared" ca="1" si="87"/>
        <v>On Time</v>
      </c>
      <c r="AL681" s="268" t="str">
        <f t="shared" si="89"/>
        <v>July</v>
      </c>
      <c r="AM681" s="133">
        <f>YEAR(Table1[[#This Row],[ETA
As requested
dd.mm.yyyy]])</f>
        <v>2024</v>
      </c>
    </row>
    <row r="682" spans="1:39" hidden="1">
      <c r="A682" s="123" t="s">
        <v>83</v>
      </c>
      <c r="B682" s="36" t="s">
        <v>1170</v>
      </c>
      <c r="C682" s="117">
        <v>37187238</v>
      </c>
      <c r="D682" s="165">
        <v>45482</v>
      </c>
      <c r="E682" s="117" t="s">
        <v>91</v>
      </c>
      <c r="F682" s="36" t="str">
        <f>IFERROR(VLOOKUP(Table1[[#This Row],[Part Number]],DATABASE_FG!$C$6:D10671,2,FALSE)," ")</f>
        <v>096403993-0000</v>
      </c>
      <c r="G682" s="117" t="str">
        <f>IFERROR(_xlfn.XLOOKUP(Table1[[#This Row],[Part Number]],Table3[Part number],Table3[Drawing
 Revision]),"")</f>
        <v>AB</v>
      </c>
      <c r="H682" s="118" cm="1">
        <f t="array" ref="H682">IFERROR(INDEX(PDB!$C:$AT,MATCH(E682,PDB!$B:$B,0),MATCH(YEAR(K682),0+PDB!$C$1:$AT$1,0)),"")</f>
        <v>16.14</v>
      </c>
      <c r="I682" s="36">
        <v>47</v>
      </c>
      <c r="J682" s="125">
        <f>IFERROR(Table1[[#This Row],[Quantity]]*Table1[[#This Row],[Price/Unit
EUR]]," ")</f>
        <v>758.58</v>
      </c>
      <c r="K682" s="126">
        <v>45504</v>
      </c>
      <c r="L682" s="36">
        <f>WEEKNUM(Table1[[#This Row],[ETA
As requested
dd.mm.yyyy]])</f>
        <v>31</v>
      </c>
      <c r="M682" s="36">
        <f>YEAR(Table1[[#This Row],[ETA
As requested
dd.mm.yyyy]])</f>
        <v>2024</v>
      </c>
      <c r="N682" s="36">
        <f>IFERROR(INDEX(DATABASE_FG!$H$5:$H$367, MATCH(E682, DATABASE_FG!$C$5:$C$367, 0)), " ")</f>
        <v>0</v>
      </c>
      <c r="O682" s="129" t="str">
        <f>IF(E682&lt;&gt;"", _xlfn.XLOOKUP(E682, DATABASE_FG!C:C, DATABASE_FG!F:F), " ")</f>
        <v>Atlanta rectificare</v>
      </c>
      <c r="P682" s="129">
        <f>IFERROR(INDEX(DATABASE_FG!$G$5:$G$367, MATCH(E682, DATABASE_FG!$C$5:$C$367, 0)), "Not Found")</f>
        <v>200</v>
      </c>
      <c r="Q682" s="36"/>
      <c r="R682" s="125" t="s">
        <v>678</v>
      </c>
      <c r="S682" s="123">
        <f>Table1[[#This Row],[Quantity]]/48</f>
        <v>0.97916666666666663</v>
      </c>
      <c r="T682" s="36" t="s">
        <v>679</v>
      </c>
      <c r="U682" s="36"/>
      <c r="V682" s="36"/>
      <c r="W682" s="129"/>
      <c r="X682" s="36"/>
      <c r="Y682" s="36"/>
      <c r="Z682" s="36"/>
      <c r="AA682" s="125" t="s">
        <v>121</v>
      </c>
      <c r="AB682" s="173">
        <v>45499</v>
      </c>
      <c r="AC682" s="119">
        <v>2024928</v>
      </c>
      <c r="AD682" s="36">
        <f t="shared" si="85"/>
        <v>37187238</v>
      </c>
      <c r="AE682" s="36" t="str">
        <f t="shared" si="86"/>
        <v>F-552668.01-0012</v>
      </c>
      <c r="AF682" s="36">
        <v>47</v>
      </c>
      <c r="AG682" s="120">
        <f t="shared" si="88"/>
        <v>758.58</v>
      </c>
      <c r="AH682" s="36"/>
      <c r="AI682" s="124"/>
      <c r="AJ682" s="122" t="s">
        <v>1892</v>
      </c>
      <c r="AK682" s="129" t="str">
        <f t="shared" ca="1" si="87"/>
        <v>On Time</v>
      </c>
      <c r="AL682" s="268" t="str">
        <f t="shared" si="89"/>
        <v>July</v>
      </c>
      <c r="AM682" s="133">
        <f>YEAR(Table1[[#This Row],[ETA
As requested
dd.mm.yyyy]])</f>
        <v>2024</v>
      </c>
    </row>
    <row r="683" spans="1:39" hidden="1">
      <c r="A683" s="123" t="s">
        <v>83</v>
      </c>
      <c r="B683" s="36" t="s">
        <v>1170</v>
      </c>
      <c r="C683" s="117">
        <v>37346485</v>
      </c>
      <c r="D683" s="165">
        <v>45499</v>
      </c>
      <c r="E683" s="117" t="s">
        <v>91</v>
      </c>
      <c r="F683" s="36" t="str">
        <f>IFERROR(VLOOKUP(Table1[[#This Row],[Part Number]],DATABASE_FG!$C$6:D10672,2,FALSE)," ")</f>
        <v>096403993-0000</v>
      </c>
      <c r="G683" s="117" t="str">
        <f>IFERROR(_xlfn.XLOOKUP(Table1[[#This Row],[Part Number]],Table3[Part number],Table3[Drawing
 Revision]),"")</f>
        <v>AB</v>
      </c>
      <c r="H683" s="118" cm="1">
        <f t="array" ref="H683">IFERROR(INDEX(PDB!$C:$AT,MATCH(E683,PDB!$B:$B,0),MATCH(YEAR(K683),0+PDB!$C$1:$AT$1,0)),"")</f>
        <v>16.14</v>
      </c>
      <c r="I683" s="36">
        <v>91</v>
      </c>
      <c r="J683" s="125">
        <f>IFERROR(Table1[[#This Row],[Quantity]]*Table1[[#This Row],[Price/Unit
EUR]]," ")</f>
        <v>1468.74</v>
      </c>
      <c r="K683" s="126">
        <v>45516</v>
      </c>
      <c r="L683" s="36">
        <f>WEEKNUM(Table1[[#This Row],[ETA
As requested
dd.mm.yyyy]])</f>
        <v>33</v>
      </c>
      <c r="M683" s="36">
        <f>YEAR(Table1[[#This Row],[ETA
As requested
dd.mm.yyyy]])</f>
        <v>2024</v>
      </c>
      <c r="N683" s="36">
        <f>IFERROR(INDEX(DATABASE_FG!$H$5:$H$367, MATCH(E683, DATABASE_FG!$C$5:$C$367, 0)), " ")</f>
        <v>0</v>
      </c>
      <c r="O683" s="129" t="str">
        <f>IF(E683&lt;&gt;"", _xlfn.XLOOKUP(E683, DATABASE_FG!C:C, DATABASE_FG!F:F), " ")</f>
        <v>Atlanta rectificare</v>
      </c>
      <c r="P683" s="129">
        <f>IFERROR(INDEX(DATABASE_FG!$G$5:$G$367, MATCH(E683, DATABASE_FG!$C$5:$C$367, 0)), "Not Found")</f>
        <v>200</v>
      </c>
      <c r="Q683" s="36"/>
      <c r="R683" s="125" t="s">
        <v>678</v>
      </c>
      <c r="S683" s="123">
        <f>IFERROR(INDEX(DATABASE_FG!$L$5:$L$367, MATCH(E683, DATABASE_FG!$C$5:$C$367, 0)), " ")</f>
        <v>42</v>
      </c>
      <c r="T683" s="36" t="s">
        <v>679</v>
      </c>
      <c r="U683" s="36"/>
      <c r="V683" s="36"/>
      <c r="W683" s="129"/>
      <c r="X683" s="36"/>
      <c r="Y683" s="36"/>
      <c r="Z683" s="36"/>
      <c r="AA683" s="125" t="s">
        <v>121</v>
      </c>
      <c r="AB683" s="173">
        <v>45512</v>
      </c>
      <c r="AC683" s="119">
        <v>2024996</v>
      </c>
      <c r="AD683" s="36">
        <f t="shared" si="85"/>
        <v>37346485</v>
      </c>
      <c r="AE683" s="36" t="str">
        <f t="shared" si="86"/>
        <v>F-552668.01-0012</v>
      </c>
      <c r="AF683" s="36">
        <v>91</v>
      </c>
      <c r="AG683" s="120">
        <f t="shared" si="88"/>
        <v>1468.74</v>
      </c>
      <c r="AH683" s="36">
        <v>2</v>
      </c>
      <c r="AI683" s="124"/>
      <c r="AJ683" s="122" t="s">
        <v>1938</v>
      </c>
      <c r="AK683" s="129" t="str">
        <f t="shared" ca="1" si="87"/>
        <v>On Time</v>
      </c>
      <c r="AL683" s="268" t="str">
        <f t="shared" si="89"/>
        <v>August</v>
      </c>
      <c r="AM683" s="133">
        <f>YEAR(Table1[[#This Row],[ETA
As requested
dd.mm.yyyy]])</f>
        <v>2024</v>
      </c>
    </row>
    <row r="684" spans="1:39" hidden="1">
      <c r="A684" s="123" t="s">
        <v>83</v>
      </c>
      <c r="B684" s="36" t="s">
        <v>1170</v>
      </c>
      <c r="C684" s="117">
        <v>37346485</v>
      </c>
      <c r="D684" s="165">
        <v>45499</v>
      </c>
      <c r="E684" s="117" t="s">
        <v>91</v>
      </c>
      <c r="F684" s="36" t="str">
        <f>IFERROR(VLOOKUP(Table1[[#This Row],[Part Number]],DATABASE_FG!$C$6:D10673,2,FALSE)," ")</f>
        <v>096403993-0000</v>
      </c>
      <c r="G684" s="117" t="str">
        <f>IFERROR(_xlfn.XLOOKUP(Table1[[#This Row],[Part Number]],Table3[Part number],Table3[Drawing
 Revision]),"")</f>
        <v>AB</v>
      </c>
      <c r="H684" s="118" cm="1">
        <f t="array" ref="H684">IFERROR(INDEX(PDB!$C:$AT,MATCH(E684,PDB!$B:$B,0),MATCH(YEAR(K684),0+PDB!$C$1:$AT$1,0)),"")</f>
        <v>16.14</v>
      </c>
      <c r="I684" s="36">
        <v>119</v>
      </c>
      <c r="J684" s="125">
        <f>IFERROR(Table1[[#This Row],[Quantity]]*Table1[[#This Row],[Price/Unit
EUR]]," ")</f>
        <v>1920.66</v>
      </c>
      <c r="K684" s="126">
        <v>45516</v>
      </c>
      <c r="L684" s="36">
        <f>WEEKNUM(Table1[[#This Row],[ETA
As requested
dd.mm.yyyy]])</f>
        <v>33</v>
      </c>
      <c r="M684" s="36">
        <f>YEAR(Table1[[#This Row],[ETA
As requested
dd.mm.yyyy]])</f>
        <v>2024</v>
      </c>
      <c r="N684" s="36">
        <f>IFERROR(INDEX(DATABASE_FG!$H$5:$H$367, MATCH(E684, DATABASE_FG!$C$5:$C$367, 0)), " ")</f>
        <v>0</v>
      </c>
      <c r="O684" s="129" t="str">
        <f>IF(E684&lt;&gt;"", _xlfn.XLOOKUP(E684, DATABASE_FG!C:C, DATABASE_FG!F:F), " ")</f>
        <v>Atlanta rectificare</v>
      </c>
      <c r="P684" s="129">
        <f>IFERROR(INDEX(DATABASE_FG!$G$5:$G$367, MATCH(E684, DATABASE_FG!$C$5:$C$367, 0)), "Not Found")</f>
        <v>200</v>
      </c>
      <c r="Q684" s="36"/>
      <c r="R684" s="125" t="s">
        <v>678</v>
      </c>
      <c r="S684" s="123">
        <f>Table1[[#This Row],[Quantity]]/48</f>
        <v>2.4791666666666665</v>
      </c>
      <c r="T684" s="36" t="s">
        <v>679</v>
      </c>
      <c r="U684" s="36"/>
      <c r="V684" s="36"/>
      <c r="W684" s="129"/>
      <c r="X684" s="36"/>
      <c r="Y684" s="36"/>
      <c r="Z684" s="36"/>
      <c r="AA684" s="125" t="s">
        <v>121</v>
      </c>
      <c r="AB684" s="173">
        <v>45523</v>
      </c>
      <c r="AC684" s="119">
        <v>202401040</v>
      </c>
      <c r="AD684" s="36">
        <f t="shared" si="85"/>
        <v>37346485</v>
      </c>
      <c r="AE684" s="36" t="str">
        <f t="shared" si="86"/>
        <v>F-552668.01-0012</v>
      </c>
      <c r="AF684" s="36">
        <v>119</v>
      </c>
      <c r="AG684" s="120">
        <f t="shared" si="88"/>
        <v>1920.66</v>
      </c>
      <c r="AH684" s="36"/>
      <c r="AI684" s="124"/>
      <c r="AJ684" s="122" t="s">
        <v>1939</v>
      </c>
      <c r="AK684" s="129" t="str">
        <f t="shared" ca="1" si="87"/>
        <v>Late</v>
      </c>
      <c r="AL684" s="268" t="str">
        <f t="shared" si="89"/>
        <v>August</v>
      </c>
      <c r="AM684" s="133">
        <f>YEAR(Table1[[#This Row],[ETA
As requested
dd.mm.yyyy]])</f>
        <v>2024</v>
      </c>
    </row>
    <row r="685" spans="1:39" ht="15.75" hidden="1">
      <c r="A685" s="123" t="s">
        <v>83</v>
      </c>
      <c r="B685" s="36" t="s">
        <v>1170</v>
      </c>
      <c r="C685" s="117">
        <v>5409659</v>
      </c>
      <c r="D685" s="165">
        <v>45449</v>
      </c>
      <c r="E685" s="117" t="s">
        <v>91</v>
      </c>
      <c r="F685" s="36" t="str">
        <f>IFERROR(VLOOKUP(Table1[[#This Row],[Part Number]],DATABASE_FG!$C$6:D10674,2,FALSE)," ")</f>
        <v>096403993-0000</v>
      </c>
      <c r="G685" s="117" t="str">
        <f>IFERROR(_xlfn.XLOOKUP(Table1[[#This Row],[Part Number]],Table3[Part number],Table3[Drawing
 Revision]),"")</f>
        <v>AB</v>
      </c>
      <c r="H685" s="118" cm="1">
        <f t="array" ref="H685">IFERROR(INDEX(PDB!$C:$AT,MATCH(E685,PDB!$B:$B,0),MATCH(YEAR(K685),0+PDB!$C$1:$AT$1,0)),"")</f>
        <v>16.14</v>
      </c>
      <c r="I685" s="36">
        <v>8</v>
      </c>
      <c r="J685" s="125">
        <f>IFERROR(Table1[[#This Row],[Quantity]]*Table1[[#This Row],[Price/Unit
EUR]]," ")</f>
        <v>129.12</v>
      </c>
      <c r="K685" s="126">
        <v>45566</v>
      </c>
      <c r="L685" s="36">
        <f>WEEKNUM(Table1[[#This Row],[ETA
As requested
dd.mm.yyyy]])</f>
        <v>40</v>
      </c>
      <c r="M685" s="36">
        <f>YEAR(Table1[[#This Row],[ETA
As requested
dd.mm.yyyy]])</f>
        <v>2024</v>
      </c>
      <c r="N685" s="36">
        <f>IFERROR(INDEX(DATABASE_FG!$H$5:$H$367, MATCH(E685, DATABASE_FG!$C$5:$C$367, 0)), " ")</f>
        <v>0</v>
      </c>
      <c r="O685" s="129" t="str">
        <f>IF(E685&lt;&gt;"", _xlfn.XLOOKUP(E685, DATABASE_FG!C:C, DATABASE_FG!F:F), " ")</f>
        <v>Atlanta rectificare</v>
      </c>
      <c r="P685" s="129">
        <f>IFERROR(INDEX(DATABASE_FG!$G$5:$G$367, MATCH(E685, DATABASE_FG!$C$5:$C$367, 0)), "Not Found")</f>
        <v>200</v>
      </c>
      <c r="Q685" s="36"/>
      <c r="R685" s="125" t="s">
        <v>678</v>
      </c>
      <c r="S685" s="123">
        <f>IFERROR(INDEX(DATABASE_FG!$L$5:$L$367, MATCH(E685, DATABASE_FG!$C$5:$C$367, 0)), " ")</f>
        <v>42</v>
      </c>
      <c r="T685" s="36" t="s">
        <v>679</v>
      </c>
      <c r="U685" s="36"/>
      <c r="V685" s="36"/>
      <c r="W685" s="129"/>
      <c r="X685" s="36"/>
      <c r="Y685" s="36"/>
      <c r="Z685" s="36"/>
      <c r="AA685" s="125" t="s">
        <v>121</v>
      </c>
      <c r="AB685" s="173">
        <v>45565</v>
      </c>
      <c r="AC685" s="119">
        <v>202401178</v>
      </c>
      <c r="AD685" s="36">
        <f t="shared" si="85"/>
        <v>5409659</v>
      </c>
      <c r="AE685" s="36" t="str">
        <f t="shared" si="86"/>
        <v>F-552668.01-0012</v>
      </c>
      <c r="AF685" s="36">
        <f>8-1</f>
        <v>7</v>
      </c>
      <c r="AG685" s="120">
        <f t="shared" si="88"/>
        <v>112.98</v>
      </c>
      <c r="AH685" s="36"/>
      <c r="AI685" s="124" t="s">
        <v>2405</v>
      </c>
      <c r="AJ685" s="122" t="s">
        <v>2406</v>
      </c>
      <c r="AK685" s="129" t="str">
        <f t="shared" ca="1" si="87"/>
        <v>On Time</v>
      </c>
      <c r="AL685" s="268" t="str">
        <f t="shared" si="89"/>
        <v>October</v>
      </c>
      <c r="AM685" s="133">
        <f>YEAR(Table1[[#This Row],[ETA
As requested
dd.mm.yyyy]])</f>
        <v>2024</v>
      </c>
    </row>
    <row r="686" spans="1:39" hidden="1">
      <c r="A686" s="123" t="s">
        <v>83</v>
      </c>
      <c r="B686" s="36" t="s">
        <v>1170</v>
      </c>
      <c r="C686" s="117">
        <v>5409659</v>
      </c>
      <c r="D686" s="165">
        <v>45449</v>
      </c>
      <c r="E686" s="117" t="s">
        <v>91</v>
      </c>
      <c r="F686" s="36" t="str">
        <f>IFERROR(VLOOKUP(Table1[[#This Row],[Part Number]],DATABASE_FG!$C$6:D10675,2,FALSE)," ")</f>
        <v>096403993-0000</v>
      </c>
      <c r="G686" s="117" t="str">
        <f>IFERROR(_xlfn.XLOOKUP(Table1[[#This Row],[Part Number]],Table3[Part number],Table3[Drawing
 Revision]),"")</f>
        <v>AB</v>
      </c>
      <c r="H686" s="118" cm="1">
        <f t="array" ref="H686">IFERROR(INDEX(PDB!$C:$AT,MATCH(E686,PDB!$B:$B,0),MATCH(YEAR(K686),0+PDB!$C$1:$AT$1,0)),"")</f>
        <v>16.14</v>
      </c>
      <c r="I686" s="36">
        <v>51</v>
      </c>
      <c r="J686" s="125">
        <f>IFERROR(Table1[[#This Row],[Quantity]]*Table1[[#This Row],[Price/Unit
EUR]]," ")</f>
        <v>823.14</v>
      </c>
      <c r="K686" s="126">
        <v>45566</v>
      </c>
      <c r="L686" s="36">
        <f>WEEKNUM(Table1[[#This Row],[ETA
As requested
dd.mm.yyyy]])</f>
        <v>40</v>
      </c>
      <c r="M686" s="36">
        <f>YEAR(Table1[[#This Row],[ETA
As requested
dd.mm.yyyy]])</f>
        <v>2024</v>
      </c>
      <c r="N686" s="36">
        <f>IFERROR(INDEX(DATABASE_FG!$H$5:$H$367, MATCH(E686, DATABASE_FG!$C$5:$C$367, 0)), " ")</f>
        <v>0</v>
      </c>
      <c r="O686" s="129" t="str">
        <f>IF(E686&lt;&gt;"", _xlfn.XLOOKUP(E686, DATABASE_FG!C:C, DATABASE_FG!F:F), " ")</f>
        <v>Atlanta rectificare</v>
      </c>
      <c r="P686" s="129">
        <f>IFERROR(INDEX(DATABASE_FG!$G$5:$G$367, MATCH(E686, DATABASE_FG!$C$5:$C$367, 0)), "Not Found")</f>
        <v>200</v>
      </c>
      <c r="Q686" s="36"/>
      <c r="R686" s="125" t="s">
        <v>678</v>
      </c>
      <c r="S686" s="123">
        <f>IFERROR(INDEX(DATABASE_FG!$L$5:$L$367, MATCH(E686, DATABASE_FG!$C$5:$C$367, 0)), " ")</f>
        <v>42</v>
      </c>
      <c r="T686" s="36" t="s">
        <v>679</v>
      </c>
      <c r="U686" s="36"/>
      <c r="V686" s="36"/>
      <c r="W686" s="129"/>
      <c r="X686" s="36"/>
      <c r="Y686" s="36"/>
      <c r="Z686" s="36"/>
      <c r="AA686" s="125" t="s">
        <v>121</v>
      </c>
      <c r="AB686" s="173">
        <v>45568</v>
      </c>
      <c r="AC686" s="119">
        <v>202401202</v>
      </c>
      <c r="AD686" s="36">
        <f t="shared" si="85"/>
        <v>5409659</v>
      </c>
      <c r="AE686" s="36" t="str">
        <f t="shared" si="86"/>
        <v>F-552668.01-0012</v>
      </c>
      <c r="AF686" s="36">
        <v>51</v>
      </c>
      <c r="AG686" s="120">
        <f t="shared" si="88"/>
        <v>823.14</v>
      </c>
      <c r="AH686" s="36">
        <v>3</v>
      </c>
      <c r="AI686" s="124"/>
      <c r="AJ686" s="122" t="s">
        <v>2414</v>
      </c>
      <c r="AK686" s="129" t="str">
        <f t="shared" ca="1" si="87"/>
        <v>On Time</v>
      </c>
      <c r="AL686" s="268" t="str">
        <f t="shared" si="89"/>
        <v>October</v>
      </c>
      <c r="AM686" s="133">
        <f>YEAR(Table1[[#This Row],[ETA
As requested
dd.mm.yyyy]])</f>
        <v>2024</v>
      </c>
    </row>
    <row r="687" spans="1:39" hidden="1">
      <c r="A687" s="123" t="s">
        <v>83</v>
      </c>
      <c r="B687" s="36" t="s">
        <v>1170</v>
      </c>
      <c r="C687" s="117">
        <v>5409659</v>
      </c>
      <c r="D687" s="165">
        <v>45449</v>
      </c>
      <c r="E687" s="117" t="s">
        <v>91</v>
      </c>
      <c r="F687" s="36" t="str">
        <f>IFERROR(VLOOKUP(Table1[[#This Row],[Part Number]],DATABASE_FG!$C$6:D10676,2,FALSE)," ")</f>
        <v>096403993-0000</v>
      </c>
      <c r="G687" s="117" t="str">
        <f>IFERROR(_xlfn.XLOOKUP(Table1[[#This Row],[Part Number]],Table3[Part number],Table3[Drawing
 Revision]),"")</f>
        <v>AB</v>
      </c>
      <c r="H687" s="118" cm="1">
        <f t="array" ref="H687">IFERROR(INDEX(PDB!$C:$AT,MATCH(E687,PDB!$B:$B,0),MATCH(YEAR(K687),0+PDB!$C$1:$AT$1,0)),"")</f>
        <v>16.14</v>
      </c>
      <c r="I687" s="36">
        <v>48</v>
      </c>
      <c r="J687" s="125">
        <f>IFERROR(Table1[[#This Row],[Quantity]]*Table1[[#This Row],[Price/Unit
EUR]]," ")</f>
        <v>774.72</v>
      </c>
      <c r="K687" s="126">
        <v>45566</v>
      </c>
      <c r="L687" s="36">
        <f>WEEKNUM(Table1[[#This Row],[ETA
As requested
dd.mm.yyyy]])</f>
        <v>40</v>
      </c>
      <c r="M687" s="36">
        <f>YEAR(Table1[[#This Row],[ETA
As requested
dd.mm.yyyy]])</f>
        <v>2024</v>
      </c>
      <c r="N687" s="36">
        <f>IFERROR(INDEX(DATABASE_FG!$H$5:$H$367, MATCH(E687, DATABASE_FG!$C$5:$C$367, 0)), " ")</f>
        <v>0</v>
      </c>
      <c r="O687" s="129" t="str">
        <f>IF(E687&lt;&gt;"", _xlfn.XLOOKUP(E687, DATABASE_FG!C:C, DATABASE_FG!F:F), " ")</f>
        <v>Atlanta rectificare</v>
      </c>
      <c r="P687" s="129">
        <f>IFERROR(INDEX(DATABASE_FG!$G$5:$G$367, MATCH(E687, DATABASE_FG!$C$5:$C$367, 0)), "Not Found")</f>
        <v>200</v>
      </c>
      <c r="Q687" s="36"/>
      <c r="R687" s="125" t="s">
        <v>678</v>
      </c>
      <c r="S687" s="123">
        <f>IFERROR(INDEX(DATABASE_FG!$L$5:$L$367, MATCH(E687, DATABASE_FG!$C$5:$C$367, 0)), " ")</f>
        <v>42</v>
      </c>
      <c r="T687" s="36" t="s">
        <v>679</v>
      </c>
      <c r="U687" s="36"/>
      <c r="V687" s="36"/>
      <c r="W687" s="129"/>
      <c r="X687" s="36"/>
      <c r="Y687" s="36"/>
      <c r="Z687" s="36"/>
      <c r="AA687" s="125" t="s">
        <v>121</v>
      </c>
      <c r="AB687" s="173">
        <v>45572</v>
      </c>
      <c r="AC687" s="119">
        <v>202401213</v>
      </c>
      <c r="AD687" s="36">
        <f t="shared" si="85"/>
        <v>5409659</v>
      </c>
      <c r="AE687" s="36" t="str">
        <f t="shared" si="86"/>
        <v>F-552668.01-0012</v>
      </c>
      <c r="AF687" s="36">
        <v>48</v>
      </c>
      <c r="AG687" s="120">
        <f t="shared" si="88"/>
        <v>774.72</v>
      </c>
      <c r="AH687" s="36"/>
      <c r="AI687" s="124" t="s">
        <v>2303</v>
      </c>
      <c r="AJ687" s="122"/>
      <c r="AK687" s="129" t="str">
        <f t="shared" ca="1" si="87"/>
        <v>Late</v>
      </c>
      <c r="AL687" s="268" t="str">
        <f t="shared" si="89"/>
        <v>October</v>
      </c>
      <c r="AM687" s="133">
        <f>YEAR(Table1[[#This Row],[ETA
As requested
dd.mm.yyyy]])</f>
        <v>2024</v>
      </c>
    </row>
    <row r="688" spans="1:39" hidden="1">
      <c r="A688" s="123" t="s">
        <v>83</v>
      </c>
      <c r="B688" s="36" t="s">
        <v>1170</v>
      </c>
      <c r="C688" s="117">
        <v>5409659</v>
      </c>
      <c r="D688" s="165">
        <v>45450</v>
      </c>
      <c r="E688" s="117" t="s">
        <v>91</v>
      </c>
      <c r="F688" s="36" t="str">
        <f>IFERROR(VLOOKUP(Table1[[#This Row],[Part Number]],DATABASE_FG!$C$6:D10677,2,FALSE)," ")</f>
        <v>096403993-0000</v>
      </c>
      <c r="G688" s="117" t="str">
        <f>IFERROR(_xlfn.XLOOKUP(Table1[[#This Row],[Part Number]],Table3[Part number],Table3[Drawing
 Revision]),"")</f>
        <v>AB</v>
      </c>
      <c r="H688" s="118" cm="1">
        <f t="array" ref="H688">IFERROR(INDEX(PDB!$C:$AT,MATCH(E688,PDB!$B:$B,0),MATCH(YEAR(K688),0+PDB!$C$1:$AT$1,0)),"")</f>
        <v>16.14</v>
      </c>
      <c r="I688" s="36">
        <v>100</v>
      </c>
      <c r="J688" s="125">
        <f>IFERROR(Table1[[#This Row],[Quantity]]*Table1[[#This Row],[Price/Unit
EUR]]," ")</f>
        <v>1614</v>
      </c>
      <c r="K688" s="126">
        <v>45582</v>
      </c>
      <c r="L688" s="36">
        <f>WEEKNUM(Table1[[#This Row],[ETA
As requested
dd.mm.yyyy]])</f>
        <v>42</v>
      </c>
      <c r="M688" s="36">
        <f>YEAR(Table1[[#This Row],[ETA
As requested
dd.mm.yyyy]])</f>
        <v>2024</v>
      </c>
      <c r="N688" s="36">
        <f>IFERROR(INDEX(DATABASE_FG!$H$5:$H$367, MATCH(E688, DATABASE_FG!$C$5:$C$367, 0)), " ")</f>
        <v>0</v>
      </c>
      <c r="O688" s="129" t="str">
        <f>IF(E688&lt;&gt;"", _xlfn.XLOOKUP(E688, DATABASE_FG!C:C, DATABASE_FG!F:F), " ")</f>
        <v>Atlanta rectificare</v>
      </c>
      <c r="P688" s="129">
        <f>IFERROR(INDEX(DATABASE_FG!$G$5:$G$367, MATCH(E688, DATABASE_FG!$C$5:$C$367, 0)), "Not Found")</f>
        <v>200</v>
      </c>
      <c r="Q688" s="36"/>
      <c r="R688" s="125" t="s">
        <v>678</v>
      </c>
      <c r="S688" s="123">
        <f>IFERROR(INDEX(DATABASE_FG!$L$5:$L$367, MATCH(E688, DATABASE_FG!$C$5:$C$367, 0)), " ")</f>
        <v>42</v>
      </c>
      <c r="T688" s="36" t="s">
        <v>679</v>
      </c>
      <c r="U688" s="36"/>
      <c r="V688" s="36"/>
      <c r="W688" s="129"/>
      <c r="X688" s="36"/>
      <c r="Y688" s="36"/>
      <c r="Z688" s="36"/>
      <c r="AA688" s="125" t="s">
        <v>121</v>
      </c>
      <c r="AB688" s="173">
        <v>45582</v>
      </c>
      <c r="AC688" s="119">
        <v>202401254</v>
      </c>
      <c r="AD688" s="36">
        <f t="shared" si="85"/>
        <v>5409659</v>
      </c>
      <c r="AE688" s="36" t="str">
        <f t="shared" si="86"/>
        <v>F-552668.01-0012</v>
      </c>
      <c r="AF688" s="36">
        <v>100</v>
      </c>
      <c r="AG688" s="120">
        <f t="shared" si="88"/>
        <v>1614</v>
      </c>
      <c r="AH688" s="36"/>
      <c r="AI688" s="124"/>
      <c r="AJ688" s="122" t="s">
        <v>2479</v>
      </c>
      <c r="AK688" s="129" t="str">
        <f t="shared" ca="1" si="87"/>
        <v>On Time</v>
      </c>
      <c r="AL688" s="268" t="str">
        <f t="shared" si="89"/>
        <v>October</v>
      </c>
      <c r="AM688" s="133">
        <f>YEAR(Table1[[#This Row],[ETA
As requested
dd.mm.yyyy]])</f>
        <v>2024</v>
      </c>
    </row>
    <row r="689" spans="1:39" hidden="1">
      <c r="A689" s="123" t="s">
        <v>83</v>
      </c>
      <c r="B689" s="36" t="s">
        <v>1170</v>
      </c>
      <c r="C689" s="117">
        <v>5409659</v>
      </c>
      <c r="D689" s="165">
        <v>45451</v>
      </c>
      <c r="E689" s="117" t="s">
        <v>91</v>
      </c>
      <c r="F689" s="36" t="str">
        <f>IFERROR(VLOOKUP(Table1[[#This Row],[Part Number]],DATABASE_FG!$C$6:D10678,2,FALSE)," ")</f>
        <v>096403993-0000</v>
      </c>
      <c r="G689" s="117" t="str">
        <f>IFERROR(_xlfn.XLOOKUP(Table1[[#This Row],[Part Number]],Table3[Part number],Table3[Drawing
 Revision]),"")</f>
        <v>AB</v>
      </c>
      <c r="H689" s="118" cm="1">
        <f t="array" ref="H689">IFERROR(INDEX(PDB!$C:$AT,MATCH(E689,PDB!$B:$B,0),MATCH(YEAR(K689),0+PDB!$C$1:$AT$1,0)),"")</f>
        <v>16.14</v>
      </c>
      <c r="I689" s="36">
        <v>70</v>
      </c>
      <c r="J689" s="125">
        <f>IFERROR(Table1[[#This Row],[Quantity]]*Table1[[#This Row],[Price/Unit
EUR]]," ")</f>
        <v>1129.8</v>
      </c>
      <c r="K689" s="126">
        <v>45616</v>
      </c>
      <c r="L689" s="36">
        <f>WEEKNUM(Table1[[#This Row],[ETA
As requested
dd.mm.yyyy]])</f>
        <v>47</v>
      </c>
      <c r="M689" s="36">
        <f>YEAR(Table1[[#This Row],[ETA
As requested
dd.mm.yyyy]])</f>
        <v>2024</v>
      </c>
      <c r="N689" s="36">
        <f>IFERROR(INDEX(DATABASE_FG!$H$5:$H$367, MATCH(E689, DATABASE_FG!$C$5:$C$367, 0)), " ")</f>
        <v>0</v>
      </c>
      <c r="O689" s="129" t="str">
        <f>IF(E689&lt;&gt;"", _xlfn.XLOOKUP(E689, DATABASE_FG!C:C, DATABASE_FG!F:F), " ")</f>
        <v>Atlanta rectificare</v>
      </c>
      <c r="P689" s="129">
        <f>IFERROR(INDEX(DATABASE_FG!$G$5:$G$367, MATCH(E689, DATABASE_FG!$C$5:$C$367, 0)), "Not Found")</f>
        <v>200</v>
      </c>
      <c r="Q689" s="36"/>
      <c r="R689" s="125" t="s">
        <v>678</v>
      </c>
      <c r="S689" s="123">
        <f>IFERROR(INDEX(DATABASE_FG!$L$5:$L$367, MATCH(E689, DATABASE_FG!$C$5:$C$367, 0)), " ")</f>
        <v>42</v>
      </c>
      <c r="T689" s="36" t="s">
        <v>679</v>
      </c>
      <c r="U689" s="36"/>
      <c r="V689" s="36"/>
      <c r="W689" s="129"/>
      <c r="X689" s="36"/>
      <c r="Y689" s="36" t="s">
        <v>2491</v>
      </c>
      <c r="Z689" s="36"/>
      <c r="AA689" s="125" t="s">
        <v>121</v>
      </c>
      <c r="AB689" s="173">
        <v>45630</v>
      </c>
      <c r="AC689" s="119">
        <v>202401470</v>
      </c>
      <c r="AD689" s="36">
        <f t="shared" si="85"/>
        <v>5409659</v>
      </c>
      <c r="AE689" s="36" t="str">
        <f t="shared" si="86"/>
        <v>F-552668.01-0012</v>
      </c>
      <c r="AF689" s="36">
        <v>70</v>
      </c>
      <c r="AG689" s="120">
        <f t="shared" si="88"/>
        <v>1129.8</v>
      </c>
      <c r="AH689" s="36"/>
      <c r="AI689" s="124"/>
      <c r="AJ689" s="122" t="s">
        <v>2617</v>
      </c>
      <c r="AK689" s="129" t="str">
        <f t="shared" ca="1" si="87"/>
        <v>Late</v>
      </c>
      <c r="AL689" s="268" t="str">
        <f t="shared" si="89"/>
        <v>November</v>
      </c>
      <c r="AM689" s="133">
        <f>YEAR(Table1[[#This Row],[ETA
As requested
dd.mm.yyyy]])</f>
        <v>2024</v>
      </c>
    </row>
    <row r="690" spans="1:39" hidden="1">
      <c r="A690" s="123" t="s">
        <v>83</v>
      </c>
      <c r="B690" s="36" t="s">
        <v>1170</v>
      </c>
      <c r="C690" s="117">
        <v>5409659</v>
      </c>
      <c r="D690" s="165">
        <v>45451</v>
      </c>
      <c r="E690" s="117" t="s">
        <v>91</v>
      </c>
      <c r="F690" s="36" t="str">
        <f>IFERROR(VLOOKUP(Table1[[#This Row],[Part Number]],DATABASE_FG!$C$6:D10679,2,FALSE)," ")</f>
        <v>096403993-0000</v>
      </c>
      <c r="G690" s="117" t="str">
        <f>IFERROR(_xlfn.XLOOKUP(Table1[[#This Row],[Part Number]],Table3[Part number],Table3[Drawing
 Revision]),"")</f>
        <v>AB</v>
      </c>
      <c r="H690" s="118" cm="1">
        <f t="array" ref="H690">IFERROR(INDEX(PDB!$C:$AT,MATCH(E690,PDB!$B:$B,0),MATCH(YEAR(K690),0+PDB!$C$1:$AT$1,0)),"")</f>
        <v>16.14</v>
      </c>
      <c r="I690" s="36">
        <v>50</v>
      </c>
      <c r="J690" s="125">
        <f>IFERROR(Table1[[#This Row],[Quantity]]*Table1[[#This Row],[Price/Unit
EUR]]," ")</f>
        <v>807</v>
      </c>
      <c r="K690" s="126">
        <v>45616</v>
      </c>
      <c r="L690" s="36">
        <f>WEEKNUM(Table1[[#This Row],[ETA
As requested
dd.mm.yyyy]])</f>
        <v>47</v>
      </c>
      <c r="M690" s="36">
        <f>YEAR(Table1[[#This Row],[ETA
As requested
dd.mm.yyyy]])</f>
        <v>2024</v>
      </c>
      <c r="N690" s="36">
        <f>IFERROR(INDEX(DATABASE_FG!$H$5:$H$367, MATCH(E690, DATABASE_FG!$C$5:$C$367, 0)), " ")</f>
        <v>0</v>
      </c>
      <c r="O690" s="129" t="str">
        <f>IF(E690&lt;&gt;"", _xlfn.XLOOKUP(E690, DATABASE_FG!C:C, DATABASE_FG!F:F), " ")</f>
        <v>Atlanta rectificare</v>
      </c>
      <c r="P690" s="129">
        <f>IFERROR(INDEX(DATABASE_FG!$G$5:$G$367, MATCH(E690, DATABASE_FG!$C$5:$C$367, 0)), "Not Found")</f>
        <v>200</v>
      </c>
      <c r="Q690" s="36"/>
      <c r="R690" s="125" t="s">
        <v>678</v>
      </c>
      <c r="S690" s="123">
        <f>IFERROR(INDEX(DATABASE_FG!$L$5:$L$367, MATCH(E690, DATABASE_FG!$C$5:$C$367, 0)), " ")</f>
        <v>42</v>
      </c>
      <c r="T690" s="36" t="s">
        <v>679</v>
      </c>
      <c r="U690" s="36"/>
      <c r="V690" s="36"/>
      <c r="W690" s="129"/>
      <c r="X690" s="36"/>
      <c r="Y690" s="36"/>
      <c r="Z690" s="36"/>
      <c r="AA690" s="125" t="s">
        <v>121</v>
      </c>
      <c r="AB690" s="173">
        <v>45631</v>
      </c>
      <c r="AC690" s="119">
        <v>202401477</v>
      </c>
      <c r="AD690" s="36">
        <f t="shared" si="85"/>
        <v>5409659</v>
      </c>
      <c r="AE690" s="36" t="str">
        <f t="shared" si="86"/>
        <v>F-552668.01-0012</v>
      </c>
      <c r="AF690" s="36">
        <v>50</v>
      </c>
      <c r="AG690" s="120">
        <f t="shared" si="88"/>
        <v>807</v>
      </c>
      <c r="AH690" s="36"/>
      <c r="AI690" s="124"/>
      <c r="AJ690" s="122" t="s">
        <v>2618</v>
      </c>
      <c r="AK690" s="129" t="str">
        <f t="shared" ca="1" si="87"/>
        <v>Late</v>
      </c>
      <c r="AL690" s="268" t="str">
        <f t="shared" si="89"/>
        <v>November</v>
      </c>
      <c r="AM690" s="133">
        <f>YEAR(Table1[[#This Row],[ETA
As requested
dd.mm.yyyy]])</f>
        <v>2024</v>
      </c>
    </row>
    <row r="691" spans="1:39" hidden="1">
      <c r="A691" s="123" t="s">
        <v>83</v>
      </c>
      <c r="B691" s="36" t="s">
        <v>1170</v>
      </c>
      <c r="C691" s="117">
        <v>5409659</v>
      </c>
      <c r="D691" s="165">
        <v>45451</v>
      </c>
      <c r="E691" s="117" t="s">
        <v>91</v>
      </c>
      <c r="F691" s="36" t="str">
        <f>IFERROR(VLOOKUP(Table1[[#This Row],[Part Number]],DATABASE_FG!$C$6:D10680,2,FALSE)," ")</f>
        <v>096403993-0000</v>
      </c>
      <c r="G691" s="117" t="str">
        <f>IFERROR(_xlfn.XLOOKUP(Table1[[#This Row],[Part Number]],Table3[Part number],Table3[Drawing
 Revision]),"")</f>
        <v>AB</v>
      </c>
      <c r="H691" s="118" cm="1">
        <f t="array" ref="H691">IFERROR(INDEX(PDB!$C:$AT,MATCH(E691,PDB!$B:$B,0),MATCH(YEAR(K691),0+PDB!$C$1:$AT$1,0)),"")</f>
        <v>16.14</v>
      </c>
      <c r="I691" s="36">
        <v>74</v>
      </c>
      <c r="J691" s="125">
        <f>IFERROR(Table1[[#This Row],[Quantity]]*Table1[[#This Row],[Price/Unit
EUR]]," ")</f>
        <v>1194.3600000000001</v>
      </c>
      <c r="K691" s="126">
        <v>45646</v>
      </c>
      <c r="L691" s="36">
        <f>WEEKNUM(Table1[[#This Row],[ETA
As requested
dd.mm.yyyy]])</f>
        <v>51</v>
      </c>
      <c r="M691" s="36">
        <f>YEAR(Table1[[#This Row],[ETA
As requested
dd.mm.yyyy]])</f>
        <v>2024</v>
      </c>
      <c r="N691" s="36">
        <f>IFERROR(INDEX(DATABASE_FG!$H$5:$H$367, MATCH(E691, DATABASE_FG!$C$5:$C$367, 0)), " ")</f>
        <v>0</v>
      </c>
      <c r="O691" s="129" t="str">
        <f>IF(E691&lt;&gt;"", _xlfn.XLOOKUP(E691, DATABASE_FG!C:C, DATABASE_FG!F:F), " ")</f>
        <v>Atlanta rectificare</v>
      </c>
      <c r="P691" s="129">
        <f>IFERROR(INDEX(DATABASE_FG!$G$5:$G$367, MATCH(E691, DATABASE_FG!$C$5:$C$367, 0)), "Not Found")</f>
        <v>200</v>
      </c>
      <c r="Q691" s="36"/>
      <c r="R691" s="125" t="s">
        <v>678</v>
      </c>
      <c r="S691" s="123">
        <f>IFERROR(INDEX(DATABASE_FG!$L$5:$L$367, MATCH(E691, DATABASE_FG!$C$5:$C$367, 0)), " ")</f>
        <v>42</v>
      </c>
      <c r="T691" s="36" t="s">
        <v>679</v>
      </c>
      <c r="U691" s="36"/>
      <c r="V691" s="36"/>
      <c r="W691" s="129"/>
      <c r="X691" s="36"/>
      <c r="Y691" s="36"/>
      <c r="Z691" s="36"/>
      <c r="AA691" s="125" t="s">
        <v>121</v>
      </c>
      <c r="AB691" s="173">
        <v>45673</v>
      </c>
      <c r="AC691" s="119" t="s">
        <v>2676</v>
      </c>
      <c r="AD691" s="36">
        <f t="shared" si="85"/>
        <v>5409659</v>
      </c>
      <c r="AE691" s="36" t="str">
        <f t="shared" si="86"/>
        <v>F-552668.01-0012</v>
      </c>
      <c r="AF691" s="36">
        <v>73</v>
      </c>
      <c r="AG691" s="120">
        <f t="shared" si="88"/>
        <v>1178.22</v>
      </c>
      <c r="AH691" s="36">
        <v>1</v>
      </c>
      <c r="AI691" s="124" t="s">
        <v>2677</v>
      </c>
      <c r="AJ691" s="122" t="s">
        <v>2678</v>
      </c>
      <c r="AK691" s="129" t="str">
        <f t="shared" ca="1" si="87"/>
        <v>Late</v>
      </c>
      <c r="AL691" s="268" t="str">
        <f t="shared" si="89"/>
        <v>December</v>
      </c>
      <c r="AM691" s="133">
        <f>YEAR(Table1[[#This Row],[ETA
As requested
dd.mm.yyyy]])</f>
        <v>2024</v>
      </c>
    </row>
    <row r="692" spans="1:39" hidden="1">
      <c r="A692" s="123" t="s">
        <v>83</v>
      </c>
      <c r="B692" s="36" t="s">
        <v>1170</v>
      </c>
      <c r="C692" s="117">
        <v>5409659</v>
      </c>
      <c r="D692" s="165">
        <v>45451</v>
      </c>
      <c r="E692" s="117" t="s">
        <v>91</v>
      </c>
      <c r="F692" s="36" t="str">
        <f>IFERROR(VLOOKUP(Table1[[#This Row],[Part Number]],DATABASE_FG!$C$6:D10681,2,FALSE)," ")</f>
        <v>096403993-0000</v>
      </c>
      <c r="G692" s="117" t="str">
        <f>IFERROR(_xlfn.XLOOKUP(Table1[[#This Row],[Part Number]],Table3[Part number],Table3[Drawing
 Revision]),"")</f>
        <v>AB</v>
      </c>
      <c r="H692" s="118" cm="1">
        <f t="array" ref="H692">IFERROR(INDEX(PDB!$C:$AT,MATCH(E692,PDB!$B:$B,0),MATCH(YEAR(K692),0+PDB!$C$1:$AT$1,0)),"")</f>
        <v>16.14</v>
      </c>
      <c r="I692" s="36">
        <v>100</v>
      </c>
      <c r="J692" s="125">
        <f>IFERROR(Table1[[#This Row],[Quantity]]*Table1[[#This Row],[Price/Unit
EUR]]," ")</f>
        <v>1614</v>
      </c>
      <c r="K692" s="126">
        <v>45709</v>
      </c>
      <c r="L692" s="36">
        <f>WEEKNUM(Table1[[#This Row],[ETA
As requested
dd.mm.yyyy]])</f>
        <v>8</v>
      </c>
      <c r="M692" s="36">
        <f>YEAR(Table1[[#This Row],[ETA
As requested
dd.mm.yyyy]])</f>
        <v>2025</v>
      </c>
      <c r="N692" s="36">
        <f>IFERROR(INDEX(DATABASE_FG!$H$5:$H$367, MATCH(E692, DATABASE_FG!$C$5:$C$367, 0)), " ")</f>
        <v>0</v>
      </c>
      <c r="O692" s="129" t="str">
        <f>IF(E692&lt;&gt;"", _xlfn.XLOOKUP(E692, DATABASE_FG!C:C, DATABASE_FG!F:F), " ")</f>
        <v>Atlanta rectificare</v>
      </c>
      <c r="P692" s="129">
        <f>IFERROR(INDEX(DATABASE_FG!$G$5:$G$367, MATCH(E692, DATABASE_FG!$C$5:$C$367, 0)), "Not Found")</f>
        <v>200</v>
      </c>
      <c r="Q692" s="36"/>
      <c r="R692" s="125" t="s">
        <v>678</v>
      </c>
      <c r="S692" s="123">
        <f>IFERROR(INDEX(DATABASE_FG!$L$5:$L$367, MATCH(E692, DATABASE_FG!$C$5:$C$367, 0)), " ")</f>
        <v>42</v>
      </c>
      <c r="T692" s="36" t="s">
        <v>679</v>
      </c>
      <c r="U692" s="36"/>
      <c r="V692" s="36"/>
      <c r="W692" s="129"/>
      <c r="X692" s="36"/>
      <c r="Y692" s="36"/>
      <c r="Z692" s="36"/>
      <c r="AA692" s="125" t="s">
        <v>121</v>
      </c>
      <c r="AB692" s="173">
        <v>45707</v>
      </c>
      <c r="AC692" s="119">
        <v>25233</v>
      </c>
      <c r="AD692" s="36">
        <f t="shared" si="85"/>
        <v>5409659</v>
      </c>
      <c r="AE692" s="36" t="str">
        <f t="shared" si="86"/>
        <v>F-552668.01-0012</v>
      </c>
      <c r="AF692" s="36">
        <v>100</v>
      </c>
      <c r="AG692" s="120">
        <f t="shared" si="88"/>
        <v>1614</v>
      </c>
      <c r="AH692" s="36">
        <v>1</v>
      </c>
      <c r="AI692" s="124"/>
      <c r="AJ692" s="122" t="s">
        <v>2854</v>
      </c>
      <c r="AK692" s="129" t="str">
        <f t="shared" ca="1" si="87"/>
        <v>On Time</v>
      </c>
      <c r="AL692" s="268" t="str">
        <f t="shared" si="89"/>
        <v>February</v>
      </c>
      <c r="AM692" s="133">
        <f>YEAR(Table1[[#This Row],[ETA
As requested
dd.mm.yyyy]])</f>
        <v>2025</v>
      </c>
    </row>
    <row r="693" spans="1:39" hidden="1">
      <c r="A693" s="123" t="s">
        <v>83</v>
      </c>
      <c r="B693" s="36" t="s">
        <v>1170</v>
      </c>
      <c r="C693" s="117">
        <v>5409659</v>
      </c>
      <c r="D693" s="165">
        <v>45451</v>
      </c>
      <c r="E693" s="117" t="s">
        <v>91</v>
      </c>
      <c r="F693" s="36" t="str">
        <f>IFERROR(VLOOKUP(Table1[[#This Row],[Part Number]],DATABASE_FG!$C$6:D10682,2,FALSE)," ")</f>
        <v>096403993-0000</v>
      </c>
      <c r="G693" s="117" t="str">
        <f>IFERROR(_xlfn.XLOOKUP(Table1[[#This Row],[Part Number]],Table3[Part number],Table3[Drawing
 Revision]),"")</f>
        <v>AB</v>
      </c>
      <c r="H693" s="118" cm="1">
        <f t="array" ref="H693">IFERROR(INDEX(PDB!$C:$AT,MATCH(E693,PDB!$B:$B,0),MATCH(YEAR(K693),0+PDB!$C$1:$AT$1,0)),"")</f>
        <v>16.14</v>
      </c>
      <c r="I693" s="36">
        <v>141</v>
      </c>
      <c r="J693" s="125">
        <f>IFERROR(Table1[[#This Row],[Quantity]]*Table1[[#This Row],[Price/Unit
EUR]]," ")</f>
        <v>2275.7400000000002</v>
      </c>
      <c r="K693" s="126">
        <v>45820</v>
      </c>
      <c r="L693" s="36">
        <f>WEEKNUM(Table1[[#This Row],[ETA
As requested
dd.mm.yyyy]])</f>
        <v>24</v>
      </c>
      <c r="M693" s="36">
        <f>YEAR(Table1[[#This Row],[ETA
As requested
dd.mm.yyyy]])</f>
        <v>2025</v>
      </c>
      <c r="N693" s="36">
        <f>IFERROR(INDEX(DATABASE_FG!$H$5:$H$367, MATCH(E693, DATABASE_FG!$C$5:$C$367, 0)), " ")</f>
        <v>0</v>
      </c>
      <c r="O693" s="129" t="str">
        <f>IF(E693&lt;&gt;"", _xlfn.XLOOKUP(E693, DATABASE_FG!C:C, DATABASE_FG!F:F), " ")</f>
        <v>Atlanta rectificare</v>
      </c>
      <c r="P693" s="129">
        <f>IFERROR(INDEX(DATABASE_FG!$G$5:$G$367, MATCH(E693, DATABASE_FG!$C$5:$C$367, 0)), "Not Found")</f>
        <v>200</v>
      </c>
      <c r="Q693" s="36"/>
      <c r="R693" s="125" t="s">
        <v>678</v>
      </c>
      <c r="S693" s="123">
        <f>Table1[[#This Row],[Quantity]]/48</f>
        <v>2.9375</v>
      </c>
      <c r="T693" s="36" t="s">
        <v>679</v>
      </c>
      <c r="U693" s="36"/>
      <c r="V693" s="36"/>
      <c r="W693" s="129"/>
      <c r="X693" s="36"/>
      <c r="Y693" s="36"/>
      <c r="Z693" s="36"/>
      <c r="AA693" s="125" t="s">
        <v>121</v>
      </c>
      <c r="AB693" s="173">
        <v>45820</v>
      </c>
      <c r="AC693" s="119">
        <v>25917</v>
      </c>
      <c r="AD693" s="36">
        <f t="shared" si="85"/>
        <v>5409659</v>
      </c>
      <c r="AE693" s="36" t="str">
        <f t="shared" si="86"/>
        <v>F-552668.01-0012</v>
      </c>
      <c r="AF693" s="36">
        <v>140</v>
      </c>
      <c r="AG693" s="120">
        <f t="shared" si="88"/>
        <v>2259.6</v>
      </c>
      <c r="AH693" s="36">
        <v>1</v>
      </c>
      <c r="AI693" s="124"/>
      <c r="AJ693" s="122" t="s">
        <v>3252</v>
      </c>
      <c r="AK693" s="129" t="str">
        <f t="shared" ca="1" si="87"/>
        <v>On Time</v>
      </c>
      <c r="AL693" s="268" t="str">
        <f t="shared" si="89"/>
        <v>June</v>
      </c>
      <c r="AM693" s="133">
        <f>YEAR(Table1[[#This Row],[ETA
As requested
dd.mm.yyyy]])</f>
        <v>2025</v>
      </c>
    </row>
    <row r="694" spans="1:39" hidden="1">
      <c r="A694" s="123" t="s">
        <v>83</v>
      </c>
      <c r="B694" s="36" t="s">
        <v>1170</v>
      </c>
      <c r="C694" s="180">
        <v>39384075</v>
      </c>
      <c r="D694" s="165">
        <v>45853</v>
      </c>
      <c r="E694" s="117" t="s">
        <v>91</v>
      </c>
      <c r="F694" s="36" t="str">
        <f>IFERROR(VLOOKUP(Table1[[#This Row],[Part Number]],DATABASE_FG!$C$6:D10683,2,FALSE)," ")</f>
        <v>096403993-0000</v>
      </c>
      <c r="G694" s="117" t="str">
        <f>IFERROR(_xlfn.XLOOKUP(Table1[[#This Row],[Part Number]],Table3[Part number],Table3[Drawing
 Revision]),"")</f>
        <v>AB</v>
      </c>
      <c r="H694" s="118" cm="1">
        <f t="array" ref="H694">IFERROR(INDEX(PDB!$C:$AT,MATCH(E694,PDB!$B:$B,0),MATCH(YEAR(K694),0+PDB!$C$1:$AT$1,0)),"")</f>
        <v>16.14</v>
      </c>
      <c r="I694" s="36">
        <v>76</v>
      </c>
      <c r="J694" s="125">
        <f>IFERROR(Table1[[#This Row],[Quantity]]*Table1[[#This Row],[Price/Unit
EUR]]," ")</f>
        <v>1226.6400000000001</v>
      </c>
      <c r="K694" s="126">
        <v>45820</v>
      </c>
      <c r="L694" s="36">
        <f>WEEKNUM(Table1[[#This Row],[ETA
As requested
dd.mm.yyyy]])</f>
        <v>24</v>
      </c>
      <c r="M694" s="36">
        <f>YEAR(Table1[[#This Row],[ETA
As requested
dd.mm.yyyy]])</f>
        <v>2025</v>
      </c>
      <c r="N694" s="36">
        <f>IFERROR(INDEX(DATABASE_FG!$H$5:$H$367, MATCH(E694, DATABASE_FG!$C$5:$C$367, 0)), " ")</f>
        <v>0</v>
      </c>
      <c r="O694" s="129" t="str">
        <f>IF(E694&lt;&gt;"", _xlfn.XLOOKUP(E694, DATABASE_FG!C:C, DATABASE_FG!F:F), " ")</f>
        <v>Atlanta rectificare</v>
      </c>
      <c r="P694" s="129">
        <f>IFERROR(INDEX(DATABASE_FG!$G$5:$G$367, MATCH(E694, DATABASE_FG!$C$5:$C$367, 0)), "Not Found")</f>
        <v>200</v>
      </c>
      <c r="Q694" s="36"/>
      <c r="R694" s="125" t="s">
        <v>678</v>
      </c>
      <c r="S694" s="123">
        <f>Table1[[#This Row],[Quantity]]/48</f>
        <v>1.5833333333333333</v>
      </c>
      <c r="T694" s="36" t="s">
        <v>679</v>
      </c>
      <c r="U694" s="36"/>
      <c r="V694" s="36"/>
      <c r="W694" s="129"/>
      <c r="X694" s="36"/>
      <c r="Y694" s="36"/>
      <c r="Z694" s="36"/>
      <c r="AA694" s="125" t="s">
        <v>121</v>
      </c>
      <c r="AB694" s="173">
        <v>45838</v>
      </c>
      <c r="AC694" s="119">
        <v>260012</v>
      </c>
      <c r="AD694" s="36">
        <f t="shared" si="85"/>
        <v>39384075</v>
      </c>
      <c r="AE694" s="36" t="str">
        <f t="shared" si="86"/>
        <v>F-552668.01-0012</v>
      </c>
      <c r="AF694" s="36">
        <v>76</v>
      </c>
      <c r="AG694" s="120">
        <f t="shared" si="88"/>
        <v>1226.6400000000001</v>
      </c>
      <c r="AH694" s="36"/>
      <c r="AI694" s="124"/>
      <c r="AJ694" s="122" t="s">
        <v>3253</v>
      </c>
      <c r="AK694" s="129" t="str">
        <f t="shared" ca="1" si="87"/>
        <v>Late</v>
      </c>
      <c r="AL694" s="268" t="str">
        <f t="shared" si="89"/>
        <v>June</v>
      </c>
      <c r="AM694" s="133">
        <f>YEAR(Table1[[#This Row],[ETA
As requested
dd.mm.yyyy]])</f>
        <v>2025</v>
      </c>
    </row>
    <row r="695" spans="1:39" hidden="1">
      <c r="A695" s="123" t="s">
        <v>83</v>
      </c>
      <c r="B695" s="36" t="s">
        <v>1170</v>
      </c>
      <c r="C695" s="117">
        <v>5409659</v>
      </c>
      <c r="D695" s="165">
        <v>45853</v>
      </c>
      <c r="E695" s="117" t="s">
        <v>91</v>
      </c>
      <c r="F695" s="36" t="str">
        <f>IFERROR(VLOOKUP(Table1[[#This Row],[Part Number]],DATABASE_FG!$C$6:D10684,2,FALSE)," ")</f>
        <v>096403993-0000</v>
      </c>
      <c r="G695" s="117" t="str">
        <f>IFERROR(_xlfn.XLOOKUP(Table1[[#This Row],[Part Number]],Table3[Part number],Table3[Drawing
 Revision]),"")</f>
        <v>AB</v>
      </c>
      <c r="H695" s="118" cm="1">
        <f t="array" ref="H695">IFERROR(INDEX(PDB!$C:$AT,MATCH(E695,PDB!$B:$B,0),MATCH(YEAR(K695),0+PDB!$C$1:$AT$1,0)),"")</f>
        <v>16.14</v>
      </c>
      <c r="I695" s="36">
        <v>68</v>
      </c>
      <c r="J695" s="125">
        <f>IFERROR(Table1[[#This Row],[Quantity]]*Table1[[#This Row],[Price/Unit
EUR]]," ")</f>
        <v>1097.52</v>
      </c>
      <c r="K695" s="126">
        <v>45820</v>
      </c>
      <c r="L695" s="36">
        <f>WEEKNUM(Table1[[#This Row],[ETA
As requested
dd.mm.yyyy]])</f>
        <v>24</v>
      </c>
      <c r="M695" s="36">
        <f>YEAR(Table1[[#This Row],[ETA
As requested
dd.mm.yyyy]])</f>
        <v>2025</v>
      </c>
      <c r="N695" s="36">
        <f>IFERROR(INDEX(DATABASE_FG!$H$5:$H$367, MATCH(E695, DATABASE_FG!$C$5:$C$367, 0)), " ")</f>
        <v>0</v>
      </c>
      <c r="O695" s="129" t="str">
        <f>IF(E695&lt;&gt;"", _xlfn.XLOOKUP(E695, DATABASE_FG!C:C, DATABASE_FG!F:F), " ")</f>
        <v>Atlanta rectificare</v>
      </c>
      <c r="P695" s="129">
        <f>IFERROR(INDEX(DATABASE_FG!$G$5:$G$367, MATCH(E695, DATABASE_FG!$C$5:$C$367, 0)), "Not Found")</f>
        <v>200</v>
      </c>
      <c r="Q695" s="36"/>
      <c r="R695" s="125" t="s">
        <v>678</v>
      </c>
      <c r="S695" s="123">
        <f>Table1[[#This Row],[Quantity]]/48</f>
        <v>1.4166666666666667</v>
      </c>
      <c r="T695" s="36" t="s">
        <v>679</v>
      </c>
      <c r="U695" s="36"/>
      <c r="V695" s="36"/>
      <c r="W695" s="129"/>
      <c r="X695" s="36"/>
      <c r="Y695" s="36"/>
      <c r="Z695" s="36"/>
      <c r="AA695" s="125" t="s">
        <v>121</v>
      </c>
      <c r="AB695" s="173">
        <v>45853</v>
      </c>
      <c r="AC695" s="119" t="s">
        <v>3254</v>
      </c>
      <c r="AD695" s="36">
        <f t="shared" si="85"/>
        <v>5409659</v>
      </c>
      <c r="AE695" s="36" t="str">
        <f t="shared" si="86"/>
        <v>F-552668.01-0012</v>
      </c>
      <c r="AF695" s="36">
        <v>68</v>
      </c>
      <c r="AG695" s="120">
        <f t="shared" si="88"/>
        <v>1097.52</v>
      </c>
      <c r="AH695" s="36"/>
      <c r="AI695" s="124"/>
      <c r="AJ695" s="122" t="s">
        <v>3255</v>
      </c>
      <c r="AK695" s="129" t="str">
        <f t="shared" ca="1" si="87"/>
        <v>Late</v>
      </c>
      <c r="AL695" s="268" t="str">
        <f t="shared" si="89"/>
        <v>June</v>
      </c>
      <c r="AM695" s="133">
        <f>YEAR(Table1[[#This Row],[ETA
As requested
dd.mm.yyyy]])</f>
        <v>2025</v>
      </c>
    </row>
    <row r="696" spans="1:39" hidden="1">
      <c r="A696" s="123" t="s">
        <v>83</v>
      </c>
      <c r="B696" s="36" t="s">
        <v>1170</v>
      </c>
      <c r="C696" s="117">
        <v>5409659</v>
      </c>
      <c r="D696" s="165">
        <v>45853</v>
      </c>
      <c r="E696" s="117" t="s">
        <v>91</v>
      </c>
      <c r="F696" s="36" t="str">
        <f>IFERROR(VLOOKUP(Table1[[#This Row],[Part Number]],DATABASE_FG!$C$6:D10685,2,FALSE)," ")</f>
        <v>096403993-0000</v>
      </c>
      <c r="G696" s="117" t="str">
        <f>IFERROR(_xlfn.XLOOKUP(Table1[[#This Row],[Part Number]],Table3[Part number],Table3[Drawing
 Revision]),"")</f>
        <v>AB</v>
      </c>
      <c r="H696" s="118" cm="1">
        <f t="array" ref="H696">IFERROR(INDEX(PDB!$C:$AT,MATCH(E696,PDB!$B:$B,0),MATCH(YEAR(K696),0+PDB!$C$1:$AT$1,0)),"")</f>
        <v>16.14</v>
      </c>
      <c r="I696" s="36">
        <f>150-68</f>
        <v>82</v>
      </c>
      <c r="J696" s="125">
        <f>IFERROR(Table1[[#This Row],[Quantity]]*Table1[[#This Row],[Price/Unit
EUR]]," ")</f>
        <v>1323.48</v>
      </c>
      <c r="K696" s="126">
        <v>45834</v>
      </c>
      <c r="L696" s="36">
        <f>WEEKNUM(Table1[[#This Row],[ETA
As requested
dd.mm.yyyy]])</f>
        <v>26</v>
      </c>
      <c r="M696" s="36">
        <f>YEAR(Table1[[#This Row],[ETA
As requested
dd.mm.yyyy]])</f>
        <v>2025</v>
      </c>
      <c r="N696" s="36">
        <f>IFERROR(INDEX(DATABASE_FG!$H$5:$H$367, MATCH(E696, DATABASE_FG!$C$5:$C$367, 0)), " ")</f>
        <v>0</v>
      </c>
      <c r="O696" s="129" t="str">
        <f>IF(E696&lt;&gt;"", _xlfn.XLOOKUP(E696, DATABASE_FG!C:C, DATABASE_FG!F:F), " ")</f>
        <v>Atlanta rectificare</v>
      </c>
      <c r="P696" s="129">
        <f>IFERROR(INDEX(DATABASE_FG!$G$5:$G$367, MATCH(E696, DATABASE_FG!$C$5:$C$367, 0)), "Not Found")</f>
        <v>200</v>
      </c>
      <c r="Q696" s="36"/>
      <c r="R696" s="125" t="s">
        <v>678</v>
      </c>
      <c r="S696" s="123">
        <f>Table1[[#This Row],[Quantity]]/48</f>
        <v>1.7083333333333333</v>
      </c>
      <c r="T696" s="36" t="s">
        <v>679</v>
      </c>
      <c r="U696" s="36"/>
      <c r="V696" s="36"/>
      <c r="W696" s="129"/>
      <c r="X696" s="36"/>
      <c r="Y696" s="36"/>
      <c r="Z696" s="36"/>
      <c r="AA696" s="125" t="s">
        <v>121</v>
      </c>
      <c r="AB696" s="173">
        <v>45855</v>
      </c>
      <c r="AC696" s="119" t="s">
        <v>3322</v>
      </c>
      <c r="AD696" s="36">
        <f t="shared" si="85"/>
        <v>5409659</v>
      </c>
      <c r="AE696" s="36" t="str">
        <f t="shared" si="86"/>
        <v>F-552668.01-0012</v>
      </c>
      <c r="AF696" s="36">
        <v>81</v>
      </c>
      <c r="AG696" s="120">
        <f t="shared" si="88"/>
        <v>1307.3400000000001</v>
      </c>
      <c r="AH696" s="36">
        <v>1</v>
      </c>
      <c r="AI696" s="124"/>
      <c r="AJ696" s="122" t="s">
        <v>3323</v>
      </c>
      <c r="AK696" s="129" t="str">
        <f t="shared" ca="1" si="87"/>
        <v>Late</v>
      </c>
      <c r="AL696" s="268" t="str">
        <f t="shared" si="89"/>
        <v>June</v>
      </c>
      <c r="AM696" s="133">
        <f>YEAR(Table1[[#This Row],[ETA
As requested
dd.mm.yyyy]])</f>
        <v>2025</v>
      </c>
    </row>
    <row r="697" spans="1:39" hidden="1">
      <c r="A697" s="123" t="s">
        <v>83</v>
      </c>
      <c r="B697" s="36" t="s">
        <v>1170</v>
      </c>
      <c r="C697" s="117">
        <v>5409659</v>
      </c>
      <c r="D697" s="165">
        <v>45856</v>
      </c>
      <c r="E697" s="117" t="s">
        <v>91</v>
      </c>
      <c r="F697" s="36" t="str">
        <f>IFERROR(VLOOKUP(Table1[[#This Row],[Part Number]],DATABASE_FG!$C$6:D10686,2,FALSE)," ")</f>
        <v>096403993-0000</v>
      </c>
      <c r="G697" s="117" t="str">
        <f>IFERROR(_xlfn.XLOOKUP(Table1[[#This Row],[Part Number]],Table3[Part number],Table3[Drawing
 Revision]),"")</f>
        <v>AB</v>
      </c>
      <c r="H697" s="118" cm="1">
        <f t="array" ref="H697">IFERROR(INDEX(PDB!$C:$AT,MATCH(E697,PDB!$B:$B,0),MATCH(YEAR(K697),0+PDB!$C$1:$AT$1,0)),"")</f>
        <v>16.14</v>
      </c>
      <c r="I697" s="36">
        <v>116</v>
      </c>
      <c r="J697" s="125">
        <f>IFERROR(Table1[[#This Row],[Quantity]]*Table1[[#This Row],[Price/Unit
EUR]]," ")</f>
        <v>1872.24</v>
      </c>
      <c r="K697" s="126">
        <v>45868</v>
      </c>
      <c r="L697" s="36">
        <f>WEEKNUM(Table1[[#This Row],[ETA
As requested
dd.mm.yyyy]])</f>
        <v>31</v>
      </c>
      <c r="M697" s="36">
        <f>YEAR(Table1[[#This Row],[ETA
As requested
dd.mm.yyyy]])</f>
        <v>2025</v>
      </c>
      <c r="N697" s="36">
        <f>IFERROR(INDEX(DATABASE_FG!$H$5:$H$367, MATCH(E697, DATABASE_FG!$C$5:$C$367, 0)), " ")</f>
        <v>0</v>
      </c>
      <c r="O697" s="129" t="str">
        <f>IF(E697&lt;&gt;"", _xlfn.XLOOKUP(E697, DATABASE_FG!C:C, DATABASE_FG!F:F), " ")</f>
        <v>Atlanta rectificare</v>
      </c>
      <c r="P697" s="129">
        <f>IFERROR(INDEX(DATABASE_FG!$G$5:$G$367, MATCH(E697, DATABASE_FG!$C$5:$C$367, 0)), "Not Found")</f>
        <v>200</v>
      </c>
      <c r="Q697" s="36"/>
      <c r="R697" s="125" t="s">
        <v>678</v>
      </c>
      <c r="S697" s="123">
        <f>Table1[[#This Row],[Quantity]]/48</f>
        <v>2.4166666666666665</v>
      </c>
      <c r="T697" s="36" t="s">
        <v>679</v>
      </c>
      <c r="U697" s="36"/>
      <c r="V697" s="36"/>
      <c r="W697" s="129"/>
      <c r="X697" s="36"/>
      <c r="Y697" s="36"/>
      <c r="Z697" s="36"/>
      <c r="AA697" s="125" t="s">
        <v>121</v>
      </c>
      <c r="AB697" s="173">
        <v>45862</v>
      </c>
      <c r="AC697" s="119">
        <v>202552</v>
      </c>
      <c r="AD697" s="36">
        <f t="shared" si="85"/>
        <v>5409659</v>
      </c>
      <c r="AE697" s="36" t="str">
        <f t="shared" si="86"/>
        <v>F-552668.01-0012</v>
      </c>
      <c r="AF697" s="36">
        <v>116</v>
      </c>
      <c r="AG697" s="120">
        <f t="shared" si="88"/>
        <v>1872.24</v>
      </c>
      <c r="AH697" s="36"/>
      <c r="AI697" s="124"/>
      <c r="AJ697" s="122" t="s">
        <v>3485</v>
      </c>
      <c r="AK697" s="129" t="str">
        <f t="shared" ca="1" si="87"/>
        <v>On Time</v>
      </c>
      <c r="AL697" s="268" t="str">
        <f t="shared" si="89"/>
        <v>July</v>
      </c>
      <c r="AM697" s="133">
        <f>YEAR(Table1[[#This Row],[ETA
As requested
dd.mm.yyyy]])</f>
        <v>2025</v>
      </c>
    </row>
    <row r="698" spans="1:39" hidden="1">
      <c r="A698" s="123" t="s">
        <v>83</v>
      </c>
      <c r="B698" s="36" t="s">
        <v>1170</v>
      </c>
      <c r="C698" s="117">
        <v>5409659</v>
      </c>
      <c r="D698" s="165">
        <v>45856</v>
      </c>
      <c r="E698" s="117" t="s">
        <v>91</v>
      </c>
      <c r="F698" s="36" t="str">
        <f>IFERROR(VLOOKUP(Table1[[#This Row],[Part Number]],DATABASE_FG!$C$6:D10687,2,FALSE)," ")</f>
        <v>096403993-0000</v>
      </c>
      <c r="G698" s="117" t="str">
        <f>IFERROR(_xlfn.XLOOKUP(Table1[[#This Row],[Part Number]],Table3[Part number],Table3[Drawing
 Revision]),"")</f>
        <v>AB</v>
      </c>
      <c r="H698" s="118" cm="1">
        <f t="array" ref="H698">IFERROR(INDEX(PDB!$C:$AT,MATCH(E698,PDB!$B:$B,0),MATCH(YEAR(K698),0+PDB!$C$1:$AT$1,0)),"")</f>
        <v>16.14</v>
      </c>
      <c r="I698" s="36">
        <v>29</v>
      </c>
      <c r="J698" s="125">
        <f>IFERROR(Table1[[#This Row],[Quantity]]*Table1[[#This Row],[Price/Unit
EUR]]," ")</f>
        <v>468.06</v>
      </c>
      <c r="K698" s="126">
        <v>45868</v>
      </c>
      <c r="L698" s="36">
        <f>WEEKNUM(Table1[[#This Row],[ETA
As requested
dd.mm.yyyy]])</f>
        <v>31</v>
      </c>
      <c r="M698" s="36">
        <f>YEAR(Table1[[#This Row],[ETA
As requested
dd.mm.yyyy]])</f>
        <v>2025</v>
      </c>
      <c r="N698" s="36">
        <f>IFERROR(INDEX(DATABASE_FG!$H$5:$H$367, MATCH(E698, DATABASE_FG!$C$5:$C$367, 0)), " ")</f>
        <v>0</v>
      </c>
      <c r="O698" s="129" t="str">
        <f>IF(E698&lt;&gt;"", _xlfn.XLOOKUP(E698, DATABASE_FG!C:C, DATABASE_FG!F:F), " ")</f>
        <v>Atlanta rectificare</v>
      </c>
      <c r="P698" s="129">
        <f>IFERROR(INDEX(DATABASE_FG!$G$5:$G$367, MATCH(E698, DATABASE_FG!$C$5:$C$367, 0)), "Not Found")</f>
        <v>200</v>
      </c>
      <c r="Q698" s="36"/>
      <c r="R698" s="125" t="s">
        <v>678</v>
      </c>
      <c r="S698" s="123">
        <f>Table1[[#This Row],[Quantity]]/48</f>
        <v>0.60416666666666663</v>
      </c>
      <c r="T698" s="36" t="s">
        <v>679</v>
      </c>
      <c r="U698" s="36"/>
      <c r="V698" s="36"/>
      <c r="W698" s="129"/>
      <c r="X698" s="36"/>
      <c r="Y698" s="36"/>
      <c r="Z698" s="36"/>
      <c r="AA698" s="125" t="s">
        <v>121</v>
      </c>
      <c r="AB698" s="173">
        <v>45863</v>
      </c>
      <c r="AC698" s="119">
        <v>202553</v>
      </c>
      <c r="AD698" s="36">
        <f t="shared" si="85"/>
        <v>5409659</v>
      </c>
      <c r="AE698" s="36" t="str">
        <f t="shared" si="86"/>
        <v>F-552668.01-0012</v>
      </c>
      <c r="AF698" s="36">
        <v>29</v>
      </c>
      <c r="AG698" s="120">
        <f t="shared" si="88"/>
        <v>468.06</v>
      </c>
      <c r="AH698" s="36">
        <v>2</v>
      </c>
      <c r="AI698" s="124"/>
      <c r="AJ698" s="122" t="s">
        <v>3486</v>
      </c>
      <c r="AK698" s="129" t="str">
        <f t="shared" ca="1" si="87"/>
        <v>On Time</v>
      </c>
      <c r="AL698" s="268" t="str">
        <f t="shared" si="89"/>
        <v>July</v>
      </c>
      <c r="AM698" s="133">
        <f>YEAR(Table1[[#This Row],[ETA
As requested
dd.mm.yyyy]])</f>
        <v>2025</v>
      </c>
    </row>
    <row r="699" spans="1:39" hidden="1">
      <c r="A699" s="123" t="s">
        <v>83</v>
      </c>
      <c r="B699" s="36" t="s">
        <v>1170</v>
      </c>
      <c r="C699" s="117">
        <v>5409659</v>
      </c>
      <c r="D699" s="165">
        <v>45891</v>
      </c>
      <c r="E699" s="117" t="s">
        <v>91</v>
      </c>
      <c r="F699" s="36" t="str">
        <f>IFERROR(VLOOKUP(Table1[[#This Row],[Part Number]],DATABASE_FG!$C$6:D10688,2,FALSE)," ")</f>
        <v>096403993-0000</v>
      </c>
      <c r="G699" s="117" t="str">
        <f>IFERROR(_xlfn.XLOOKUP(Table1[[#This Row],[Part Number]],Table3[Part number],Table3[Drawing
 Revision]),"")</f>
        <v>AB</v>
      </c>
      <c r="H699" s="118" cm="1">
        <f t="array" ref="H699">IFERROR(INDEX(PDB!$C:$AT,MATCH(E699,PDB!$B:$B,0),MATCH(YEAR(K699),0+PDB!$C$1:$AT$1,0)),"")</f>
        <v>16.14</v>
      </c>
      <c r="I699" s="36">
        <v>60</v>
      </c>
      <c r="J699" s="125">
        <f>IFERROR(Table1[[#This Row],[Quantity]]*Table1[[#This Row],[Price/Unit
EUR]]," ")</f>
        <v>968.40000000000009</v>
      </c>
      <c r="K699" s="126">
        <v>45899</v>
      </c>
      <c r="L699" s="36">
        <f>WEEKNUM(Table1[[#This Row],[ETA
As requested
dd.mm.yyyy]])</f>
        <v>35</v>
      </c>
      <c r="M699" s="36">
        <f>YEAR(Table1[[#This Row],[ETA
As requested
dd.mm.yyyy]])</f>
        <v>2025</v>
      </c>
      <c r="N699" s="36">
        <f>IFERROR(INDEX(DATABASE_FG!$H$5:$H$367, MATCH(E699, DATABASE_FG!$C$5:$C$367, 0)), " ")</f>
        <v>0</v>
      </c>
      <c r="O699" s="129" t="str">
        <f>IF(E699&lt;&gt;"", _xlfn.XLOOKUP(E699, DATABASE_FG!C:C, DATABASE_FG!F:F), " ")</f>
        <v>Atlanta rectificare</v>
      </c>
      <c r="P699" s="129">
        <f>IFERROR(INDEX(DATABASE_FG!$G$5:$G$367, MATCH(E699, DATABASE_FG!$C$5:$C$367, 0)), "Not Found")</f>
        <v>200</v>
      </c>
      <c r="Q699" s="36"/>
      <c r="R699" s="125" t="s">
        <v>678</v>
      </c>
      <c r="S699" s="123">
        <f>Table1[[#This Row],[Quantity]]/48</f>
        <v>1.25</v>
      </c>
      <c r="T699" s="36" t="s">
        <v>679</v>
      </c>
      <c r="U699" s="36"/>
      <c r="V699" s="36"/>
      <c r="W699" s="129"/>
      <c r="X699" s="36"/>
      <c r="Y699" s="36"/>
      <c r="Z699" s="36"/>
      <c r="AA699" s="125" t="s">
        <v>121</v>
      </c>
      <c r="AB699" s="173">
        <v>45905</v>
      </c>
      <c r="AC699" s="119" t="s">
        <v>3636</v>
      </c>
      <c r="AD699" s="36">
        <f t="shared" si="85"/>
        <v>5409659</v>
      </c>
      <c r="AE699" s="36" t="str">
        <f t="shared" si="86"/>
        <v>F-552668.01-0012</v>
      </c>
      <c r="AF699" s="36">
        <v>60</v>
      </c>
      <c r="AG699" s="120">
        <f t="shared" si="88"/>
        <v>968.40000000000009</v>
      </c>
      <c r="AH699" s="36"/>
      <c r="AI699" s="124"/>
      <c r="AJ699" s="251" t="s">
        <v>3637</v>
      </c>
      <c r="AK699" s="129" t="str">
        <f t="shared" ca="1" si="87"/>
        <v>Late</v>
      </c>
      <c r="AL699" s="268" t="str">
        <f t="shared" si="89"/>
        <v>August</v>
      </c>
      <c r="AM699" s="133">
        <f>YEAR(Table1[[#This Row],[ETA
As requested
dd.mm.yyyy]])</f>
        <v>2025</v>
      </c>
    </row>
    <row r="700" spans="1:39" hidden="1">
      <c r="A700" s="123" t="s">
        <v>83</v>
      </c>
      <c r="B700" s="36" t="s">
        <v>1170</v>
      </c>
      <c r="C700" s="117">
        <v>5409659</v>
      </c>
      <c r="D700" s="165">
        <v>45891</v>
      </c>
      <c r="E700" s="117" t="s">
        <v>91</v>
      </c>
      <c r="F700" s="36" t="str">
        <f>IFERROR(VLOOKUP(Table1[[#This Row],[Part Number]],DATABASE_FG!$C$6:D10689,2,FALSE)," ")</f>
        <v>096403993-0000</v>
      </c>
      <c r="G700" s="117" t="str">
        <f>IFERROR(_xlfn.XLOOKUP(Table1[[#This Row],[Part Number]],Table3[Part number],Table3[Drawing
 Revision]),"")</f>
        <v>AB</v>
      </c>
      <c r="H700" s="118" cm="1">
        <f t="array" ref="H700">IFERROR(INDEX(PDB!$C:$AT,MATCH(E700,PDB!$B:$B,0),MATCH(YEAR(K700),0+PDB!$C$1:$AT$1,0)),"")</f>
        <v>16.14</v>
      </c>
      <c r="I700" s="36">
        <v>56</v>
      </c>
      <c r="J700" s="125">
        <f>IFERROR(Table1[[#This Row],[Quantity]]*Table1[[#This Row],[Price/Unit
EUR]]," ")</f>
        <v>903.84</v>
      </c>
      <c r="K700" s="126">
        <v>45899</v>
      </c>
      <c r="L700" s="36">
        <f>WEEKNUM(Table1[[#This Row],[ETA
As requested
dd.mm.yyyy]])</f>
        <v>35</v>
      </c>
      <c r="M700" s="36">
        <f>YEAR(Table1[[#This Row],[ETA
As requested
dd.mm.yyyy]])</f>
        <v>2025</v>
      </c>
      <c r="N700" s="36">
        <f>IFERROR(INDEX(DATABASE_FG!$H$5:$H$367, MATCH(E700, DATABASE_FG!$C$5:$C$367, 0)), " ")</f>
        <v>0</v>
      </c>
      <c r="O700" s="129" t="str">
        <f>IF(E700&lt;&gt;"", _xlfn.XLOOKUP(E700, DATABASE_FG!C:C, DATABASE_FG!F:F), " ")</f>
        <v>Atlanta rectificare</v>
      </c>
      <c r="P700" s="129">
        <f>IFERROR(INDEX(DATABASE_FG!$G$5:$G$367, MATCH(E700, DATABASE_FG!$C$5:$C$367, 0)), "Not Found")</f>
        <v>200</v>
      </c>
      <c r="Q700" s="36"/>
      <c r="R700" s="125" t="s">
        <v>678</v>
      </c>
      <c r="S700" s="123">
        <f>Table1[[#This Row],[Quantity]]/48</f>
        <v>1.1666666666666667</v>
      </c>
      <c r="T700" s="36" t="s">
        <v>679</v>
      </c>
      <c r="U700" s="36"/>
      <c r="V700" s="36"/>
      <c r="W700" s="129"/>
      <c r="X700" s="36"/>
      <c r="Y700" s="36"/>
      <c r="Z700" s="36"/>
      <c r="AA700" s="125" t="s">
        <v>121</v>
      </c>
      <c r="AB700" s="173">
        <v>45911</v>
      </c>
      <c r="AC700" s="119" t="s">
        <v>3638</v>
      </c>
      <c r="AD700" s="36">
        <f t="shared" si="85"/>
        <v>5409659</v>
      </c>
      <c r="AE700" s="36" t="str">
        <f t="shared" si="86"/>
        <v>F-552668.01-0012</v>
      </c>
      <c r="AF700" s="36">
        <v>56</v>
      </c>
      <c r="AG700" s="120">
        <f t="shared" si="88"/>
        <v>903.84</v>
      </c>
      <c r="AH700" s="36"/>
      <c r="AI700" s="124"/>
      <c r="AJ700" s="251" t="s">
        <v>3639</v>
      </c>
      <c r="AK700" s="129" t="str">
        <f t="shared" ca="1" si="87"/>
        <v>Late</v>
      </c>
      <c r="AL700" s="268" t="str">
        <f t="shared" si="89"/>
        <v>August</v>
      </c>
      <c r="AM700" s="133">
        <f>YEAR(Table1[[#This Row],[ETA
As requested
dd.mm.yyyy]])</f>
        <v>2025</v>
      </c>
    </row>
    <row r="701" spans="1:39" hidden="1">
      <c r="A701" s="123" t="s">
        <v>83</v>
      </c>
      <c r="B701" s="36" t="s">
        <v>1170</v>
      </c>
      <c r="C701" s="117">
        <v>5409659</v>
      </c>
      <c r="D701" s="165">
        <v>45891</v>
      </c>
      <c r="E701" s="117" t="s">
        <v>91</v>
      </c>
      <c r="F701" s="36" t="str">
        <f>IFERROR(VLOOKUP(Table1[[#This Row],[Part Number]],DATABASE_FG!$C$6:D10690,2,FALSE)," ")</f>
        <v>096403993-0000</v>
      </c>
      <c r="G701" s="117" t="str">
        <f>IFERROR(_xlfn.XLOOKUP(Table1[[#This Row],[Part Number]],Table3[Part number],Table3[Drawing
 Revision]),"")</f>
        <v>AB</v>
      </c>
      <c r="H701" s="118" cm="1">
        <f t="array" ref="H701">IFERROR(INDEX(PDB!$C:$AT,MATCH(E701,PDB!$B:$B,0),MATCH(YEAR(K701),0+PDB!$C$1:$AT$1,0)),"")</f>
        <v>16.14</v>
      </c>
      <c r="I701" s="36">
        <f>142-60-56</f>
        <v>26</v>
      </c>
      <c r="J701" s="125">
        <f>IFERROR(Table1[[#This Row],[Quantity]]*Table1[[#This Row],[Price/Unit
EUR]]," ")</f>
        <v>419.64</v>
      </c>
      <c r="K701" s="126">
        <v>45899</v>
      </c>
      <c r="L701" s="36">
        <f>WEEKNUM(Table1[[#This Row],[ETA
As requested
dd.mm.yyyy]])</f>
        <v>35</v>
      </c>
      <c r="M701" s="36">
        <f>YEAR(Table1[[#This Row],[ETA
As requested
dd.mm.yyyy]])</f>
        <v>2025</v>
      </c>
      <c r="N701" s="36">
        <f>IFERROR(INDEX(DATABASE_FG!$H$5:$H$367, MATCH(E701, DATABASE_FG!$C$5:$C$367, 0)), " ")</f>
        <v>0</v>
      </c>
      <c r="O701" s="129" t="str">
        <f>IF(E701&lt;&gt;"", _xlfn.XLOOKUP(E701, DATABASE_FG!C:C, DATABASE_FG!F:F), " ")</f>
        <v>Atlanta rectificare</v>
      </c>
      <c r="P701" s="129">
        <f>IFERROR(INDEX(DATABASE_FG!$G$5:$G$367, MATCH(E701, DATABASE_FG!$C$5:$C$367, 0)), "Not Found")</f>
        <v>200</v>
      </c>
      <c r="Q701" s="36"/>
      <c r="R701" s="125" t="s">
        <v>678</v>
      </c>
      <c r="S701" s="123">
        <f>Table1[[#This Row],[Quantity]]/48</f>
        <v>0.54166666666666663</v>
      </c>
      <c r="T701" s="36" t="s">
        <v>679</v>
      </c>
      <c r="U701" s="36"/>
      <c r="V701" s="36"/>
      <c r="W701" s="129"/>
      <c r="X701" s="36"/>
      <c r="Y701" s="36"/>
      <c r="Z701" s="36"/>
      <c r="AA701" s="125" t="s">
        <v>121</v>
      </c>
      <c r="AB701" s="173">
        <v>45912</v>
      </c>
      <c r="AC701" s="119" t="s">
        <v>3640</v>
      </c>
      <c r="AD701" s="36">
        <f t="shared" si="85"/>
        <v>5409659</v>
      </c>
      <c r="AE701" s="36" t="str">
        <f t="shared" si="86"/>
        <v>F-552668.01-0012</v>
      </c>
      <c r="AF701" s="36">
        <v>24</v>
      </c>
      <c r="AG701" s="120">
        <f t="shared" si="88"/>
        <v>387.36</v>
      </c>
      <c r="AH701" s="36">
        <v>1</v>
      </c>
      <c r="AI701" s="124"/>
      <c r="AJ701" s="122" t="s">
        <v>3641</v>
      </c>
      <c r="AK701" s="129" t="str">
        <f t="shared" ca="1" si="87"/>
        <v>Late</v>
      </c>
      <c r="AL701" s="268" t="str">
        <f t="shared" si="89"/>
        <v>August</v>
      </c>
      <c r="AM701" s="133">
        <f>YEAR(Table1[[#This Row],[ETA
As requested
dd.mm.yyyy]])</f>
        <v>2025</v>
      </c>
    </row>
    <row r="702" spans="1:39" hidden="1">
      <c r="A702" s="123" t="s">
        <v>83</v>
      </c>
      <c r="B702" s="36" t="s">
        <v>1170</v>
      </c>
      <c r="C702" s="117">
        <v>5409659</v>
      </c>
      <c r="D702" s="165">
        <v>45902</v>
      </c>
      <c r="E702" s="117" t="s">
        <v>91</v>
      </c>
      <c r="F702" s="36" t="str">
        <f>IFERROR(VLOOKUP(Table1[[#This Row],[Part Number]],DATABASE_FG!$C$6:D10691,2,FALSE)," ")</f>
        <v>096403993-0000</v>
      </c>
      <c r="G702" s="117" t="str">
        <f>IFERROR(_xlfn.XLOOKUP(Table1[[#This Row],[Part Number]],Table3[Part number],Table3[Drawing
 Revision]),"")</f>
        <v>AB</v>
      </c>
      <c r="H702" s="118" cm="1">
        <f t="array" ref="H702">IFERROR(INDEX(PDB!$C:$AT,MATCH(E702,PDB!$B:$B,0),MATCH(YEAR(K702),0+PDB!$C$1:$AT$1,0)),"")</f>
        <v>16.14</v>
      </c>
      <c r="I702" s="36">
        <v>149</v>
      </c>
      <c r="J702" s="125">
        <f>IFERROR(Table1[[#This Row],[Quantity]]*Table1[[#This Row],[Price/Unit
EUR]]," ")</f>
        <v>2404.86</v>
      </c>
      <c r="K702" s="126">
        <v>45912</v>
      </c>
      <c r="L702" s="36">
        <f>WEEKNUM(Table1[[#This Row],[ETA
As requested
dd.mm.yyyy]])</f>
        <v>37</v>
      </c>
      <c r="M702" s="36">
        <f>YEAR(Table1[[#This Row],[ETA
As requested
dd.mm.yyyy]])</f>
        <v>2025</v>
      </c>
      <c r="N702" s="36">
        <f>IFERROR(INDEX(DATABASE_FG!$H$5:$H$367, MATCH(E702, DATABASE_FG!$C$5:$C$367, 0)), " ")</f>
        <v>0</v>
      </c>
      <c r="O702" s="129" t="str">
        <f>IF(E702&lt;&gt;"", _xlfn.XLOOKUP(E702, DATABASE_FG!C:C, DATABASE_FG!F:F), " ")</f>
        <v>Atlanta rectificare</v>
      </c>
      <c r="P702" s="129">
        <f>IFERROR(INDEX(DATABASE_FG!$G$5:$G$367, MATCH(E702, DATABASE_FG!$C$5:$C$367, 0)), "Not Found")</f>
        <v>200</v>
      </c>
      <c r="Q702" s="36"/>
      <c r="R702" s="125" t="s">
        <v>678</v>
      </c>
      <c r="S702" s="123">
        <f>Table1[[#This Row],[Quantity]]/48</f>
        <v>3.1041666666666665</v>
      </c>
      <c r="T702" s="36" t="s">
        <v>679</v>
      </c>
      <c r="U702" s="36"/>
      <c r="V702" s="36"/>
      <c r="W702" s="129"/>
      <c r="X702" s="36"/>
      <c r="Y702" s="36"/>
      <c r="Z702" s="36"/>
      <c r="AA702" s="125" t="s">
        <v>121</v>
      </c>
      <c r="AB702" s="173">
        <v>45924</v>
      </c>
      <c r="AC702" s="119">
        <v>2025191</v>
      </c>
      <c r="AD702" s="36">
        <f t="shared" si="85"/>
        <v>5409659</v>
      </c>
      <c r="AE702" s="36" t="str">
        <f t="shared" si="86"/>
        <v>F-552668.01-0012</v>
      </c>
      <c r="AF702" s="36">
        <v>149</v>
      </c>
      <c r="AG702" s="120">
        <f t="shared" si="88"/>
        <v>2404.86</v>
      </c>
      <c r="AH702" s="36"/>
      <c r="AI702" s="124"/>
      <c r="AJ702" s="122" t="s">
        <v>3675</v>
      </c>
      <c r="AK702" s="129" t="str">
        <f t="shared" ca="1" si="87"/>
        <v>Late</v>
      </c>
      <c r="AL702" s="268" t="str">
        <f t="shared" si="89"/>
        <v>September</v>
      </c>
      <c r="AM702" s="133">
        <f>YEAR(Table1[[#This Row],[ETA
As requested
dd.mm.yyyy]])</f>
        <v>2025</v>
      </c>
    </row>
    <row r="703" spans="1:39" hidden="1">
      <c r="A703" s="123" t="s">
        <v>83</v>
      </c>
      <c r="B703" s="36" t="s">
        <v>1170</v>
      </c>
      <c r="C703" s="117">
        <v>5409659</v>
      </c>
      <c r="D703" s="165">
        <v>45856</v>
      </c>
      <c r="E703" s="117" t="s">
        <v>91</v>
      </c>
      <c r="F703" s="36" t="str">
        <f>IFERROR(VLOOKUP(Table1[[#This Row],[Part Number]],DATABASE_FG!$C$6:D10692,2,FALSE)," ")</f>
        <v>096403993-0000</v>
      </c>
      <c r="G703" s="117" t="str">
        <f>IFERROR(_xlfn.XLOOKUP(Table1[[#This Row],[Part Number]],Table3[Part number],Table3[Drawing
 Revision]),"")</f>
        <v>AB</v>
      </c>
      <c r="H703" s="118" cm="1">
        <f t="array" ref="H703">IFERROR(INDEX(PDB!$C:$AT,MATCH(E703,PDB!$B:$B,0),MATCH(YEAR(K703),0+PDB!$C$1:$AT$1,0)),"")</f>
        <v>16.14</v>
      </c>
      <c r="I703" s="36">
        <v>167</v>
      </c>
      <c r="J703" s="125">
        <f>IFERROR(Table1[[#This Row],[Quantity]]*Table1[[#This Row],[Price/Unit
EUR]]," ")</f>
        <v>2695.38</v>
      </c>
      <c r="K703" s="126">
        <v>45930</v>
      </c>
      <c r="L703" s="36">
        <f>WEEKNUM(Table1[[#This Row],[ETA
As requested
dd.mm.yyyy]])</f>
        <v>40</v>
      </c>
      <c r="M703" s="36">
        <f>YEAR(Table1[[#This Row],[ETA
As requested
dd.mm.yyyy]])</f>
        <v>2025</v>
      </c>
      <c r="N703" s="36">
        <f>IFERROR(INDEX(DATABASE_FG!$H$5:$H$367, MATCH(E703, DATABASE_FG!$C$5:$C$367, 0)), " ")</f>
        <v>0</v>
      </c>
      <c r="O703" s="129" t="str">
        <f>IF(E703&lt;&gt;"", _xlfn.XLOOKUP(E703, DATABASE_FG!C:C, DATABASE_FG!F:F), " ")</f>
        <v>Atlanta rectificare</v>
      </c>
      <c r="P703" s="129">
        <f>IFERROR(INDEX(DATABASE_FG!$G$5:$G$367, MATCH(E703, DATABASE_FG!$C$5:$C$367, 0)), "Not Found")</f>
        <v>200</v>
      </c>
      <c r="Q703" s="36"/>
      <c r="R703" s="125" t="s">
        <v>678</v>
      </c>
      <c r="S703" s="123">
        <f>Table1[[#This Row],[Quantity]]/48</f>
        <v>3.4791666666666665</v>
      </c>
      <c r="T703" s="36" t="s">
        <v>679</v>
      </c>
      <c r="U703" s="36"/>
      <c r="V703" s="36"/>
      <c r="W703" s="129"/>
      <c r="X703" s="36"/>
      <c r="Y703" s="36"/>
      <c r="Z703" s="36"/>
      <c r="AA703" s="125" t="s">
        <v>121</v>
      </c>
      <c r="AB703" s="173">
        <v>45930</v>
      </c>
      <c r="AC703" s="119" t="s">
        <v>3785</v>
      </c>
      <c r="AD703" s="36">
        <f t="shared" si="85"/>
        <v>5409659</v>
      </c>
      <c r="AE703" s="36" t="str">
        <f t="shared" si="86"/>
        <v>F-552668.01-0012</v>
      </c>
      <c r="AF703" s="36">
        <v>166</v>
      </c>
      <c r="AG703" s="120">
        <f t="shared" si="88"/>
        <v>2679.2400000000002</v>
      </c>
      <c r="AH703" s="36">
        <v>1</v>
      </c>
      <c r="AI703" s="124"/>
      <c r="AJ703" s="122" t="s">
        <v>3786</v>
      </c>
      <c r="AK703" s="129" t="str">
        <f t="shared" ca="1" si="87"/>
        <v>On Time</v>
      </c>
      <c r="AL703" s="268" t="str">
        <f t="shared" si="89"/>
        <v>September</v>
      </c>
      <c r="AM703" s="133">
        <f>YEAR(Table1[[#This Row],[ETA
As requested
dd.mm.yyyy]])</f>
        <v>2025</v>
      </c>
    </row>
    <row r="704" spans="1:39" hidden="1">
      <c r="A704" s="123" t="s">
        <v>83</v>
      </c>
      <c r="B704" s="36" t="s">
        <v>1170</v>
      </c>
      <c r="C704" s="117">
        <v>5409659</v>
      </c>
      <c r="D704" s="165">
        <v>45856</v>
      </c>
      <c r="E704" s="117" t="s">
        <v>91</v>
      </c>
      <c r="F704" s="36" t="str">
        <f>IFERROR(VLOOKUP(Table1[[#This Row],[Part Number]],DATABASE_FG!$C$6:D10693,2,FALSE)," ")</f>
        <v>096403993-0000</v>
      </c>
      <c r="G704" s="117" t="str">
        <f>IFERROR(_xlfn.XLOOKUP(Table1[[#This Row],[Part Number]],Table3[Part number],Table3[Drawing
 Revision]),"")</f>
        <v>AB</v>
      </c>
      <c r="H704" s="118" cm="1">
        <f t="array" ref="H704">IFERROR(INDEX(PDB!$C:$AT,MATCH(E704,PDB!$B:$B,0),MATCH(YEAR(K704),0+PDB!$C$1:$AT$1,0)),"")</f>
        <v>16.14</v>
      </c>
      <c r="I704" s="36">
        <v>180</v>
      </c>
      <c r="J704" s="125">
        <f>IFERROR(Table1[[#This Row],[Quantity]]*Table1[[#This Row],[Price/Unit
EUR]]," ")</f>
        <v>2905.2000000000003</v>
      </c>
      <c r="K704" s="126">
        <v>45991</v>
      </c>
      <c r="L704" s="36">
        <f>WEEKNUM(Table1[[#This Row],[ETA
As requested
dd.mm.yyyy]])</f>
        <v>49</v>
      </c>
      <c r="M704" s="36">
        <f>YEAR(Table1[[#This Row],[ETA
As requested
dd.mm.yyyy]])</f>
        <v>2025</v>
      </c>
      <c r="N704" s="36">
        <f>IFERROR(INDEX(DATABASE_FG!$H$5:$H$367, MATCH(E704, DATABASE_FG!$C$5:$C$367, 0)), " ")</f>
        <v>0</v>
      </c>
      <c r="O704" s="129" t="str">
        <f>IF(E704&lt;&gt;"", _xlfn.XLOOKUP(E704, DATABASE_FG!C:C, DATABASE_FG!F:F), " ")</f>
        <v>Atlanta rectificare</v>
      </c>
      <c r="P704" s="129">
        <f>IFERROR(INDEX(DATABASE_FG!$G$5:$G$367, MATCH(E704, DATABASE_FG!$C$5:$C$367, 0)), "Not Found")</f>
        <v>200</v>
      </c>
      <c r="Q704" s="36"/>
      <c r="R704" s="125" t="s">
        <v>678</v>
      </c>
      <c r="S704" s="123">
        <f>Table1[[#This Row],[Quantity]]/48</f>
        <v>3.75</v>
      </c>
      <c r="T704" s="36" t="s">
        <v>679</v>
      </c>
      <c r="U704" s="36"/>
      <c r="V704" s="36"/>
      <c r="W704" s="129"/>
      <c r="X704" s="36"/>
      <c r="Y704" s="36"/>
      <c r="Z704" s="36"/>
      <c r="AA704" s="125" t="s">
        <v>3</v>
      </c>
      <c r="AB704" s="173"/>
      <c r="AC704" s="119"/>
      <c r="AD704" s="36" t="str">
        <f t="shared" si="85"/>
        <v/>
      </c>
      <c r="AE704" s="36" t="str">
        <f t="shared" si="86"/>
        <v/>
      </c>
      <c r="AF704" s="36"/>
      <c r="AG704" s="120">
        <f t="shared" si="88"/>
        <v>0</v>
      </c>
      <c r="AH704" s="36"/>
      <c r="AI704" s="124"/>
      <c r="AJ704" s="122"/>
      <c r="AK704" s="129" t="str">
        <f t="shared" ca="1" si="87"/>
        <v/>
      </c>
      <c r="AL704" s="268" t="str">
        <f t="shared" si="89"/>
        <v>November</v>
      </c>
      <c r="AM704" s="133">
        <f>YEAR(Table1[[#This Row],[ETA
As requested
dd.mm.yyyy]])</f>
        <v>2025</v>
      </c>
    </row>
    <row r="705" spans="1:39" hidden="1">
      <c r="A705" s="123" t="s">
        <v>83</v>
      </c>
      <c r="B705" s="36" t="s">
        <v>1170</v>
      </c>
      <c r="C705" s="117">
        <v>5409659</v>
      </c>
      <c r="D705" s="165">
        <v>45856</v>
      </c>
      <c r="E705" s="117" t="s">
        <v>91</v>
      </c>
      <c r="F705" s="36" t="str">
        <f>IFERROR(VLOOKUP(Table1[[#This Row],[Part Number]],DATABASE_FG!$C$6:D10694,2,FALSE)," ")</f>
        <v>096403993-0000</v>
      </c>
      <c r="G705" s="117" t="str">
        <f>IFERROR(_xlfn.XLOOKUP(Table1[[#This Row],[Part Number]],Table3[Part number],Table3[Drawing
 Revision]),"")</f>
        <v>AB</v>
      </c>
      <c r="H705" s="118" cm="1">
        <f t="array" ref="H705">IFERROR(INDEX(PDB!$C:$AT,MATCH(E705,PDB!$B:$B,0),MATCH(YEAR(K705),0+PDB!$C$1:$AT$1,0)),"")</f>
        <v>16.14</v>
      </c>
      <c r="I705" s="36">
        <v>300</v>
      </c>
      <c r="J705" s="125">
        <f>IFERROR(Table1[[#This Row],[Quantity]]*Table1[[#This Row],[Price/Unit
EUR]]," ")</f>
        <v>4842</v>
      </c>
      <c r="K705" s="126">
        <v>46009</v>
      </c>
      <c r="L705" s="36">
        <f>WEEKNUM(Table1[[#This Row],[ETA
As requested
dd.mm.yyyy]])</f>
        <v>51</v>
      </c>
      <c r="M705" s="36">
        <f>YEAR(Table1[[#This Row],[ETA
As requested
dd.mm.yyyy]])</f>
        <v>2025</v>
      </c>
      <c r="N705" s="36">
        <f>IFERROR(INDEX(DATABASE_FG!$H$5:$H$367, MATCH(E705, DATABASE_FG!$C$5:$C$367, 0)), " ")</f>
        <v>0</v>
      </c>
      <c r="O705" s="129" t="str">
        <f>IF(E705&lt;&gt;"", _xlfn.XLOOKUP(E705, DATABASE_FG!C:C, DATABASE_FG!F:F), " ")</f>
        <v>Atlanta rectificare</v>
      </c>
      <c r="P705" s="129">
        <f>IFERROR(INDEX(DATABASE_FG!$G$5:$G$367, MATCH(E705, DATABASE_FG!$C$5:$C$367, 0)), "Not Found")</f>
        <v>200</v>
      </c>
      <c r="Q705" s="36"/>
      <c r="R705" s="125" t="s">
        <v>678</v>
      </c>
      <c r="S705" s="123">
        <f>Table1[[#This Row],[Quantity]]/48</f>
        <v>6.25</v>
      </c>
      <c r="T705" s="36" t="s">
        <v>679</v>
      </c>
      <c r="U705" s="36"/>
      <c r="V705" s="36"/>
      <c r="W705" s="129"/>
      <c r="X705" s="36"/>
      <c r="Y705" s="36"/>
      <c r="Z705" s="36"/>
      <c r="AA705" s="125" t="s">
        <v>3</v>
      </c>
      <c r="AB705" s="173"/>
      <c r="AC705" s="119"/>
      <c r="AD705" s="36" t="str">
        <f t="shared" si="85"/>
        <v/>
      </c>
      <c r="AE705" s="36" t="str">
        <f t="shared" si="86"/>
        <v/>
      </c>
      <c r="AF705" s="36"/>
      <c r="AG705" s="120">
        <f t="shared" si="88"/>
        <v>0</v>
      </c>
      <c r="AH705" s="36"/>
      <c r="AI705" s="124"/>
      <c r="AJ705" s="122"/>
      <c r="AK705" s="129" t="str">
        <f t="shared" ca="1" si="87"/>
        <v/>
      </c>
      <c r="AL705" s="268" t="str">
        <f t="shared" si="89"/>
        <v>December</v>
      </c>
      <c r="AM705" s="133">
        <f>YEAR(Table1[[#This Row],[ETA
As requested
dd.mm.yyyy]])</f>
        <v>2025</v>
      </c>
    </row>
    <row r="706" spans="1:39" hidden="1">
      <c r="A706" s="123" t="s">
        <v>83</v>
      </c>
      <c r="B706" s="36" t="s">
        <v>1170</v>
      </c>
      <c r="C706" s="117">
        <v>37421123</v>
      </c>
      <c r="D706" s="165">
        <v>45511</v>
      </c>
      <c r="E706" s="117" t="s">
        <v>2384</v>
      </c>
      <c r="F706" s="36">
        <f>IFERROR(VLOOKUP(Table1[[#This Row],[Part Number]],DATABASE_FG!$C$6:D10695,2,FALSE)," ")</f>
        <v>0</v>
      </c>
      <c r="G706" s="117">
        <f>IFERROR(_xlfn.XLOOKUP(Table1[[#This Row],[Part Number]],Table3[Part number],Table3[Drawing
 Revision]),"")</f>
        <v>0</v>
      </c>
      <c r="H706" s="118" cm="1">
        <f t="array" ref="H706">IFERROR(INDEX(PDB!$C:$AT,MATCH(E706,PDB!$B:$B,0),MATCH(YEAR(K706),0+PDB!$C$1:$AT$1,0)),"")</f>
        <v>9.9600000000000009</v>
      </c>
      <c r="I706" s="36">
        <v>10</v>
      </c>
      <c r="J706" s="125">
        <f>IFERROR(Table1[[#This Row],[Quantity]]*Table1[[#This Row],[Price/Unit
EUR]]," ")</f>
        <v>99.600000000000009</v>
      </c>
      <c r="K706" s="126">
        <v>45551</v>
      </c>
      <c r="L706" s="36">
        <f>WEEKNUM(Table1[[#This Row],[ETA
As requested
dd.mm.yyyy]])</f>
        <v>38</v>
      </c>
      <c r="M706" s="36">
        <f>YEAR(Table1[[#This Row],[ETA
As requested
dd.mm.yyyy]])</f>
        <v>2024</v>
      </c>
      <c r="N706" s="36">
        <f>IFERROR(INDEX(DATABASE_FG!$H$5:$H$367, MATCH(E706, DATABASE_FG!$C$5:$C$367, 0)), " ")</f>
        <v>0</v>
      </c>
      <c r="O706" s="129" t="str">
        <f>IF(E706&lt;&gt;"", _xlfn.XLOOKUP(E706, DATABASE_FG!C:C, DATABASE_FG!F:F), " ")</f>
        <v>Inel gaurire</v>
      </c>
      <c r="P706" s="129">
        <f>IFERROR(INDEX(DATABASE_FG!$G$5:$G$367, MATCH(E706, DATABASE_FG!$C$5:$C$367, 0)), "Not Found")</f>
        <v>0</v>
      </c>
      <c r="Q706" s="36"/>
      <c r="R706" s="125" t="s">
        <v>680</v>
      </c>
      <c r="S706" s="123">
        <f>Table1[[#This Row],[Quantity]]/48</f>
        <v>0.20833333333333334</v>
      </c>
      <c r="T706" s="36"/>
      <c r="U706" s="36"/>
      <c r="V706" s="36"/>
      <c r="W706" s="129"/>
      <c r="X706" s="36"/>
      <c r="Y706" s="36"/>
      <c r="Z706" s="36"/>
      <c r="AA706" s="125" t="s">
        <v>121</v>
      </c>
      <c r="AB706" s="173">
        <v>45876</v>
      </c>
      <c r="AC706" s="119"/>
      <c r="AD706" s="36" t="str">
        <f t="shared" si="85"/>
        <v/>
      </c>
      <c r="AE706" s="36" t="str">
        <f t="shared" si="86"/>
        <v/>
      </c>
      <c r="AF706" s="36">
        <v>0</v>
      </c>
      <c r="AG706" s="120">
        <f t="shared" si="88"/>
        <v>0</v>
      </c>
      <c r="AH706" s="36"/>
      <c r="AI706" s="124"/>
      <c r="AJ706" s="122"/>
      <c r="AK706" s="129" t="str">
        <f t="shared" ca="1" si="87"/>
        <v>Late</v>
      </c>
      <c r="AL706" s="268" t="str">
        <f t="shared" si="89"/>
        <v>September</v>
      </c>
      <c r="AM706" s="133">
        <f>YEAR(Table1[[#This Row],[ETA
As requested
dd.mm.yyyy]])</f>
        <v>2024</v>
      </c>
    </row>
    <row r="707" spans="1:39" hidden="1">
      <c r="A707" s="123" t="s">
        <v>83</v>
      </c>
      <c r="B707" s="36" t="s">
        <v>1170</v>
      </c>
      <c r="C707" s="117">
        <v>36396926</v>
      </c>
      <c r="D707" s="165">
        <v>45362</v>
      </c>
      <c r="E707" s="117" t="s">
        <v>339</v>
      </c>
      <c r="F707" s="36" t="str">
        <f>IFERROR(VLOOKUP(Table1[[#This Row],[Part Number]],DATABASE_FG!$C$6:D10696,2,FALSE)," ")</f>
        <v xml:space="preserve">097122009-0000 </v>
      </c>
      <c r="G707" s="117" t="str">
        <f>IFERROR(_xlfn.XLOOKUP(Table1[[#This Row],[Part Number]],Table3[Part number],Table3[Drawing
 Revision]),"")</f>
        <v>AC</v>
      </c>
      <c r="H707" s="118" cm="1">
        <f t="array" ref="H707">IFERROR(INDEX(PDB!$C:$AT,MATCH(E707,PDB!$B:$B,0),MATCH(YEAR(K707),0+PDB!$C$1:$AT$1,0)),"")</f>
        <v>10.01</v>
      </c>
      <c r="I707" s="36">
        <v>8</v>
      </c>
      <c r="J707" s="125">
        <f>IFERROR(Table1[[#This Row],[Quantity]]*Table1[[#This Row],[Price/Unit
EUR]]," ")</f>
        <v>80.08</v>
      </c>
      <c r="K707" s="126">
        <v>45377</v>
      </c>
      <c r="L707" s="36">
        <f>WEEKNUM(Table1[[#This Row],[ETA
As requested
dd.mm.yyyy]])</f>
        <v>13</v>
      </c>
      <c r="M707" s="36">
        <f>YEAR(Table1[[#This Row],[ETA
As requested
dd.mm.yyyy]])</f>
        <v>2024</v>
      </c>
      <c r="N707" s="36">
        <f>IFERROR(INDEX(DATABASE_FG!$H$5:$H$367, MATCH(E707, DATABASE_FG!$C$5:$C$367, 0)), " ")</f>
        <v>0</v>
      </c>
      <c r="O707" s="129" t="str">
        <f>IF(E707&lt;&gt;"", _xlfn.XLOOKUP(E707, DATABASE_FG!C:C, DATABASE_FG!F:F), " ")</f>
        <v>Atlanta strunjire</v>
      </c>
      <c r="P707" s="129">
        <f>IFERROR(INDEX(DATABASE_FG!$G$5:$G$367, MATCH(E707, DATABASE_FG!$C$5:$C$367, 0)), "Not Found")</f>
        <v>200</v>
      </c>
      <c r="Q707" s="36"/>
      <c r="R707" s="125" t="s">
        <v>680</v>
      </c>
      <c r="S707" s="123">
        <f>IFERROR(INDEX(DATABASE_FG!$L$5:$L$367, MATCH(E707, DATABASE_FG!$C$5:$C$367, 0)), " ")</f>
        <v>42</v>
      </c>
      <c r="T707" s="36" t="s">
        <v>679</v>
      </c>
      <c r="U707" s="36"/>
      <c r="V707" s="36"/>
      <c r="W707" s="129"/>
      <c r="X707" s="36"/>
      <c r="Y707" s="36"/>
      <c r="Z707" s="36">
        <v>241612</v>
      </c>
      <c r="AA707" s="125" t="s">
        <v>121</v>
      </c>
      <c r="AB707" s="173">
        <v>45449</v>
      </c>
      <c r="AC707" s="119">
        <v>2024617</v>
      </c>
      <c r="AD707" s="36">
        <f t="shared" si="85"/>
        <v>36396926</v>
      </c>
      <c r="AE707" s="36" t="str">
        <f t="shared" si="86"/>
        <v>F-552668.01-0014</v>
      </c>
      <c r="AF707" s="36">
        <v>5</v>
      </c>
      <c r="AG707" s="120">
        <f t="shared" si="88"/>
        <v>50.05</v>
      </c>
      <c r="AH707" s="36"/>
      <c r="AI707" s="124" t="s">
        <v>258</v>
      </c>
      <c r="AJ707" s="122" t="s">
        <v>1246</v>
      </c>
      <c r="AK707" s="129" t="str">
        <f t="shared" ca="1" si="87"/>
        <v>Late</v>
      </c>
      <c r="AL707" s="268" t="str">
        <f t="shared" si="89"/>
        <v>March</v>
      </c>
      <c r="AM707" s="133">
        <f>YEAR(Table1[[#This Row],[ETA
As requested
dd.mm.yyyy]])</f>
        <v>2024</v>
      </c>
    </row>
    <row r="708" spans="1:39" hidden="1">
      <c r="A708" s="123" t="s">
        <v>83</v>
      </c>
      <c r="B708" s="36" t="s">
        <v>1170</v>
      </c>
      <c r="C708" s="117">
        <v>37007023</v>
      </c>
      <c r="D708" s="165">
        <v>45461</v>
      </c>
      <c r="E708" s="117" t="s">
        <v>339</v>
      </c>
      <c r="F708" s="36" t="str">
        <f>IFERROR(VLOOKUP(Table1[[#This Row],[Part Number]],DATABASE_FG!$C$6:D10697,2,FALSE)," ")</f>
        <v xml:space="preserve">097122009-0000 </v>
      </c>
      <c r="G708" s="117" t="str">
        <f>IFERROR(_xlfn.XLOOKUP(Table1[[#This Row],[Part Number]],Table3[Part number],Table3[Drawing
 Revision]),"")</f>
        <v>AC</v>
      </c>
      <c r="H708" s="118" cm="1">
        <f t="array" ref="H708">IFERROR(INDEX(PDB!$C:$AT,MATCH(E708,PDB!$B:$B,0),MATCH(YEAR(K708),0+PDB!$C$1:$AT$1,0)),"")</f>
        <v>10.01</v>
      </c>
      <c r="I708" s="36">
        <v>200</v>
      </c>
      <c r="J708" s="125">
        <f>IFERROR(Table1[[#This Row],[Quantity]]*Table1[[#This Row],[Price/Unit
EUR]]," ")</f>
        <v>2002</v>
      </c>
      <c r="K708" s="126">
        <v>45476</v>
      </c>
      <c r="L708" s="36">
        <f>WEEKNUM(Table1[[#This Row],[ETA
As requested
dd.mm.yyyy]])</f>
        <v>27</v>
      </c>
      <c r="M708" s="36">
        <f>YEAR(Table1[[#This Row],[ETA
As requested
dd.mm.yyyy]])</f>
        <v>2024</v>
      </c>
      <c r="N708" s="36">
        <f>IFERROR(INDEX(DATABASE_FG!$H$5:$H$367, MATCH(E708, DATABASE_FG!$C$5:$C$367, 0)), " ")</f>
        <v>0</v>
      </c>
      <c r="O708" s="129" t="str">
        <f>IF(E708&lt;&gt;"", _xlfn.XLOOKUP(E708, DATABASE_FG!C:C, DATABASE_FG!F:F), " ")</f>
        <v>Atlanta strunjire</v>
      </c>
      <c r="P708" s="129">
        <f>IFERROR(INDEX(DATABASE_FG!$G$5:$G$367, MATCH(E708, DATABASE_FG!$C$5:$C$367, 0)), "Not Found")</f>
        <v>200</v>
      </c>
      <c r="Q708" s="36"/>
      <c r="R708" s="125" t="s">
        <v>678</v>
      </c>
      <c r="S708" s="123">
        <f>IFERROR(INDEX(DATABASE_FG!$L$5:$L$367, MATCH(E708, DATABASE_FG!$C$5:$C$367, 0)), " ")</f>
        <v>42</v>
      </c>
      <c r="T708" s="36" t="s">
        <v>679</v>
      </c>
      <c r="U708" s="36"/>
      <c r="V708" s="36"/>
      <c r="W708" s="129"/>
      <c r="X708" s="36"/>
      <c r="Y708" s="36"/>
      <c r="Z708" s="36">
        <v>242601</v>
      </c>
      <c r="AA708" s="125" t="s">
        <v>121</v>
      </c>
      <c r="AB708" s="173">
        <v>45489</v>
      </c>
      <c r="AC708" s="119">
        <v>2024856</v>
      </c>
      <c r="AD708" s="36">
        <f t="shared" si="85"/>
        <v>37007023</v>
      </c>
      <c r="AE708" s="36" t="str">
        <f t="shared" si="86"/>
        <v>F-552668.01-0014</v>
      </c>
      <c r="AF708" s="36">
        <v>182</v>
      </c>
      <c r="AG708" s="120">
        <f t="shared" si="88"/>
        <v>1821.82</v>
      </c>
      <c r="AH708" s="36">
        <v>18</v>
      </c>
      <c r="AI708" s="124"/>
      <c r="AJ708" s="122" t="s">
        <v>1762</v>
      </c>
      <c r="AK708" s="129" t="str">
        <f t="shared" ca="1" si="87"/>
        <v>Late</v>
      </c>
      <c r="AL708" s="268" t="str">
        <f t="shared" si="89"/>
        <v>July</v>
      </c>
      <c r="AM708" s="133">
        <f>YEAR(Table1[[#This Row],[ETA
As requested
dd.mm.yyyy]])</f>
        <v>2024</v>
      </c>
    </row>
    <row r="709" spans="1:39" hidden="1">
      <c r="A709" s="123" t="s">
        <v>83</v>
      </c>
      <c r="B709" s="36" t="s">
        <v>1170</v>
      </c>
      <c r="C709" s="117">
        <v>37269840</v>
      </c>
      <c r="D709" s="165">
        <v>45405</v>
      </c>
      <c r="E709" s="117" t="s">
        <v>339</v>
      </c>
      <c r="F709" s="36" t="str">
        <f>IFERROR(VLOOKUP(Table1[[#This Row],[Part Number]],DATABASE_FG!$C$6:D10698,2,FALSE)," ")</f>
        <v xml:space="preserve">097122009-0000 </v>
      </c>
      <c r="G709" s="117" t="str">
        <f>IFERROR(_xlfn.XLOOKUP(Table1[[#This Row],[Part Number]],Table3[Part number],Table3[Drawing
 Revision]),"")</f>
        <v>AC</v>
      </c>
      <c r="H709" s="118" cm="1">
        <f t="array" ref="H709">IFERROR(INDEX(PDB!$C:$AT,MATCH(E709,PDB!$B:$B,0),MATCH(YEAR(K709),0+PDB!$C$1:$AT$1,0)),"")</f>
        <v>10.01</v>
      </c>
      <c r="I709" s="36">
        <v>212</v>
      </c>
      <c r="J709" s="125">
        <f>IFERROR(Table1[[#This Row],[Quantity]]*Table1[[#This Row],[Price/Unit
EUR]]," ")</f>
        <v>2122.12</v>
      </c>
      <c r="K709" s="126">
        <v>45504</v>
      </c>
      <c r="L709" s="36">
        <f>WEEKNUM(Table1[[#This Row],[ETA
As requested
dd.mm.yyyy]])</f>
        <v>31</v>
      </c>
      <c r="M709" s="36">
        <f>YEAR(Table1[[#This Row],[ETA
As requested
dd.mm.yyyy]])</f>
        <v>2024</v>
      </c>
      <c r="N709" s="36">
        <f>IFERROR(INDEX(DATABASE_FG!$H$5:$H$367, MATCH(E709, DATABASE_FG!$C$5:$C$367, 0)), " ")</f>
        <v>0</v>
      </c>
      <c r="O709" s="129" t="str">
        <f>IF(E709&lt;&gt;"", _xlfn.XLOOKUP(E709, DATABASE_FG!C:C, DATABASE_FG!F:F), " ")</f>
        <v>Atlanta strunjire</v>
      </c>
      <c r="P709" s="129">
        <f>IFERROR(INDEX(DATABASE_FG!$G$5:$G$367, MATCH(E709, DATABASE_FG!$C$5:$C$367, 0)), "Not Found")</f>
        <v>200</v>
      </c>
      <c r="Q709" s="36"/>
      <c r="R709" s="125" t="s">
        <v>678</v>
      </c>
      <c r="S709" s="123">
        <f>IFERROR(INDEX(DATABASE_FG!$L$5:$L$367, MATCH(E709, DATABASE_FG!$C$5:$C$367, 0)), " ")</f>
        <v>42</v>
      </c>
      <c r="T709" s="36" t="s">
        <v>679</v>
      </c>
      <c r="U709" s="36"/>
      <c r="V709" s="36"/>
      <c r="W709" s="129"/>
      <c r="X709" s="36"/>
      <c r="Y709" s="36"/>
      <c r="Z709" s="36"/>
      <c r="AA709" s="125" t="s">
        <v>121</v>
      </c>
      <c r="AB709" s="173">
        <v>45517</v>
      </c>
      <c r="AC709" s="119">
        <v>202401016</v>
      </c>
      <c r="AD709" s="36">
        <f t="shared" si="85"/>
        <v>37269840</v>
      </c>
      <c r="AE709" s="36" t="str">
        <f t="shared" si="86"/>
        <v>F-552668.01-0014</v>
      </c>
      <c r="AF709" s="36">
        <v>200</v>
      </c>
      <c r="AG709" s="120">
        <f t="shared" si="88"/>
        <v>2002</v>
      </c>
      <c r="AH709" s="36">
        <v>12</v>
      </c>
      <c r="AI709" s="124"/>
      <c r="AJ709" s="122" t="s">
        <v>1897</v>
      </c>
      <c r="AK709" s="129" t="str">
        <f t="shared" ca="1" si="87"/>
        <v>Late</v>
      </c>
      <c r="AL709" s="268" t="str">
        <f t="shared" si="89"/>
        <v>July</v>
      </c>
      <c r="AM709" s="133">
        <f>YEAR(Table1[[#This Row],[ETA
As requested
dd.mm.yyyy]])</f>
        <v>2024</v>
      </c>
    </row>
    <row r="710" spans="1:39" hidden="1">
      <c r="A710" s="123" t="s">
        <v>83</v>
      </c>
      <c r="B710" s="36" t="s">
        <v>1170</v>
      </c>
      <c r="C710" s="117">
        <v>37404984</v>
      </c>
      <c r="D710" s="165">
        <v>45509</v>
      </c>
      <c r="E710" s="117" t="s">
        <v>339</v>
      </c>
      <c r="F710" s="36" t="str">
        <f>IFERROR(VLOOKUP(Table1[[#This Row],[Part Number]],DATABASE_FG!$C$6:D10699,2,FALSE)," ")</f>
        <v xml:space="preserve">097122009-0000 </v>
      </c>
      <c r="G710" s="117" t="str">
        <f>IFERROR(_xlfn.XLOOKUP(Table1[[#This Row],[Part Number]],Table3[Part number],Table3[Drawing
 Revision]),"")</f>
        <v>AC</v>
      </c>
      <c r="H710" s="118" cm="1">
        <f t="array" ref="H710">IFERROR(INDEX(PDB!$C:$AT,MATCH(E710,PDB!$B:$B,0),MATCH(YEAR(K710),0+PDB!$C$1:$AT$1,0)),"")</f>
        <v>10.01</v>
      </c>
      <c r="I710" s="36">
        <v>288</v>
      </c>
      <c r="J710" s="125">
        <f>IFERROR(Table1[[#This Row],[Quantity]]*Table1[[#This Row],[Price/Unit
EUR]]," ")</f>
        <v>2882.88</v>
      </c>
      <c r="K710" s="126">
        <v>45524</v>
      </c>
      <c r="L710" s="36">
        <f>WEEKNUM(Table1[[#This Row],[ETA
As requested
dd.mm.yyyy]])</f>
        <v>34</v>
      </c>
      <c r="M710" s="36">
        <f>YEAR(Table1[[#This Row],[ETA
As requested
dd.mm.yyyy]])</f>
        <v>2024</v>
      </c>
      <c r="N710" s="36">
        <f>IFERROR(INDEX(DATABASE_FG!$H$5:$H$367, MATCH(E710, DATABASE_FG!$C$5:$C$367, 0)), " ")</f>
        <v>0</v>
      </c>
      <c r="O710" s="129" t="str">
        <f>IF(E710&lt;&gt;"", _xlfn.XLOOKUP(E710, DATABASE_FG!C:C, DATABASE_FG!F:F), " ")</f>
        <v>Atlanta strunjire</v>
      </c>
      <c r="P710" s="129">
        <f>IFERROR(INDEX(DATABASE_FG!$G$5:$G$367, MATCH(E710, DATABASE_FG!$C$5:$C$367, 0)), "Not Found")</f>
        <v>200</v>
      </c>
      <c r="Q710" s="36"/>
      <c r="R710" s="125" t="s">
        <v>678</v>
      </c>
      <c r="S710" s="123">
        <f>IFERROR(INDEX(DATABASE_FG!$L$5:$L$367, MATCH(E710, DATABASE_FG!$C$5:$C$367, 0)), " ")</f>
        <v>42</v>
      </c>
      <c r="T710" s="36" t="s">
        <v>679</v>
      </c>
      <c r="U710" s="36"/>
      <c r="V710" s="36"/>
      <c r="W710" s="129"/>
      <c r="X710" s="36"/>
      <c r="Y710" s="36"/>
      <c r="Z710" s="36"/>
      <c r="AA710" s="125" t="s">
        <v>121</v>
      </c>
      <c r="AB710" s="173">
        <v>45538</v>
      </c>
      <c r="AC710" s="119">
        <v>202401100</v>
      </c>
      <c r="AD710" s="36">
        <f t="shared" si="85"/>
        <v>37404984</v>
      </c>
      <c r="AE710" s="36" t="str">
        <f t="shared" si="86"/>
        <v>F-552668.01-0014</v>
      </c>
      <c r="AF710" s="36">
        <v>287</v>
      </c>
      <c r="AG710" s="120">
        <f t="shared" si="88"/>
        <v>2872.87</v>
      </c>
      <c r="AH710" s="36">
        <v>1</v>
      </c>
      <c r="AI710" s="124"/>
      <c r="AJ710" s="122" t="s">
        <v>2109</v>
      </c>
      <c r="AK710" s="129" t="str">
        <f t="shared" ca="1" si="87"/>
        <v>Late</v>
      </c>
      <c r="AL710" s="268" t="str">
        <f t="shared" si="89"/>
        <v>August</v>
      </c>
      <c r="AM710" s="133">
        <f>YEAR(Table1[[#This Row],[ETA
As requested
dd.mm.yyyy]])</f>
        <v>2024</v>
      </c>
    </row>
    <row r="711" spans="1:39" hidden="1">
      <c r="A711" s="123" t="s">
        <v>83</v>
      </c>
      <c r="B711" s="36" t="s">
        <v>1170</v>
      </c>
      <c r="C711" s="117">
        <v>37705431</v>
      </c>
      <c r="D711" s="165">
        <v>45405</v>
      </c>
      <c r="E711" s="117" t="s">
        <v>339</v>
      </c>
      <c r="F711" s="36" t="str">
        <f>IFERROR(VLOOKUP(Table1[[#This Row],[Part Number]],DATABASE_FG!$C$6:D10700,2,FALSE)," ")</f>
        <v xml:space="preserve">097122009-0000 </v>
      </c>
      <c r="G711" s="117" t="str">
        <f>IFERROR(_xlfn.XLOOKUP(Table1[[#This Row],[Part Number]],Table3[Part number],Table3[Drawing
 Revision]),"")</f>
        <v>AC</v>
      </c>
      <c r="H711" s="118" cm="1">
        <f t="array" ref="H711">IFERROR(INDEX(PDB!$C:$AT,MATCH(E711,PDB!$B:$B,0),MATCH(YEAR(K711),0+PDB!$C$1:$AT$1,0)),"")</f>
        <v>10.01</v>
      </c>
      <c r="I711" s="36">
        <v>400</v>
      </c>
      <c r="J711" s="125">
        <f>IFERROR(Table1[[#This Row],[Quantity]]*Table1[[#This Row],[Price/Unit
EUR]]," ")</f>
        <v>4004</v>
      </c>
      <c r="K711" s="126">
        <v>45574</v>
      </c>
      <c r="L711" s="36">
        <f>WEEKNUM(Table1[[#This Row],[ETA
As requested
dd.mm.yyyy]])</f>
        <v>41</v>
      </c>
      <c r="M711" s="36">
        <f>YEAR(Table1[[#This Row],[ETA
As requested
dd.mm.yyyy]])</f>
        <v>2024</v>
      </c>
      <c r="N711" s="36">
        <f>IFERROR(INDEX(DATABASE_FG!$H$5:$H$367, MATCH(E711, DATABASE_FG!$C$5:$C$367, 0)), " ")</f>
        <v>0</v>
      </c>
      <c r="O711" s="129" t="str">
        <f>IF(E711&lt;&gt;"", _xlfn.XLOOKUP(E711, DATABASE_FG!C:C, DATABASE_FG!F:F), " ")</f>
        <v>Atlanta strunjire</v>
      </c>
      <c r="P711" s="129">
        <f>IFERROR(INDEX(DATABASE_FG!$G$5:$G$367, MATCH(E711, DATABASE_FG!$C$5:$C$367, 0)), "Not Found")</f>
        <v>200</v>
      </c>
      <c r="Q711" s="36"/>
      <c r="R711" s="125" t="s">
        <v>678</v>
      </c>
      <c r="S711" s="123">
        <f>IFERROR(INDEX(DATABASE_FG!$L$5:$L$367, MATCH(E711, DATABASE_FG!$C$5:$C$367, 0)), " ")</f>
        <v>42</v>
      </c>
      <c r="T711" s="36" t="s">
        <v>679</v>
      </c>
      <c r="U711" s="36"/>
      <c r="V711" s="36"/>
      <c r="W711" s="129"/>
      <c r="X711" s="36"/>
      <c r="Y711" s="36"/>
      <c r="Z711" s="36"/>
      <c r="AA711" s="125" t="s">
        <v>121</v>
      </c>
      <c r="AB711" s="173">
        <v>45566</v>
      </c>
      <c r="AC711" s="119">
        <v>202401196</v>
      </c>
      <c r="AD711" s="36">
        <f t="shared" si="85"/>
        <v>37705431</v>
      </c>
      <c r="AE711" s="36" t="str">
        <f t="shared" si="86"/>
        <v>F-552668.01-0014</v>
      </c>
      <c r="AF711" s="36">
        <v>380</v>
      </c>
      <c r="AG711" s="120">
        <f t="shared" si="88"/>
        <v>3803.7999999999997</v>
      </c>
      <c r="AH711" s="36">
        <v>20</v>
      </c>
      <c r="AI711" s="124"/>
      <c r="AJ711" s="122" t="s">
        <v>2456</v>
      </c>
      <c r="AK711" s="129" t="str">
        <f t="shared" ca="1" si="87"/>
        <v>On Time</v>
      </c>
      <c r="AL711" s="268" t="str">
        <f t="shared" si="89"/>
        <v>October</v>
      </c>
      <c r="AM711" s="133">
        <f>YEAR(Table1[[#This Row],[ETA
As requested
dd.mm.yyyy]])</f>
        <v>2024</v>
      </c>
    </row>
    <row r="712" spans="1:39" hidden="1">
      <c r="A712" s="123" t="s">
        <v>83</v>
      </c>
      <c r="B712" s="36" t="s">
        <v>1170</v>
      </c>
      <c r="C712" s="117">
        <v>37783861</v>
      </c>
      <c r="D712" s="165">
        <v>45405</v>
      </c>
      <c r="E712" s="117" t="s">
        <v>339</v>
      </c>
      <c r="F712" s="36" t="str">
        <f>IFERROR(VLOOKUP(Table1[[#This Row],[Part Number]],DATABASE_FG!$C$6:D10701,2,FALSE)," ")</f>
        <v xml:space="preserve">097122009-0000 </v>
      </c>
      <c r="G712" s="117" t="str">
        <f>IFERROR(_xlfn.XLOOKUP(Table1[[#This Row],[Part Number]],Table3[Part number],Table3[Drawing
 Revision]),"")</f>
        <v>AC</v>
      </c>
      <c r="H712" s="118" cm="1">
        <f t="array" ref="H712">IFERROR(INDEX(PDB!$C:$AT,MATCH(E712,PDB!$B:$B,0),MATCH(YEAR(K712),0+PDB!$C$1:$AT$1,0)),"")</f>
        <v>10.01</v>
      </c>
      <c r="I712" s="36">
        <v>384</v>
      </c>
      <c r="J712" s="125">
        <f>IFERROR(Table1[[#This Row],[Quantity]]*Table1[[#This Row],[Price/Unit
EUR]]," ")</f>
        <v>3843.84</v>
      </c>
      <c r="K712" s="126">
        <v>45588</v>
      </c>
      <c r="L712" s="36">
        <f>WEEKNUM(Table1[[#This Row],[ETA
As requested
dd.mm.yyyy]])</f>
        <v>43</v>
      </c>
      <c r="M712" s="36">
        <f>YEAR(Table1[[#This Row],[ETA
As requested
dd.mm.yyyy]])</f>
        <v>2024</v>
      </c>
      <c r="N712" s="36">
        <f>IFERROR(INDEX(DATABASE_FG!$H$5:$H$367, MATCH(E712, DATABASE_FG!$C$5:$C$367, 0)), " ")</f>
        <v>0</v>
      </c>
      <c r="O712" s="129" t="str">
        <f>IF(E712&lt;&gt;"", _xlfn.XLOOKUP(E712, DATABASE_FG!C:C, DATABASE_FG!F:F), " ")</f>
        <v>Atlanta strunjire</v>
      </c>
      <c r="P712" s="129">
        <f>IFERROR(INDEX(DATABASE_FG!$G$5:$G$367, MATCH(E712, DATABASE_FG!$C$5:$C$367, 0)), "Not Found")</f>
        <v>200</v>
      </c>
      <c r="Q712" s="36"/>
      <c r="R712" s="125" t="s">
        <v>678</v>
      </c>
      <c r="S712" s="123">
        <f>IFERROR(INDEX(DATABASE_FG!$L$5:$L$367, MATCH(E712, DATABASE_FG!$C$5:$C$367, 0)), " ")</f>
        <v>42</v>
      </c>
      <c r="T712" s="36" t="s">
        <v>679</v>
      </c>
      <c r="U712" s="36"/>
      <c r="V712" s="36"/>
      <c r="W712" s="129"/>
      <c r="X712" s="36"/>
      <c r="Y712" s="36"/>
      <c r="Z712" s="36"/>
      <c r="AA712" s="125" t="s">
        <v>121</v>
      </c>
      <c r="AB712" s="173">
        <v>45587</v>
      </c>
      <c r="AC712" s="119">
        <v>202401269</v>
      </c>
      <c r="AD712" s="36">
        <f t="shared" si="85"/>
        <v>37783861</v>
      </c>
      <c r="AE712" s="36" t="str">
        <f t="shared" si="86"/>
        <v>F-552668.01-0014</v>
      </c>
      <c r="AF712" s="36">
        <v>384</v>
      </c>
      <c r="AG712" s="120">
        <f t="shared" si="88"/>
        <v>3843.84</v>
      </c>
      <c r="AH712" s="36"/>
      <c r="AI712" s="124"/>
      <c r="AJ712" s="122" t="s">
        <v>2511</v>
      </c>
      <c r="AK712" s="129" t="str">
        <f t="shared" ca="1" si="87"/>
        <v>On Time</v>
      </c>
      <c r="AL712" s="268" t="str">
        <f t="shared" si="89"/>
        <v>October</v>
      </c>
      <c r="AM712" s="133">
        <f>YEAR(Table1[[#This Row],[ETA
As requested
dd.mm.yyyy]])</f>
        <v>2024</v>
      </c>
    </row>
    <row r="713" spans="1:39" hidden="1">
      <c r="A713" s="123" t="s">
        <v>83</v>
      </c>
      <c r="B713" s="36" t="s">
        <v>1170</v>
      </c>
      <c r="C713" s="117">
        <v>37783861</v>
      </c>
      <c r="D713" s="165">
        <v>45405</v>
      </c>
      <c r="E713" s="117" t="s">
        <v>339</v>
      </c>
      <c r="F713" s="36" t="str">
        <f>IFERROR(VLOOKUP(Table1[[#This Row],[Part Number]],DATABASE_FG!$C$6:D10702,2,FALSE)," ")</f>
        <v xml:space="preserve">097122009-0000 </v>
      </c>
      <c r="G713" s="117" t="str">
        <f>IFERROR(_xlfn.XLOOKUP(Table1[[#This Row],[Part Number]],Table3[Part number],Table3[Drawing
 Revision]),"")</f>
        <v>AC</v>
      </c>
      <c r="H713" s="118" cm="1">
        <f t="array" ref="H713">IFERROR(INDEX(PDB!$C:$AT,MATCH(E713,PDB!$B:$B,0),MATCH(YEAR(K713),0+PDB!$C$1:$AT$1,0)),"")</f>
        <v>10.01</v>
      </c>
      <c r="I713" s="36">
        <v>42</v>
      </c>
      <c r="J713" s="125">
        <f>IFERROR(Table1[[#This Row],[Quantity]]*Table1[[#This Row],[Price/Unit
EUR]]," ")</f>
        <v>420.42</v>
      </c>
      <c r="K713" s="126">
        <v>45588</v>
      </c>
      <c r="L713" s="36">
        <f>WEEKNUM(Table1[[#This Row],[ETA
As requested
dd.mm.yyyy]])</f>
        <v>43</v>
      </c>
      <c r="M713" s="36">
        <f>YEAR(Table1[[#This Row],[ETA
As requested
dd.mm.yyyy]])</f>
        <v>2024</v>
      </c>
      <c r="N713" s="36">
        <f>IFERROR(INDEX(DATABASE_FG!$H$5:$H$367, MATCH(E713, DATABASE_FG!$C$5:$C$367, 0)), " ")</f>
        <v>0</v>
      </c>
      <c r="O713" s="129" t="str">
        <f>IF(E713&lt;&gt;"", _xlfn.XLOOKUP(E713, DATABASE_FG!C:C, DATABASE_FG!F:F), " ")</f>
        <v>Atlanta strunjire</v>
      </c>
      <c r="P713" s="129">
        <f>IFERROR(INDEX(DATABASE_FG!$G$5:$G$367, MATCH(E713, DATABASE_FG!$C$5:$C$367, 0)), "Not Found")</f>
        <v>200</v>
      </c>
      <c r="Q713" s="36"/>
      <c r="R713" s="125" t="s">
        <v>678</v>
      </c>
      <c r="S713" s="123">
        <f>IFERROR(INDEX(DATABASE_FG!$L$5:$L$367, MATCH(E713, DATABASE_FG!$C$5:$C$367, 0)), " ")</f>
        <v>42</v>
      </c>
      <c r="T713" s="36" t="s">
        <v>679</v>
      </c>
      <c r="U713" s="36"/>
      <c r="V713" s="36"/>
      <c r="W713" s="129"/>
      <c r="X713" s="36"/>
      <c r="Y713" s="36"/>
      <c r="Z713" s="36"/>
      <c r="AA713" s="125" t="s">
        <v>121</v>
      </c>
      <c r="AB713" s="173">
        <v>45607</v>
      </c>
      <c r="AC713" s="119">
        <v>202401365</v>
      </c>
      <c r="AD713" s="36">
        <f t="shared" si="85"/>
        <v>37783861</v>
      </c>
      <c r="AE713" s="36" t="str">
        <f t="shared" si="86"/>
        <v>F-552668.01-0014</v>
      </c>
      <c r="AF713" s="36">
        <v>17</v>
      </c>
      <c r="AG713" s="120">
        <f t="shared" si="88"/>
        <v>170.17</v>
      </c>
      <c r="AH713" s="36">
        <v>25</v>
      </c>
      <c r="AI713" s="124" t="s">
        <v>2513</v>
      </c>
      <c r="AJ713" s="122" t="s">
        <v>2514</v>
      </c>
      <c r="AK713" s="129" t="str">
        <f t="shared" ca="1" si="87"/>
        <v>Late</v>
      </c>
      <c r="AL713" s="268" t="str">
        <f t="shared" si="89"/>
        <v>October</v>
      </c>
      <c r="AM713" s="133">
        <f>YEAR(Table1[[#This Row],[ETA
As requested
dd.mm.yyyy]])</f>
        <v>2024</v>
      </c>
    </row>
    <row r="714" spans="1:39" hidden="1">
      <c r="A714" s="123" t="s">
        <v>83</v>
      </c>
      <c r="B714" s="36" t="s">
        <v>1170</v>
      </c>
      <c r="C714" s="117">
        <v>37970966</v>
      </c>
      <c r="D714" s="165">
        <v>45405</v>
      </c>
      <c r="E714" s="117" t="s">
        <v>339</v>
      </c>
      <c r="F714" s="36" t="str">
        <f>IFERROR(VLOOKUP(Table1[[#This Row],[Part Number]],DATABASE_FG!$C$6:D10703,2,FALSE)," ")</f>
        <v xml:space="preserve">097122009-0000 </v>
      </c>
      <c r="G714" s="117" t="str">
        <f>IFERROR(_xlfn.XLOOKUP(Table1[[#This Row],[Part Number]],Table3[Part number],Table3[Drawing
 Revision]),"")</f>
        <v>AC</v>
      </c>
      <c r="H714" s="118" cm="1">
        <f t="array" ref="H714">IFERROR(INDEX(PDB!$C:$AT,MATCH(E714,PDB!$B:$B,0),MATCH(YEAR(K714),0+PDB!$C$1:$AT$1,0)),"")</f>
        <v>10.01</v>
      </c>
      <c r="I714" s="36">
        <v>262</v>
      </c>
      <c r="J714" s="125">
        <f>IFERROR(Table1[[#This Row],[Quantity]]*Table1[[#This Row],[Price/Unit
EUR]]," ")</f>
        <v>2622.62</v>
      </c>
      <c r="K714" s="126">
        <v>45616</v>
      </c>
      <c r="L714" s="36">
        <f>WEEKNUM(Table1[[#This Row],[ETA
As requested
dd.mm.yyyy]])</f>
        <v>47</v>
      </c>
      <c r="M714" s="36">
        <f>YEAR(Table1[[#This Row],[ETA
As requested
dd.mm.yyyy]])</f>
        <v>2024</v>
      </c>
      <c r="N714" s="36">
        <f>IFERROR(INDEX(DATABASE_FG!$H$5:$H$367, MATCH(E714, DATABASE_FG!$C$5:$C$367, 0)), " ")</f>
        <v>0</v>
      </c>
      <c r="O714" s="129" t="str">
        <f>IF(E714&lt;&gt;"", _xlfn.XLOOKUP(E714, DATABASE_FG!C:C, DATABASE_FG!F:F), " ")</f>
        <v>Atlanta strunjire</v>
      </c>
      <c r="P714" s="129">
        <f>IFERROR(INDEX(DATABASE_FG!$G$5:$G$367, MATCH(E714, DATABASE_FG!$C$5:$C$367, 0)), "Not Found")</f>
        <v>200</v>
      </c>
      <c r="Q714" s="36"/>
      <c r="R714" s="125" t="s">
        <v>678</v>
      </c>
      <c r="S714" s="123">
        <f>IFERROR(INDEX(DATABASE_FG!$L$5:$L$367, MATCH(E714, DATABASE_FG!$C$5:$C$367, 0)), " ")</f>
        <v>42</v>
      </c>
      <c r="T714" s="36" t="s">
        <v>679</v>
      </c>
      <c r="U714" s="36"/>
      <c r="V714" s="36"/>
      <c r="W714" s="129"/>
      <c r="X714" s="36"/>
      <c r="Y714" s="36"/>
      <c r="Z714" s="36"/>
      <c r="AA714" s="125" t="s">
        <v>121</v>
      </c>
      <c r="AB714" s="173">
        <v>45621</v>
      </c>
      <c r="AC714" s="119">
        <v>202401424</v>
      </c>
      <c r="AD714" s="36">
        <f t="shared" si="85"/>
        <v>37970966</v>
      </c>
      <c r="AE714" s="36" t="str">
        <f t="shared" si="86"/>
        <v>F-552668.01-0014</v>
      </c>
      <c r="AF714" s="36">
        <f>262-3</f>
        <v>259</v>
      </c>
      <c r="AG714" s="120">
        <f t="shared" si="88"/>
        <v>2592.59</v>
      </c>
      <c r="AH714" s="36">
        <v>3</v>
      </c>
      <c r="AI714" s="124"/>
      <c r="AJ714" s="122" t="s">
        <v>2615</v>
      </c>
      <c r="AK714" s="129" t="str">
        <f t="shared" ca="1" si="87"/>
        <v>Late</v>
      </c>
      <c r="AL714" s="268" t="str">
        <f t="shared" si="89"/>
        <v>November</v>
      </c>
      <c r="AM714" s="133">
        <f>YEAR(Table1[[#This Row],[ETA
As requested
dd.mm.yyyy]])</f>
        <v>2024</v>
      </c>
    </row>
    <row r="715" spans="1:39" hidden="1">
      <c r="A715" s="123" t="s">
        <v>83</v>
      </c>
      <c r="B715" s="36" t="s">
        <v>1170</v>
      </c>
      <c r="C715" s="117">
        <v>38160981</v>
      </c>
      <c r="D715" s="165">
        <v>45405</v>
      </c>
      <c r="E715" s="117" t="s">
        <v>339</v>
      </c>
      <c r="F715" s="36" t="str">
        <f>IFERROR(VLOOKUP(Table1[[#This Row],[Part Number]],DATABASE_FG!$C$6:D10704,2,FALSE)," ")</f>
        <v xml:space="preserve">097122009-0000 </v>
      </c>
      <c r="G715" s="117" t="str">
        <f>IFERROR(_xlfn.XLOOKUP(Table1[[#This Row],[Part Number]],Table3[Part number],Table3[Drawing
 Revision]),"")</f>
        <v>AC</v>
      </c>
      <c r="H715" s="118" cm="1">
        <f t="array" ref="H715">IFERROR(INDEX(PDB!$C:$AT,MATCH(E715,PDB!$B:$B,0),MATCH(YEAR(K715),0+PDB!$C$1:$AT$1,0)),"")</f>
        <v>10.01</v>
      </c>
      <c r="I715" s="36">
        <v>194</v>
      </c>
      <c r="J715" s="125">
        <f>IFERROR(Table1[[#This Row],[Quantity]]*Table1[[#This Row],[Price/Unit
EUR]]," ")</f>
        <v>1941.94</v>
      </c>
      <c r="K715" s="126">
        <v>45646</v>
      </c>
      <c r="L715" s="36">
        <f>WEEKNUM(Table1[[#This Row],[ETA
As requested
dd.mm.yyyy]])</f>
        <v>51</v>
      </c>
      <c r="M715" s="36">
        <f>YEAR(Table1[[#This Row],[ETA
As requested
dd.mm.yyyy]])</f>
        <v>2024</v>
      </c>
      <c r="N715" s="36">
        <f>IFERROR(INDEX(DATABASE_FG!$H$5:$H$367, MATCH(E715, DATABASE_FG!$C$5:$C$367, 0)), " ")</f>
        <v>0</v>
      </c>
      <c r="O715" s="129" t="str">
        <f>IF(E715&lt;&gt;"", _xlfn.XLOOKUP(E715, DATABASE_FG!C:C, DATABASE_FG!F:F), " ")</f>
        <v>Atlanta strunjire</v>
      </c>
      <c r="P715" s="129">
        <f>IFERROR(INDEX(DATABASE_FG!$G$5:$G$367, MATCH(E715, DATABASE_FG!$C$5:$C$367, 0)), "Not Found")</f>
        <v>200</v>
      </c>
      <c r="Q715" s="36"/>
      <c r="R715" s="125" t="s">
        <v>678</v>
      </c>
      <c r="S715" s="123">
        <f>IFERROR(INDEX(DATABASE_FG!$L$5:$L$367, MATCH(E715, DATABASE_FG!$C$5:$C$367, 0)), " ")</f>
        <v>42</v>
      </c>
      <c r="T715" s="36" t="s">
        <v>679</v>
      </c>
      <c r="U715" s="36"/>
      <c r="V715" s="36"/>
      <c r="W715" s="129"/>
      <c r="X715" s="36"/>
      <c r="Y715" s="36"/>
      <c r="Z715" s="36"/>
      <c r="AA715" s="125" t="s">
        <v>121</v>
      </c>
      <c r="AB715" s="173">
        <v>45643</v>
      </c>
      <c r="AC715" s="119">
        <v>202401563</v>
      </c>
      <c r="AD715" s="36">
        <f t="shared" si="85"/>
        <v>38160981</v>
      </c>
      <c r="AE715" s="36" t="str">
        <f t="shared" si="86"/>
        <v>F-552668.01-0014</v>
      </c>
      <c r="AF715" s="36">
        <v>192</v>
      </c>
      <c r="AG715" s="120">
        <f t="shared" si="88"/>
        <v>1921.92</v>
      </c>
      <c r="AH715" s="36">
        <v>2</v>
      </c>
      <c r="AI715" s="124"/>
      <c r="AJ715" s="122" t="s">
        <v>2672</v>
      </c>
      <c r="AK715" s="129" t="str">
        <f t="shared" ca="1" si="87"/>
        <v>On Time</v>
      </c>
      <c r="AL715" s="268" t="str">
        <f t="shared" si="89"/>
        <v>December</v>
      </c>
      <c r="AM715" s="133">
        <f>YEAR(Table1[[#This Row],[ETA
As requested
dd.mm.yyyy]])</f>
        <v>2024</v>
      </c>
    </row>
    <row r="716" spans="1:39" hidden="1">
      <c r="A716" s="123" t="s">
        <v>83</v>
      </c>
      <c r="B716" s="36" t="s">
        <v>1170</v>
      </c>
      <c r="C716" s="117">
        <v>38454901</v>
      </c>
      <c r="D716" s="165">
        <v>45677</v>
      </c>
      <c r="E716" s="117" t="s">
        <v>339</v>
      </c>
      <c r="F716" s="36" t="str">
        <f>IFERROR(VLOOKUP(Table1[[#This Row],[Part Number]],DATABASE_FG!$C$6:D10705,2,FALSE)," ")</f>
        <v xml:space="preserve">097122009-0000 </v>
      </c>
      <c r="G716" s="117" t="str">
        <f>IFERROR(_xlfn.XLOOKUP(Table1[[#This Row],[Part Number]],Table3[Part number],Table3[Drawing
 Revision]),"")</f>
        <v>AC</v>
      </c>
      <c r="H716" s="118" cm="1">
        <f t="array" ref="H716">IFERROR(INDEX(PDB!$C:$AT,MATCH(E716,PDB!$B:$B,0),MATCH(YEAR(K716),0+PDB!$C$1:$AT$1,0)),"")</f>
        <v>10.01</v>
      </c>
      <c r="I716" s="36">
        <v>144</v>
      </c>
      <c r="J716" s="125">
        <f>IFERROR(Table1[[#This Row],[Quantity]]*Table1[[#This Row],[Price/Unit
EUR]]," ")</f>
        <v>1441.44</v>
      </c>
      <c r="K716" s="126">
        <v>45695</v>
      </c>
      <c r="L716" s="36">
        <f>WEEKNUM(Table1[[#This Row],[ETA
As requested
dd.mm.yyyy]])</f>
        <v>6</v>
      </c>
      <c r="M716" s="36">
        <f>YEAR(Table1[[#This Row],[ETA
As requested
dd.mm.yyyy]])</f>
        <v>2025</v>
      </c>
      <c r="N716" s="36">
        <f>IFERROR(INDEX(DATABASE_FG!$H$5:$H$367, MATCH(E716, DATABASE_FG!$C$5:$C$367, 0)), " ")</f>
        <v>0</v>
      </c>
      <c r="O716" s="129" t="str">
        <f>IF(E716&lt;&gt;"", _xlfn.XLOOKUP(E716, DATABASE_FG!C:C, DATABASE_FG!F:F), " ")</f>
        <v>Atlanta strunjire</v>
      </c>
      <c r="P716" s="129">
        <f>IFERROR(INDEX(DATABASE_FG!$G$5:$G$367, MATCH(E716, DATABASE_FG!$C$5:$C$367, 0)), "Not Found")</f>
        <v>200</v>
      </c>
      <c r="Q716" s="36"/>
      <c r="R716" s="125" t="s">
        <v>678</v>
      </c>
      <c r="S716" s="123">
        <f>IFERROR(INDEX(DATABASE_FG!$L$5:$L$367, MATCH(E716, DATABASE_FG!$C$5:$C$367, 0)), " ")</f>
        <v>42</v>
      </c>
      <c r="T716" s="36" t="s">
        <v>679</v>
      </c>
      <c r="U716" s="36"/>
      <c r="V716" s="36"/>
      <c r="W716" s="129"/>
      <c r="X716" s="36"/>
      <c r="Y716" s="36"/>
      <c r="Z716" s="36"/>
      <c r="AA716" s="125" t="s">
        <v>121</v>
      </c>
      <c r="AB716" s="173">
        <v>45686</v>
      </c>
      <c r="AC716" s="119">
        <v>25110</v>
      </c>
      <c r="AD716" s="36">
        <f t="shared" si="85"/>
        <v>38454901</v>
      </c>
      <c r="AE716" s="36" t="str">
        <f t="shared" si="86"/>
        <v>F-552668.01-0014</v>
      </c>
      <c r="AF716" s="36">
        <v>144</v>
      </c>
      <c r="AG716" s="120">
        <f t="shared" si="88"/>
        <v>1441.44</v>
      </c>
      <c r="AH716" s="36"/>
      <c r="AI716" s="124"/>
      <c r="AJ716" s="122" t="s">
        <v>2782</v>
      </c>
      <c r="AK716" s="129" t="str">
        <f t="shared" ca="1" si="87"/>
        <v>On Time</v>
      </c>
      <c r="AL716" s="268" t="str">
        <f t="shared" si="89"/>
        <v>February</v>
      </c>
      <c r="AM716" s="133">
        <f>YEAR(Table1[[#This Row],[ETA
As requested
dd.mm.yyyy]])</f>
        <v>2025</v>
      </c>
    </row>
    <row r="717" spans="1:39" hidden="1">
      <c r="A717" s="123" t="s">
        <v>83</v>
      </c>
      <c r="B717" s="36" t="s">
        <v>1170</v>
      </c>
      <c r="C717" s="117">
        <v>38454901</v>
      </c>
      <c r="D717" s="165">
        <v>45677</v>
      </c>
      <c r="E717" s="117" t="s">
        <v>339</v>
      </c>
      <c r="F717" s="36" t="str">
        <f>IFERROR(VLOOKUP(Table1[[#This Row],[Part Number]],DATABASE_FG!$C$6:D10706,2,FALSE)," ")</f>
        <v xml:space="preserve">097122009-0000 </v>
      </c>
      <c r="G717" s="117" t="str">
        <f>IFERROR(_xlfn.XLOOKUP(Table1[[#This Row],[Part Number]],Table3[Part number],Table3[Drawing
 Revision]),"")</f>
        <v>AC</v>
      </c>
      <c r="H717" s="118" cm="1">
        <f t="array" ref="H717">IFERROR(INDEX(PDB!$C:$AT,MATCH(E717,PDB!$B:$B,0),MATCH(YEAR(K717),0+PDB!$C$1:$AT$1,0)),"")</f>
        <v>10.01</v>
      </c>
      <c r="I717" s="36">
        <f>412-144</f>
        <v>268</v>
      </c>
      <c r="J717" s="125">
        <f>IFERROR(Table1[[#This Row],[Quantity]]*Table1[[#This Row],[Price/Unit
EUR]]," ")</f>
        <v>2682.68</v>
      </c>
      <c r="K717" s="126">
        <v>45695</v>
      </c>
      <c r="L717" s="36">
        <f>WEEKNUM(Table1[[#This Row],[ETA
As requested
dd.mm.yyyy]])</f>
        <v>6</v>
      </c>
      <c r="M717" s="36">
        <f>YEAR(Table1[[#This Row],[ETA
As requested
dd.mm.yyyy]])</f>
        <v>2025</v>
      </c>
      <c r="N717" s="36">
        <f>IFERROR(INDEX(DATABASE_FG!$H$5:$H$367, MATCH(E717, DATABASE_FG!$C$5:$C$367, 0)), " ")</f>
        <v>0</v>
      </c>
      <c r="O717" s="129" t="str">
        <f>IF(E717&lt;&gt;"", _xlfn.XLOOKUP(E717, DATABASE_FG!C:C, DATABASE_FG!F:F), " ")</f>
        <v>Atlanta strunjire</v>
      </c>
      <c r="P717" s="129">
        <f>IFERROR(INDEX(DATABASE_FG!$G$5:$G$367, MATCH(E717, DATABASE_FG!$C$5:$C$367, 0)), "Not Found")</f>
        <v>200</v>
      </c>
      <c r="Q717" s="36"/>
      <c r="R717" s="125" t="s">
        <v>678</v>
      </c>
      <c r="S717" s="123">
        <f>IFERROR(INDEX(DATABASE_FG!$L$5:$L$367, MATCH(E717, DATABASE_FG!$C$5:$C$367, 0)), " ")</f>
        <v>42</v>
      </c>
      <c r="T717" s="36" t="s">
        <v>679</v>
      </c>
      <c r="U717" s="36"/>
      <c r="V717" s="36"/>
      <c r="W717" s="129"/>
      <c r="X717" s="36"/>
      <c r="Y717" s="36"/>
      <c r="Z717" s="36"/>
      <c r="AA717" s="125" t="s">
        <v>121</v>
      </c>
      <c r="AB717" s="173">
        <v>45691</v>
      </c>
      <c r="AC717" s="119" t="s">
        <v>2783</v>
      </c>
      <c r="AD717" s="36">
        <f t="shared" si="85"/>
        <v>38454901</v>
      </c>
      <c r="AE717" s="36" t="str">
        <f t="shared" si="86"/>
        <v>F-552668.01-0014</v>
      </c>
      <c r="AF717" s="36">
        <v>265</v>
      </c>
      <c r="AG717" s="120">
        <f t="shared" si="88"/>
        <v>2652.65</v>
      </c>
      <c r="AH717" s="36">
        <v>3</v>
      </c>
      <c r="AI717" s="124"/>
      <c r="AJ717" s="122" t="s">
        <v>2784</v>
      </c>
      <c r="AK717" s="129" t="str">
        <f t="shared" ca="1" si="87"/>
        <v>On Time</v>
      </c>
      <c r="AL717" s="268" t="str">
        <f t="shared" si="89"/>
        <v>February</v>
      </c>
      <c r="AM717" s="133">
        <f>YEAR(Table1[[#This Row],[ETA
As requested
dd.mm.yyyy]])</f>
        <v>2025</v>
      </c>
    </row>
    <row r="718" spans="1:39" hidden="1">
      <c r="A718" s="123" t="s">
        <v>83</v>
      </c>
      <c r="B718" s="36" t="s">
        <v>1170</v>
      </c>
      <c r="C718" s="117">
        <v>38554800</v>
      </c>
      <c r="D718" s="165">
        <v>45693</v>
      </c>
      <c r="E718" s="117" t="s">
        <v>339</v>
      </c>
      <c r="F718" s="36" t="str">
        <f>IFERROR(VLOOKUP(Table1[[#This Row],[Part Number]],DATABASE_FG!$C$6:D10707,2,FALSE)," ")</f>
        <v xml:space="preserve">097122009-0000 </v>
      </c>
      <c r="G718" s="117" t="str">
        <f>IFERROR(_xlfn.XLOOKUP(Table1[[#This Row],[Part Number]],Table3[Part number],Table3[Drawing
 Revision]),"")</f>
        <v>AC</v>
      </c>
      <c r="H718" s="118" cm="1">
        <f t="array" ref="H718">IFERROR(INDEX(PDB!$C:$AT,MATCH(E718,PDB!$B:$B,0),MATCH(YEAR(K718),0+PDB!$C$1:$AT$1,0)),"")</f>
        <v>10.01</v>
      </c>
      <c r="I718" s="36">
        <v>184</v>
      </c>
      <c r="J718" s="125">
        <f>IFERROR(Table1[[#This Row],[Quantity]]*Table1[[#This Row],[Price/Unit
EUR]]," ")</f>
        <v>1841.84</v>
      </c>
      <c r="K718" s="126">
        <v>45716</v>
      </c>
      <c r="L718" s="36">
        <f>WEEKNUM(Table1[[#This Row],[ETA
As requested
dd.mm.yyyy]])</f>
        <v>9</v>
      </c>
      <c r="M718" s="36">
        <f>YEAR(Table1[[#This Row],[ETA
As requested
dd.mm.yyyy]])</f>
        <v>2025</v>
      </c>
      <c r="N718" s="36">
        <f>IFERROR(INDEX(DATABASE_FG!$H$5:$H$367, MATCH(E718, DATABASE_FG!$C$5:$C$367, 0)), " ")</f>
        <v>0</v>
      </c>
      <c r="O718" s="129" t="str">
        <f>IF(E718&lt;&gt;"", _xlfn.XLOOKUP(E718, DATABASE_FG!C:C, DATABASE_FG!F:F), " ")</f>
        <v>Atlanta strunjire</v>
      </c>
      <c r="P718" s="129">
        <f>IFERROR(INDEX(DATABASE_FG!$G$5:$G$367, MATCH(E718, DATABASE_FG!$C$5:$C$367, 0)), "Not Found")</f>
        <v>200</v>
      </c>
      <c r="Q718" s="36"/>
      <c r="R718" s="125" t="s">
        <v>678</v>
      </c>
      <c r="S718" s="123">
        <f>IFERROR(INDEX(DATABASE_FG!$L$5:$L$367, MATCH(E718, DATABASE_FG!$C$5:$C$367, 0)), " ")</f>
        <v>42</v>
      </c>
      <c r="T718" s="36" t="s">
        <v>679</v>
      </c>
      <c r="U718" s="36"/>
      <c r="V718" s="36"/>
      <c r="W718" s="129"/>
      <c r="X718" s="36"/>
      <c r="Y718" s="36"/>
      <c r="Z718" s="36"/>
      <c r="AA718" s="125" t="s">
        <v>121</v>
      </c>
      <c r="AB718" s="173">
        <v>45705</v>
      </c>
      <c r="AC718" s="119">
        <v>25217</v>
      </c>
      <c r="AD718" s="36">
        <f t="shared" si="85"/>
        <v>38554800</v>
      </c>
      <c r="AE718" s="36" t="str">
        <f t="shared" si="86"/>
        <v>F-552668.01-0014</v>
      </c>
      <c r="AF718" s="36">
        <v>184</v>
      </c>
      <c r="AG718" s="120">
        <f t="shared" si="88"/>
        <v>1841.84</v>
      </c>
      <c r="AH718" s="36"/>
      <c r="AI718" s="124"/>
      <c r="AJ718" s="122" t="s">
        <v>2896</v>
      </c>
      <c r="AK718" s="129" t="str">
        <f t="shared" ca="1" si="87"/>
        <v>On Time</v>
      </c>
      <c r="AL718" s="268" t="str">
        <f t="shared" si="89"/>
        <v>February</v>
      </c>
      <c r="AM718" s="133">
        <f>YEAR(Table1[[#This Row],[ETA
As requested
dd.mm.yyyy]])</f>
        <v>2025</v>
      </c>
    </row>
    <row r="719" spans="1:39" hidden="1">
      <c r="A719" s="123" t="s">
        <v>83</v>
      </c>
      <c r="B719" s="36" t="s">
        <v>1170</v>
      </c>
      <c r="C719" s="117">
        <v>38554800</v>
      </c>
      <c r="D719" s="165">
        <v>45693</v>
      </c>
      <c r="E719" s="117" t="s">
        <v>339</v>
      </c>
      <c r="F719" s="36" t="str">
        <f>IFERROR(VLOOKUP(Table1[[#This Row],[Part Number]],DATABASE_FG!$C$6:D10708,2,FALSE)," ")</f>
        <v xml:space="preserve">097122009-0000 </v>
      </c>
      <c r="G719" s="117" t="str">
        <f>IFERROR(_xlfn.XLOOKUP(Table1[[#This Row],[Part Number]],Table3[Part number],Table3[Drawing
 Revision]),"")</f>
        <v>AC</v>
      </c>
      <c r="H719" s="118" cm="1">
        <f t="array" ref="H719">IFERROR(INDEX(PDB!$C:$AT,MATCH(E719,PDB!$B:$B,0),MATCH(YEAR(K719),0+PDB!$C$1:$AT$1,0)),"")</f>
        <v>10.01</v>
      </c>
      <c r="I719" s="36">
        <v>215</v>
      </c>
      <c r="J719" s="125">
        <f>IFERROR(Table1[[#This Row],[Quantity]]*Table1[[#This Row],[Price/Unit
EUR]]," ")</f>
        <v>2152.15</v>
      </c>
      <c r="K719" s="126">
        <v>45716</v>
      </c>
      <c r="L719" s="36">
        <f>WEEKNUM(Table1[[#This Row],[ETA
As requested
dd.mm.yyyy]])</f>
        <v>9</v>
      </c>
      <c r="M719" s="36">
        <f>YEAR(Table1[[#This Row],[ETA
As requested
dd.mm.yyyy]])</f>
        <v>2025</v>
      </c>
      <c r="N719" s="36">
        <f>IFERROR(INDEX(DATABASE_FG!$H$5:$H$367, MATCH(E719, DATABASE_FG!$C$5:$C$367, 0)), " ")</f>
        <v>0</v>
      </c>
      <c r="O719" s="129" t="str">
        <f>IF(E719&lt;&gt;"", _xlfn.XLOOKUP(E719, DATABASE_FG!C:C, DATABASE_FG!F:F), " ")</f>
        <v>Atlanta strunjire</v>
      </c>
      <c r="P719" s="129">
        <f>IFERROR(INDEX(DATABASE_FG!$G$5:$G$367, MATCH(E719, DATABASE_FG!$C$5:$C$367, 0)), "Not Found")</f>
        <v>200</v>
      </c>
      <c r="Q719" s="36"/>
      <c r="R719" s="125" t="s">
        <v>678</v>
      </c>
      <c r="S719" s="123">
        <f>IFERROR(INDEX(DATABASE_FG!$L$5:$L$367, MATCH(E719, DATABASE_FG!$C$5:$C$367, 0)), " ")</f>
        <v>42</v>
      </c>
      <c r="T719" s="36" t="s">
        <v>679</v>
      </c>
      <c r="U719" s="36"/>
      <c r="V719" s="36"/>
      <c r="W719" s="129"/>
      <c r="X719" s="36"/>
      <c r="Y719" s="36"/>
      <c r="Z719" s="36"/>
      <c r="AA719" s="125" t="s">
        <v>121</v>
      </c>
      <c r="AB719" s="173">
        <v>45706</v>
      </c>
      <c r="AC719" s="119">
        <v>25225</v>
      </c>
      <c r="AD719" s="36">
        <f t="shared" ref="AD719:AD751" si="90">IF(NOT(ISBLANK(AC719)), C719, "")</f>
        <v>38554800</v>
      </c>
      <c r="AE719" s="36" t="str">
        <f t="shared" ref="AE719:AE751" si="91">IF(NOT(ISBLANK(AC719)), E719, "")</f>
        <v>F-552668.01-0014</v>
      </c>
      <c r="AF719" s="36">
        <v>215</v>
      </c>
      <c r="AG719" s="120">
        <f t="shared" si="88"/>
        <v>2152.15</v>
      </c>
      <c r="AH719" s="36"/>
      <c r="AI719" s="124"/>
      <c r="AJ719" s="122" t="s">
        <v>2897</v>
      </c>
      <c r="AK719" s="129" t="str">
        <f t="shared" ca="1" si="87"/>
        <v>On Time</v>
      </c>
      <c r="AL719" s="268" t="str">
        <f t="shared" si="89"/>
        <v>February</v>
      </c>
      <c r="AM719" s="133">
        <f>YEAR(Table1[[#This Row],[ETA
As requested
dd.mm.yyyy]])</f>
        <v>2025</v>
      </c>
    </row>
    <row r="720" spans="1:39" hidden="1">
      <c r="A720" s="123" t="s">
        <v>83</v>
      </c>
      <c r="B720" s="36" t="s">
        <v>1170</v>
      </c>
      <c r="C720" s="197">
        <v>38554800</v>
      </c>
      <c r="D720" s="165">
        <v>45693</v>
      </c>
      <c r="E720" s="117" t="s">
        <v>339</v>
      </c>
      <c r="F720" s="36" t="str">
        <f>IFERROR(VLOOKUP(Table1[[#This Row],[Part Number]],DATABASE_FG!$C$6:D10709,2,FALSE)," ")</f>
        <v xml:space="preserve">097122009-0000 </v>
      </c>
      <c r="G720" s="117" t="str">
        <f>IFERROR(_xlfn.XLOOKUP(Table1[[#This Row],[Part Number]],Table3[Part number],Table3[Drawing
 Revision]),"")</f>
        <v>AC</v>
      </c>
      <c r="H720" s="118" cm="1">
        <f t="array" ref="H720">IFERROR(INDEX(PDB!$C:$AT,MATCH(E720,PDB!$B:$B,0),MATCH(YEAR(K720),0+PDB!$C$1:$AT$1,0)),"")</f>
        <v>10.01</v>
      </c>
      <c r="I720" s="36">
        <v>88</v>
      </c>
      <c r="J720" s="125">
        <f>IFERROR(Table1[[#This Row],[Quantity]]*Table1[[#This Row],[Price/Unit
EUR]]," ")</f>
        <v>880.88</v>
      </c>
      <c r="K720" s="126">
        <v>45716</v>
      </c>
      <c r="L720" s="36">
        <f>WEEKNUM(Table1[[#This Row],[ETA
As requested
dd.mm.yyyy]])</f>
        <v>9</v>
      </c>
      <c r="M720" s="36">
        <f>YEAR(Table1[[#This Row],[ETA
As requested
dd.mm.yyyy]])</f>
        <v>2025</v>
      </c>
      <c r="N720" s="36">
        <f>IFERROR(INDEX(DATABASE_FG!$H$5:$H$367, MATCH(E720, DATABASE_FG!$C$5:$C$367, 0)), " ")</f>
        <v>0</v>
      </c>
      <c r="O720" s="129" t="str">
        <f>IF(E720&lt;&gt;"", _xlfn.XLOOKUP(E720, DATABASE_FG!C:C, DATABASE_FG!F:F), " ")</f>
        <v>Atlanta strunjire</v>
      </c>
      <c r="P720" s="129">
        <f>IFERROR(INDEX(DATABASE_FG!$G$5:$G$367, MATCH(E720, DATABASE_FG!$C$5:$C$367, 0)), "Not Found")</f>
        <v>200</v>
      </c>
      <c r="Q720" s="36"/>
      <c r="R720" s="125" t="s">
        <v>678</v>
      </c>
      <c r="S720" s="123">
        <f>IFERROR(INDEX(DATABASE_FG!$L$5:$L$367, MATCH(E720, DATABASE_FG!$C$5:$C$367, 0)), " ")</f>
        <v>42</v>
      </c>
      <c r="T720" s="36" t="s">
        <v>679</v>
      </c>
      <c r="U720" s="36"/>
      <c r="V720" s="36"/>
      <c r="W720" s="129"/>
      <c r="X720" s="36"/>
      <c r="Y720" s="36"/>
      <c r="Z720" s="36"/>
      <c r="AA720" s="125" t="s">
        <v>121</v>
      </c>
      <c r="AB720" s="173">
        <v>45804</v>
      </c>
      <c r="AC720" s="119">
        <v>260004</v>
      </c>
      <c r="AD720" s="36">
        <f t="shared" si="90"/>
        <v>38554800</v>
      </c>
      <c r="AE720" s="36" t="str">
        <f t="shared" si="91"/>
        <v>F-552668.01-0014</v>
      </c>
      <c r="AF720" s="36">
        <v>88</v>
      </c>
      <c r="AG720" s="120">
        <f t="shared" si="88"/>
        <v>880.88</v>
      </c>
      <c r="AH720" s="36"/>
      <c r="AI720" s="124"/>
      <c r="AJ720" s="122" t="s">
        <v>2909</v>
      </c>
      <c r="AK720" s="129" t="str">
        <f t="shared" ref="AK720:AK783" ca="1" si="92">IF(AB720="", IF(K720 &lt; TODAY(), "Late", ""), IF(AB720 &lt;= K720 + 2, "On Time", "Late"))</f>
        <v>Late</v>
      </c>
      <c r="AL720" s="268" t="str">
        <f t="shared" si="89"/>
        <v>February</v>
      </c>
      <c r="AM720" s="133">
        <f>YEAR(Table1[[#This Row],[ETA
As requested
dd.mm.yyyy]])</f>
        <v>2025</v>
      </c>
    </row>
    <row r="721" spans="1:39" hidden="1">
      <c r="A721" s="123" t="s">
        <v>83</v>
      </c>
      <c r="B721" s="36" t="s">
        <v>1170</v>
      </c>
      <c r="C721" s="117">
        <v>38554800</v>
      </c>
      <c r="D721" s="165">
        <v>45693</v>
      </c>
      <c r="E721" s="117" t="s">
        <v>339</v>
      </c>
      <c r="F721" s="36" t="str">
        <f>IFERROR(VLOOKUP(Table1[[#This Row],[Part Number]],DATABASE_FG!$C$6:D10710,2,FALSE)," ")</f>
        <v xml:space="preserve">097122009-0000 </v>
      </c>
      <c r="G721" s="117" t="str">
        <f>IFERROR(_xlfn.XLOOKUP(Table1[[#This Row],[Part Number]],Table3[Part number],Table3[Drawing
 Revision]),"")</f>
        <v>AC</v>
      </c>
      <c r="H721" s="118" cm="1">
        <f t="array" ref="H721">IFERROR(INDEX(PDB!$C:$AT,MATCH(E721,PDB!$B:$B,0),MATCH(YEAR(K721),0+PDB!$C$1:$AT$1,0)),"")</f>
        <v>10.01</v>
      </c>
      <c r="I721" s="36">
        <v>1</v>
      </c>
      <c r="J721" s="125">
        <f>IFERROR(Table1[[#This Row],[Quantity]]*Table1[[#This Row],[Price/Unit
EUR]]," ")</f>
        <v>10.01</v>
      </c>
      <c r="K721" s="126">
        <v>45716</v>
      </c>
      <c r="L721" s="36">
        <f>WEEKNUM(Table1[[#This Row],[ETA
As requested
dd.mm.yyyy]])</f>
        <v>9</v>
      </c>
      <c r="M721" s="36">
        <f>YEAR(Table1[[#This Row],[ETA
As requested
dd.mm.yyyy]])</f>
        <v>2025</v>
      </c>
      <c r="N721" s="36">
        <f>IFERROR(INDEX(DATABASE_FG!$H$5:$H$367, MATCH(E721, DATABASE_FG!$C$5:$C$367, 0)), " ")</f>
        <v>0</v>
      </c>
      <c r="O721" s="129" t="str">
        <f>IF(E721&lt;&gt;"", _xlfn.XLOOKUP(E721, DATABASE_FG!C:C, DATABASE_FG!F:F), " ")</f>
        <v>Atlanta strunjire</v>
      </c>
      <c r="P721" s="129">
        <f>IFERROR(INDEX(DATABASE_FG!$G$5:$G$367, MATCH(E721, DATABASE_FG!$C$5:$C$367, 0)), "Not Found")</f>
        <v>200</v>
      </c>
      <c r="Q721" s="36"/>
      <c r="R721" s="125" t="s">
        <v>678</v>
      </c>
      <c r="S721" s="123">
        <f>IFERROR(INDEX(DATABASE_FG!$L$5:$L$367, MATCH(E721, DATABASE_FG!$C$5:$C$367, 0)), " ")</f>
        <v>42</v>
      </c>
      <c r="T721" s="36" t="s">
        <v>679</v>
      </c>
      <c r="U721" s="36"/>
      <c r="V721" s="36"/>
      <c r="W721" s="129"/>
      <c r="X721" s="36"/>
      <c r="Y721" s="36"/>
      <c r="Z721" s="36"/>
      <c r="AA721" s="125" t="s">
        <v>121</v>
      </c>
      <c r="AB721" s="173"/>
      <c r="AC721" s="119"/>
      <c r="AD721" s="36" t="str">
        <f t="shared" si="90"/>
        <v/>
      </c>
      <c r="AE721" s="36" t="str">
        <f t="shared" si="91"/>
        <v/>
      </c>
      <c r="AF721" s="36">
        <v>0</v>
      </c>
      <c r="AG721" s="120">
        <f t="shared" si="88"/>
        <v>0</v>
      </c>
      <c r="AH721" s="36"/>
      <c r="AI721" s="124" t="s">
        <v>2620</v>
      </c>
      <c r="AJ721" s="122"/>
      <c r="AK721" s="129" t="str">
        <f t="shared" ca="1" si="92"/>
        <v>Late</v>
      </c>
      <c r="AL721" s="268" t="str">
        <f t="shared" si="89"/>
        <v>February</v>
      </c>
      <c r="AM721" s="133">
        <f>YEAR(Table1[[#This Row],[ETA
As requested
dd.mm.yyyy]])</f>
        <v>2025</v>
      </c>
    </row>
    <row r="722" spans="1:39" hidden="1">
      <c r="A722" s="123" t="s">
        <v>83</v>
      </c>
      <c r="B722" s="36" t="s">
        <v>1170</v>
      </c>
      <c r="C722" s="180">
        <v>39384075</v>
      </c>
      <c r="D722" s="165">
        <v>45693</v>
      </c>
      <c r="E722" s="117" t="s">
        <v>339</v>
      </c>
      <c r="F722" s="36" t="str">
        <f>IFERROR(VLOOKUP(Table1[[#This Row],[Part Number]],DATABASE_FG!$C$6:D10711,2,FALSE)," ")</f>
        <v xml:space="preserve">097122009-0000 </v>
      </c>
      <c r="G722" s="117" t="str">
        <f>IFERROR(_xlfn.XLOOKUP(Table1[[#This Row],[Part Number]],Table3[Part number],Table3[Drawing
 Revision]),"")</f>
        <v>AC</v>
      </c>
      <c r="H722" s="118" cm="1">
        <f t="array" ref="H722">IFERROR(INDEX(PDB!$C:$AT,MATCH(E722,PDB!$B:$B,0),MATCH(YEAR(K722),0+PDB!$C$1:$AT$1,0)),"")</f>
        <v>10.01</v>
      </c>
      <c r="I722" s="36">
        <v>128</v>
      </c>
      <c r="J722" s="125">
        <f>IFERROR(Table1[[#This Row],[Quantity]]*Table1[[#This Row],[Price/Unit
EUR]]," ")</f>
        <v>1281.28</v>
      </c>
      <c r="K722" s="126">
        <v>45838</v>
      </c>
      <c r="L722" s="36">
        <f>WEEKNUM(Table1[[#This Row],[ETA
As requested
dd.mm.yyyy]])</f>
        <v>27</v>
      </c>
      <c r="M722" s="36">
        <f>YEAR(Table1[[#This Row],[ETA
As requested
dd.mm.yyyy]])</f>
        <v>2025</v>
      </c>
      <c r="N722" s="36">
        <f>IFERROR(INDEX(DATABASE_FG!$H$5:$H$367, MATCH(E722, DATABASE_FG!$C$5:$C$367, 0)), " ")</f>
        <v>0</v>
      </c>
      <c r="O722" s="129" t="str">
        <f>IF(E722&lt;&gt;"", _xlfn.XLOOKUP(E722, DATABASE_FG!C:C, DATABASE_FG!F:F), " ")</f>
        <v>Atlanta strunjire</v>
      </c>
      <c r="P722" s="129">
        <f>IFERROR(INDEX(DATABASE_FG!$G$5:$G$367, MATCH(E722, DATABASE_FG!$C$5:$C$367, 0)), "Not Found")</f>
        <v>200</v>
      </c>
      <c r="Q722" s="36"/>
      <c r="R722" s="125" t="s">
        <v>678</v>
      </c>
      <c r="S722" s="123">
        <f>IFERROR(INDEX(DATABASE_FG!$L$5:$L$367, MATCH(E722, DATABASE_FG!$C$5:$C$367, 0)), " ")</f>
        <v>42</v>
      </c>
      <c r="T722" s="36" t="s">
        <v>679</v>
      </c>
      <c r="U722" s="36"/>
      <c r="V722" s="36"/>
      <c r="W722" s="129"/>
      <c r="X722" s="36"/>
      <c r="Y722" s="36"/>
      <c r="Z722" s="36"/>
      <c r="AA722" s="125" t="s">
        <v>121</v>
      </c>
      <c r="AB722" s="173">
        <v>45834</v>
      </c>
      <c r="AC722" s="119">
        <v>25991</v>
      </c>
      <c r="AD722" s="36">
        <f t="shared" si="90"/>
        <v>39384075</v>
      </c>
      <c r="AE722" s="36" t="str">
        <f t="shared" si="91"/>
        <v>F-552668.01-0014</v>
      </c>
      <c r="AF722" s="36">
        <v>128</v>
      </c>
      <c r="AG722" s="120">
        <f t="shared" si="88"/>
        <v>1281.28</v>
      </c>
      <c r="AH722" s="36"/>
      <c r="AI722" s="124"/>
      <c r="AJ722" s="122" t="s">
        <v>3361</v>
      </c>
      <c r="AK722" s="129" t="str">
        <f t="shared" ca="1" si="92"/>
        <v>On Time</v>
      </c>
      <c r="AL722" s="268" t="str">
        <f t="shared" si="89"/>
        <v>June</v>
      </c>
      <c r="AM722" s="133">
        <f>YEAR(Table1[[#This Row],[ETA
As requested
dd.mm.yyyy]])</f>
        <v>2025</v>
      </c>
    </row>
    <row r="723" spans="1:39" hidden="1">
      <c r="A723" s="123" t="s">
        <v>83</v>
      </c>
      <c r="B723" s="36" t="s">
        <v>1170</v>
      </c>
      <c r="C723" s="180">
        <v>39384075</v>
      </c>
      <c r="D723" s="165">
        <v>45693</v>
      </c>
      <c r="E723" s="117" t="s">
        <v>339</v>
      </c>
      <c r="F723" s="36" t="str">
        <f>IFERROR(VLOOKUP(Table1[[#This Row],[Part Number]],DATABASE_FG!$C$6:D10712,2,FALSE)," ")</f>
        <v xml:space="preserve">097122009-0000 </v>
      </c>
      <c r="G723" s="117" t="str">
        <f>IFERROR(_xlfn.XLOOKUP(Table1[[#This Row],[Part Number]],Table3[Part number],Table3[Drawing
 Revision]),"")</f>
        <v>AC</v>
      </c>
      <c r="H723" s="118" cm="1">
        <f t="array" ref="H723">IFERROR(INDEX(PDB!$C:$AT,MATCH(E723,PDB!$B:$B,0),MATCH(YEAR(K723),0+PDB!$C$1:$AT$1,0)),"")</f>
        <v>10.01</v>
      </c>
      <c r="I723" s="36">
        <v>76</v>
      </c>
      <c r="J723" s="125">
        <f>IFERROR(Table1[[#This Row],[Quantity]]*Table1[[#This Row],[Price/Unit
EUR]]," ")</f>
        <v>760.76</v>
      </c>
      <c r="K723" s="126">
        <v>45838</v>
      </c>
      <c r="L723" s="36">
        <f>WEEKNUM(Table1[[#This Row],[ETA
As requested
dd.mm.yyyy]])</f>
        <v>27</v>
      </c>
      <c r="M723" s="36">
        <f>YEAR(Table1[[#This Row],[ETA
As requested
dd.mm.yyyy]])</f>
        <v>2025</v>
      </c>
      <c r="N723" s="36">
        <f>IFERROR(INDEX(DATABASE_FG!$H$5:$H$367, MATCH(E723, DATABASE_FG!$C$5:$C$367, 0)), " ")</f>
        <v>0</v>
      </c>
      <c r="O723" s="129" t="str">
        <f>IF(E723&lt;&gt;"", _xlfn.XLOOKUP(E723, DATABASE_FG!C:C, DATABASE_FG!F:F), " ")</f>
        <v>Atlanta strunjire</v>
      </c>
      <c r="P723" s="129">
        <f>IFERROR(INDEX(DATABASE_FG!$G$5:$G$367, MATCH(E723, DATABASE_FG!$C$5:$C$367, 0)), "Not Found")</f>
        <v>200</v>
      </c>
      <c r="Q723" s="36"/>
      <c r="R723" s="125" t="s">
        <v>678</v>
      </c>
      <c r="S723" s="123">
        <f>IFERROR(INDEX(DATABASE_FG!$L$5:$L$367, MATCH(E723, DATABASE_FG!$C$5:$C$367, 0)), " ")</f>
        <v>42</v>
      </c>
      <c r="T723" s="36" t="s">
        <v>679</v>
      </c>
      <c r="U723" s="36"/>
      <c r="V723" s="36"/>
      <c r="W723" s="129"/>
      <c r="X723" s="36"/>
      <c r="Y723" s="36"/>
      <c r="Z723" s="36"/>
      <c r="AA723" s="125" t="s">
        <v>121</v>
      </c>
      <c r="AB723" s="173">
        <v>45838</v>
      </c>
      <c r="AC723" s="119">
        <v>260012</v>
      </c>
      <c r="AD723" s="36">
        <f t="shared" si="90"/>
        <v>39384075</v>
      </c>
      <c r="AE723" s="36" t="str">
        <f t="shared" si="91"/>
        <v>F-552668.01-0014</v>
      </c>
      <c r="AF723" s="36">
        <v>76</v>
      </c>
      <c r="AG723" s="120">
        <f t="shared" si="88"/>
        <v>760.76</v>
      </c>
      <c r="AH723" s="36"/>
      <c r="AI723" s="124"/>
      <c r="AJ723" s="122"/>
      <c r="AK723" s="129" t="str">
        <f t="shared" ca="1" si="92"/>
        <v>On Time</v>
      </c>
      <c r="AL723" s="268" t="str">
        <f t="shared" si="89"/>
        <v>June</v>
      </c>
      <c r="AM723" s="133">
        <f>YEAR(Table1[[#This Row],[ETA
As requested
dd.mm.yyyy]])</f>
        <v>2025</v>
      </c>
    </row>
    <row r="724" spans="1:39" ht="45" hidden="1">
      <c r="A724" s="123" t="s">
        <v>83</v>
      </c>
      <c r="B724" s="36" t="s">
        <v>2464</v>
      </c>
      <c r="C724" s="221" t="s">
        <v>3387</v>
      </c>
      <c r="D724" s="165"/>
      <c r="E724" s="117" t="s">
        <v>339</v>
      </c>
      <c r="F724" s="36" t="str">
        <f>IFERROR(VLOOKUP(Table1[[#This Row],[Part Number]],DATABASE_FG!$C$6:D10713,2,FALSE)," ")</f>
        <v xml:space="preserve">097122009-0000 </v>
      </c>
      <c r="G724" s="117" t="str">
        <f>IFERROR(_xlfn.XLOOKUP(Table1[[#This Row],[Part Number]],Table3[Part number],Table3[Drawing
 Revision]),"")</f>
        <v>AC</v>
      </c>
      <c r="H724" s="118" cm="1">
        <f t="array" ref="H724">IFERROR(INDEX(PDB!$C:$AT,MATCH(E724,PDB!$B:$B,0),MATCH(YEAR(K724),0+PDB!$C$1:$AT$1,0)),"")</f>
        <v>10.01</v>
      </c>
      <c r="I724" s="36">
        <f>408-76-88-188</f>
        <v>56</v>
      </c>
      <c r="J724" s="125">
        <f>IFERROR(Table1[[#This Row],[Quantity]]*Table1[[#This Row],[Price/Unit
EUR]]," ")</f>
        <v>560.55999999999995</v>
      </c>
      <c r="K724" s="126">
        <v>45838</v>
      </c>
      <c r="L724" s="36">
        <f>WEEKNUM(Table1[[#This Row],[ETA
As requested
dd.mm.yyyy]])</f>
        <v>27</v>
      </c>
      <c r="M724" s="36">
        <f>YEAR(Table1[[#This Row],[ETA
As requested
dd.mm.yyyy]])</f>
        <v>2025</v>
      </c>
      <c r="N724" s="36">
        <f>IFERROR(INDEX(DATABASE_FG!$H$5:$H$367, MATCH(E724, DATABASE_FG!$C$5:$C$367, 0)), " ")</f>
        <v>0</v>
      </c>
      <c r="O724" s="129" t="str">
        <f>IF(E724&lt;&gt;"", _xlfn.XLOOKUP(E724, DATABASE_FG!C:C, DATABASE_FG!F:F), " ")</f>
        <v>Atlanta strunjire</v>
      </c>
      <c r="P724" s="129">
        <f>IFERROR(INDEX(DATABASE_FG!$G$5:$G$367, MATCH(E724, DATABASE_FG!$C$5:$C$367, 0)), "Not Found")</f>
        <v>200</v>
      </c>
      <c r="Q724" s="36"/>
      <c r="R724" s="125" t="s">
        <v>678</v>
      </c>
      <c r="S724" s="123">
        <f>Table1[[#This Row],[Quantity]]/48</f>
        <v>1.1666666666666667</v>
      </c>
      <c r="T724" s="36" t="s">
        <v>679</v>
      </c>
      <c r="U724" s="36"/>
      <c r="V724" s="36"/>
      <c r="W724" s="129"/>
      <c r="X724" s="36"/>
      <c r="Y724" s="36"/>
      <c r="Z724" s="36"/>
      <c r="AA724" s="125" t="s">
        <v>121</v>
      </c>
      <c r="AB724" s="173">
        <v>45876</v>
      </c>
      <c r="AC724" s="119"/>
      <c r="AD724" s="36" t="str">
        <f t="shared" si="90"/>
        <v/>
      </c>
      <c r="AE724" s="36" t="str">
        <f t="shared" si="91"/>
        <v/>
      </c>
      <c r="AF724" s="36">
        <v>0</v>
      </c>
      <c r="AG724" s="120">
        <f t="shared" si="88"/>
        <v>0</v>
      </c>
      <c r="AH724" s="36"/>
      <c r="AI724" s="124"/>
      <c r="AJ724" s="122"/>
      <c r="AK724" s="129" t="str">
        <f t="shared" ca="1" si="92"/>
        <v>Late</v>
      </c>
      <c r="AL724" s="268" t="str">
        <f t="shared" si="89"/>
        <v>June</v>
      </c>
      <c r="AM724" s="133">
        <f>YEAR(Table1[[#This Row],[ETA
As requested
dd.mm.yyyy]])</f>
        <v>2025</v>
      </c>
    </row>
    <row r="725" spans="1:39" hidden="1">
      <c r="A725" s="123" t="s">
        <v>83</v>
      </c>
      <c r="B725" s="36" t="s">
        <v>1170</v>
      </c>
      <c r="C725" s="180">
        <v>39384075</v>
      </c>
      <c r="D725" s="165">
        <v>45693</v>
      </c>
      <c r="E725" s="117" t="s">
        <v>339</v>
      </c>
      <c r="F725" s="36" t="str">
        <f>IFERROR(VLOOKUP(Table1[[#This Row],[Part Number]],DATABASE_FG!$C$6:D10714,2,FALSE)," ")</f>
        <v xml:space="preserve">097122009-0000 </v>
      </c>
      <c r="G725" s="117" t="str">
        <f>IFERROR(_xlfn.XLOOKUP(Table1[[#This Row],[Part Number]],Table3[Part number],Table3[Drawing
 Revision]),"")</f>
        <v>AC</v>
      </c>
      <c r="H725" s="118" cm="1">
        <f t="array" ref="H725">IFERROR(INDEX(PDB!$C:$AT,MATCH(E725,PDB!$B:$B,0),MATCH(YEAR(K725),0+PDB!$C$1:$AT$1,0)),"")</f>
        <v>10.01</v>
      </c>
      <c r="I725" s="36">
        <v>116</v>
      </c>
      <c r="J725" s="125">
        <f>IFERROR(Table1[[#This Row],[Quantity]]*Table1[[#This Row],[Price/Unit
EUR]]," ")</f>
        <v>1161.1600000000001</v>
      </c>
      <c r="K725" s="126">
        <v>45850</v>
      </c>
      <c r="L725" s="36">
        <f>WEEKNUM(Table1[[#This Row],[ETA
As requested
dd.mm.yyyy]])</f>
        <v>28</v>
      </c>
      <c r="M725" s="36">
        <f>YEAR(Table1[[#This Row],[ETA
As requested
dd.mm.yyyy]])</f>
        <v>2025</v>
      </c>
      <c r="N725" s="36">
        <f>IFERROR(INDEX(DATABASE_FG!$H$5:$H$367, MATCH(E725, DATABASE_FG!$C$5:$C$367, 0)), " ")</f>
        <v>0</v>
      </c>
      <c r="O725" s="129" t="str">
        <f>IF(E725&lt;&gt;"", _xlfn.XLOOKUP(E725, DATABASE_FG!C:C, DATABASE_FG!F:F), " ")</f>
        <v>Atlanta strunjire</v>
      </c>
      <c r="P725" s="129">
        <f>IFERROR(INDEX(DATABASE_FG!$G$5:$G$367, MATCH(E725, DATABASE_FG!$C$5:$C$367, 0)), "Not Found")</f>
        <v>200</v>
      </c>
      <c r="Q725" s="36"/>
      <c r="R725" s="125" t="s">
        <v>678</v>
      </c>
      <c r="S725" s="123">
        <f>IFERROR(INDEX(DATABASE_FG!$L$5:$L$367, MATCH(E725, DATABASE_FG!$C$5:$C$367, 0)), " ")</f>
        <v>42</v>
      </c>
      <c r="T725" s="36" t="s">
        <v>679</v>
      </c>
      <c r="U725" s="36"/>
      <c r="V725" s="36"/>
      <c r="W725" s="129"/>
      <c r="X725" s="36"/>
      <c r="Y725" s="36"/>
      <c r="Z725" s="36"/>
      <c r="AA725" s="125" t="s">
        <v>121</v>
      </c>
      <c r="AB725" s="173">
        <v>45841</v>
      </c>
      <c r="AC725" s="119">
        <v>251012</v>
      </c>
      <c r="AD725" s="36">
        <f t="shared" si="90"/>
        <v>39384075</v>
      </c>
      <c r="AE725" s="36" t="str">
        <f t="shared" si="91"/>
        <v>F-552668.01-0014</v>
      </c>
      <c r="AF725" s="36">
        <v>107</v>
      </c>
      <c r="AG725" s="120">
        <f t="shared" si="88"/>
        <v>1071.07</v>
      </c>
      <c r="AH725" s="36">
        <v>9</v>
      </c>
      <c r="AI725" s="124"/>
      <c r="AJ725" s="122" t="s">
        <v>3415</v>
      </c>
      <c r="AK725" s="129" t="str">
        <f t="shared" ca="1" si="92"/>
        <v>On Time</v>
      </c>
      <c r="AL725" s="268" t="str">
        <f t="shared" si="89"/>
        <v>July</v>
      </c>
      <c r="AM725" s="133">
        <f>YEAR(Table1[[#This Row],[ETA
As requested
dd.mm.yyyy]])</f>
        <v>2025</v>
      </c>
    </row>
    <row r="726" spans="1:39" hidden="1">
      <c r="A726" s="123" t="s">
        <v>83</v>
      </c>
      <c r="B726" s="36" t="s">
        <v>1170</v>
      </c>
      <c r="C726" s="117"/>
      <c r="D726" s="165">
        <v>45833</v>
      </c>
      <c r="E726" s="36" t="s">
        <v>93</v>
      </c>
      <c r="F726" s="36" t="str">
        <f>IFERROR(VLOOKUP(Table1[[#This Row],[Part Number]],DATABASE_FG!$C$6:D10715,2,FALSE)," ")</f>
        <v>Inel interior</v>
      </c>
      <c r="G726" s="117">
        <f>IFERROR(_xlfn.XLOOKUP(Table1[[#This Row],[Part Number]],Table3[Part number],Table3[Drawing
 Revision]),"")</f>
        <v>0</v>
      </c>
      <c r="H726" s="118" cm="1">
        <f t="array" ref="H726">IFERROR(INDEX(PDB!$C:$AT,MATCH(E726,PDB!$B:$B,0),MATCH(YEAR(K726),0+PDB!$C$1:$AT$1,0)),"")</f>
        <v>11.84</v>
      </c>
      <c r="I726" s="36">
        <v>150</v>
      </c>
      <c r="J726" s="125">
        <f>IFERROR(Table1[[#This Row],[Quantity]]*Table1[[#This Row],[Price/Unit
EUR]]," ")</f>
        <v>1776</v>
      </c>
      <c r="K726" s="126">
        <v>45960</v>
      </c>
      <c r="L726" s="36">
        <f>WEEKNUM(Table1[[#This Row],[ETA
As requested
dd.mm.yyyy]])</f>
        <v>44</v>
      </c>
      <c r="M726" s="36">
        <f>YEAR(Table1[[#This Row],[ETA
As requested
dd.mm.yyyy]])</f>
        <v>2025</v>
      </c>
      <c r="N726" s="36">
        <f>IFERROR(INDEX(DATABASE_FG!$H$5:$H$367, MATCH(E726, DATABASE_FG!$C$5:$C$367, 0)), " ")</f>
        <v>0</v>
      </c>
      <c r="O726" s="129" t="str">
        <f>IF(E726&lt;&gt;"", _xlfn.XLOOKUP(E726, DATABASE_FG!C:C, DATABASE_FG!F:F), " ")</f>
        <v>Atlanta rectificare</v>
      </c>
      <c r="P726" s="129">
        <f>IFERROR(INDEX(DATABASE_FG!$G$5:$G$367, MATCH(E726, DATABASE_FG!$C$5:$C$367, 0)), "Not Found")</f>
        <v>0</v>
      </c>
      <c r="Q726" s="36"/>
      <c r="R726" s="125" t="s">
        <v>678</v>
      </c>
      <c r="S726" s="123">
        <f>IFERROR(INDEX(DATABASE_FG!$L$5:$L$367, MATCH(E726, DATABASE_FG!$C$5:$C$367, 0)), " ")</f>
        <v>0</v>
      </c>
      <c r="T726" s="36" t="s">
        <v>679</v>
      </c>
      <c r="U726" s="36"/>
      <c r="V726" s="36"/>
      <c r="W726" s="129"/>
      <c r="X726" s="36"/>
      <c r="Y726" s="36"/>
      <c r="Z726" s="36"/>
      <c r="AA726" s="125" t="s">
        <v>3</v>
      </c>
      <c r="AB726" s="173"/>
      <c r="AC726" s="119"/>
      <c r="AD726" s="36" t="str">
        <f t="shared" si="90"/>
        <v/>
      </c>
      <c r="AE726" s="36" t="str">
        <f t="shared" si="91"/>
        <v/>
      </c>
      <c r="AF726" s="36"/>
      <c r="AG726" s="120">
        <f t="shared" si="88"/>
        <v>0</v>
      </c>
      <c r="AH726" s="36"/>
      <c r="AI726" s="124"/>
      <c r="AJ726" s="122"/>
      <c r="AK726" s="129" t="str">
        <f t="shared" ca="1" si="92"/>
        <v>Late</v>
      </c>
      <c r="AL726" s="268" t="str">
        <f t="shared" si="89"/>
        <v>October</v>
      </c>
      <c r="AM726" s="133">
        <f>YEAR(Table1[[#This Row],[ETA
As requested
dd.mm.yyyy]])</f>
        <v>2025</v>
      </c>
    </row>
    <row r="727" spans="1:39" hidden="1">
      <c r="A727" s="123" t="s">
        <v>83</v>
      </c>
      <c r="B727" s="36" t="s">
        <v>1170</v>
      </c>
      <c r="C727" s="117"/>
      <c r="D727" s="165">
        <v>45833</v>
      </c>
      <c r="E727" s="36" t="s">
        <v>93</v>
      </c>
      <c r="F727" s="36" t="str">
        <f>IFERROR(VLOOKUP(Table1[[#This Row],[Part Number]],DATABASE_FG!$C$6:D10716,2,FALSE)," ")</f>
        <v>Inel interior</v>
      </c>
      <c r="G727" s="117">
        <f>IFERROR(_xlfn.XLOOKUP(Table1[[#This Row],[Part Number]],Table3[Part number],Table3[Drawing
 Revision]),"")</f>
        <v>0</v>
      </c>
      <c r="H727" s="118" cm="1">
        <f t="array" ref="H727">IFERROR(INDEX(PDB!$C:$AT,MATCH(E727,PDB!$B:$B,0),MATCH(YEAR(K727),0+PDB!$C$1:$AT$1,0)),"")</f>
        <v>11.84</v>
      </c>
      <c r="I727" s="36">
        <v>150</v>
      </c>
      <c r="J727" s="125">
        <f>IFERROR(Table1[[#This Row],[Quantity]]*Table1[[#This Row],[Price/Unit
EUR]]," ")</f>
        <v>1776</v>
      </c>
      <c r="K727" s="126">
        <v>45991</v>
      </c>
      <c r="L727" s="36">
        <f>WEEKNUM(Table1[[#This Row],[ETA
As requested
dd.mm.yyyy]])</f>
        <v>49</v>
      </c>
      <c r="M727" s="36">
        <f>YEAR(Table1[[#This Row],[ETA
As requested
dd.mm.yyyy]])</f>
        <v>2025</v>
      </c>
      <c r="N727" s="36">
        <f>IFERROR(INDEX(DATABASE_FG!$H$5:$H$367, MATCH(E727, DATABASE_FG!$C$5:$C$367, 0)), " ")</f>
        <v>0</v>
      </c>
      <c r="O727" s="129" t="str">
        <f>IF(E727&lt;&gt;"", _xlfn.XLOOKUP(E727, DATABASE_FG!C:C, DATABASE_FG!F:F), " ")</f>
        <v>Atlanta rectificare</v>
      </c>
      <c r="P727" s="129">
        <f>IFERROR(INDEX(DATABASE_FG!$G$5:$G$367, MATCH(E727, DATABASE_FG!$C$5:$C$367, 0)), "Not Found")</f>
        <v>0</v>
      </c>
      <c r="Q727" s="36"/>
      <c r="R727" s="125" t="s">
        <v>678</v>
      </c>
      <c r="S727" s="123">
        <f>IFERROR(INDEX(DATABASE_FG!$L$5:$L$367, MATCH(E727, DATABASE_FG!$C$5:$C$367, 0)), " ")</f>
        <v>0</v>
      </c>
      <c r="T727" s="36" t="s">
        <v>679</v>
      </c>
      <c r="U727" s="36"/>
      <c r="V727" s="36"/>
      <c r="W727" s="129"/>
      <c r="X727" s="36"/>
      <c r="Y727" s="36"/>
      <c r="Z727" s="36"/>
      <c r="AA727" s="125" t="s">
        <v>3</v>
      </c>
      <c r="AB727" s="173"/>
      <c r="AC727" s="119"/>
      <c r="AD727" s="36" t="str">
        <f t="shared" si="90"/>
        <v/>
      </c>
      <c r="AE727" s="36" t="str">
        <f t="shared" si="91"/>
        <v/>
      </c>
      <c r="AF727" s="36"/>
      <c r="AG727" s="120">
        <f t="shared" si="88"/>
        <v>0</v>
      </c>
      <c r="AH727" s="36"/>
      <c r="AI727" s="124"/>
      <c r="AJ727" s="122"/>
      <c r="AK727" s="129" t="str">
        <f t="shared" ca="1" si="92"/>
        <v/>
      </c>
      <c r="AL727" s="268" t="str">
        <f t="shared" si="89"/>
        <v>November</v>
      </c>
      <c r="AM727" s="133">
        <f>YEAR(Table1[[#This Row],[ETA
As requested
dd.mm.yyyy]])</f>
        <v>2025</v>
      </c>
    </row>
    <row r="728" spans="1:39" hidden="1">
      <c r="A728" s="123" t="s">
        <v>83</v>
      </c>
      <c r="B728" s="36" t="s">
        <v>1170</v>
      </c>
      <c r="C728" s="117"/>
      <c r="D728" s="165">
        <v>45833</v>
      </c>
      <c r="E728" s="36" t="s">
        <v>93</v>
      </c>
      <c r="F728" s="36" t="str">
        <f>IFERROR(VLOOKUP(Table1[[#This Row],[Part Number]],DATABASE_FG!$C$6:D10717,2,FALSE)," ")</f>
        <v>Inel interior</v>
      </c>
      <c r="G728" s="117">
        <f>IFERROR(_xlfn.XLOOKUP(Table1[[#This Row],[Part Number]],Table3[Part number],Table3[Drawing
 Revision]),"")</f>
        <v>0</v>
      </c>
      <c r="H728" s="118" cm="1">
        <f t="array" ref="H728">IFERROR(INDEX(PDB!$C:$AT,MATCH(E728,PDB!$B:$B,0),MATCH(YEAR(K728),0+PDB!$C$1:$AT$1,0)),"")</f>
        <v>11.84</v>
      </c>
      <c r="I728" s="36">
        <v>150</v>
      </c>
      <c r="J728" s="125">
        <f>IFERROR(Table1[[#This Row],[Quantity]]*Table1[[#This Row],[Price/Unit
EUR]]," ")</f>
        <v>1776</v>
      </c>
      <c r="K728" s="126">
        <v>46009</v>
      </c>
      <c r="L728" s="36">
        <f>WEEKNUM(Table1[[#This Row],[ETA
As requested
dd.mm.yyyy]])</f>
        <v>51</v>
      </c>
      <c r="M728" s="36">
        <f>YEAR(Table1[[#This Row],[ETA
As requested
dd.mm.yyyy]])</f>
        <v>2025</v>
      </c>
      <c r="N728" s="36">
        <f>IFERROR(INDEX(DATABASE_FG!$H$5:$H$367, MATCH(E728, DATABASE_FG!$C$5:$C$367, 0)), " ")</f>
        <v>0</v>
      </c>
      <c r="O728" s="129" t="str">
        <f>IF(E728&lt;&gt;"", _xlfn.XLOOKUP(E728, DATABASE_FG!C:C, DATABASE_FG!F:F), " ")</f>
        <v>Atlanta rectificare</v>
      </c>
      <c r="P728" s="129">
        <f>IFERROR(INDEX(DATABASE_FG!$G$5:$G$367, MATCH(E728, DATABASE_FG!$C$5:$C$367, 0)), "Not Found")</f>
        <v>0</v>
      </c>
      <c r="Q728" s="36"/>
      <c r="R728" s="125" t="s">
        <v>678</v>
      </c>
      <c r="S728" s="123">
        <f>IFERROR(INDEX(DATABASE_FG!$L$5:$L$367, MATCH(E728, DATABASE_FG!$C$5:$C$367, 0)), " ")</f>
        <v>0</v>
      </c>
      <c r="T728" s="36" t="s">
        <v>679</v>
      </c>
      <c r="U728" s="36"/>
      <c r="V728" s="36"/>
      <c r="W728" s="129"/>
      <c r="X728" s="36"/>
      <c r="Y728" s="36"/>
      <c r="Z728" s="36"/>
      <c r="AA728" s="125" t="s">
        <v>3</v>
      </c>
      <c r="AB728" s="173"/>
      <c r="AC728" s="119"/>
      <c r="AD728" s="36" t="str">
        <f t="shared" si="90"/>
        <v/>
      </c>
      <c r="AE728" s="36" t="str">
        <f t="shared" si="91"/>
        <v/>
      </c>
      <c r="AF728" s="36"/>
      <c r="AG728" s="120">
        <f t="shared" si="88"/>
        <v>0</v>
      </c>
      <c r="AH728" s="36"/>
      <c r="AI728" s="124"/>
      <c r="AJ728" s="122"/>
      <c r="AK728" s="129" t="str">
        <f t="shared" ca="1" si="92"/>
        <v/>
      </c>
      <c r="AL728" s="268" t="str">
        <f t="shared" si="89"/>
        <v>December</v>
      </c>
      <c r="AM728" s="133">
        <f>YEAR(Table1[[#This Row],[ETA
As requested
dd.mm.yyyy]])</f>
        <v>2025</v>
      </c>
    </row>
    <row r="729" spans="1:39" hidden="1">
      <c r="A729" s="123" t="s">
        <v>83</v>
      </c>
      <c r="B729" s="36" t="s">
        <v>1170</v>
      </c>
      <c r="C729" s="117">
        <v>36368343</v>
      </c>
      <c r="D729" s="165">
        <v>45357</v>
      </c>
      <c r="E729" s="117" t="s">
        <v>408</v>
      </c>
      <c r="F729" s="36" t="str">
        <f>IFERROR(VLOOKUP(Table1[[#This Row],[Part Number]],DATABASE_FG!$C$6:D10718,2,FALSE)," ")</f>
        <v>097122220-0000</v>
      </c>
      <c r="G729" s="117" t="str">
        <f>IFERROR(_xlfn.XLOOKUP(Table1[[#This Row],[Part Number]],Table3[Part number],Table3[Drawing
 Revision]),"")</f>
        <v>AB</v>
      </c>
      <c r="H729" s="118" cm="1">
        <f t="array" ref="H729">IFERROR(INDEX(PDB!$C:$AT,MATCH(E729,PDB!$B:$B,0),MATCH(YEAR(K729),0+PDB!$C$1:$AT$1,0)),"")</f>
        <v>12.5</v>
      </c>
      <c r="I729" s="36">
        <v>20</v>
      </c>
      <c r="J729" s="125">
        <f>IFERROR(Table1[[#This Row],[Quantity]]*Table1[[#This Row],[Price/Unit
EUR]]," ")</f>
        <v>250</v>
      </c>
      <c r="K729" s="126">
        <v>45371</v>
      </c>
      <c r="L729" s="36">
        <f>WEEKNUM(Table1[[#This Row],[ETA
As requested
dd.mm.yyyy]])</f>
        <v>12</v>
      </c>
      <c r="M729" s="36">
        <f>YEAR(Table1[[#This Row],[ETA
As requested
dd.mm.yyyy]])</f>
        <v>2024</v>
      </c>
      <c r="N729" s="36">
        <f>IFERROR(INDEX(DATABASE_FG!$H$5:$H$367, MATCH(E729, DATABASE_FG!$C$5:$C$367, 0)), " ")</f>
        <v>0</v>
      </c>
      <c r="O729" s="129" t="str">
        <f>IF(E729&lt;&gt;"", _xlfn.XLOOKUP(E729, DATABASE_FG!C:C, DATABASE_FG!F:F), " ")</f>
        <v>Atlanta strunjire</v>
      </c>
      <c r="P729" s="129">
        <f>IFERROR(INDEX(DATABASE_FG!$G$5:$G$367, MATCH(E729, DATABASE_FG!$C$5:$C$367, 0)), "Not Found")</f>
        <v>100</v>
      </c>
      <c r="Q729" s="36"/>
      <c r="R729" s="125" t="s">
        <v>680</v>
      </c>
      <c r="S729" s="123">
        <f>IFERROR(INDEX(DATABASE_FG!$L$5:$L$367, MATCH(E729, DATABASE_FG!$C$5:$C$367, 0)), " ")</f>
        <v>42</v>
      </c>
      <c r="T729" s="36" t="s">
        <v>679</v>
      </c>
      <c r="U729" s="36"/>
      <c r="V729" s="36"/>
      <c r="W729" s="129"/>
      <c r="X729" s="36"/>
      <c r="Y729" s="36"/>
      <c r="Z729" s="36">
        <v>241210</v>
      </c>
      <c r="AA729" s="125" t="s">
        <v>121</v>
      </c>
      <c r="AB729" s="173">
        <v>45498</v>
      </c>
      <c r="AC729" s="119">
        <v>2024918</v>
      </c>
      <c r="AD729" s="36">
        <f t="shared" si="90"/>
        <v>36368343</v>
      </c>
      <c r="AE729" s="36" t="str">
        <f t="shared" si="91"/>
        <v>F-552668-0024-DRE</v>
      </c>
      <c r="AF729" s="36">
        <v>0</v>
      </c>
      <c r="AG729" s="120">
        <f t="shared" si="88"/>
        <v>0</v>
      </c>
      <c r="AH729" s="36">
        <v>20</v>
      </c>
      <c r="AI729" s="124"/>
      <c r="AJ729" s="122" t="s">
        <v>1233</v>
      </c>
      <c r="AK729" s="129" t="str">
        <f t="shared" ca="1" si="92"/>
        <v>Late</v>
      </c>
      <c r="AL729" s="268" t="str">
        <f t="shared" si="89"/>
        <v>March</v>
      </c>
      <c r="AM729" s="133">
        <f>YEAR(Table1[[#This Row],[ETA
As requested
dd.mm.yyyy]])</f>
        <v>2024</v>
      </c>
    </row>
    <row r="730" spans="1:39" hidden="1">
      <c r="A730" s="123" t="s">
        <v>83</v>
      </c>
      <c r="B730" s="36" t="s">
        <v>1170</v>
      </c>
      <c r="C730" s="117">
        <v>36396903</v>
      </c>
      <c r="D730" s="165">
        <v>45362</v>
      </c>
      <c r="E730" s="117" t="s">
        <v>408</v>
      </c>
      <c r="F730" s="36" t="str">
        <f>IFERROR(VLOOKUP(Table1[[#This Row],[Part Number]],DATABASE_FG!$C$6:D10719,2,FALSE)," ")</f>
        <v>097122220-0000</v>
      </c>
      <c r="G730" s="117" t="str">
        <f>IFERROR(_xlfn.XLOOKUP(Table1[[#This Row],[Part Number]],Table3[Part number],Table3[Drawing
 Revision]),"")</f>
        <v>AB</v>
      </c>
      <c r="H730" s="118" cm="1">
        <f t="array" ref="H730">IFERROR(INDEX(PDB!$C:$AT,MATCH(E730,PDB!$B:$B,0),MATCH(YEAR(K730),0+PDB!$C$1:$AT$1,0)),"")</f>
        <v>12.5</v>
      </c>
      <c r="I730" s="36">
        <v>8</v>
      </c>
      <c r="J730" s="125">
        <f>IFERROR(Table1[[#This Row],[Quantity]]*Table1[[#This Row],[Price/Unit
EUR]]," ")</f>
        <v>100</v>
      </c>
      <c r="K730" s="126">
        <v>45377</v>
      </c>
      <c r="L730" s="36">
        <f>WEEKNUM(Table1[[#This Row],[ETA
As requested
dd.mm.yyyy]])</f>
        <v>13</v>
      </c>
      <c r="M730" s="36">
        <f>YEAR(Table1[[#This Row],[ETA
As requested
dd.mm.yyyy]])</f>
        <v>2024</v>
      </c>
      <c r="N730" s="36">
        <f>IFERROR(INDEX(DATABASE_FG!$H$5:$H$367, MATCH(E730, DATABASE_FG!$C$5:$C$367, 0)), " ")</f>
        <v>0</v>
      </c>
      <c r="O730" s="129" t="str">
        <f>IF(E730&lt;&gt;"", _xlfn.XLOOKUP(E730, DATABASE_FG!C:C, DATABASE_FG!F:F), " ")</f>
        <v>Atlanta strunjire</v>
      </c>
      <c r="P730" s="129">
        <f>IFERROR(INDEX(DATABASE_FG!$G$5:$G$367, MATCH(E730, DATABASE_FG!$C$5:$C$367, 0)), "Not Found")</f>
        <v>100</v>
      </c>
      <c r="Q730" s="36"/>
      <c r="R730" s="125" t="s">
        <v>680</v>
      </c>
      <c r="S730" s="123">
        <f>IFERROR(INDEX(DATABASE_FG!$L$5:$L$367, MATCH(E730, DATABASE_FG!$C$5:$C$367, 0)), " ")</f>
        <v>42</v>
      </c>
      <c r="T730" s="36" t="s">
        <v>679</v>
      </c>
      <c r="U730" s="36"/>
      <c r="V730" s="36"/>
      <c r="W730" s="129"/>
      <c r="X730" s="36"/>
      <c r="Y730" s="36"/>
      <c r="Z730" s="36">
        <v>242010</v>
      </c>
      <c r="AA730" s="125" t="s">
        <v>121</v>
      </c>
      <c r="AB730" s="173">
        <v>45442</v>
      </c>
      <c r="AC730" s="119">
        <v>2024574</v>
      </c>
      <c r="AD730" s="36">
        <f t="shared" si="90"/>
        <v>36396903</v>
      </c>
      <c r="AE730" s="36" t="str">
        <f t="shared" si="91"/>
        <v>F-552668-0024-DRE</v>
      </c>
      <c r="AF730" s="36">
        <v>5</v>
      </c>
      <c r="AG730" s="120">
        <f t="shared" si="88"/>
        <v>62.5</v>
      </c>
      <c r="AH730" s="36"/>
      <c r="AI730" s="124"/>
      <c r="AJ730" s="122" t="s">
        <v>1245</v>
      </c>
      <c r="AK730" s="129" t="str">
        <f t="shared" ca="1" si="92"/>
        <v>Late</v>
      </c>
      <c r="AL730" s="268" t="str">
        <f t="shared" si="89"/>
        <v>March</v>
      </c>
      <c r="AM730" s="133">
        <f>YEAR(Table1[[#This Row],[ETA
As requested
dd.mm.yyyy]])</f>
        <v>2024</v>
      </c>
    </row>
    <row r="731" spans="1:39" hidden="1">
      <c r="A731" s="123" t="s">
        <v>83</v>
      </c>
      <c r="B731" s="36" t="s">
        <v>1170</v>
      </c>
      <c r="C731" s="117">
        <v>37007022</v>
      </c>
      <c r="D731" s="165">
        <v>45461</v>
      </c>
      <c r="E731" s="117" t="s">
        <v>408</v>
      </c>
      <c r="F731" s="36" t="str">
        <f>IFERROR(VLOOKUP(Table1[[#This Row],[Part Number]],DATABASE_FG!$C$6:D10720,2,FALSE)," ")</f>
        <v>097122220-0000</v>
      </c>
      <c r="G731" s="117" t="str">
        <f>IFERROR(_xlfn.XLOOKUP(Table1[[#This Row],[Part Number]],Table3[Part number],Table3[Drawing
 Revision]),"")</f>
        <v>AB</v>
      </c>
      <c r="H731" s="118" cm="1">
        <f t="array" ref="H731">IFERROR(INDEX(PDB!$C:$AT,MATCH(E731,PDB!$B:$B,0),MATCH(YEAR(K731),0+PDB!$C$1:$AT$1,0)),"")</f>
        <v>12.5</v>
      </c>
      <c r="I731" s="36">
        <v>100</v>
      </c>
      <c r="J731" s="125">
        <f>IFERROR(Table1[[#This Row],[Quantity]]*Table1[[#This Row],[Price/Unit
EUR]]," ")</f>
        <v>1250</v>
      </c>
      <c r="K731" s="126">
        <v>45476</v>
      </c>
      <c r="L731" s="36">
        <f>WEEKNUM(Table1[[#This Row],[ETA
As requested
dd.mm.yyyy]])</f>
        <v>27</v>
      </c>
      <c r="M731" s="36">
        <f>YEAR(Table1[[#This Row],[ETA
As requested
dd.mm.yyyy]])</f>
        <v>2024</v>
      </c>
      <c r="N731" s="36">
        <f>IFERROR(INDEX(DATABASE_FG!$H$5:$H$367, MATCH(E731, DATABASE_FG!$C$5:$C$367, 0)), " ")</f>
        <v>0</v>
      </c>
      <c r="O731" s="129" t="str">
        <f>IF(E731&lt;&gt;"", _xlfn.XLOOKUP(E731, DATABASE_FG!C:C, DATABASE_FG!F:F), " ")</f>
        <v>Atlanta strunjire</v>
      </c>
      <c r="P731" s="129">
        <f>IFERROR(INDEX(DATABASE_FG!$G$5:$G$367, MATCH(E731, DATABASE_FG!$C$5:$C$367, 0)), "Not Found")</f>
        <v>100</v>
      </c>
      <c r="Q731" s="36"/>
      <c r="R731" s="125" t="s">
        <v>678</v>
      </c>
      <c r="S731" s="123">
        <f>IFERROR(INDEX(DATABASE_FG!$L$5:$L$367, MATCH(E731, DATABASE_FG!$C$5:$C$367, 0)), " ")</f>
        <v>42</v>
      </c>
      <c r="T731" s="36" t="s">
        <v>679</v>
      </c>
      <c r="U731" s="36"/>
      <c r="V731" s="36"/>
      <c r="W731" s="129"/>
      <c r="X731" s="36"/>
      <c r="Y731" s="36"/>
      <c r="Z731" s="36">
        <v>242901</v>
      </c>
      <c r="AA731" s="125" t="s">
        <v>121</v>
      </c>
      <c r="AB731" s="173">
        <v>45505</v>
      </c>
      <c r="AC731" s="119">
        <v>2024957</v>
      </c>
      <c r="AD731" s="36">
        <f t="shared" si="90"/>
        <v>37007022</v>
      </c>
      <c r="AE731" s="36" t="str">
        <f t="shared" si="91"/>
        <v>F-552668-0024-DRE</v>
      </c>
      <c r="AF731" s="36">
        <v>89</v>
      </c>
      <c r="AG731" s="120">
        <f t="shared" si="88"/>
        <v>1112.5</v>
      </c>
      <c r="AH731" s="36">
        <v>11</v>
      </c>
      <c r="AI731" s="124"/>
      <c r="AJ731" s="122" t="s">
        <v>1763</v>
      </c>
      <c r="AK731" s="129" t="str">
        <f t="shared" ca="1" si="92"/>
        <v>Late</v>
      </c>
      <c r="AL731" s="268" t="str">
        <f t="shared" si="89"/>
        <v>July</v>
      </c>
      <c r="AM731" s="133">
        <f>YEAR(Table1[[#This Row],[ETA
As requested
dd.mm.yyyy]])</f>
        <v>2024</v>
      </c>
    </row>
    <row r="732" spans="1:39" hidden="1">
      <c r="A732" s="123" t="s">
        <v>83</v>
      </c>
      <c r="B732" s="36" t="s">
        <v>1170</v>
      </c>
      <c r="C732" s="117">
        <v>37269975</v>
      </c>
      <c r="D732" s="165">
        <v>45405</v>
      </c>
      <c r="E732" s="117" t="s">
        <v>408</v>
      </c>
      <c r="F732" s="36" t="str">
        <f>IFERROR(VLOOKUP(Table1[[#This Row],[Part Number]],DATABASE_FG!$C$6:D10721,2,FALSE)," ")</f>
        <v>097122220-0000</v>
      </c>
      <c r="G732" s="117" t="str">
        <f>IFERROR(_xlfn.XLOOKUP(Table1[[#This Row],[Part Number]],Table3[Part number],Table3[Drawing
 Revision]),"")</f>
        <v>AB</v>
      </c>
      <c r="H732" s="118" cm="1">
        <f t="array" ref="H732">IFERROR(INDEX(PDB!$C:$AT,MATCH(E732,PDB!$B:$B,0),MATCH(YEAR(K732),0+PDB!$C$1:$AT$1,0)),"")</f>
        <v>12.5</v>
      </c>
      <c r="I732" s="36">
        <v>100</v>
      </c>
      <c r="J732" s="125">
        <f>IFERROR(Table1[[#This Row],[Quantity]]*Table1[[#This Row],[Price/Unit
EUR]]," ")</f>
        <v>1250</v>
      </c>
      <c r="K732" s="126">
        <v>45504</v>
      </c>
      <c r="L732" s="36">
        <f>WEEKNUM(Table1[[#This Row],[ETA
As requested
dd.mm.yyyy]])</f>
        <v>31</v>
      </c>
      <c r="M732" s="36">
        <f>YEAR(Table1[[#This Row],[ETA
As requested
dd.mm.yyyy]])</f>
        <v>2024</v>
      </c>
      <c r="N732" s="36">
        <f>IFERROR(INDEX(DATABASE_FG!$H$5:$H$367, MATCH(E732, DATABASE_FG!$C$5:$C$367, 0)), " ")</f>
        <v>0</v>
      </c>
      <c r="O732" s="129" t="str">
        <f>IF(E732&lt;&gt;"", _xlfn.XLOOKUP(E732, DATABASE_FG!C:C, DATABASE_FG!F:F), " ")</f>
        <v>Atlanta strunjire</v>
      </c>
      <c r="P732" s="129">
        <f>IFERROR(INDEX(DATABASE_FG!$G$5:$G$367, MATCH(E732, DATABASE_FG!$C$5:$C$367, 0)), "Not Found")</f>
        <v>100</v>
      </c>
      <c r="Q732" s="36"/>
      <c r="R732" s="125" t="s">
        <v>678</v>
      </c>
      <c r="S732" s="123">
        <f>IFERROR(INDEX(DATABASE_FG!$L$5:$L$367, MATCH(E732, DATABASE_FG!$C$5:$C$367, 0)), " ")</f>
        <v>42</v>
      </c>
      <c r="T732" s="36" t="s">
        <v>679</v>
      </c>
      <c r="U732" s="36"/>
      <c r="V732" s="36"/>
      <c r="W732" s="129"/>
      <c r="X732" s="36"/>
      <c r="Y732" s="36"/>
      <c r="Z732" s="36"/>
      <c r="AA732" s="125" t="s">
        <v>121</v>
      </c>
      <c r="AB732" s="173">
        <v>45505</v>
      </c>
      <c r="AC732" s="119">
        <v>2024958</v>
      </c>
      <c r="AD732" s="36">
        <f t="shared" si="90"/>
        <v>37269975</v>
      </c>
      <c r="AE732" s="36" t="str">
        <f t="shared" si="91"/>
        <v>F-552668-0024-DRE</v>
      </c>
      <c r="AF732" s="36">
        <v>90</v>
      </c>
      <c r="AG732" s="120">
        <f t="shared" si="88"/>
        <v>1125</v>
      </c>
      <c r="AH732" s="36">
        <v>11</v>
      </c>
      <c r="AI732" s="124"/>
      <c r="AJ732" s="122" t="s">
        <v>1895</v>
      </c>
      <c r="AK732" s="129" t="str">
        <f t="shared" ca="1" si="92"/>
        <v>On Time</v>
      </c>
      <c r="AL732" s="268" t="str">
        <f t="shared" si="89"/>
        <v>July</v>
      </c>
      <c r="AM732" s="133">
        <f>YEAR(Table1[[#This Row],[ETA
As requested
dd.mm.yyyy]])</f>
        <v>2024</v>
      </c>
    </row>
    <row r="733" spans="1:39" hidden="1">
      <c r="A733" s="123" t="s">
        <v>83</v>
      </c>
      <c r="B733" s="36" t="s">
        <v>1170</v>
      </c>
      <c r="C733" s="117">
        <v>37404987</v>
      </c>
      <c r="D733" s="165">
        <v>45509</v>
      </c>
      <c r="E733" s="117" t="s">
        <v>408</v>
      </c>
      <c r="F733" s="36" t="str">
        <f>IFERROR(VLOOKUP(Table1[[#This Row],[Part Number]],DATABASE_FG!$C$6:D10722,2,FALSE)," ")</f>
        <v>097122220-0000</v>
      </c>
      <c r="G733" s="117" t="str">
        <f>IFERROR(_xlfn.XLOOKUP(Table1[[#This Row],[Part Number]],Table3[Part number],Table3[Drawing
 Revision]),"")</f>
        <v>AB</v>
      </c>
      <c r="H733" s="118" cm="1">
        <f t="array" ref="H733">IFERROR(INDEX(PDB!$C:$AT,MATCH(E733,PDB!$B:$B,0),MATCH(YEAR(K733),0+PDB!$C$1:$AT$1,0)),"")</f>
        <v>12.5</v>
      </c>
      <c r="I733" s="36">
        <v>140</v>
      </c>
      <c r="J733" s="125">
        <f>IFERROR(Table1[[#This Row],[Quantity]]*Table1[[#This Row],[Price/Unit
EUR]]," ")</f>
        <v>1750</v>
      </c>
      <c r="K733" s="126">
        <v>45524</v>
      </c>
      <c r="L733" s="36">
        <f>WEEKNUM(Table1[[#This Row],[ETA
As requested
dd.mm.yyyy]])</f>
        <v>34</v>
      </c>
      <c r="M733" s="36">
        <f>YEAR(Table1[[#This Row],[ETA
As requested
dd.mm.yyyy]])</f>
        <v>2024</v>
      </c>
      <c r="N733" s="36">
        <f>IFERROR(INDEX(DATABASE_FG!$H$5:$H$367, MATCH(E733, DATABASE_FG!$C$5:$C$367, 0)), " ")</f>
        <v>0</v>
      </c>
      <c r="O733" s="129" t="str">
        <f>IF(E733&lt;&gt;"", _xlfn.XLOOKUP(E733, DATABASE_FG!C:C, DATABASE_FG!F:F), " ")</f>
        <v>Atlanta strunjire</v>
      </c>
      <c r="P733" s="129">
        <f>IFERROR(INDEX(DATABASE_FG!$G$5:$G$367, MATCH(E733, DATABASE_FG!$C$5:$C$367, 0)), "Not Found")</f>
        <v>100</v>
      </c>
      <c r="Q733" s="36"/>
      <c r="R733" s="125" t="s">
        <v>678</v>
      </c>
      <c r="S733" s="123">
        <f>IFERROR(INDEX(DATABASE_FG!$L$5:$L$367, MATCH(E733, DATABASE_FG!$C$5:$C$367, 0)), " ")</f>
        <v>42</v>
      </c>
      <c r="T733" s="36" t="s">
        <v>679</v>
      </c>
      <c r="U733" s="36"/>
      <c r="V733" s="36"/>
      <c r="W733" s="129"/>
      <c r="X733" s="36"/>
      <c r="Y733" s="36"/>
      <c r="Z733" s="36"/>
      <c r="AA733" s="125" t="s">
        <v>121</v>
      </c>
      <c r="AB733" s="173">
        <v>45538</v>
      </c>
      <c r="AC733" s="119">
        <v>202401099</v>
      </c>
      <c r="AD733" s="36">
        <f t="shared" si="90"/>
        <v>37404987</v>
      </c>
      <c r="AE733" s="36" t="str">
        <f t="shared" si="91"/>
        <v>F-552668-0024-DRE</v>
      </c>
      <c r="AF733" s="36">
        <v>139</v>
      </c>
      <c r="AG733" s="120">
        <f t="shared" si="88"/>
        <v>1737.5</v>
      </c>
      <c r="AH733" s="36">
        <v>1</v>
      </c>
      <c r="AI733" s="124"/>
      <c r="AJ733" s="122" t="s">
        <v>2108</v>
      </c>
      <c r="AK733" s="129" t="str">
        <f t="shared" ca="1" si="92"/>
        <v>Late</v>
      </c>
      <c r="AL733" s="268" t="str">
        <f t="shared" si="89"/>
        <v>August</v>
      </c>
      <c r="AM733" s="133">
        <f>YEAR(Table1[[#This Row],[ETA
As requested
dd.mm.yyyy]])</f>
        <v>2024</v>
      </c>
    </row>
    <row r="734" spans="1:39" hidden="1">
      <c r="A734" s="123" t="s">
        <v>83</v>
      </c>
      <c r="B734" s="36" t="s">
        <v>1170</v>
      </c>
      <c r="C734" s="117">
        <v>37614741</v>
      </c>
      <c r="D734" s="165">
        <v>45544</v>
      </c>
      <c r="E734" s="117" t="s">
        <v>408</v>
      </c>
      <c r="F734" s="36" t="str">
        <f>IFERROR(VLOOKUP(Table1[[#This Row],[Part Number]],DATABASE_FG!$C$6:D10723,2,FALSE)," ")</f>
        <v>097122220-0000</v>
      </c>
      <c r="G734" s="117" t="str">
        <f>IFERROR(_xlfn.XLOOKUP(Table1[[#This Row],[Part Number]],Table3[Part number],Table3[Drawing
 Revision]),"")</f>
        <v>AB</v>
      </c>
      <c r="H734" s="118" cm="1">
        <f t="array" ref="H734">IFERROR(INDEX(PDB!$C:$AT,MATCH(E734,PDB!$B:$B,0),MATCH(YEAR(K734),0+PDB!$C$1:$AT$1,0)),"")</f>
        <v>12.5</v>
      </c>
      <c r="I734" s="36">
        <v>78</v>
      </c>
      <c r="J734" s="125">
        <f>IFERROR(Table1[[#This Row],[Quantity]]*Table1[[#This Row],[Price/Unit
EUR]]," ")</f>
        <v>975</v>
      </c>
      <c r="K734" s="126">
        <v>45560</v>
      </c>
      <c r="L734" s="36">
        <f>WEEKNUM(Table1[[#This Row],[ETA
As requested
dd.mm.yyyy]])</f>
        <v>39</v>
      </c>
      <c r="M734" s="36">
        <f>YEAR(Table1[[#This Row],[ETA
As requested
dd.mm.yyyy]])</f>
        <v>2024</v>
      </c>
      <c r="N734" s="36">
        <f>IFERROR(INDEX(DATABASE_FG!$H$5:$H$367, MATCH(E734, DATABASE_FG!$C$5:$C$367, 0)), " ")</f>
        <v>0</v>
      </c>
      <c r="O734" s="129" t="str">
        <f>IF(E734&lt;&gt;"", _xlfn.XLOOKUP(E734, DATABASE_FG!C:C, DATABASE_FG!F:F), " ")</f>
        <v>Atlanta strunjire</v>
      </c>
      <c r="P734" s="129">
        <f>IFERROR(INDEX(DATABASE_FG!$G$5:$G$367, MATCH(E734, DATABASE_FG!$C$5:$C$367, 0)), "Not Found")</f>
        <v>100</v>
      </c>
      <c r="Q734" s="36"/>
      <c r="R734" s="125" t="s">
        <v>678</v>
      </c>
      <c r="S734" s="123">
        <f>IFERROR(INDEX(DATABASE_FG!$L$5:$L$367, MATCH(E734, DATABASE_FG!$C$5:$C$367, 0)), " ")</f>
        <v>42</v>
      </c>
      <c r="T734" s="36" t="s">
        <v>679</v>
      </c>
      <c r="U734" s="36"/>
      <c r="V734" s="36"/>
      <c r="W734" s="129"/>
      <c r="X734" s="36"/>
      <c r="Y734" s="36"/>
      <c r="Z734" s="36"/>
      <c r="AA734" s="125" t="s">
        <v>121</v>
      </c>
      <c r="AB734" s="173">
        <v>45568</v>
      </c>
      <c r="AC734" s="119">
        <v>202401201</v>
      </c>
      <c r="AD734" s="36">
        <f t="shared" si="90"/>
        <v>37614741</v>
      </c>
      <c r="AE734" s="36" t="str">
        <f t="shared" si="91"/>
        <v>F-552668-0024-DRE</v>
      </c>
      <c r="AF734" s="36">
        <v>71</v>
      </c>
      <c r="AG734" s="120">
        <f t="shared" si="88"/>
        <v>887.5</v>
      </c>
      <c r="AH734" s="36">
        <v>8</v>
      </c>
      <c r="AI734" s="124"/>
      <c r="AJ734" s="122" t="s">
        <v>2390</v>
      </c>
      <c r="AK734" s="129" t="str">
        <f t="shared" ca="1" si="92"/>
        <v>Late</v>
      </c>
      <c r="AL734" s="268" t="str">
        <f t="shared" si="89"/>
        <v>September</v>
      </c>
      <c r="AM734" s="133">
        <f>YEAR(Table1[[#This Row],[ETA
As requested
dd.mm.yyyy]])</f>
        <v>2024</v>
      </c>
    </row>
    <row r="735" spans="1:39" hidden="1">
      <c r="A735" s="123" t="s">
        <v>83</v>
      </c>
      <c r="B735" s="36" t="s">
        <v>1170</v>
      </c>
      <c r="C735" s="117">
        <v>37841471</v>
      </c>
      <c r="D735" s="165">
        <v>45582</v>
      </c>
      <c r="E735" s="117" t="s">
        <v>408</v>
      </c>
      <c r="F735" s="36" t="str">
        <f>IFERROR(VLOOKUP(Table1[[#This Row],[Part Number]],DATABASE_FG!$C$6:D10724,2,FALSE)," ")</f>
        <v>097122220-0000</v>
      </c>
      <c r="G735" s="117" t="str">
        <f>IFERROR(_xlfn.XLOOKUP(Table1[[#This Row],[Part Number]],Table3[Part number],Table3[Drawing
 Revision]),"")</f>
        <v>AB</v>
      </c>
      <c r="H735" s="118" cm="1">
        <f t="array" ref="H735">IFERROR(INDEX(PDB!$C:$AT,MATCH(E735,PDB!$B:$B,0),MATCH(YEAR(K735),0+PDB!$C$1:$AT$1,0)),"")</f>
        <v>12.5</v>
      </c>
      <c r="I735" s="36">
        <v>170</v>
      </c>
      <c r="J735" s="125">
        <f>IFERROR(Table1[[#This Row],[Quantity]]*Table1[[#This Row],[Price/Unit
EUR]]," ")</f>
        <v>2125</v>
      </c>
      <c r="K735" s="126">
        <v>45597</v>
      </c>
      <c r="L735" s="36">
        <f>WEEKNUM(Table1[[#This Row],[ETA
As requested
dd.mm.yyyy]])</f>
        <v>44</v>
      </c>
      <c r="M735" s="36">
        <f>YEAR(Table1[[#This Row],[ETA
As requested
dd.mm.yyyy]])</f>
        <v>2024</v>
      </c>
      <c r="N735" s="36">
        <f>IFERROR(INDEX(DATABASE_FG!$H$5:$H$367, MATCH(E735, DATABASE_FG!$C$5:$C$367, 0)), " ")</f>
        <v>0</v>
      </c>
      <c r="O735" s="129" t="str">
        <f>IF(E735&lt;&gt;"", _xlfn.XLOOKUP(E735, DATABASE_FG!C:C, DATABASE_FG!F:F), " ")</f>
        <v>Atlanta strunjire</v>
      </c>
      <c r="P735" s="129">
        <f>IFERROR(INDEX(DATABASE_FG!$G$5:$G$367, MATCH(E735, DATABASE_FG!$C$5:$C$367, 0)), "Not Found")</f>
        <v>100</v>
      </c>
      <c r="Q735" s="36"/>
      <c r="R735" s="125" t="s">
        <v>678</v>
      </c>
      <c r="S735" s="123">
        <f>IFERROR(INDEX(DATABASE_FG!$L$5:$L$367, MATCH(E735, DATABASE_FG!$C$5:$C$367, 0)), " ")</f>
        <v>42</v>
      </c>
      <c r="T735" s="36" t="s">
        <v>679</v>
      </c>
      <c r="U735" s="36"/>
      <c r="V735" s="36"/>
      <c r="W735" s="129"/>
      <c r="X735" s="36"/>
      <c r="Y735" s="36"/>
      <c r="Z735" s="36"/>
      <c r="AA735" s="125" t="s">
        <v>121</v>
      </c>
      <c r="AB735" s="173">
        <v>45614</v>
      </c>
      <c r="AC735" s="119">
        <v>202401397</v>
      </c>
      <c r="AD735" s="36">
        <f t="shared" si="90"/>
        <v>37841471</v>
      </c>
      <c r="AE735" s="36" t="str">
        <f t="shared" si="91"/>
        <v>F-552668-0024-DRE</v>
      </c>
      <c r="AF735" s="36">
        <v>166</v>
      </c>
      <c r="AG735" s="120">
        <f t="shared" si="88"/>
        <v>2075</v>
      </c>
      <c r="AH735" s="36">
        <v>4</v>
      </c>
      <c r="AI735" s="124"/>
      <c r="AJ735" s="122" t="s">
        <v>2544</v>
      </c>
      <c r="AK735" s="129" t="str">
        <f t="shared" ca="1" si="92"/>
        <v>Late</v>
      </c>
      <c r="AL735" s="268" t="str">
        <f t="shared" si="89"/>
        <v>November</v>
      </c>
      <c r="AM735" s="133">
        <f>YEAR(Table1[[#This Row],[ETA
As requested
dd.mm.yyyy]])</f>
        <v>2024</v>
      </c>
    </row>
    <row r="736" spans="1:39" hidden="1">
      <c r="A736" s="123" t="s">
        <v>83</v>
      </c>
      <c r="B736" s="36" t="s">
        <v>1170</v>
      </c>
      <c r="C736" s="117">
        <v>38160988</v>
      </c>
      <c r="D736" s="165">
        <v>45632</v>
      </c>
      <c r="E736" s="117" t="s">
        <v>408</v>
      </c>
      <c r="F736" s="36" t="str">
        <f>IFERROR(VLOOKUP(Table1[[#This Row],[Part Number]],DATABASE_FG!$C$6:D10725,2,FALSE)," ")</f>
        <v>097122220-0000</v>
      </c>
      <c r="G736" s="117" t="str">
        <f>IFERROR(_xlfn.XLOOKUP(Table1[[#This Row],[Part Number]],Table3[Part number],Table3[Drawing
 Revision]),"")</f>
        <v>AB</v>
      </c>
      <c r="H736" s="118" cm="1">
        <f t="array" ref="H736">IFERROR(INDEX(PDB!$C:$AT,MATCH(E736,PDB!$B:$B,0),MATCH(YEAR(K736),0+PDB!$C$1:$AT$1,0)),"")</f>
        <v>12.5</v>
      </c>
      <c r="I736" s="36">
        <v>300</v>
      </c>
      <c r="J736" s="125">
        <f>IFERROR(Table1[[#This Row],[Quantity]]*Table1[[#This Row],[Price/Unit
EUR]]," ")</f>
        <v>3750</v>
      </c>
      <c r="K736" s="126">
        <v>45646</v>
      </c>
      <c r="L736" s="36">
        <f>WEEKNUM(Table1[[#This Row],[ETA
As requested
dd.mm.yyyy]])</f>
        <v>51</v>
      </c>
      <c r="M736" s="36">
        <f>YEAR(Table1[[#This Row],[ETA
As requested
dd.mm.yyyy]])</f>
        <v>2024</v>
      </c>
      <c r="N736" s="36">
        <f>IFERROR(INDEX(DATABASE_FG!$H$5:$H$367, MATCH(E736, DATABASE_FG!$C$5:$C$367, 0)), " ")</f>
        <v>0</v>
      </c>
      <c r="O736" s="129" t="str">
        <f>IF(E736&lt;&gt;"", _xlfn.XLOOKUP(E736, DATABASE_FG!C:C, DATABASE_FG!F:F), " ")</f>
        <v>Atlanta strunjire</v>
      </c>
      <c r="P736" s="129">
        <f>IFERROR(INDEX(DATABASE_FG!$G$5:$G$367, MATCH(E736, DATABASE_FG!$C$5:$C$367, 0)), "Not Found")</f>
        <v>100</v>
      </c>
      <c r="Q736" s="36"/>
      <c r="R736" s="125" t="s">
        <v>678</v>
      </c>
      <c r="S736" s="123">
        <f>IFERROR(INDEX(DATABASE_FG!$L$5:$L$367, MATCH(E736, DATABASE_FG!$C$5:$C$367, 0)), " ")</f>
        <v>42</v>
      </c>
      <c r="T736" s="36" t="s">
        <v>679</v>
      </c>
      <c r="U736" s="36"/>
      <c r="V736" s="36"/>
      <c r="W736" s="129"/>
      <c r="X736" s="36"/>
      <c r="Y736" s="36"/>
      <c r="Z736" s="36"/>
      <c r="AA736" s="125" t="s">
        <v>121</v>
      </c>
      <c r="AB736" s="173">
        <v>45667</v>
      </c>
      <c r="AC736" s="119" t="s">
        <v>2673</v>
      </c>
      <c r="AD736" s="36">
        <f t="shared" si="90"/>
        <v>38160988</v>
      </c>
      <c r="AE736" s="36" t="str">
        <f t="shared" si="91"/>
        <v>F-552668-0024-DRE</v>
      </c>
      <c r="AF736" s="36">
        <f>255+41</f>
        <v>296</v>
      </c>
      <c r="AG736" s="120">
        <f t="shared" si="88"/>
        <v>3700</v>
      </c>
      <c r="AH736" s="36">
        <v>4</v>
      </c>
      <c r="AI736" s="124" t="s">
        <v>2674</v>
      </c>
      <c r="AJ736" s="122" t="s">
        <v>2675</v>
      </c>
      <c r="AK736" s="129" t="str">
        <f t="shared" ca="1" si="92"/>
        <v>Late</v>
      </c>
      <c r="AL736" s="268" t="str">
        <f t="shared" si="89"/>
        <v>December</v>
      </c>
      <c r="AM736" s="133">
        <f>YEAR(Table1[[#This Row],[ETA
As requested
dd.mm.yyyy]])</f>
        <v>2024</v>
      </c>
    </row>
    <row r="737" spans="1:39" hidden="1">
      <c r="A737" s="123" t="s">
        <v>83</v>
      </c>
      <c r="B737" s="36" t="s">
        <v>1170</v>
      </c>
      <c r="C737" s="117">
        <v>38438122</v>
      </c>
      <c r="D737" s="165">
        <v>45673</v>
      </c>
      <c r="E737" s="117" t="s">
        <v>408</v>
      </c>
      <c r="F737" s="36" t="str">
        <f>IFERROR(VLOOKUP(Table1[[#This Row],[Part Number]],DATABASE_FG!$C$6:D10726,2,FALSE)," ")</f>
        <v>097122220-0000</v>
      </c>
      <c r="G737" s="117" t="str">
        <f>IFERROR(_xlfn.XLOOKUP(Table1[[#This Row],[Part Number]],Table3[Part number],Table3[Drawing
 Revision]),"")</f>
        <v>AB</v>
      </c>
      <c r="H737" s="118" cm="1">
        <f t="array" ref="H737">IFERROR(INDEX(PDB!$C:$AT,MATCH(E737,PDB!$B:$B,0),MATCH(YEAR(K737),0+PDB!$C$1:$AT$1,0)),"")</f>
        <v>12.5</v>
      </c>
      <c r="I737" s="36">
        <v>300</v>
      </c>
      <c r="J737" s="125">
        <f>IFERROR(Table1[[#This Row],[Quantity]]*Table1[[#This Row],[Price/Unit
EUR]]," ")</f>
        <v>3750</v>
      </c>
      <c r="K737" s="126">
        <v>45702</v>
      </c>
      <c r="L737" s="36">
        <f>WEEKNUM(Table1[[#This Row],[ETA
As requested
dd.mm.yyyy]])</f>
        <v>7</v>
      </c>
      <c r="M737" s="36">
        <f>YEAR(Table1[[#This Row],[ETA
As requested
dd.mm.yyyy]])</f>
        <v>2025</v>
      </c>
      <c r="N737" s="36">
        <f>IFERROR(INDEX(DATABASE_FG!$H$5:$H$367, MATCH(E737, DATABASE_FG!$C$5:$C$367, 0)), " ")</f>
        <v>0</v>
      </c>
      <c r="O737" s="129" t="str">
        <f>IF(E737&lt;&gt;"", _xlfn.XLOOKUP(E737, DATABASE_FG!C:C, DATABASE_FG!F:F), " ")</f>
        <v>Atlanta strunjire</v>
      </c>
      <c r="P737" s="129">
        <f>IFERROR(INDEX(DATABASE_FG!$G$5:$G$367, MATCH(E737, DATABASE_FG!$C$5:$C$367, 0)), "Not Found")</f>
        <v>100</v>
      </c>
      <c r="Q737" s="36"/>
      <c r="R737" s="125" t="s">
        <v>678</v>
      </c>
      <c r="S737" s="123">
        <f>Table1[[#This Row],[Quantity]]/48</f>
        <v>6.25</v>
      </c>
      <c r="T737" s="36" t="s">
        <v>679</v>
      </c>
      <c r="U737" s="36"/>
      <c r="V737" s="36"/>
      <c r="W737" s="129"/>
      <c r="X737" s="36"/>
      <c r="Y737" s="36"/>
      <c r="Z737" s="36"/>
      <c r="AA737" s="125" t="s">
        <v>121</v>
      </c>
      <c r="AB737" s="173">
        <v>45684</v>
      </c>
      <c r="AC737" s="119" t="s">
        <v>2819</v>
      </c>
      <c r="AD737" s="36">
        <f t="shared" si="90"/>
        <v>38438122</v>
      </c>
      <c r="AE737" s="36" t="str">
        <f t="shared" si="91"/>
        <v>F-552668-0024-DRE</v>
      </c>
      <c r="AF737" s="36">
        <v>300</v>
      </c>
      <c r="AG737" s="120">
        <f t="shared" si="88"/>
        <v>3750</v>
      </c>
      <c r="AH737" s="36"/>
      <c r="AI737" s="124"/>
      <c r="AJ737" s="122"/>
      <c r="AK737" s="129" t="str">
        <f t="shared" ca="1" si="92"/>
        <v>On Time</v>
      </c>
      <c r="AL737" s="268" t="str">
        <f t="shared" si="89"/>
        <v>February</v>
      </c>
      <c r="AM737" s="133">
        <f>YEAR(Table1[[#This Row],[ETA
As requested
dd.mm.yyyy]])</f>
        <v>2025</v>
      </c>
    </row>
    <row r="738" spans="1:39" hidden="1">
      <c r="A738" s="123" t="s">
        <v>83</v>
      </c>
      <c r="B738" s="36" t="s">
        <v>1170</v>
      </c>
      <c r="C738" s="117">
        <v>39050203</v>
      </c>
      <c r="D738" s="165">
        <v>45824</v>
      </c>
      <c r="E738" s="117" t="s">
        <v>408</v>
      </c>
      <c r="F738" s="36" t="str">
        <f>IFERROR(VLOOKUP(Table1[[#This Row],[Part Number]],DATABASE_FG!$C$6:D10727,2,FALSE)," ")</f>
        <v>097122220-0000</v>
      </c>
      <c r="G738" s="117" t="str">
        <f>IFERROR(_xlfn.XLOOKUP(Table1[[#This Row],[Part Number]],Table3[Part number],Table3[Drawing
 Revision]),"")</f>
        <v>AB</v>
      </c>
      <c r="H738" s="118" cm="1">
        <f t="array" ref="H738">IFERROR(INDEX(PDB!$C:$AT,MATCH(E738,PDB!$B:$B,0),MATCH(YEAR(K738),0+PDB!$C$1:$AT$1,0)),"")</f>
        <v>12.5</v>
      </c>
      <c r="I738" s="36">
        <v>240</v>
      </c>
      <c r="J738" s="125">
        <f>IFERROR(Table1[[#This Row],[Quantity]]*Table1[[#This Row],[Price/Unit
EUR]]," ")</f>
        <v>3000</v>
      </c>
      <c r="K738" s="126">
        <v>45838</v>
      </c>
      <c r="L738" s="36">
        <f>WEEKNUM(Table1[[#This Row],[ETA
As requested
dd.mm.yyyy]])</f>
        <v>27</v>
      </c>
      <c r="M738" s="36">
        <f>YEAR(Table1[[#This Row],[ETA
As requested
dd.mm.yyyy]])</f>
        <v>2025</v>
      </c>
      <c r="N738" s="36"/>
      <c r="O738" s="129" t="str">
        <f>IF(E738&lt;&gt;"", _xlfn.XLOOKUP(E738, DATABASE_FG!C:C, DATABASE_FG!F:F), " ")</f>
        <v>Atlanta strunjire</v>
      </c>
      <c r="P738" s="129"/>
      <c r="Q738" s="36"/>
      <c r="R738" s="125"/>
      <c r="S738" s="123"/>
      <c r="T738" s="36"/>
      <c r="U738" s="36"/>
      <c r="V738" s="36"/>
      <c r="W738" s="129"/>
      <c r="X738" s="36"/>
      <c r="Y738" s="36"/>
      <c r="Z738" s="36"/>
      <c r="AA738" s="125" t="s">
        <v>121</v>
      </c>
      <c r="AB738" s="173">
        <v>45820</v>
      </c>
      <c r="AC738" s="119">
        <v>25916</v>
      </c>
      <c r="AD738" s="36">
        <f t="shared" si="90"/>
        <v>39050203</v>
      </c>
      <c r="AE738" s="36" t="str">
        <f t="shared" si="91"/>
        <v>F-552668-0024-DRE</v>
      </c>
      <c r="AF738" s="36">
        <v>234</v>
      </c>
      <c r="AG738" s="120">
        <f t="shared" ref="AG738:AG801" si="93">AF738*H738</f>
        <v>2925</v>
      </c>
      <c r="AH738" s="36">
        <v>6</v>
      </c>
      <c r="AI738" s="124"/>
      <c r="AJ738" s="122" t="s">
        <v>3352</v>
      </c>
      <c r="AK738" s="129" t="str">
        <f t="shared" ca="1" si="92"/>
        <v>On Time</v>
      </c>
      <c r="AL738" s="268" t="str">
        <f t="shared" si="89"/>
        <v>June</v>
      </c>
      <c r="AM738" s="133">
        <f>YEAR(Table1[[#This Row],[ETA
As requested
dd.mm.yyyy]])</f>
        <v>2025</v>
      </c>
    </row>
    <row r="739" spans="1:39" hidden="1">
      <c r="A739" s="123" t="s">
        <v>83</v>
      </c>
      <c r="B739" s="36" t="s">
        <v>1170</v>
      </c>
      <c r="C739" s="117">
        <v>37421154</v>
      </c>
      <c r="D739" s="165">
        <v>45511</v>
      </c>
      <c r="E739" s="117" t="s">
        <v>2383</v>
      </c>
      <c r="F739" s="36">
        <f>IFERROR(VLOOKUP(Table1[[#This Row],[Part Number]],DATABASE_FG!$C$6:D10728,2,FALSE)," ")</f>
        <v>0</v>
      </c>
      <c r="G739" s="117">
        <f>IFERROR(_xlfn.XLOOKUP(Table1[[#This Row],[Part Number]],Table3[Part number],Table3[Drawing
 Revision]),"")</f>
        <v>0</v>
      </c>
      <c r="H739" s="118" cm="1">
        <f t="array" ref="H739">IFERROR(INDEX(PDB!$C:$AT,MATCH(E739,PDB!$B:$B,0),MATCH(YEAR(K739),0+PDB!$C$1:$AT$1,0)),"")</f>
        <v>17.600000000000001</v>
      </c>
      <c r="I739" s="36">
        <v>10</v>
      </c>
      <c r="J739" s="125">
        <f>IFERROR(Table1[[#This Row],[Quantity]]*Table1[[#This Row],[Price/Unit
EUR]]," ")</f>
        <v>176</v>
      </c>
      <c r="K739" s="126">
        <v>45551</v>
      </c>
      <c r="L739" s="36">
        <f>WEEKNUM(Table1[[#This Row],[ETA
As requested
dd.mm.yyyy]])</f>
        <v>38</v>
      </c>
      <c r="M739" s="36">
        <f>YEAR(Table1[[#This Row],[ETA
As requested
dd.mm.yyyy]])</f>
        <v>2024</v>
      </c>
      <c r="N739" s="36">
        <f>IFERROR(INDEX(DATABASE_FG!$H$5:$H$367, MATCH(E739, DATABASE_FG!$C$5:$C$367, 0)), " ")</f>
        <v>0</v>
      </c>
      <c r="O739" s="129" t="str">
        <f>IF(E739&lt;&gt;"", _xlfn.XLOOKUP(E739, DATABASE_FG!C:C, DATABASE_FG!F:F), " ")</f>
        <v>Inel gaurire</v>
      </c>
      <c r="P739" s="129">
        <f>IFERROR(INDEX(DATABASE_FG!$G$5:$G$367, MATCH(E739, DATABASE_FG!$C$5:$C$367, 0)), "Not Found")</f>
        <v>0</v>
      </c>
      <c r="Q739" s="36"/>
      <c r="R739" s="125" t="s">
        <v>680</v>
      </c>
      <c r="S739" s="123">
        <f>Table1[[#This Row],[Quantity]]/48</f>
        <v>0.20833333333333334</v>
      </c>
      <c r="T739" s="36"/>
      <c r="U739" s="36"/>
      <c r="V739" s="36"/>
      <c r="W739" s="129"/>
      <c r="X739" s="36"/>
      <c r="Y739" s="36"/>
      <c r="Z739" s="36"/>
      <c r="AA739" s="125" t="s">
        <v>121</v>
      </c>
      <c r="AB739" s="173">
        <v>45876</v>
      </c>
      <c r="AC739" s="119"/>
      <c r="AD739" s="36" t="str">
        <f t="shared" si="90"/>
        <v/>
      </c>
      <c r="AE739" s="36" t="str">
        <f t="shared" si="91"/>
        <v/>
      </c>
      <c r="AF739" s="36">
        <v>0</v>
      </c>
      <c r="AG739" s="120">
        <f t="shared" si="93"/>
        <v>0</v>
      </c>
      <c r="AH739" s="36"/>
      <c r="AI739" s="124"/>
      <c r="AJ739" s="122"/>
      <c r="AK739" s="129" t="str">
        <f t="shared" ca="1" si="92"/>
        <v>Late</v>
      </c>
      <c r="AL739" s="268" t="str">
        <f t="shared" si="89"/>
        <v>September</v>
      </c>
      <c r="AM739" s="133">
        <f>YEAR(Table1[[#This Row],[ETA
As requested
dd.mm.yyyy]])</f>
        <v>2024</v>
      </c>
    </row>
    <row r="740" spans="1:39" hidden="1">
      <c r="A740" s="123" t="s">
        <v>83</v>
      </c>
      <c r="B740" s="36" t="s">
        <v>1170</v>
      </c>
      <c r="C740" s="117">
        <v>36396934</v>
      </c>
      <c r="D740" s="165">
        <v>45362</v>
      </c>
      <c r="E740" s="117" t="s">
        <v>1237</v>
      </c>
      <c r="F740" s="36" t="str">
        <f>IFERROR(VLOOKUP(Table1[[#This Row],[Part Number]],DATABASE_FG!$C$6:D10729,2,FALSE)," ")</f>
        <v>097122211-0000</v>
      </c>
      <c r="G740" s="117" t="str">
        <f>IFERROR(_xlfn.XLOOKUP(Table1[[#This Row],[Part Number]],Table3[Part number],Table3[Drawing
 Revision]),"")</f>
        <v>AB</v>
      </c>
      <c r="H740" s="118" cm="1">
        <f t="array" ref="H740">IFERROR(INDEX(PDB!$C:$AT,MATCH(E740,PDB!$B:$B,0),MATCH(YEAR(K740),0+PDB!$C$1:$AT$1,0)),"")</f>
        <v>9.14</v>
      </c>
      <c r="I740" s="36">
        <v>8</v>
      </c>
      <c r="J740" s="125">
        <f>IFERROR(Table1[[#This Row],[Quantity]]*Table1[[#This Row],[Price/Unit
EUR]]," ")</f>
        <v>73.12</v>
      </c>
      <c r="K740" s="126">
        <v>45376</v>
      </c>
      <c r="L740" s="36">
        <f>WEEKNUM(Table1[[#This Row],[ETA
As requested
dd.mm.yyyy]])</f>
        <v>13</v>
      </c>
      <c r="M740" s="36">
        <f>YEAR(Table1[[#This Row],[ETA
As requested
dd.mm.yyyy]])</f>
        <v>2024</v>
      </c>
      <c r="N740" s="36">
        <f>IFERROR(INDEX(DATABASE_FG!$H$5:$H$367, MATCH(E740, DATABASE_FG!$C$5:$C$367, 0)), " ")</f>
        <v>0</v>
      </c>
      <c r="O740" s="129" t="str">
        <f>IF(E740&lt;&gt;"", _xlfn.XLOOKUP(E740, DATABASE_FG!C:C, DATABASE_FG!F:F), " ")</f>
        <v>Atlanta strunjire</v>
      </c>
      <c r="P740" s="129">
        <f>IFERROR(INDEX(DATABASE_FG!$G$5:$G$367, MATCH(E740, DATABASE_FG!$C$5:$C$367, 0)), "Not Found")</f>
        <v>200</v>
      </c>
      <c r="Q740" s="36"/>
      <c r="R740" s="125" t="s">
        <v>678</v>
      </c>
      <c r="S740" s="123">
        <f>IFERROR(INDEX(DATABASE_FG!$L$5:$L$367, MATCH(E740, DATABASE_FG!$C$5:$C$367, 0)), " ")</f>
        <v>42</v>
      </c>
      <c r="T740" s="36" t="s">
        <v>679</v>
      </c>
      <c r="U740" s="36"/>
      <c r="V740" s="36"/>
      <c r="W740" s="129"/>
      <c r="X740" s="36"/>
      <c r="Y740" s="36"/>
      <c r="Z740" s="36" t="s">
        <v>1239</v>
      </c>
      <c r="AA740" s="125" t="s">
        <v>121</v>
      </c>
      <c r="AB740" s="173">
        <v>45428</v>
      </c>
      <c r="AC740" s="119">
        <v>2024497</v>
      </c>
      <c r="AD740" s="36">
        <f t="shared" si="90"/>
        <v>36396934</v>
      </c>
      <c r="AE740" s="36" t="str">
        <f t="shared" si="91"/>
        <v>F-552668-0044-DRE</v>
      </c>
      <c r="AF740" s="36">
        <v>5</v>
      </c>
      <c r="AG740" s="120">
        <f t="shared" si="93"/>
        <v>45.7</v>
      </c>
      <c r="AH740" s="36"/>
      <c r="AI740" s="124"/>
      <c r="AJ740" s="122" t="s">
        <v>1240</v>
      </c>
      <c r="AK740" s="129" t="str">
        <f t="shared" ca="1" si="92"/>
        <v>Late</v>
      </c>
      <c r="AL740" s="268" t="str">
        <f t="shared" si="89"/>
        <v>March</v>
      </c>
      <c r="AM740" s="133">
        <f>YEAR(Table1[[#This Row],[ETA
As requested
dd.mm.yyyy]])</f>
        <v>2024</v>
      </c>
    </row>
    <row r="741" spans="1:39" hidden="1">
      <c r="A741" s="123" t="s">
        <v>83</v>
      </c>
      <c r="B741" s="36" t="s">
        <v>1170</v>
      </c>
      <c r="C741" s="117">
        <v>37007025</v>
      </c>
      <c r="D741" s="165">
        <v>45447</v>
      </c>
      <c r="E741" s="117" t="s">
        <v>1237</v>
      </c>
      <c r="F741" s="36" t="str">
        <f>IFERROR(VLOOKUP(Table1[[#This Row],[Part Number]],DATABASE_FG!$C$6:D10730,2,FALSE)," ")</f>
        <v>097122211-0000</v>
      </c>
      <c r="G741" s="117" t="str">
        <f>IFERROR(_xlfn.XLOOKUP(Table1[[#This Row],[Part Number]],Table3[Part number],Table3[Drawing
 Revision]),"")</f>
        <v>AB</v>
      </c>
      <c r="H741" s="118" cm="1">
        <f t="array" ref="H741">IFERROR(INDEX(PDB!$C:$AT,MATCH(E741,PDB!$B:$B,0),MATCH(YEAR(K741),0+PDB!$C$1:$AT$1,0)),"")</f>
        <v>9.14</v>
      </c>
      <c r="I741" s="36">
        <v>200</v>
      </c>
      <c r="J741" s="125">
        <f>IFERROR(Table1[[#This Row],[Quantity]]*Table1[[#This Row],[Price/Unit
EUR]]," ")</f>
        <v>1828</v>
      </c>
      <c r="K741" s="126">
        <v>45463</v>
      </c>
      <c r="L741" s="36">
        <f>WEEKNUM(Table1[[#This Row],[ETA
As requested
dd.mm.yyyy]])</f>
        <v>25</v>
      </c>
      <c r="M741" s="36">
        <f>YEAR(Table1[[#This Row],[ETA
As requested
dd.mm.yyyy]])</f>
        <v>2024</v>
      </c>
      <c r="N741" s="36">
        <f>IFERROR(INDEX(DATABASE_FG!$H$5:$H$367, MATCH(E741, DATABASE_FG!$C$5:$C$367, 0)), " ")</f>
        <v>0</v>
      </c>
      <c r="O741" s="129" t="str">
        <f>IF(E741&lt;&gt;"", _xlfn.XLOOKUP(E741, DATABASE_FG!C:C, DATABASE_FG!F:F), " ")</f>
        <v>Atlanta strunjire</v>
      </c>
      <c r="P741" s="129">
        <f>IFERROR(INDEX(DATABASE_FG!$G$5:$G$367, MATCH(E741, DATABASE_FG!$C$5:$C$367, 0)), "Not Found")</f>
        <v>200</v>
      </c>
      <c r="Q741" s="36"/>
      <c r="R741" s="125" t="s">
        <v>678</v>
      </c>
      <c r="S741" s="123">
        <f>IFERROR(INDEX(DATABASE_FG!$L$5:$L$367, MATCH(E741, DATABASE_FG!$C$5:$C$367, 0)), " ")</f>
        <v>42</v>
      </c>
      <c r="T741" s="36" t="s">
        <v>679</v>
      </c>
      <c r="U741" s="36"/>
      <c r="V741" s="36"/>
      <c r="W741" s="129"/>
      <c r="X741" s="36"/>
      <c r="Y741" s="36"/>
      <c r="Z741" s="36">
        <v>242701</v>
      </c>
      <c r="AA741" s="125" t="s">
        <v>121</v>
      </c>
      <c r="AB741" s="173">
        <v>45482</v>
      </c>
      <c r="AC741" s="119">
        <v>2024824</v>
      </c>
      <c r="AD741" s="36">
        <f t="shared" si="90"/>
        <v>37007025</v>
      </c>
      <c r="AE741" s="36" t="str">
        <f t="shared" si="91"/>
        <v>F-552668-0044-DRE</v>
      </c>
      <c r="AF741" s="36">
        <v>198</v>
      </c>
      <c r="AG741" s="120">
        <f t="shared" si="93"/>
        <v>1809.72</v>
      </c>
      <c r="AH741" s="36">
        <v>2</v>
      </c>
      <c r="AI741" s="124"/>
      <c r="AJ741" s="122" t="s">
        <v>1712</v>
      </c>
      <c r="AK741" s="129" t="str">
        <f t="shared" ca="1" si="92"/>
        <v>Late</v>
      </c>
      <c r="AL741" s="268" t="str">
        <f t="shared" si="89"/>
        <v>June</v>
      </c>
      <c r="AM741" s="133">
        <f>YEAR(Table1[[#This Row],[ETA
As requested
dd.mm.yyyy]])</f>
        <v>2024</v>
      </c>
    </row>
    <row r="742" spans="1:39" hidden="1">
      <c r="A742" s="123" t="s">
        <v>83</v>
      </c>
      <c r="B742" s="36" t="s">
        <v>1170</v>
      </c>
      <c r="C742" s="117">
        <v>37269825</v>
      </c>
      <c r="D742" s="165">
        <v>45447</v>
      </c>
      <c r="E742" s="117" t="s">
        <v>1237</v>
      </c>
      <c r="F742" s="36" t="str">
        <f>IFERROR(VLOOKUP(Table1[[#This Row],[Part Number]],DATABASE_FG!$C$6:D10731,2,FALSE)," ")</f>
        <v>097122211-0000</v>
      </c>
      <c r="G742" s="117" t="str">
        <f>IFERROR(_xlfn.XLOOKUP(Table1[[#This Row],[Part Number]],Table3[Part number],Table3[Drawing
 Revision]),"")</f>
        <v>AB</v>
      </c>
      <c r="H742" s="118" cm="1">
        <f t="array" ref="H742">IFERROR(INDEX(PDB!$C:$AT,MATCH(E742,PDB!$B:$B,0),MATCH(YEAR(K742),0+PDB!$C$1:$AT$1,0)),"")</f>
        <v>9.14</v>
      </c>
      <c r="I742" s="36">
        <v>200</v>
      </c>
      <c r="J742" s="125">
        <f>IFERROR(Table1[[#This Row],[Quantity]]*Table1[[#This Row],[Price/Unit
EUR]]," ")</f>
        <v>1828</v>
      </c>
      <c r="K742" s="126">
        <v>45504</v>
      </c>
      <c r="L742" s="36">
        <f>WEEKNUM(Table1[[#This Row],[ETA
As requested
dd.mm.yyyy]])</f>
        <v>31</v>
      </c>
      <c r="M742" s="36">
        <f>YEAR(Table1[[#This Row],[ETA
As requested
dd.mm.yyyy]])</f>
        <v>2024</v>
      </c>
      <c r="N742" s="36">
        <f>IFERROR(INDEX(DATABASE_FG!$H$5:$H$367, MATCH(E742, DATABASE_FG!$C$5:$C$367, 0)), " ")</f>
        <v>0</v>
      </c>
      <c r="O742" s="129" t="str">
        <f>IF(E742&lt;&gt;"", _xlfn.XLOOKUP(E742, DATABASE_FG!C:C, DATABASE_FG!F:F), " ")</f>
        <v>Atlanta strunjire</v>
      </c>
      <c r="P742" s="129">
        <f>IFERROR(INDEX(DATABASE_FG!$G$5:$G$367, MATCH(E742, DATABASE_FG!$C$5:$C$367, 0)), "Not Found")</f>
        <v>200</v>
      </c>
      <c r="Q742" s="36"/>
      <c r="R742" s="125" t="s">
        <v>678</v>
      </c>
      <c r="S742" s="123">
        <f>IFERROR(INDEX(DATABASE_FG!$L$5:$L$367, MATCH(E742, DATABASE_FG!$C$5:$C$367, 0)), " ")</f>
        <v>42</v>
      </c>
      <c r="T742" s="36" t="s">
        <v>679</v>
      </c>
      <c r="U742" s="36"/>
      <c r="V742" s="36"/>
      <c r="W742" s="129"/>
      <c r="X742" s="36" t="s">
        <v>677</v>
      </c>
      <c r="Y742" s="36"/>
      <c r="Z742" s="36">
        <v>242701</v>
      </c>
      <c r="AA742" s="125" t="s">
        <v>121</v>
      </c>
      <c r="AB742" s="173">
        <v>45523</v>
      </c>
      <c r="AC742" s="119">
        <v>202401041</v>
      </c>
      <c r="AD742" s="36">
        <f t="shared" si="90"/>
        <v>37269825</v>
      </c>
      <c r="AE742" s="36" t="str">
        <f t="shared" si="91"/>
        <v>F-552668-0044-DRE</v>
      </c>
      <c r="AF742" s="36">
        <v>200</v>
      </c>
      <c r="AG742" s="120">
        <f t="shared" si="93"/>
        <v>1828</v>
      </c>
      <c r="AH742" s="36"/>
      <c r="AI742" s="124"/>
      <c r="AJ742" s="122" t="s">
        <v>1898</v>
      </c>
      <c r="AK742" s="129" t="str">
        <f t="shared" ca="1" si="92"/>
        <v>Late</v>
      </c>
      <c r="AL742" s="268" t="str">
        <f t="shared" ref="AL742:AL805" si="94">TEXT(K742,"mmmm")</f>
        <v>July</v>
      </c>
      <c r="AM742" s="133">
        <f>YEAR(Table1[[#This Row],[ETA
As requested
dd.mm.yyyy]])</f>
        <v>2024</v>
      </c>
    </row>
    <row r="743" spans="1:39" hidden="1">
      <c r="A743" s="123" t="s">
        <v>83</v>
      </c>
      <c r="B743" s="36" t="s">
        <v>1170</v>
      </c>
      <c r="C743" s="117">
        <v>37404981</v>
      </c>
      <c r="D743" s="165">
        <v>45447</v>
      </c>
      <c r="E743" s="117" t="s">
        <v>1237</v>
      </c>
      <c r="F743" s="36" t="str">
        <f>IFERROR(VLOOKUP(Table1[[#This Row],[Part Number]],DATABASE_FG!$C$6:D10732,2,FALSE)," ")</f>
        <v>097122211-0000</v>
      </c>
      <c r="G743" s="117" t="str">
        <f>IFERROR(_xlfn.XLOOKUP(Table1[[#This Row],[Part Number]],Table3[Part number],Table3[Drawing
 Revision]),"")</f>
        <v>AB</v>
      </c>
      <c r="H743" s="118" cm="1">
        <f t="array" ref="H743">IFERROR(INDEX(PDB!$C:$AT,MATCH(E743,PDB!$B:$B,0),MATCH(YEAR(K743),0+PDB!$C$1:$AT$1,0)),"")</f>
        <v>9.14</v>
      </c>
      <c r="I743" s="36">
        <v>286</v>
      </c>
      <c r="J743" s="125">
        <f>IFERROR(Table1[[#This Row],[Quantity]]*Table1[[#This Row],[Price/Unit
EUR]]," ")</f>
        <v>2614.04</v>
      </c>
      <c r="K743" s="126">
        <v>45527</v>
      </c>
      <c r="L743" s="36">
        <f>WEEKNUM(Table1[[#This Row],[ETA
As requested
dd.mm.yyyy]])</f>
        <v>34</v>
      </c>
      <c r="M743" s="36">
        <f>YEAR(Table1[[#This Row],[ETA
As requested
dd.mm.yyyy]])</f>
        <v>2024</v>
      </c>
      <c r="N743" s="36">
        <f>IFERROR(INDEX(DATABASE_FG!$H$5:$H$367, MATCH(E743, DATABASE_FG!$C$5:$C$367, 0)), " ")</f>
        <v>0</v>
      </c>
      <c r="O743" s="129" t="str">
        <f>IF(E743&lt;&gt;"", _xlfn.XLOOKUP(E743, DATABASE_FG!C:C, DATABASE_FG!F:F), " ")</f>
        <v>Atlanta strunjire</v>
      </c>
      <c r="P743" s="129">
        <f>IFERROR(INDEX(DATABASE_FG!$G$5:$G$367, MATCH(E743, DATABASE_FG!$C$5:$C$367, 0)), "Not Found")</f>
        <v>200</v>
      </c>
      <c r="Q743" s="36"/>
      <c r="R743" s="125" t="s">
        <v>678</v>
      </c>
      <c r="S743" s="123">
        <f>IFERROR(INDEX(DATABASE_FG!$L$5:$L$367, MATCH(E743, DATABASE_FG!$C$5:$C$367, 0)), " ")</f>
        <v>42</v>
      </c>
      <c r="T743" s="36" t="s">
        <v>679</v>
      </c>
      <c r="U743" s="36"/>
      <c r="V743" s="36"/>
      <c r="W743" s="129"/>
      <c r="X743" s="36"/>
      <c r="Y743" s="36"/>
      <c r="Z743" s="36"/>
      <c r="AA743" s="125" t="s">
        <v>121</v>
      </c>
      <c r="AB743" s="173">
        <v>45523</v>
      </c>
      <c r="AC743" s="119">
        <v>202401042</v>
      </c>
      <c r="AD743" s="36">
        <f t="shared" si="90"/>
        <v>37404981</v>
      </c>
      <c r="AE743" s="36" t="str">
        <f t="shared" si="91"/>
        <v>F-552668-0044-DRE</v>
      </c>
      <c r="AF743" s="36">
        <v>83</v>
      </c>
      <c r="AG743" s="120">
        <f t="shared" si="93"/>
        <v>758.62</v>
      </c>
      <c r="AH743" s="36">
        <v>3</v>
      </c>
      <c r="AI743" s="124"/>
      <c r="AJ743" s="122" t="s">
        <v>2115</v>
      </c>
      <c r="AK743" s="129" t="str">
        <f t="shared" ca="1" si="92"/>
        <v>On Time</v>
      </c>
      <c r="AL743" s="268" t="str">
        <f t="shared" si="94"/>
        <v>August</v>
      </c>
      <c r="AM743" s="133">
        <f>YEAR(Table1[[#This Row],[ETA
As requested
dd.mm.yyyy]])</f>
        <v>2024</v>
      </c>
    </row>
    <row r="744" spans="1:39" hidden="1">
      <c r="A744" s="123" t="s">
        <v>83</v>
      </c>
      <c r="B744" s="36" t="s">
        <v>1170</v>
      </c>
      <c r="C744" s="117">
        <v>37404981</v>
      </c>
      <c r="D744" s="165">
        <v>45447</v>
      </c>
      <c r="E744" s="117" t="s">
        <v>1237</v>
      </c>
      <c r="F744" s="36" t="str">
        <f>IFERROR(VLOOKUP(Table1[[#This Row],[Part Number]],DATABASE_FG!$C$6:D10733,2,FALSE)," ")</f>
        <v>097122211-0000</v>
      </c>
      <c r="G744" s="117" t="str">
        <f>IFERROR(_xlfn.XLOOKUP(Table1[[#This Row],[Part Number]],Table3[Part number],Table3[Drawing
 Revision]),"")</f>
        <v>AB</v>
      </c>
      <c r="H744" s="118" cm="1">
        <f t="array" ref="H744">IFERROR(INDEX(PDB!$C:$AT,MATCH(E744,PDB!$B:$B,0),MATCH(YEAR(K744),0+PDB!$C$1:$AT$1,0)),"")</f>
        <v>9.14</v>
      </c>
      <c r="I744" s="36">
        <v>0</v>
      </c>
      <c r="J744" s="125">
        <f>IFERROR(Table1[[#This Row],[Quantity]]*Table1[[#This Row],[Price/Unit
EUR]]," ")</f>
        <v>0</v>
      </c>
      <c r="K744" s="126">
        <v>45527</v>
      </c>
      <c r="L744" s="36">
        <f>WEEKNUM(Table1[[#This Row],[ETA
As requested
dd.mm.yyyy]])</f>
        <v>34</v>
      </c>
      <c r="M744" s="36">
        <f>YEAR(Table1[[#This Row],[ETA
As requested
dd.mm.yyyy]])</f>
        <v>2024</v>
      </c>
      <c r="N744" s="36">
        <f>IFERROR(INDEX(DATABASE_FG!$H$5:$H$367, MATCH(E744, DATABASE_FG!$C$5:$C$367, 0)), " ")</f>
        <v>0</v>
      </c>
      <c r="O744" s="129" t="str">
        <f>IF(E744&lt;&gt;"", _xlfn.XLOOKUP(E744, DATABASE_FG!C:C, DATABASE_FG!F:F), " ")</f>
        <v>Atlanta strunjire</v>
      </c>
      <c r="P744" s="129">
        <f>IFERROR(INDEX(DATABASE_FG!$G$5:$G$367, MATCH(E744, DATABASE_FG!$C$5:$C$367, 0)), "Not Found")</f>
        <v>200</v>
      </c>
      <c r="Q744" s="36"/>
      <c r="R744" s="125" t="s">
        <v>678</v>
      </c>
      <c r="S744" s="123">
        <f>IFERROR(INDEX(DATABASE_FG!$L$5:$L$367, MATCH(E744, DATABASE_FG!$C$5:$C$367, 0)), " ")</f>
        <v>42</v>
      </c>
      <c r="T744" s="36" t="s">
        <v>679</v>
      </c>
      <c r="U744" s="36"/>
      <c r="V744" s="36"/>
      <c r="W744" s="129"/>
      <c r="X744" s="36"/>
      <c r="Y744" s="36"/>
      <c r="Z744" s="36"/>
      <c r="AA744" s="125" t="s">
        <v>121</v>
      </c>
      <c r="AB744" s="173">
        <v>45525</v>
      </c>
      <c r="AC744" s="119">
        <v>202401049</v>
      </c>
      <c r="AD744" s="36">
        <f t="shared" si="90"/>
        <v>37404981</v>
      </c>
      <c r="AE744" s="36" t="str">
        <f t="shared" si="91"/>
        <v>F-552668-0044-DRE</v>
      </c>
      <c r="AF744" s="36">
        <v>200</v>
      </c>
      <c r="AG744" s="120">
        <f t="shared" si="93"/>
        <v>1828</v>
      </c>
      <c r="AH744" s="36"/>
      <c r="AI744" s="124"/>
      <c r="AJ744" s="122" t="s">
        <v>2117</v>
      </c>
      <c r="AK744" s="129" t="str">
        <f t="shared" ca="1" si="92"/>
        <v>On Time</v>
      </c>
      <c r="AL744" s="268" t="str">
        <f t="shared" si="94"/>
        <v>August</v>
      </c>
      <c r="AM744" s="133">
        <f>YEAR(Table1[[#This Row],[ETA
As requested
dd.mm.yyyy]])</f>
        <v>2024</v>
      </c>
    </row>
    <row r="745" spans="1:39" hidden="1">
      <c r="A745" s="123" t="s">
        <v>83</v>
      </c>
      <c r="B745" s="36" t="s">
        <v>1170</v>
      </c>
      <c r="C745" s="117">
        <v>37614735</v>
      </c>
      <c r="D745" s="165">
        <v>45544</v>
      </c>
      <c r="E745" s="117" t="s">
        <v>1237</v>
      </c>
      <c r="F745" s="36" t="str">
        <f>IFERROR(VLOOKUP(Table1[[#This Row],[Part Number]],DATABASE_FG!$C$6:D10734,2,FALSE)," ")</f>
        <v>097122211-0000</v>
      </c>
      <c r="G745" s="117" t="str">
        <f>IFERROR(_xlfn.XLOOKUP(Table1[[#This Row],[Part Number]],Table3[Part number],Table3[Drawing
 Revision]),"")</f>
        <v>AB</v>
      </c>
      <c r="H745" s="118" cm="1">
        <f t="array" ref="H745">IFERROR(INDEX(PDB!$C:$AT,MATCH(E745,PDB!$B:$B,0),MATCH(YEAR(K745),0+PDB!$C$1:$AT$1,0)),"")</f>
        <v>9.14</v>
      </c>
      <c r="I745" s="36">
        <v>400</v>
      </c>
      <c r="J745" s="125">
        <f>IFERROR(Table1[[#This Row],[Quantity]]*Table1[[#This Row],[Price/Unit
EUR]]," ")</f>
        <v>3656</v>
      </c>
      <c r="K745" s="126">
        <v>45559</v>
      </c>
      <c r="L745" s="36">
        <f>WEEKNUM(Table1[[#This Row],[ETA
As requested
dd.mm.yyyy]])</f>
        <v>39</v>
      </c>
      <c r="M745" s="36">
        <f>YEAR(Table1[[#This Row],[ETA
As requested
dd.mm.yyyy]])</f>
        <v>2024</v>
      </c>
      <c r="N745" s="36">
        <f>IFERROR(INDEX(DATABASE_FG!$H$5:$H$367, MATCH(E745, DATABASE_FG!$C$5:$C$367, 0)), " ")</f>
        <v>0</v>
      </c>
      <c r="O745" s="129" t="str">
        <f>IF(E745&lt;&gt;"", _xlfn.XLOOKUP(E745, DATABASE_FG!C:C, DATABASE_FG!F:F), " ")</f>
        <v>Atlanta strunjire</v>
      </c>
      <c r="P745" s="129">
        <f>IFERROR(INDEX(DATABASE_FG!$G$5:$G$367, MATCH(E745, DATABASE_FG!$C$5:$C$367, 0)), "Not Found")</f>
        <v>200</v>
      </c>
      <c r="Q745" s="36"/>
      <c r="R745" s="125" t="s">
        <v>678</v>
      </c>
      <c r="S745" s="123">
        <f>IFERROR(INDEX(DATABASE_FG!$L$5:$L$367, MATCH(E745, DATABASE_FG!$C$5:$C$367, 0)), " ")</f>
        <v>42</v>
      </c>
      <c r="T745" s="36" t="s">
        <v>679</v>
      </c>
      <c r="U745" s="36"/>
      <c r="V745" s="36"/>
      <c r="W745" s="129"/>
      <c r="X745" s="36"/>
      <c r="Y745" s="36"/>
      <c r="Z745" s="36"/>
      <c r="AA745" s="125" t="s">
        <v>121</v>
      </c>
      <c r="AB745" s="173">
        <v>45555</v>
      </c>
      <c r="AC745" s="119">
        <v>202401157</v>
      </c>
      <c r="AD745" s="36">
        <f t="shared" si="90"/>
        <v>37614735</v>
      </c>
      <c r="AE745" s="36" t="str">
        <f t="shared" si="91"/>
        <v>F-552668-0044-DRE</v>
      </c>
      <c r="AF745" s="36">
        <v>398</v>
      </c>
      <c r="AG745" s="120">
        <f t="shared" si="93"/>
        <v>3637.7200000000003</v>
      </c>
      <c r="AH745" s="36">
        <v>2</v>
      </c>
      <c r="AI745" s="124"/>
      <c r="AJ745" s="122" t="s">
        <v>2389</v>
      </c>
      <c r="AK745" s="129" t="str">
        <f t="shared" ca="1" si="92"/>
        <v>On Time</v>
      </c>
      <c r="AL745" s="268" t="str">
        <f t="shared" si="94"/>
        <v>September</v>
      </c>
      <c r="AM745" s="133">
        <f>YEAR(Table1[[#This Row],[ETA
As requested
dd.mm.yyyy]])</f>
        <v>2024</v>
      </c>
    </row>
    <row r="746" spans="1:39" hidden="1">
      <c r="A746" s="123" t="s">
        <v>83</v>
      </c>
      <c r="B746" s="36" t="s">
        <v>1170</v>
      </c>
      <c r="C746" s="117">
        <v>37783862</v>
      </c>
      <c r="D746" s="165">
        <v>45573</v>
      </c>
      <c r="E746" s="117" t="s">
        <v>1237</v>
      </c>
      <c r="F746" s="36" t="str">
        <f>IFERROR(VLOOKUP(Table1[[#This Row],[Part Number]],DATABASE_FG!$C$6:D10735,2,FALSE)," ")</f>
        <v>097122211-0000</v>
      </c>
      <c r="G746" s="117" t="str">
        <f>IFERROR(_xlfn.XLOOKUP(Table1[[#This Row],[Part Number]],Table3[Part number],Table3[Drawing
 Revision]),"")</f>
        <v>AB</v>
      </c>
      <c r="H746" s="118" cm="1">
        <f t="array" ref="H746">IFERROR(INDEX(PDB!$C:$AT,MATCH(E746,PDB!$B:$B,0),MATCH(YEAR(K746),0+PDB!$C$1:$AT$1,0)),"")</f>
        <v>9.14</v>
      </c>
      <c r="I746" s="36">
        <v>493</v>
      </c>
      <c r="J746" s="125">
        <f>IFERROR(Table1[[#This Row],[Quantity]]*Table1[[#This Row],[Price/Unit
EUR]]," ")</f>
        <v>4506.0200000000004</v>
      </c>
      <c r="K746" s="126">
        <v>45588</v>
      </c>
      <c r="L746" s="36">
        <f>WEEKNUM(Table1[[#This Row],[ETA
As requested
dd.mm.yyyy]])</f>
        <v>43</v>
      </c>
      <c r="M746" s="36">
        <f>YEAR(Table1[[#This Row],[ETA
As requested
dd.mm.yyyy]])</f>
        <v>2024</v>
      </c>
      <c r="N746" s="36">
        <f>IFERROR(INDEX(DATABASE_FG!$H$5:$H$367, MATCH(E746, DATABASE_FG!$C$5:$C$367, 0)), " ")</f>
        <v>0</v>
      </c>
      <c r="O746" s="129" t="str">
        <f>IF(E746&lt;&gt;"", _xlfn.XLOOKUP(E746, DATABASE_FG!C:C, DATABASE_FG!F:F), " ")</f>
        <v>Atlanta strunjire</v>
      </c>
      <c r="P746" s="129">
        <f>IFERROR(INDEX(DATABASE_FG!$G$5:$G$367, MATCH(E746, DATABASE_FG!$C$5:$C$367, 0)), "Not Found")</f>
        <v>200</v>
      </c>
      <c r="Q746" s="36"/>
      <c r="R746" s="125" t="s">
        <v>678</v>
      </c>
      <c r="S746" s="123">
        <f>IFERROR(INDEX(DATABASE_FG!$L$5:$L$367, MATCH(E746, DATABASE_FG!$C$5:$C$367, 0)), " ")</f>
        <v>42</v>
      </c>
      <c r="T746" s="36" t="s">
        <v>679</v>
      </c>
      <c r="U746" s="36"/>
      <c r="V746" s="36"/>
      <c r="W746" s="129"/>
      <c r="X746" s="36"/>
      <c r="Y746" s="36"/>
      <c r="Z746" s="36"/>
      <c r="AA746" s="125" t="s">
        <v>121</v>
      </c>
      <c r="AB746" s="173">
        <v>45610</v>
      </c>
      <c r="AC746" s="119">
        <v>202401390</v>
      </c>
      <c r="AD746" s="36">
        <f t="shared" si="90"/>
        <v>37783862</v>
      </c>
      <c r="AE746" s="36" t="str">
        <f t="shared" si="91"/>
        <v>F-552668-0044-DRE</v>
      </c>
      <c r="AF746" s="36">
        <v>492</v>
      </c>
      <c r="AG746" s="120">
        <f t="shared" si="93"/>
        <v>4496.88</v>
      </c>
      <c r="AH746" s="36">
        <v>1</v>
      </c>
      <c r="AI746" s="124"/>
      <c r="AJ746" s="122" t="s">
        <v>2515</v>
      </c>
      <c r="AK746" s="129" t="str">
        <f t="shared" ca="1" si="92"/>
        <v>Late</v>
      </c>
      <c r="AL746" s="268" t="str">
        <f t="shared" si="94"/>
        <v>October</v>
      </c>
      <c r="AM746" s="133">
        <f>YEAR(Table1[[#This Row],[ETA
As requested
dd.mm.yyyy]])</f>
        <v>2024</v>
      </c>
    </row>
    <row r="747" spans="1:39" hidden="1">
      <c r="A747" s="123" t="s">
        <v>83</v>
      </c>
      <c r="B747" s="36" t="s">
        <v>1170</v>
      </c>
      <c r="C747" s="117">
        <v>38160995</v>
      </c>
      <c r="D747" s="165">
        <v>45632</v>
      </c>
      <c r="E747" s="117" t="s">
        <v>1237</v>
      </c>
      <c r="F747" s="36" t="str">
        <f>IFERROR(VLOOKUP(Table1[[#This Row],[Part Number]],DATABASE_FG!$C$6:D10736,2,FALSE)," ")</f>
        <v>097122211-0000</v>
      </c>
      <c r="G747" s="117" t="str">
        <f>IFERROR(_xlfn.XLOOKUP(Table1[[#This Row],[Part Number]],Table3[Part number],Table3[Drawing
 Revision]),"")</f>
        <v>AB</v>
      </c>
      <c r="H747" s="118" cm="1">
        <f t="array" ref="H747">IFERROR(INDEX(PDB!$C:$AT,MATCH(E747,PDB!$B:$B,0),MATCH(YEAR(K747),0+PDB!$C$1:$AT$1,0)),"")</f>
        <v>9.14</v>
      </c>
      <c r="I747" s="36">
        <v>398</v>
      </c>
      <c r="J747" s="125">
        <v>4003.32</v>
      </c>
      <c r="K747" s="126">
        <v>45653</v>
      </c>
      <c r="L747" s="36">
        <f>WEEKNUM(Table1[[#This Row],[ETA
As requested
dd.mm.yyyy]])</f>
        <v>52</v>
      </c>
      <c r="M747" s="36">
        <f>YEAR(Table1[[#This Row],[ETA
As requested
dd.mm.yyyy]])</f>
        <v>2024</v>
      </c>
      <c r="N747" s="36">
        <v>0</v>
      </c>
      <c r="O747" s="129" t="str">
        <f>IF(E747&lt;&gt;"", _xlfn.XLOOKUP(E747, DATABASE_FG!C:C, DATABASE_FG!F:F), " ")</f>
        <v>Atlanta strunjire</v>
      </c>
      <c r="P747" s="129">
        <f>IFERROR(INDEX(DATABASE_FG!$G$5:$G$367, MATCH(E747, DATABASE_FG!$C$5:$C$367, 0)), "Not Found")</f>
        <v>200</v>
      </c>
      <c r="Q747" s="36"/>
      <c r="R747" s="125" t="s">
        <v>678</v>
      </c>
      <c r="S747" s="123">
        <v>42</v>
      </c>
      <c r="T747" s="36" t="s">
        <v>679</v>
      </c>
      <c r="U747" s="36"/>
      <c r="V747" s="36"/>
      <c r="W747" s="129"/>
      <c r="X747" s="36"/>
      <c r="Y747" s="36"/>
      <c r="Z747" s="36"/>
      <c r="AA747" s="125" t="s">
        <v>121</v>
      </c>
      <c r="AB747" s="173">
        <v>45678</v>
      </c>
      <c r="AC747" s="119" t="s">
        <v>2679</v>
      </c>
      <c r="AD747" s="36">
        <f t="shared" si="90"/>
        <v>38160995</v>
      </c>
      <c r="AE747" s="36" t="str">
        <f t="shared" si="91"/>
        <v>F-552668-0044-DRE</v>
      </c>
      <c r="AF747" s="36">
        <v>398</v>
      </c>
      <c r="AG747" s="120">
        <f t="shared" si="93"/>
        <v>3637.7200000000003</v>
      </c>
      <c r="AH747" s="36"/>
      <c r="AI747" s="124"/>
      <c r="AJ747" s="122" t="s">
        <v>2680</v>
      </c>
      <c r="AK747" s="129" t="str">
        <f t="shared" ca="1" si="92"/>
        <v>Late</v>
      </c>
      <c r="AL747" s="268" t="str">
        <f t="shared" si="94"/>
        <v>December</v>
      </c>
      <c r="AM747" s="133">
        <f>YEAR(Table1[[#This Row],[ETA
As requested
dd.mm.yyyy]])</f>
        <v>2024</v>
      </c>
    </row>
    <row r="748" spans="1:39" hidden="1">
      <c r="A748" s="123" t="s">
        <v>83</v>
      </c>
      <c r="B748" s="36" t="s">
        <v>1170</v>
      </c>
      <c r="C748" s="117">
        <v>38160995</v>
      </c>
      <c r="D748" s="165">
        <v>45632</v>
      </c>
      <c r="E748" s="117" t="s">
        <v>1237</v>
      </c>
      <c r="F748" s="36" t="str">
        <f>IFERROR(VLOOKUP(Table1[[#This Row],[Part Number]],DATABASE_FG!$C$6:D10737,2,FALSE)," ")</f>
        <v>097122211-0000</v>
      </c>
      <c r="G748" s="117" t="str">
        <f>IFERROR(_xlfn.XLOOKUP(Table1[[#This Row],[Part Number]],Table3[Part number],Table3[Drawing
 Revision]),"")</f>
        <v>AB</v>
      </c>
      <c r="H748" s="118" cm="1">
        <f t="array" ref="H748">IFERROR(INDEX(PDB!$C:$AT,MATCH(E748,PDB!$B:$B,0),MATCH(YEAR(K748),0+PDB!$C$1:$AT$1,0)),"")</f>
        <v>9.14</v>
      </c>
      <c r="I748" s="36">
        <f>438-398</f>
        <v>40</v>
      </c>
      <c r="J748" s="125">
        <f>IFERROR(Table1[[#This Row],[Quantity]]*Table1[[#This Row],[Price/Unit
EUR]]," ")</f>
        <v>365.6</v>
      </c>
      <c r="K748" s="126">
        <v>45653</v>
      </c>
      <c r="L748" s="36">
        <f>WEEKNUM(Table1[[#This Row],[ETA
As requested
dd.mm.yyyy]])</f>
        <v>52</v>
      </c>
      <c r="M748" s="36">
        <f>YEAR(Table1[[#This Row],[ETA
As requested
dd.mm.yyyy]])</f>
        <v>2024</v>
      </c>
      <c r="N748" s="36">
        <f>IFERROR(INDEX(DATABASE_FG!$H$5:$H$367, MATCH(E748, DATABASE_FG!$C$5:$C$367, 0)), " ")</f>
        <v>0</v>
      </c>
      <c r="O748" s="129" t="str">
        <f>IF(E748&lt;&gt;"", _xlfn.XLOOKUP(E748, DATABASE_FG!C:C, DATABASE_FG!F:F), " ")</f>
        <v>Atlanta strunjire</v>
      </c>
      <c r="P748" s="129">
        <f>IFERROR(INDEX(DATABASE_FG!$G$5:$G$367, MATCH(E748, DATABASE_FG!$C$5:$C$367, 0)), "Not Found")</f>
        <v>200</v>
      </c>
      <c r="Q748" s="36"/>
      <c r="R748" s="125" t="s">
        <v>678</v>
      </c>
      <c r="S748" s="123">
        <f>IFERROR(INDEX(DATABASE_FG!$L$5:$L$367, MATCH(E748, DATABASE_FG!$C$5:$C$367, 0)), " ")</f>
        <v>42</v>
      </c>
      <c r="T748" s="36" t="s">
        <v>679</v>
      </c>
      <c r="U748" s="36"/>
      <c r="V748" s="36"/>
      <c r="W748" s="129"/>
      <c r="X748" s="36"/>
      <c r="Y748" s="36"/>
      <c r="Z748" s="36"/>
      <c r="AA748" s="125" t="s">
        <v>121</v>
      </c>
      <c r="AB748" s="173">
        <v>45678</v>
      </c>
      <c r="AC748" s="119" t="s">
        <v>2681</v>
      </c>
      <c r="AD748" s="36">
        <f t="shared" si="90"/>
        <v>38160995</v>
      </c>
      <c r="AE748" s="36" t="str">
        <f t="shared" si="91"/>
        <v>F-552668-0044-DRE</v>
      </c>
      <c r="AF748" s="36">
        <v>40</v>
      </c>
      <c r="AG748" s="120">
        <f t="shared" si="93"/>
        <v>365.6</v>
      </c>
      <c r="AH748" s="36"/>
      <c r="AI748" s="124"/>
      <c r="AJ748" s="122" t="s">
        <v>2682</v>
      </c>
      <c r="AK748" s="129" t="str">
        <f t="shared" ca="1" si="92"/>
        <v>Late</v>
      </c>
      <c r="AL748" s="268" t="str">
        <f t="shared" si="94"/>
        <v>December</v>
      </c>
      <c r="AM748" s="133">
        <f>YEAR(Table1[[#This Row],[ETA
As requested
dd.mm.yyyy]])</f>
        <v>2024</v>
      </c>
    </row>
    <row r="749" spans="1:39" hidden="1">
      <c r="A749" s="123" t="s">
        <v>83</v>
      </c>
      <c r="B749" s="36" t="s">
        <v>1170</v>
      </c>
      <c r="C749" s="117">
        <v>38454905</v>
      </c>
      <c r="D749" s="165">
        <v>45677</v>
      </c>
      <c r="E749" s="117" t="s">
        <v>1237</v>
      </c>
      <c r="F749" s="36" t="str">
        <f>IFERROR(VLOOKUP(Table1[[#This Row],[Part Number]],DATABASE_FG!$C$6:D10738,2,FALSE)," ")</f>
        <v>097122211-0000</v>
      </c>
      <c r="G749" s="117" t="str">
        <f>IFERROR(_xlfn.XLOOKUP(Table1[[#This Row],[Part Number]],Table3[Part number],Table3[Drawing
 Revision]),"")</f>
        <v>AB</v>
      </c>
      <c r="H749" s="118" cm="1">
        <f t="array" ref="H749">IFERROR(INDEX(PDB!$C:$AT,MATCH(E749,PDB!$B:$B,0),MATCH(YEAR(K749),0+PDB!$C$1:$AT$1,0)),"")</f>
        <v>9.14</v>
      </c>
      <c r="I749" s="36">
        <v>400</v>
      </c>
      <c r="J749" s="125">
        <f>IFERROR(Table1[[#This Row],[Quantity]]*Table1[[#This Row],[Price/Unit
EUR]]," ")</f>
        <v>3656</v>
      </c>
      <c r="K749" s="126">
        <v>45695</v>
      </c>
      <c r="L749" s="36">
        <f>WEEKNUM(Table1[[#This Row],[ETA
As requested
dd.mm.yyyy]])</f>
        <v>6</v>
      </c>
      <c r="M749" s="36">
        <f>YEAR(Table1[[#This Row],[ETA
As requested
dd.mm.yyyy]])</f>
        <v>2025</v>
      </c>
      <c r="N749" s="36">
        <f>IFERROR(INDEX(DATABASE_FG!$H$5:$H$367, MATCH(E749, DATABASE_FG!$C$5:$C$367, 0)), " ")</f>
        <v>0</v>
      </c>
      <c r="O749" s="129" t="str">
        <f>IF(E749&lt;&gt;"", _xlfn.XLOOKUP(E749, DATABASE_FG!C:C, DATABASE_FG!F:F), " ")</f>
        <v>Atlanta strunjire</v>
      </c>
      <c r="P749" s="129">
        <f>IFERROR(INDEX(DATABASE_FG!$G$5:$G$367, MATCH(E749, DATABASE_FG!$C$5:$C$367, 0)), "Not Found")</f>
        <v>200</v>
      </c>
      <c r="Q749" s="36"/>
      <c r="R749" s="125" t="s">
        <v>678</v>
      </c>
      <c r="S749" s="123">
        <f>IFERROR(INDEX(DATABASE_FG!$L$5:$L$367, MATCH(E749, DATABASE_FG!$C$5:$C$367, 0)), " ")</f>
        <v>42</v>
      </c>
      <c r="T749" s="36" t="s">
        <v>679</v>
      </c>
      <c r="U749" s="36"/>
      <c r="V749" s="36"/>
      <c r="W749" s="129"/>
      <c r="X749" s="36"/>
      <c r="Y749" s="36"/>
      <c r="Z749" s="36"/>
      <c r="AA749" s="125" t="s">
        <v>121</v>
      </c>
      <c r="AB749" s="173">
        <v>45695</v>
      </c>
      <c r="AC749" s="119">
        <v>25164</v>
      </c>
      <c r="AD749" s="36">
        <f t="shared" si="90"/>
        <v>38454905</v>
      </c>
      <c r="AE749" s="36" t="str">
        <f t="shared" si="91"/>
        <v>F-552668-0044-DRE</v>
      </c>
      <c r="AF749" s="36">
        <v>398</v>
      </c>
      <c r="AG749" s="120">
        <f t="shared" si="93"/>
        <v>3637.7200000000003</v>
      </c>
      <c r="AH749" s="36">
        <v>2</v>
      </c>
      <c r="AI749" s="124"/>
      <c r="AJ749" s="122" t="s">
        <v>2785</v>
      </c>
      <c r="AK749" s="129" t="str">
        <f t="shared" ca="1" si="92"/>
        <v>On Time</v>
      </c>
      <c r="AL749" s="268" t="str">
        <f t="shared" si="94"/>
        <v>February</v>
      </c>
      <c r="AM749" s="133">
        <f>YEAR(Table1[[#This Row],[ETA
As requested
dd.mm.yyyy]])</f>
        <v>2025</v>
      </c>
    </row>
    <row r="750" spans="1:39" hidden="1">
      <c r="A750" s="123" t="s">
        <v>83</v>
      </c>
      <c r="B750" s="36" t="s">
        <v>1170</v>
      </c>
      <c r="C750" s="117">
        <v>39384091</v>
      </c>
      <c r="D750" s="165">
        <v>45632</v>
      </c>
      <c r="E750" s="117" t="s">
        <v>1237</v>
      </c>
      <c r="F750" s="36" t="str">
        <f>IFERROR(VLOOKUP(Table1[[#This Row],[Part Number]],DATABASE_FG!$C$6:D10739,2,FALSE)," ")</f>
        <v>097122211-0000</v>
      </c>
      <c r="G750" s="117" t="str">
        <f>IFERROR(_xlfn.XLOOKUP(Table1[[#This Row],[Part Number]],Table3[Part number],Table3[Drawing
 Revision]),"")</f>
        <v>AB</v>
      </c>
      <c r="H750" s="118" cm="1">
        <f t="array" ref="H750">IFERROR(INDEX(PDB!$C:$AT,MATCH(E750,PDB!$B:$B,0),MATCH(YEAR(K750),0+PDB!$C$1:$AT$1,0)),"")</f>
        <v>9.14</v>
      </c>
      <c r="I750" s="36">
        <v>367</v>
      </c>
      <c r="J750" s="125">
        <f>IFERROR(Table1[[#This Row],[Quantity]]*Table1[[#This Row],[Price/Unit
EUR]]," ")</f>
        <v>3354.38</v>
      </c>
      <c r="K750" s="126">
        <v>45838</v>
      </c>
      <c r="L750" s="36">
        <f>WEEKNUM(Table1[[#This Row],[ETA
As requested
dd.mm.yyyy]])</f>
        <v>27</v>
      </c>
      <c r="M750" s="36">
        <f>YEAR(Table1[[#This Row],[ETA
As requested
dd.mm.yyyy]])</f>
        <v>2025</v>
      </c>
      <c r="N750" s="36">
        <f>IFERROR(INDEX(DATABASE_FG!$H$5:$H$367, MATCH(E750, DATABASE_FG!$C$5:$C$367, 0)), " ")</f>
        <v>0</v>
      </c>
      <c r="O750" s="129" t="str">
        <f>IF(E750&lt;&gt;"", _xlfn.XLOOKUP(E750, DATABASE_FG!C:C, DATABASE_FG!F:F), " ")</f>
        <v>Atlanta strunjire</v>
      </c>
      <c r="P750" s="129">
        <f>IFERROR(INDEX(DATABASE_FG!$G$5:$G$367, MATCH(E750, DATABASE_FG!$C$5:$C$367, 0)), "Not Found")</f>
        <v>200</v>
      </c>
      <c r="Q750" s="36"/>
      <c r="R750" s="125" t="s">
        <v>678</v>
      </c>
      <c r="S750" s="123">
        <f>Table1[[#This Row],[Quantity]]/48</f>
        <v>7.645833333333333</v>
      </c>
      <c r="T750" s="36"/>
      <c r="U750" s="36"/>
      <c r="V750" s="36"/>
      <c r="W750" s="129"/>
      <c r="X750" s="36"/>
      <c r="Y750" s="36"/>
      <c r="Z750" s="36"/>
      <c r="AA750" s="125" t="s">
        <v>121</v>
      </c>
      <c r="AB750" s="173">
        <v>45846</v>
      </c>
      <c r="AC750" s="119">
        <v>251044</v>
      </c>
      <c r="AD750" s="36">
        <f t="shared" si="90"/>
        <v>39384091</v>
      </c>
      <c r="AE750" s="36" t="str">
        <f t="shared" si="91"/>
        <v>F-552668-0044-DRE</v>
      </c>
      <c r="AF750" s="36">
        <v>364</v>
      </c>
      <c r="AG750" s="120">
        <f t="shared" si="93"/>
        <v>3326.96</v>
      </c>
      <c r="AH750" s="36">
        <v>3</v>
      </c>
      <c r="AI750" s="124"/>
      <c r="AJ750" s="122" t="s">
        <v>3381</v>
      </c>
      <c r="AK750" s="129" t="str">
        <f t="shared" ca="1" si="92"/>
        <v>Late</v>
      </c>
      <c r="AL750" s="268" t="str">
        <f t="shared" si="94"/>
        <v>June</v>
      </c>
      <c r="AM750" s="133">
        <f>YEAR(Table1[[#This Row],[ETA
As requested
dd.mm.yyyy]])</f>
        <v>2025</v>
      </c>
    </row>
    <row r="751" spans="1:39" hidden="1">
      <c r="A751" s="123" t="s">
        <v>83</v>
      </c>
      <c r="B751" s="36" t="s">
        <v>1170</v>
      </c>
      <c r="C751" s="117">
        <v>39517789</v>
      </c>
      <c r="D751" s="165">
        <v>45833</v>
      </c>
      <c r="E751" s="222" t="s">
        <v>92</v>
      </c>
      <c r="F751" s="36" t="str">
        <f>IFERROR(VLOOKUP(Table1[[#This Row],[Part Number]],DATABASE_FG!$C$6:D10740,2,FALSE)," ")</f>
        <v>Inel exterior</v>
      </c>
      <c r="G751" s="117">
        <f>IFERROR(_xlfn.XLOOKUP(Table1[[#This Row],[Part Number]],Table3[Part number],Table3[Drawing
 Revision]),"")</f>
        <v>0</v>
      </c>
      <c r="H751" s="118" cm="1">
        <f t="array" ref="H751">IFERROR(INDEX(PDB!$C:$AT,MATCH(E751,PDB!$B:$B,0),MATCH(YEAR(K751),0+PDB!$C$1:$AT$1,0)),"")</f>
        <v>13.44</v>
      </c>
      <c r="I751" s="36">
        <v>50</v>
      </c>
      <c r="J751" s="125">
        <f>IFERROR(Table1[[#This Row],[Quantity]]*Table1[[#This Row],[Price/Unit
EUR]]," ")</f>
        <v>672</v>
      </c>
      <c r="K751" s="126">
        <v>45835</v>
      </c>
      <c r="L751" s="36">
        <f>WEEKNUM(Table1[[#This Row],[ETA
As requested
dd.mm.yyyy]])</f>
        <v>26</v>
      </c>
      <c r="M751" s="36">
        <f>YEAR(Table1[[#This Row],[ETA
As requested
dd.mm.yyyy]])</f>
        <v>2025</v>
      </c>
      <c r="N751" s="36">
        <f>IFERROR(INDEX(DATABASE_FG!$H$5:$H$367, MATCH(E751, DATABASE_FG!$C$5:$C$367, 0)), " ")</f>
        <v>0</v>
      </c>
      <c r="O751" s="129" t="str">
        <f>IF(E751&lt;&gt;"", _xlfn.XLOOKUP(E751, DATABASE_FG!C:C, DATABASE_FG!F:F), " ")</f>
        <v>Atlanta rectificare</v>
      </c>
      <c r="P751" s="129">
        <f>IFERROR(INDEX(DATABASE_FG!$G$5:$G$367, MATCH(E751, DATABASE_FG!$C$5:$C$367, 0)), "Not Found")</f>
        <v>0</v>
      </c>
      <c r="Q751" s="36"/>
      <c r="R751" s="125" t="s">
        <v>678</v>
      </c>
      <c r="S751" s="123">
        <f>IFERROR(INDEX(DATABASE_FG!$L$5:$L$367, MATCH(E751, DATABASE_FG!$C$5:$C$367, 0)), " ")</f>
        <v>0</v>
      </c>
      <c r="T751" s="36" t="s">
        <v>679</v>
      </c>
      <c r="U751" s="36"/>
      <c r="V751" s="36"/>
      <c r="W751" s="129"/>
      <c r="X751" s="36"/>
      <c r="Y751" s="36"/>
      <c r="Z751" s="36"/>
      <c r="AA751" s="125" t="s">
        <v>121</v>
      </c>
      <c r="AB751" s="173">
        <v>45832</v>
      </c>
      <c r="AC751" s="119">
        <v>29582</v>
      </c>
      <c r="AD751" s="36">
        <f t="shared" si="90"/>
        <v>39517789</v>
      </c>
      <c r="AE751" s="36" t="str">
        <f t="shared" si="91"/>
        <v>F-552669-0022</v>
      </c>
      <c r="AF751" s="36">
        <v>50</v>
      </c>
      <c r="AG751" s="120">
        <f t="shared" si="93"/>
        <v>672</v>
      </c>
      <c r="AH751" s="36"/>
      <c r="AI751" s="124" t="s">
        <v>3332</v>
      </c>
      <c r="AJ751" s="122" t="s">
        <v>3333</v>
      </c>
      <c r="AK751" s="129" t="str">
        <f t="shared" ca="1" si="92"/>
        <v>On Time</v>
      </c>
      <c r="AL751" s="268" t="str">
        <f t="shared" si="94"/>
        <v>June</v>
      </c>
      <c r="AM751" s="133">
        <f>YEAR(Table1[[#This Row],[ETA
As requested
dd.mm.yyyy]])</f>
        <v>2025</v>
      </c>
    </row>
    <row r="752" spans="1:39" hidden="1">
      <c r="A752" s="123" t="s">
        <v>83</v>
      </c>
      <c r="B752" s="36" t="s">
        <v>1170</v>
      </c>
      <c r="C752" s="117">
        <v>39517789</v>
      </c>
      <c r="D752" s="165">
        <v>45833</v>
      </c>
      <c r="E752" s="222" t="s">
        <v>92</v>
      </c>
      <c r="F752" s="36" t="str">
        <f>IFERROR(VLOOKUP(Table1[[#This Row],[Part Number]],DATABASE_FG!$C$6:D10741,2,FALSE)," ")</f>
        <v>Inel exterior</v>
      </c>
      <c r="G752" s="117">
        <f>IFERROR(_xlfn.XLOOKUP(Table1[[#This Row],[Part Number]],Table3[Part number],Table3[Drawing
 Revision]),"")</f>
        <v>0</v>
      </c>
      <c r="H752" s="118" cm="1">
        <f t="array" ref="H752">IFERROR(INDEX(PDB!$C:$AT,MATCH(E752,PDB!$B:$B,0),MATCH(YEAR(K752),0+PDB!$C$1:$AT$1,0)),"")</f>
        <v>13.44</v>
      </c>
      <c r="I752" s="36">
        <v>5</v>
      </c>
      <c r="J752" s="125">
        <f>IFERROR(Table1[[#This Row],[Quantity]]*Table1[[#This Row],[Price/Unit
EUR]]," ")</f>
        <v>67.2</v>
      </c>
      <c r="K752" s="126">
        <v>45835</v>
      </c>
      <c r="L752" s="36">
        <f>WEEKNUM(Table1[[#This Row],[ETA
As requested
dd.mm.yyyy]])</f>
        <v>26</v>
      </c>
      <c r="M752" s="36">
        <f>YEAR(Table1[[#This Row],[ETA
As requested
dd.mm.yyyy]])</f>
        <v>2025</v>
      </c>
      <c r="N752" s="36">
        <f>IFERROR(INDEX(DATABASE_FG!$H$5:$H$367, MATCH(E752, DATABASE_FG!$C$5:$C$367, 0)), " ")</f>
        <v>0</v>
      </c>
      <c r="O752" s="129" t="str">
        <f>IF(E752&lt;&gt;"", _xlfn.XLOOKUP(E752, DATABASE_FG!C:C, DATABASE_FG!F:F), " ")</f>
        <v>Atlanta rectificare</v>
      </c>
      <c r="P752" s="129">
        <f>IFERROR(INDEX(DATABASE_FG!$G$5:$G$367, MATCH(E752, DATABASE_FG!$C$5:$C$367, 0)), "Not Found")</f>
        <v>0</v>
      </c>
      <c r="Q752" s="36"/>
      <c r="R752" s="125" t="s">
        <v>678</v>
      </c>
      <c r="S752" s="123">
        <f>IFERROR(INDEX(DATABASE_FG!$L$5:$L$367, MATCH(E752, DATABASE_FG!$C$5:$C$367, 0)), " ")</f>
        <v>0</v>
      </c>
      <c r="T752" s="36" t="s">
        <v>679</v>
      </c>
      <c r="U752" s="36"/>
      <c r="V752" s="36"/>
      <c r="W752" s="129"/>
      <c r="X752" s="36"/>
      <c r="Y752" s="36"/>
      <c r="Z752" s="36"/>
      <c r="AA752" s="125" t="s">
        <v>121</v>
      </c>
      <c r="AB752" s="173">
        <v>45832</v>
      </c>
      <c r="AC752" s="119">
        <v>25982</v>
      </c>
      <c r="AD752" s="36">
        <f>IF(NOT(ISBLANK(#REF!)), C752, "")</f>
        <v>39517789</v>
      </c>
      <c r="AE752" s="36" t="str">
        <f>IF(NOT(ISBLANK(#REF!)), E752, "")</f>
        <v>F-552669-0022</v>
      </c>
      <c r="AF752" s="36">
        <v>5</v>
      </c>
      <c r="AG752" s="120">
        <f t="shared" si="93"/>
        <v>67.2</v>
      </c>
      <c r="AH752" s="36"/>
      <c r="AI752" s="124" t="s">
        <v>3334</v>
      </c>
      <c r="AJ752" s="122" t="s">
        <v>3335</v>
      </c>
      <c r="AK752" s="129" t="str">
        <f t="shared" ca="1" si="92"/>
        <v>On Time</v>
      </c>
      <c r="AL752" s="268" t="str">
        <f t="shared" si="94"/>
        <v>June</v>
      </c>
      <c r="AM752" s="133">
        <f>YEAR(Table1[[#This Row],[ETA
As requested
dd.mm.yyyy]])</f>
        <v>2025</v>
      </c>
    </row>
    <row r="753" spans="1:39" hidden="1">
      <c r="A753" s="123" t="s">
        <v>83</v>
      </c>
      <c r="B753" s="36" t="s">
        <v>1170</v>
      </c>
      <c r="C753" s="117">
        <v>39517789</v>
      </c>
      <c r="D753" s="165">
        <v>45833</v>
      </c>
      <c r="E753" s="222" t="s">
        <v>92</v>
      </c>
      <c r="F753" s="36" t="str">
        <f>IFERROR(VLOOKUP(Table1[[#This Row],[Part Number]],DATABASE_FG!$C$6:D10742,2,FALSE)," ")</f>
        <v>Inel exterior</v>
      </c>
      <c r="G753" s="117">
        <f>IFERROR(_xlfn.XLOOKUP(Table1[[#This Row],[Part Number]],Table3[Part number],Table3[Drawing
 Revision]),"")</f>
        <v>0</v>
      </c>
      <c r="H753" s="118" cm="1">
        <f t="array" ref="H753">IFERROR(INDEX(PDB!$C:$AT,MATCH(E753,PDB!$B:$B,0),MATCH(YEAR(K753),0+PDB!$C$1:$AT$1,0)),"")</f>
        <v>13.44</v>
      </c>
      <c r="I753" s="36">
        <v>94</v>
      </c>
      <c r="J753" s="125">
        <f>IFERROR(Table1[[#This Row],[Quantity]]*Table1[[#This Row],[Price/Unit
EUR]]," ")</f>
        <v>1263.3599999999999</v>
      </c>
      <c r="K753" s="126">
        <v>45835</v>
      </c>
      <c r="L753" s="36">
        <f>WEEKNUM(Table1[[#This Row],[ETA
As requested
dd.mm.yyyy]])</f>
        <v>26</v>
      </c>
      <c r="M753" s="36">
        <f>YEAR(Table1[[#This Row],[ETA
As requested
dd.mm.yyyy]])</f>
        <v>2025</v>
      </c>
      <c r="N753" s="36">
        <f>IFERROR(INDEX(DATABASE_FG!$H$5:$H$367, MATCH(E753, DATABASE_FG!$C$5:$C$367, 0)), " ")</f>
        <v>0</v>
      </c>
      <c r="O753" s="129" t="str">
        <f>IF(E753&lt;&gt;"", _xlfn.XLOOKUP(E753, DATABASE_FG!C:C, DATABASE_FG!F:F), " ")</f>
        <v>Atlanta rectificare</v>
      </c>
      <c r="P753" s="129">
        <f>IFERROR(INDEX(DATABASE_FG!$G$5:$G$367, MATCH(E753, DATABASE_FG!$C$5:$C$367, 0)), "Not Found")</f>
        <v>0</v>
      </c>
      <c r="Q753" s="36"/>
      <c r="R753" s="125" t="s">
        <v>678</v>
      </c>
      <c r="S753" s="123">
        <f>IFERROR(INDEX(DATABASE_FG!$L$5:$L$367, MATCH(E753, DATABASE_FG!$C$5:$C$367, 0)), " ")</f>
        <v>0</v>
      </c>
      <c r="T753" s="36" t="s">
        <v>679</v>
      </c>
      <c r="U753" s="36"/>
      <c r="V753" s="36"/>
      <c r="W753" s="129"/>
      <c r="X753" s="36"/>
      <c r="Y753" s="36"/>
      <c r="Z753" s="36"/>
      <c r="AA753" s="125" t="s">
        <v>121</v>
      </c>
      <c r="AB753" s="173">
        <v>45834</v>
      </c>
      <c r="AC753" s="119">
        <v>25996</v>
      </c>
      <c r="AD753" s="36">
        <f t="shared" ref="AD753:AD816" si="95">IF(NOT(ISBLANK(AC753)), C753, "")</f>
        <v>39517789</v>
      </c>
      <c r="AE753" s="36" t="str">
        <f t="shared" ref="AE753:AE816" si="96">IF(NOT(ISBLANK(AC753)), E753, "")</f>
        <v>F-552669-0022</v>
      </c>
      <c r="AF753" s="36">
        <v>92</v>
      </c>
      <c r="AG753" s="120">
        <f t="shared" si="93"/>
        <v>1236.48</v>
      </c>
      <c r="AH753" s="36">
        <v>2</v>
      </c>
      <c r="AI753" s="124"/>
      <c r="AJ753" s="122" t="s">
        <v>3336</v>
      </c>
      <c r="AK753" s="129" t="str">
        <f t="shared" ca="1" si="92"/>
        <v>On Time</v>
      </c>
      <c r="AL753" s="268" t="str">
        <f t="shared" si="94"/>
        <v>June</v>
      </c>
      <c r="AM753" s="133">
        <f>YEAR(Table1[[#This Row],[ETA
As requested
dd.mm.yyyy]])</f>
        <v>2025</v>
      </c>
    </row>
    <row r="754" spans="1:39" hidden="1">
      <c r="A754" s="195" t="s">
        <v>83</v>
      </c>
      <c r="B754" s="194" t="s">
        <v>1170</v>
      </c>
      <c r="C754" s="197">
        <v>39584075</v>
      </c>
      <c r="D754" s="196">
        <v>45838</v>
      </c>
      <c r="E754" s="240" t="s">
        <v>92</v>
      </c>
      <c r="F754" s="36" t="str">
        <f>IFERROR(VLOOKUP(Table1[[#This Row],[Part Number]],DATABASE_FG!$C$6:D10743,2,FALSE)," ")</f>
        <v>Inel exterior</v>
      </c>
      <c r="G754" s="117">
        <f>IFERROR(_xlfn.XLOOKUP(Table1[[#This Row],[Part Number]],Table3[Part number],Table3[Drawing
 Revision]),"")</f>
        <v>0</v>
      </c>
      <c r="H754" s="118" cm="1">
        <f t="array" ref="H754">IFERROR(INDEX(PDB!$C:$AT,MATCH(E754,PDB!$B:$B,0),MATCH(YEAR(K754),0+PDB!$C$1:$AT$1,0)),"")</f>
        <v>13.44</v>
      </c>
      <c r="I754" s="194">
        <v>80</v>
      </c>
      <c r="J754" s="198">
        <f>IFERROR(Table1[[#This Row],[Quantity]]*Table1[[#This Row],[Price/Unit
EUR]]," ")</f>
        <v>1075.2</v>
      </c>
      <c r="K754" s="199">
        <v>45845</v>
      </c>
      <c r="L754" s="178">
        <f>WEEKNUM(Table1[[#This Row],[ETA
As requested
dd.mm.yyyy]])</f>
        <v>28</v>
      </c>
      <c r="M754" s="178">
        <f>YEAR(Table1[[#This Row],[ETA
As requested
dd.mm.yyyy]])</f>
        <v>2025</v>
      </c>
      <c r="N754" s="36">
        <f>IFERROR(INDEX(DATABASE_FG!$H$5:$H$367, MATCH(E754, DATABASE_FG!$C$5:$C$367, 0)), " ")</f>
        <v>0</v>
      </c>
      <c r="O754" s="129" t="str">
        <f>IF(E754&lt;&gt;"", _xlfn.XLOOKUP(E754, DATABASE_FG!C:C, DATABASE_FG!F:F), " ")</f>
        <v>Atlanta rectificare</v>
      </c>
      <c r="P754" s="129">
        <f>IFERROR(INDEX(DATABASE_FG!$G$5:$G$367, MATCH(E754, DATABASE_FG!$C$5:$C$367, 0)), "Not Found")</f>
        <v>0</v>
      </c>
      <c r="Q754" s="178"/>
      <c r="R754" s="125" t="s">
        <v>678</v>
      </c>
      <c r="S754" s="123">
        <f>IFERROR(INDEX(DATABASE_FG!$L$5:$L$367, MATCH(E754, DATABASE_FG!$C$5:$C$367, 0)), " ")</f>
        <v>0</v>
      </c>
      <c r="T754" s="36" t="s">
        <v>679</v>
      </c>
      <c r="U754" s="36"/>
      <c r="V754" s="36"/>
      <c r="W754" s="129"/>
      <c r="X754" s="36"/>
      <c r="Y754" s="36"/>
      <c r="Z754" s="36"/>
      <c r="AA754" s="198" t="s">
        <v>121</v>
      </c>
      <c r="AB754" s="205">
        <v>45842</v>
      </c>
      <c r="AC754" s="201">
        <v>251030</v>
      </c>
      <c r="AD754" s="194">
        <f t="shared" si="95"/>
        <v>39584075</v>
      </c>
      <c r="AE754" s="194" t="str">
        <f t="shared" si="96"/>
        <v>F-552669-0022</v>
      </c>
      <c r="AF754" s="194">
        <v>80</v>
      </c>
      <c r="AG754" s="120">
        <f t="shared" si="93"/>
        <v>1075.2</v>
      </c>
      <c r="AH754" s="194"/>
      <c r="AI754" s="202"/>
      <c r="AJ754" s="203" t="s">
        <v>3400</v>
      </c>
      <c r="AK754" s="129" t="str">
        <f t="shared" ca="1" si="92"/>
        <v>On Time</v>
      </c>
      <c r="AL754" s="268" t="str">
        <f t="shared" si="94"/>
        <v>July</v>
      </c>
      <c r="AM754" s="133">
        <f>YEAR(Table1[[#This Row],[ETA
As requested
dd.mm.yyyy]])</f>
        <v>2025</v>
      </c>
    </row>
    <row r="755" spans="1:39" hidden="1">
      <c r="A755" s="195" t="s">
        <v>83</v>
      </c>
      <c r="B755" s="194" t="s">
        <v>1170</v>
      </c>
      <c r="C755" s="197">
        <v>39601375</v>
      </c>
      <c r="D755" s="196">
        <v>45840</v>
      </c>
      <c r="E755" s="238" t="s">
        <v>92</v>
      </c>
      <c r="F755" s="36" t="str">
        <f>IFERROR(VLOOKUP(Table1[[#This Row],[Part Number]],DATABASE_FG!$C$6:D10744,2,FALSE)," ")</f>
        <v>Inel exterior</v>
      </c>
      <c r="G755" s="117">
        <f>IFERROR(_xlfn.XLOOKUP(Table1[[#This Row],[Part Number]],Table3[Part number],Table3[Drawing
 Revision]),"")</f>
        <v>0</v>
      </c>
      <c r="H755" s="118" cm="1">
        <f t="array" ref="H755">IFERROR(INDEX(PDB!$C:$AT,MATCH(E755,PDB!$B:$B,0),MATCH(YEAR(K755),0+PDB!$C$1:$AT$1,0)),"")</f>
        <v>13.44</v>
      </c>
      <c r="I755" s="194">
        <v>144</v>
      </c>
      <c r="J755" s="125">
        <f>IFERROR(Table1[[#This Row],[Quantity]]*Table1[[#This Row],[Price/Unit
EUR]]," ")</f>
        <v>1935.36</v>
      </c>
      <c r="K755" s="199">
        <v>45850</v>
      </c>
      <c r="L755" s="194">
        <f>WEEKNUM(Table1[[#This Row],[ETA
As requested
dd.mm.yyyy]])</f>
        <v>28</v>
      </c>
      <c r="M755" s="194">
        <f>YEAR(Table1[[#This Row],[ETA
As requested
dd.mm.yyyy]])</f>
        <v>2025</v>
      </c>
      <c r="N755" s="36">
        <f>IFERROR(INDEX(DATABASE_FG!$H$5:$H$367, MATCH(E755, DATABASE_FG!$C$5:$C$367, 0)), " ")</f>
        <v>0</v>
      </c>
      <c r="O755" s="129" t="str">
        <f>IF(E755&lt;&gt;"", _xlfn.XLOOKUP(E755, DATABASE_FG!C:C, DATABASE_FG!F:F), " ")</f>
        <v>Atlanta rectificare</v>
      </c>
      <c r="P755" s="129">
        <f>IFERROR(INDEX(DATABASE_FG!$G$5:$G$367, MATCH(E755, DATABASE_FG!$C$5:$C$367, 0)), "Not Found")</f>
        <v>0</v>
      </c>
      <c r="Q755" s="194"/>
      <c r="R755" s="125" t="s">
        <v>678</v>
      </c>
      <c r="S755" s="123">
        <f>IFERROR(INDEX(DATABASE_FG!$L$5:$L$367, MATCH(E755, DATABASE_FG!$C$5:$C$367, 0)), " ")</f>
        <v>0</v>
      </c>
      <c r="T755" s="36" t="s">
        <v>679</v>
      </c>
      <c r="U755" s="194"/>
      <c r="V755" s="194"/>
      <c r="W755" s="204"/>
      <c r="X755" s="194"/>
      <c r="Y755" s="194"/>
      <c r="Z755" s="194"/>
      <c r="AA755" s="198" t="s">
        <v>121</v>
      </c>
      <c r="AB755" s="205">
        <v>45847</v>
      </c>
      <c r="AC755" s="201" t="s">
        <v>3416</v>
      </c>
      <c r="AD755" s="194">
        <f t="shared" si="95"/>
        <v>39601375</v>
      </c>
      <c r="AE755" s="194" t="str">
        <f t="shared" si="96"/>
        <v>F-552669-0022</v>
      </c>
      <c r="AF755" s="194">
        <v>144</v>
      </c>
      <c r="AG755" s="120">
        <f t="shared" si="93"/>
        <v>1935.36</v>
      </c>
      <c r="AH755" s="194"/>
      <c r="AI755" s="202"/>
      <c r="AJ755" s="203" t="s">
        <v>3417</v>
      </c>
      <c r="AK755" s="129" t="str">
        <f t="shared" ca="1" si="92"/>
        <v>On Time</v>
      </c>
      <c r="AL755" s="268" t="str">
        <f t="shared" si="94"/>
        <v>July</v>
      </c>
      <c r="AM755" s="133">
        <f>YEAR(Table1[[#This Row],[ETA
As requested
dd.mm.yyyy]])</f>
        <v>2025</v>
      </c>
    </row>
    <row r="756" spans="1:39" hidden="1">
      <c r="A756" s="195" t="s">
        <v>83</v>
      </c>
      <c r="B756" s="194" t="s">
        <v>1170</v>
      </c>
      <c r="C756" s="197">
        <v>39601375</v>
      </c>
      <c r="D756" s="196">
        <v>45840</v>
      </c>
      <c r="E756" s="238" t="s">
        <v>92</v>
      </c>
      <c r="F756" s="36" t="str">
        <f>IFERROR(VLOOKUP(Table1[[#This Row],[Part Number]],DATABASE_FG!$C$6:D10745,2,FALSE)," ")</f>
        <v>Inel exterior</v>
      </c>
      <c r="G756" s="117">
        <f>IFERROR(_xlfn.XLOOKUP(Table1[[#This Row],[Part Number]],Table3[Part number],Table3[Drawing
 Revision]),"")</f>
        <v>0</v>
      </c>
      <c r="H756" s="118" cm="1">
        <f t="array" ref="H756">IFERROR(INDEX(PDB!$C:$AT,MATCH(E756,PDB!$B:$B,0),MATCH(YEAR(K756),0+PDB!$C$1:$AT$1,0)),"")</f>
        <v>13.44</v>
      </c>
      <c r="I756" s="194">
        <f>155-144</f>
        <v>11</v>
      </c>
      <c r="J756" s="125">
        <f>IFERROR(Table1[[#This Row],[Quantity]]*Table1[[#This Row],[Price/Unit
EUR]]," ")</f>
        <v>147.84</v>
      </c>
      <c r="K756" s="199">
        <v>45855</v>
      </c>
      <c r="L756" s="194">
        <f>WEEKNUM(Table1[[#This Row],[ETA
As requested
dd.mm.yyyy]])</f>
        <v>29</v>
      </c>
      <c r="M756" s="194">
        <f>YEAR(Table1[[#This Row],[ETA
As requested
dd.mm.yyyy]])</f>
        <v>2025</v>
      </c>
      <c r="N756" s="36">
        <f>IFERROR(INDEX(DATABASE_FG!$H$5:$H$367, MATCH(E756, DATABASE_FG!$C$5:$C$367, 0)), " ")</f>
        <v>0</v>
      </c>
      <c r="O756" s="129" t="str">
        <f>IF(E756&lt;&gt;"", _xlfn.XLOOKUP(E756, DATABASE_FG!C:C, DATABASE_FG!F:F), " ")</f>
        <v>Atlanta rectificare</v>
      </c>
      <c r="P756" s="129">
        <f>IFERROR(INDEX(DATABASE_FG!$G$5:$G$367, MATCH(E756, DATABASE_FG!$C$5:$C$367, 0)), "Not Found")</f>
        <v>0</v>
      </c>
      <c r="Q756" s="194"/>
      <c r="R756" s="125" t="s">
        <v>678</v>
      </c>
      <c r="S756" s="123">
        <f>IFERROR(INDEX(DATABASE_FG!$L$5:$L$367, MATCH(E756, DATABASE_FG!$C$5:$C$367, 0)), " ")</f>
        <v>0</v>
      </c>
      <c r="T756" s="36" t="s">
        <v>679</v>
      </c>
      <c r="U756" s="194"/>
      <c r="V756" s="194"/>
      <c r="W756" s="204"/>
      <c r="X756" s="194"/>
      <c r="Y756" s="194"/>
      <c r="Z756" s="194"/>
      <c r="AA756" s="198" t="s">
        <v>121</v>
      </c>
      <c r="AB756" s="205">
        <v>45848</v>
      </c>
      <c r="AC756" s="201" t="s">
        <v>3427</v>
      </c>
      <c r="AD756" s="194">
        <f t="shared" si="95"/>
        <v>39601375</v>
      </c>
      <c r="AE756" s="194" t="str">
        <f t="shared" si="96"/>
        <v>F-552669-0022</v>
      </c>
      <c r="AF756" s="194">
        <v>11</v>
      </c>
      <c r="AG756" s="120">
        <f t="shared" si="93"/>
        <v>147.84</v>
      </c>
      <c r="AH756" s="194">
        <v>1</v>
      </c>
      <c r="AI756" s="202"/>
      <c r="AJ756" s="203" t="s">
        <v>3428</v>
      </c>
      <c r="AK756" s="129" t="str">
        <f t="shared" ca="1" si="92"/>
        <v>On Time</v>
      </c>
      <c r="AL756" s="268" t="str">
        <f t="shared" si="94"/>
        <v>July</v>
      </c>
      <c r="AM756" s="133">
        <f>YEAR(Table1[[#This Row],[ETA
As requested
dd.mm.yyyy]])</f>
        <v>2025</v>
      </c>
    </row>
    <row r="757" spans="1:39" hidden="1">
      <c r="A757" s="195" t="s">
        <v>83</v>
      </c>
      <c r="B757" s="194" t="s">
        <v>1170</v>
      </c>
      <c r="C757" s="117">
        <v>39812564</v>
      </c>
      <c r="D757" s="165">
        <v>45869</v>
      </c>
      <c r="E757" s="240" t="s">
        <v>92</v>
      </c>
      <c r="F757" s="36" t="str">
        <f>IFERROR(VLOOKUP(Table1[[#This Row],[Part Number]],DATABASE_FG!$C$6:D10746,2,FALSE)," ")</f>
        <v>Inel exterior</v>
      </c>
      <c r="G757" s="117">
        <f>IFERROR(_xlfn.XLOOKUP(Table1[[#This Row],[Part Number]],Table3[Part number],Table3[Drawing
 Revision]),"")</f>
        <v>0</v>
      </c>
      <c r="H757" s="118" cm="1">
        <f t="array" ref="H757">IFERROR(INDEX(PDB!$C:$AT,MATCH(E757,PDB!$B:$B,0),MATCH(YEAR(K757),0+PDB!$C$1:$AT$1,0)),"")</f>
        <v>13.44</v>
      </c>
      <c r="I757" s="36">
        <v>220</v>
      </c>
      <c r="J757" s="125">
        <f>IFERROR(Table1[[#This Row],[Quantity]]*Table1[[#This Row],[Price/Unit
EUR]]," ")</f>
        <v>2956.7999999999997</v>
      </c>
      <c r="K757" s="126">
        <v>45883</v>
      </c>
      <c r="L757" s="36">
        <f>WEEKNUM(Table1[[#This Row],[ETA
As requested
dd.mm.yyyy]])</f>
        <v>33</v>
      </c>
      <c r="M757" s="36">
        <f>YEAR(Table1[[#This Row],[ETA
As requested
dd.mm.yyyy]])</f>
        <v>2025</v>
      </c>
      <c r="N757" s="36">
        <f>IFERROR(INDEX(DATABASE_FG!$H$5:$H$367, MATCH(E757, DATABASE_FG!$C$5:$C$367, 0)), " ")</f>
        <v>0</v>
      </c>
      <c r="O757" s="129" t="str">
        <f>IF(E757&lt;&gt;"", _xlfn.XLOOKUP(E757, DATABASE_FG!C:C, DATABASE_FG!F:F), " ")</f>
        <v>Atlanta rectificare</v>
      </c>
      <c r="P757" s="129">
        <f>IFERROR(INDEX(DATABASE_FG!$G$5:$G$367, MATCH(E757, DATABASE_FG!$C$5:$C$367, 0)), "Not Found")</f>
        <v>0</v>
      </c>
      <c r="Q757" s="36"/>
      <c r="R757" s="125" t="s">
        <v>678</v>
      </c>
      <c r="S757" s="123">
        <f>Table1[[#This Row],[Quantity]]/48</f>
        <v>4.583333333333333</v>
      </c>
      <c r="T757" s="36" t="s">
        <v>679</v>
      </c>
      <c r="U757" s="36"/>
      <c r="V757" s="36"/>
      <c r="W757" s="129"/>
      <c r="X757" s="36"/>
      <c r="Y757" s="36"/>
      <c r="Z757" s="36"/>
      <c r="AA757" s="125" t="s">
        <v>121</v>
      </c>
      <c r="AB757" s="173">
        <v>45876</v>
      </c>
      <c r="AC757" s="119" t="s">
        <v>3546</v>
      </c>
      <c r="AD757" s="36">
        <f t="shared" si="95"/>
        <v>39812564</v>
      </c>
      <c r="AE757" s="36" t="str">
        <f t="shared" si="96"/>
        <v>F-552669-0022</v>
      </c>
      <c r="AF757" s="36">
        <v>220</v>
      </c>
      <c r="AG757" s="120">
        <f t="shared" si="93"/>
        <v>2956.7999999999997</v>
      </c>
      <c r="AH757" s="36"/>
      <c r="AI757" s="124"/>
      <c r="AJ757" s="122" t="s">
        <v>3547</v>
      </c>
      <c r="AK757" s="129" t="str">
        <f t="shared" ca="1" si="92"/>
        <v>On Time</v>
      </c>
      <c r="AL757" s="268" t="str">
        <f t="shared" si="94"/>
        <v>August</v>
      </c>
      <c r="AM757" s="133">
        <f>YEAR(Table1[[#This Row],[ETA
As requested
dd.mm.yyyy]])</f>
        <v>2025</v>
      </c>
    </row>
    <row r="758" spans="1:39" hidden="1">
      <c r="A758" s="195" t="s">
        <v>83</v>
      </c>
      <c r="B758" s="194" t="s">
        <v>1170</v>
      </c>
      <c r="C758" s="197">
        <v>39880187</v>
      </c>
      <c r="D758" s="196">
        <v>45880</v>
      </c>
      <c r="E758" s="238" t="s">
        <v>92</v>
      </c>
      <c r="F758" s="36" t="str">
        <f>IFERROR(VLOOKUP(Table1[[#This Row],[Part Number]],DATABASE_FG!$C$6:D10747,2,FALSE)," ")</f>
        <v>Inel exterior</v>
      </c>
      <c r="G758" s="117">
        <f>IFERROR(_xlfn.XLOOKUP(Table1[[#This Row],[Part Number]],Table3[Part number],Table3[Drawing
 Revision]),"")</f>
        <v>0</v>
      </c>
      <c r="H758" s="118" cm="1">
        <f t="array" ref="H758">IFERROR(INDEX(PDB!$C:$AT,MATCH(E758,PDB!$B:$B,0),MATCH(YEAR(K758),0+PDB!$C$1:$AT$1,0)),"")</f>
        <v>13.44</v>
      </c>
      <c r="I758" s="194">
        <v>248</v>
      </c>
      <c r="J758" s="125">
        <f>IFERROR(Table1[[#This Row],[Quantity]]*Table1[[#This Row],[Price/Unit
EUR]]," ")</f>
        <v>3333.12</v>
      </c>
      <c r="K758" s="126">
        <v>45895</v>
      </c>
      <c r="L758" s="194">
        <f>WEEKNUM(Table1[[#This Row],[ETA
As requested
dd.mm.yyyy]])</f>
        <v>35</v>
      </c>
      <c r="M758" s="194">
        <f>YEAR(Table1[[#This Row],[ETA
As requested
dd.mm.yyyy]])</f>
        <v>2025</v>
      </c>
      <c r="N758" s="36">
        <f>IFERROR(INDEX(DATABASE_FG!$H$5:$H$367, MATCH(E758, DATABASE_FG!$C$5:$C$367, 0)), " ")</f>
        <v>0</v>
      </c>
      <c r="O758" s="129" t="str">
        <f>IF(E758&lt;&gt;"", _xlfn.XLOOKUP(E758, DATABASE_FG!C:C, DATABASE_FG!F:F), " ")</f>
        <v>Atlanta rectificare</v>
      </c>
      <c r="P758" s="129">
        <f>IFERROR(INDEX(DATABASE_FG!$G$5:$G$367, MATCH(E758, DATABASE_FG!$C$5:$C$367, 0)), "Not Found")</f>
        <v>0</v>
      </c>
      <c r="Q758" s="194"/>
      <c r="R758" s="125" t="s">
        <v>678</v>
      </c>
      <c r="S758" s="123">
        <f>Table1[[#This Row],[Quantity]]/48</f>
        <v>5.166666666666667</v>
      </c>
      <c r="T758" s="36" t="s">
        <v>679</v>
      </c>
      <c r="U758" s="194"/>
      <c r="V758" s="194"/>
      <c r="W758" s="204"/>
      <c r="X758" s="194"/>
      <c r="Y758" s="194"/>
      <c r="Z758" s="194"/>
      <c r="AA758" s="198" t="s">
        <v>121</v>
      </c>
      <c r="AB758" s="205">
        <v>45891</v>
      </c>
      <c r="AC758" s="201" t="s">
        <v>3612</v>
      </c>
      <c r="AD758" s="194">
        <f t="shared" si="95"/>
        <v>39880187</v>
      </c>
      <c r="AE758" s="194" t="str">
        <f t="shared" si="96"/>
        <v>F-552669-0022</v>
      </c>
      <c r="AF758" s="194">
        <v>248</v>
      </c>
      <c r="AG758" s="120">
        <f t="shared" si="93"/>
        <v>3333.12</v>
      </c>
      <c r="AH758" s="194"/>
      <c r="AI758" s="202"/>
      <c r="AJ758" s="203" t="s">
        <v>3613</v>
      </c>
      <c r="AK758" s="129" t="str">
        <f t="shared" ca="1" si="92"/>
        <v>On Time</v>
      </c>
      <c r="AL758" s="268" t="str">
        <f t="shared" si="94"/>
        <v>August</v>
      </c>
      <c r="AM758" s="133">
        <f>YEAR(Table1[[#This Row],[ETA
As requested
dd.mm.yyyy]])</f>
        <v>2025</v>
      </c>
    </row>
    <row r="759" spans="1:39" hidden="1">
      <c r="A759" s="195" t="s">
        <v>83</v>
      </c>
      <c r="B759" s="194" t="s">
        <v>2464</v>
      </c>
      <c r="C759" s="197"/>
      <c r="D759" s="196">
        <v>45849</v>
      </c>
      <c r="E759" s="238" t="s">
        <v>92</v>
      </c>
      <c r="F759" s="36" t="str">
        <f>IFERROR(VLOOKUP(Table1[[#This Row],[Part Number]],DATABASE_FG!$C$6:D10748,2,FALSE)," ")</f>
        <v>Inel exterior</v>
      </c>
      <c r="G759" s="117">
        <f>IFERROR(_xlfn.XLOOKUP(Table1[[#This Row],[Part Number]],Table3[Part number],Table3[Drawing
 Revision]),"")</f>
        <v>0</v>
      </c>
      <c r="H759" s="118" cm="1">
        <f t="array" ref="H759">IFERROR(INDEX(PDB!$C:$AT,MATCH(E759,PDB!$B:$B,0),MATCH(YEAR(K759),0+PDB!$C$1:$AT$1,0)),"")</f>
        <v>13.44</v>
      </c>
      <c r="I759" s="194">
        <v>150</v>
      </c>
      <c r="J759" s="125">
        <f>IFERROR(Table1[[#This Row],[Quantity]]*Table1[[#This Row],[Price/Unit
EUR]]," ")</f>
        <v>2016</v>
      </c>
      <c r="K759" s="126">
        <v>45960</v>
      </c>
      <c r="L759" s="194">
        <f>WEEKNUM(Table1[[#This Row],[ETA
As requested
dd.mm.yyyy]])</f>
        <v>44</v>
      </c>
      <c r="M759" s="194">
        <f>YEAR(Table1[[#This Row],[ETA
As requested
dd.mm.yyyy]])</f>
        <v>2025</v>
      </c>
      <c r="N759" s="36">
        <f>IFERROR(INDEX(DATABASE_FG!$H$5:$H$367, MATCH(E759, DATABASE_FG!$C$5:$C$367, 0)), " ")</f>
        <v>0</v>
      </c>
      <c r="O759" s="129" t="str">
        <f>IF(E759&lt;&gt;"", _xlfn.XLOOKUP(E759, DATABASE_FG!C:C, DATABASE_FG!F:F), " ")</f>
        <v>Atlanta rectificare</v>
      </c>
      <c r="P759" s="129">
        <f>IFERROR(INDEX(DATABASE_FG!$G$5:$G$367, MATCH(E759, DATABASE_FG!$C$5:$C$367, 0)), "Not Found")</f>
        <v>0</v>
      </c>
      <c r="Q759" s="194"/>
      <c r="R759" s="125" t="s">
        <v>678</v>
      </c>
      <c r="S759" s="123">
        <f>Table1[[#This Row],[Quantity]]/48</f>
        <v>3.125</v>
      </c>
      <c r="T759" s="36" t="s">
        <v>679</v>
      </c>
      <c r="U759" s="194"/>
      <c r="V759" s="194"/>
      <c r="W759" s="204"/>
      <c r="X759" s="194"/>
      <c r="Y759" s="194"/>
      <c r="Z759" s="194"/>
      <c r="AA759" s="198" t="s">
        <v>3</v>
      </c>
      <c r="AB759" s="205"/>
      <c r="AC759" s="201"/>
      <c r="AD759" s="194" t="str">
        <f t="shared" si="95"/>
        <v/>
      </c>
      <c r="AE759" s="194" t="str">
        <f t="shared" si="96"/>
        <v/>
      </c>
      <c r="AF759" s="194"/>
      <c r="AG759" s="120">
        <f t="shared" si="93"/>
        <v>0</v>
      </c>
      <c r="AH759" s="194"/>
      <c r="AI759" s="202"/>
      <c r="AJ759" s="203"/>
      <c r="AK759" s="129" t="str">
        <f t="shared" ca="1" si="92"/>
        <v>Late</v>
      </c>
      <c r="AL759" s="268" t="str">
        <f t="shared" si="94"/>
        <v>October</v>
      </c>
      <c r="AM759" s="133">
        <f>YEAR(Table1[[#This Row],[ETA
As requested
dd.mm.yyyy]])</f>
        <v>2025</v>
      </c>
    </row>
    <row r="760" spans="1:39" hidden="1">
      <c r="A760" s="195" t="s">
        <v>83</v>
      </c>
      <c r="B760" s="194" t="s">
        <v>2464</v>
      </c>
      <c r="C760" s="197"/>
      <c r="D760" s="196">
        <v>45849</v>
      </c>
      <c r="E760" s="238" t="s">
        <v>92</v>
      </c>
      <c r="F760" s="36" t="str">
        <f>IFERROR(VLOOKUP(Table1[[#This Row],[Part Number]],DATABASE_FG!$C$6:D10749,2,FALSE)," ")</f>
        <v>Inel exterior</v>
      </c>
      <c r="G760" s="117">
        <f>IFERROR(_xlfn.XLOOKUP(Table1[[#This Row],[Part Number]],Table3[Part number],Table3[Drawing
 Revision]),"")</f>
        <v>0</v>
      </c>
      <c r="H760" s="118" cm="1">
        <f t="array" ref="H760">IFERROR(INDEX(PDB!$C:$AT,MATCH(E760,PDB!$B:$B,0),MATCH(YEAR(K760),0+PDB!$C$1:$AT$1,0)),"")</f>
        <v>13.44</v>
      </c>
      <c r="I760" s="194">
        <v>150</v>
      </c>
      <c r="J760" s="125">
        <f>IFERROR(Table1[[#This Row],[Quantity]]*Table1[[#This Row],[Price/Unit
EUR]]," ")</f>
        <v>2016</v>
      </c>
      <c r="K760" s="126">
        <v>45991</v>
      </c>
      <c r="L760" s="194">
        <f>WEEKNUM(Table1[[#This Row],[ETA
As requested
dd.mm.yyyy]])</f>
        <v>49</v>
      </c>
      <c r="M760" s="194">
        <f>YEAR(Table1[[#This Row],[ETA
As requested
dd.mm.yyyy]])</f>
        <v>2025</v>
      </c>
      <c r="N760" s="36">
        <f>IFERROR(INDEX(DATABASE_FG!$H$5:$H$367, MATCH(E760, DATABASE_FG!$C$5:$C$367, 0)), " ")</f>
        <v>0</v>
      </c>
      <c r="O760" s="129" t="str">
        <f>IF(E760&lt;&gt;"", _xlfn.XLOOKUP(E760, DATABASE_FG!C:C, DATABASE_FG!F:F), " ")</f>
        <v>Atlanta rectificare</v>
      </c>
      <c r="P760" s="129">
        <f>IFERROR(INDEX(DATABASE_FG!$G$5:$G$367, MATCH(E760, DATABASE_FG!$C$5:$C$367, 0)), "Not Found")</f>
        <v>0</v>
      </c>
      <c r="Q760" s="194"/>
      <c r="R760" s="125" t="s">
        <v>678</v>
      </c>
      <c r="S760" s="123">
        <f>Table1[[#This Row],[Quantity]]/48</f>
        <v>3.125</v>
      </c>
      <c r="T760" s="36" t="s">
        <v>679</v>
      </c>
      <c r="U760" s="194"/>
      <c r="V760" s="194"/>
      <c r="W760" s="204"/>
      <c r="X760" s="194"/>
      <c r="Y760" s="194"/>
      <c r="Z760" s="194"/>
      <c r="AA760" s="198" t="s">
        <v>3</v>
      </c>
      <c r="AB760" s="205"/>
      <c r="AC760" s="201"/>
      <c r="AD760" s="194" t="str">
        <f t="shared" si="95"/>
        <v/>
      </c>
      <c r="AE760" s="194" t="str">
        <f t="shared" si="96"/>
        <v/>
      </c>
      <c r="AF760" s="194"/>
      <c r="AG760" s="120">
        <f t="shared" si="93"/>
        <v>0</v>
      </c>
      <c r="AH760" s="194"/>
      <c r="AI760" s="202"/>
      <c r="AJ760" s="203"/>
      <c r="AK760" s="129" t="str">
        <f t="shared" ca="1" si="92"/>
        <v/>
      </c>
      <c r="AL760" s="268" t="str">
        <f t="shared" si="94"/>
        <v>November</v>
      </c>
      <c r="AM760" s="133">
        <f>YEAR(Table1[[#This Row],[ETA
As requested
dd.mm.yyyy]])</f>
        <v>2025</v>
      </c>
    </row>
    <row r="761" spans="1:39" hidden="1">
      <c r="A761" s="195" t="s">
        <v>83</v>
      </c>
      <c r="B761" s="194" t="s">
        <v>2464</v>
      </c>
      <c r="C761" s="197"/>
      <c r="D761" s="196">
        <v>45849</v>
      </c>
      <c r="E761" s="238" t="s">
        <v>92</v>
      </c>
      <c r="F761" s="36" t="str">
        <f>IFERROR(VLOOKUP(Table1[[#This Row],[Part Number]],DATABASE_FG!$C$6:D10750,2,FALSE)," ")</f>
        <v>Inel exterior</v>
      </c>
      <c r="G761" s="117">
        <f>IFERROR(_xlfn.XLOOKUP(Table1[[#This Row],[Part Number]],Table3[Part number],Table3[Drawing
 Revision]),"")</f>
        <v>0</v>
      </c>
      <c r="H761" s="118" cm="1">
        <f t="array" ref="H761">IFERROR(INDEX(PDB!$C:$AT,MATCH(E761,PDB!$B:$B,0),MATCH(YEAR(K761),0+PDB!$C$1:$AT$1,0)),"")</f>
        <v>13.44</v>
      </c>
      <c r="I761" s="194">
        <v>150</v>
      </c>
      <c r="J761" s="125">
        <f>IFERROR(Table1[[#This Row],[Quantity]]*Table1[[#This Row],[Price/Unit
EUR]]," ")</f>
        <v>2016</v>
      </c>
      <c r="K761" s="126">
        <v>46009</v>
      </c>
      <c r="L761" s="194">
        <f>WEEKNUM(Table1[[#This Row],[ETA
As requested
dd.mm.yyyy]])</f>
        <v>51</v>
      </c>
      <c r="M761" s="194">
        <f>YEAR(Table1[[#This Row],[ETA
As requested
dd.mm.yyyy]])</f>
        <v>2025</v>
      </c>
      <c r="N761" s="36">
        <f>IFERROR(INDEX(DATABASE_FG!$H$5:$H$367, MATCH(E761, DATABASE_FG!$C$5:$C$367, 0)), " ")</f>
        <v>0</v>
      </c>
      <c r="O761" s="129" t="str">
        <f>IF(E761&lt;&gt;"", _xlfn.XLOOKUP(E761, DATABASE_FG!C:C, DATABASE_FG!F:F), " ")</f>
        <v>Atlanta rectificare</v>
      </c>
      <c r="P761" s="129">
        <f>IFERROR(INDEX(DATABASE_FG!$G$5:$G$367, MATCH(E761, DATABASE_FG!$C$5:$C$367, 0)), "Not Found")</f>
        <v>0</v>
      </c>
      <c r="Q761" s="194"/>
      <c r="R761" s="125" t="s">
        <v>678</v>
      </c>
      <c r="S761" s="123">
        <f>Table1[[#This Row],[Quantity]]/48</f>
        <v>3.125</v>
      </c>
      <c r="T761" s="36" t="s">
        <v>679</v>
      </c>
      <c r="U761" s="194"/>
      <c r="V761" s="194"/>
      <c r="W761" s="204"/>
      <c r="X761" s="194"/>
      <c r="Y761" s="194"/>
      <c r="Z761" s="194"/>
      <c r="AA761" s="198" t="s">
        <v>3</v>
      </c>
      <c r="AB761" s="205"/>
      <c r="AC761" s="201"/>
      <c r="AD761" s="194" t="str">
        <f t="shared" si="95"/>
        <v/>
      </c>
      <c r="AE761" s="194" t="str">
        <f t="shared" si="96"/>
        <v/>
      </c>
      <c r="AF761" s="194"/>
      <c r="AG761" s="120">
        <f t="shared" si="93"/>
        <v>0</v>
      </c>
      <c r="AH761" s="194"/>
      <c r="AI761" s="202"/>
      <c r="AJ761" s="203"/>
      <c r="AK761" s="129" t="str">
        <f t="shared" ca="1" si="92"/>
        <v/>
      </c>
      <c r="AL761" s="268" t="str">
        <f t="shared" si="94"/>
        <v>December</v>
      </c>
      <c r="AM761" s="133">
        <f>YEAR(Table1[[#This Row],[ETA
As requested
dd.mm.yyyy]])</f>
        <v>2025</v>
      </c>
    </row>
    <row r="762" spans="1:39" hidden="1">
      <c r="A762" s="123" t="s">
        <v>83</v>
      </c>
      <c r="B762" s="36" t="s">
        <v>1170</v>
      </c>
      <c r="C762" s="117">
        <v>36528585</v>
      </c>
      <c r="D762" s="165">
        <v>45383</v>
      </c>
      <c r="E762" s="117" t="s">
        <v>326</v>
      </c>
      <c r="F762" s="36" t="str">
        <f>IFERROR(VLOOKUP(Table1[[#This Row],[Part Number]],DATABASE_FG!$C$6:D10751,2,FALSE)," ")</f>
        <v xml:space="preserve">096311223-0000 </v>
      </c>
      <c r="G762" s="117" t="str">
        <f>IFERROR(_xlfn.XLOOKUP(Table1[[#This Row],[Part Number]],Table3[Part number],Table3[Drawing
 Revision]),"")</f>
        <v>AG</v>
      </c>
      <c r="H762" s="118" cm="1">
        <f t="array" ref="H762">IFERROR(INDEX(PDB!$C:$AT,MATCH(E762,PDB!$B:$B,0),MATCH(YEAR(K762),0+PDB!$C$1:$AT$1,0)),"")</f>
        <v>18.239999999999998</v>
      </c>
      <c r="I762" s="36">
        <v>187</v>
      </c>
      <c r="J762" s="125">
        <f>IFERROR(Table1[[#This Row],[Quantity]]*Table1[[#This Row],[Price/Unit
EUR]]," ")</f>
        <v>3410.8799999999997</v>
      </c>
      <c r="K762" s="126">
        <v>45394</v>
      </c>
      <c r="L762" s="36">
        <f>WEEKNUM(Table1[[#This Row],[ETA
As requested
dd.mm.yyyy]])</f>
        <v>15</v>
      </c>
      <c r="M762" s="36">
        <f>YEAR(Table1[[#This Row],[ETA
As requested
dd.mm.yyyy]])</f>
        <v>2024</v>
      </c>
      <c r="N762" s="36">
        <f>IFERROR(INDEX(DATABASE_FG!$H$5:$H$367, MATCH(E762, DATABASE_FG!$C$5:$C$367, 0)), " ")</f>
        <v>0</v>
      </c>
      <c r="O762" s="129" t="str">
        <f>IF(E762&lt;&gt;"", _xlfn.XLOOKUP(E762, DATABASE_FG!C:C, DATABASE_FG!F:F), " ")</f>
        <v>Strunjire moale</v>
      </c>
      <c r="P762" s="129">
        <f>IFERROR(INDEX(DATABASE_FG!$G$5:$G$367, MATCH(E762, DATABASE_FG!$C$5:$C$367, 0)), "Not Found")</f>
        <v>100</v>
      </c>
      <c r="Q762" s="36"/>
      <c r="R762" s="125" t="s">
        <v>678</v>
      </c>
      <c r="S762" s="123">
        <f>IFERROR(INDEX(DATABASE_FG!$L$5:$L$367, MATCH(E762, DATABASE_FG!$C$5:$C$367, 0)), " ")</f>
        <v>42</v>
      </c>
      <c r="T762" s="36" t="s">
        <v>679</v>
      </c>
      <c r="U762" s="36"/>
      <c r="V762" s="36"/>
      <c r="W762" s="129"/>
      <c r="X762" s="36"/>
      <c r="Y762" s="36"/>
      <c r="Z762" s="36" t="s">
        <v>1316</v>
      </c>
      <c r="AA762" s="125" t="s">
        <v>121</v>
      </c>
      <c r="AB762" s="173">
        <v>45398</v>
      </c>
      <c r="AC762" s="119">
        <v>2024355</v>
      </c>
      <c r="AD762" s="36">
        <f t="shared" si="95"/>
        <v>36528585</v>
      </c>
      <c r="AE762" s="36" t="str">
        <f t="shared" si="96"/>
        <v>F-556440-0013.AU.XU-WW1</v>
      </c>
      <c r="AF762" s="36">
        <v>187</v>
      </c>
      <c r="AG762" s="120">
        <f t="shared" si="93"/>
        <v>3410.8799999999997</v>
      </c>
      <c r="AH762" s="36">
        <v>8</v>
      </c>
      <c r="AI762" s="124" t="s">
        <v>1317</v>
      </c>
      <c r="AJ762" s="122" t="s">
        <v>1318</v>
      </c>
      <c r="AK762" s="129" t="str">
        <f t="shared" ca="1" si="92"/>
        <v>Late</v>
      </c>
      <c r="AL762" s="268" t="str">
        <f t="shared" si="94"/>
        <v>April</v>
      </c>
      <c r="AM762" s="133">
        <f>YEAR(Table1[[#This Row],[ETA
As requested
dd.mm.yyyy]])</f>
        <v>2024</v>
      </c>
    </row>
    <row r="763" spans="1:39" hidden="1">
      <c r="A763" s="123" t="s">
        <v>83</v>
      </c>
      <c r="B763" s="36" t="s">
        <v>1170</v>
      </c>
      <c r="C763" s="117">
        <v>36528585</v>
      </c>
      <c r="D763" s="165">
        <v>45383</v>
      </c>
      <c r="E763" s="117" t="s">
        <v>326</v>
      </c>
      <c r="F763" s="36" t="str">
        <f>IFERROR(VLOOKUP(Table1[[#This Row],[Part Number]],DATABASE_FG!$C$6:D10752,2,FALSE)," ")</f>
        <v xml:space="preserve">096311223-0000 </v>
      </c>
      <c r="G763" s="117" t="str">
        <f>IFERROR(_xlfn.XLOOKUP(Table1[[#This Row],[Part Number]],Table3[Part number],Table3[Drawing
 Revision]),"")</f>
        <v>AG</v>
      </c>
      <c r="H763" s="118" cm="1">
        <f t="array" ref="H763">IFERROR(INDEX(PDB!$C:$AT,MATCH(E763,PDB!$B:$B,0),MATCH(YEAR(K763),0+PDB!$C$1:$AT$1,0)),"")</f>
        <v>18.239999999999998</v>
      </c>
      <c r="I763" s="36">
        <v>8</v>
      </c>
      <c r="J763" s="125">
        <f>IFERROR(Table1[[#This Row],[Quantity]]*Table1[[#This Row],[Price/Unit
EUR]]," ")</f>
        <v>145.91999999999999</v>
      </c>
      <c r="K763" s="126">
        <v>45394</v>
      </c>
      <c r="L763" s="36">
        <f>WEEKNUM(Table1[[#This Row],[ETA
As requested
dd.mm.yyyy]])</f>
        <v>15</v>
      </c>
      <c r="M763" s="36">
        <f>YEAR(Table1[[#This Row],[ETA
As requested
dd.mm.yyyy]])</f>
        <v>2024</v>
      </c>
      <c r="N763" s="36">
        <f>IFERROR(INDEX(DATABASE_FG!$H$5:$H$367, MATCH(E763, DATABASE_FG!$C$5:$C$367, 0)), " ")</f>
        <v>0</v>
      </c>
      <c r="O763" s="129" t="str">
        <f>IF(E763&lt;&gt;"", _xlfn.XLOOKUP(E763, DATABASE_FG!C:C, DATABASE_FG!F:F), " ")</f>
        <v>Strunjire moale</v>
      </c>
      <c r="P763" s="129">
        <f>IFERROR(INDEX(DATABASE_FG!$G$5:$G$367, MATCH(E763, DATABASE_FG!$C$5:$C$367, 0)), "Not Found")</f>
        <v>100</v>
      </c>
      <c r="Q763" s="36"/>
      <c r="R763" s="125" t="s">
        <v>678</v>
      </c>
      <c r="S763" s="123">
        <f>IFERROR(INDEX(DATABASE_FG!$L$5:$L$367, MATCH(E763, DATABASE_FG!$C$5:$C$367, 0)), " ")</f>
        <v>42</v>
      </c>
      <c r="T763" s="36" t="s">
        <v>679</v>
      </c>
      <c r="U763" s="36"/>
      <c r="V763" s="36"/>
      <c r="W763" s="129"/>
      <c r="X763" s="36"/>
      <c r="Y763" s="36"/>
      <c r="Z763" s="36" t="s">
        <v>1316</v>
      </c>
      <c r="AA763" s="125" t="s">
        <v>121</v>
      </c>
      <c r="AB763" s="173">
        <v>45419</v>
      </c>
      <c r="AC763" s="119">
        <v>2024435</v>
      </c>
      <c r="AD763" s="36">
        <f t="shared" si="95"/>
        <v>36528585</v>
      </c>
      <c r="AE763" s="36" t="str">
        <f t="shared" si="96"/>
        <v>F-556440-0013.AU.XU-WW1</v>
      </c>
      <c r="AF763" s="36">
        <v>5</v>
      </c>
      <c r="AG763" s="120">
        <f t="shared" si="93"/>
        <v>91.199999999999989</v>
      </c>
      <c r="AH763" s="36"/>
      <c r="AI763" s="124" t="s">
        <v>1323</v>
      </c>
      <c r="AJ763" s="122" t="s">
        <v>1324</v>
      </c>
      <c r="AK763" s="129" t="str">
        <f t="shared" ca="1" si="92"/>
        <v>Late</v>
      </c>
      <c r="AL763" s="268" t="str">
        <f t="shared" si="94"/>
        <v>April</v>
      </c>
      <c r="AM763" s="133">
        <f>YEAR(Table1[[#This Row],[ETA
As requested
dd.mm.yyyy]])</f>
        <v>2024</v>
      </c>
    </row>
    <row r="764" spans="1:39" hidden="1">
      <c r="A764" s="123" t="s">
        <v>83</v>
      </c>
      <c r="B764" s="36" t="s">
        <v>1170</v>
      </c>
      <c r="C764" s="117">
        <v>37930050</v>
      </c>
      <c r="D764" s="165">
        <v>45596</v>
      </c>
      <c r="E764" s="117" t="s">
        <v>326</v>
      </c>
      <c r="F764" s="36" t="str">
        <f>IFERROR(VLOOKUP(Table1[[#This Row],[Part Number]],DATABASE_FG!$C$6:D10753,2,FALSE)," ")</f>
        <v xml:space="preserve">096311223-0000 </v>
      </c>
      <c r="G764" s="117" t="str">
        <f>IFERROR(_xlfn.XLOOKUP(Table1[[#This Row],[Part Number]],Table3[Part number],Table3[Drawing
 Revision]),"")</f>
        <v>AG</v>
      </c>
      <c r="H764" s="118" cm="1">
        <f t="array" ref="H764">IFERROR(INDEX(PDB!$C:$AT,MATCH(E764,PDB!$B:$B,0),MATCH(YEAR(K764),0+PDB!$C$1:$AT$1,0)),"")</f>
        <v>18.239999999999998</v>
      </c>
      <c r="I764" s="36">
        <v>187</v>
      </c>
      <c r="J764" s="125">
        <f>IFERROR(Table1[[#This Row],[Quantity]]*Table1[[#This Row],[Price/Unit
EUR]]," ")</f>
        <v>3410.8799999999997</v>
      </c>
      <c r="K764" s="126">
        <v>45611</v>
      </c>
      <c r="L764" s="36">
        <f>WEEKNUM(Table1[[#This Row],[ETA
As requested
dd.mm.yyyy]])</f>
        <v>46</v>
      </c>
      <c r="M764" s="36">
        <f>YEAR(Table1[[#This Row],[ETA
As requested
dd.mm.yyyy]])</f>
        <v>2024</v>
      </c>
      <c r="N764" s="36">
        <f>IFERROR(INDEX(DATABASE_FG!$H$5:$H$367, MATCH(E764, DATABASE_FG!$C$5:$C$367, 0)), " ")</f>
        <v>0</v>
      </c>
      <c r="O764" s="129" t="str">
        <f>IF(E764&lt;&gt;"", _xlfn.XLOOKUP(E764, DATABASE_FG!C:C, DATABASE_FG!F:F), " ")</f>
        <v>Strunjire moale</v>
      </c>
      <c r="P764" s="129">
        <f>IFERROR(INDEX(DATABASE_FG!$G$5:$G$367, MATCH(E764, DATABASE_FG!$C$5:$C$367, 0)), "Not Found")</f>
        <v>100</v>
      </c>
      <c r="Q764" s="36"/>
      <c r="R764" s="125"/>
      <c r="S764" s="123">
        <f>IFERROR(INDEX(DATABASE_FG!$L$5:$L$367, MATCH(E764, DATABASE_FG!$C$5:$C$367, 0)), " ")</f>
        <v>42</v>
      </c>
      <c r="T764" s="36"/>
      <c r="U764" s="36"/>
      <c r="V764" s="36"/>
      <c r="W764" s="129"/>
      <c r="X764" s="36"/>
      <c r="Y764" s="36"/>
      <c r="Z764" s="36"/>
      <c r="AA764" s="125" t="s">
        <v>121</v>
      </c>
      <c r="AB764" s="173">
        <v>45636</v>
      </c>
      <c r="AC764" s="119">
        <v>202401517</v>
      </c>
      <c r="AD764" s="36">
        <f t="shared" si="95"/>
        <v>37930050</v>
      </c>
      <c r="AE764" s="36" t="str">
        <f t="shared" si="96"/>
        <v>F-556440-0013.AU.XU-WW1</v>
      </c>
      <c r="AF764" s="36">
        <v>185</v>
      </c>
      <c r="AG764" s="120">
        <f t="shared" si="93"/>
        <v>3374.3999999999996</v>
      </c>
      <c r="AH764" s="36">
        <v>2</v>
      </c>
      <c r="AI764" s="124"/>
      <c r="AJ764" s="122" t="s">
        <v>2599</v>
      </c>
      <c r="AK764" s="129" t="str">
        <f t="shared" ca="1" si="92"/>
        <v>Late</v>
      </c>
      <c r="AL764" s="268" t="str">
        <f t="shared" si="94"/>
        <v>November</v>
      </c>
      <c r="AM764" s="133">
        <f>YEAR(Table1[[#This Row],[ETA
As requested
dd.mm.yyyy]])</f>
        <v>2024</v>
      </c>
    </row>
    <row r="765" spans="1:39" hidden="1">
      <c r="A765" s="123" t="s">
        <v>83</v>
      </c>
      <c r="B765" s="36" t="s">
        <v>1170</v>
      </c>
      <c r="C765" s="117">
        <v>37930050</v>
      </c>
      <c r="D765" s="165">
        <v>45596</v>
      </c>
      <c r="E765" s="117" t="s">
        <v>326</v>
      </c>
      <c r="F765" s="36" t="str">
        <f>IFERROR(VLOOKUP(Table1[[#This Row],[Part Number]],DATABASE_FG!$C$6:D10754,2,FALSE)," ")</f>
        <v xml:space="preserve">096311223-0000 </v>
      </c>
      <c r="G765" s="117" t="str">
        <f>IFERROR(_xlfn.XLOOKUP(Table1[[#This Row],[Part Number]],Table3[Part number],Table3[Drawing
 Revision]),"")</f>
        <v>AG</v>
      </c>
      <c r="H765" s="118" cm="1">
        <f t="array" ref="H765">IFERROR(INDEX(PDB!$C:$AT,MATCH(E765,PDB!$B:$B,0),MATCH(YEAR(K765),0+PDB!$C$1:$AT$1,0)),"")</f>
        <v>18.239999999999998</v>
      </c>
      <c r="I765" s="36">
        <v>13</v>
      </c>
      <c r="J765" s="125">
        <f>IFERROR(Table1[[#This Row],[Quantity]]*Table1[[#This Row],[Price/Unit
EUR]]," ")</f>
        <v>237.11999999999998</v>
      </c>
      <c r="K765" s="126">
        <v>45611</v>
      </c>
      <c r="L765" s="36">
        <f>WEEKNUM(Table1[[#This Row],[ETA
As requested
dd.mm.yyyy]])</f>
        <v>46</v>
      </c>
      <c r="M765" s="36">
        <f>YEAR(Table1[[#This Row],[ETA
As requested
dd.mm.yyyy]])</f>
        <v>2024</v>
      </c>
      <c r="N765" s="36">
        <f>IFERROR(INDEX(DATABASE_FG!$H$5:$H$367, MATCH(E765, DATABASE_FG!$C$5:$C$367, 0)), " ")</f>
        <v>0</v>
      </c>
      <c r="O765" s="129" t="str">
        <f>IF(E765&lt;&gt;"", _xlfn.XLOOKUP(E765, DATABASE_FG!C:C, DATABASE_FG!F:F), " ")</f>
        <v>Strunjire moale</v>
      </c>
      <c r="P765" s="129">
        <f>IFERROR(INDEX(DATABASE_FG!$G$5:$G$367, MATCH(E765, DATABASE_FG!$C$5:$C$367, 0)), "Not Found")</f>
        <v>100</v>
      </c>
      <c r="Q765" s="36">
        <v>60</v>
      </c>
      <c r="R765" s="125" t="s">
        <v>678</v>
      </c>
      <c r="S765" s="123">
        <f>IFERROR(INDEX(DATABASE_FG!$L$5:$L$367, MATCH(E765, DATABASE_FG!$C$5:$C$367, 0)), " ")</f>
        <v>42</v>
      </c>
      <c r="T765" s="36" t="s">
        <v>679</v>
      </c>
      <c r="U765" s="36"/>
      <c r="V765" s="36"/>
      <c r="W765" s="129"/>
      <c r="X765" s="36"/>
      <c r="Y765" s="36"/>
      <c r="Z765" s="36"/>
      <c r="AA765" s="125" t="s">
        <v>121</v>
      </c>
      <c r="AB765" s="173">
        <v>45637</v>
      </c>
      <c r="AC765" s="119">
        <v>202401520</v>
      </c>
      <c r="AD765" s="36">
        <f t="shared" si="95"/>
        <v>37930050</v>
      </c>
      <c r="AE765" s="36" t="str">
        <f t="shared" si="96"/>
        <v>F-556440-0013.AU.XU-WW1</v>
      </c>
      <c r="AF765" s="36">
        <v>13</v>
      </c>
      <c r="AG765" s="120">
        <f t="shared" si="93"/>
        <v>237.11999999999998</v>
      </c>
      <c r="AH765" s="36"/>
      <c r="AI765" s="124"/>
      <c r="AJ765" s="122" t="s">
        <v>2600</v>
      </c>
      <c r="AK765" s="129" t="str">
        <f t="shared" ca="1" si="92"/>
        <v>Late</v>
      </c>
      <c r="AL765" s="268" t="str">
        <f t="shared" si="94"/>
        <v>November</v>
      </c>
      <c r="AM765" s="133">
        <f>YEAR(Table1[[#This Row],[ETA
As requested
dd.mm.yyyy]])</f>
        <v>2024</v>
      </c>
    </row>
    <row r="766" spans="1:39" hidden="1">
      <c r="A766" s="123" t="s">
        <v>83</v>
      </c>
      <c r="B766" s="36" t="s">
        <v>1170</v>
      </c>
      <c r="C766" s="117">
        <v>38143771</v>
      </c>
      <c r="D766" s="165">
        <v>45631</v>
      </c>
      <c r="E766" s="117" t="s">
        <v>326</v>
      </c>
      <c r="F766" s="36" t="str">
        <f>IFERROR(VLOOKUP(Table1[[#This Row],[Part Number]],DATABASE_FG!$C$6:D10755,2,FALSE)," ")</f>
        <v xml:space="preserve">096311223-0000 </v>
      </c>
      <c r="G766" s="117" t="str">
        <f>IFERROR(_xlfn.XLOOKUP(Table1[[#This Row],[Part Number]],Table3[Part number],Table3[Drawing
 Revision]),"")</f>
        <v>AG</v>
      </c>
      <c r="H766" s="118" cm="1">
        <f t="array" ref="H766">IFERROR(INDEX(PDB!$C:$AT,MATCH(E766,PDB!$B:$B,0),MATCH(YEAR(K766),0+PDB!$C$1:$AT$1,0)),"")</f>
        <v>18.239999999999998</v>
      </c>
      <c r="I766" s="36">
        <v>114</v>
      </c>
      <c r="J766" s="125">
        <v>3465.6</v>
      </c>
      <c r="K766" s="126">
        <v>45674</v>
      </c>
      <c r="L766" s="36">
        <f>WEEKNUM(Table1[[#This Row],[ETA
As requested
dd.mm.yyyy]])</f>
        <v>3</v>
      </c>
      <c r="M766" s="36">
        <f>YEAR(Table1[[#This Row],[ETA
As requested
dd.mm.yyyy]])</f>
        <v>2025</v>
      </c>
      <c r="N766" s="36">
        <v>0</v>
      </c>
      <c r="O766" s="129" t="str">
        <f>IF(E766&lt;&gt;"", _xlfn.XLOOKUP(E766, DATABASE_FG!C:C, DATABASE_FG!F:F), " ")</f>
        <v>Strunjire moale</v>
      </c>
      <c r="P766" s="129">
        <f>IFERROR(INDEX(DATABASE_FG!$G$5:$G$367, MATCH(E766, DATABASE_FG!$C$5:$C$367, 0)), "Not Found")</f>
        <v>100</v>
      </c>
      <c r="Q766" s="36">
        <v>60</v>
      </c>
      <c r="R766" s="125" t="s">
        <v>678</v>
      </c>
      <c r="S766" s="123">
        <v>42</v>
      </c>
      <c r="T766" s="36" t="s">
        <v>679</v>
      </c>
      <c r="U766" s="36"/>
      <c r="V766" s="36"/>
      <c r="W766" s="129"/>
      <c r="X766" s="36"/>
      <c r="Y766" s="36"/>
      <c r="Z766" s="36"/>
      <c r="AA766" s="125" t="s">
        <v>121</v>
      </c>
      <c r="AB766" s="173">
        <v>45679</v>
      </c>
      <c r="AC766" s="119" t="s">
        <v>2729</v>
      </c>
      <c r="AD766" s="36">
        <f t="shared" si="95"/>
        <v>38143771</v>
      </c>
      <c r="AE766" s="36" t="str">
        <f t="shared" si="96"/>
        <v>F-556440-0013.AU.XU-WW1</v>
      </c>
      <c r="AF766" s="36">
        <v>114</v>
      </c>
      <c r="AG766" s="120">
        <f t="shared" si="93"/>
        <v>2079.3599999999997</v>
      </c>
      <c r="AH766" s="36"/>
      <c r="AI766" s="124"/>
      <c r="AJ766" s="122" t="s">
        <v>2730</v>
      </c>
      <c r="AK766" s="129" t="str">
        <f t="shared" ca="1" si="92"/>
        <v>Late</v>
      </c>
      <c r="AL766" s="268" t="str">
        <f t="shared" si="94"/>
        <v>January</v>
      </c>
      <c r="AM766" s="133">
        <f>YEAR(Table1[[#This Row],[ETA
As requested
dd.mm.yyyy]])</f>
        <v>2025</v>
      </c>
    </row>
    <row r="767" spans="1:39" hidden="1">
      <c r="A767" s="123" t="s">
        <v>83</v>
      </c>
      <c r="B767" s="36" t="s">
        <v>1170</v>
      </c>
      <c r="C767" s="117">
        <v>38143771</v>
      </c>
      <c r="D767" s="165">
        <v>45631</v>
      </c>
      <c r="E767" s="117" t="s">
        <v>326</v>
      </c>
      <c r="F767" s="36" t="str">
        <f>IFERROR(VLOOKUP(Table1[[#This Row],[Part Number]],DATABASE_FG!$C$6:D10756,2,FALSE)," ")</f>
        <v xml:space="preserve">096311223-0000 </v>
      </c>
      <c r="G767" s="117" t="str">
        <f>IFERROR(_xlfn.XLOOKUP(Table1[[#This Row],[Part Number]],Table3[Part number],Table3[Drawing
 Revision]),"")</f>
        <v>AG</v>
      </c>
      <c r="H767" s="118" cm="1">
        <f t="array" ref="H767">IFERROR(INDEX(PDB!$C:$AT,MATCH(E767,PDB!$B:$B,0),MATCH(YEAR(K767),0+PDB!$C$1:$AT$1,0)),"")</f>
        <v>18.239999999999998</v>
      </c>
      <c r="I767" s="36">
        <f>190-114</f>
        <v>76</v>
      </c>
      <c r="J767" s="125">
        <f>IFERROR(Table1[[#This Row],[Quantity]]*Table1[[#This Row],[Price/Unit
EUR]]," ")</f>
        <v>1386.2399999999998</v>
      </c>
      <c r="K767" s="126">
        <v>45674</v>
      </c>
      <c r="L767" s="36">
        <f>WEEKNUM(Table1[[#This Row],[ETA
As requested
dd.mm.yyyy]])</f>
        <v>3</v>
      </c>
      <c r="M767" s="36">
        <f>YEAR(Table1[[#This Row],[ETA
As requested
dd.mm.yyyy]])</f>
        <v>2025</v>
      </c>
      <c r="N767" s="36">
        <f>IFERROR(INDEX(DATABASE_FG!$H$5:$H$367, MATCH(E767, DATABASE_FG!$C$5:$C$367, 0)), " ")</f>
        <v>0</v>
      </c>
      <c r="O767" s="129" t="str">
        <f>IF(E767&lt;&gt;"", _xlfn.XLOOKUP(E767, DATABASE_FG!C:C, DATABASE_FG!F:F), " ")</f>
        <v>Strunjire moale</v>
      </c>
      <c r="P767" s="129">
        <f>IFERROR(INDEX(DATABASE_FG!$G$5:$G$367, MATCH(E767, DATABASE_FG!$C$5:$C$367, 0)), "Not Found")</f>
        <v>100</v>
      </c>
      <c r="Q767" s="36">
        <v>60</v>
      </c>
      <c r="R767" s="125" t="s">
        <v>678</v>
      </c>
      <c r="S767" s="123">
        <f>IFERROR(INDEX(DATABASE_FG!$L$5:$L$367, MATCH(E767, DATABASE_FG!$C$5:$C$367, 0)), " ")</f>
        <v>42</v>
      </c>
      <c r="T767" s="36" t="s">
        <v>679</v>
      </c>
      <c r="U767" s="36"/>
      <c r="V767" s="36"/>
      <c r="W767" s="129"/>
      <c r="X767" s="36"/>
      <c r="Y767" s="36"/>
      <c r="Z767" s="36"/>
      <c r="AA767" s="125" t="s">
        <v>121</v>
      </c>
      <c r="AB767" s="173">
        <v>45684</v>
      </c>
      <c r="AC767" s="119" t="s">
        <v>2731</v>
      </c>
      <c r="AD767" s="36">
        <f t="shared" si="95"/>
        <v>38143771</v>
      </c>
      <c r="AE767" s="36" t="str">
        <f t="shared" si="96"/>
        <v>F-556440-0013.AU.XU-WW1</v>
      </c>
      <c r="AF767" s="36">
        <v>75</v>
      </c>
      <c r="AG767" s="120">
        <f t="shared" si="93"/>
        <v>1367.9999999999998</v>
      </c>
      <c r="AH767" s="36">
        <v>1</v>
      </c>
      <c r="AI767" s="124"/>
      <c r="AJ767" s="122"/>
      <c r="AK767" s="129" t="str">
        <f t="shared" ca="1" si="92"/>
        <v>Late</v>
      </c>
      <c r="AL767" s="268" t="str">
        <f t="shared" si="94"/>
        <v>January</v>
      </c>
      <c r="AM767" s="133">
        <f>YEAR(Table1[[#This Row],[ETA
As requested
dd.mm.yyyy]])</f>
        <v>2025</v>
      </c>
    </row>
    <row r="768" spans="1:39" hidden="1">
      <c r="A768" s="123" t="s">
        <v>83</v>
      </c>
      <c r="B768" s="36" t="s">
        <v>1170</v>
      </c>
      <c r="C768" s="117">
        <v>38708616</v>
      </c>
      <c r="D768" s="165">
        <v>45714</v>
      </c>
      <c r="E768" s="117" t="s">
        <v>326</v>
      </c>
      <c r="F768" s="36" t="str">
        <f>IFERROR(VLOOKUP(Table1[[#This Row],[Part Number]],DATABASE_FG!$C$6:D10757,2,FALSE)," ")</f>
        <v xml:space="preserve">096311223-0000 </v>
      </c>
      <c r="G768" s="117" t="str">
        <f>IFERROR(_xlfn.XLOOKUP(Table1[[#This Row],[Part Number]],Table3[Part number],Table3[Drawing
 Revision]),"")</f>
        <v>AG</v>
      </c>
      <c r="H768" s="118" cm="1">
        <f t="array" ref="H768">IFERROR(INDEX(PDB!$C:$AT,MATCH(E768,PDB!$B:$B,0),MATCH(YEAR(K768),0+PDB!$C$1:$AT$1,0)),"")</f>
        <v>18.239999999999998</v>
      </c>
      <c r="I768" s="36">
        <v>117</v>
      </c>
      <c r="J768" s="125">
        <f>IFERROR(Table1[[#This Row],[Quantity]]*Table1[[#This Row],[Price/Unit
EUR]]," ")</f>
        <v>2134.08</v>
      </c>
      <c r="K768" s="126">
        <v>45728</v>
      </c>
      <c r="L768" s="36">
        <f>WEEKNUM(Table1[[#This Row],[ETA
As requested
dd.mm.yyyy]])</f>
        <v>11</v>
      </c>
      <c r="M768" s="36">
        <f>YEAR(Table1[[#This Row],[ETA
As requested
dd.mm.yyyy]])</f>
        <v>2025</v>
      </c>
      <c r="N768" s="36">
        <f>IFERROR(INDEX(DATABASE_FG!$H$5:$H$367, MATCH(E768, DATABASE_FG!$C$5:$C$367, 0)), " ")</f>
        <v>0</v>
      </c>
      <c r="O768" s="129" t="str">
        <f>IF(E768&lt;&gt;"", _xlfn.XLOOKUP(E768, DATABASE_FG!C:C, DATABASE_FG!F:F), " ")</f>
        <v>Strunjire moale</v>
      </c>
      <c r="P768" s="129">
        <f>IFERROR(INDEX(DATABASE_FG!$G$5:$G$367, MATCH(E768, DATABASE_FG!$C$5:$C$367, 0)), "Not Found")</f>
        <v>100</v>
      </c>
      <c r="Q768" s="36">
        <v>60</v>
      </c>
      <c r="R768" s="125" t="s">
        <v>678</v>
      </c>
      <c r="S768" s="123">
        <f>IFERROR(INDEX(DATABASE_FG!$L$5:$L$367, MATCH(E768, DATABASE_FG!$C$5:$C$367, 0)), " ")</f>
        <v>42</v>
      </c>
      <c r="T768" s="36" t="s">
        <v>679</v>
      </c>
      <c r="U768" s="36"/>
      <c r="V768" s="36"/>
      <c r="W768" s="129"/>
      <c r="X768" s="36"/>
      <c r="Y768" s="36"/>
      <c r="Z768" s="36"/>
      <c r="AA768" s="125" t="s">
        <v>121</v>
      </c>
      <c r="AB768" s="173">
        <v>45763</v>
      </c>
      <c r="AC768" s="119" t="s">
        <v>2948</v>
      </c>
      <c r="AD768" s="36">
        <f t="shared" si="95"/>
        <v>38708616</v>
      </c>
      <c r="AE768" s="36" t="str">
        <f t="shared" si="96"/>
        <v>F-556440-0013.AU.XU-WW1</v>
      </c>
      <c r="AF768" s="36">
        <v>117</v>
      </c>
      <c r="AG768" s="120">
        <f t="shared" si="93"/>
        <v>2134.08</v>
      </c>
      <c r="AH768" s="36"/>
      <c r="AI768" s="124"/>
      <c r="AJ768" s="122" t="s">
        <v>2949</v>
      </c>
      <c r="AK768" s="129" t="str">
        <f t="shared" ca="1" si="92"/>
        <v>Late</v>
      </c>
      <c r="AL768" s="268" t="str">
        <f t="shared" si="94"/>
        <v>March</v>
      </c>
      <c r="AM768" s="133">
        <f>YEAR(Table1[[#This Row],[ETA
As requested
dd.mm.yyyy]])</f>
        <v>2025</v>
      </c>
    </row>
    <row r="769" spans="1:39" hidden="1">
      <c r="A769" s="123" t="s">
        <v>83</v>
      </c>
      <c r="B769" s="36" t="s">
        <v>1170</v>
      </c>
      <c r="C769" s="117">
        <v>38708616</v>
      </c>
      <c r="D769" s="165">
        <v>45714</v>
      </c>
      <c r="E769" s="117" t="s">
        <v>326</v>
      </c>
      <c r="F769" s="36" t="str">
        <f>IFERROR(VLOOKUP(Table1[[#This Row],[Part Number]],DATABASE_FG!$C$6:D10758,2,FALSE)," ")</f>
        <v xml:space="preserve">096311223-0000 </v>
      </c>
      <c r="G769" s="117" t="str">
        <f>IFERROR(_xlfn.XLOOKUP(Table1[[#This Row],[Part Number]],Table3[Part number],Table3[Drawing
 Revision]),"")</f>
        <v>AG</v>
      </c>
      <c r="H769" s="118" cm="1">
        <f t="array" ref="H769">IFERROR(INDEX(PDB!$C:$AT,MATCH(E769,PDB!$B:$B,0),MATCH(YEAR(K769),0+PDB!$C$1:$AT$1,0)),"")</f>
        <v>18.239999999999998</v>
      </c>
      <c r="I769" s="36">
        <f>200-117</f>
        <v>83</v>
      </c>
      <c r="J769" s="125">
        <f>IFERROR(Table1[[#This Row],[Quantity]]*Table1[[#This Row],[Price/Unit
EUR]]," ")</f>
        <v>1513.9199999999998</v>
      </c>
      <c r="K769" s="126">
        <v>45728</v>
      </c>
      <c r="L769" s="36">
        <f>WEEKNUM(Table1[[#This Row],[ETA
As requested
dd.mm.yyyy]])</f>
        <v>11</v>
      </c>
      <c r="M769" s="36">
        <f>YEAR(Table1[[#This Row],[ETA
As requested
dd.mm.yyyy]])</f>
        <v>2025</v>
      </c>
      <c r="N769" s="36">
        <f>IFERROR(INDEX(DATABASE_FG!$H$5:$H$367, MATCH(E769, DATABASE_FG!$C$5:$C$367, 0)), " ")</f>
        <v>0</v>
      </c>
      <c r="O769" s="129" t="str">
        <f>IF(E769&lt;&gt;"", _xlfn.XLOOKUP(E769, DATABASE_FG!C:C, DATABASE_FG!F:F), " ")</f>
        <v>Strunjire moale</v>
      </c>
      <c r="P769" s="129">
        <f>IFERROR(INDEX(DATABASE_FG!$G$5:$G$367, MATCH(E769, DATABASE_FG!$C$5:$C$367, 0)), "Not Found")</f>
        <v>100</v>
      </c>
      <c r="Q769" s="36"/>
      <c r="R769" s="125" t="s">
        <v>678</v>
      </c>
      <c r="S769" s="123">
        <f>IFERROR(INDEX(DATABASE_FG!$L$5:$L$367, MATCH(E769, DATABASE_FG!$C$5:$C$367, 0)), " ")</f>
        <v>42</v>
      </c>
      <c r="T769" s="36" t="s">
        <v>679</v>
      </c>
      <c r="U769" s="36"/>
      <c r="V769" s="36"/>
      <c r="W769" s="129"/>
      <c r="X769" s="36"/>
      <c r="Y769" s="36"/>
      <c r="Z769" s="36"/>
      <c r="AA769" s="125" t="s">
        <v>121</v>
      </c>
      <c r="AB769" s="173">
        <v>45764</v>
      </c>
      <c r="AC769" s="119">
        <v>25632</v>
      </c>
      <c r="AD769" s="36">
        <f t="shared" si="95"/>
        <v>38708616</v>
      </c>
      <c r="AE769" s="36" t="str">
        <f t="shared" si="96"/>
        <v>F-556440-0013.AU.XU-WW1</v>
      </c>
      <c r="AF769" s="36">
        <v>60</v>
      </c>
      <c r="AG769" s="120">
        <f t="shared" si="93"/>
        <v>1094.3999999999999</v>
      </c>
      <c r="AH769" s="36">
        <v>23</v>
      </c>
      <c r="AI769" s="124"/>
      <c r="AJ769" s="122" t="s">
        <v>2950</v>
      </c>
      <c r="AK769" s="129" t="str">
        <f t="shared" ca="1" si="92"/>
        <v>Late</v>
      </c>
      <c r="AL769" s="268" t="str">
        <f t="shared" si="94"/>
        <v>March</v>
      </c>
      <c r="AM769" s="133">
        <f>YEAR(Table1[[#This Row],[ETA
As requested
dd.mm.yyyy]])</f>
        <v>2025</v>
      </c>
    </row>
    <row r="770" spans="1:39" hidden="1">
      <c r="A770" s="123" t="s">
        <v>83</v>
      </c>
      <c r="B770" s="36" t="s">
        <v>1170</v>
      </c>
      <c r="C770" s="117">
        <v>36508913</v>
      </c>
      <c r="D770" s="165">
        <v>45378</v>
      </c>
      <c r="E770" s="117" t="s">
        <v>97</v>
      </c>
      <c r="F770" s="36" t="str">
        <f>IFERROR(VLOOKUP(Table1[[#This Row],[Part Number]],DATABASE_FG!$C$6:D10759,2,FALSE)," ")</f>
        <v>300921586-8011</v>
      </c>
      <c r="G770" s="117" t="str">
        <f>IFERROR(_xlfn.XLOOKUP(Table1[[#This Row],[Part Number]],Table3[Part number],Table3[Drawing
 Revision]),"")</f>
        <v>AB</v>
      </c>
      <c r="H770" s="118" cm="1">
        <f t="array" ref="H770">IFERROR(INDEX(PDB!$C:$AT,MATCH(E770,PDB!$B:$B,0),MATCH(YEAR(K770),0+PDB!$C$1:$AT$1,0)),"")</f>
        <v>5.56</v>
      </c>
      <c r="I770" s="36">
        <v>100</v>
      </c>
      <c r="J770" s="125">
        <f>IFERROR(Table1[[#This Row],[Quantity]]*Table1[[#This Row],[Price/Unit
EUR]]," ")</f>
        <v>556</v>
      </c>
      <c r="K770" s="126">
        <v>45391</v>
      </c>
      <c r="L770" s="36">
        <f>WEEKNUM(Table1[[#This Row],[ETA
As requested
dd.mm.yyyy]])</f>
        <v>15</v>
      </c>
      <c r="M770" s="36">
        <f>YEAR(Table1[[#This Row],[ETA
As requested
dd.mm.yyyy]])</f>
        <v>2024</v>
      </c>
      <c r="N770" s="36">
        <f>IFERROR(INDEX(DATABASE_FG!$H$5:$H$367, MATCH(E770, DATABASE_FG!$C$5:$C$367, 0)), " ")</f>
        <v>0</v>
      </c>
      <c r="O770" s="129" t="str">
        <f>IF(E770&lt;&gt;"", _xlfn.XLOOKUP(E770, DATABASE_FG!C:C, DATABASE_FG!F:F), " ")</f>
        <v>Ghidaje</v>
      </c>
      <c r="P770" s="129">
        <f>IFERROR(INDEX(DATABASE_FG!$G$5:$G$367, MATCH(E770, DATABASE_FG!$C$5:$C$367, 0)), "Not Found")</f>
        <v>0</v>
      </c>
      <c r="Q770" s="36"/>
      <c r="R770" s="125" t="s">
        <v>678</v>
      </c>
      <c r="S770" s="123">
        <f>IFERROR(INDEX(DATABASE_FG!$L$5:$L$367, MATCH(E770, DATABASE_FG!$C$5:$C$367, 0)), " ")</f>
        <v>42</v>
      </c>
      <c r="T770" s="36" t="s">
        <v>679</v>
      </c>
      <c r="U770" s="36"/>
      <c r="V770" s="36"/>
      <c r="W770" s="129"/>
      <c r="X770" s="36"/>
      <c r="Y770" s="36"/>
      <c r="Z770" s="36" t="s">
        <v>1295</v>
      </c>
      <c r="AA770" s="125" t="s">
        <v>121</v>
      </c>
      <c r="AB770" s="173">
        <v>45391</v>
      </c>
      <c r="AC770" s="119">
        <v>2024324</v>
      </c>
      <c r="AD770" s="36">
        <f t="shared" si="95"/>
        <v>36508913</v>
      </c>
      <c r="AE770" s="36" t="str">
        <f t="shared" si="96"/>
        <v>F-607694-1038.TK.KWVE20BNL-ISB-WW1</v>
      </c>
      <c r="AF770" s="36">
        <v>52</v>
      </c>
      <c r="AG770" s="120">
        <f t="shared" si="93"/>
        <v>289.12</v>
      </c>
      <c r="AH770" s="36"/>
      <c r="AI770" s="124"/>
      <c r="AJ770" s="122" t="s">
        <v>1296</v>
      </c>
      <c r="AK770" s="129" t="str">
        <f t="shared" ca="1" si="92"/>
        <v>On Time</v>
      </c>
      <c r="AL770" s="268" t="str">
        <f t="shared" si="94"/>
        <v>April</v>
      </c>
      <c r="AM770" s="133">
        <f>YEAR(Table1[[#This Row],[ETA
As requested
dd.mm.yyyy]])</f>
        <v>2024</v>
      </c>
    </row>
    <row r="771" spans="1:39" hidden="1">
      <c r="A771" s="123" t="s">
        <v>83</v>
      </c>
      <c r="B771" s="36" t="s">
        <v>1170</v>
      </c>
      <c r="C771" s="117">
        <v>36508913</v>
      </c>
      <c r="D771" s="165">
        <v>45378</v>
      </c>
      <c r="E771" s="117" t="s">
        <v>97</v>
      </c>
      <c r="F771" s="36" t="str">
        <f>IFERROR(VLOOKUP(Table1[[#This Row],[Part Number]],DATABASE_FG!$C$6:D10760,2,FALSE)," ")</f>
        <v>300921586-8011</v>
      </c>
      <c r="G771" s="117" t="str">
        <f>IFERROR(_xlfn.XLOOKUP(Table1[[#This Row],[Part Number]],Table3[Part number],Table3[Drawing
 Revision]),"")</f>
        <v>AB</v>
      </c>
      <c r="H771" s="118" cm="1">
        <f t="array" ref="H771">IFERROR(INDEX(PDB!$C:$AT,MATCH(E771,PDB!$B:$B,0),MATCH(YEAR(K771),0+PDB!$C$1:$AT$1,0)),"")</f>
        <v>5.56</v>
      </c>
      <c r="I771" s="36"/>
      <c r="J771" s="125">
        <f>IFERROR(Table1[[#This Row],[Quantity]]*Table1[[#This Row],[Price/Unit
EUR]]," ")</f>
        <v>0</v>
      </c>
      <c r="K771" s="126">
        <v>45391</v>
      </c>
      <c r="L771" s="36">
        <f>WEEKNUM(Table1[[#This Row],[ETA
As requested
dd.mm.yyyy]])</f>
        <v>15</v>
      </c>
      <c r="M771" s="36">
        <f>YEAR(Table1[[#This Row],[ETA
As requested
dd.mm.yyyy]])</f>
        <v>2024</v>
      </c>
      <c r="N771" s="36">
        <f>IFERROR(INDEX(DATABASE_FG!$H$5:$H$367, MATCH(E771, DATABASE_FG!$C$5:$C$367, 0)), " ")</f>
        <v>0</v>
      </c>
      <c r="O771" s="129" t="str">
        <f>IF(E771&lt;&gt;"", _xlfn.XLOOKUP(E771, DATABASE_FG!C:C, DATABASE_FG!F:F), " ")</f>
        <v>Ghidaje</v>
      </c>
      <c r="P771" s="129">
        <f>IFERROR(INDEX(DATABASE_FG!$G$5:$G$367, MATCH(E771, DATABASE_FG!$C$5:$C$367, 0)), "Not Found")</f>
        <v>0</v>
      </c>
      <c r="Q771" s="36"/>
      <c r="R771" s="125" t="s">
        <v>678</v>
      </c>
      <c r="S771" s="123">
        <f>IFERROR(INDEX(DATABASE_FG!$L$5:$L$367, MATCH(E771, DATABASE_FG!$C$5:$C$367, 0)), " ")</f>
        <v>42</v>
      </c>
      <c r="T771" s="36"/>
      <c r="U771" s="36"/>
      <c r="V771" s="36"/>
      <c r="W771" s="129"/>
      <c r="X771" s="36"/>
      <c r="Y771" s="36"/>
      <c r="Z771" s="36"/>
      <c r="AA771" s="125" t="s">
        <v>121</v>
      </c>
      <c r="AB771" s="173">
        <v>45398</v>
      </c>
      <c r="AC771" s="119">
        <v>2024363</v>
      </c>
      <c r="AD771" s="36">
        <f t="shared" si="95"/>
        <v>36508913</v>
      </c>
      <c r="AE771" s="36" t="str">
        <f t="shared" si="96"/>
        <v>F-607694-1038.TK.KWVE20BNL-ISB-WW1</v>
      </c>
      <c r="AF771" s="36">
        <v>48</v>
      </c>
      <c r="AG771" s="120">
        <f t="shared" si="93"/>
        <v>266.88</v>
      </c>
      <c r="AH771" s="36"/>
      <c r="AI771" s="124"/>
      <c r="AJ771" s="122" t="s">
        <v>1300</v>
      </c>
      <c r="AK771" s="129" t="str">
        <f t="shared" ca="1" si="92"/>
        <v>Late</v>
      </c>
      <c r="AL771" s="268" t="str">
        <f t="shared" si="94"/>
        <v>April</v>
      </c>
      <c r="AM771" s="133">
        <f>YEAR(Table1[[#This Row],[ETA
As requested
dd.mm.yyyy]])</f>
        <v>2024</v>
      </c>
    </row>
    <row r="772" spans="1:39" hidden="1">
      <c r="A772" s="123" t="s">
        <v>83</v>
      </c>
      <c r="B772" s="36" t="s">
        <v>1170</v>
      </c>
      <c r="C772" s="117">
        <v>36789862</v>
      </c>
      <c r="D772" s="165">
        <v>45427</v>
      </c>
      <c r="E772" s="117" t="s">
        <v>97</v>
      </c>
      <c r="F772" s="36" t="str">
        <f>IFERROR(VLOOKUP(Table1[[#This Row],[Part Number]],DATABASE_FG!$C$6:D10761,2,FALSE)," ")</f>
        <v>300921586-8011</v>
      </c>
      <c r="G772" s="117" t="str">
        <f>IFERROR(_xlfn.XLOOKUP(Table1[[#This Row],[Part Number]],Table3[Part number],Table3[Drawing
 Revision]),"")</f>
        <v>AB</v>
      </c>
      <c r="H772" s="118" cm="1">
        <f t="array" ref="H772">IFERROR(INDEX(PDB!$C:$AT,MATCH(E772,PDB!$B:$B,0),MATCH(YEAR(K772),0+PDB!$C$1:$AT$1,0)),"")</f>
        <v>5.56</v>
      </c>
      <c r="I772" s="36">
        <v>150</v>
      </c>
      <c r="J772" s="125">
        <f>IFERROR(Table1[[#This Row],[Quantity]]*Table1[[#This Row],[Price/Unit
EUR]]," ")</f>
        <v>833.99999999999989</v>
      </c>
      <c r="K772" s="126">
        <v>45433</v>
      </c>
      <c r="L772" s="36">
        <f>WEEKNUM(Table1[[#This Row],[ETA
As requested
dd.mm.yyyy]])</f>
        <v>21</v>
      </c>
      <c r="M772" s="36">
        <f>YEAR(Table1[[#This Row],[ETA
As requested
dd.mm.yyyy]])</f>
        <v>2024</v>
      </c>
      <c r="N772" s="36">
        <f>IFERROR(INDEX(DATABASE_FG!$H$5:$H$367, MATCH(E772, DATABASE_FG!$C$5:$C$367, 0)), " ")</f>
        <v>0</v>
      </c>
      <c r="O772" s="129" t="str">
        <f>IF(E772&lt;&gt;"", _xlfn.XLOOKUP(E772, DATABASE_FG!C:C, DATABASE_FG!F:F), " ")</f>
        <v>Ghidaje</v>
      </c>
      <c r="P772" s="129">
        <f>IFERROR(INDEX(DATABASE_FG!$G$5:$G$367, MATCH(E772, DATABASE_FG!$C$5:$C$367, 0)), "Not Found")</f>
        <v>0</v>
      </c>
      <c r="Q772" s="36"/>
      <c r="R772" s="125" t="s">
        <v>678</v>
      </c>
      <c r="S772" s="123">
        <f>IFERROR(INDEX(DATABASE_FG!$L$5:$L$367, MATCH(E772, DATABASE_FG!$C$5:$C$367, 0)), " ")</f>
        <v>42</v>
      </c>
      <c r="T772" s="36" t="s">
        <v>679</v>
      </c>
      <c r="U772" s="36"/>
      <c r="V772" s="36"/>
      <c r="W772" s="129"/>
      <c r="X772" s="36"/>
      <c r="Y772" s="36"/>
      <c r="Z772" s="36">
        <v>242201</v>
      </c>
      <c r="AA772" s="125" t="s">
        <v>121</v>
      </c>
      <c r="AB772" s="173">
        <v>45435</v>
      </c>
      <c r="AC772" s="119">
        <v>2024532</v>
      </c>
      <c r="AD772" s="36">
        <f t="shared" si="95"/>
        <v>36789862</v>
      </c>
      <c r="AE772" s="36" t="str">
        <f t="shared" si="96"/>
        <v>F-607694-1038.TK.KWVE20BNL-ISB-WW1</v>
      </c>
      <c r="AF772" s="36">
        <v>150</v>
      </c>
      <c r="AG772" s="120">
        <f t="shared" si="93"/>
        <v>833.99999999999989</v>
      </c>
      <c r="AH772" s="36"/>
      <c r="AI772" s="124"/>
      <c r="AJ772" s="122" t="s">
        <v>1530</v>
      </c>
      <c r="AK772" s="129" t="str">
        <f t="shared" ca="1" si="92"/>
        <v>On Time</v>
      </c>
      <c r="AL772" s="268" t="str">
        <f t="shared" si="94"/>
        <v>May</v>
      </c>
      <c r="AM772" s="133">
        <f>YEAR(Table1[[#This Row],[ETA
As requested
dd.mm.yyyy]])</f>
        <v>2024</v>
      </c>
    </row>
    <row r="773" spans="1:39" hidden="1">
      <c r="A773" s="123" t="s">
        <v>83</v>
      </c>
      <c r="B773" s="36" t="s">
        <v>1170</v>
      </c>
      <c r="C773" s="117">
        <v>36789862</v>
      </c>
      <c r="D773" s="165">
        <v>45427</v>
      </c>
      <c r="E773" s="117" t="s">
        <v>97</v>
      </c>
      <c r="F773" s="36" t="str">
        <f>IFERROR(VLOOKUP(Table1[[#This Row],[Part Number]],DATABASE_FG!$C$6:D10762,2,FALSE)," ")</f>
        <v>300921586-8011</v>
      </c>
      <c r="G773" s="117" t="str">
        <f>IFERROR(_xlfn.XLOOKUP(Table1[[#This Row],[Part Number]],Table3[Part number],Table3[Drawing
 Revision]),"")</f>
        <v>AB</v>
      </c>
      <c r="H773" s="118" cm="1">
        <f t="array" ref="H773">IFERROR(INDEX(PDB!$C:$AT,MATCH(E773,PDB!$B:$B,0),MATCH(YEAR(K773),0+PDB!$C$1:$AT$1,0)),"")</f>
        <v>5.56</v>
      </c>
      <c r="I773" s="36">
        <v>150</v>
      </c>
      <c r="J773" s="125">
        <f>IFERROR(Table1[[#This Row],[Quantity]]*Table1[[#This Row],[Price/Unit
EUR]]," ")</f>
        <v>833.99999999999989</v>
      </c>
      <c r="K773" s="126">
        <v>45435</v>
      </c>
      <c r="L773" s="36">
        <f>WEEKNUM(Table1[[#This Row],[ETA
As requested
dd.mm.yyyy]])</f>
        <v>21</v>
      </c>
      <c r="M773" s="36">
        <f>YEAR(Table1[[#This Row],[ETA
As requested
dd.mm.yyyy]])</f>
        <v>2024</v>
      </c>
      <c r="N773" s="36">
        <f>IFERROR(INDEX(DATABASE_FG!$H$5:$H$367, MATCH(E773, DATABASE_FG!$C$5:$C$367, 0)), " ")</f>
        <v>0</v>
      </c>
      <c r="O773" s="129" t="str">
        <f>IF(E773&lt;&gt;"", _xlfn.XLOOKUP(E773, DATABASE_FG!C:C, DATABASE_FG!F:F), " ")</f>
        <v>Ghidaje</v>
      </c>
      <c r="P773" s="129">
        <f>IFERROR(INDEX(DATABASE_FG!$G$5:$G$367, MATCH(E773, DATABASE_FG!$C$5:$C$367, 0)), "Not Found")</f>
        <v>0</v>
      </c>
      <c r="Q773" s="36"/>
      <c r="R773" s="125" t="s">
        <v>678</v>
      </c>
      <c r="S773" s="123">
        <f>IFERROR(INDEX(DATABASE_FG!$L$5:$L$367, MATCH(E773, DATABASE_FG!$C$5:$C$367, 0)), " ")</f>
        <v>42</v>
      </c>
      <c r="T773" s="36" t="s">
        <v>679</v>
      </c>
      <c r="U773" s="36"/>
      <c r="V773" s="36"/>
      <c r="W773" s="129"/>
      <c r="X773" s="36"/>
      <c r="Y773" s="36"/>
      <c r="Z773" s="36">
        <v>242108</v>
      </c>
      <c r="AA773" s="125" t="s">
        <v>121</v>
      </c>
      <c r="AB773" s="173">
        <v>45435</v>
      </c>
      <c r="AC773" s="119">
        <v>2024533</v>
      </c>
      <c r="AD773" s="36">
        <f t="shared" si="95"/>
        <v>36789862</v>
      </c>
      <c r="AE773" s="36" t="str">
        <f t="shared" si="96"/>
        <v>F-607694-1038.TK.KWVE20BNL-ISB-WW1</v>
      </c>
      <c r="AF773" s="36">
        <v>132</v>
      </c>
      <c r="AG773" s="120">
        <f t="shared" si="93"/>
        <v>733.92</v>
      </c>
      <c r="AH773" s="36"/>
      <c r="AI773" s="124"/>
      <c r="AJ773" s="122" t="s">
        <v>1545</v>
      </c>
      <c r="AK773" s="129" t="str">
        <f t="shared" ca="1" si="92"/>
        <v>On Time</v>
      </c>
      <c r="AL773" s="268" t="str">
        <f t="shared" si="94"/>
        <v>May</v>
      </c>
      <c r="AM773" s="133">
        <f>YEAR(Table1[[#This Row],[ETA
As requested
dd.mm.yyyy]])</f>
        <v>2024</v>
      </c>
    </row>
    <row r="774" spans="1:39" hidden="1">
      <c r="A774" s="123" t="s">
        <v>83</v>
      </c>
      <c r="B774" s="36" t="s">
        <v>1170</v>
      </c>
      <c r="C774" s="117">
        <v>36789862</v>
      </c>
      <c r="D774" s="165">
        <v>45427</v>
      </c>
      <c r="E774" s="117" t="s">
        <v>97</v>
      </c>
      <c r="F774" s="36" t="str">
        <f>IFERROR(VLOOKUP(Table1[[#This Row],[Part Number]],DATABASE_FG!$C$6:D10763,2,FALSE)," ")</f>
        <v>300921586-8011</v>
      </c>
      <c r="G774" s="117" t="str">
        <f>IFERROR(_xlfn.XLOOKUP(Table1[[#This Row],[Part Number]],Table3[Part number],Table3[Drawing
 Revision]),"")</f>
        <v>AB</v>
      </c>
      <c r="H774" s="118" cm="1">
        <f t="array" ref="H774">IFERROR(INDEX(PDB!$C:$AT,MATCH(E774,PDB!$B:$B,0),MATCH(YEAR(K774),0+PDB!$C$1:$AT$1,0)),"")</f>
        <v>5.56</v>
      </c>
      <c r="I774" s="36"/>
      <c r="J774" s="125">
        <f>IFERROR(Table1[[#This Row],[Quantity]]*Table1[[#This Row],[Price/Unit
EUR]]," ")</f>
        <v>0</v>
      </c>
      <c r="K774" s="126">
        <v>45435</v>
      </c>
      <c r="L774" s="36">
        <f>WEEKNUM(Table1[[#This Row],[ETA
As requested
dd.mm.yyyy]])</f>
        <v>21</v>
      </c>
      <c r="M774" s="36">
        <f>YEAR(Table1[[#This Row],[ETA
As requested
dd.mm.yyyy]])</f>
        <v>2024</v>
      </c>
      <c r="N774" s="36">
        <f>IFERROR(INDEX(DATABASE_FG!$H$5:$H$367, MATCH(E774, DATABASE_FG!$C$5:$C$367, 0)), " ")</f>
        <v>0</v>
      </c>
      <c r="O774" s="129" t="str">
        <f>IF(E774&lt;&gt;"", _xlfn.XLOOKUP(E774, DATABASE_FG!C:C, DATABASE_FG!F:F), " ")</f>
        <v>Ghidaje</v>
      </c>
      <c r="P774" s="129">
        <f>IFERROR(INDEX(DATABASE_FG!$G$5:$G$367, MATCH(E774, DATABASE_FG!$C$5:$C$367, 0)), "Not Found")</f>
        <v>0</v>
      </c>
      <c r="Q774" s="36"/>
      <c r="R774" s="125" t="s">
        <v>678</v>
      </c>
      <c r="S774" s="123">
        <f>IFERROR(INDEX(DATABASE_FG!$L$5:$L$367, MATCH(E774, DATABASE_FG!$C$5:$C$367, 0)), " ")</f>
        <v>42</v>
      </c>
      <c r="T774" s="36"/>
      <c r="U774" s="36"/>
      <c r="V774" s="36"/>
      <c r="W774" s="129"/>
      <c r="X774" s="36"/>
      <c r="Y774" s="36"/>
      <c r="Z774" s="36"/>
      <c r="AA774" s="125" t="s">
        <v>121</v>
      </c>
      <c r="AB774" s="173">
        <v>45436</v>
      </c>
      <c r="AC774" s="119">
        <v>2024538</v>
      </c>
      <c r="AD774" s="36">
        <f t="shared" si="95"/>
        <v>36789862</v>
      </c>
      <c r="AE774" s="36" t="str">
        <f t="shared" si="96"/>
        <v>F-607694-1038.TK.KWVE20BNL-ISB-WW1</v>
      </c>
      <c r="AF774" s="36">
        <v>18</v>
      </c>
      <c r="AG774" s="120">
        <f t="shared" si="93"/>
        <v>100.08</v>
      </c>
      <c r="AH774" s="36"/>
      <c r="AI774" s="124"/>
      <c r="AJ774" s="122" t="s">
        <v>1546</v>
      </c>
      <c r="AK774" s="129" t="str">
        <f t="shared" ca="1" si="92"/>
        <v>On Time</v>
      </c>
      <c r="AL774" s="268" t="str">
        <f t="shared" si="94"/>
        <v>May</v>
      </c>
      <c r="AM774" s="133">
        <f>YEAR(Table1[[#This Row],[ETA
As requested
dd.mm.yyyy]])</f>
        <v>2024</v>
      </c>
    </row>
    <row r="775" spans="1:39" hidden="1">
      <c r="A775" s="123" t="s">
        <v>83</v>
      </c>
      <c r="B775" s="36" t="s">
        <v>1170</v>
      </c>
      <c r="C775" s="117">
        <v>36789862</v>
      </c>
      <c r="D775" s="165">
        <v>45427</v>
      </c>
      <c r="E775" s="117" t="s">
        <v>97</v>
      </c>
      <c r="F775" s="36" t="str">
        <f>IFERROR(VLOOKUP(Table1[[#This Row],[Part Number]],DATABASE_FG!$C$6:D10764,2,FALSE)," ")</f>
        <v>300921586-8011</v>
      </c>
      <c r="G775" s="117" t="str">
        <f>IFERROR(_xlfn.XLOOKUP(Table1[[#This Row],[Part Number]],Table3[Part number],Table3[Drawing
 Revision]),"")</f>
        <v>AB</v>
      </c>
      <c r="H775" s="118" cm="1">
        <f t="array" ref="H775">IFERROR(INDEX(PDB!$C:$AT,MATCH(E775,PDB!$B:$B,0),MATCH(YEAR(K775),0+PDB!$C$1:$AT$1,0)),"")</f>
        <v>5.56</v>
      </c>
      <c r="I775" s="36">
        <v>150</v>
      </c>
      <c r="J775" s="125">
        <f>IFERROR(Table1[[#This Row],[Quantity]]*Table1[[#This Row],[Price/Unit
EUR]]," ")</f>
        <v>833.99999999999989</v>
      </c>
      <c r="K775" s="126">
        <v>45440</v>
      </c>
      <c r="L775" s="36">
        <f>WEEKNUM(Table1[[#This Row],[ETA
As requested
dd.mm.yyyy]])</f>
        <v>22</v>
      </c>
      <c r="M775" s="36">
        <f>YEAR(Table1[[#This Row],[ETA
As requested
dd.mm.yyyy]])</f>
        <v>2024</v>
      </c>
      <c r="N775" s="36">
        <f>IFERROR(INDEX(DATABASE_FG!$H$5:$H$367, MATCH(E775, DATABASE_FG!$C$5:$C$367, 0)), " ")</f>
        <v>0</v>
      </c>
      <c r="O775" s="129" t="str">
        <f>IF(E775&lt;&gt;"", _xlfn.XLOOKUP(E775, DATABASE_FG!C:C, DATABASE_FG!F:F), " ")</f>
        <v>Ghidaje</v>
      </c>
      <c r="P775" s="129">
        <f>IFERROR(INDEX(DATABASE_FG!$G$5:$G$367, MATCH(E775, DATABASE_FG!$C$5:$C$367, 0)), "Not Found")</f>
        <v>0</v>
      </c>
      <c r="Q775" s="36"/>
      <c r="R775" s="125" t="s">
        <v>678</v>
      </c>
      <c r="S775" s="123">
        <f>IFERROR(INDEX(DATABASE_FG!$L$5:$L$367, MATCH(E775, DATABASE_FG!$C$5:$C$367, 0)), " ")</f>
        <v>42</v>
      </c>
      <c r="T775" s="36" t="s">
        <v>679</v>
      </c>
      <c r="U775" s="36"/>
      <c r="V775" s="36"/>
      <c r="W775" s="129"/>
      <c r="X775" s="36"/>
      <c r="Y775" s="36"/>
      <c r="Z775" s="36">
        <v>242108</v>
      </c>
      <c r="AA775" s="125" t="s">
        <v>121</v>
      </c>
      <c r="AB775" s="173">
        <v>45436</v>
      </c>
      <c r="AC775" s="119">
        <v>2024538</v>
      </c>
      <c r="AD775" s="36">
        <f t="shared" si="95"/>
        <v>36789862</v>
      </c>
      <c r="AE775" s="36" t="str">
        <f t="shared" si="96"/>
        <v>F-607694-1038.TK.KWVE20BNL-ISB-WW1</v>
      </c>
      <c r="AF775" s="36">
        <v>150</v>
      </c>
      <c r="AG775" s="120">
        <f t="shared" si="93"/>
        <v>833.99999999999989</v>
      </c>
      <c r="AH775" s="36"/>
      <c r="AI775" s="124"/>
      <c r="AJ775" s="122"/>
      <c r="AK775" s="129" t="str">
        <f t="shared" ca="1" si="92"/>
        <v>On Time</v>
      </c>
      <c r="AL775" s="268" t="str">
        <f t="shared" si="94"/>
        <v>May</v>
      </c>
      <c r="AM775" s="133">
        <f>YEAR(Table1[[#This Row],[ETA
As requested
dd.mm.yyyy]])</f>
        <v>2024</v>
      </c>
    </row>
    <row r="776" spans="1:39" hidden="1">
      <c r="A776" s="123" t="s">
        <v>83</v>
      </c>
      <c r="B776" s="36" t="s">
        <v>1170</v>
      </c>
      <c r="C776" s="117">
        <v>36854678</v>
      </c>
      <c r="D776" s="165">
        <v>45419</v>
      </c>
      <c r="E776" s="117" t="s">
        <v>97</v>
      </c>
      <c r="F776" s="36" t="str">
        <f>IFERROR(VLOOKUP(Table1[[#This Row],[Part Number]],DATABASE_FG!$C$6:D10765,2,FALSE)," ")</f>
        <v>300921586-8011</v>
      </c>
      <c r="G776" s="117" t="str">
        <f>IFERROR(_xlfn.XLOOKUP(Table1[[#This Row],[Part Number]],Table3[Part number],Table3[Drawing
 Revision]),"")</f>
        <v>AB</v>
      </c>
      <c r="H776" s="118" cm="1">
        <f t="array" ref="H776">IFERROR(INDEX(PDB!$C:$AT,MATCH(E776,PDB!$B:$B,0),MATCH(YEAR(K776),0+PDB!$C$1:$AT$1,0)),"")</f>
        <v>5.56</v>
      </c>
      <c r="I776" s="36">
        <v>150</v>
      </c>
      <c r="J776" s="125">
        <f>IFERROR(Table1[[#This Row],[Quantity]]*Table1[[#This Row],[Price/Unit
EUR]]," ")</f>
        <v>833.99999999999989</v>
      </c>
      <c r="K776" s="126">
        <v>45440</v>
      </c>
      <c r="L776" s="36">
        <f>WEEKNUM(Table1[[#This Row],[ETA
As requested
dd.mm.yyyy]])</f>
        <v>22</v>
      </c>
      <c r="M776" s="36">
        <f>YEAR(Table1[[#This Row],[ETA
As requested
dd.mm.yyyy]])</f>
        <v>2024</v>
      </c>
      <c r="N776" s="36">
        <f>IFERROR(INDEX(DATABASE_FG!$H$5:$H$367, MATCH(E776, DATABASE_FG!$C$5:$C$367, 0)), " ")</f>
        <v>0</v>
      </c>
      <c r="O776" s="129" t="str">
        <f>IF(E776&lt;&gt;"", _xlfn.XLOOKUP(E776, DATABASE_FG!C:C, DATABASE_FG!F:F), " ")</f>
        <v>Ghidaje</v>
      </c>
      <c r="P776" s="129">
        <f>IFERROR(INDEX(DATABASE_FG!$G$5:$G$367, MATCH(E776, DATABASE_FG!$C$5:$C$367, 0)), "Not Found")</f>
        <v>0</v>
      </c>
      <c r="Q776" s="36"/>
      <c r="R776" s="125" t="s">
        <v>678</v>
      </c>
      <c r="S776" s="123">
        <f>IFERROR(INDEX(DATABASE_FG!$L$5:$L$367, MATCH(E776, DATABASE_FG!$C$5:$C$367, 0)), " ")</f>
        <v>42</v>
      </c>
      <c r="T776" s="36" t="s">
        <v>679</v>
      </c>
      <c r="U776" s="36"/>
      <c r="V776" s="36"/>
      <c r="W776" s="129"/>
      <c r="X776" s="36"/>
      <c r="Y776" s="36"/>
      <c r="Z776" s="36">
        <v>242201</v>
      </c>
      <c r="AA776" s="125" t="s">
        <v>121</v>
      </c>
      <c r="AB776" s="173">
        <v>45446</v>
      </c>
      <c r="AC776" s="119">
        <v>2024592</v>
      </c>
      <c r="AD776" s="36">
        <f t="shared" si="95"/>
        <v>36854678</v>
      </c>
      <c r="AE776" s="36" t="str">
        <f t="shared" si="96"/>
        <v>F-607694-1038.TK.KWVE20BNL-ISB-WW1</v>
      </c>
      <c r="AF776" s="36">
        <v>104</v>
      </c>
      <c r="AG776" s="120">
        <f t="shared" si="93"/>
        <v>578.24</v>
      </c>
      <c r="AH776" s="36"/>
      <c r="AI776" s="124"/>
      <c r="AJ776" s="122" t="s">
        <v>1577</v>
      </c>
      <c r="AK776" s="129" t="str">
        <f t="shared" ca="1" si="92"/>
        <v>Late</v>
      </c>
      <c r="AL776" s="268" t="str">
        <f t="shared" si="94"/>
        <v>May</v>
      </c>
      <c r="AM776" s="133">
        <f>YEAR(Table1[[#This Row],[ETA
As requested
dd.mm.yyyy]])</f>
        <v>2024</v>
      </c>
    </row>
    <row r="777" spans="1:39" hidden="1">
      <c r="A777" s="123" t="s">
        <v>83</v>
      </c>
      <c r="B777" s="36" t="s">
        <v>1170</v>
      </c>
      <c r="C777" s="117">
        <v>36854678</v>
      </c>
      <c r="D777" s="165">
        <v>45419</v>
      </c>
      <c r="E777" s="117" t="s">
        <v>97</v>
      </c>
      <c r="F777" s="36" t="str">
        <f>IFERROR(VLOOKUP(Table1[[#This Row],[Part Number]],DATABASE_FG!$C$6:D10766,2,FALSE)," ")</f>
        <v>300921586-8011</v>
      </c>
      <c r="G777" s="117" t="str">
        <f>IFERROR(_xlfn.XLOOKUP(Table1[[#This Row],[Part Number]],Table3[Part number],Table3[Drawing
 Revision]),"")</f>
        <v>AB</v>
      </c>
      <c r="H777" s="118" cm="1">
        <f t="array" ref="H777">IFERROR(INDEX(PDB!$C:$AT,MATCH(E777,PDB!$B:$B,0),MATCH(YEAR(K777),0+PDB!$C$1:$AT$1,0)),"")</f>
        <v>5.56</v>
      </c>
      <c r="I777" s="36"/>
      <c r="J777" s="125">
        <f>IFERROR(Table1[[#This Row],[Quantity]]*Table1[[#This Row],[Price/Unit
EUR]]," ")</f>
        <v>0</v>
      </c>
      <c r="K777" s="126">
        <v>45440</v>
      </c>
      <c r="L777" s="36">
        <f>WEEKNUM(Table1[[#This Row],[ETA
As requested
dd.mm.yyyy]])</f>
        <v>22</v>
      </c>
      <c r="M777" s="36">
        <f>YEAR(Table1[[#This Row],[ETA
As requested
dd.mm.yyyy]])</f>
        <v>2024</v>
      </c>
      <c r="N777" s="36">
        <f>IFERROR(INDEX(DATABASE_FG!$H$5:$H$367, MATCH(E777, DATABASE_FG!$C$5:$C$367, 0)), " ")</f>
        <v>0</v>
      </c>
      <c r="O777" s="129" t="str">
        <f>IF(E777&lt;&gt;"", _xlfn.XLOOKUP(E777, DATABASE_FG!C:C, DATABASE_FG!F:F), " ")</f>
        <v>Ghidaje</v>
      </c>
      <c r="P777" s="129">
        <f>IFERROR(INDEX(DATABASE_FG!$G$5:$G$367, MATCH(E777, DATABASE_FG!$C$5:$C$367, 0)), "Not Found")</f>
        <v>0</v>
      </c>
      <c r="Q777" s="36"/>
      <c r="R777" s="125" t="s">
        <v>678</v>
      </c>
      <c r="S777" s="123">
        <f>IFERROR(INDEX(DATABASE_FG!$L$5:$L$367, MATCH(E777, DATABASE_FG!$C$5:$C$367, 0)), " ")</f>
        <v>42</v>
      </c>
      <c r="T777" s="36"/>
      <c r="U777" s="36"/>
      <c r="V777" s="36"/>
      <c r="W777" s="129"/>
      <c r="X777" s="36"/>
      <c r="Y777" s="36"/>
      <c r="Z777" s="36"/>
      <c r="AA777" s="125" t="s">
        <v>121</v>
      </c>
      <c r="AB777" s="173">
        <v>45448</v>
      </c>
      <c r="AC777" s="119">
        <v>2024611</v>
      </c>
      <c r="AD777" s="36">
        <f t="shared" si="95"/>
        <v>36854678</v>
      </c>
      <c r="AE777" s="36" t="str">
        <f t="shared" si="96"/>
        <v>F-607694-1038.TK.KWVE20BNL-ISB-WW1</v>
      </c>
      <c r="AF777" s="36">
        <v>46</v>
      </c>
      <c r="AG777" s="120">
        <f t="shared" si="93"/>
        <v>255.76</v>
      </c>
      <c r="AH777" s="36"/>
      <c r="AI777" s="124"/>
      <c r="AJ777" s="122" t="s">
        <v>1579</v>
      </c>
      <c r="AK777" s="129" t="str">
        <f t="shared" ca="1" si="92"/>
        <v>Late</v>
      </c>
      <c r="AL777" s="268" t="str">
        <f t="shared" si="94"/>
        <v>May</v>
      </c>
      <c r="AM777" s="133">
        <f>YEAR(Table1[[#This Row],[ETA
As requested
dd.mm.yyyy]])</f>
        <v>2024</v>
      </c>
    </row>
    <row r="778" spans="1:39" hidden="1">
      <c r="A778" s="123" t="s">
        <v>83</v>
      </c>
      <c r="B778" s="36" t="s">
        <v>1170</v>
      </c>
      <c r="C778" s="117">
        <v>36861753</v>
      </c>
      <c r="D778" s="165">
        <v>45440</v>
      </c>
      <c r="E778" s="117" t="s">
        <v>97</v>
      </c>
      <c r="F778" s="36" t="str">
        <f>IFERROR(VLOOKUP(Table1[[#This Row],[Part Number]],DATABASE_FG!$C$6:D10767,2,FALSE)," ")</f>
        <v>300921586-8011</v>
      </c>
      <c r="G778" s="117" t="str">
        <f>IFERROR(_xlfn.XLOOKUP(Table1[[#This Row],[Part Number]],Table3[Part number],Table3[Drawing
 Revision]),"")</f>
        <v>AB</v>
      </c>
      <c r="H778" s="118" cm="1">
        <f t="array" ref="H778">IFERROR(INDEX(PDB!$C:$AT,MATCH(E778,PDB!$B:$B,0),MATCH(YEAR(K778),0+PDB!$C$1:$AT$1,0)),"")</f>
        <v>5.56</v>
      </c>
      <c r="I778" s="36">
        <v>100</v>
      </c>
      <c r="J778" s="125">
        <f>IFERROR(Table1[[#This Row],[Quantity]]*Table1[[#This Row],[Price/Unit
EUR]]," ")</f>
        <v>556</v>
      </c>
      <c r="K778" s="126">
        <v>45447</v>
      </c>
      <c r="L778" s="36">
        <f>WEEKNUM(Table1[[#This Row],[ETA
As requested
dd.mm.yyyy]])</f>
        <v>23</v>
      </c>
      <c r="M778" s="36">
        <f>YEAR(Table1[[#This Row],[ETA
As requested
dd.mm.yyyy]])</f>
        <v>2024</v>
      </c>
      <c r="N778" s="36">
        <f>IFERROR(INDEX(DATABASE_FG!$H$5:$H$367, MATCH(E778, DATABASE_FG!$C$5:$C$367, 0)), " ")</f>
        <v>0</v>
      </c>
      <c r="O778" s="129" t="str">
        <f>IF(E778&lt;&gt;"", _xlfn.XLOOKUP(E778, DATABASE_FG!C:C, DATABASE_FG!F:F), " ")</f>
        <v>Ghidaje</v>
      </c>
      <c r="P778" s="129">
        <f>IFERROR(INDEX(DATABASE_FG!$G$5:$G$367, MATCH(E778, DATABASE_FG!$C$5:$C$367, 0)), "Not Found")</f>
        <v>0</v>
      </c>
      <c r="Q778" s="36"/>
      <c r="R778" s="125" t="s">
        <v>678</v>
      </c>
      <c r="S778" s="123">
        <f>IFERROR(INDEX(DATABASE_FG!$L$5:$L$367, MATCH(E778, DATABASE_FG!$C$5:$C$367, 0)), " ")</f>
        <v>42</v>
      </c>
      <c r="T778" s="36" t="s">
        <v>679</v>
      </c>
      <c r="U778" s="36"/>
      <c r="V778" s="36"/>
      <c r="W778" s="129"/>
      <c r="X778" s="36"/>
      <c r="Y778" s="36"/>
      <c r="Z778" s="36">
        <v>242201</v>
      </c>
      <c r="AA778" s="125" t="s">
        <v>121</v>
      </c>
      <c r="AB778" s="173">
        <v>45448</v>
      </c>
      <c r="AC778" s="119">
        <v>2024612</v>
      </c>
      <c r="AD778" s="36">
        <f t="shared" si="95"/>
        <v>36861753</v>
      </c>
      <c r="AE778" s="36" t="str">
        <f t="shared" si="96"/>
        <v>F-607694-1038.TK.KWVE20BNL-ISB-WW1</v>
      </c>
      <c r="AF778" s="36">
        <v>100</v>
      </c>
      <c r="AG778" s="120">
        <f t="shared" si="93"/>
        <v>556</v>
      </c>
      <c r="AH778" s="36"/>
      <c r="AI778" s="124"/>
      <c r="AJ778" s="122" t="s">
        <v>1602</v>
      </c>
      <c r="AK778" s="129" t="str">
        <f t="shared" ca="1" si="92"/>
        <v>On Time</v>
      </c>
      <c r="AL778" s="268" t="str">
        <f t="shared" si="94"/>
        <v>June</v>
      </c>
      <c r="AM778" s="133">
        <f>YEAR(Table1[[#This Row],[ETA
As requested
dd.mm.yyyy]])</f>
        <v>2024</v>
      </c>
    </row>
    <row r="779" spans="1:39" hidden="1">
      <c r="A779" s="123" t="s">
        <v>83</v>
      </c>
      <c r="B779" s="36" t="s">
        <v>1170</v>
      </c>
      <c r="C779" s="117">
        <v>36861753</v>
      </c>
      <c r="D779" s="165">
        <v>45440</v>
      </c>
      <c r="E779" s="117" t="s">
        <v>97</v>
      </c>
      <c r="F779" s="36" t="str">
        <f>IFERROR(VLOOKUP(Table1[[#This Row],[Part Number]],DATABASE_FG!$C$6:D10768,2,FALSE)," ")</f>
        <v>300921586-8011</v>
      </c>
      <c r="G779" s="117" t="str">
        <f>IFERROR(_xlfn.XLOOKUP(Table1[[#This Row],[Part Number]],Table3[Part number],Table3[Drawing
 Revision]),"")</f>
        <v>AB</v>
      </c>
      <c r="H779" s="118" cm="1">
        <f t="array" ref="H779">IFERROR(INDEX(PDB!$C:$AT,MATCH(E779,PDB!$B:$B,0),MATCH(YEAR(K779),0+PDB!$C$1:$AT$1,0)),"")</f>
        <v>5.56</v>
      </c>
      <c r="I779" s="36">
        <v>100</v>
      </c>
      <c r="J779" s="125">
        <f>IFERROR(Table1[[#This Row],[Quantity]]*Table1[[#This Row],[Price/Unit
EUR]]," ")</f>
        <v>556</v>
      </c>
      <c r="K779" s="126">
        <v>45449</v>
      </c>
      <c r="L779" s="36">
        <f>WEEKNUM(Table1[[#This Row],[ETA
As requested
dd.mm.yyyy]])</f>
        <v>23</v>
      </c>
      <c r="M779" s="36">
        <f>YEAR(Table1[[#This Row],[ETA
As requested
dd.mm.yyyy]])</f>
        <v>2024</v>
      </c>
      <c r="N779" s="36">
        <f>IFERROR(INDEX(DATABASE_FG!$H$5:$H$367, MATCH(E779, DATABASE_FG!$C$5:$C$367, 0)), " ")</f>
        <v>0</v>
      </c>
      <c r="O779" s="129" t="str">
        <f>IF(E779&lt;&gt;"", _xlfn.XLOOKUP(E779, DATABASE_FG!C:C, DATABASE_FG!F:F), " ")</f>
        <v>Ghidaje</v>
      </c>
      <c r="P779" s="129">
        <f>IFERROR(INDEX(DATABASE_FG!$G$5:$G$367, MATCH(E779, DATABASE_FG!$C$5:$C$367, 0)), "Not Found")</f>
        <v>0</v>
      </c>
      <c r="Q779" s="36"/>
      <c r="R779" s="125" t="s">
        <v>678</v>
      </c>
      <c r="S779" s="123">
        <f>IFERROR(INDEX(DATABASE_FG!$L$5:$L$367, MATCH(E779, DATABASE_FG!$C$5:$C$367, 0)), " ")</f>
        <v>42</v>
      </c>
      <c r="T779" s="36" t="s">
        <v>679</v>
      </c>
      <c r="U779" s="36"/>
      <c r="V779" s="36"/>
      <c r="W779" s="129"/>
      <c r="X779" s="36"/>
      <c r="Y779" s="36"/>
      <c r="Z779" s="36" t="s">
        <v>1625</v>
      </c>
      <c r="AA779" s="125" t="s">
        <v>121</v>
      </c>
      <c r="AB779" s="173">
        <v>45449</v>
      </c>
      <c r="AC779" s="119">
        <v>2024614</v>
      </c>
      <c r="AD779" s="36">
        <f t="shared" si="95"/>
        <v>36861753</v>
      </c>
      <c r="AE779" s="36" t="str">
        <f t="shared" si="96"/>
        <v>F-607694-1038.TK.KWVE20BNL-ISB-WW1</v>
      </c>
      <c r="AF779" s="36">
        <v>100</v>
      </c>
      <c r="AG779" s="120">
        <f t="shared" si="93"/>
        <v>556</v>
      </c>
      <c r="AH779" s="36"/>
      <c r="AI779" s="124"/>
      <c r="AJ779" s="122" t="s">
        <v>1626</v>
      </c>
      <c r="AK779" s="129" t="str">
        <f t="shared" ca="1" si="92"/>
        <v>On Time</v>
      </c>
      <c r="AL779" s="268" t="str">
        <f t="shared" si="94"/>
        <v>June</v>
      </c>
      <c r="AM779" s="133">
        <f>YEAR(Table1[[#This Row],[ETA
As requested
dd.mm.yyyy]])</f>
        <v>2024</v>
      </c>
    </row>
    <row r="780" spans="1:39" hidden="1">
      <c r="A780" s="123" t="s">
        <v>83</v>
      </c>
      <c r="B780" s="36" t="s">
        <v>1170</v>
      </c>
      <c r="C780" s="117">
        <v>36861770</v>
      </c>
      <c r="D780" s="165">
        <v>45440</v>
      </c>
      <c r="E780" s="117" t="s">
        <v>97</v>
      </c>
      <c r="F780" s="36" t="str">
        <f>IFERROR(VLOOKUP(Table1[[#This Row],[Part Number]],DATABASE_FG!$C$6:D10769,2,FALSE)," ")</f>
        <v>300921586-8011</v>
      </c>
      <c r="G780" s="117" t="str">
        <f>IFERROR(_xlfn.XLOOKUP(Table1[[#This Row],[Part Number]],Table3[Part number],Table3[Drawing
 Revision]),"")</f>
        <v>AB</v>
      </c>
      <c r="H780" s="118" cm="1">
        <f t="array" ref="H780">IFERROR(INDEX(PDB!$C:$AT,MATCH(E780,PDB!$B:$B,0),MATCH(YEAR(K780),0+PDB!$C$1:$AT$1,0)),"")</f>
        <v>5.56</v>
      </c>
      <c r="I780" s="36">
        <v>150</v>
      </c>
      <c r="J780" s="125">
        <f>IFERROR(Table1[[#This Row],[Quantity]]*Table1[[#This Row],[Price/Unit
EUR]]," ")</f>
        <v>833.99999999999989</v>
      </c>
      <c r="K780" s="126">
        <v>45454</v>
      </c>
      <c r="L780" s="36">
        <f>WEEKNUM(Table1[[#This Row],[ETA
As requested
dd.mm.yyyy]])</f>
        <v>24</v>
      </c>
      <c r="M780" s="36">
        <f>YEAR(Table1[[#This Row],[ETA
As requested
dd.mm.yyyy]])</f>
        <v>2024</v>
      </c>
      <c r="N780" s="36">
        <f>IFERROR(INDEX(DATABASE_FG!$H$5:$H$367, MATCH(E780, DATABASE_FG!$C$5:$C$367, 0)), " ")</f>
        <v>0</v>
      </c>
      <c r="O780" s="129" t="str">
        <f>IF(E780&lt;&gt;"", _xlfn.XLOOKUP(E780, DATABASE_FG!C:C, DATABASE_FG!F:F), " ")</f>
        <v>Ghidaje</v>
      </c>
      <c r="P780" s="129">
        <f>IFERROR(INDEX(DATABASE_FG!$G$5:$G$367, MATCH(E780, DATABASE_FG!$C$5:$C$367, 0)), "Not Found")</f>
        <v>0</v>
      </c>
      <c r="Q780" s="36"/>
      <c r="R780" s="125" t="s">
        <v>678</v>
      </c>
      <c r="S780" s="123">
        <f>IFERROR(INDEX(DATABASE_FG!$L$5:$L$367, MATCH(E780, DATABASE_FG!$C$5:$C$367, 0)), " ")</f>
        <v>42</v>
      </c>
      <c r="T780" s="36" t="s">
        <v>679</v>
      </c>
      <c r="U780" s="36"/>
      <c r="V780" s="36"/>
      <c r="W780" s="129"/>
      <c r="X780" s="36"/>
      <c r="Y780" s="36"/>
      <c r="Z780" s="36">
        <v>242401</v>
      </c>
      <c r="AA780" s="125" t="s">
        <v>121</v>
      </c>
      <c r="AB780" s="173">
        <v>45449</v>
      </c>
      <c r="AC780" s="119">
        <v>2024615</v>
      </c>
      <c r="AD780" s="36">
        <f t="shared" si="95"/>
        <v>36861770</v>
      </c>
      <c r="AE780" s="36" t="str">
        <f t="shared" si="96"/>
        <v>F-607694-1038.TK.KWVE20BNL-ISB-WW1</v>
      </c>
      <c r="AF780" s="36">
        <v>100</v>
      </c>
      <c r="AG780" s="120">
        <f t="shared" si="93"/>
        <v>556</v>
      </c>
      <c r="AH780" s="36"/>
      <c r="AI780" s="124"/>
      <c r="AJ780" s="122" t="s">
        <v>1647</v>
      </c>
      <c r="AK780" s="129" t="str">
        <f t="shared" ca="1" si="92"/>
        <v>On Time</v>
      </c>
      <c r="AL780" s="268" t="str">
        <f t="shared" si="94"/>
        <v>June</v>
      </c>
      <c r="AM780" s="133">
        <f>YEAR(Table1[[#This Row],[ETA
As requested
dd.mm.yyyy]])</f>
        <v>2024</v>
      </c>
    </row>
    <row r="781" spans="1:39" hidden="1">
      <c r="A781" s="123" t="s">
        <v>83</v>
      </c>
      <c r="B781" s="36" t="s">
        <v>1170</v>
      </c>
      <c r="C781" s="117">
        <v>36861770</v>
      </c>
      <c r="D781" s="165">
        <v>45440</v>
      </c>
      <c r="E781" s="117" t="s">
        <v>97</v>
      </c>
      <c r="F781" s="36" t="str">
        <f>IFERROR(VLOOKUP(Table1[[#This Row],[Part Number]],DATABASE_FG!$C$6:D10770,2,FALSE)," ")</f>
        <v>300921586-8011</v>
      </c>
      <c r="G781" s="117" t="str">
        <f>IFERROR(_xlfn.XLOOKUP(Table1[[#This Row],[Part Number]],Table3[Part number],Table3[Drawing
 Revision]),"")</f>
        <v>AB</v>
      </c>
      <c r="H781" s="118" cm="1">
        <f t="array" ref="H781">IFERROR(INDEX(PDB!$C:$AT,MATCH(E781,PDB!$B:$B,0),MATCH(YEAR(K781),0+PDB!$C$1:$AT$1,0)),"")</f>
        <v>5.56</v>
      </c>
      <c r="I781" s="36"/>
      <c r="J781" s="125">
        <f>IFERROR(Table1[[#This Row],[Quantity]]*Table1[[#This Row],[Price/Unit
EUR]]," ")</f>
        <v>0</v>
      </c>
      <c r="K781" s="126">
        <v>45454</v>
      </c>
      <c r="L781" s="36">
        <f>WEEKNUM(Table1[[#This Row],[ETA
As requested
dd.mm.yyyy]])</f>
        <v>24</v>
      </c>
      <c r="M781" s="36">
        <f>YEAR(Table1[[#This Row],[ETA
As requested
dd.mm.yyyy]])</f>
        <v>2024</v>
      </c>
      <c r="N781" s="36">
        <f>IFERROR(INDEX(DATABASE_FG!$H$5:$H$367, MATCH(E781, DATABASE_FG!$C$5:$C$367, 0)), " ")</f>
        <v>0</v>
      </c>
      <c r="O781" s="129" t="str">
        <f>IF(E781&lt;&gt;"", _xlfn.XLOOKUP(E781, DATABASE_FG!C:C, DATABASE_FG!F:F), " ")</f>
        <v>Ghidaje</v>
      </c>
      <c r="P781" s="129">
        <f>IFERROR(INDEX(DATABASE_FG!$G$5:$G$367, MATCH(E781, DATABASE_FG!$C$5:$C$367, 0)), "Not Found")</f>
        <v>0</v>
      </c>
      <c r="Q781" s="36"/>
      <c r="R781" s="125" t="s">
        <v>678</v>
      </c>
      <c r="S781" s="123">
        <f>IFERROR(INDEX(DATABASE_FG!$L$5:$L$367, MATCH(E781, DATABASE_FG!$C$5:$C$367, 0)), " ")</f>
        <v>42</v>
      </c>
      <c r="T781" s="36"/>
      <c r="U781" s="36"/>
      <c r="V781" s="36"/>
      <c r="W781" s="129"/>
      <c r="X781" s="36"/>
      <c r="Y781" s="36"/>
      <c r="Z781" s="36"/>
      <c r="AA781" s="125" t="s">
        <v>121</v>
      </c>
      <c r="AB781" s="173">
        <v>45450</v>
      </c>
      <c r="AC781" s="119">
        <v>2024626</v>
      </c>
      <c r="AD781" s="36">
        <f t="shared" si="95"/>
        <v>36861770</v>
      </c>
      <c r="AE781" s="36" t="str">
        <f t="shared" si="96"/>
        <v>F-607694-1038.TK.KWVE20BNL-ISB-WW1</v>
      </c>
      <c r="AF781" s="36">
        <v>50</v>
      </c>
      <c r="AG781" s="120">
        <f t="shared" si="93"/>
        <v>278</v>
      </c>
      <c r="AH781" s="36"/>
      <c r="AI781" s="124"/>
      <c r="AJ781" s="122" t="s">
        <v>1648</v>
      </c>
      <c r="AK781" s="129" t="str">
        <f t="shared" ca="1" si="92"/>
        <v>On Time</v>
      </c>
      <c r="AL781" s="268" t="str">
        <f t="shared" si="94"/>
        <v>June</v>
      </c>
      <c r="AM781" s="133">
        <f>YEAR(Table1[[#This Row],[ETA
As requested
dd.mm.yyyy]])</f>
        <v>2024</v>
      </c>
    </row>
    <row r="782" spans="1:39" hidden="1">
      <c r="A782" s="123" t="s">
        <v>83</v>
      </c>
      <c r="B782" s="36" t="s">
        <v>1170</v>
      </c>
      <c r="C782" s="117">
        <v>36861770</v>
      </c>
      <c r="D782" s="165">
        <v>45440</v>
      </c>
      <c r="E782" s="117" t="s">
        <v>97</v>
      </c>
      <c r="F782" s="36" t="str">
        <f>IFERROR(VLOOKUP(Table1[[#This Row],[Part Number]],DATABASE_FG!$C$6:D10771,2,FALSE)," ")</f>
        <v>300921586-8011</v>
      </c>
      <c r="G782" s="117" t="str">
        <f>IFERROR(_xlfn.XLOOKUP(Table1[[#This Row],[Part Number]],Table3[Part number],Table3[Drawing
 Revision]),"")</f>
        <v>AB</v>
      </c>
      <c r="H782" s="118" cm="1">
        <f t="array" ref="H782">IFERROR(INDEX(PDB!$C:$AT,MATCH(E782,PDB!$B:$B,0),MATCH(YEAR(K782),0+PDB!$C$1:$AT$1,0)),"")</f>
        <v>5.56</v>
      </c>
      <c r="I782" s="36">
        <v>150</v>
      </c>
      <c r="J782" s="125">
        <f>IFERROR(Table1[[#This Row],[Quantity]]*Table1[[#This Row],[Price/Unit
EUR]]," ")</f>
        <v>833.99999999999989</v>
      </c>
      <c r="K782" s="126">
        <v>45456</v>
      </c>
      <c r="L782" s="36">
        <f>WEEKNUM(Table1[[#This Row],[ETA
As requested
dd.mm.yyyy]])</f>
        <v>24</v>
      </c>
      <c r="M782" s="36">
        <f>YEAR(Table1[[#This Row],[ETA
As requested
dd.mm.yyyy]])</f>
        <v>2024</v>
      </c>
      <c r="N782" s="36">
        <f>IFERROR(INDEX(DATABASE_FG!$H$5:$H$367, MATCH(E782, DATABASE_FG!$C$5:$C$367, 0)), " ")</f>
        <v>0</v>
      </c>
      <c r="O782" s="129" t="str">
        <f>IF(E782&lt;&gt;"", _xlfn.XLOOKUP(E782, DATABASE_FG!C:C, DATABASE_FG!F:F), " ")</f>
        <v>Ghidaje</v>
      </c>
      <c r="P782" s="129">
        <f>IFERROR(INDEX(DATABASE_FG!$G$5:$G$367, MATCH(E782, DATABASE_FG!$C$5:$C$367, 0)), "Not Found")</f>
        <v>0</v>
      </c>
      <c r="Q782" s="36"/>
      <c r="R782" s="125" t="s">
        <v>678</v>
      </c>
      <c r="S782" s="123">
        <f>IFERROR(INDEX(DATABASE_FG!$L$5:$L$367, MATCH(E782, DATABASE_FG!$C$5:$C$367, 0)), " ")</f>
        <v>42</v>
      </c>
      <c r="T782" s="36" t="s">
        <v>679</v>
      </c>
      <c r="U782" s="36"/>
      <c r="V782" s="36"/>
      <c r="W782" s="129"/>
      <c r="X782" s="36"/>
      <c r="Y782" s="36"/>
      <c r="Z782" s="36">
        <v>242401</v>
      </c>
      <c r="AA782" s="125" t="s">
        <v>121</v>
      </c>
      <c r="AB782" s="173">
        <v>45455</v>
      </c>
      <c r="AC782" s="119">
        <v>2024643</v>
      </c>
      <c r="AD782" s="36">
        <f t="shared" si="95"/>
        <v>36861770</v>
      </c>
      <c r="AE782" s="36" t="str">
        <f t="shared" si="96"/>
        <v>F-607694-1038.TK.KWVE20BNL-ISB-WW1</v>
      </c>
      <c r="AF782" s="36">
        <v>150</v>
      </c>
      <c r="AG782" s="120">
        <f t="shared" si="93"/>
        <v>833.99999999999989</v>
      </c>
      <c r="AH782" s="36"/>
      <c r="AI782" s="124"/>
      <c r="AJ782" s="122" t="s">
        <v>1680</v>
      </c>
      <c r="AK782" s="129" t="str">
        <f t="shared" ca="1" si="92"/>
        <v>On Time</v>
      </c>
      <c r="AL782" s="268" t="str">
        <f t="shared" si="94"/>
        <v>June</v>
      </c>
      <c r="AM782" s="133">
        <f>YEAR(Table1[[#This Row],[ETA
As requested
dd.mm.yyyy]])</f>
        <v>2024</v>
      </c>
    </row>
    <row r="783" spans="1:39" hidden="1">
      <c r="A783" s="123" t="s">
        <v>83</v>
      </c>
      <c r="B783" s="36" t="s">
        <v>1170</v>
      </c>
      <c r="C783" s="117">
        <v>36861777</v>
      </c>
      <c r="D783" s="165">
        <v>45440</v>
      </c>
      <c r="E783" s="117" t="s">
        <v>97</v>
      </c>
      <c r="F783" s="36" t="str">
        <f>IFERROR(VLOOKUP(Table1[[#This Row],[Part Number]],DATABASE_FG!$C$6:D10772,2,FALSE)," ")</f>
        <v>300921586-8011</v>
      </c>
      <c r="G783" s="117" t="str">
        <f>IFERROR(_xlfn.XLOOKUP(Table1[[#This Row],[Part Number]],Table3[Part number],Table3[Drawing
 Revision]),"")</f>
        <v>AB</v>
      </c>
      <c r="H783" s="118" cm="1">
        <f t="array" ref="H783">IFERROR(INDEX(PDB!$C:$AT,MATCH(E783,PDB!$B:$B,0),MATCH(YEAR(K783),0+PDB!$C$1:$AT$1,0)),"")</f>
        <v>5.56</v>
      </c>
      <c r="I783" s="36">
        <v>150</v>
      </c>
      <c r="J783" s="125">
        <f>IFERROR(Table1[[#This Row],[Quantity]]*Table1[[#This Row],[Price/Unit
EUR]]," ")</f>
        <v>833.99999999999989</v>
      </c>
      <c r="K783" s="126">
        <v>45461</v>
      </c>
      <c r="L783" s="36">
        <f>WEEKNUM(Table1[[#This Row],[ETA
As requested
dd.mm.yyyy]])</f>
        <v>25</v>
      </c>
      <c r="M783" s="36">
        <f>YEAR(Table1[[#This Row],[ETA
As requested
dd.mm.yyyy]])</f>
        <v>2024</v>
      </c>
      <c r="N783" s="36">
        <f>IFERROR(INDEX(DATABASE_FG!$H$5:$H$367, MATCH(E783, DATABASE_FG!$C$5:$C$367, 0)), " ")</f>
        <v>0</v>
      </c>
      <c r="O783" s="129" t="str">
        <f>IF(E783&lt;&gt;"", _xlfn.XLOOKUP(E783, DATABASE_FG!C:C, DATABASE_FG!F:F), " ")</f>
        <v>Ghidaje</v>
      </c>
      <c r="P783" s="129">
        <f>IFERROR(INDEX(DATABASE_FG!$G$5:$G$367, MATCH(E783, DATABASE_FG!$C$5:$C$367, 0)), "Not Found")</f>
        <v>0</v>
      </c>
      <c r="Q783" s="36"/>
      <c r="R783" s="125" t="s">
        <v>678</v>
      </c>
      <c r="S783" s="123">
        <f>IFERROR(INDEX(DATABASE_FG!$L$5:$L$367, MATCH(E783, DATABASE_FG!$C$5:$C$367, 0)), " ")</f>
        <v>42</v>
      </c>
      <c r="T783" s="36" t="s">
        <v>679</v>
      </c>
      <c r="U783" s="36"/>
      <c r="V783" s="36"/>
      <c r="W783" s="129"/>
      <c r="X783" s="36"/>
      <c r="Y783" s="36"/>
      <c r="Z783" s="36">
        <v>242401</v>
      </c>
      <c r="AA783" s="125" t="s">
        <v>121</v>
      </c>
      <c r="AB783" s="173">
        <v>45456</v>
      </c>
      <c r="AC783" s="119">
        <v>2024651</v>
      </c>
      <c r="AD783" s="36">
        <f t="shared" si="95"/>
        <v>36861777</v>
      </c>
      <c r="AE783" s="36" t="str">
        <f t="shared" si="96"/>
        <v>F-607694-1038.TK.KWVE20BNL-ISB-WW1</v>
      </c>
      <c r="AF783" s="36">
        <v>94</v>
      </c>
      <c r="AG783" s="120">
        <f t="shared" si="93"/>
        <v>522.64</v>
      </c>
      <c r="AH783" s="36"/>
      <c r="AI783" s="124"/>
      <c r="AJ783" s="122" t="s">
        <v>1694</v>
      </c>
      <c r="AK783" s="129" t="str">
        <f t="shared" ca="1" si="92"/>
        <v>On Time</v>
      </c>
      <c r="AL783" s="268" t="str">
        <f t="shared" si="94"/>
        <v>June</v>
      </c>
      <c r="AM783" s="133">
        <f>YEAR(Table1[[#This Row],[ETA
As requested
dd.mm.yyyy]])</f>
        <v>2024</v>
      </c>
    </row>
    <row r="784" spans="1:39" hidden="1">
      <c r="A784" s="123" t="s">
        <v>83</v>
      </c>
      <c r="B784" s="36" t="s">
        <v>1170</v>
      </c>
      <c r="C784" s="117">
        <v>36861777</v>
      </c>
      <c r="D784" s="165">
        <v>45440</v>
      </c>
      <c r="E784" s="117" t="s">
        <v>97</v>
      </c>
      <c r="F784" s="36" t="str">
        <f>IFERROR(VLOOKUP(Table1[[#This Row],[Part Number]],DATABASE_FG!$C$6:D10773,2,FALSE)," ")</f>
        <v>300921586-8011</v>
      </c>
      <c r="G784" s="117" t="str">
        <f>IFERROR(_xlfn.XLOOKUP(Table1[[#This Row],[Part Number]],Table3[Part number],Table3[Drawing
 Revision]),"")</f>
        <v>AB</v>
      </c>
      <c r="H784" s="118" cm="1">
        <f t="array" ref="H784">IFERROR(INDEX(PDB!$C:$AT,MATCH(E784,PDB!$B:$B,0),MATCH(YEAR(K784),0+PDB!$C$1:$AT$1,0)),"")</f>
        <v>5.56</v>
      </c>
      <c r="I784" s="36"/>
      <c r="J784" s="125">
        <f>IFERROR(Table1[[#This Row],[Quantity]]*Table1[[#This Row],[Price/Unit
EUR]]," ")</f>
        <v>0</v>
      </c>
      <c r="K784" s="126">
        <v>45461</v>
      </c>
      <c r="L784" s="36">
        <f>WEEKNUM(Table1[[#This Row],[ETA
As requested
dd.mm.yyyy]])</f>
        <v>25</v>
      </c>
      <c r="M784" s="36">
        <f>YEAR(Table1[[#This Row],[ETA
As requested
dd.mm.yyyy]])</f>
        <v>2024</v>
      </c>
      <c r="N784" s="36">
        <f>IFERROR(INDEX(DATABASE_FG!$H$5:$H$367, MATCH(E784, DATABASE_FG!$C$5:$C$367, 0)), " ")</f>
        <v>0</v>
      </c>
      <c r="O784" s="129" t="str">
        <f>IF(E784&lt;&gt;"", _xlfn.XLOOKUP(E784, DATABASE_FG!C:C, DATABASE_FG!F:F), " ")</f>
        <v>Ghidaje</v>
      </c>
      <c r="P784" s="129">
        <f>IFERROR(INDEX(DATABASE_FG!$G$5:$G$367, MATCH(E784, DATABASE_FG!$C$5:$C$367, 0)), "Not Found")</f>
        <v>0</v>
      </c>
      <c r="Q784" s="36"/>
      <c r="R784" s="125" t="s">
        <v>678</v>
      </c>
      <c r="S784" s="123">
        <f>IFERROR(INDEX(DATABASE_FG!$L$5:$L$367, MATCH(E784, DATABASE_FG!$C$5:$C$367, 0)), " ")</f>
        <v>42</v>
      </c>
      <c r="T784" s="36"/>
      <c r="U784" s="36"/>
      <c r="V784" s="36"/>
      <c r="W784" s="129"/>
      <c r="X784" s="36"/>
      <c r="Y784" s="36"/>
      <c r="Z784" s="36"/>
      <c r="AA784" s="125" t="s">
        <v>121</v>
      </c>
      <c r="AB784" s="173">
        <v>45461</v>
      </c>
      <c r="AC784" s="119">
        <v>2024682</v>
      </c>
      <c r="AD784" s="36">
        <f t="shared" si="95"/>
        <v>36861777</v>
      </c>
      <c r="AE784" s="36" t="str">
        <f t="shared" si="96"/>
        <v>F-607694-1038.TK.KWVE20BNL-ISB-WW1</v>
      </c>
      <c r="AF784" s="36">
        <v>56</v>
      </c>
      <c r="AG784" s="120">
        <f t="shared" si="93"/>
        <v>311.35999999999996</v>
      </c>
      <c r="AH784" s="36"/>
      <c r="AI784" s="124"/>
      <c r="AJ784" s="122" t="s">
        <v>1695</v>
      </c>
      <c r="AK784" s="129" t="str">
        <f t="shared" ref="AK784:AK847" ca="1" si="97">IF(AB784="", IF(K784 &lt; TODAY(), "Late", ""), IF(AB784 &lt;= K784 + 2, "On Time", "Late"))</f>
        <v>On Time</v>
      </c>
      <c r="AL784" s="268" t="str">
        <f t="shared" si="94"/>
        <v>June</v>
      </c>
      <c r="AM784" s="133">
        <f>YEAR(Table1[[#This Row],[ETA
As requested
dd.mm.yyyy]])</f>
        <v>2024</v>
      </c>
    </row>
    <row r="785" spans="1:39" hidden="1">
      <c r="A785" s="123" t="s">
        <v>83</v>
      </c>
      <c r="B785" s="36" t="s">
        <v>1170</v>
      </c>
      <c r="C785" s="117">
        <v>36861777</v>
      </c>
      <c r="D785" s="165">
        <v>45440</v>
      </c>
      <c r="E785" s="117" t="s">
        <v>97</v>
      </c>
      <c r="F785" s="36" t="str">
        <f>IFERROR(VLOOKUP(Table1[[#This Row],[Part Number]],DATABASE_FG!$C$6:D10774,2,FALSE)," ")</f>
        <v>300921586-8011</v>
      </c>
      <c r="G785" s="117" t="str">
        <f>IFERROR(_xlfn.XLOOKUP(Table1[[#This Row],[Part Number]],Table3[Part number],Table3[Drawing
 Revision]),"")</f>
        <v>AB</v>
      </c>
      <c r="H785" s="118" cm="1">
        <f t="array" ref="H785">IFERROR(INDEX(PDB!$C:$AT,MATCH(E785,PDB!$B:$B,0),MATCH(YEAR(K785),0+PDB!$C$1:$AT$1,0)),"")</f>
        <v>5.56</v>
      </c>
      <c r="I785" s="36">
        <v>150</v>
      </c>
      <c r="J785" s="125">
        <f>IFERROR(Table1[[#This Row],[Quantity]]*Table1[[#This Row],[Price/Unit
EUR]]," ")</f>
        <v>833.99999999999989</v>
      </c>
      <c r="K785" s="126">
        <v>45463</v>
      </c>
      <c r="L785" s="36">
        <f>WEEKNUM(Table1[[#This Row],[ETA
As requested
dd.mm.yyyy]])</f>
        <v>25</v>
      </c>
      <c r="M785" s="36">
        <f>YEAR(Table1[[#This Row],[ETA
As requested
dd.mm.yyyy]])</f>
        <v>2024</v>
      </c>
      <c r="N785" s="36">
        <f>IFERROR(INDEX(DATABASE_FG!$H$5:$H$367, MATCH(E785, DATABASE_FG!$C$5:$C$367, 0)), " ")</f>
        <v>0</v>
      </c>
      <c r="O785" s="129" t="str">
        <f>IF(E785&lt;&gt;"", _xlfn.XLOOKUP(E785, DATABASE_FG!C:C, DATABASE_FG!F:F), " ")</f>
        <v>Ghidaje</v>
      </c>
      <c r="P785" s="129">
        <f>IFERROR(INDEX(DATABASE_FG!$G$5:$G$367, MATCH(E785, DATABASE_FG!$C$5:$C$367, 0)), "Not Found")</f>
        <v>0</v>
      </c>
      <c r="Q785" s="36"/>
      <c r="R785" s="125" t="s">
        <v>678</v>
      </c>
      <c r="S785" s="123">
        <f>IFERROR(INDEX(DATABASE_FG!$L$5:$L$367, MATCH(E785, DATABASE_FG!$C$5:$C$367, 0)), " ")</f>
        <v>42</v>
      </c>
      <c r="T785" s="36" t="s">
        <v>679</v>
      </c>
      <c r="U785" s="36"/>
      <c r="V785" s="36"/>
      <c r="W785" s="129"/>
      <c r="X785" s="36"/>
      <c r="Y785" s="36"/>
      <c r="Z785" s="36">
        <v>242401</v>
      </c>
      <c r="AA785" s="125" t="s">
        <v>121</v>
      </c>
      <c r="AB785" s="173">
        <v>45461</v>
      </c>
      <c r="AC785" s="119">
        <v>2024682</v>
      </c>
      <c r="AD785" s="36">
        <f t="shared" si="95"/>
        <v>36861777</v>
      </c>
      <c r="AE785" s="36" t="str">
        <f t="shared" si="96"/>
        <v>F-607694-1038.TK.KWVE20BNL-ISB-WW1</v>
      </c>
      <c r="AF785" s="36">
        <v>48</v>
      </c>
      <c r="AG785" s="120">
        <f t="shared" si="93"/>
        <v>266.88</v>
      </c>
      <c r="AH785" s="36"/>
      <c r="AI785" s="124"/>
      <c r="AJ785" s="122"/>
      <c r="AK785" s="129" t="str">
        <f t="shared" ca="1" si="97"/>
        <v>On Time</v>
      </c>
      <c r="AL785" s="268" t="str">
        <f t="shared" si="94"/>
        <v>June</v>
      </c>
      <c r="AM785" s="133">
        <f>YEAR(Table1[[#This Row],[ETA
As requested
dd.mm.yyyy]])</f>
        <v>2024</v>
      </c>
    </row>
    <row r="786" spans="1:39" hidden="1">
      <c r="A786" s="123" t="s">
        <v>83</v>
      </c>
      <c r="B786" s="36" t="s">
        <v>1170</v>
      </c>
      <c r="C786" s="117">
        <v>36861777</v>
      </c>
      <c r="D786" s="165">
        <v>45440</v>
      </c>
      <c r="E786" s="117" t="s">
        <v>97</v>
      </c>
      <c r="F786" s="36" t="str">
        <f>IFERROR(VLOOKUP(Table1[[#This Row],[Part Number]],DATABASE_FG!$C$6:D10775,2,FALSE)," ")</f>
        <v>300921586-8011</v>
      </c>
      <c r="G786" s="117" t="str">
        <f>IFERROR(_xlfn.XLOOKUP(Table1[[#This Row],[Part Number]],Table3[Part number],Table3[Drawing
 Revision]),"")</f>
        <v>AB</v>
      </c>
      <c r="H786" s="118" cm="1">
        <f t="array" ref="H786">IFERROR(INDEX(PDB!$C:$AT,MATCH(E786,PDB!$B:$B,0),MATCH(YEAR(K786),0+PDB!$C$1:$AT$1,0)),"")</f>
        <v>5.56</v>
      </c>
      <c r="I786" s="36"/>
      <c r="J786" s="125">
        <f>IFERROR(Table1[[#This Row],[Quantity]]*Table1[[#This Row],[Price/Unit
EUR]]," ")</f>
        <v>0</v>
      </c>
      <c r="K786" s="126">
        <v>45463</v>
      </c>
      <c r="L786" s="36">
        <f>WEEKNUM(Table1[[#This Row],[ETA
As requested
dd.mm.yyyy]])</f>
        <v>25</v>
      </c>
      <c r="M786" s="36">
        <f>YEAR(Table1[[#This Row],[ETA
As requested
dd.mm.yyyy]])</f>
        <v>2024</v>
      </c>
      <c r="N786" s="36">
        <f>IFERROR(INDEX(DATABASE_FG!$H$5:$H$367, MATCH(E786, DATABASE_FG!$C$5:$C$367, 0)), " ")</f>
        <v>0</v>
      </c>
      <c r="O786" s="129" t="str">
        <f>IF(E786&lt;&gt;"", _xlfn.XLOOKUP(E786, DATABASE_FG!C:C, DATABASE_FG!F:F), " ")</f>
        <v>Ghidaje</v>
      </c>
      <c r="P786" s="129">
        <f>IFERROR(INDEX(DATABASE_FG!$G$5:$G$367, MATCH(E786, DATABASE_FG!$C$5:$C$367, 0)), "Not Found")</f>
        <v>0</v>
      </c>
      <c r="Q786" s="36"/>
      <c r="R786" s="125" t="s">
        <v>678</v>
      </c>
      <c r="S786" s="123">
        <f>IFERROR(INDEX(DATABASE_FG!$L$5:$L$367, MATCH(E786, DATABASE_FG!$C$5:$C$367, 0)), " ")</f>
        <v>42</v>
      </c>
      <c r="T786" s="36"/>
      <c r="U786" s="36"/>
      <c r="V786" s="36"/>
      <c r="W786" s="129"/>
      <c r="X786" s="36"/>
      <c r="Y786" s="36"/>
      <c r="Z786" s="36"/>
      <c r="AA786" s="125" t="s">
        <v>121</v>
      </c>
      <c r="AB786" s="173">
        <v>45462</v>
      </c>
      <c r="AC786" s="119">
        <v>2024685</v>
      </c>
      <c r="AD786" s="36">
        <f t="shared" si="95"/>
        <v>36861777</v>
      </c>
      <c r="AE786" s="36" t="str">
        <f t="shared" si="96"/>
        <v>F-607694-1038.TK.KWVE20BNL-ISB-WW1</v>
      </c>
      <c r="AF786" s="36">
        <v>52</v>
      </c>
      <c r="AG786" s="120">
        <f t="shared" si="93"/>
        <v>289.12</v>
      </c>
      <c r="AH786" s="36"/>
      <c r="AI786" s="124"/>
      <c r="AJ786" s="122" t="s">
        <v>1707</v>
      </c>
      <c r="AK786" s="129" t="str">
        <f t="shared" ca="1" si="97"/>
        <v>On Time</v>
      </c>
      <c r="AL786" s="268" t="str">
        <f t="shared" si="94"/>
        <v>June</v>
      </c>
      <c r="AM786" s="133">
        <f>YEAR(Table1[[#This Row],[ETA
As requested
dd.mm.yyyy]])</f>
        <v>2024</v>
      </c>
    </row>
    <row r="787" spans="1:39" hidden="1">
      <c r="A787" s="123" t="s">
        <v>83</v>
      </c>
      <c r="B787" s="36" t="s">
        <v>1170</v>
      </c>
      <c r="C787" s="117">
        <v>36861777</v>
      </c>
      <c r="D787" s="165">
        <v>45440</v>
      </c>
      <c r="E787" s="117" t="s">
        <v>97</v>
      </c>
      <c r="F787" s="36" t="str">
        <f>IFERROR(VLOOKUP(Table1[[#This Row],[Part Number]],DATABASE_FG!$C$6:D10776,2,FALSE)," ")</f>
        <v>300921586-8011</v>
      </c>
      <c r="G787" s="117" t="str">
        <f>IFERROR(_xlfn.XLOOKUP(Table1[[#This Row],[Part Number]],Table3[Part number],Table3[Drawing
 Revision]),"")</f>
        <v>AB</v>
      </c>
      <c r="H787" s="118" cm="1">
        <f t="array" ref="H787">IFERROR(INDEX(PDB!$C:$AT,MATCH(E787,PDB!$B:$B,0),MATCH(YEAR(K787),0+PDB!$C$1:$AT$1,0)),"")</f>
        <v>5.56</v>
      </c>
      <c r="I787" s="36"/>
      <c r="J787" s="125">
        <f>IFERROR(Table1[[#This Row],[Quantity]]*Table1[[#This Row],[Price/Unit
EUR]]," ")</f>
        <v>0</v>
      </c>
      <c r="K787" s="126">
        <v>45463</v>
      </c>
      <c r="L787" s="36">
        <f>WEEKNUM(Table1[[#This Row],[ETA
As requested
dd.mm.yyyy]])</f>
        <v>25</v>
      </c>
      <c r="M787" s="36">
        <f>YEAR(Table1[[#This Row],[ETA
As requested
dd.mm.yyyy]])</f>
        <v>2024</v>
      </c>
      <c r="N787" s="36">
        <f>IFERROR(INDEX(DATABASE_FG!$H$5:$H$367, MATCH(E787, DATABASE_FG!$C$5:$C$367, 0)), " ")</f>
        <v>0</v>
      </c>
      <c r="O787" s="129" t="str">
        <f>IF(E787&lt;&gt;"", _xlfn.XLOOKUP(E787, DATABASE_FG!C:C, DATABASE_FG!F:F), " ")</f>
        <v>Ghidaje</v>
      </c>
      <c r="P787" s="129">
        <f>IFERROR(INDEX(DATABASE_FG!$G$5:$G$367, MATCH(E787, DATABASE_FG!$C$5:$C$367, 0)), "Not Found")</f>
        <v>0</v>
      </c>
      <c r="Q787" s="36"/>
      <c r="R787" s="125" t="s">
        <v>678</v>
      </c>
      <c r="S787" s="123">
        <f>IFERROR(INDEX(DATABASE_FG!$L$5:$L$367, MATCH(E787, DATABASE_FG!$C$5:$C$367, 0)), " ")</f>
        <v>42</v>
      </c>
      <c r="T787" s="36"/>
      <c r="U787" s="36"/>
      <c r="V787" s="36"/>
      <c r="W787" s="129"/>
      <c r="X787" s="36"/>
      <c r="Y787" s="36"/>
      <c r="Z787" s="36"/>
      <c r="AA787" s="125" t="s">
        <v>121</v>
      </c>
      <c r="AB787" s="173">
        <v>45463</v>
      </c>
      <c r="AC787" s="119">
        <v>2024694</v>
      </c>
      <c r="AD787" s="36">
        <f t="shared" si="95"/>
        <v>36861777</v>
      </c>
      <c r="AE787" s="36" t="str">
        <f t="shared" si="96"/>
        <v>F-607694-1038.TK.KWVE20BNL-ISB-WW1</v>
      </c>
      <c r="AF787" s="36">
        <v>50</v>
      </c>
      <c r="AG787" s="120">
        <f t="shared" si="93"/>
        <v>278</v>
      </c>
      <c r="AH787" s="36"/>
      <c r="AI787" s="124"/>
      <c r="AJ787" s="122" t="s">
        <v>1708</v>
      </c>
      <c r="AK787" s="129" t="str">
        <f t="shared" ca="1" si="97"/>
        <v>On Time</v>
      </c>
      <c r="AL787" s="268" t="str">
        <f t="shared" si="94"/>
        <v>June</v>
      </c>
      <c r="AM787" s="133">
        <f>YEAR(Table1[[#This Row],[ETA
As requested
dd.mm.yyyy]])</f>
        <v>2024</v>
      </c>
    </row>
    <row r="788" spans="1:39" hidden="1">
      <c r="A788" s="123" t="s">
        <v>83</v>
      </c>
      <c r="B788" s="36" t="s">
        <v>1170</v>
      </c>
      <c r="C788" s="117">
        <v>36861789</v>
      </c>
      <c r="D788" s="165">
        <v>45440</v>
      </c>
      <c r="E788" s="117" t="s">
        <v>97</v>
      </c>
      <c r="F788" s="36" t="str">
        <f>IFERROR(VLOOKUP(Table1[[#This Row],[Part Number]],DATABASE_FG!$C$6:D10777,2,FALSE)," ")</f>
        <v>300921586-8011</v>
      </c>
      <c r="G788" s="117" t="str">
        <f>IFERROR(_xlfn.XLOOKUP(Table1[[#This Row],[Part Number]],Table3[Part number],Table3[Drawing
 Revision]),"")</f>
        <v>AB</v>
      </c>
      <c r="H788" s="118" cm="1">
        <f t="array" ref="H788">IFERROR(INDEX(PDB!$C:$AT,MATCH(E788,PDB!$B:$B,0),MATCH(YEAR(K788),0+PDB!$C$1:$AT$1,0)),"")</f>
        <v>5.56</v>
      </c>
      <c r="I788" s="36">
        <v>150</v>
      </c>
      <c r="J788" s="125">
        <f>IFERROR(Table1[[#This Row],[Quantity]]*Table1[[#This Row],[Price/Unit
EUR]]," ")</f>
        <v>833.99999999999989</v>
      </c>
      <c r="K788" s="126">
        <v>45468</v>
      </c>
      <c r="L788" s="36">
        <f>WEEKNUM(Table1[[#This Row],[ETA
As requested
dd.mm.yyyy]])</f>
        <v>26</v>
      </c>
      <c r="M788" s="36">
        <f>YEAR(Table1[[#This Row],[ETA
As requested
dd.mm.yyyy]])</f>
        <v>2024</v>
      </c>
      <c r="N788" s="36">
        <f>IFERROR(INDEX(DATABASE_FG!$H$5:$H$367, MATCH(E788, DATABASE_FG!$C$5:$C$367, 0)), " ")</f>
        <v>0</v>
      </c>
      <c r="O788" s="129" t="str">
        <f>IF(E788&lt;&gt;"", _xlfn.XLOOKUP(E788, DATABASE_FG!C:C, DATABASE_FG!F:F), " ")</f>
        <v>Ghidaje</v>
      </c>
      <c r="P788" s="129">
        <f>IFERROR(INDEX(DATABASE_FG!$G$5:$G$367, MATCH(E788, DATABASE_FG!$C$5:$C$367, 0)), "Not Found")</f>
        <v>0</v>
      </c>
      <c r="Q788" s="36"/>
      <c r="R788" s="125" t="s">
        <v>678</v>
      </c>
      <c r="S788" s="123">
        <f>IFERROR(INDEX(DATABASE_FG!$L$5:$L$367, MATCH(E788, DATABASE_FG!$C$5:$C$367, 0)), " ")</f>
        <v>42</v>
      </c>
      <c r="T788" s="36" t="s">
        <v>679</v>
      </c>
      <c r="U788" s="36"/>
      <c r="V788" s="36"/>
      <c r="W788" s="129"/>
      <c r="X788" s="36"/>
      <c r="Y788" s="36"/>
      <c r="Z788" s="36">
        <v>242401</v>
      </c>
      <c r="AA788" s="125" t="s">
        <v>121</v>
      </c>
      <c r="AB788" s="173">
        <v>45463</v>
      </c>
      <c r="AC788" s="119">
        <v>2024695</v>
      </c>
      <c r="AD788" s="36">
        <f t="shared" si="95"/>
        <v>36861789</v>
      </c>
      <c r="AE788" s="36" t="str">
        <f t="shared" si="96"/>
        <v>F-607694-1038.TK.KWVE20BNL-ISB-WW1</v>
      </c>
      <c r="AF788" s="36">
        <v>150</v>
      </c>
      <c r="AG788" s="120">
        <f t="shared" si="93"/>
        <v>833.99999999999989</v>
      </c>
      <c r="AH788" s="36"/>
      <c r="AI788" s="124"/>
      <c r="AJ788" s="122"/>
      <c r="AK788" s="129" t="str">
        <f t="shared" ca="1" si="97"/>
        <v>On Time</v>
      </c>
      <c r="AL788" s="268" t="str">
        <f t="shared" si="94"/>
        <v>June</v>
      </c>
      <c r="AM788" s="133">
        <f>YEAR(Table1[[#This Row],[ETA
As requested
dd.mm.yyyy]])</f>
        <v>2024</v>
      </c>
    </row>
    <row r="789" spans="1:39" hidden="1">
      <c r="A789" s="123" t="s">
        <v>83</v>
      </c>
      <c r="B789" s="36" t="s">
        <v>1170</v>
      </c>
      <c r="C789" s="117">
        <v>36861789</v>
      </c>
      <c r="D789" s="165">
        <v>45440</v>
      </c>
      <c r="E789" s="117" t="s">
        <v>97</v>
      </c>
      <c r="F789" s="36" t="str">
        <f>IFERROR(VLOOKUP(Table1[[#This Row],[Part Number]],DATABASE_FG!$C$6:D10778,2,FALSE)," ")</f>
        <v>300921586-8011</v>
      </c>
      <c r="G789" s="117" t="str">
        <f>IFERROR(_xlfn.XLOOKUP(Table1[[#This Row],[Part Number]],Table3[Part number],Table3[Drawing
 Revision]),"")</f>
        <v>AB</v>
      </c>
      <c r="H789" s="118" cm="1">
        <f t="array" ref="H789">IFERROR(INDEX(PDB!$C:$AT,MATCH(E789,PDB!$B:$B,0),MATCH(YEAR(K789),0+PDB!$C$1:$AT$1,0)),"")</f>
        <v>5.56</v>
      </c>
      <c r="I789" s="36">
        <v>150</v>
      </c>
      <c r="J789" s="125">
        <f>IFERROR(Table1[[#This Row],[Quantity]]*Table1[[#This Row],[Price/Unit
EUR]]," ")</f>
        <v>833.99999999999989</v>
      </c>
      <c r="K789" s="126">
        <v>45470</v>
      </c>
      <c r="L789" s="36">
        <f>WEEKNUM(Table1[[#This Row],[ETA
As requested
dd.mm.yyyy]])</f>
        <v>26</v>
      </c>
      <c r="M789" s="36">
        <f>YEAR(Table1[[#This Row],[ETA
As requested
dd.mm.yyyy]])</f>
        <v>2024</v>
      </c>
      <c r="N789" s="36">
        <f>IFERROR(INDEX(DATABASE_FG!$H$5:$H$367, MATCH(E789, DATABASE_FG!$C$5:$C$367, 0)), " ")</f>
        <v>0</v>
      </c>
      <c r="O789" s="129" t="str">
        <f>IF(E789&lt;&gt;"", _xlfn.XLOOKUP(E789, DATABASE_FG!C:C, DATABASE_FG!F:F), " ")</f>
        <v>Ghidaje</v>
      </c>
      <c r="P789" s="129">
        <f>IFERROR(INDEX(DATABASE_FG!$G$5:$G$367, MATCH(E789, DATABASE_FG!$C$5:$C$367, 0)), "Not Found")</f>
        <v>0</v>
      </c>
      <c r="Q789" s="36"/>
      <c r="R789" s="125" t="s">
        <v>678</v>
      </c>
      <c r="S789" s="123">
        <f>IFERROR(INDEX(DATABASE_FG!$L$5:$L$367, MATCH(E789, DATABASE_FG!$C$5:$C$367, 0)), " ")</f>
        <v>42</v>
      </c>
      <c r="T789" s="36" t="s">
        <v>679</v>
      </c>
      <c r="U789" s="36"/>
      <c r="V789" s="36"/>
      <c r="W789" s="129"/>
      <c r="X789" s="36"/>
      <c r="Y789" s="36"/>
      <c r="Z789" s="36">
        <v>242401</v>
      </c>
      <c r="AA789" s="125" t="s">
        <v>121</v>
      </c>
      <c r="AB789" s="173">
        <v>45463</v>
      </c>
      <c r="AC789" s="119">
        <v>2024695</v>
      </c>
      <c r="AD789" s="36">
        <f t="shared" si="95"/>
        <v>36861789</v>
      </c>
      <c r="AE789" s="36" t="str">
        <f t="shared" si="96"/>
        <v>F-607694-1038.TK.KWVE20BNL-ISB-WW1</v>
      </c>
      <c r="AF789" s="36">
        <v>150</v>
      </c>
      <c r="AG789" s="120">
        <f t="shared" si="93"/>
        <v>833.99999999999989</v>
      </c>
      <c r="AH789" s="36"/>
      <c r="AI789" s="124"/>
      <c r="AJ789" s="122" t="s">
        <v>1734</v>
      </c>
      <c r="AK789" s="129" t="str">
        <f t="shared" ca="1" si="97"/>
        <v>On Time</v>
      </c>
      <c r="AL789" s="268" t="str">
        <f t="shared" si="94"/>
        <v>June</v>
      </c>
      <c r="AM789" s="133">
        <f>YEAR(Table1[[#This Row],[ETA
As requested
dd.mm.yyyy]])</f>
        <v>2024</v>
      </c>
    </row>
    <row r="790" spans="1:39" hidden="1">
      <c r="A790" s="123" t="s">
        <v>83</v>
      </c>
      <c r="B790" s="36" t="s">
        <v>1170</v>
      </c>
      <c r="C790" s="117">
        <v>37069482</v>
      </c>
      <c r="D790" s="165">
        <v>45471</v>
      </c>
      <c r="E790" s="117" t="s">
        <v>97</v>
      </c>
      <c r="F790" s="36" t="str">
        <f>IFERROR(VLOOKUP(Table1[[#This Row],[Part Number]],DATABASE_FG!$C$6:D10779,2,FALSE)," ")</f>
        <v>300921586-8011</v>
      </c>
      <c r="G790" s="117" t="str">
        <f>IFERROR(_xlfn.XLOOKUP(Table1[[#This Row],[Part Number]],Table3[Part number],Table3[Drawing
 Revision]),"")</f>
        <v>AB</v>
      </c>
      <c r="H790" s="118" cm="1">
        <f t="array" ref="H790">IFERROR(INDEX(PDB!$C:$AT,MATCH(E790,PDB!$B:$B,0),MATCH(YEAR(K790),0+PDB!$C$1:$AT$1,0)),"")</f>
        <v>5.56</v>
      </c>
      <c r="I790" s="36">
        <v>250</v>
      </c>
      <c r="J790" s="125">
        <f>IFERROR(Table1[[#This Row],[Quantity]]*Table1[[#This Row],[Price/Unit
EUR]]," ")</f>
        <v>1390</v>
      </c>
      <c r="K790" s="126">
        <v>45475</v>
      </c>
      <c r="L790" s="36">
        <f>WEEKNUM(Table1[[#This Row],[ETA
As requested
dd.mm.yyyy]])</f>
        <v>27</v>
      </c>
      <c r="M790" s="36">
        <f>YEAR(Table1[[#This Row],[ETA
As requested
dd.mm.yyyy]])</f>
        <v>2024</v>
      </c>
      <c r="N790" s="36">
        <f>IFERROR(INDEX(DATABASE_FG!$H$5:$H$367, MATCH(E790, DATABASE_FG!$C$5:$C$367, 0)), " ")</f>
        <v>0</v>
      </c>
      <c r="O790" s="129" t="str">
        <f>IF(E790&lt;&gt;"", _xlfn.XLOOKUP(E790, DATABASE_FG!C:C, DATABASE_FG!F:F), " ")</f>
        <v>Ghidaje</v>
      </c>
      <c r="P790" s="129">
        <f>IFERROR(INDEX(DATABASE_FG!$G$5:$G$367, MATCH(E790, DATABASE_FG!$C$5:$C$367, 0)), "Not Found")</f>
        <v>0</v>
      </c>
      <c r="Q790" s="36"/>
      <c r="R790" s="125" t="s">
        <v>678</v>
      </c>
      <c r="S790" s="123">
        <f>IFERROR(INDEX(DATABASE_FG!$L$5:$L$367, MATCH(E790, DATABASE_FG!$C$5:$C$367, 0)), " ")</f>
        <v>42</v>
      </c>
      <c r="T790" s="36" t="s">
        <v>679</v>
      </c>
      <c r="U790" s="36"/>
      <c r="V790" s="36"/>
      <c r="W790" s="129"/>
      <c r="X790" s="36"/>
      <c r="Y790" s="36"/>
      <c r="Z790" s="36">
        <v>242712</v>
      </c>
      <c r="AA790" s="125" t="s">
        <v>121</v>
      </c>
      <c r="AB790" s="173">
        <v>45477</v>
      </c>
      <c r="AC790" s="119">
        <v>2024793</v>
      </c>
      <c r="AD790" s="36">
        <f t="shared" si="95"/>
        <v>37069482</v>
      </c>
      <c r="AE790" s="36" t="str">
        <f t="shared" si="96"/>
        <v>F-607694-1038.TK.KWVE20BNL-ISB-WW1</v>
      </c>
      <c r="AF790" s="36">
        <v>250</v>
      </c>
      <c r="AG790" s="120">
        <f t="shared" si="93"/>
        <v>1390</v>
      </c>
      <c r="AH790" s="36"/>
      <c r="AI790" s="124"/>
      <c r="AJ790" s="122" t="s">
        <v>1755</v>
      </c>
      <c r="AK790" s="129" t="str">
        <f t="shared" ca="1" si="97"/>
        <v>On Time</v>
      </c>
      <c r="AL790" s="268" t="str">
        <f t="shared" si="94"/>
        <v>July</v>
      </c>
      <c r="AM790" s="133">
        <f>YEAR(Table1[[#This Row],[ETA
As requested
dd.mm.yyyy]])</f>
        <v>2024</v>
      </c>
    </row>
    <row r="791" spans="1:39" hidden="1">
      <c r="A791" s="123" t="s">
        <v>83</v>
      </c>
      <c r="B791" s="36" t="s">
        <v>1170</v>
      </c>
      <c r="C791" s="117">
        <v>37069482</v>
      </c>
      <c r="D791" s="165">
        <v>45471</v>
      </c>
      <c r="E791" s="117" t="s">
        <v>97</v>
      </c>
      <c r="F791" s="36" t="str">
        <f>IFERROR(VLOOKUP(Table1[[#This Row],[Part Number]],DATABASE_FG!$C$6:D10780,2,FALSE)," ")</f>
        <v>300921586-8011</v>
      </c>
      <c r="G791" s="117" t="str">
        <f>IFERROR(_xlfn.XLOOKUP(Table1[[#This Row],[Part Number]],Table3[Part number],Table3[Drawing
 Revision]),"")</f>
        <v>AB</v>
      </c>
      <c r="H791" s="118" cm="1">
        <f t="array" ref="H791">IFERROR(INDEX(PDB!$C:$AT,MATCH(E791,PDB!$B:$B,0),MATCH(YEAR(K791),0+PDB!$C$1:$AT$1,0)),"")</f>
        <v>5.56</v>
      </c>
      <c r="I791" s="36">
        <v>250</v>
      </c>
      <c r="J791" s="125">
        <f>IFERROR(Table1[[#This Row],[Quantity]]*Table1[[#This Row],[Price/Unit
EUR]]," ")</f>
        <v>1390</v>
      </c>
      <c r="K791" s="126">
        <v>45477</v>
      </c>
      <c r="L791" s="36">
        <f>WEEKNUM(Table1[[#This Row],[ETA
As requested
dd.mm.yyyy]])</f>
        <v>27</v>
      </c>
      <c r="M791" s="36">
        <f>YEAR(Table1[[#This Row],[ETA
As requested
dd.mm.yyyy]])</f>
        <v>2024</v>
      </c>
      <c r="N791" s="36">
        <f>IFERROR(INDEX(DATABASE_FG!$H$5:$H$367, MATCH(E791, DATABASE_FG!$C$5:$C$367, 0)), " ")</f>
        <v>0</v>
      </c>
      <c r="O791" s="129" t="str">
        <f>IF(E791&lt;&gt;"", _xlfn.XLOOKUP(E791, DATABASE_FG!C:C, DATABASE_FG!F:F), " ")</f>
        <v>Ghidaje</v>
      </c>
      <c r="P791" s="129">
        <f>IFERROR(INDEX(DATABASE_FG!$G$5:$G$367, MATCH(E791, DATABASE_FG!$C$5:$C$367, 0)), "Not Found")</f>
        <v>0</v>
      </c>
      <c r="Q791" s="36"/>
      <c r="R791" s="125" t="s">
        <v>678</v>
      </c>
      <c r="S791" s="123">
        <f>IFERROR(INDEX(DATABASE_FG!$L$5:$L$367, MATCH(E791, DATABASE_FG!$C$5:$C$367, 0)), " ")</f>
        <v>42</v>
      </c>
      <c r="T791" s="36" t="s">
        <v>679</v>
      </c>
      <c r="U791" s="36"/>
      <c r="V791" s="36"/>
      <c r="W791" s="129"/>
      <c r="X791" s="36"/>
      <c r="Y791" s="36"/>
      <c r="Z791" s="36" t="s">
        <v>1774</v>
      </c>
      <c r="AA791" s="125" t="s">
        <v>121</v>
      </c>
      <c r="AB791" s="173">
        <v>45481</v>
      </c>
      <c r="AC791" s="119">
        <v>2024821</v>
      </c>
      <c r="AD791" s="36">
        <f t="shared" si="95"/>
        <v>37069482</v>
      </c>
      <c r="AE791" s="36" t="str">
        <f t="shared" si="96"/>
        <v>F-607694-1038.TK.KWVE20BNL-ISB-WW1</v>
      </c>
      <c r="AF791" s="36">
        <v>81</v>
      </c>
      <c r="AG791" s="120">
        <f t="shared" si="93"/>
        <v>450.35999999999996</v>
      </c>
      <c r="AH791" s="36"/>
      <c r="AI791" s="124"/>
      <c r="AJ791" s="122" t="s">
        <v>1775</v>
      </c>
      <c r="AK791" s="129" t="str">
        <f t="shared" ca="1" si="97"/>
        <v>Late</v>
      </c>
      <c r="AL791" s="268" t="str">
        <f t="shared" si="94"/>
        <v>July</v>
      </c>
      <c r="AM791" s="133">
        <f>YEAR(Table1[[#This Row],[ETA
As requested
dd.mm.yyyy]])</f>
        <v>2024</v>
      </c>
    </row>
    <row r="792" spans="1:39" hidden="1">
      <c r="A792" s="123" t="s">
        <v>83</v>
      </c>
      <c r="B792" s="36" t="s">
        <v>1170</v>
      </c>
      <c r="C792" s="117">
        <v>37069482</v>
      </c>
      <c r="D792" s="165">
        <v>45471</v>
      </c>
      <c r="E792" s="117" t="s">
        <v>97</v>
      </c>
      <c r="F792" s="36" t="str">
        <f>IFERROR(VLOOKUP(Table1[[#This Row],[Part Number]],DATABASE_FG!$C$6:D10781,2,FALSE)," ")</f>
        <v>300921586-8011</v>
      </c>
      <c r="G792" s="117" t="str">
        <f>IFERROR(_xlfn.XLOOKUP(Table1[[#This Row],[Part Number]],Table3[Part number],Table3[Drawing
 Revision]),"")</f>
        <v>AB</v>
      </c>
      <c r="H792" s="118" cm="1">
        <f t="array" ref="H792">IFERROR(INDEX(PDB!$C:$AT,MATCH(E792,PDB!$B:$B,0),MATCH(YEAR(K792),0+PDB!$C$1:$AT$1,0)),"")</f>
        <v>5.56</v>
      </c>
      <c r="I792" s="36"/>
      <c r="J792" s="125">
        <f>IFERROR(Table1[[#This Row],[Quantity]]*Table1[[#This Row],[Price/Unit
EUR]]," ")</f>
        <v>0</v>
      </c>
      <c r="K792" s="126">
        <v>45477</v>
      </c>
      <c r="L792" s="36">
        <f>WEEKNUM(Table1[[#This Row],[ETA
As requested
dd.mm.yyyy]])</f>
        <v>27</v>
      </c>
      <c r="M792" s="36">
        <f>YEAR(Table1[[#This Row],[ETA
As requested
dd.mm.yyyy]])</f>
        <v>2024</v>
      </c>
      <c r="N792" s="36">
        <f>IFERROR(INDEX(DATABASE_FG!$H$5:$H$367, MATCH(E792, DATABASE_FG!$C$5:$C$367, 0)), " ")</f>
        <v>0</v>
      </c>
      <c r="O792" s="129" t="str">
        <f>IF(E792&lt;&gt;"", _xlfn.XLOOKUP(E792, DATABASE_FG!C:C, DATABASE_FG!F:F), " ")</f>
        <v>Ghidaje</v>
      </c>
      <c r="P792" s="129">
        <f>IFERROR(INDEX(DATABASE_FG!$G$5:$G$367, MATCH(E792, DATABASE_FG!$C$5:$C$367, 0)), "Not Found")</f>
        <v>0</v>
      </c>
      <c r="Q792" s="36"/>
      <c r="R792" s="125" t="s">
        <v>678</v>
      </c>
      <c r="S792" s="123">
        <f>IFERROR(INDEX(DATABASE_FG!$L$5:$L$367, MATCH(E792, DATABASE_FG!$C$5:$C$367, 0)), " ")</f>
        <v>42</v>
      </c>
      <c r="T792" s="36"/>
      <c r="U792" s="36"/>
      <c r="V792" s="36"/>
      <c r="W792" s="129"/>
      <c r="X792" s="36"/>
      <c r="Y792" s="36"/>
      <c r="Z792" s="36"/>
      <c r="AA792" s="125" t="s">
        <v>121</v>
      </c>
      <c r="AB792" s="173">
        <v>45482</v>
      </c>
      <c r="AC792" s="119">
        <v>2024829</v>
      </c>
      <c r="AD792" s="36">
        <f t="shared" si="95"/>
        <v>37069482</v>
      </c>
      <c r="AE792" s="36" t="str">
        <f t="shared" si="96"/>
        <v>F-607694-1038.TK.KWVE20BNL-ISB-WW1</v>
      </c>
      <c r="AF792" s="36">
        <v>98</v>
      </c>
      <c r="AG792" s="120">
        <f t="shared" si="93"/>
        <v>544.88</v>
      </c>
      <c r="AH792" s="36"/>
      <c r="AI792" s="124"/>
      <c r="AJ792" s="122" t="s">
        <v>1776</v>
      </c>
      <c r="AK792" s="129" t="str">
        <f t="shared" ca="1" si="97"/>
        <v>Late</v>
      </c>
      <c r="AL792" s="268" t="str">
        <f t="shared" si="94"/>
        <v>July</v>
      </c>
      <c r="AM792" s="133">
        <f>YEAR(Table1[[#This Row],[ETA
As requested
dd.mm.yyyy]])</f>
        <v>2024</v>
      </c>
    </row>
    <row r="793" spans="1:39" hidden="1">
      <c r="A793" s="123" t="s">
        <v>83</v>
      </c>
      <c r="B793" s="36" t="s">
        <v>1170</v>
      </c>
      <c r="C793" s="117">
        <v>37069482</v>
      </c>
      <c r="D793" s="165">
        <v>45471</v>
      </c>
      <c r="E793" s="117" t="s">
        <v>97</v>
      </c>
      <c r="F793" s="36" t="str">
        <f>IFERROR(VLOOKUP(Table1[[#This Row],[Part Number]],DATABASE_FG!$C$6:D10782,2,FALSE)," ")</f>
        <v>300921586-8011</v>
      </c>
      <c r="G793" s="117" t="str">
        <f>IFERROR(_xlfn.XLOOKUP(Table1[[#This Row],[Part Number]],Table3[Part number],Table3[Drawing
 Revision]),"")</f>
        <v>AB</v>
      </c>
      <c r="H793" s="118" cm="1">
        <f t="array" ref="H793">IFERROR(INDEX(PDB!$C:$AT,MATCH(E793,PDB!$B:$B,0),MATCH(YEAR(K793),0+PDB!$C$1:$AT$1,0)),"")</f>
        <v>5.56</v>
      </c>
      <c r="I793" s="36"/>
      <c r="J793" s="125">
        <f>IFERROR(Table1[[#This Row],[Quantity]]*Table1[[#This Row],[Price/Unit
EUR]]," ")</f>
        <v>0</v>
      </c>
      <c r="K793" s="126">
        <v>45477</v>
      </c>
      <c r="L793" s="36">
        <f>WEEKNUM(Table1[[#This Row],[ETA
As requested
dd.mm.yyyy]])</f>
        <v>27</v>
      </c>
      <c r="M793" s="36">
        <f>YEAR(Table1[[#This Row],[ETA
As requested
dd.mm.yyyy]])</f>
        <v>2024</v>
      </c>
      <c r="N793" s="36">
        <f>IFERROR(INDEX(DATABASE_FG!$H$5:$H$367, MATCH(E793, DATABASE_FG!$C$5:$C$367, 0)), " ")</f>
        <v>0</v>
      </c>
      <c r="O793" s="129" t="str">
        <f>IF(E793&lt;&gt;"", _xlfn.XLOOKUP(E793, DATABASE_FG!C:C, DATABASE_FG!F:F), " ")</f>
        <v>Ghidaje</v>
      </c>
      <c r="P793" s="129">
        <f>IFERROR(INDEX(DATABASE_FG!$G$5:$G$367, MATCH(E793, DATABASE_FG!$C$5:$C$367, 0)), "Not Found")</f>
        <v>0</v>
      </c>
      <c r="Q793" s="36"/>
      <c r="R793" s="125" t="s">
        <v>678</v>
      </c>
      <c r="S793" s="123">
        <f>IFERROR(INDEX(DATABASE_FG!$L$5:$L$367, MATCH(E793, DATABASE_FG!$C$5:$C$367, 0)), " ")</f>
        <v>42</v>
      </c>
      <c r="T793" s="36"/>
      <c r="U793" s="36"/>
      <c r="V793" s="36"/>
      <c r="W793" s="129"/>
      <c r="X793" s="36"/>
      <c r="Y793" s="36"/>
      <c r="Z793" s="36"/>
      <c r="AA793" s="125" t="s">
        <v>121</v>
      </c>
      <c r="AB793" s="173">
        <v>45483</v>
      </c>
      <c r="AC793" s="119">
        <v>2024834</v>
      </c>
      <c r="AD793" s="36">
        <f t="shared" si="95"/>
        <v>37069482</v>
      </c>
      <c r="AE793" s="36" t="str">
        <f t="shared" si="96"/>
        <v>F-607694-1038.TK.KWVE20BNL-ISB-WW1</v>
      </c>
      <c r="AF793" s="36">
        <v>71</v>
      </c>
      <c r="AG793" s="120">
        <f t="shared" si="93"/>
        <v>394.76</v>
      </c>
      <c r="AH793" s="36"/>
      <c r="AI793" s="124"/>
      <c r="AJ793" s="122" t="s">
        <v>1777</v>
      </c>
      <c r="AK793" s="129" t="str">
        <f t="shared" ca="1" si="97"/>
        <v>Late</v>
      </c>
      <c r="AL793" s="268" t="str">
        <f t="shared" si="94"/>
        <v>July</v>
      </c>
      <c r="AM793" s="133">
        <f>YEAR(Table1[[#This Row],[ETA
As requested
dd.mm.yyyy]])</f>
        <v>2024</v>
      </c>
    </row>
    <row r="794" spans="1:39" hidden="1">
      <c r="A794" s="123" t="s">
        <v>83</v>
      </c>
      <c r="B794" s="36" t="s">
        <v>1170</v>
      </c>
      <c r="C794" s="117">
        <v>37069487</v>
      </c>
      <c r="D794" s="165">
        <v>45471</v>
      </c>
      <c r="E794" s="117" t="s">
        <v>97</v>
      </c>
      <c r="F794" s="36" t="str">
        <f>IFERROR(VLOOKUP(Table1[[#This Row],[Part Number]],DATABASE_FG!$C$6:D10783,2,FALSE)," ")</f>
        <v>300921586-8011</v>
      </c>
      <c r="G794" s="117" t="str">
        <f>IFERROR(_xlfn.XLOOKUP(Table1[[#This Row],[Part Number]],Table3[Part number],Table3[Drawing
 Revision]),"")</f>
        <v>AB</v>
      </c>
      <c r="H794" s="118" cm="1">
        <f t="array" ref="H794">IFERROR(INDEX(PDB!$C:$AT,MATCH(E794,PDB!$B:$B,0),MATCH(YEAR(K794),0+PDB!$C$1:$AT$1,0)),"")</f>
        <v>5.56</v>
      </c>
      <c r="I794" s="36">
        <v>250</v>
      </c>
      <c r="J794" s="125">
        <f>IFERROR(Table1[[#This Row],[Quantity]]*Table1[[#This Row],[Price/Unit
EUR]]," ")</f>
        <v>1390</v>
      </c>
      <c r="K794" s="126">
        <v>45482</v>
      </c>
      <c r="L794" s="36">
        <f>WEEKNUM(Table1[[#This Row],[ETA
As requested
dd.mm.yyyy]])</f>
        <v>28</v>
      </c>
      <c r="M794" s="36">
        <f>YEAR(Table1[[#This Row],[ETA
As requested
dd.mm.yyyy]])</f>
        <v>2024</v>
      </c>
      <c r="N794" s="36">
        <f>IFERROR(INDEX(DATABASE_FG!$H$5:$H$367, MATCH(E794, DATABASE_FG!$C$5:$C$367, 0)), " ")</f>
        <v>0</v>
      </c>
      <c r="O794" s="129" t="str">
        <f>IF(E794&lt;&gt;"", _xlfn.XLOOKUP(E794, DATABASE_FG!C:C, DATABASE_FG!F:F), " ")</f>
        <v>Ghidaje</v>
      </c>
      <c r="P794" s="129">
        <f>IFERROR(INDEX(DATABASE_FG!$G$5:$G$367, MATCH(E794, DATABASE_FG!$C$5:$C$367, 0)), "Not Found")</f>
        <v>0</v>
      </c>
      <c r="Q794" s="36"/>
      <c r="R794" s="125" t="s">
        <v>678</v>
      </c>
      <c r="S794" s="123">
        <f>IFERROR(INDEX(DATABASE_FG!$L$5:$L$367, MATCH(E794, DATABASE_FG!$C$5:$C$367, 0)), " ")</f>
        <v>42</v>
      </c>
      <c r="T794" s="36" t="s">
        <v>679</v>
      </c>
      <c r="U794" s="36"/>
      <c r="V794" s="36"/>
      <c r="W794" s="129"/>
      <c r="X794" s="36"/>
      <c r="Y794" s="36"/>
      <c r="Z794" s="36">
        <v>242713</v>
      </c>
      <c r="AA794" s="125" t="s">
        <v>121</v>
      </c>
      <c r="AB794" s="173">
        <v>45483</v>
      </c>
      <c r="AC794" s="119">
        <v>2024835</v>
      </c>
      <c r="AD794" s="36">
        <f t="shared" si="95"/>
        <v>37069487</v>
      </c>
      <c r="AE794" s="36" t="str">
        <f t="shared" si="96"/>
        <v>F-607694-1038.TK.KWVE20BNL-ISB-WW1</v>
      </c>
      <c r="AF794" s="36">
        <v>71</v>
      </c>
      <c r="AG794" s="120">
        <f t="shared" si="93"/>
        <v>394.76</v>
      </c>
      <c r="AH794" s="36"/>
      <c r="AI794" s="124"/>
      <c r="AJ794" s="122" t="s">
        <v>1802</v>
      </c>
      <c r="AK794" s="129" t="str">
        <f t="shared" ca="1" si="97"/>
        <v>On Time</v>
      </c>
      <c r="AL794" s="268" t="str">
        <f t="shared" si="94"/>
        <v>July</v>
      </c>
      <c r="AM794" s="133">
        <f>YEAR(Table1[[#This Row],[ETA
As requested
dd.mm.yyyy]])</f>
        <v>2024</v>
      </c>
    </row>
    <row r="795" spans="1:39" hidden="1">
      <c r="A795" s="123" t="s">
        <v>83</v>
      </c>
      <c r="B795" s="36" t="s">
        <v>1170</v>
      </c>
      <c r="C795" s="117">
        <v>37069487</v>
      </c>
      <c r="D795" s="165">
        <v>45471</v>
      </c>
      <c r="E795" s="117" t="s">
        <v>97</v>
      </c>
      <c r="F795" s="36" t="str">
        <f>IFERROR(VLOOKUP(Table1[[#This Row],[Part Number]],DATABASE_FG!$C$6:D10784,2,FALSE)," ")</f>
        <v>300921586-8011</v>
      </c>
      <c r="G795" s="117" t="str">
        <f>IFERROR(_xlfn.XLOOKUP(Table1[[#This Row],[Part Number]],Table3[Part number],Table3[Drawing
 Revision]),"")</f>
        <v>AB</v>
      </c>
      <c r="H795" s="118" cm="1">
        <f t="array" ref="H795">IFERROR(INDEX(PDB!$C:$AT,MATCH(E795,PDB!$B:$B,0),MATCH(YEAR(K795),0+PDB!$C$1:$AT$1,0)),"")</f>
        <v>5.56</v>
      </c>
      <c r="I795" s="36"/>
      <c r="J795" s="125">
        <f>IFERROR(Table1[[#This Row],[Quantity]]*Table1[[#This Row],[Price/Unit
EUR]]," ")</f>
        <v>0</v>
      </c>
      <c r="K795" s="126">
        <v>45482</v>
      </c>
      <c r="L795" s="36">
        <f>WEEKNUM(Table1[[#This Row],[ETA
As requested
dd.mm.yyyy]])</f>
        <v>28</v>
      </c>
      <c r="M795" s="36">
        <f>YEAR(Table1[[#This Row],[ETA
As requested
dd.mm.yyyy]])</f>
        <v>2024</v>
      </c>
      <c r="N795" s="36">
        <f>IFERROR(INDEX(DATABASE_FG!$H$5:$H$367, MATCH(E795, DATABASE_FG!$C$5:$C$367, 0)), " ")</f>
        <v>0</v>
      </c>
      <c r="O795" s="129" t="str">
        <f>IF(E795&lt;&gt;"", _xlfn.XLOOKUP(E795, DATABASE_FG!C:C, DATABASE_FG!F:F), " ")</f>
        <v>Ghidaje</v>
      </c>
      <c r="P795" s="129">
        <f>IFERROR(INDEX(DATABASE_FG!$G$5:$G$367, MATCH(E795, DATABASE_FG!$C$5:$C$367, 0)), "Not Found")</f>
        <v>0</v>
      </c>
      <c r="Q795" s="36"/>
      <c r="R795" s="125" t="s">
        <v>678</v>
      </c>
      <c r="S795" s="123">
        <f>IFERROR(INDEX(DATABASE_FG!$L$5:$L$367, MATCH(E795, DATABASE_FG!$C$5:$C$367, 0)), " ")</f>
        <v>42</v>
      </c>
      <c r="T795" s="36"/>
      <c r="U795" s="36"/>
      <c r="V795" s="36"/>
      <c r="W795" s="129"/>
      <c r="X795" s="36"/>
      <c r="Y795" s="36"/>
      <c r="Z795" s="36"/>
      <c r="AA795" s="125" t="s">
        <v>121</v>
      </c>
      <c r="AB795" s="173">
        <v>45484</v>
      </c>
      <c r="AC795" s="119">
        <v>2024838</v>
      </c>
      <c r="AD795" s="36">
        <f t="shared" si="95"/>
        <v>37069487</v>
      </c>
      <c r="AE795" s="36" t="str">
        <f t="shared" si="96"/>
        <v>F-607694-1038.TK.KWVE20BNL-ISB-WW1</v>
      </c>
      <c r="AF795" s="36">
        <v>116</v>
      </c>
      <c r="AG795" s="120">
        <f t="shared" si="93"/>
        <v>644.95999999999992</v>
      </c>
      <c r="AH795" s="36"/>
      <c r="AI795" s="124"/>
      <c r="AJ795" s="122" t="s">
        <v>1803</v>
      </c>
      <c r="AK795" s="129" t="str">
        <f t="shared" ca="1" si="97"/>
        <v>On Time</v>
      </c>
      <c r="AL795" s="268" t="str">
        <f t="shared" si="94"/>
        <v>July</v>
      </c>
      <c r="AM795" s="133">
        <f>YEAR(Table1[[#This Row],[ETA
As requested
dd.mm.yyyy]])</f>
        <v>2024</v>
      </c>
    </row>
    <row r="796" spans="1:39" hidden="1">
      <c r="A796" s="123" t="s">
        <v>83</v>
      </c>
      <c r="B796" s="36" t="s">
        <v>1170</v>
      </c>
      <c r="C796" s="117">
        <v>37069487</v>
      </c>
      <c r="D796" s="165">
        <v>45471</v>
      </c>
      <c r="E796" s="117" t="s">
        <v>97</v>
      </c>
      <c r="F796" s="36" t="str">
        <f>IFERROR(VLOOKUP(Table1[[#This Row],[Part Number]],DATABASE_FG!$C$6:D10785,2,FALSE)," ")</f>
        <v>300921586-8011</v>
      </c>
      <c r="G796" s="117" t="str">
        <f>IFERROR(_xlfn.XLOOKUP(Table1[[#This Row],[Part Number]],Table3[Part number],Table3[Drawing
 Revision]),"")</f>
        <v>AB</v>
      </c>
      <c r="H796" s="118" cm="1">
        <f t="array" ref="H796">IFERROR(INDEX(PDB!$C:$AT,MATCH(E796,PDB!$B:$B,0),MATCH(YEAR(K796),0+PDB!$C$1:$AT$1,0)),"")</f>
        <v>5.56</v>
      </c>
      <c r="I796" s="36"/>
      <c r="J796" s="125">
        <f>IFERROR(Table1[[#This Row],[Quantity]]*Table1[[#This Row],[Price/Unit
EUR]]," ")</f>
        <v>0</v>
      </c>
      <c r="K796" s="126">
        <v>45482</v>
      </c>
      <c r="L796" s="36">
        <f>WEEKNUM(Table1[[#This Row],[ETA
As requested
dd.mm.yyyy]])</f>
        <v>28</v>
      </c>
      <c r="M796" s="36">
        <f>YEAR(Table1[[#This Row],[ETA
As requested
dd.mm.yyyy]])</f>
        <v>2024</v>
      </c>
      <c r="N796" s="36">
        <f>IFERROR(INDEX(DATABASE_FG!$H$5:$H$367, MATCH(E796, DATABASE_FG!$C$5:$C$367, 0)), " ")</f>
        <v>0</v>
      </c>
      <c r="O796" s="129" t="str">
        <f>IF(E796&lt;&gt;"", _xlfn.XLOOKUP(E796, DATABASE_FG!C:C, DATABASE_FG!F:F), " ")</f>
        <v>Ghidaje</v>
      </c>
      <c r="P796" s="129">
        <f>IFERROR(INDEX(DATABASE_FG!$G$5:$G$367, MATCH(E796, DATABASE_FG!$C$5:$C$367, 0)), "Not Found")</f>
        <v>0</v>
      </c>
      <c r="Q796" s="36"/>
      <c r="R796" s="125" t="s">
        <v>678</v>
      </c>
      <c r="S796" s="123">
        <f>IFERROR(INDEX(DATABASE_FG!$L$5:$L$367, MATCH(E796, DATABASE_FG!$C$5:$C$367, 0)), " ")</f>
        <v>42</v>
      </c>
      <c r="T796" s="36"/>
      <c r="U796" s="36"/>
      <c r="V796" s="36"/>
      <c r="W796" s="129"/>
      <c r="X796" s="36"/>
      <c r="Y796" s="36"/>
      <c r="Z796" s="36"/>
      <c r="AA796" s="125" t="s">
        <v>121</v>
      </c>
      <c r="AB796" s="173">
        <v>45485</v>
      </c>
      <c r="AC796" s="119">
        <v>2024848</v>
      </c>
      <c r="AD796" s="36">
        <f t="shared" si="95"/>
        <v>37069487</v>
      </c>
      <c r="AE796" s="36" t="str">
        <f t="shared" si="96"/>
        <v>F-607694-1038.TK.KWVE20BNL-ISB-WW1</v>
      </c>
      <c r="AF796" s="36">
        <v>63</v>
      </c>
      <c r="AG796" s="120">
        <f t="shared" si="93"/>
        <v>350.28</v>
      </c>
      <c r="AH796" s="36"/>
      <c r="AI796" s="124"/>
      <c r="AJ796" s="122" t="s">
        <v>1805</v>
      </c>
      <c r="AK796" s="129" t="str">
        <f t="shared" ca="1" si="97"/>
        <v>Late</v>
      </c>
      <c r="AL796" s="268" t="str">
        <f t="shared" si="94"/>
        <v>July</v>
      </c>
      <c r="AM796" s="133">
        <f>YEAR(Table1[[#This Row],[ETA
As requested
dd.mm.yyyy]])</f>
        <v>2024</v>
      </c>
    </row>
    <row r="797" spans="1:39" hidden="1">
      <c r="A797" s="123" t="s">
        <v>83</v>
      </c>
      <c r="B797" s="36" t="s">
        <v>1170</v>
      </c>
      <c r="C797" s="117">
        <v>37069487</v>
      </c>
      <c r="D797" s="165">
        <v>45471</v>
      </c>
      <c r="E797" s="117" t="s">
        <v>97</v>
      </c>
      <c r="F797" s="36" t="str">
        <f>IFERROR(VLOOKUP(Table1[[#This Row],[Part Number]],DATABASE_FG!$C$6:D10786,2,FALSE)," ")</f>
        <v>300921586-8011</v>
      </c>
      <c r="G797" s="117" t="str">
        <f>IFERROR(_xlfn.XLOOKUP(Table1[[#This Row],[Part Number]],Table3[Part number],Table3[Drawing
 Revision]),"")</f>
        <v>AB</v>
      </c>
      <c r="H797" s="118" cm="1">
        <f t="array" ref="H797">IFERROR(INDEX(PDB!$C:$AT,MATCH(E797,PDB!$B:$B,0),MATCH(YEAR(K797),0+PDB!$C$1:$AT$1,0)),"")</f>
        <v>5.56</v>
      </c>
      <c r="I797" s="36">
        <v>250</v>
      </c>
      <c r="J797" s="125">
        <f>IFERROR(Table1[[#This Row],[Quantity]]*Table1[[#This Row],[Price/Unit
EUR]]," ")</f>
        <v>1390</v>
      </c>
      <c r="K797" s="126">
        <v>45484</v>
      </c>
      <c r="L797" s="36">
        <f>WEEKNUM(Table1[[#This Row],[ETA
As requested
dd.mm.yyyy]])</f>
        <v>28</v>
      </c>
      <c r="M797" s="36">
        <f>YEAR(Table1[[#This Row],[ETA
As requested
dd.mm.yyyy]])</f>
        <v>2024</v>
      </c>
      <c r="N797" s="36">
        <f>IFERROR(INDEX(DATABASE_FG!$H$5:$H$367, MATCH(E797, DATABASE_FG!$C$5:$C$367, 0)), " ")</f>
        <v>0</v>
      </c>
      <c r="O797" s="129" t="str">
        <f>IF(E797&lt;&gt;"", _xlfn.XLOOKUP(E797, DATABASE_FG!C:C, DATABASE_FG!F:F), " ")</f>
        <v>Ghidaje</v>
      </c>
      <c r="P797" s="129">
        <f>IFERROR(INDEX(DATABASE_FG!$G$5:$G$367, MATCH(E797, DATABASE_FG!$C$5:$C$367, 0)), "Not Found")</f>
        <v>0</v>
      </c>
      <c r="Q797" s="36"/>
      <c r="R797" s="125" t="s">
        <v>678</v>
      </c>
      <c r="S797" s="123">
        <f>IFERROR(INDEX(DATABASE_FG!$L$5:$L$367, MATCH(E797, DATABASE_FG!$C$5:$C$367, 0)), " ")</f>
        <v>42</v>
      </c>
      <c r="T797" s="36" t="s">
        <v>679</v>
      </c>
      <c r="U797" s="36"/>
      <c r="V797" s="36"/>
      <c r="W797" s="129"/>
      <c r="X797" s="36"/>
      <c r="Y797" s="36"/>
      <c r="Z797" s="36"/>
      <c r="AA797" s="125" t="s">
        <v>121</v>
      </c>
      <c r="AB797" s="173">
        <v>45485</v>
      </c>
      <c r="AC797" s="119">
        <v>2024848</v>
      </c>
      <c r="AD797" s="36">
        <f t="shared" si="95"/>
        <v>37069487</v>
      </c>
      <c r="AE797" s="36" t="str">
        <f t="shared" si="96"/>
        <v>F-607694-1038.TK.KWVE20BNL-ISB-WW1</v>
      </c>
      <c r="AF797" s="36">
        <f>110-63</f>
        <v>47</v>
      </c>
      <c r="AG797" s="120">
        <f t="shared" si="93"/>
        <v>261.32</v>
      </c>
      <c r="AH797" s="36"/>
      <c r="AI797" s="124"/>
      <c r="AJ797" s="122" t="s">
        <v>1805</v>
      </c>
      <c r="AK797" s="129" t="str">
        <f t="shared" ca="1" si="97"/>
        <v>On Time</v>
      </c>
      <c r="AL797" s="268" t="str">
        <f t="shared" si="94"/>
        <v>July</v>
      </c>
      <c r="AM797" s="133">
        <f>YEAR(Table1[[#This Row],[ETA
As requested
dd.mm.yyyy]])</f>
        <v>2024</v>
      </c>
    </row>
    <row r="798" spans="1:39" hidden="1">
      <c r="A798" s="123" t="s">
        <v>83</v>
      </c>
      <c r="B798" s="36" t="s">
        <v>1170</v>
      </c>
      <c r="C798" s="117">
        <v>37069487</v>
      </c>
      <c r="D798" s="165">
        <v>45471</v>
      </c>
      <c r="E798" s="117" t="s">
        <v>97</v>
      </c>
      <c r="F798" s="36" t="str">
        <f>IFERROR(VLOOKUP(Table1[[#This Row],[Part Number]],DATABASE_FG!$C$6:D10787,2,FALSE)," ")</f>
        <v>300921586-8011</v>
      </c>
      <c r="G798" s="117" t="str">
        <f>IFERROR(_xlfn.XLOOKUP(Table1[[#This Row],[Part Number]],Table3[Part number],Table3[Drawing
 Revision]),"")</f>
        <v>AB</v>
      </c>
      <c r="H798" s="118" cm="1">
        <f t="array" ref="H798">IFERROR(INDEX(PDB!$C:$AT,MATCH(E798,PDB!$B:$B,0),MATCH(YEAR(K798),0+PDB!$C$1:$AT$1,0)),"")</f>
        <v>5.56</v>
      </c>
      <c r="I798" s="36"/>
      <c r="J798" s="125">
        <f>IFERROR(Table1[[#This Row],[Quantity]]*Table1[[#This Row],[Price/Unit
EUR]]," ")</f>
        <v>0</v>
      </c>
      <c r="K798" s="126">
        <v>45484</v>
      </c>
      <c r="L798" s="36">
        <f>WEEKNUM(Table1[[#This Row],[ETA
As requested
dd.mm.yyyy]])</f>
        <v>28</v>
      </c>
      <c r="M798" s="36">
        <f>YEAR(Table1[[#This Row],[ETA
As requested
dd.mm.yyyy]])</f>
        <v>2024</v>
      </c>
      <c r="N798" s="36">
        <f>IFERROR(INDEX(DATABASE_FG!$H$5:$H$367, MATCH(E798, DATABASE_FG!$C$5:$C$367, 0)), " ")</f>
        <v>0</v>
      </c>
      <c r="O798" s="129" t="str">
        <f>IF(E798&lt;&gt;"", _xlfn.XLOOKUP(E798, DATABASE_FG!C:C, DATABASE_FG!F:F), " ")</f>
        <v>Ghidaje</v>
      </c>
      <c r="P798" s="129">
        <f>IFERROR(INDEX(DATABASE_FG!$G$5:$G$367, MATCH(E798, DATABASE_FG!$C$5:$C$367, 0)), "Not Found")</f>
        <v>0</v>
      </c>
      <c r="Q798" s="36"/>
      <c r="R798" s="125" t="s">
        <v>678</v>
      </c>
      <c r="S798" s="123">
        <f>IFERROR(INDEX(DATABASE_FG!$L$5:$L$367, MATCH(E798, DATABASE_FG!$C$5:$C$367, 0)), " ")</f>
        <v>42</v>
      </c>
      <c r="T798" s="36"/>
      <c r="U798" s="36"/>
      <c r="V798" s="36"/>
      <c r="W798" s="129"/>
      <c r="X798" s="36"/>
      <c r="Y798" s="36"/>
      <c r="Z798" s="36"/>
      <c r="AA798" s="125" t="s">
        <v>121</v>
      </c>
      <c r="AB798" s="173">
        <v>45488</v>
      </c>
      <c r="AC798" s="119">
        <v>2024851</v>
      </c>
      <c r="AD798" s="36">
        <f t="shared" si="95"/>
        <v>37069487</v>
      </c>
      <c r="AE798" s="36" t="str">
        <f t="shared" si="96"/>
        <v>F-607694-1038.TK.KWVE20BNL-ISB-WW1</v>
      </c>
      <c r="AF798" s="36">
        <v>46</v>
      </c>
      <c r="AG798" s="120">
        <f t="shared" si="93"/>
        <v>255.76</v>
      </c>
      <c r="AH798" s="36"/>
      <c r="AI798" s="124"/>
      <c r="AJ798" s="122" t="s">
        <v>1827</v>
      </c>
      <c r="AK798" s="129" t="str">
        <f t="shared" ca="1" si="97"/>
        <v>Late</v>
      </c>
      <c r="AL798" s="268" t="str">
        <f t="shared" si="94"/>
        <v>July</v>
      </c>
      <c r="AM798" s="133">
        <f>YEAR(Table1[[#This Row],[ETA
As requested
dd.mm.yyyy]])</f>
        <v>2024</v>
      </c>
    </row>
    <row r="799" spans="1:39" hidden="1">
      <c r="A799" s="123" t="s">
        <v>83</v>
      </c>
      <c r="B799" s="36" t="s">
        <v>1170</v>
      </c>
      <c r="C799" s="117">
        <v>37069487</v>
      </c>
      <c r="D799" s="165">
        <v>45471</v>
      </c>
      <c r="E799" s="117" t="s">
        <v>97</v>
      </c>
      <c r="F799" s="36" t="str">
        <f>IFERROR(VLOOKUP(Table1[[#This Row],[Part Number]],DATABASE_FG!$C$6:D10788,2,FALSE)," ")</f>
        <v>300921586-8011</v>
      </c>
      <c r="G799" s="117" t="str">
        <f>IFERROR(_xlfn.XLOOKUP(Table1[[#This Row],[Part Number]],Table3[Part number],Table3[Drawing
 Revision]),"")</f>
        <v>AB</v>
      </c>
      <c r="H799" s="118" cm="1">
        <f t="array" ref="H799">IFERROR(INDEX(PDB!$C:$AT,MATCH(E799,PDB!$B:$B,0),MATCH(YEAR(K799),0+PDB!$C$1:$AT$1,0)),"")</f>
        <v>5.56</v>
      </c>
      <c r="I799" s="36"/>
      <c r="J799" s="125">
        <f>IFERROR(Table1[[#This Row],[Quantity]]*Table1[[#This Row],[Price/Unit
EUR]]," ")</f>
        <v>0</v>
      </c>
      <c r="K799" s="126">
        <v>45484</v>
      </c>
      <c r="L799" s="36">
        <f>WEEKNUM(Table1[[#This Row],[ETA
As requested
dd.mm.yyyy]])</f>
        <v>28</v>
      </c>
      <c r="M799" s="36">
        <f>YEAR(Table1[[#This Row],[ETA
As requested
dd.mm.yyyy]])</f>
        <v>2024</v>
      </c>
      <c r="N799" s="36">
        <f>IFERROR(INDEX(DATABASE_FG!$H$5:$H$367, MATCH(E799, DATABASE_FG!$C$5:$C$367, 0)), " ")</f>
        <v>0</v>
      </c>
      <c r="O799" s="129" t="str">
        <f>IF(E799&lt;&gt;"", _xlfn.XLOOKUP(E799, DATABASE_FG!C:C, DATABASE_FG!F:F), " ")</f>
        <v>Ghidaje</v>
      </c>
      <c r="P799" s="129">
        <f>IFERROR(INDEX(DATABASE_FG!$G$5:$G$367, MATCH(E799, DATABASE_FG!$C$5:$C$367, 0)), "Not Found")</f>
        <v>0</v>
      </c>
      <c r="Q799" s="36"/>
      <c r="R799" s="125" t="s">
        <v>678</v>
      </c>
      <c r="S799" s="123">
        <f>IFERROR(INDEX(DATABASE_FG!$L$5:$L$367, MATCH(E799, DATABASE_FG!$C$5:$C$367, 0)), " ")</f>
        <v>42</v>
      </c>
      <c r="T799" s="36"/>
      <c r="U799" s="36"/>
      <c r="V799" s="36"/>
      <c r="W799" s="129"/>
      <c r="X799" s="36"/>
      <c r="Y799" s="36"/>
      <c r="Z799" s="36"/>
      <c r="AA799" s="125" t="s">
        <v>121</v>
      </c>
      <c r="AB799" s="173">
        <v>45490</v>
      </c>
      <c r="AC799" s="119">
        <v>2024864</v>
      </c>
      <c r="AD799" s="36">
        <f t="shared" si="95"/>
        <v>37069487</v>
      </c>
      <c r="AE799" s="36" t="str">
        <f t="shared" si="96"/>
        <v>F-607694-1038.TK.KWVE20BNL-ISB-WW1</v>
      </c>
      <c r="AF799" s="36">
        <v>157</v>
      </c>
      <c r="AG799" s="120">
        <f t="shared" si="93"/>
        <v>872.92</v>
      </c>
      <c r="AH799" s="36"/>
      <c r="AI799" s="124"/>
      <c r="AJ799" s="122" t="s">
        <v>1830</v>
      </c>
      <c r="AK799" s="129" t="str">
        <f t="shared" ca="1" si="97"/>
        <v>Late</v>
      </c>
      <c r="AL799" s="268" t="str">
        <f t="shared" si="94"/>
        <v>July</v>
      </c>
      <c r="AM799" s="133">
        <f>YEAR(Table1[[#This Row],[ETA
As requested
dd.mm.yyyy]])</f>
        <v>2024</v>
      </c>
    </row>
    <row r="800" spans="1:39" hidden="1">
      <c r="A800" s="123" t="s">
        <v>83</v>
      </c>
      <c r="B800" s="36" t="s">
        <v>1170</v>
      </c>
      <c r="C800" s="117">
        <v>37521217</v>
      </c>
      <c r="D800" s="165">
        <v>45527</v>
      </c>
      <c r="E800" s="117" t="s">
        <v>97</v>
      </c>
      <c r="F800" s="36" t="str">
        <f>IFERROR(VLOOKUP(Table1[[#This Row],[Part Number]],DATABASE_FG!$C$6:D10789,2,FALSE)," ")</f>
        <v>300921586-8011</v>
      </c>
      <c r="G800" s="117" t="str">
        <f>IFERROR(_xlfn.XLOOKUP(Table1[[#This Row],[Part Number]],Table3[Part number],Table3[Drawing
 Revision]),"")</f>
        <v>AB</v>
      </c>
      <c r="H800" s="118" cm="1">
        <f t="array" ref="H800">IFERROR(INDEX(PDB!$C:$AT,MATCH(E800,PDB!$B:$B,0),MATCH(YEAR(K800),0+PDB!$C$1:$AT$1,0)),"")</f>
        <v>5.56</v>
      </c>
      <c r="I800" s="36">
        <v>200</v>
      </c>
      <c r="J800" s="125">
        <f>IFERROR(Table1[[#This Row],[Quantity]]*Table1[[#This Row],[Price/Unit
EUR]]," ")</f>
        <v>1112</v>
      </c>
      <c r="K800" s="126">
        <v>45537</v>
      </c>
      <c r="L800" s="36">
        <f>WEEKNUM(Table1[[#This Row],[ETA
As requested
dd.mm.yyyy]])</f>
        <v>36</v>
      </c>
      <c r="M800" s="36">
        <f>YEAR(Table1[[#This Row],[ETA
As requested
dd.mm.yyyy]])</f>
        <v>2024</v>
      </c>
      <c r="N800" s="36">
        <f>IFERROR(INDEX(DATABASE_FG!$H$5:$H$367, MATCH(E800, DATABASE_FG!$C$5:$C$367, 0)), " ")</f>
        <v>0</v>
      </c>
      <c r="O800" s="129" t="str">
        <f>IF(E800&lt;&gt;"", _xlfn.XLOOKUP(E800, DATABASE_FG!C:C, DATABASE_FG!F:F), " ")</f>
        <v>Ghidaje</v>
      </c>
      <c r="P800" s="129">
        <f>IFERROR(INDEX(DATABASE_FG!$G$5:$G$367, MATCH(E800, DATABASE_FG!$C$5:$C$367, 0)), "Not Found")</f>
        <v>0</v>
      </c>
      <c r="Q800" s="36"/>
      <c r="R800" s="125" t="s">
        <v>678</v>
      </c>
      <c r="S800" s="123">
        <f>IFERROR(INDEX(DATABASE_FG!$L$5:$L$367, MATCH(E800, DATABASE_FG!$C$5:$C$367, 0)), " ")</f>
        <v>42</v>
      </c>
      <c r="T800" s="36"/>
      <c r="U800" s="36"/>
      <c r="V800" s="36"/>
      <c r="W800" s="129"/>
      <c r="X800" s="36"/>
      <c r="Y800" s="36"/>
      <c r="Z800" s="36"/>
      <c r="AA800" s="125" t="s">
        <v>121</v>
      </c>
      <c r="AB800" s="173">
        <v>45538</v>
      </c>
      <c r="AC800" s="119">
        <v>202401098</v>
      </c>
      <c r="AD800" s="36">
        <f t="shared" si="95"/>
        <v>37521217</v>
      </c>
      <c r="AE800" s="36" t="str">
        <f t="shared" si="96"/>
        <v>F-607694-1038.TK.KWVE20BNL-ISB-WW1</v>
      </c>
      <c r="AF800" s="36">
        <v>142</v>
      </c>
      <c r="AG800" s="120">
        <f t="shared" si="93"/>
        <v>789.52</v>
      </c>
      <c r="AH800" s="36"/>
      <c r="AI800" s="124"/>
      <c r="AJ800" s="122" t="s">
        <v>2314</v>
      </c>
      <c r="AK800" s="129" t="str">
        <f t="shared" ca="1" si="97"/>
        <v>On Time</v>
      </c>
      <c r="AL800" s="268" t="str">
        <f t="shared" si="94"/>
        <v>September</v>
      </c>
      <c r="AM800" s="133">
        <f>YEAR(Table1[[#This Row],[ETA
As requested
dd.mm.yyyy]])</f>
        <v>2024</v>
      </c>
    </row>
    <row r="801" spans="1:39" hidden="1">
      <c r="A801" s="123" t="s">
        <v>83</v>
      </c>
      <c r="B801" s="36" t="s">
        <v>1170</v>
      </c>
      <c r="C801" s="117">
        <v>37521217</v>
      </c>
      <c r="D801" s="165">
        <v>45527</v>
      </c>
      <c r="E801" s="117" t="s">
        <v>97</v>
      </c>
      <c r="F801" s="36" t="str">
        <f>IFERROR(VLOOKUP(Table1[[#This Row],[Part Number]],DATABASE_FG!$C$6:D10790,2,FALSE)," ")</f>
        <v>300921586-8011</v>
      </c>
      <c r="G801" s="117" t="str">
        <f>IFERROR(_xlfn.XLOOKUP(Table1[[#This Row],[Part Number]],Table3[Part number],Table3[Drawing
 Revision]),"")</f>
        <v>AB</v>
      </c>
      <c r="H801" s="118" cm="1">
        <f t="array" ref="H801">IFERROR(INDEX(PDB!$C:$AT,MATCH(E801,PDB!$B:$B,0),MATCH(YEAR(K801),0+PDB!$C$1:$AT$1,0)),"")</f>
        <v>5.56</v>
      </c>
      <c r="I801" s="36">
        <v>0</v>
      </c>
      <c r="J801" s="125">
        <f>IFERROR(Table1[[#This Row],[Quantity]]*Table1[[#This Row],[Price/Unit
EUR]]," ")</f>
        <v>0</v>
      </c>
      <c r="K801" s="126">
        <v>45537</v>
      </c>
      <c r="L801" s="36">
        <f>WEEKNUM(Table1[[#This Row],[ETA
As requested
dd.mm.yyyy]])</f>
        <v>36</v>
      </c>
      <c r="M801" s="36">
        <f>YEAR(Table1[[#This Row],[ETA
As requested
dd.mm.yyyy]])</f>
        <v>2024</v>
      </c>
      <c r="N801" s="36">
        <f>IFERROR(INDEX(DATABASE_FG!$H$5:$H$367, MATCH(E801, DATABASE_FG!$C$5:$C$367, 0)), " ")</f>
        <v>0</v>
      </c>
      <c r="O801" s="129" t="str">
        <f>IF(E801&lt;&gt;"", _xlfn.XLOOKUP(E801, DATABASE_FG!C:C, DATABASE_FG!F:F), " ")</f>
        <v>Ghidaje</v>
      </c>
      <c r="P801" s="129">
        <f>IFERROR(INDEX(DATABASE_FG!$G$5:$G$367, MATCH(E801, DATABASE_FG!$C$5:$C$367, 0)), "Not Found")</f>
        <v>0</v>
      </c>
      <c r="Q801" s="36"/>
      <c r="R801" s="125" t="s">
        <v>678</v>
      </c>
      <c r="S801" s="123">
        <f>IFERROR(INDEX(DATABASE_FG!$L$5:$L$367, MATCH(E801, DATABASE_FG!$C$5:$C$367, 0)), " ")</f>
        <v>42</v>
      </c>
      <c r="T801" s="36"/>
      <c r="U801" s="36"/>
      <c r="V801" s="36"/>
      <c r="W801" s="129"/>
      <c r="X801" s="36"/>
      <c r="Y801" s="36"/>
      <c r="Z801" s="36"/>
      <c r="AA801" s="125" t="s">
        <v>121</v>
      </c>
      <c r="AB801" s="173">
        <v>45540</v>
      </c>
      <c r="AC801" s="119">
        <v>202401106</v>
      </c>
      <c r="AD801" s="36">
        <f t="shared" si="95"/>
        <v>37521217</v>
      </c>
      <c r="AE801" s="36" t="str">
        <f t="shared" si="96"/>
        <v>F-607694-1038.TK.KWVE20BNL-ISB-WW1</v>
      </c>
      <c r="AF801" s="36">
        <v>58</v>
      </c>
      <c r="AG801" s="120">
        <f t="shared" si="93"/>
        <v>322.47999999999996</v>
      </c>
      <c r="AH801" s="36"/>
      <c r="AI801" s="124"/>
      <c r="AJ801" s="122" t="s">
        <v>2316</v>
      </c>
      <c r="AK801" s="129" t="str">
        <f t="shared" ca="1" si="97"/>
        <v>Late</v>
      </c>
      <c r="AL801" s="268" t="str">
        <f t="shared" si="94"/>
        <v>September</v>
      </c>
      <c r="AM801" s="133">
        <f>YEAR(Table1[[#This Row],[ETA
As requested
dd.mm.yyyy]])</f>
        <v>2024</v>
      </c>
    </row>
    <row r="802" spans="1:39" hidden="1">
      <c r="A802" s="123" t="s">
        <v>83</v>
      </c>
      <c r="B802" s="36" t="s">
        <v>1170</v>
      </c>
      <c r="C802" s="117">
        <v>37521217</v>
      </c>
      <c r="D802" s="165">
        <v>45527</v>
      </c>
      <c r="E802" s="117" t="s">
        <v>97</v>
      </c>
      <c r="F802" s="36" t="str">
        <f>IFERROR(VLOOKUP(Table1[[#This Row],[Part Number]],DATABASE_FG!$C$6:D10791,2,FALSE)," ")</f>
        <v>300921586-8011</v>
      </c>
      <c r="G802" s="117" t="str">
        <f>IFERROR(_xlfn.XLOOKUP(Table1[[#This Row],[Part Number]],Table3[Part number],Table3[Drawing
 Revision]),"")</f>
        <v>AB</v>
      </c>
      <c r="H802" s="118" cm="1">
        <f t="array" ref="H802">IFERROR(INDEX(PDB!$C:$AT,MATCH(E802,PDB!$B:$B,0),MATCH(YEAR(K802),0+PDB!$C$1:$AT$1,0)),"")</f>
        <v>5.56</v>
      </c>
      <c r="I802" s="36">
        <v>200</v>
      </c>
      <c r="J802" s="125">
        <f>IFERROR(Table1[[#This Row],[Quantity]]*Table1[[#This Row],[Price/Unit
EUR]]," ")</f>
        <v>1112</v>
      </c>
      <c r="K802" s="126">
        <v>45544</v>
      </c>
      <c r="L802" s="36">
        <f>WEEKNUM(Table1[[#This Row],[ETA
As requested
dd.mm.yyyy]])</f>
        <v>37</v>
      </c>
      <c r="M802" s="36">
        <f>YEAR(Table1[[#This Row],[ETA
As requested
dd.mm.yyyy]])</f>
        <v>2024</v>
      </c>
      <c r="N802" s="36">
        <f>IFERROR(INDEX(DATABASE_FG!$H$5:$H$367, MATCH(E802, DATABASE_FG!$C$5:$C$367, 0)), " ")</f>
        <v>0</v>
      </c>
      <c r="O802" s="129" t="str">
        <f>IF(E802&lt;&gt;"", _xlfn.XLOOKUP(E802, DATABASE_FG!C:C, DATABASE_FG!F:F), " ")</f>
        <v>Ghidaje</v>
      </c>
      <c r="P802" s="129">
        <f>IFERROR(INDEX(DATABASE_FG!$G$5:$G$367, MATCH(E802, DATABASE_FG!$C$5:$C$367, 0)), "Not Found")</f>
        <v>0</v>
      </c>
      <c r="Q802" s="36"/>
      <c r="R802" s="125" t="s">
        <v>678</v>
      </c>
      <c r="S802" s="123">
        <f>IFERROR(INDEX(DATABASE_FG!$L$5:$L$367, MATCH(E802, DATABASE_FG!$C$5:$C$367, 0)), " ")</f>
        <v>42</v>
      </c>
      <c r="T802" s="36"/>
      <c r="U802" s="36"/>
      <c r="V802" s="36"/>
      <c r="W802" s="129"/>
      <c r="X802" s="36"/>
      <c r="Y802" s="36"/>
      <c r="Z802" s="36"/>
      <c r="AA802" s="125" t="s">
        <v>121</v>
      </c>
      <c r="AB802" s="173">
        <v>45540</v>
      </c>
      <c r="AC802" s="119">
        <v>202401106</v>
      </c>
      <c r="AD802" s="36">
        <f t="shared" si="95"/>
        <v>37521217</v>
      </c>
      <c r="AE802" s="36" t="str">
        <f t="shared" si="96"/>
        <v>F-607694-1038.TK.KWVE20BNL-ISB-WW1</v>
      </c>
      <c r="AF802" s="36">
        <v>44</v>
      </c>
      <c r="AG802" s="120">
        <f t="shared" ref="AG802:AG865" si="98">AF802*H802</f>
        <v>244.64</v>
      </c>
      <c r="AH802" s="36"/>
      <c r="AI802" s="124"/>
      <c r="AJ802" s="122" t="s">
        <v>2316</v>
      </c>
      <c r="AK802" s="129" t="str">
        <f t="shared" ca="1" si="97"/>
        <v>On Time</v>
      </c>
      <c r="AL802" s="268" t="str">
        <f t="shared" si="94"/>
        <v>September</v>
      </c>
      <c r="AM802" s="133">
        <f>YEAR(Table1[[#This Row],[ETA
As requested
dd.mm.yyyy]])</f>
        <v>2024</v>
      </c>
    </row>
    <row r="803" spans="1:39" hidden="1">
      <c r="A803" s="123" t="s">
        <v>83</v>
      </c>
      <c r="B803" s="36" t="s">
        <v>1170</v>
      </c>
      <c r="C803" s="117">
        <v>37521217</v>
      </c>
      <c r="D803" s="165">
        <v>45527</v>
      </c>
      <c r="E803" s="117" t="s">
        <v>97</v>
      </c>
      <c r="F803" s="36" t="str">
        <f>IFERROR(VLOOKUP(Table1[[#This Row],[Part Number]],DATABASE_FG!$C$6:D10792,2,FALSE)," ")</f>
        <v>300921586-8011</v>
      </c>
      <c r="G803" s="117" t="str">
        <f>IFERROR(_xlfn.XLOOKUP(Table1[[#This Row],[Part Number]],Table3[Part number],Table3[Drawing
 Revision]),"")</f>
        <v>AB</v>
      </c>
      <c r="H803" s="118" cm="1">
        <f t="array" ref="H803">IFERROR(INDEX(PDB!$C:$AT,MATCH(E803,PDB!$B:$B,0),MATCH(YEAR(K803),0+PDB!$C$1:$AT$1,0)),"")</f>
        <v>5.56</v>
      </c>
      <c r="I803" s="36">
        <v>0</v>
      </c>
      <c r="J803" s="125">
        <f>IFERROR(Table1[[#This Row],[Quantity]]*Table1[[#This Row],[Price/Unit
EUR]]," ")</f>
        <v>0</v>
      </c>
      <c r="K803" s="126">
        <v>45544</v>
      </c>
      <c r="L803" s="36">
        <f>WEEKNUM(Table1[[#This Row],[ETA
As requested
dd.mm.yyyy]])</f>
        <v>37</v>
      </c>
      <c r="M803" s="36">
        <f>YEAR(Table1[[#This Row],[ETA
As requested
dd.mm.yyyy]])</f>
        <v>2024</v>
      </c>
      <c r="N803" s="36">
        <f>IFERROR(INDEX(DATABASE_FG!$H$5:$H$367, MATCH(E803, DATABASE_FG!$C$5:$C$367, 0)), " ")</f>
        <v>0</v>
      </c>
      <c r="O803" s="129" t="str">
        <f>IF(E803&lt;&gt;"", _xlfn.XLOOKUP(E803, DATABASE_FG!C:C, DATABASE_FG!F:F), " ")</f>
        <v>Ghidaje</v>
      </c>
      <c r="P803" s="129">
        <f>IFERROR(INDEX(DATABASE_FG!$G$5:$G$367, MATCH(E803, DATABASE_FG!$C$5:$C$367, 0)), "Not Found")</f>
        <v>0</v>
      </c>
      <c r="Q803" s="36"/>
      <c r="R803" s="125" t="s">
        <v>678</v>
      </c>
      <c r="S803" s="123">
        <f>IFERROR(INDEX(DATABASE_FG!$L$5:$L$367, MATCH(E803, DATABASE_FG!$C$5:$C$367, 0)), " ")</f>
        <v>42</v>
      </c>
      <c r="T803" s="36"/>
      <c r="U803" s="36"/>
      <c r="V803" s="36"/>
      <c r="W803" s="129"/>
      <c r="X803" s="36"/>
      <c r="Y803" s="36"/>
      <c r="Z803" s="36"/>
      <c r="AA803" s="125" t="s">
        <v>121</v>
      </c>
      <c r="AB803" s="173">
        <v>45545</v>
      </c>
      <c r="AC803" s="119">
        <v>202401121</v>
      </c>
      <c r="AD803" s="36">
        <f t="shared" si="95"/>
        <v>37521217</v>
      </c>
      <c r="AE803" s="36" t="str">
        <f t="shared" si="96"/>
        <v>F-607694-1038.TK.KWVE20BNL-ISB-WW1</v>
      </c>
      <c r="AF803" s="36">
        <v>156</v>
      </c>
      <c r="AG803" s="120">
        <f t="shared" si="98"/>
        <v>867.3599999999999</v>
      </c>
      <c r="AH803" s="36"/>
      <c r="AI803" s="124"/>
      <c r="AJ803" s="122" t="s">
        <v>2366</v>
      </c>
      <c r="AK803" s="129" t="str">
        <f t="shared" ca="1" si="97"/>
        <v>On Time</v>
      </c>
      <c r="AL803" s="268" t="str">
        <f t="shared" si="94"/>
        <v>September</v>
      </c>
      <c r="AM803" s="133">
        <f>YEAR(Table1[[#This Row],[ETA
As requested
dd.mm.yyyy]])</f>
        <v>2024</v>
      </c>
    </row>
    <row r="804" spans="1:39" hidden="1">
      <c r="A804" s="123" t="s">
        <v>83</v>
      </c>
      <c r="B804" s="36" t="s">
        <v>1170</v>
      </c>
      <c r="C804" s="117">
        <v>37521217</v>
      </c>
      <c r="D804" s="165">
        <v>45527</v>
      </c>
      <c r="E804" s="117" t="s">
        <v>97</v>
      </c>
      <c r="F804" s="36" t="str">
        <f>IFERROR(VLOOKUP(Table1[[#This Row],[Part Number]],DATABASE_FG!$C$6:D10793,2,FALSE)," ")</f>
        <v>300921586-8011</v>
      </c>
      <c r="G804" s="117" t="str">
        <f>IFERROR(_xlfn.XLOOKUP(Table1[[#This Row],[Part Number]],Table3[Part number],Table3[Drawing
 Revision]),"")</f>
        <v>AB</v>
      </c>
      <c r="H804" s="118" cm="1">
        <f t="array" ref="H804">IFERROR(INDEX(PDB!$C:$AT,MATCH(E804,PDB!$B:$B,0),MATCH(YEAR(K804),0+PDB!$C$1:$AT$1,0)),"")</f>
        <v>5.56</v>
      </c>
      <c r="I804" s="36">
        <v>200</v>
      </c>
      <c r="J804" s="125">
        <f>IFERROR(Table1[[#This Row],[Quantity]]*Table1[[#This Row],[Price/Unit
EUR]]," ")</f>
        <v>1112</v>
      </c>
      <c r="K804" s="126">
        <v>45551</v>
      </c>
      <c r="L804" s="36">
        <f>WEEKNUM(Table1[[#This Row],[ETA
As requested
dd.mm.yyyy]])</f>
        <v>38</v>
      </c>
      <c r="M804" s="36">
        <f>YEAR(Table1[[#This Row],[ETA
As requested
dd.mm.yyyy]])</f>
        <v>2024</v>
      </c>
      <c r="N804" s="36">
        <f>IFERROR(INDEX(DATABASE_FG!$H$5:$H$367, MATCH(E804, DATABASE_FG!$C$5:$C$367, 0)), " ")</f>
        <v>0</v>
      </c>
      <c r="O804" s="129" t="str">
        <f>IF(E804&lt;&gt;"", _xlfn.XLOOKUP(E804, DATABASE_FG!C:C, DATABASE_FG!F:F), " ")</f>
        <v>Ghidaje</v>
      </c>
      <c r="P804" s="129">
        <f>IFERROR(INDEX(DATABASE_FG!$G$5:$G$367, MATCH(E804, DATABASE_FG!$C$5:$C$367, 0)), "Not Found")</f>
        <v>0</v>
      </c>
      <c r="Q804" s="36"/>
      <c r="R804" s="125" t="s">
        <v>678</v>
      </c>
      <c r="S804" s="123">
        <f>IFERROR(INDEX(DATABASE_FG!$L$5:$L$367, MATCH(E804, DATABASE_FG!$C$5:$C$367, 0)), " ")</f>
        <v>42</v>
      </c>
      <c r="T804" s="36"/>
      <c r="U804" s="36"/>
      <c r="V804" s="36"/>
      <c r="W804" s="129"/>
      <c r="X804" s="36"/>
      <c r="Y804" s="36"/>
      <c r="Z804" s="36"/>
      <c r="AA804" s="125" t="s">
        <v>121</v>
      </c>
      <c r="AB804" s="173">
        <v>45545</v>
      </c>
      <c r="AC804" s="119">
        <v>202401121</v>
      </c>
      <c r="AD804" s="36">
        <f t="shared" si="95"/>
        <v>37521217</v>
      </c>
      <c r="AE804" s="36" t="str">
        <f t="shared" si="96"/>
        <v>F-607694-1038.TK.KWVE20BNL-ISB-WW1</v>
      </c>
      <c r="AF804" s="36">
        <v>44</v>
      </c>
      <c r="AG804" s="120">
        <f t="shared" si="98"/>
        <v>244.64</v>
      </c>
      <c r="AH804" s="36"/>
      <c r="AI804" s="124"/>
      <c r="AJ804" s="122" t="s">
        <v>2366</v>
      </c>
      <c r="AK804" s="129" t="str">
        <f t="shared" ca="1" si="97"/>
        <v>On Time</v>
      </c>
      <c r="AL804" s="268" t="str">
        <f t="shared" si="94"/>
        <v>September</v>
      </c>
      <c r="AM804" s="133">
        <f>YEAR(Table1[[#This Row],[ETA
As requested
dd.mm.yyyy]])</f>
        <v>2024</v>
      </c>
    </row>
    <row r="805" spans="1:39" hidden="1">
      <c r="A805" s="123" t="s">
        <v>83</v>
      </c>
      <c r="B805" s="36" t="s">
        <v>1170</v>
      </c>
      <c r="C805" s="117">
        <v>37521217</v>
      </c>
      <c r="D805" s="165">
        <v>45527</v>
      </c>
      <c r="E805" s="117" t="s">
        <v>97</v>
      </c>
      <c r="F805" s="36" t="str">
        <f>IFERROR(VLOOKUP(Table1[[#This Row],[Part Number]],DATABASE_FG!$C$6:D10794,2,FALSE)," ")</f>
        <v>300921586-8011</v>
      </c>
      <c r="G805" s="117" t="str">
        <f>IFERROR(_xlfn.XLOOKUP(Table1[[#This Row],[Part Number]],Table3[Part number],Table3[Drawing
 Revision]),"")</f>
        <v>AB</v>
      </c>
      <c r="H805" s="118" cm="1">
        <f t="array" ref="H805">IFERROR(INDEX(PDB!$C:$AT,MATCH(E805,PDB!$B:$B,0),MATCH(YEAR(K805),0+PDB!$C$1:$AT$1,0)),"")</f>
        <v>5.56</v>
      </c>
      <c r="I805" s="36">
        <v>0</v>
      </c>
      <c r="J805" s="125">
        <f>IFERROR(Table1[[#This Row],[Quantity]]*Table1[[#This Row],[Price/Unit
EUR]]," ")</f>
        <v>0</v>
      </c>
      <c r="K805" s="126">
        <v>45551</v>
      </c>
      <c r="L805" s="36">
        <f>WEEKNUM(Table1[[#This Row],[ETA
As requested
dd.mm.yyyy]])</f>
        <v>38</v>
      </c>
      <c r="M805" s="36">
        <f>YEAR(Table1[[#This Row],[ETA
As requested
dd.mm.yyyy]])</f>
        <v>2024</v>
      </c>
      <c r="N805" s="36">
        <f>IFERROR(INDEX(DATABASE_FG!$H$5:$H$367, MATCH(E805, DATABASE_FG!$C$5:$C$367, 0)), " ")</f>
        <v>0</v>
      </c>
      <c r="O805" s="129" t="str">
        <f>IF(E805&lt;&gt;"", _xlfn.XLOOKUP(E805, DATABASE_FG!C:C, DATABASE_FG!F:F), " ")</f>
        <v>Ghidaje</v>
      </c>
      <c r="P805" s="129">
        <f>IFERROR(INDEX(DATABASE_FG!$G$5:$G$367, MATCH(E805, DATABASE_FG!$C$5:$C$367, 0)), "Not Found")</f>
        <v>0</v>
      </c>
      <c r="Q805" s="36"/>
      <c r="R805" s="125" t="s">
        <v>678</v>
      </c>
      <c r="S805" s="123">
        <f>IFERROR(INDEX(DATABASE_FG!$L$5:$L$367, MATCH(E805, DATABASE_FG!$C$5:$C$367, 0)), " ")</f>
        <v>42</v>
      </c>
      <c r="T805" s="36"/>
      <c r="U805" s="36"/>
      <c r="V805" s="36"/>
      <c r="W805" s="129"/>
      <c r="X805" s="36"/>
      <c r="Y805" s="36"/>
      <c r="Z805" s="36"/>
      <c r="AA805" s="125" t="s">
        <v>121</v>
      </c>
      <c r="AB805" s="173">
        <v>45552</v>
      </c>
      <c r="AC805" s="119">
        <v>202401143</v>
      </c>
      <c r="AD805" s="36">
        <f t="shared" si="95"/>
        <v>37521217</v>
      </c>
      <c r="AE805" s="36" t="str">
        <f t="shared" si="96"/>
        <v>F-607694-1038.TK.KWVE20BNL-ISB-WW1</v>
      </c>
      <c r="AF805" s="36">
        <v>156</v>
      </c>
      <c r="AG805" s="120">
        <f t="shared" si="98"/>
        <v>867.3599999999999</v>
      </c>
      <c r="AH805" s="36"/>
      <c r="AI805" s="124"/>
      <c r="AJ805" s="122" t="s">
        <v>2380</v>
      </c>
      <c r="AK805" s="129" t="str">
        <f t="shared" ca="1" si="97"/>
        <v>On Time</v>
      </c>
      <c r="AL805" s="268" t="str">
        <f t="shared" si="94"/>
        <v>September</v>
      </c>
      <c r="AM805" s="133">
        <f>YEAR(Table1[[#This Row],[ETA
As requested
dd.mm.yyyy]])</f>
        <v>2024</v>
      </c>
    </row>
    <row r="806" spans="1:39" hidden="1">
      <c r="A806" s="123" t="s">
        <v>83</v>
      </c>
      <c r="B806" s="36" t="s">
        <v>1170</v>
      </c>
      <c r="C806" s="117">
        <v>37521217</v>
      </c>
      <c r="D806" s="165">
        <v>45527</v>
      </c>
      <c r="E806" s="117" t="s">
        <v>97</v>
      </c>
      <c r="F806" s="36" t="str">
        <f>IFERROR(VLOOKUP(Table1[[#This Row],[Part Number]],DATABASE_FG!$C$6:D10795,2,FALSE)," ")</f>
        <v>300921586-8011</v>
      </c>
      <c r="G806" s="117" t="str">
        <f>IFERROR(_xlfn.XLOOKUP(Table1[[#This Row],[Part Number]],Table3[Part number],Table3[Drawing
 Revision]),"")</f>
        <v>AB</v>
      </c>
      <c r="H806" s="118" cm="1">
        <f t="array" ref="H806">IFERROR(INDEX(PDB!$C:$AT,MATCH(E806,PDB!$B:$B,0),MATCH(YEAR(K806),0+PDB!$C$1:$AT$1,0)),"")</f>
        <v>5.56</v>
      </c>
      <c r="I806" s="36">
        <v>200</v>
      </c>
      <c r="J806" s="125">
        <f>IFERROR(Table1[[#This Row],[Quantity]]*Table1[[#This Row],[Price/Unit
EUR]]," ")</f>
        <v>1112</v>
      </c>
      <c r="K806" s="126">
        <v>45554</v>
      </c>
      <c r="L806" s="36">
        <f>WEEKNUM(Table1[[#This Row],[ETA
As requested
dd.mm.yyyy]])</f>
        <v>38</v>
      </c>
      <c r="M806" s="36">
        <f>YEAR(Table1[[#This Row],[ETA
As requested
dd.mm.yyyy]])</f>
        <v>2024</v>
      </c>
      <c r="N806" s="36">
        <f>IFERROR(INDEX(DATABASE_FG!$H$5:$H$367, MATCH(E806, DATABASE_FG!$C$5:$C$367, 0)), " ")</f>
        <v>0</v>
      </c>
      <c r="O806" s="129" t="str">
        <f>IF(E806&lt;&gt;"", _xlfn.XLOOKUP(E806, DATABASE_FG!C:C, DATABASE_FG!F:F), " ")</f>
        <v>Ghidaje</v>
      </c>
      <c r="P806" s="129">
        <f>IFERROR(INDEX(DATABASE_FG!$G$5:$G$367, MATCH(E806, DATABASE_FG!$C$5:$C$367, 0)), "Not Found")</f>
        <v>0</v>
      </c>
      <c r="Q806" s="36"/>
      <c r="R806" s="125" t="s">
        <v>678</v>
      </c>
      <c r="S806" s="123">
        <f>IFERROR(INDEX(DATABASE_FG!$L$5:$L$367, MATCH(E806, DATABASE_FG!$C$5:$C$367, 0)), " ")</f>
        <v>42</v>
      </c>
      <c r="T806" s="36"/>
      <c r="U806" s="36"/>
      <c r="V806" s="36"/>
      <c r="W806" s="129"/>
      <c r="X806" s="36">
        <v>45512</v>
      </c>
      <c r="Y806" s="36"/>
      <c r="Z806" s="36"/>
      <c r="AA806" s="125" t="s">
        <v>121</v>
      </c>
      <c r="AB806" s="173">
        <v>45552</v>
      </c>
      <c r="AC806" s="119">
        <v>202401143</v>
      </c>
      <c r="AD806" s="36">
        <f t="shared" si="95"/>
        <v>37521217</v>
      </c>
      <c r="AE806" s="36" t="str">
        <f t="shared" si="96"/>
        <v>F-607694-1038.TK.KWVE20BNL-ISB-WW1</v>
      </c>
      <c r="AF806" s="36">
        <v>200</v>
      </c>
      <c r="AG806" s="120">
        <f t="shared" si="98"/>
        <v>1112</v>
      </c>
      <c r="AH806" s="36"/>
      <c r="AI806" s="124"/>
      <c r="AJ806" s="122" t="s">
        <v>2380</v>
      </c>
      <c r="AK806" s="129" t="str">
        <f t="shared" ca="1" si="97"/>
        <v>On Time</v>
      </c>
      <c r="AL806" s="268" t="str">
        <f t="shared" ref="AL806:AL869" si="99">TEXT(K806,"mmmm")</f>
        <v>September</v>
      </c>
      <c r="AM806" s="133">
        <f>YEAR(Table1[[#This Row],[ETA
As requested
dd.mm.yyyy]])</f>
        <v>2024</v>
      </c>
    </row>
    <row r="807" spans="1:39" hidden="1">
      <c r="A807" s="123" t="s">
        <v>83</v>
      </c>
      <c r="B807" s="36" t="s">
        <v>1170</v>
      </c>
      <c r="C807" s="117">
        <v>37672816</v>
      </c>
      <c r="D807" s="165">
        <v>45553</v>
      </c>
      <c r="E807" s="117" t="s">
        <v>97</v>
      </c>
      <c r="F807" s="36" t="str">
        <f>IFERROR(VLOOKUP(Table1[[#This Row],[Part Number]],DATABASE_FG!$C$6:D10796,2,FALSE)," ")</f>
        <v>300921586-8011</v>
      </c>
      <c r="G807" s="117" t="str">
        <f>IFERROR(_xlfn.XLOOKUP(Table1[[#This Row],[Part Number]],Table3[Part number],Table3[Drawing
 Revision]),"")</f>
        <v>AB</v>
      </c>
      <c r="H807" s="118" cm="1">
        <f t="array" ref="H807">IFERROR(INDEX(PDB!$C:$AT,MATCH(E807,PDB!$B:$B,0),MATCH(YEAR(K807),0+PDB!$C$1:$AT$1,0)),"")</f>
        <v>5.56</v>
      </c>
      <c r="I807" s="36">
        <v>200</v>
      </c>
      <c r="J807" s="125">
        <f>IFERROR(Table1[[#This Row],[Quantity]]*Table1[[#This Row],[Price/Unit
EUR]]," ")</f>
        <v>1112</v>
      </c>
      <c r="K807" s="126">
        <v>45566</v>
      </c>
      <c r="L807" s="36">
        <f>WEEKNUM(Table1[[#This Row],[ETA
As requested
dd.mm.yyyy]])</f>
        <v>40</v>
      </c>
      <c r="M807" s="36">
        <f>YEAR(Table1[[#This Row],[ETA
As requested
dd.mm.yyyy]])</f>
        <v>2024</v>
      </c>
      <c r="N807" s="36">
        <f>IFERROR(INDEX(DATABASE_FG!$H$5:$H$367, MATCH(E807, DATABASE_FG!$C$5:$C$367, 0)), " ")</f>
        <v>0</v>
      </c>
      <c r="O807" s="129" t="str">
        <f>IF(E807&lt;&gt;"", _xlfn.XLOOKUP(E807, DATABASE_FG!C:C, DATABASE_FG!F:F), " ")</f>
        <v>Ghidaje</v>
      </c>
      <c r="P807" s="129">
        <f>IFERROR(INDEX(DATABASE_FG!$G$5:$G$367, MATCH(E807, DATABASE_FG!$C$5:$C$367, 0)), "Not Found")</f>
        <v>0</v>
      </c>
      <c r="Q807" s="36"/>
      <c r="R807" s="125" t="s">
        <v>678</v>
      </c>
      <c r="S807" s="123">
        <f>IFERROR(INDEX(DATABASE_FG!$L$5:$L$367, MATCH(E807, DATABASE_FG!$C$5:$C$367, 0)), " ")</f>
        <v>42</v>
      </c>
      <c r="T807" s="36"/>
      <c r="U807" s="36"/>
      <c r="V807" s="36"/>
      <c r="W807" s="129"/>
      <c r="X807" s="36"/>
      <c r="Y807" s="36"/>
      <c r="Z807" s="36"/>
      <c r="AA807" s="125" t="s">
        <v>121</v>
      </c>
      <c r="AB807" s="173">
        <v>45566</v>
      </c>
      <c r="AC807" s="119">
        <v>202401184</v>
      </c>
      <c r="AD807" s="36">
        <f t="shared" si="95"/>
        <v>37672816</v>
      </c>
      <c r="AE807" s="36" t="str">
        <f t="shared" si="96"/>
        <v>F-607694-1038.TK.KWVE20BNL-ISB-WW1</v>
      </c>
      <c r="AF807" s="36">
        <v>200</v>
      </c>
      <c r="AG807" s="120">
        <f t="shared" si="98"/>
        <v>1112</v>
      </c>
      <c r="AH807" s="36"/>
      <c r="AI807" s="124"/>
      <c r="AJ807" s="122" t="s">
        <v>2410</v>
      </c>
      <c r="AK807" s="129" t="str">
        <f t="shared" ca="1" si="97"/>
        <v>On Time</v>
      </c>
      <c r="AL807" s="268" t="str">
        <f t="shared" si="99"/>
        <v>October</v>
      </c>
      <c r="AM807" s="133">
        <f>YEAR(Table1[[#This Row],[ETA
As requested
dd.mm.yyyy]])</f>
        <v>2024</v>
      </c>
    </row>
    <row r="808" spans="1:39" hidden="1">
      <c r="A808" s="123" t="s">
        <v>83</v>
      </c>
      <c r="B808" s="36" t="s">
        <v>1170</v>
      </c>
      <c r="C808" s="117">
        <v>37672817</v>
      </c>
      <c r="D808" s="165">
        <v>45553</v>
      </c>
      <c r="E808" s="117" t="s">
        <v>97</v>
      </c>
      <c r="F808" s="36" t="str">
        <f>IFERROR(VLOOKUP(Table1[[#This Row],[Part Number]],DATABASE_FG!$C$6:D10797,2,FALSE)," ")</f>
        <v>300921586-8011</v>
      </c>
      <c r="G808" s="117" t="str">
        <f>IFERROR(_xlfn.XLOOKUP(Table1[[#This Row],[Part Number]],Table3[Part number],Table3[Drawing
 Revision]),"")</f>
        <v>AB</v>
      </c>
      <c r="H808" s="118" cm="1">
        <f t="array" ref="H808">IFERROR(INDEX(PDB!$C:$AT,MATCH(E808,PDB!$B:$B,0),MATCH(YEAR(K808),0+PDB!$C$1:$AT$1,0)),"")</f>
        <v>5.56</v>
      </c>
      <c r="I808" s="36">
        <v>200</v>
      </c>
      <c r="J808" s="125">
        <f>IFERROR(Table1[[#This Row],[Quantity]]*Table1[[#This Row],[Price/Unit
EUR]]," ")</f>
        <v>1112</v>
      </c>
      <c r="K808" s="126">
        <v>45573</v>
      </c>
      <c r="L808" s="36">
        <f>WEEKNUM(Table1[[#This Row],[ETA
As requested
dd.mm.yyyy]])</f>
        <v>41</v>
      </c>
      <c r="M808" s="36">
        <f>YEAR(Table1[[#This Row],[ETA
As requested
dd.mm.yyyy]])</f>
        <v>2024</v>
      </c>
      <c r="N808" s="36">
        <f>IFERROR(INDEX(DATABASE_FG!$H$5:$H$367, MATCH(E808, DATABASE_FG!$C$5:$C$367, 0)), " ")</f>
        <v>0</v>
      </c>
      <c r="O808" s="129" t="str">
        <f>IF(E808&lt;&gt;"", _xlfn.XLOOKUP(E808, DATABASE_FG!C:C, DATABASE_FG!F:F), " ")</f>
        <v>Ghidaje</v>
      </c>
      <c r="P808" s="129">
        <f>IFERROR(INDEX(DATABASE_FG!$G$5:$G$367, MATCH(E808, DATABASE_FG!$C$5:$C$367, 0)), "Not Found")</f>
        <v>0</v>
      </c>
      <c r="Q808" s="36"/>
      <c r="R808" s="125" t="s">
        <v>678</v>
      </c>
      <c r="S808" s="123">
        <f>IFERROR(INDEX(DATABASE_FG!$L$5:$L$367, MATCH(E808, DATABASE_FG!$C$5:$C$367, 0)), " ")</f>
        <v>42</v>
      </c>
      <c r="T808" s="36"/>
      <c r="U808" s="36"/>
      <c r="V808" s="36"/>
      <c r="W808" s="129"/>
      <c r="X808" s="36"/>
      <c r="Y808" s="36"/>
      <c r="Z808" s="36"/>
      <c r="AA808" s="125" t="s">
        <v>121</v>
      </c>
      <c r="AB808" s="173">
        <v>45566</v>
      </c>
      <c r="AC808" s="119">
        <v>202401185</v>
      </c>
      <c r="AD808" s="36">
        <f t="shared" si="95"/>
        <v>37672817</v>
      </c>
      <c r="AE808" s="36" t="str">
        <f t="shared" si="96"/>
        <v>F-607694-1038.TK.KWVE20BNL-ISB-WW1</v>
      </c>
      <c r="AF808" s="36">
        <v>162</v>
      </c>
      <c r="AG808" s="120">
        <f t="shared" si="98"/>
        <v>900.71999999999991</v>
      </c>
      <c r="AH808" s="36"/>
      <c r="AI808" s="124"/>
      <c r="AJ808" s="122" t="s">
        <v>2441</v>
      </c>
      <c r="AK808" s="129" t="str">
        <f t="shared" ca="1" si="97"/>
        <v>On Time</v>
      </c>
      <c r="AL808" s="268" t="str">
        <f t="shared" si="99"/>
        <v>October</v>
      </c>
      <c r="AM808" s="133">
        <f>YEAR(Table1[[#This Row],[ETA
As requested
dd.mm.yyyy]])</f>
        <v>2024</v>
      </c>
    </row>
    <row r="809" spans="1:39" hidden="1">
      <c r="A809" s="123" t="s">
        <v>83</v>
      </c>
      <c r="B809" s="36" t="s">
        <v>1170</v>
      </c>
      <c r="C809" s="117">
        <v>37672817</v>
      </c>
      <c r="D809" s="165">
        <v>45553</v>
      </c>
      <c r="E809" s="117" t="s">
        <v>97</v>
      </c>
      <c r="F809" s="36" t="str">
        <f>IFERROR(VLOOKUP(Table1[[#This Row],[Part Number]],DATABASE_FG!$C$6:D10798,2,FALSE)," ")</f>
        <v>300921586-8011</v>
      </c>
      <c r="G809" s="117" t="str">
        <f>IFERROR(_xlfn.XLOOKUP(Table1[[#This Row],[Part Number]],Table3[Part number],Table3[Drawing
 Revision]),"")</f>
        <v>AB</v>
      </c>
      <c r="H809" s="118" cm="1">
        <f t="array" ref="H809">IFERROR(INDEX(PDB!$C:$AT,MATCH(E809,PDB!$B:$B,0),MATCH(YEAR(K809),0+PDB!$C$1:$AT$1,0)),"")</f>
        <v>5.56</v>
      </c>
      <c r="I809" s="36">
        <v>0</v>
      </c>
      <c r="J809" s="125">
        <f>IFERROR(Table1[[#This Row],[Quantity]]*Table1[[#This Row],[Price/Unit
EUR]]," ")</f>
        <v>0</v>
      </c>
      <c r="K809" s="126">
        <v>45573</v>
      </c>
      <c r="L809" s="36">
        <f>WEEKNUM(Table1[[#This Row],[ETA
As requested
dd.mm.yyyy]])</f>
        <v>41</v>
      </c>
      <c r="M809" s="36">
        <f>YEAR(Table1[[#This Row],[ETA
As requested
dd.mm.yyyy]])</f>
        <v>2024</v>
      </c>
      <c r="N809" s="36">
        <f>IFERROR(INDEX(DATABASE_FG!$H$5:$H$367, MATCH(E809, DATABASE_FG!$C$5:$C$367, 0)), " ")</f>
        <v>0</v>
      </c>
      <c r="O809" s="129" t="str">
        <f>IF(E809&lt;&gt;"", _xlfn.XLOOKUP(E809, DATABASE_FG!C:C, DATABASE_FG!F:F), " ")</f>
        <v>Ghidaje</v>
      </c>
      <c r="P809" s="129">
        <f>IFERROR(INDEX(DATABASE_FG!$G$5:$G$367, MATCH(E809, DATABASE_FG!$C$5:$C$367, 0)), "Not Found")</f>
        <v>0</v>
      </c>
      <c r="Q809" s="36"/>
      <c r="R809" s="125" t="s">
        <v>678</v>
      </c>
      <c r="S809" s="123">
        <f>Table1[[#This Row],[Quantity]]/48</f>
        <v>0</v>
      </c>
      <c r="T809" s="36"/>
      <c r="U809" s="36"/>
      <c r="V809" s="36"/>
      <c r="W809" s="129"/>
      <c r="X809" s="36"/>
      <c r="Y809" s="36"/>
      <c r="Z809" s="36"/>
      <c r="AA809" s="125" t="s">
        <v>121</v>
      </c>
      <c r="AB809" s="173">
        <v>45581</v>
      </c>
      <c r="AC809" s="119">
        <v>202401246</v>
      </c>
      <c r="AD809" s="36">
        <f t="shared" si="95"/>
        <v>37672817</v>
      </c>
      <c r="AE809" s="36" t="str">
        <f t="shared" si="96"/>
        <v>F-607694-1038.TK.KWVE20BNL-ISB-WW1</v>
      </c>
      <c r="AF809" s="36">
        <v>38</v>
      </c>
      <c r="AG809" s="120">
        <f t="shared" si="98"/>
        <v>211.27999999999997</v>
      </c>
      <c r="AH809" s="36"/>
      <c r="AI809" s="124"/>
      <c r="AJ809" s="122" t="s">
        <v>2453</v>
      </c>
      <c r="AK809" s="129" t="str">
        <f t="shared" ca="1" si="97"/>
        <v>Late</v>
      </c>
      <c r="AL809" s="268" t="str">
        <f t="shared" si="99"/>
        <v>October</v>
      </c>
      <c r="AM809" s="133">
        <f>YEAR(Table1[[#This Row],[ETA
As requested
dd.mm.yyyy]])</f>
        <v>2024</v>
      </c>
    </row>
    <row r="810" spans="1:39" hidden="1">
      <c r="A810" s="123" t="s">
        <v>83</v>
      </c>
      <c r="B810" s="36" t="s">
        <v>1170</v>
      </c>
      <c r="C810" s="117">
        <v>37672818</v>
      </c>
      <c r="D810" s="165">
        <v>45553</v>
      </c>
      <c r="E810" s="117" t="s">
        <v>97</v>
      </c>
      <c r="F810" s="36" t="str">
        <f>IFERROR(VLOOKUP(Table1[[#This Row],[Part Number]],DATABASE_FG!$C$6:D10799,2,FALSE)," ")</f>
        <v>300921586-8011</v>
      </c>
      <c r="G810" s="117" t="str">
        <f>IFERROR(_xlfn.XLOOKUP(Table1[[#This Row],[Part Number]],Table3[Part number],Table3[Drawing
 Revision]),"")</f>
        <v>AB</v>
      </c>
      <c r="H810" s="118" cm="1">
        <f t="array" ref="H810">IFERROR(INDEX(PDB!$C:$AT,MATCH(E810,PDB!$B:$B,0),MATCH(YEAR(K810),0+PDB!$C$1:$AT$1,0)),"")</f>
        <v>5.56</v>
      </c>
      <c r="I810" s="36">
        <v>170</v>
      </c>
      <c r="J810" s="125">
        <f>IFERROR(Table1[[#This Row],[Quantity]]*Table1[[#This Row],[Price/Unit
EUR]]," ")</f>
        <v>945.19999999999993</v>
      </c>
      <c r="K810" s="126">
        <v>45580</v>
      </c>
      <c r="L810" s="36">
        <f>WEEKNUM(Table1[[#This Row],[ETA
As requested
dd.mm.yyyy]])</f>
        <v>42</v>
      </c>
      <c r="M810" s="36">
        <f>YEAR(Table1[[#This Row],[ETA
As requested
dd.mm.yyyy]])</f>
        <v>2024</v>
      </c>
      <c r="N810" s="36">
        <f>IFERROR(INDEX(DATABASE_FG!$H$5:$H$367, MATCH(E810, DATABASE_FG!$C$5:$C$367, 0)), " ")</f>
        <v>0</v>
      </c>
      <c r="O810" s="129" t="str">
        <f>IF(E810&lt;&gt;"", _xlfn.XLOOKUP(E810, DATABASE_FG!C:C, DATABASE_FG!F:F), " ")</f>
        <v>Ghidaje</v>
      </c>
      <c r="P810" s="129">
        <f>IFERROR(INDEX(DATABASE_FG!$G$5:$G$367, MATCH(E810, DATABASE_FG!$C$5:$C$367, 0)), "Not Found")</f>
        <v>0</v>
      </c>
      <c r="Q810" s="36"/>
      <c r="R810" s="125" t="s">
        <v>678</v>
      </c>
      <c r="S810" s="123">
        <f>IFERROR(INDEX(DATABASE_FG!$L$5:$L$367, MATCH(E810, DATABASE_FG!$C$5:$C$367, 0)), " ")</f>
        <v>42</v>
      </c>
      <c r="T810" s="36"/>
      <c r="U810" s="36"/>
      <c r="V810" s="36"/>
      <c r="W810" s="129"/>
      <c r="X810" s="36"/>
      <c r="Y810" s="36"/>
      <c r="Z810" s="36"/>
      <c r="AA810" s="125" t="s">
        <v>121</v>
      </c>
      <c r="AB810" s="173">
        <v>45581</v>
      </c>
      <c r="AC810" s="119">
        <v>202401247</v>
      </c>
      <c r="AD810" s="36">
        <f t="shared" si="95"/>
        <v>37672818</v>
      </c>
      <c r="AE810" s="36" t="str">
        <f t="shared" si="96"/>
        <v>F-607694-1038.TK.KWVE20BNL-ISB-WW1</v>
      </c>
      <c r="AF810" s="36">
        <v>170</v>
      </c>
      <c r="AG810" s="120">
        <f t="shared" si="98"/>
        <v>945.19999999999993</v>
      </c>
      <c r="AH810" s="36"/>
      <c r="AI810" s="124"/>
      <c r="AJ810" s="122" t="s">
        <v>2470</v>
      </c>
      <c r="AK810" s="129" t="str">
        <f t="shared" ca="1" si="97"/>
        <v>On Time</v>
      </c>
      <c r="AL810" s="268" t="str">
        <f t="shared" si="99"/>
        <v>October</v>
      </c>
      <c r="AM810" s="133">
        <f>YEAR(Table1[[#This Row],[ETA
As requested
dd.mm.yyyy]])</f>
        <v>2024</v>
      </c>
    </row>
    <row r="811" spans="1:39" hidden="1">
      <c r="A811" s="123" t="s">
        <v>83</v>
      </c>
      <c r="B811" s="36" t="s">
        <v>1170</v>
      </c>
      <c r="C811" s="117">
        <v>37672818</v>
      </c>
      <c r="D811" s="165">
        <v>45553</v>
      </c>
      <c r="E811" s="117" t="s">
        <v>97</v>
      </c>
      <c r="F811" s="36" t="str">
        <f>IFERROR(VLOOKUP(Table1[[#This Row],[Part Number]],DATABASE_FG!$C$6:D10800,2,FALSE)," ")</f>
        <v>300921586-8011</v>
      </c>
      <c r="G811" s="117" t="str">
        <f>IFERROR(_xlfn.XLOOKUP(Table1[[#This Row],[Part Number]],Table3[Part number],Table3[Drawing
 Revision]),"")</f>
        <v>AB</v>
      </c>
      <c r="H811" s="118" cm="1">
        <f t="array" ref="H811">IFERROR(INDEX(PDB!$C:$AT,MATCH(E811,PDB!$B:$B,0),MATCH(YEAR(K811),0+PDB!$C$1:$AT$1,0)),"")</f>
        <v>5.56</v>
      </c>
      <c r="I811" s="36">
        <v>30</v>
      </c>
      <c r="J811" s="125">
        <f>IFERROR(Table1[[#This Row],[Quantity]]*Table1[[#This Row],[Price/Unit
EUR]]," ")</f>
        <v>166.79999999999998</v>
      </c>
      <c r="K811" s="126">
        <v>45580</v>
      </c>
      <c r="L811" s="36">
        <f>WEEKNUM(Table1[[#This Row],[ETA
As requested
dd.mm.yyyy]])</f>
        <v>42</v>
      </c>
      <c r="M811" s="36">
        <f>YEAR(Table1[[#This Row],[ETA
As requested
dd.mm.yyyy]])</f>
        <v>2024</v>
      </c>
      <c r="N811" s="36">
        <f>IFERROR(INDEX(DATABASE_FG!$H$5:$H$367, MATCH(E811, DATABASE_FG!$C$5:$C$367, 0)), " ")</f>
        <v>0</v>
      </c>
      <c r="O811" s="129" t="str">
        <f>IF(E811&lt;&gt;"", _xlfn.XLOOKUP(E811, DATABASE_FG!C:C, DATABASE_FG!F:F), " ")</f>
        <v>Ghidaje</v>
      </c>
      <c r="P811" s="129">
        <f>IFERROR(INDEX(DATABASE_FG!$G$5:$G$367, MATCH(E811, DATABASE_FG!$C$5:$C$367, 0)), "Not Found")</f>
        <v>0</v>
      </c>
      <c r="Q811" s="36">
        <v>60</v>
      </c>
      <c r="R811" s="125" t="s">
        <v>678</v>
      </c>
      <c r="S811" s="123">
        <f>IFERROR(INDEX(DATABASE_FG!$L$5:$L$367, MATCH(E811, DATABASE_FG!$C$5:$C$367, 0)), " ")</f>
        <v>42</v>
      </c>
      <c r="T811" s="36" t="s">
        <v>677</v>
      </c>
      <c r="U811" s="36"/>
      <c r="V811" s="36"/>
      <c r="W811" s="129"/>
      <c r="X811" s="36"/>
      <c r="Y811" s="36"/>
      <c r="Z811" s="36"/>
      <c r="AA811" s="125" t="s">
        <v>121</v>
      </c>
      <c r="AB811" s="173">
        <v>45583</v>
      </c>
      <c r="AC811" s="119">
        <v>202401259</v>
      </c>
      <c r="AD811" s="36">
        <f t="shared" si="95"/>
        <v>37672818</v>
      </c>
      <c r="AE811" s="36" t="str">
        <f t="shared" si="96"/>
        <v>F-607694-1038.TK.KWVE20BNL-ISB-WW1</v>
      </c>
      <c r="AF811" s="36">
        <v>30</v>
      </c>
      <c r="AG811" s="120">
        <f t="shared" si="98"/>
        <v>166.79999999999998</v>
      </c>
      <c r="AH811" s="36"/>
      <c r="AI811" s="124"/>
      <c r="AJ811" s="122" t="s">
        <v>2473</v>
      </c>
      <c r="AK811" s="129" t="str">
        <f t="shared" ca="1" si="97"/>
        <v>Late</v>
      </c>
      <c r="AL811" s="268" t="str">
        <f t="shared" si="99"/>
        <v>October</v>
      </c>
      <c r="AM811" s="133">
        <f>YEAR(Table1[[#This Row],[ETA
As requested
dd.mm.yyyy]])</f>
        <v>2024</v>
      </c>
    </row>
    <row r="812" spans="1:39" hidden="1">
      <c r="A812" s="123" t="s">
        <v>83</v>
      </c>
      <c r="B812" s="36" t="s">
        <v>1170</v>
      </c>
      <c r="C812" s="117">
        <v>37672820</v>
      </c>
      <c r="D812" s="165">
        <v>45553</v>
      </c>
      <c r="E812" s="117" t="s">
        <v>97</v>
      </c>
      <c r="F812" s="36" t="str">
        <f>IFERROR(VLOOKUP(Table1[[#This Row],[Part Number]],DATABASE_FG!$C$6:D10801,2,FALSE)," ")</f>
        <v>300921586-8011</v>
      </c>
      <c r="G812" s="117" t="str">
        <f>IFERROR(_xlfn.XLOOKUP(Table1[[#This Row],[Part Number]],Table3[Part number],Table3[Drawing
 Revision]),"")</f>
        <v>AB</v>
      </c>
      <c r="H812" s="118" cm="1">
        <f t="array" ref="H812">IFERROR(INDEX(PDB!$C:$AT,MATCH(E812,PDB!$B:$B,0),MATCH(YEAR(K812),0+PDB!$C$1:$AT$1,0)),"")</f>
        <v>5.56</v>
      </c>
      <c r="I812" s="36">
        <v>210</v>
      </c>
      <c r="J812" s="125">
        <f>IFERROR(Table1[[#This Row],[Quantity]]*Table1[[#This Row],[Price/Unit
EUR]]," ")</f>
        <v>1167.5999999999999</v>
      </c>
      <c r="K812" s="126">
        <v>45587</v>
      </c>
      <c r="L812" s="36">
        <f>WEEKNUM(Table1[[#This Row],[ETA
As requested
dd.mm.yyyy]])</f>
        <v>43</v>
      </c>
      <c r="M812" s="36">
        <f>YEAR(Table1[[#This Row],[ETA
As requested
dd.mm.yyyy]])</f>
        <v>2024</v>
      </c>
      <c r="N812" s="36">
        <f>IFERROR(INDEX(DATABASE_FG!$H$5:$H$367, MATCH(E812, DATABASE_FG!$C$5:$C$367, 0)), " ")</f>
        <v>0</v>
      </c>
      <c r="O812" s="129" t="str">
        <f>IF(E812&lt;&gt;"", _xlfn.XLOOKUP(E812, DATABASE_FG!C:C, DATABASE_FG!F:F), " ")</f>
        <v>Ghidaje</v>
      </c>
      <c r="P812" s="129">
        <f>IFERROR(INDEX(DATABASE_FG!$G$5:$G$367, MATCH(E812, DATABASE_FG!$C$5:$C$367, 0)), "Not Found")</f>
        <v>0</v>
      </c>
      <c r="Q812" s="36">
        <v>60</v>
      </c>
      <c r="R812" s="125" t="s">
        <v>678</v>
      </c>
      <c r="S812" s="123">
        <f>IFERROR(INDEX(DATABASE_FG!$L$5:$L$367, MATCH(E812, DATABASE_FG!$C$5:$C$367, 0)), " ")</f>
        <v>42</v>
      </c>
      <c r="T812" s="36" t="s">
        <v>677</v>
      </c>
      <c r="U812" s="36"/>
      <c r="V812" s="36"/>
      <c r="W812" s="129"/>
      <c r="X812" s="36"/>
      <c r="Y812" s="36"/>
      <c r="Z812" s="36"/>
      <c r="AA812" s="125" t="s">
        <v>121</v>
      </c>
      <c r="AB812" s="173">
        <v>45583</v>
      </c>
      <c r="AC812" s="119">
        <v>202401260</v>
      </c>
      <c r="AD812" s="36">
        <f t="shared" si="95"/>
        <v>37672820</v>
      </c>
      <c r="AE812" s="36" t="str">
        <f t="shared" si="96"/>
        <v>F-607694-1038.TK.KWVE20BNL-ISB-WW1</v>
      </c>
      <c r="AF812" s="36">
        <v>210</v>
      </c>
      <c r="AG812" s="120">
        <f t="shared" si="98"/>
        <v>1167.5999999999999</v>
      </c>
      <c r="AH812" s="36"/>
      <c r="AI812" s="124"/>
      <c r="AJ812" s="122" t="s">
        <v>2507</v>
      </c>
      <c r="AK812" s="129" t="str">
        <f t="shared" ca="1" si="97"/>
        <v>On Time</v>
      </c>
      <c r="AL812" s="268" t="str">
        <f t="shared" si="99"/>
        <v>October</v>
      </c>
      <c r="AM812" s="133">
        <f>YEAR(Table1[[#This Row],[ETA
As requested
dd.mm.yyyy]])</f>
        <v>2024</v>
      </c>
    </row>
    <row r="813" spans="1:39" hidden="1">
      <c r="A813" s="123" t="s">
        <v>83</v>
      </c>
      <c r="B813" s="36" t="s">
        <v>1170</v>
      </c>
      <c r="C813" s="117">
        <v>37672820</v>
      </c>
      <c r="D813" s="165">
        <v>45553</v>
      </c>
      <c r="E813" s="117" t="s">
        <v>97</v>
      </c>
      <c r="F813" s="36" t="str">
        <f>IFERROR(VLOOKUP(Table1[[#This Row],[Part Number]],DATABASE_FG!$C$6:D10802,2,FALSE)," ")</f>
        <v>300921586-8011</v>
      </c>
      <c r="G813" s="117" t="str">
        <f>IFERROR(_xlfn.XLOOKUP(Table1[[#This Row],[Part Number]],Table3[Part number],Table3[Drawing
 Revision]),"")</f>
        <v>AB</v>
      </c>
      <c r="H813" s="118" cm="1">
        <f t="array" ref="H813">IFERROR(INDEX(PDB!$C:$AT,MATCH(E813,PDB!$B:$B,0),MATCH(YEAR(K813),0+PDB!$C$1:$AT$1,0)),"")</f>
        <v>5.56</v>
      </c>
      <c r="I813" s="36">
        <v>240</v>
      </c>
      <c r="J813" s="125">
        <f>IFERROR(Table1[[#This Row],[Quantity]]*Table1[[#This Row],[Price/Unit
EUR]]," ")</f>
        <v>1334.3999999999999</v>
      </c>
      <c r="K813" s="126">
        <v>45587</v>
      </c>
      <c r="L813" s="36">
        <f>WEEKNUM(Table1[[#This Row],[ETA
As requested
dd.mm.yyyy]])</f>
        <v>43</v>
      </c>
      <c r="M813" s="36">
        <f>YEAR(Table1[[#This Row],[ETA
As requested
dd.mm.yyyy]])</f>
        <v>2024</v>
      </c>
      <c r="N813" s="36">
        <f>IFERROR(INDEX(DATABASE_FG!$H$5:$H$367, MATCH(E813, DATABASE_FG!$C$5:$C$367, 0)), " ")</f>
        <v>0</v>
      </c>
      <c r="O813" s="129" t="str">
        <f>IF(E813&lt;&gt;"", _xlfn.XLOOKUP(E813, DATABASE_FG!C:C, DATABASE_FG!F:F), " ")</f>
        <v>Ghidaje</v>
      </c>
      <c r="P813" s="129">
        <f>IFERROR(INDEX(DATABASE_FG!$G$5:$G$367, MATCH(E813, DATABASE_FG!$C$5:$C$367, 0)), "Not Found")</f>
        <v>0</v>
      </c>
      <c r="Q813" s="36"/>
      <c r="R813" s="125" t="s">
        <v>678</v>
      </c>
      <c r="S813" s="123">
        <f>IFERROR(INDEX(DATABASE_FG!$L$5:$L$367, MATCH(E813, DATABASE_FG!$C$5:$C$367, 0)), " ")</f>
        <v>42</v>
      </c>
      <c r="T813" s="36"/>
      <c r="U813" s="36"/>
      <c r="V813" s="36"/>
      <c r="W813" s="129"/>
      <c r="X813" s="36"/>
      <c r="Y813" s="36"/>
      <c r="Z813" s="36"/>
      <c r="AA813" s="125" t="s">
        <v>121</v>
      </c>
      <c r="AB813" s="173">
        <v>45587</v>
      </c>
      <c r="AC813" s="119">
        <v>202401272</v>
      </c>
      <c r="AD813" s="36">
        <f t="shared" si="95"/>
        <v>37672820</v>
      </c>
      <c r="AE813" s="36" t="str">
        <f t="shared" si="96"/>
        <v>F-607694-1038.TK.KWVE20BNL-ISB-WW1</v>
      </c>
      <c r="AF813" s="36">
        <v>240</v>
      </c>
      <c r="AG813" s="120">
        <f t="shared" si="98"/>
        <v>1334.3999999999999</v>
      </c>
      <c r="AH813" s="36"/>
      <c r="AI813" s="124"/>
      <c r="AJ813" s="122" t="s">
        <v>2508</v>
      </c>
      <c r="AK813" s="129" t="str">
        <f t="shared" ca="1" si="97"/>
        <v>On Time</v>
      </c>
      <c r="AL813" s="268" t="str">
        <f t="shared" si="99"/>
        <v>October</v>
      </c>
      <c r="AM813" s="133">
        <f>YEAR(Table1[[#This Row],[ETA
As requested
dd.mm.yyyy]])</f>
        <v>2024</v>
      </c>
    </row>
    <row r="814" spans="1:39" hidden="1">
      <c r="A814" s="123" t="s">
        <v>83</v>
      </c>
      <c r="B814" s="36" t="s">
        <v>1170</v>
      </c>
      <c r="C814" s="117">
        <v>37672821</v>
      </c>
      <c r="D814" s="165">
        <v>45553</v>
      </c>
      <c r="E814" s="117" t="s">
        <v>97</v>
      </c>
      <c r="F814" s="36" t="str">
        <f>IFERROR(VLOOKUP(Table1[[#This Row],[Part Number]],DATABASE_FG!$C$6:D10803,2,FALSE)," ")</f>
        <v>300921586-8011</v>
      </c>
      <c r="G814" s="117" t="str">
        <f>IFERROR(_xlfn.XLOOKUP(Table1[[#This Row],[Part Number]],Table3[Part number],Table3[Drawing
 Revision]),"")</f>
        <v>AB</v>
      </c>
      <c r="H814" s="118" cm="1">
        <f t="array" ref="H814">IFERROR(INDEX(PDB!$C:$AT,MATCH(E814,PDB!$B:$B,0),MATCH(YEAR(K814),0+PDB!$C$1:$AT$1,0)),"")</f>
        <v>5.56</v>
      </c>
      <c r="I814" s="36">
        <v>240</v>
      </c>
      <c r="J814" s="125">
        <f>IFERROR(Table1[[#This Row],[Quantity]]*Table1[[#This Row],[Price/Unit
EUR]]," ")</f>
        <v>1334.3999999999999</v>
      </c>
      <c r="K814" s="126">
        <v>45594</v>
      </c>
      <c r="L814" s="36">
        <f>WEEKNUM(Table1[[#This Row],[ETA
As requested
dd.mm.yyyy]])</f>
        <v>44</v>
      </c>
      <c r="M814" s="36">
        <f>YEAR(Table1[[#This Row],[ETA
As requested
dd.mm.yyyy]])</f>
        <v>2024</v>
      </c>
      <c r="N814" s="36">
        <f>IFERROR(INDEX(DATABASE_FG!$H$5:$H$367, MATCH(E814, DATABASE_FG!$C$5:$C$367, 0)), " ")</f>
        <v>0</v>
      </c>
      <c r="O814" s="129" t="str">
        <f>IF(E814&lt;&gt;"", _xlfn.XLOOKUP(E814, DATABASE_FG!C:C, DATABASE_FG!F:F), " ")</f>
        <v>Ghidaje</v>
      </c>
      <c r="P814" s="129">
        <f>IFERROR(INDEX(DATABASE_FG!$G$5:$G$367, MATCH(E814, DATABASE_FG!$C$5:$C$367, 0)), "Not Found")</f>
        <v>0</v>
      </c>
      <c r="Q814" s="36"/>
      <c r="R814" s="125" t="s">
        <v>678</v>
      </c>
      <c r="S814" s="123">
        <f>IFERROR(INDEX(DATABASE_FG!$L$5:$L$367, MATCH(E814, DATABASE_FG!$C$5:$C$367, 0)), " ")</f>
        <v>42</v>
      </c>
      <c r="T814" s="36"/>
      <c r="U814" s="36"/>
      <c r="V814" s="36"/>
      <c r="W814" s="129"/>
      <c r="X814" s="36"/>
      <c r="Y814" s="36"/>
      <c r="Z814" s="36"/>
      <c r="AA814" s="125" t="s">
        <v>121</v>
      </c>
      <c r="AB814" s="173">
        <v>45590</v>
      </c>
      <c r="AC814" s="119">
        <v>202401280</v>
      </c>
      <c r="AD814" s="36">
        <f t="shared" si="95"/>
        <v>37672821</v>
      </c>
      <c r="AE814" s="36" t="str">
        <f t="shared" si="96"/>
        <v>F-607694-1038.TK.KWVE20BNL-ISB-WW1</v>
      </c>
      <c r="AF814" s="36">
        <v>240</v>
      </c>
      <c r="AG814" s="120">
        <f t="shared" si="98"/>
        <v>1334.3999999999999</v>
      </c>
      <c r="AH814" s="36"/>
      <c r="AI814" s="124"/>
      <c r="AJ814" s="122" t="s">
        <v>2528</v>
      </c>
      <c r="AK814" s="129" t="str">
        <f t="shared" ca="1" si="97"/>
        <v>On Time</v>
      </c>
      <c r="AL814" s="268" t="str">
        <f t="shared" si="99"/>
        <v>October</v>
      </c>
      <c r="AM814" s="133">
        <f>YEAR(Table1[[#This Row],[ETA
As requested
dd.mm.yyyy]])</f>
        <v>2024</v>
      </c>
    </row>
    <row r="815" spans="1:39" hidden="1">
      <c r="A815" s="123" t="s">
        <v>83</v>
      </c>
      <c r="B815" s="36" t="s">
        <v>1170</v>
      </c>
      <c r="C815" s="117">
        <v>37672821</v>
      </c>
      <c r="D815" s="165">
        <v>45553</v>
      </c>
      <c r="E815" s="117" t="s">
        <v>97</v>
      </c>
      <c r="F815" s="36" t="str">
        <f>IFERROR(VLOOKUP(Table1[[#This Row],[Part Number]],DATABASE_FG!$C$6:D10804,2,FALSE)," ")</f>
        <v>300921586-8011</v>
      </c>
      <c r="G815" s="117" t="str">
        <f>IFERROR(_xlfn.XLOOKUP(Table1[[#This Row],[Part Number]],Table3[Part number],Table3[Drawing
 Revision]),"")</f>
        <v>AB</v>
      </c>
      <c r="H815" s="118" cm="1">
        <f t="array" ref="H815">IFERROR(INDEX(PDB!$C:$AT,MATCH(E815,PDB!$B:$B,0),MATCH(YEAR(K815),0+PDB!$C$1:$AT$1,0)),"")</f>
        <v>5.56</v>
      </c>
      <c r="I815" s="36">
        <v>210</v>
      </c>
      <c r="J815" s="125">
        <f>IFERROR(Table1[[#This Row],[Quantity]]*Table1[[#This Row],[Price/Unit
EUR]]," ")</f>
        <v>1167.5999999999999</v>
      </c>
      <c r="K815" s="126">
        <v>45594</v>
      </c>
      <c r="L815" s="36">
        <f>WEEKNUM(Table1[[#This Row],[ETA
As requested
dd.mm.yyyy]])</f>
        <v>44</v>
      </c>
      <c r="M815" s="36">
        <f>YEAR(Table1[[#This Row],[ETA
As requested
dd.mm.yyyy]])</f>
        <v>2024</v>
      </c>
      <c r="N815" s="36">
        <f>IFERROR(INDEX(DATABASE_FG!$H$5:$H$367, MATCH(E815, DATABASE_FG!$C$5:$C$367, 0)), " ")</f>
        <v>0</v>
      </c>
      <c r="O815" s="129" t="str">
        <f>IF(E815&lt;&gt;"", _xlfn.XLOOKUP(E815, DATABASE_FG!C:C, DATABASE_FG!F:F), " ")</f>
        <v>Ghidaje</v>
      </c>
      <c r="P815" s="129">
        <f>IFERROR(INDEX(DATABASE_FG!$G$5:$G$367, MATCH(E815, DATABASE_FG!$C$5:$C$367, 0)), "Not Found")</f>
        <v>0</v>
      </c>
      <c r="Q815" s="36"/>
      <c r="R815" s="125" t="s">
        <v>678</v>
      </c>
      <c r="S815" s="123">
        <f>IFERROR(INDEX(DATABASE_FG!$L$5:$L$367, MATCH(E815, DATABASE_FG!$C$5:$C$367, 0)), " ")</f>
        <v>42</v>
      </c>
      <c r="T815" s="36"/>
      <c r="U815" s="36"/>
      <c r="V815" s="36"/>
      <c r="W815" s="129"/>
      <c r="X815" s="36"/>
      <c r="Y815" s="36"/>
      <c r="Z815" s="36"/>
      <c r="AA815" s="125" t="s">
        <v>121</v>
      </c>
      <c r="AB815" s="173">
        <v>45594</v>
      </c>
      <c r="AC815" s="119">
        <v>202401299</v>
      </c>
      <c r="AD815" s="36">
        <f t="shared" si="95"/>
        <v>37672821</v>
      </c>
      <c r="AE815" s="36" t="str">
        <f t="shared" si="96"/>
        <v>F-607694-1038.TK.KWVE20BNL-ISB-WW1</v>
      </c>
      <c r="AF815" s="36">
        <v>210</v>
      </c>
      <c r="AG815" s="120">
        <f t="shared" si="98"/>
        <v>1167.5999999999999</v>
      </c>
      <c r="AH815" s="36"/>
      <c r="AI815" s="124"/>
      <c r="AJ815" s="122" t="s">
        <v>2531</v>
      </c>
      <c r="AK815" s="129" t="str">
        <f t="shared" ca="1" si="97"/>
        <v>On Time</v>
      </c>
      <c r="AL815" s="268" t="str">
        <f t="shared" si="99"/>
        <v>October</v>
      </c>
      <c r="AM815" s="133">
        <f>YEAR(Table1[[#This Row],[ETA
As requested
dd.mm.yyyy]])</f>
        <v>2024</v>
      </c>
    </row>
    <row r="816" spans="1:39" hidden="1">
      <c r="A816" s="123" t="s">
        <v>83</v>
      </c>
      <c r="B816" s="36" t="s">
        <v>1170</v>
      </c>
      <c r="C816" s="117">
        <v>37935136</v>
      </c>
      <c r="D816" s="165">
        <v>45597</v>
      </c>
      <c r="E816" s="117" t="s">
        <v>97</v>
      </c>
      <c r="F816" s="36" t="str">
        <f>IFERROR(VLOOKUP(Table1[[#This Row],[Part Number]],DATABASE_FG!$C$6:D10805,2,FALSE)," ")</f>
        <v>300921586-8011</v>
      </c>
      <c r="G816" s="117" t="str">
        <f>IFERROR(_xlfn.XLOOKUP(Table1[[#This Row],[Part Number]],Table3[Part number],Table3[Drawing
 Revision]),"")</f>
        <v>AB</v>
      </c>
      <c r="H816" s="118" cm="1">
        <f t="array" ref="H816">IFERROR(INDEX(PDB!$C:$AT,MATCH(E816,PDB!$B:$B,0),MATCH(YEAR(K816),0+PDB!$C$1:$AT$1,0)),"")</f>
        <v>5.56</v>
      </c>
      <c r="I816" s="36">
        <v>63</v>
      </c>
      <c r="J816" s="125">
        <f>IFERROR(Table1[[#This Row],[Quantity]]*Table1[[#This Row],[Price/Unit
EUR]]," ")</f>
        <v>350.28</v>
      </c>
      <c r="K816" s="126">
        <v>45608</v>
      </c>
      <c r="L816" s="36">
        <f>WEEKNUM(Table1[[#This Row],[ETA
As requested
dd.mm.yyyy]])</f>
        <v>46</v>
      </c>
      <c r="M816" s="36">
        <f>YEAR(Table1[[#This Row],[ETA
As requested
dd.mm.yyyy]])</f>
        <v>2024</v>
      </c>
      <c r="N816" s="36">
        <f>IFERROR(INDEX(DATABASE_FG!$H$5:$H$367, MATCH(E816, DATABASE_FG!$C$5:$C$367, 0)), " ")</f>
        <v>0</v>
      </c>
      <c r="O816" s="129" t="str">
        <f>IF(E816&lt;&gt;"", _xlfn.XLOOKUP(E816, DATABASE_FG!C:C, DATABASE_FG!F:F), " ")</f>
        <v>Ghidaje</v>
      </c>
      <c r="P816" s="129">
        <f>IFERROR(INDEX(DATABASE_FG!$G$5:$G$367, MATCH(E816, DATABASE_FG!$C$5:$C$367, 0)), "Not Found")</f>
        <v>0</v>
      </c>
      <c r="Q816" s="36"/>
      <c r="R816" s="125" t="s">
        <v>678</v>
      </c>
      <c r="S816" s="123">
        <f>IFERROR(INDEX(DATABASE_FG!$L$5:$L$367, MATCH(E816, DATABASE_FG!$C$5:$C$367, 0)), " ")</f>
        <v>42</v>
      </c>
      <c r="T816" s="36"/>
      <c r="U816" s="36"/>
      <c r="V816" s="36"/>
      <c r="W816" s="129"/>
      <c r="X816" s="36"/>
      <c r="Y816" s="36"/>
      <c r="Z816" s="36"/>
      <c r="AA816" s="125" t="s">
        <v>121</v>
      </c>
      <c r="AB816" s="173">
        <v>45608</v>
      </c>
      <c r="AC816" s="119">
        <v>202401374</v>
      </c>
      <c r="AD816" s="36">
        <f t="shared" si="95"/>
        <v>37935136</v>
      </c>
      <c r="AE816" s="36" t="str">
        <f t="shared" si="96"/>
        <v>F-607694-1038.TK.KWVE20BNL-ISB-WW1</v>
      </c>
      <c r="AF816" s="36">
        <v>63</v>
      </c>
      <c r="AG816" s="120">
        <f t="shared" si="98"/>
        <v>350.28</v>
      </c>
      <c r="AH816" s="36"/>
      <c r="AI816" s="124"/>
      <c r="AJ816" s="122" t="s">
        <v>2584</v>
      </c>
      <c r="AK816" s="129" t="str">
        <f t="shared" ca="1" si="97"/>
        <v>On Time</v>
      </c>
      <c r="AL816" s="268" t="str">
        <f t="shared" si="99"/>
        <v>November</v>
      </c>
      <c r="AM816" s="133">
        <f>YEAR(Table1[[#This Row],[ETA
As requested
dd.mm.yyyy]])</f>
        <v>2024</v>
      </c>
    </row>
    <row r="817" spans="1:39" hidden="1">
      <c r="A817" s="123" t="s">
        <v>83</v>
      </c>
      <c r="B817" s="36" t="s">
        <v>1170</v>
      </c>
      <c r="C817" s="117">
        <v>37935136</v>
      </c>
      <c r="D817" s="165">
        <v>45597</v>
      </c>
      <c r="E817" s="117" t="s">
        <v>97</v>
      </c>
      <c r="F817" s="36" t="str">
        <f>IFERROR(VLOOKUP(Table1[[#This Row],[Part Number]],DATABASE_FG!$C$6:D10806,2,FALSE)," ")</f>
        <v>300921586-8011</v>
      </c>
      <c r="G817" s="117" t="str">
        <f>IFERROR(_xlfn.XLOOKUP(Table1[[#This Row],[Part Number]],Table3[Part number],Table3[Drawing
 Revision]),"")</f>
        <v>AB</v>
      </c>
      <c r="H817" s="118" cm="1">
        <f t="array" ref="H817">IFERROR(INDEX(PDB!$C:$AT,MATCH(E817,PDB!$B:$B,0),MATCH(YEAR(K817),0+PDB!$C$1:$AT$1,0)),"")</f>
        <v>5.56</v>
      </c>
      <c r="I817" s="36">
        <v>137</v>
      </c>
      <c r="J817" s="125">
        <f>IFERROR(Table1[[#This Row],[Quantity]]*Table1[[#This Row],[Price/Unit
EUR]]," ")</f>
        <v>761.71999999999991</v>
      </c>
      <c r="K817" s="126">
        <v>45608</v>
      </c>
      <c r="L817" s="36">
        <f>WEEKNUM(Table1[[#This Row],[ETA
As requested
dd.mm.yyyy]])</f>
        <v>46</v>
      </c>
      <c r="M817" s="36">
        <f>YEAR(Table1[[#This Row],[ETA
As requested
dd.mm.yyyy]])</f>
        <v>2024</v>
      </c>
      <c r="N817" s="36">
        <f>IFERROR(INDEX(DATABASE_FG!$H$5:$H$367, MATCH(E817, DATABASE_FG!$C$5:$C$367, 0)), " ")</f>
        <v>0</v>
      </c>
      <c r="O817" s="129" t="str">
        <f>IF(E817&lt;&gt;"", _xlfn.XLOOKUP(E817, DATABASE_FG!C:C, DATABASE_FG!F:F), " ")</f>
        <v>Ghidaje</v>
      </c>
      <c r="P817" s="129">
        <f>IFERROR(INDEX(DATABASE_FG!$G$5:$G$367, MATCH(E817, DATABASE_FG!$C$5:$C$367, 0)), "Not Found")</f>
        <v>0</v>
      </c>
      <c r="Q817" s="36"/>
      <c r="R817" s="125" t="s">
        <v>678</v>
      </c>
      <c r="S817" s="123">
        <f>IFERROR(INDEX(DATABASE_FG!$L$5:$L$367, MATCH(E817, DATABASE_FG!$C$5:$C$367, 0)), " ")</f>
        <v>42</v>
      </c>
      <c r="T817" s="36" t="s">
        <v>679</v>
      </c>
      <c r="U817" s="36"/>
      <c r="V817" s="36"/>
      <c r="W817" s="129"/>
      <c r="X817" s="36"/>
      <c r="Y817" s="36"/>
      <c r="Z817" s="36"/>
      <c r="AA817" s="125" t="s">
        <v>121</v>
      </c>
      <c r="AB817" s="173">
        <v>45617</v>
      </c>
      <c r="AC817" s="119">
        <v>20242014</v>
      </c>
      <c r="AD817" s="36">
        <f t="shared" ref="AD817:AD882" si="100">IF(NOT(ISBLANK(AC817)), C817, "")</f>
        <v>37935136</v>
      </c>
      <c r="AE817" s="36" t="str">
        <f t="shared" ref="AE817:AE882" si="101">IF(NOT(ISBLANK(AC817)), E817, "")</f>
        <v>F-607694-1038.TK.KWVE20BNL-ISB-WW1</v>
      </c>
      <c r="AF817" s="36">
        <v>137</v>
      </c>
      <c r="AG817" s="120">
        <f t="shared" si="98"/>
        <v>761.71999999999991</v>
      </c>
      <c r="AH817" s="36"/>
      <c r="AI817" s="124"/>
      <c r="AJ817" s="122" t="s">
        <v>2587</v>
      </c>
      <c r="AK817" s="129" t="str">
        <f t="shared" ca="1" si="97"/>
        <v>Late</v>
      </c>
      <c r="AL817" s="268" t="str">
        <f t="shared" si="99"/>
        <v>November</v>
      </c>
      <c r="AM817" s="133">
        <f>YEAR(Table1[[#This Row],[ETA
As requested
dd.mm.yyyy]])</f>
        <v>2024</v>
      </c>
    </row>
    <row r="818" spans="1:39" hidden="1">
      <c r="A818" s="123" t="s">
        <v>83</v>
      </c>
      <c r="B818" s="36" t="s">
        <v>1170</v>
      </c>
      <c r="C818" s="117">
        <v>37935136</v>
      </c>
      <c r="D818" s="165">
        <v>45597</v>
      </c>
      <c r="E818" s="117" t="s">
        <v>97</v>
      </c>
      <c r="F818" s="36" t="str">
        <f>IFERROR(VLOOKUP(Table1[[#This Row],[Part Number]],DATABASE_FG!$C$6:D10807,2,FALSE)," ")</f>
        <v>300921586-8011</v>
      </c>
      <c r="G818" s="117" t="str">
        <f>IFERROR(_xlfn.XLOOKUP(Table1[[#This Row],[Part Number]],Table3[Part number],Table3[Drawing
 Revision]),"")</f>
        <v>AB</v>
      </c>
      <c r="H818" s="118" cm="1">
        <f t="array" ref="H818">IFERROR(INDEX(PDB!$C:$AT,MATCH(E818,PDB!$B:$B,0),MATCH(YEAR(K818),0+PDB!$C$1:$AT$1,0)),"")</f>
        <v>5.56</v>
      </c>
      <c r="I818" s="36">
        <v>22</v>
      </c>
      <c r="J818" s="125">
        <f>IFERROR(Table1[[#This Row],[Quantity]]*Table1[[#This Row],[Price/Unit
EUR]]," ")</f>
        <v>122.32</v>
      </c>
      <c r="K818" s="126">
        <v>45615</v>
      </c>
      <c r="L818" s="36">
        <f>WEEKNUM(Table1[[#This Row],[ETA
As requested
dd.mm.yyyy]])</f>
        <v>47</v>
      </c>
      <c r="M818" s="36">
        <f>YEAR(Table1[[#This Row],[ETA
As requested
dd.mm.yyyy]])</f>
        <v>2024</v>
      </c>
      <c r="N818" s="36">
        <f>IFERROR(INDEX(DATABASE_FG!$H$5:$H$367, MATCH(E818, DATABASE_FG!$C$5:$C$367, 0)), " ")</f>
        <v>0</v>
      </c>
      <c r="O818" s="129" t="str">
        <f>IF(E818&lt;&gt;"", _xlfn.XLOOKUP(E818, DATABASE_FG!C:C, DATABASE_FG!F:F), " ")</f>
        <v>Ghidaje</v>
      </c>
      <c r="P818" s="129">
        <f>IFERROR(INDEX(DATABASE_FG!$G$5:$G$367, MATCH(E818, DATABASE_FG!$C$5:$C$367, 0)), "Not Found")</f>
        <v>0</v>
      </c>
      <c r="Q818" s="36"/>
      <c r="R818" s="125" t="s">
        <v>678</v>
      </c>
      <c r="S818" s="123">
        <f>IFERROR(INDEX(DATABASE_FG!$L$5:$L$367, MATCH(E818, DATABASE_FG!$C$5:$C$367, 0)), " ")</f>
        <v>42</v>
      </c>
      <c r="T818" s="36" t="s">
        <v>679</v>
      </c>
      <c r="U818" s="36"/>
      <c r="V818" s="36"/>
      <c r="W818" s="129"/>
      <c r="X818" s="36"/>
      <c r="Y818" s="36"/>
      <c r="Z818" s="36"/>
      <c r="AA818" s="125" t="s">
        <v>121</v>
      </c>
      <c r="AB818" s="173">
        <v>45617</v>
      </c>
      <c r="AC818" s="119">
        <v>20242010</v>
      </c>
      <c r="AD818" s="36">
        <f t="shared" si="100"/>
        <v>37935136</v>
      </c>
      <c r="AE818" s="36" t="str">
        <f t="shared" si="101"/>
        <v>F-607694-1038.TK.KWVE20BNL-ISB-WW1</v>
      </c>
      <c r="AF818" s="36">
        <v>22</v>
      </c>
      <c r="AG818" s="120">
        <f t="shared" si="98"/>
        <v>122.32</v>
      </c>
      <c r="AH818" s="36"/>
      <c r="AI818" s="124"/>
      <c r="AJ818" s="122" t="s">
        <v>2610</v>
      </c>
      <c r="AK818" s="129" t="str">
        <f t="shared" ca="1" si="97"/>
        <v>On Time</v>
      </c>
      <c r="AL818" s="268" t="str">
        <f t="shared" si="99"/>
        <v>November</v>
      </c>
      <c r="AM818" s="133">
        <f>YEAR(Table1[[#This Row],[ETA
As requested
dd.mm.yyyy]])</f>
        <v>2024</v>
      </c>
    </row>
    <row r="819" spans="1:39" hidden="1">
      <c r="A819" s="123" t="s">
        <v>83</v>
      </c>
      <c r="B819" s="36" t="s">
        <v>1170</v>
      </c>
      <c r="C819" s="117">
        <v>37935136</v>
      </c>
      <c r="D819" s="165">
        <v>45597</v>
      </c>
      <c r="E819" s="117" t="s">
        <v>97</v>
      </c>
      <c r="F819" s="36" t="str">
        <f>IFERROR(VLOOKUP(Table1[[#This Row],[Part Number]],DATABASE_FG!$C$6:D10808,2,FALSE)," ")</f>
        <v>300921586-8011</v>
      </c>
      <c r="G819" s="117" t="str">
        <f>IFERROR(_xlfn.XLOOKUP(Table1[[#This Row],[Part Number]],Table3[Part number],Table3[Drawing
 Revision]),"")</f>
        <v>AB</v>
      </c>
      <c r="H819" s="118" cm="1">
        <f t="array" ref="H819">IFERROR(INDEX(PDB!$C:$AT,MATCH(E819,PDB!$B:$B,0),MATCH(YEAR(K819),0+PDB!$C$1:$AT$1,0)),"")</f>
        <v>5.56</v>
      </c>
      <c r="I819" s="36">
        <f>166-137</f>
        <v>29</v>
      </c>
      <c r="J819" s="125">
        <f>IFERROR(Table1[[#This Row],[Quantity]]*Table1[[#This Row],[Price/Unit
EUR]]," ")</f>
        <v>161.23999999999998</v>
      </c>
      <c r="K819" s="126">
        <v>45615</v>
      </c>
      <c r="L819" s="36">
        <f>WEEKNUM(Table1[[#This Row],[ETA
As requested
dd.mm.yyyy]])</f>
        <v>47</v>
      </c>
      <c r="M819" s="36">
        <f>YEAR(Table1[[#This Row],[ETA
As requested
dd.mm.yyyy]])</f>
        <v>2024</v>
      </c>
      <c r="N819" s="36">
        <f>IFERROR(INDEX(DATABASE_FG!$H$5:$H$367, MATCH(E819, DATABASE_FG!$C$5:$C$367, 0)), " ")</f>
        <v>0</v>
      </c>
      <c r="O819" s="129" t="str">
        <f>IF(E819&lt;&gt;"", _xlfn.XLOOKUP(E819, DATABASE_FG!C:C, DATABASE_FG!F:F), " ")</f>
        <v>Ghidaje</v>
      </c>
      <c r="P819" s="129">
        <f>IFERROR(INDEX(DATABASE_FG!$G$5:$G$367, MATCH(E819, DATABASE_FG!$C$5:$C$367, 0)), "Not Found")</f>
        <v>0</v>
      </c>
      <c r="Q819" s="36"/>
      <c r="R819" s="125" t="s">
        <v>678</v>
      </c>
      <c r="S819" s="123">
        <f>IFERROR(INDEX(DATABASE_FG!$L$5:$L$367, MATCH(E819, DATABASE_FG!$C$5:$C$367, 0)), " ")</f>
        <v>42</v>
      </c>
      <c r="T819" s="36" t="s">
        <v>679</v>
      </c>
      <c r="U819" s="36"/>
      <c r="V819" s="36"/>
      <c r="W819" s="129"/>
      <c r="X819" s="36"/>
      <c r="Y819" s="36"/>
      <c r="Z819" s="36"/>
      <c r="AA819" s="125" t="s">
        <v>121</v>
      </c>
      <c r="AB819" s="173">
        <v>45617</v>
      </c>
      <c r="AC819" s="119">
        <v>20242014</v>
      </c>
      <c r="AD819" s="36">
        <f t="shared" si="100"/>
        <v>37935136</v>
      </c>
      <c r="AE819" s="36" t="str">
        <f t="shared" si="101"/>
        <v>F-607694-1038.TK.KWVE20BNL-ISB-WW1</v>
      </c>
      <c r="AF819" s="36">
        <v>29</v>
      </c>
      <c r="AG819" s="120">
        <f t="shared" si="98"/>
        <v>161.23999999999998</v>
      </c>
      <c r="AH819" s="36"/>
      <c r="AI819" s="124"/>
      <c r="AJ819" s="122" t="s">
        <v>2587</v>
      </c>
      <c r="AK819" s="129" t="str">
        <f t="shared" ca="1" si="97"/>
        <v>On Time</v>
      </c>
      <c r="AL819" s="268" t="str">
        <f t="shared" si="99"/>
        <v>November</v>
      </c>
      <c r="AM819" s="133">
        <f>YEAR(Table1[[#This Row],[ETA
As requested
dd.mm.yyyy]])</f>
        <v>2024</v>
      </c>
    </row>
    <row r="820" spans="1:39" hidden="1">
      <c r="A820" s="123" t="s">
        <v>83</v>
      </c>
      <c r="B820" s="36" t="s">
        <v>1170</v>
      </c>
      <c r="C820" s="117">
        <v>37935136</v>
      </c>
      <c r="D820" s="165">
        <v>45597</v>
      </c>
      <c r="E820" s="117" t="s">
        <v>97</v>
      </c>
      <c r="F820" s="36" t="str">
        <f>IFERROR(VLOOKUP(Table1[[#This Row],[Part Number]],DATABASE_FG!$C$6:D10809,2,FALSE)," ")</f>
        <v>300921586-8011</v>
      </c>
      <c r="G820" s="117" t="str">
        <f>IFERROR(_xlfn.XLOOKUP(Table1[[#This Row],[Part Number]],Table3[Part number],Table3[Drawing
 Revision]),"")</f>
        <v>AB</v>
      </c>
      <c r="H820" s="118" cm="1">
        <f t="array" ref="H820">IFERROR(INDEX(PDB!$C:$AT,MATCH(E820,PDB!$B:$B,0),MATCH(YEAR(K820),0+PDB!$C$1:$AT$1,0)),"")</f>
        <v>5.56</v>
      </c>
      <c r="I820" s="36">
        <f>200-29</f>
        <v>171</v>
      </c>
      <c r="J820" s="125">
        <f>IFERROR(Table1[[#This Row],[Quantity]]*Table1[[#This Row],[Price/Unit
EUR]]," ")</f>
        <v>950.75999999999988</v>
      </c>
      <c r="K820" s="126">
        <v>45615</v>
      </c>
      <c r="L820" s="36">
        <f>WEEKNUM(Table1[[#This Row],[ETA
As requested
dd.mm.yyyy]])</f>
        <v>47</v>
      </c>
      <c r="M820" s="36">
        <f>YEAR(Table1[[#This Row],[ETA
As requested
dd.mm.yyyy]])</f>
        <v>2024</v>
      </c>
      <c r="N820" s="36">
        <f>IFERROR(INDEX(DATABASE_FG!$H$5:$H$367, MATCH(E820, DATABASE_FG!$C$5:$C$367, 0)), " ")</f>
        <v>0</v>
      </c>
      <c r="O820" s="129" t="str">
        <f>IF(E820&lt;&gt;"", _xlfn.XLOOKUP(E820, DATABASE_FG!C:C, DATABASE_FG!F:F), " ")</f>
        <v>Ghidaje</v>
      </c>
      <c r="P820" s="129">
        <f>IFERROR(INDEX(DATABASE_FG!$G$5:$G$367, MATCH(E820, DATABASE_FG!$C$5:$C$367, 0)), "Not Found")</f>
        <v>0</v>
      </c>
      <c r="Q820" s="36"/>
      <c r="R820" s="125" t="s">
        <v>678</v>
      </c>
      <c r="S820" s="123">
        <f>IFERROR(INDEX(DATABASE_FG!$L$5:$L$367, MATCH(E820, DATABASE_FG!$C$5:$C$367, 0)), " ")</f>
        <v>42</v>
      </c>
      <c r="T820" s="36" t="s">
        <v>679</v>
      </c>
      <c r="U820" s="36"/>
      <c r="V820" s="36"/>
      <c r="W820" s="129"/>
      <c r="X820" s="36"/>
      <c r="Y820" s="36"/>
      <c r="Z820" s="36"/>
      <c r="AA820" s="125" t="s">
        <v>121</v>
      </c>
      <c r="AB820" s="173">
        <v>45617</v>
      </c>
      <c r="AC820" s="119">
        <v>20242010</v>
      </c>
      <c r="AD820" s="36">
        <f t="shared" si="100"/>
        <v>37935136</v>
      </c>
      <c r="AE820" s="36" t="str">
        <f t="shared" si="101"/>
        <v>F-607694-1038.TK.KWVE20BNL-ISB-WW1</v>
      </c>
      <c r="AF820" s="36">
        <f>200-29</f>
        <v>171</v>
      </c>
      <c r="AG820" s="120">
        <f t="shared" si="98"/>
        <v>950.75999999999988</v>
      </c>
      <c r="AH820" s="36"/>
      <c r="AI820" s="124"/>
      <c r="AJ820" s="122" t="s">
        <v>2610</v>
      </c>
      <c r="AK820" s="129" t="str">
        <f t="shared" ca="1" si="97"/>
        <v>On Time</v>
      </c>
      <c r="AL820" s="268" t="str">
        <f t="shared" si="99"/>
        <v>November</v>
      </c>
      <c r="AM820" s="133">
        <f>YEAR(Table1[[#This Row],[ETA
As requested
dd.mm.yyyy]])</f>
        <v>2024</v>
      </c>
    </row>
    <row r="821" spans="1:39" hidden="1">
      <c r="A821" s="123" t="s">
        <v>83</v>
      </c>
      <c r="B821" s="36" t="s">
        <v>1170</v>
      </c>
      <c r="C821" s="117">
        <v>37520907</v>
      </c>
      <c r="D821" s="165">
        <v>45527</v>
      </c>
      <c r="E821" s="117" t="s">
        <v>97</v>
      </c>
      <c r="F821" s="36" t="str">
        <f>IFERROR(VLOOKUP(Table1[[#This Row],[Part Number]],DATABASE_FG!$C$6:D10810,2,FALSE)," ")</f>
        <v>300921586-8011</v>
      </c>
      <c r="G821" s="117" t="str">
        <f>IFERROR(_xlfn.XLOOKUP(Table1[[#This Row],[Part Number]],Table3[Part number],Table3[Drawing
 Revision]),"")</f>
        <v>AB</v>
      </c>
      <c r="H821" s="118" cm="1">
        <f t="array" ref="H821">IFERROR(INDEX(PDB!$C:$AT,MATCH(E821,PDB!$B:$B,0),MATCH(YEAR(K821),0+PDB!$C$1:$AT$1,0)),"")</f>
        <v>5.56</v>
      </c>
      <c r="I821" s="36">
        <v>4</v>
      </c>
      <c r="J821" s="125">
        <f>IFERROR(Table1[[#This Row],[Quantity]]*Table1[[#This Row],[Price/Unit
EUR]]," ")</f>
        <v>22.24</v>
      </c>
      <c r="K821" s="126">
        <v>45623</v>
      </c>
      <c r="L821" s="36">
        <f>WEEKNUM(Table1[[#This Row],[ETA
As requested
dd.mm.yyyy]])</f>
        <v>48</v>
      </c>
      <c r="M821" s="36">
        <f>YEAR(Table1[[#This Row],[ETA
As requested
dd.mm.yyyy]])</f>
        <v>2024</v>
      </c>
      <c r="N821" s="36">
        <f>IFERROR(INDEX(DATABASE_FG!$H$5:$H$367, MATCH(E821, DATABASE_FG!$C$5:$C$367, 0)), " ")</f>
        <v>0</v>
      </c>
      <c r="O821" s="129" t="str">
        <f>IF(E821&lt;&gt;"", _xlfn.XLOOKUP(E821, DATABASE_FG!C:C, DATABASE_FG!F:F), " ")</f>
        <v>Ghidaje</v>
      </c>
      <c r="P821" s="129">
        <f>IFERROR(INDEX(DATABASE_FG!$G$5:$G$367, MATCH(E821, DATABASE_FG!$C$5:$C$367, 0)), "Not Found")</f>
        <v>0</v>
      </c>
      <c r="Q821" s="36"/>
      <c r="R821" s="125" t="s">
        <v>678</v>
      </c>
      <c r="S821" s="123">
        <f>IFERROR(INDEX(DATABASE_FG!$L$5:$L$367, MATCH(E821, DATABASE_FG!$C$5:$C$367, 0)), " ")</f>
        <v>42</v>
      </c>
      <c r="T821" s="36" t="s">
        <v>679</v>
      </c>
      <c r="U821" s="36"/>
      <c r="V821" s="36"/>
      <c r="W821" s="129"/>
      <c r="X821" s="36"/>
      <c r="Y821" s="36"/>
      <c r="Z821" s="36"/>
      <c r="AA821" s="125" t="s">
        <v>121</v>
      </c>
      <c r="AB821" s="173">
        <v>45741</v>
      </c>
      <c r="AC821" s="119">
        <v>25455</v>
      </c>
      <c r="AD821" s="36">
        <f t="shared" si="100"/>
        <v>37520907</v>
      </c>
      <c r="AE821" s="36" t="str">
        <f t="shared" si="101"/>
        <v>F-607694-1038.TK.KWVE20BNL-ISB-WW1</v>
      </c>
      <c r="AF821" s="36">
        <v>4</v>
      </c>
      <c r="AG821" s="120">
        <f t="shared" si="98"/>
        <v>22.24</v>
      </c>
      <c r="AH821" s="36"/>
      <c r="AI821" s="124" t="s">
        <v>310</v>
      </c>
      <c r="AJ821" s="122" t="s">
        <v>2632</v>
      </c>
      <c r="AK821" s="129" t="str">
        <f t="shared" ca="1" si="97"/>
        <v>Late</v>
      </c>
      <c r="AL821" s="268" t="str">
        <f t="shared" si="99"/>
        <v>November</v>
      </c>
      <c r="AM821" s="133">
        <f>YEAR(Table1[[#This Row],[ETA
As requested
dd.mm.yyyy]])</f>
        <v>2024</v>
      </c>
    </row>
    <row r="822" spans="1:39" hidden="1">
      <c r="A822" s="123" t="s">
        <v>83</v>
      </c>
      <c r="B822" s="36" t="s">
        <v>1170</v>
      </c>
      <c r="C822" s="117">
        <v>38082577</v>
      </c>
      <c r="D822" s="165">
        <v>45621</v>
      </c>
      <c r="E822" s="117" t="s">
        <v>97</v>
      </c>
      <c r="F822" s="36" t="str">
        <f>IFERROR(VLOOKUP(Table1[[#This Row],[Part Number]],DATABASE_FG!$C$6:D10811,2,FALSE)," ")</f>
        <v>300921586-8011</v>
      </c>
      <c r="G822" s="117" t="str">
        <f>IFERROR(_xlfn.XLOOKUP(Table1[[#This Row],[Part Number]],Table3[Part number],Table3[Drawing
 Revision]),"")</f>
        <v>AB</v>
      </c>
      <c r="H822" s="118" cm="1">
        <f t="array" ref="H822">IFERROR(INDEX(PDB!$C:$AT,MATCH(E822,PDB!$B:$B,0),MATCH(YEAR(K822),0+PDB!$C$1:$AT$1,0)),"")</f>
        <v>5.56</v>
      </c>
      <c r="I822" s="36">
        <v>230</v>
      </c>
      <c r="J822" s="125">
        <f>IFERROR(Table1[[#This Row],[Quantity]]*Table1[[#This Row],[Price/Unit
EUR]]," ")</f>
        <v>1278.8</v>
      </c>
      <c r="K822" s="126">
        <v>45631</v>
      </c>
      <c r="L822" s="36">
        <f>WEEKNUM(Table1[[#This Row],[ETA
As requested
dd.mm.yyyy]])</f>
        <v>49</v>
      </c>
      <c r="M822" s="36">
        <f>YEAR(Table1[[#This Row],[ETA
As requested
dd.mm.yyyy]])</f>
        <v>2024</v>
      </c>
      <c r="N822" s="36">
        <f>IFERROR(INDEX(DATABASE_FG!$H$5:$H$367, MATCH(E822, DATABASE_FG!$C$5:$C$367, 0)), " ")</f>
        <v>0</v>
      </c>
      <c r="O822" s="129" t="str">
        <f>IF(E822&lt;&gt;"", _xlfn.XLOOKUP(E822, DATABASE_FG!C:C, DATABASE_FG!F:F), " ")</f>
        <v>Ghidaje</v>
      </c>
      <c r="P822" s="129">
        <f>IFERROR(INDEX(DATABASE_FG!$G$5:$G$367, MATCH(E822, DATABASE_FG!$C$5:$C$367, 0)), "Not Found")</f>
        <v>0</v>
      </c>
      <c r="Q822" s="36"/>
      <c r="R822" s="125" t="s">
        <v>678</v>
      </c>
      <c r="S822" s="123">
        <f>IFERROR(INDEX(DATABASE_FG!$L$5:$L$367, MATCH(E822, DATABASE_FG!$C$5:$C$367, 0)), " ")</f>
        <v>42</v>
      </c>
      <c r="T822" s="36" t="s">
        <v>679</v>
      </c>
      <c r="U822" s="36"/>
      <c r="V822" s="36"/>
      <c r="W822" s="129"/>
      <c r="X822" s="36"/>
      <c r="Y822" s="36"/>
      <c r="Z822" s="36"/>
      <c r="AA822" s="125" t="s">
        <v>121</v>
      </c>
      <c r="AB822" s="173">
        <v>45636</v>
      </c>
      <c r="AC822" s="119">
        <v>202401513</v>
      </c>
      <c r="AD822" s="36">
        <f t="shared" si="100"/>
        <v>38082577</v>
      </c>
      <c r="AE822" s="36" t="str">
        <f t="shared" si="101"/>
        <v>F-607694-1038.TK.KWVE20BNL-ISB-WW1</v>
      </c>
      <c r="AF822" s="36">
        <v>230</v>
      </c>
      <c r="AG822" s="120">
        <f t="shared" si="98"/>
        <v>1278.8</v>
      </c>
      <c r="AH822" s="36"/>
      <c r="AI822" s="124"/>
      <c r="AJ822" s="122" t="s">
        <v>2650</v>
      </c>
      <c r="AK822" s="129" t="str">
        <f t="shared" ca="1" si="97"/>
        <v>Late</v>
      </c>
      <c r="AL822" s="268" t="str">
        <f t="shared" si="99"/>
        <v>December</v>
      </c>
      <c r="AM822" s="133">
        <f>YEAR(Table1[[#This Row],[ETA
As requested
dd.mm.yyyy]])</f>
        <v>2024</v>
      </c>
    </row>
    <row r="823" spans="1:39" hidden="1">
      <c r="A823" s="123" t="s">
        <v>83</v>
      </c>
      <c r="B823" s="36" t="s">
        <v>1170</v>
      </c>
      <c r="C823" s="117">
        <v>38082577</v>
      </c>
      <c r="D823" s="165">
        <v>45621</v>
      </c>
      <c r="E823" s="117" t="s">
        <v>97</v>
      </c>
      <c r="F823" s="36" t="str">
        <f>IFERROR(VLOOKUP(Table1[[#This Row],[Part Number]],DATABASE_FG!$C$6:D10812,2,FALSE)," ")</f>
        <v>300921586-8011</v>
      </c>
      <c r="G823" s="117" t="str">
        <f>IFERROR(_xlfn.XLOOKUP(Table1[[#This Row],[Part Number]],Table3[Part number],Table3[Drawing
 Revision]),"")</f>
        <v>AB</v>
      </c>
      <c r="H823" s="118" cm="1">
        <f t="array" ref="H823">IFERROR(INDEX(PDB!$C:$AT,MATCH(E823,PDB!$B:$B,0),MATCH(YEAR(K823),0+PDB!$C$1:$AT$1,0)),"")</f>
        <v>5.56</v>
      </c>
      <c r="I823" s="36">
        <v>120</v>
      </c>
      <c r="J823" s="125">
        <f>IFERROR(Table1[[#This Row],[Quantity]]*Table1[[#This Row],[Price/Unit
EUR]]," ")</f>
        <v>667.19999999999993</v>
      </c>
      <c r="K823" s="126">
        <v>45631</v>
      </c>
      <c r="L823" s="36">
        <f>WEEKNUM(Table1[[#This Row],[ETA
As requested
dd.mm.yyyy]])</f>
        <v>49</v>
      </c>
      <c r="M823" s="36">
        <f>YEAR(Table1[[#This Row],[ETA
As requested
dd.mm.yyyy]])</f>
        <v>2024</v>
      </c>
      <c r="N823" s="36">
        <f>IFERROR(INDEX(DATABASE_FG!$H$5:$H$367, MATCH(E823, DATABASE_FG!$C$5:$C$367, 0)), " ")</f>
        <v>0</v>
      </c>
      <c r="O823" s="129" t="str">
        <f>IF(E823&lt;&gt;"", _xlfn.XLOOKUP(E823, DATABASE_FG!C:C, DATABASE_FG!F:F), " ")</f>
        <v>Ghidaje</v>
      </c>
      <c r="P823" s="129">
        <f>IFERROR(INDEX(DATABASE_FG!$G$5:$G$367, MATCH(E823, DATABASE_FG!$C$5:$C$367, 0)), "Not Found")</f>
        <v>0</v>
      </c>
      <c r="Q823" s="36"/>
      <c r="R823" s="125" t="s">
        <v>678</v>
      </c>
      <c r="S823" s="123">
        <f>IFERROR(INDEX(DATABASE_FG!$L$5:$L$367, MATCH(E823, DATABASE_FG!$C$5:$C$367, 0)), " ")</f>
        <v>42</v>
      </c>
      <c r="T823" s="36"/>
      <c r="U823" s="36"/>
      <c r="V823" s="36"/>
      <c r="W823" s="129"/>
      <c r="X823" s="36"/>
      <c r="Y823" s="36"/>
      <c r="Z823" s="36"/>
      <c r="AA823" s="125" t="s">
        <v>121</v>
      </c>
      <c r="AB823" s="173">
        <v>45643</v>
      </c>
      <c r="AC823" s="119">
        <v>202401562</v>
      </c>
      <c r="AD823" s="36">
        <f t="shared" si="100"/>
        <v>38082577</v>
      </c>
      <c r="AE823" s="36" t="str">
        <f t="shared" si="101"/>
        <v>F-607694-1038.TK.KWVE20BNL-ISB-WW1</v>
      </c>
      <c r="AF823" s="36">
        <v>120</v>
      </c>
      <c r="AG823" s="120">
        <f t="shared" si="98"/>
        <v>667.19999999999993</v>
      </c>
      <c r="AH823" s="36"/>
      <c r="AI823" s="124"/>
      <c r="AJ823" s="122" t="s">
        <v>2652</v>
      </c>
      <c r="AK823" s="129" t="str">
        <f t="shared" ca="1" si="97"/>
        <v>Late</v>
      </c>
      <c r="AL823" s="268" t="str">
        <f t="shared" si="99"/>
        <v>December</v>
      </c>
      <c r="AM823" s="133">
        <f>YEAR(Table1[[#This Row],[ETA
As requested
dd.mm.yyyy]])</f>
        <v>2024</v>
      </c>
    </row>
    <row r="824" spans="1:39" hidden="1">
      <c r="A824" s="123" t="s">
        <v>83</v>
      </c>
      <c r="B824" s="36" t="s">
        <v>1170</v>
      </c>
      <c r="C824" s="117">
        <v>38082577</v>
      </c>
      <c r="D824" s="165">
        <v>45621</v>
      </c>
      <c r="E824" s="117" t="s">
        <v>97</v>
      </c>
      <c r="F824" s="36" t="str">
        <f>IFERROR(VLOOKUP(Table1[[#This Row],[Part Number]],DATABASE_FG!$C$6:D10813,2,FALSE)," ")</f>
        <v>300921586-8011</v>
      </c>
      <c r="G824" s="117" t="str">
        <f>IFERROR(_xlfn.XLOOKUP(Table1[[#This Row],[Part Number]],Table3[Part number],Table3[Drawing
 Revision]),"")</f>
        <v>AB</v>
      </c>
      <c r="H824" s="118" cm="1">
        <f t="array" ref="H824">IFERROR(INDEX(PDB!$C:$AT,MATCH(E824,PDB!$B:$B,0),MATCH(YEAR(K824),0+PDB!$C$1:$AT$1,0)),"")</f>
        <v>5.56</v>
      </c>
      <c r="I824" s="36">
        <v>350</v>
      </c>
      <c r="J824" s="125">
        <f>IFERROR(Table1[[#This Row],[Quantity]]*Table1[[#This Row],[Price/Unit
EUR]]," ")</f>
        <v>1945.9999999999998</v>
      </c>
      <c r="K824" s="126">
        <v>45636</v>
      </c>
      <c r="L824" s="36">
        <f>WEEKNUM(Table1[[#This Row],[ETA
As requested
dd.mm.yyyy]])</f>
        <v>50</v>
      </c>
      <c r="M824" s="36">
        <f>YEAR(Table1[[#This Row],[ETA
As requested
dd.mm.yyyy]])</f>
        <v>2024</v>
      </c>
      <c r="N824" s="36">
        <f>IFERROR(INDEX(DATABASE_FG!$H$5:$H$367, MATCH(E824, DATABASE_FG!$C$5:$C$367, 0)), " ")</f>
        <v>0</v>
      </c>
      <c r="O824" s="129" t="str">
        <f>IF(E824&lt;&gt;"", _xlfn.XLOOKUP(E824, DATABASE_FG!C:C, DATABASE_FG!F:F), " ")</f>
        <v>Ghidaje</v>
      </c>
      <c r="P824" s="129">
        <f>IFERROR(INDEX(DATABASE_FG!$G$5:$G$367, MATCH(E824, DATABASE_FG!$C$5:$C$367, 0)), "Not Found")</f>
        <v>0</v>
      </c>
      <c r="Q824" s="36"/>
      <c r="R824" s="125" t="s">
        <v>678</v>
      </c>
      <c r="S824" s="123">
        <f>IFERROR(INDEX(DATABASE_FG!$L$5:$L$367, MATCH(E824, DATABASE_FG!$C$5:$C$367, 0)), " ")</f>
        <v>42</v>
      </c>
      <c r="T824" s="36"/>
      <c r="U824" s="36"/>
      <c r="V824" s="36"/>
      <c r="W824" s="129"/>
      <c r="X824" s="36"/>
      <c r="Y824" s="36"/>
      <c r="Z824" s="36"/>
      <c r="AA824" s="125" t="s">
        <v>121</v>
      </c>
      <c r="AB824" s="173">
        <v>45643</v>
      </c>
      <c r="AC824" s="119">
        <v>202401562</v>
      </c>
      <c r="AD824" s="36">
        <f t="shared" si="100"/>
        <v>38082577</v>
      </c>
      <c r="AE824" s="36" t="str">
        <f t="shared" si="101"/>
        <v>F-607694-1038.TK.KWVE20BNL-ISB-WW1</v>
      </c>
      <c r="AF824" s="36">
        <v>350</v>
      </c>
      <c r="AG824" s="120">
        <f t="shared" si="98"/>
        <v>1945.9999999999998</v>
      </c>
      <c r="AH824" s="36"/>
      <c r="AI824" s="124"/>
      <c r="AJ824" s="122" t="s">
        <v>2652</v>
      </c>
      <c r="AK824" s="129" t="str">
        <f t="shared" ca="1" si="97"/>
        <v>Late</v>
      </c>
      <c r="AL824" s="268" t="str">
        <f t="shared" si="99"/>
        <v>December</v>
      </c>
      <c r="AM824" s="133">
        <f>YEAR(Table1[[#This Row],[ETA
As requested
dd.mm.yyyy]])</f>
        <v>2024</v>
      </c>
    </row>
    <row r="825" spans="1:39" hidden="1">
      <c r="A825" s="123" t="s">
        <v>83</v>
      </c>
      <c r="B825" s="36" t="s">
        <v>1170</v>
      </c>
      <c r="C825" s="117">
        <v>38216062</v>
      </c>
      <c r="D825" s="165">
        <v>45635</v>
      </c>
      <c r="E825" s="117" t="s">
        <v>97</v>
      </c>
      <c r="F825" s="36" t="str">
        <f>IFERROR(VLOOKUP(Table1[[#This Row],[Part Number]],DATABASE_FG!$C$6:D10814,2,FALSE)," ")</f>
        <v>300921586-8011</v>
      </c>
      <c r="G825" s="117" t="str">
        <f>IFERROR(_xlfn.XLOOKUP(Table1[[#This Row],[Part Number]],Table3[Part number],Table3[Drawing
 Revision]),"")</f>
        <v>AB</v>
      </c>
      <c r="H825" s="118" cm="1">
        <f t="array" ref="H825">IFERROR(INDEX(PDB!$C:$AT,MATCH(E825,PDB!$B:$B,0),MATCH(YEAR(K825),0+PDB!$C$1:$AT$1,0)),"")</f>
        <v>5.56</v>
      </c>
      <c r="I825" s="36">
        <v>111</v>
      </c>
      <c r="J825" s="125">
        <f>IFERROR(Table1[[#This Row],[Quantity]]*Table1[[#This Row],[Price/Unit
EUR]]," ")</f>
        <v>617.16</v>
      </c>
      <c r="K825" s="126">
        <v>45666</v>
      </c>
      <c r="L825" s="36">
        <f>WEEKNUM(Table1[[#This Row],[ETA
As requested
dd.mm.yyyy]])</f>
        <v>2</v>
      </c>
      <c r="M825" s="36">
        <f>YEAR(Table1[[#This Row],[ETA
As requested
dd.mm.yyyy]])</f>
        <v>2025</v>
      </c>
      <c r="N825" s="36">
        <f>IFERROR(INDEX(DATABASE_FG!$H$5:$H$367, MATCH(E825, DATABASE_FG!$C$5:$C$367, 0)), " ")</f>
        <v>0</v>
      </c>
      <c r="O825" s="129" t="str">
        <f>IF(E825&lt;&gt;"", _xlfn.XLOOKUP(E825, DATABASE_FG!C:C, DATABASE_FG!F:F), " ")</f>
        <v>Ghidaje</v>
      </c>
      <c r="P825" s="129">
        <f>IFERROR(INDEX(DATABASE_FG!$G$5:$G$367, MATCH(E825, DATABASE_FG!$C$5:$C$367, 0)), "Not Found")</f>
        <v>0</v>
      </c>
      <c r="Q825" s="36"/>
      <c r="R825" s="125" t="s">
        <v>678</v>
      </c>
      <c r="S825" s="123">
        <f>IFERROR(INDEX(DATABASE_FG!$L$5:$L$367, MATCH(E825, DATABASE_FG!$C$5:$C$367, 0)), " ")</f>
        <v>42</v>
      </c>
      <c r="T825" s="36" t="s">
        <v>679</v>
      </c>
      <c r="U825" s="36"/>
      <c r="V825" s="36"/>
      <c r="W825" s="129"/>
      <c r="X825" s="36"/>
      <c r="Y825" s="36"/>
      <c r="Z825" s="36"/>
      <c r="AA825" s="125" t="s">
        <v>121</v>
      </c>
      <c r="AB825" s="173">
        <v>45666</v>
      </c>
      <c r="AC825" s="119">
        <v>202502505</v>
      </c>
      <c r="AD825" s="36">
        <f t="shared" si="100"/>
        <v>38216062</v>
      </c>
      <c r="AE825" s="36" t="str">
        <f t="shared" si="101"/>
        <v>F-607694-1038.TK.KWVE20BNL-ISB-WW1</v>
      </c>
      <c r="AF825" s="36">
        <v>111</v>
      </c>
      <c r="AG825" s="120">
        <f t="shared" si="98"/>
        <v>617.16</v>
      </c>
      <c r="AH825" s="36"/>
      <c r="AI825" s="124"/>
      <c r="AJ825" s="122" t="s">
        <v>2687</v>
      </c>
      <c r="AK825" s="129" t="str">
        <f t="shared" ca="1" si="97"/>
        <v>On Time</v>
      </c>
      <c r="AL825" s="268" t="str">
        <f t="shared" si="99"/>
        <v>January</v>
      </c>
      <c r="AM825" s="133">
        <f>YEAR(Table1[[#This Row],[ETA
As requested
dd.mm.yyyy]])</f>
        <v>2025</v>
      </c>
    </row>
    <row r="826" spans="1:39" hidden="1">
      <c r="A826" s="123" t="s">
        <v>83</v>
      </c>
      <c r="B826" s="36" t="s">
        <v>1170</v>
      </c>
      <c r="C826" s="117">
        <v>38216062</v>
      </c>
      <c r="D826" s="165">
        <v>45635</v>
      </c>
      <c r="E826" s="117" t="s">
        <v>97</v>
      </c>
      <c r="F826" s="36" t="str">
        <f>IFERROR(VLOOKUP(Table1[[#This Row],[Part Number]],DATABASE_FG!$C$6:D10815,2,FALSE)," ")</f>
        <v>300921586-8011</v>
      </c>
      <c r="G826" s="117" t="str">
        <f>IFERROR(_xlfn.XLOOKUP(Table1[[#This Row],[Part Number]],Table3[Part number],Table3[Drawing
 Revision]),"")</f>
        <v>AB</v>
      </c>
      <c r="H826" s="118" cm="1">
        <f t="array" ref="H826">IFERROR(INDEX(PDB!$C:$AT,MATCH(E826,PDB!$B:$B,0),MATCH(YEAR(K826),0+PDB!$C$1:$AT$1,0)),"")</f>
        <v>5.56</v>
      </c>
      <c r="I826" s="36">
        <f>400-111</f>
        <v>289</v>
      </c>
      <c r="J826" s="125">
        <f>IFERROR(Table1[[#This Row],[Quantity]]*Table1[[#This Row],[Price/Unit
EUR]]," ")</f>
        <v>1606.84</v>
      </c>
      <c r="K826" s="126">
        <v>45666</v>
      </c>
      <c r="L826" s="36">
        <f>WEEKNUM(Table1[[#This Row],[ETA
As requested
dd.mm.yyyy]])</f>
        <v>2</v>
      </c>
      <c r="M826" s="36">
        <f>YEAR(Table1[[#This Row],[ETA
As requested
dd.mm.yyyy]])</f>
        <v>2025</v>
      </c>
      <c r="N826" s="36">
        <f>IFERROR(INDEX(DATABASE_FG!$H$5:$H$367, MATCH(E826, DATABASE_FG!$C$5:$C$367, 0)), " ")</f>
        <v>0</v>
      </c>
      <c r="O826" s="129" t="str">
        <f>IF(E826&lt;&gt;"", _xlfn.XLOOKUP(E826, DATABASE_FG!C:C, DATABASE_FG!F:F), " ")</f>
        <v>Ghidaje</v>
      </c>
      <c r="P826" s="129">
        <f>IFERROR(INDEX(DATABASE_FG!$G$5:$G$367, MATCH(E826, DATABASE_FG!$C$5:$C$367, 0)), "Not Found")</f>
        <v>0</v>
      </c>
      <c r="Q826" s="36"/>
      <c r="R826" s="125" t="s">
        <v>678</v>
      </c>
      <c r="S826" s="123">
        <f>IFERROR(INDEX(DATABASE_FG!$L$5:$L$367, MATCH(E826, DATABASE_FG!$C$5:$C$367, 0)), " ")</f>
        <v>42</v>
      </c>
      <c r="T826" s="36" t="s">
        <v>679</v>
      </c>
      <c r="U826" s="36"/>
      <c r="V826" s="36"/>
      <c r="W826" s="129"/>
      <c r="X826" s="36"/>
      <c r="Y826" s="36"/>
      <c r="Z826" s="36"/>
      <c r="AA826" s="125" t="s">
        <v>121</v>
      </c>
      <c r="AB826" s="173">
        <v>45667</v>
      </c>
      <c r="AC826" s="119" t="s">
        <v>2693</v>
      </c>
      <c r="AD826" s="36">
        <f t="shared" si="100"/>
        <v>38216062</v>
      </c>
      <c r="AE826" s="36" t="str">
        <f t="shared" si="101"/>
        <v>F-607694-1038.TK.KWVE20BNL-ISB-WW1</v>
      </c>
      <c r="AF826" s="36">
        <v>289</v>
      </c>
      <c r="AG826" s="120">
        <f t="shared" si="98"/>
        <v>1606.84</v>
      </c>
      <c r="AH826" s="36"/>
      <c r="AI826" s="124"/>
      <c r="AJ826" s="122" t="s">
        <v>2694</v>
      </c>
      <c r="AK826" s="129" t="str">
        <f t="shared" ca="1" si="97"/>
        <v>On Time</v>
      </c>
      <c r="AL826" s="268" t="str">
        <f t="shared" si="99"/>
        <v>January</v>
      </c>
      <c r="AM826" s="133">
        <f>YEAR(Table1[[#This Row],[ETA
As requested
dd.mm.yyyy]])</f>
        <v>2025</v>
      </c>
    </row>
    <row r="827" spans="1:39" hidden="1">
      <c r="A827" s="123" t="s">
        <v>83</v>
      </c>
      <c r="B827" s="36" t="s">
        <v>1170</v>
      </c>
      <c r="C827" s="117">
        <v>38216062</v>
      </c>
      <c r="D827" s="165">
        <v>45635</v>
      </c>
      <c r="E827" s="117" t="s">
        <v>97</v>
      </c>
      <c r="F827" s="36" t="str">
        <f>IFERROR(VLOOKUP(Table1[[#This Row],[Part Number]],DATABASE_FG!$C$6:D10816,2,FALSE)," ")</f>
        <v>300921586-8011</v>
      </c>
      <c r="G827" s="117" t="str">
        <f>IFERROR(_xlfn.XLOOKUP(Table1[[#This Row],[Part Number]],Table3[Part number],Table3[Drawing
 Revision]),"")</f>
        <v>AB</v>
      </c>
      <c r="H827" s="118" cm="1">
        <f t="array" ref="H827">IFERROR(INDEX(PDB!$C:$AT,MATCH(E827,PDB!$B:$B,0),MATCH(YEAR(K827),0+PDB!$C$1:$AT$1,0)),"")</f>
        <v>5.56</v>
      </c>
      <c r="I827" s="36">
        <v>400</v>
      </c>
      <c r="J827" s="125">
        <f>IFERROR(Table1[[#This Row],[Quantity]]*Table1[[#This Row],[Price/Unit
EUR]]," ")</f>
        <v>2224</v>
      </c>
      <c r="K827" s="126">
        <v>45673</v>
      </c>
      <c r="L827" s="36">
        <f>WEEKNUM(Table1[[#This Row],[ETA
As requested
dd.mm.yyyy]])</f>
        <v>3</v>
      </c>
      <c r="M827" s="36">
        <f>YEAR(Table1[[#This Row],[ETA
As requested
dd.mm.yyyy]])</f>
        <v>2025</v>
      </c>
      <c r="N827" s="36">
        <f>IFERROR(INDEX(DATABASE_FG!$H$5:$H$367, MATCH(E827, DATABASE_FG!$C$5:$C$367, 0)), " ")</f>
        <v>0</v>
      </c>
      <c r="O827" s="129" t="str">
        <f>IF(E827&lt;&gt;"", _xlfn.XLOOKUP(E827, DATABASE_FG!C:C, DATABASE_FG!F:F), " ")</f>
        <v>Ghidaje</v>
      </c>
      <c r="P827" s="129">
        <f>IFERROR(INDEX(DATABASE_FG!$G$5:$G$367, MATCH(E827, DATABASE_FG!$C$5:$C$367, 0)), "Not Found")</f>
        <v>0</v>
      </c>
      <c r="Q827" s="36"/>
      <c r="R827" s="125" t="s">
        <v>678</v>
      </c>
      <c r="S827" s="123">
        <f>IFERROR(INDEX(DATABASE_FG!$L$5:$L$367, MATCH(E827, DATABASE_FG!$C$5:$C$367, 0)), " ")</f>
        <v>42</v>
      </c>
      <c r="T827" s="36" t="s">
        <v>679</v>
      </c>
      <c r="U827" s="36"/>
      <c r="V827" s="36"/>
      <c r="W827" s="129"/>
      <c r="X827" s="36"/>
      <c r="Y827" s="36"/>
      <c r="Z827" s="36"/>
      <c r="AA827" s="125" t="s">
        <v>121</v>
      </c>
      <c r="AB827" s="173">
        <v>45671</v>
      </c>
      <c r="AC827" s="119" t="s">
        <v>2716</v>
      </c>
      <c r="AD827" s="36">
        <f t="shared" si="100"/>
        <v>38216062</v>
      </c>
      <c r="AE827" s="36" t="str">
        <f t="shared" si="101"/>
        <v>F-607694-1038.TK.KWVE20BNL-ISB-WW1</v>
      </c>
      <c r="AF827" s="36">
        <v>400</v>
      </c>
      <c r="AG827" s="120">
        <f t="shared" si="98"/>
        <v>2224</v>
      </c>
      <c r="AH827" s="36"/>
      <c r="AI827" s="124"/>
      <c r="AJ827" s="122" t="s">
        <v>2717</v>
      </c>
      <c r="AK827" s="129" t="str">
        <f t="shared" ca="1" si="97"/>
        <v>On Time</v>
      </c>
      <c r="AL827" s="268" t="str">
        <f t="shared" si="99"/>
        <v>January</v>
      </c>
      <c r="AM827" s="133">
        <f>YEAR(Table1[[#This Row],[ETA
As requested
dd.mm.yyyy]])</f>
        <v>2025</v>
      </c>
    </row>
    <row r="828" spans="1:39" hidden="1">
      <c r="A828" s="123" t="s">
        <v>83</v>
      </c>
      <c r="B828" s="36" t="s">
        <v>1170</v>
      </c>
      <c r="C828" s="117">
        <v>38397726</v>
      </c>
      <c r="D828" s="165">
        <v>45667</v>
      </c>
      <c r="E828" s="117" t="s">
        <v>97</v>
      </c>
      <c r="F828" s="36" t="str">
        <f>IFERROR(VLOOKUP(Table1[[#This Row],[Part Number]],DATABASE_FG!$C$6:D10817,2,FALSE)," ")</f>
        <v>300921586-8011</v>
      </c>
      <c r="G828" s="117" t="str">
        <f>IFERROR(_xlfn.XLOOKUP(Table1[[#This Row],[Part Number]],Table3[Part number],Table3[Drawing
 Revision]),"")</f>
        <v>AB</v>
      </c>
      <c r="H828" s="118" cm="1">
        <f t="array" ref="H828">IFERROR(INDEX(PDB!$C:$AT,MATCH(E828,PDB!$B:$B,0),MATCH(YEAR(K828),0+PDB!$C$1:$AT$1,0)),"")</f>
        <v>5.56</v>
      </c>
      <c r="I828" s="36">
        <v>194</v>
      </c>
      <c r="J828" s="125">
        <f>IFERROR(Table1[[#This Row],[Quantity]]*Table1[[#This Row],[Price/Unit
EUR]]," ")</f>
        <v>1078.6399999999999</v>
      </c>
      <c r="K828" s="126">
        <v>45680</v>
      </c>
      <c r="L828" s="36">
        <f>WEEKNUM(Table1[[#This Row],[ETA
As requested
dd.mm.yyyy]])</f>
        <v>4</v>
      </c>
      <c r="M828" s="36">
        <f>YEAR(Table1[[#This Row],[ETA
As requested
dd.mm.yyyy]])</f>
        <v>2025</v>
      </c>
      <c r="N828" s="36">
        <f>IFERROR(INDEX(DATABASE_FG!$H$5:$H$367, MATCH(E828, DATABASE_FG!$C$5:$C$367, 0)), " ")</f>
        <v>0</v>
      </c>
      <c r="O828" s="129" t="str">
        <f>IF(E828&lt;&gt;"", _xlfn.XLOOKUP(E828, DATABASE_FG!C:C, DATABASE_FG!F:F), " ")</f>
        <v>Ghidaje</v>
      </c>
      <c r="P828" s="129">
        <f>IFERROR(INDEX(DATABASE_FG!$G$5:$G$367, MATCH(E828, DATABASE_FG!$C$5:$C$367, 0)), "Not Found")</f>
        <v>0</v>
      </c>
      <c r="Q828" s="36"/>
      <c r="R828" s="125" t="s">
        <v>678</v>
      </c>
      <c r="S828" s="123">
        <f>IFERROR(INDEX(DATABASE_FG!$L$5:$L$367, MATCH(E828, DATABASE_FG!$C$5:$C$367, 0)), " ")</f>
        <v>42</v>
      </c>
      <c r="T828" s="36" t="s">
        <v>679</v>
      </c>
      <c r="U828" s="36"/>
      <c r="V828" s="36"/>
      <c r="W828" s="129"/>
      <c r="X828" s="36"/>
      <c r="Y828" s="36"/>
      <c r="Z828" s="36"/>
      <c r="AA828" s="125" t="s">
        <v>121</v>
      </c>
      <c r="AB828" s="173">
        <v>45691</v>
      </c>
      <c r="AC828" s="119">
        <v>25136</v>
      </c>
      <c r="AD828" s="36">
        <f t="shared" si="100"/>
        <v>38397726</v>
      </c>
      <c r="AE828" s="36" t="str">
        <f t="shared" si="101"/>
        <v>F-607694-1038.TK.KWVE20BNL-ISB-WW1</v>
      </c>
      <c r="AF828" s="36">
        <v>194</v>
      </c>
      <c r="AG828" s="120">
        <f t="shared" si="98"/>
        <v>1078.6399999999999</v>
      </c>
      <c r="AH828" s="36"/>
      <c r="AI828" s="124"/>
      <c r="AJ828" s="122" t="s">
        <v>2759</v>
      </c>
      <c r="AK828" s="129" t="str">
        <f t="shared" ca="1" si="97"/>
        <v>Late</v>
      </c>
      <c r="AL828" s="268" t="str">
        <f t="shared" si="99"/>
        <v>January</v>
      </c>
      <c r="AM828" s="133">
        <f>YEAR(Table1[[#This Row],[ETA
As requested
dd.mm.yyyy]])</f>
        <v>2025</v>
      </c>
    </row>
    <row r="829" spans="1:39" hidden="1">
      <c r="A829" s="123" t="s">
        <v>83</v>
      </c>
      <c r="B829" s="36" t="s">
        <v>1170</v>
      </c>
      <c r="C829" s="117">
        <v>38397726</v>
      </c>
      <c r="D829" s="165">
        <v>45667</v>
      </c>
      <c r="E829" s="117" t="s">
        <v>97</v>
      </c>
      <c r="F829" s="36" t="str">
        <f>IFERROR(VLOOKUP(Table1[[#This Row],[Part Number]],DATABASE_FG!$C$6:D10818,2,FALSE)," ")</f>
        <v>300921586-8011</v>
      </c>
      <c r="G829" s="117" t="str">
        <f>IFERROR(_xlfn.XLOOKUP(Table1[[#This Row],[Part Number]],Table3[Part number],Table3[Drawing
 Revision]),"")</f>
        <v>AB</v>
      </c>
      <c r="H829" s="118" cm="1">
        <f t="array" ref="H829">IFERROR(INDEX(PDB!$C:$AT,MATCH(E829,PDB!$B:$B,0),MATCH(YEAR(K829),0+PDB!$C$1:$AT$1,0)),"")</f>
        <v>5.56</v>
      </c>
      <c r="I829" s="36">
        <v>10</v>
      </c>
      <c r="J829" s="125">
        <f>IFERROR(Table1[[#This Row],[Quantity]]*Table1[[#This Row],[Price/Unit
EUR]]," ")</f>
        <v>55.599999999999994</v>
      </c>
      <c r="K829" s="126">
        <v>45680</v>
      </c>
      <c r="L829" s="36">
        <f>WEEKNUM(Table1[[#This Row],[ETA
As requested
dd.mm.yyyy]])</f>
        <v>4</v>
      </c>
      <c r="M829" s="36">
        <f>YEAR(Table1[[#This Row],[ETA
As requested
dd.mm.yyyy]])</f>
        <v>2025</v>
      </c>
      <c r="N829" s="36">
        <f>IFERROR(INDEX(DATABASE_FG!$H$5:$H$367, MATCH(E829, DATABASE_FG!$C$5:$C$367, 0)), " ")</f>
        <v>0</v>
      </c>
      <c r="O829" s="129" t="str">
        <f>IF(E829&lt;&gt;"", _xlfn.XLOOKUP(E829, DATABASE_FG!C:C, DATABASE_FG!F:F), " ")</f>
        <v>Ghidaje</v>
      </c>
      <c r="P829" s="129">
        <f>IFERROR(INDEX(DATABASE_FG!$G$5:$G$367, MATCH(E829, DATABASE_FG!$C$5:$C$367, 0)), "Not Found")</f>
        <v>0</v>
      </c>
      <c r="Q829" s="36"/>
      <c r="R829" s="125" t="s">
        <v>678</v>
      </c>
      <c r="S829" s="123">
        <f>IFERROR(INDEX(DATABASE_FG!$L$5:$L$367, MATCH(E829, DATABASE_FG!$C$5:$C$367, 0)), " ")</f>
        <v>42</v>
      </c>
      <c r="T829" s="36" t="s">
        <v>679</v>
      </c>
      <c r="U829" s="36"/>
      <c r="V829" s="36"/>
      <c r="W829" s="129"/>
      <c r="X829" s="36"/>
      <c r="Y829" s="36"/>
      <c r="Z829" s="36"/>
      <c r="AA829" s="125" t="s">
        <v>121</v>
      </c>
      <c r="AB829" s="173">
        <v>45691</v>
      </c>
      <c r="AC829" s="119">
        <v>25137</v>
      </c>
      <c r="AD829" s="36">
        <f t="shared" si="100"/>
        <v>38397726</v>
      </c>
      <c r="AE829" s="36" t="str">
        <f t="shared" si="101"/>
        <v>F-607694-1038.TK.KWVE20BNL-ISB-WW1</v>
      </c>
      <c r="AF829" s="36">
        <v>10</v>
      </c>
      <c r="AG829" s="120">
        <f t="shared" si="98"/>
        <v>55.599999999999994</v>
      </c>
      <c r="AH829" s="36"/>
      <c r="AI829" s="124"/>
      <c r="AJ829" s="122" t="s">
        <v>2760</v>
      </c>
      <c r="AK829" s="129" t="str">
        <f t="shared" ca="1" si="97"/>
        <v>Late</v>
      </c>
      <c r="AL829" s="268" t="str">
        <f t="shared" si="99"/>
        <v>January</v>
      </c>
      <c r="AM829" s="133">
        <f>YEAR(Table1[[#This Row],[ETA
As requested
dd.mm.yyyy]])</f>
        <v>2025</v>
      </c>
    </row>
    <row r="830" spans="1:39" hidden="1">
      <c r="A830" s="123" t="s">
        <v>83</v>
      </c>
      <c r="B830" s="36" t="s">
        <v>1170</v>
      </c>
      <c r="C830" s="117">
        <v>38397726</v>
      </c>
      <c r="D830" s="165">
        <v>45667</v>
      </c>
      <c r="E830" s="117" t="s">
        <v>97</v>
      </c>
      <c r="F830" s="36" t="str">
        <f>IFERROR(VLOOKUP(Table1[[#This Row],[Part Number]],DATABASE_FG!$C$6:D10819,2,FALSE)," ")</f>
        <v>300921586-8011</v>
      </c>
      <c r="G830" s="117" t="str">
        <f>IFERROR(_xlfn.XLOOKUP(Table1[[#This Row],[Part Number]],Table3[Part number],Table3[Drawing
 Revision]),"")</f>
        <v>AB</v>
      </c>
      <c r="H830" s="118" cm="1">
        <f t="array" ref="H830">IFERROR(INDEX(PDB!$C:$AT,MATCH(E830,PDB!$B:$B,0),MATCH(YEAR(K830),0+PDB!$C$1:$AT$1,0)),"")</f>
        <v>5.56</v>
      </c>
      <c r="I830" s="36">
        <v>503</v>
      </c>
      <c r="J830" s="125">
        <f>IFERROR(Table1[[#This Row],[Quantity]]*Table1[[#This Row],[Price/Unit
EUR]]," ")</f>
        <v>2796.68</v>
      </c>
      <c r="K830" s="126">
        <v>45680</v>
      </c>
      <c r="L830" s="36">
        <f>WEEKNUM(Table1[[#This Row],[ETA
As requested
dd.mm.yyyy]])</f>
        <v>4</v>
      </c>
      <c r="M830" s="36">
        <f>YEAR(Table1[[#This Row],[ETA
As requested
dd.mm.yyyy]])</f>
        <v>2025</v>
      </c>
      <c r="N830" s="36">
        <f>IFERROR(INDEX(DATABASE_FG!$H$5:$H$367, MATCH(E830, DATABASE_FG!$C$5:$C$367, 0)), " ")</f>
        <v>0</v>
      </c>
      <c r="O830" s="129" t="str">
        <f>IF(E830&lt;&gt;"", _xlfn.XLOOKUP(E830, DATABASE_FG!C:C, DATABASE_FG!F:F), " ")</f>
        <v>Ghidaje</v>
      </c>
      <c r="P830" s="129">
        <f>IFERROR(INDEX(DATABASE_FG!$G$5:$G$367, MATCH(E830, DATABASE_FG!$C$5:$C$367, 0)), "Not Found")</f>
        <v>0</v>
      </c>
      <c r="Q830" s="36"/>
      <c r="R830" s="125" t="s">
        <v>678</v>
      </c>
      <c r="S830" s="123">
        <f>IFERROR(INDEX(DATABASE_FG!$L$5:$L$367, MATCH(E830, DATABASE_FG!$C$5:$C$367, 0)), " ")</f>
        <v>42</v>
      </c>
      <c r="T830" s="36" t="s">
        <v>679</v>
      </c>
      <c r="U830" s="36"/>
      <c r="V830" s="36"/>
      <c r="W830" s="129"/>
      <c r="X830" s="36"/>
      <c r="Y830" s="36"/>
      <c r="Z830" s="36"/>
      <c r="AA830" s="125" t="s">
        <v>121</v>
      </c>
      <c r="AB830" s="173">
        <v>45694</v>
      </c>
      <c r="AC830" s="119">
        <v>25153</v>
      </c>
      <c r="AD830" s="36">
        <f t="shared" si="100"/>
        <v>38397726</v>
      </c>
      <c r="AE830" s="36" t="str">
        <f t="shared" si="101"/>
        <v>F-607694-1038.TK.KWVE20BNL-ISB-WW1</v>
      </c>
      <c r="AF830" s="36">
        <v>503</v>
      </c>
      <c r="AG830" s="120">
        <f t="shared" si="98"/>
        <v>2796.68</v>
      </c>
      <c r="AH830" s="36"/>
      <c r="AI830" s="124"/>
      <c r="AJ830" s="122" t="s">
        <v>2765</v>
      </c>
      <c r="AK830" s="129" t="str">
        <f t="shared" ca="1" si="97"/>
        <v>Late</v>
      </c>
      <c r="AL830" s="268" t="str">
        <f t="shared" si="99"/>
        <v>January</v>
      </c>
      <c r="AM830" s="133">
        <f>YEAR(Table1[[#This Row],[ETA
As requested
dd.mm.yyyy]])</f>
        <v>2025</v>
      </c>
    </row>
    <row r="831" spans="1:39" hidden="1">
      <c r="A831" s="123" t="s">
        <v>83</v>
      </c>
      <c r="B831" s="36" t="s">
        <v>1170</v>
      </c>
      <c r="C831" s="117">
        <v>38397726</v>
      </c>
      <c r="D831" s="165">
        <v>45667</v>
      </c>
      <c r="E831" s="117" t="s">
        <v>97</v>
      </c>
      <c r="F831" s="36" t="str">
        <f>IFERROR(VLOOKUP(Table1[[#This Row],[Part Number]],DATABASE_FG!$C$6:D10820,2,FALSE)," ")</f>
        <v>300921586-8011</v>
      </c>
      <c r="G831" s="117" t="str">
        <f>IFERROR(_xlfn.XLOOKUP(Table1[[#This Row],[Part Number]],Table3[Part number],Table3[Drawing
 Revision]),"")</f>
        <v>AB</v>
      </c>
      <c r="H831" s="118" cm="1">
        <f t="array" ref="H831">IFERROR(INDEX(PDB!$C:$AT,MATCH(E831,PDB!$B:$B,0),MATCH(YEAR(K831),0+PDB!$C$1:$AT$1,0)),"")</f>
        <v>5.56</v>
      </c>
      <c r="I831" s="36">
        <v>184</v>
      </c>
      <c r="J831" s="125">
        <f>IFERROR(Table1[[#This Row],[Quantity]]*Table1[[#This Row],[Price/Unit
EUR]]," ")</f>
        <v>1023.04</v>
      </c>
      <c r="K831" s="126">
        <v>45680</v>
      </c>
      <c r="L831" s="36">
        <f>WEEKNUM(Table1[[#This Row],[ETA
As requested
dd.mm.yyyy]])</f>
        <v>4</v>
      </c>
      <c r="M831" s="36">
        <f>YEAR(Table1[[#This Row],[ETA
As requested
dd.mm.yyyy]])</f>
        <v>2025</v>
      </c>
      <c r="N831" s="36">
        <f>IFERROR(INDEX(DATABASE_FG!$H$5:$H$367, MATCH(E831, DATABASE_FG!$C$5:$C$367, 0)), " ")</f>
        <v>0</v>
      </c>
      <c r="O831" s="129" t="str">
        <f>IF(E831&lt;&gt;"", _xlfn.XLOOKUP(E831, DATABASE_FG!C:C, DATABASE_FG!F:F), " ")</f>
        <v>Ghidaje</v>
      </c>
      <c r="P831" s="129">
        <f>IFERROR(INDEX(DATABASE_FG!$G$5:$G$367, MATCH(E831, DATABASE_FG!$C$5:$C$367, 0)), "Not Found")</f>
        <v>0</v>
      </c>
      <c r="Q831" s="36"/>
      <c r="R831" s="125" t="s">
        <v>678</v>
      </c>
      <c r="S831" s="123">
        <f>IFERROR(INDEX(DATABASE_FG!$L$5:$L$367, MATCH(E831, DATABASE_FG!$C$5:$C$367, 0)), " ")</f>
        <v>42</v>
      </c>
      <c r="T831" s="36" t="s">
        <v>679</v>
      </c>
      <c r="U831" s="36"/>
      <c r="V831" s="36"/>
      <c r="W831" s="129"/>
      <c r="X831" s="36"/>
      <c r="Y831" s="36" t="s">
        <v>121</v>
      </c>
      <c r="Z831" s="36"/>
      <c r="AA831" s="125" t="s">
        <v>121</v>
      </c>
      <c r="AB831" s="173">
        <v>45695</v>
      </c>
      <c r="AC831" s="119">
        <v>25171</v>
      </c>
      <c r="AD831" s="36">
        <f t="shared" si="100"/>
        <v>38397726</v>
      </c>
      <c r="AE831" s="36" t="str">
        <f t="shared" si="101"/>
        <v>F-607694-1038.TK.KWVE20BNL-ISB-WW1</v>
      </c>
      <c r="AF831" s="36">
        <v>184</v>
      </c>
      <c r="AG831" s="120">
        <f t="shared" si="98"/>
        <v>1023.04</v>
      </c>
      <c r="AH831" s="36"/>
      <c r="AI831" s="124"/>
      <c r="AJ831" s="122" t="s">
        <v>2766</v>
      </c>
      <c r="AK831" s="129" t="str">
        <f t="shared" ca="1" si="97"/>
        <v>Late</v>
      </c>
      <c r="AL831" s="268" t="str">
        <f t="shared" si="99"/>
        <v>January</v>
      </c>
      <c r="AM831" s="133">
        <f>YEAR(Table1[[#This Row],[ETA
As requested
dd.mm.yyyy]])</f>
        <v>2025</v>
      </c>
    </row>
    <row r="832" spans="1:39" hidden="1">
      <c r="A832" s="123" t="s">
        <v>83</v>
      </c>
      <c r="B832" s="36" t="s">
        <v>1170</v>
      </c>
      <c r="C832" s="117">
        <v>38397726</v>
      </c>
      <c r="D832" s="165">
        <v>45667</v>
      </c>
      <c r="E832" s="117" t="s">
        <v>97</v>
      </c>
      <c r="F832" s="36" t="str">
        <f>IFERROR(VLOOKUP(Table1[[#This Row],[Part Number]],DATABASE_FG!$C$6:D10821,2,FALSE)," ")</f>
        <v>300921586-8011</v>
      </c>
      <c r="G832" s="117" t="str">
        <f>IFERROR(_xlfn.XLOOKUP(Table1[[#This Row],[Part Number]],Table3[Part number],Table3[Drawing
 Revision]),"")</f>
        <v>AB</v>
      </c>
      <c r="H832" s="118" cm="1">
        <f t="array" ref="H832">IFERROR(INDEX(PDB!$C:$AT,MATCH(E832,PDB!$B:$B,0),MATCH(YEAR(K832),0+PDB!$C$1:$AT$1,0)),"")</f>
        <v>5.56</v>
      </c>
      <c r="I832" s="36">
        <f>293-184</f>
        <v>109</v>
      </c>
      <c r="J832" s="125">
        <f>IFERROR(Table1[[#This Row],[Quantity]]*Table1[[#This Row],[Price/Unit
EUR]]," ")</f>
        <v>606.04</v>
      </c>
      <c r="K832" s="126">
        <v>45680</v>
      </c>
      <c r="L832" s="36">
        <f>WEEKNUM(Table1[[#This Row],[ETA
As requested
dd.mm.yyyy]])</f>
        <v>4</v>
      </c>
      <c r="M832" s="36">
        <f>YEAR(Table1[[#This Row],[ETA
As requested
dd.mm.yyyy]])</f>
        <v>2025</v>
      </c>
      <c r="N832" s="36">
        <f>IFERROR(INDEX(DATABASE_FG!$H$5:$H$367, MATCH(E832, DATABASE_FG!$C$5:$C$367, 0)), " ")</f>
        <v>0</v>
      </c>
      <c r="O832" s="129" t="str">
        <f>IF(E832&lt;&gt;"", _xlfn.XLOOKUP(E832, DATABASE_FG!C:C, DATABASE_FG!F:F), " ")</f>
        <v>Ghidaje</v>
      </c>
      <c r="P832" s="129">
        <f>IFERROR(INDEX(DATABASE_FG!$G$5:$G$367, MATCH(E832, DATABASE_FG!$C$5:$C$367, 0)), "Not Found")</f>
        <v>0</v>
      </c>
      <c r="Q832" s="36"/>
      <c r="R832" s="125" t="s">
        <v>678</v>
      </c>
      <c r="S832" s="123">
        <f>IFERROR(INDEX(DATABASE_FG!$L$5:$L$367, MATCH(E832, DATABASE_FG!$C$5:$C$367, 0)), " ")</f>
        <v>42</v>
      </c>
      <c r="T832" s="36" t="s">
        <v>679</v>
      </c>
      <c r="U832" s="36"/>
      <c r="V832" s="36"/>
      <c r="W832" s="129"/>
      <c r="X832" s="36"/>
      <c r="Y832" s="36" t="s">
        <v>121</v>
      </c>
      <c r="Z832" s="36"/>
      <c r="AA832" s="125" t="s">
        <v>121</v>
      </c>
      <c r="AB832" s="173">
        <v>45699</v>
      </c>
      <c r="AC832" s="119">
        <v>25185</v>
      </c>
      <c r="AD832" s="36">
        <f t="shared" si="100"/>
        <v>38397726</v>
      </c>
      <c r="AE832" s="36" t="str">
        <f t="shared" si="101"/>
        <v>F-607694-1038.TK.KWVE20BNL-ISB-WW1</v>
      </c>
      <c r="AF832" s="36">
        <v>109</v>
      </c>
      <c r="AG832" s="120">
        <f t="shared" si="98"/>
        <v>606.04</v>
      </c>
      <c r="AH832" s="36"/>
      <c r="AI832" s="124"/>
      <c r="AJ832" s="122" t="s">
        <v>2767</v>
      </c>
      <c r="AK832" s="129" t="str">
        <f t="shared" ca="1" si="97"/>
        <v>Late</v>
      </c>
      <c r="AL832" s="268" t="str">
        <f t="shared" si="99"/>
        <v>January</v>
      </c>
      <c r="AM832" s="133">
        <f>YEAR(Table1[[#This Row],[ETA
As requested
dd.mm.yyyy]])</f>
        <v>2025</v>
      </c>
    </row>
    <row r="833" spans="1:39" hidden="1">
      <c r="A833" s="123" t="s">
        <v>83</v>
      </c>
      <c r="B833" s="36" t="s">
        <v>1170</v>
      </c>
      <c r="C833" s="117">
        <v>38537148</v>
      </c>
      <c r="D833" s="165">
        <v>45691</v>
      </c>
      <c r="E833" s="117" t="s">
        <v>97</v>
      </c>
      <c r="F833" s="36" t="str">
        <f>IFERROR(VLOOKUP(Table1[[#This Row],[Part Number]],DATABASE_FG!$C$6:D10822,2,FALSE)," ")</f>
        <v>300921586-8011</v>
      </c>
      <c r="G833" s="117" t="str">
        <f>IFERROR(_xlfn.XLOOKUP(Table1[[#This Row],[Part Number]],Table3[Part number],Table3[Drawing
 Revision]),"")</f>
        <v>AB</v>
      </c>
      <c r="H833" s="118" cm="1">
        <f t="array" ref="H833">IFERROR(INDEX(PDB!$C:$AT,MATCH(E833,PDB!$B:$B,0),MATCH(YEAR(K833),0+PDB!$C$1:$AT$1,0)),"")</f>
        <v>5.56</v>
      </c>
      <c r="I833" s="36">
        <v>140</v>
      </c>
      <c r="J833" s="125">
        <f>IFERROR(Table1[[#This Row],[Quantity]]*Table1[[#This Row],[Price/Unit
EUR]]," ")</f>
        <v>778.4</v>
      </c>
      <c r="K833" s="126">
        <v>45713</v>
      </c>
      <c r="L833" s="36">
        <f>WEEKNUM(Table1[[#This Row],[ETA
As requested
dd.mm.yyyy]])</f>
        <v>9</v>
      </c>
      <c r="M833" s="36">
        <f>YEAR(Table1[[#This Row],[ETA
As requested
dd.mm.yyyy]])</f>
        <v>2025</v>
      </c>
      <c r="N833" s="36">
        <f>IFERROR(INDEX(DATABASE_FG!$H$5:$H$367, MATCH(E833, DATABASE_FG!$C$5:$C$367, 0)), " ")</f>
        <v>0</v>
      </c>
      <c r="O833" s="129" t="str">
        <f>IF(E833&lt;&gt;"", _xlfn.XLOOKUP(E833, DATABASE_FG!C:C, DATABASE_FG!F:F), " ")</f>
        <v>Ghidaje</v>
      </c>
      <c r="P833" s="129">
        <f>IFERROR(INDEX(DATABASE_FG!$G$5:$G$367, MATCH(E833, DATABASE_FG!$C$5:$C$367, 0)), "Not Found")</f>
        <v>0</v>
      </c>
      <c r="Q833" s="36"/>
      <c r="R833" s="125" t="s">
        <v>678</v>
      </c>
      <c r="S833" s="123">
        <f>IFERROR(INDEX(DATABASE_FG!$L$5:$L$367, MATCH(E833, DATABASE_FG!$C$5:$C$367, 0)), " ")</f>
        <v>42</v>
      </c>
      <c r="T833" s="36" t="s">
        <v>679</v>
      </c>
      <c r="U833" s="36"/>
      <c r="V833" s="36"/>
      <c r="W833" s="129"/>
      <c r="X833" s="36"/>
      <c r="Y833" s="36"/>
      <c r="Z833" s="36"/>
      <c r="AA833" s="125" t="s">
        <v>121</v>
      </c>
      <c r="AB833" s="173">
        <v>45699</v>
      </c>
      <c r="AC833" s="119">
        <v>25186</v>
      </c>
      <c r="AD833" s="36">
        <f t="shared" si="100"/>
        <v>38537148</v>
      </c>
      <c r="AE833" s="36" t="str">
        <f t="shared" si="101"/>
        <v>F-607694-1038.TK.KWVE20BNL-ISB-WW1</v>
      </c>
      <c r="AF833" s="36">
        <v>140</v>
      </c>
      <c r="AG833" s="120">
        <f t="shared" si="98"/>
        <v>778.4</v>
      </c>
      <c r="AH833" s="36"/>
      <c r="AI833" s="124"/>
      <c r="AJ833" s="122" t="s">
        <v>2879</v>
      </c>
      <c r="AK833" s="129" t="str">
        <f t="shared" ca="1" si="97"/>
        <v>On Time</v>
      </c>
      <c r="AL833" s="268" t="str">
        <f t="shared" si="99"/>
        <v>February</v>
      </c>
      <c r="AM833" s="133">
        <f>YEAR(Table1[[#This Row],[ETA
As requested
dd.mm.yyyy]])</f>
        <v>2025</v>
      </c>
    </row>
    <row r="834" spans="1:39" hidden="1">
      <c r="A834" s="123" t="s">
        <v>83</v>
      </c>
      <c r="B834" s="36" t="s">
        <v>1170</v>
      </c>
      <c r="C834" s="117">
        <v>38537148</v>
      </c>
      <c r="D834" s="165">
        <v>45691</v>
      </c>
      <c r="E834" s="117" t="s">
        <v>97</v>
      </c>
      <c r="F834" s="36" t="str">
        <f>IFERROR(VLOOKUP(Table1[[#This Row],[Part Number]],DATABASE_FG!$C$6:D10823,2,FALSE)," ")</f>
        <v>300921586-8011</v>
      </c>
      <c r="G834" s="117" t="str">
        <f>IFERROR(_xlfn.XLOOKUP(Table1[[#This Row],[Part Number]],Table3[Part number],Table3[Drawing
 Revision]),"")</f>
        <v>AB</v>
      </c>
      <c r="H834" s="118" cm="1">
        <f t="array" ref="H834">IFERROR(INDEX(PDB!$C:$AT,MATCH(E834,PDB!$B:$B,0),MATCH(YEAR(K834),0+PDB!$C$1:$AT$1,0)),"")</f>
        <v>5.56</v>
      </c>
      <c r="I834" s="36">
        <v>120</v>
      </c>
      <c r="J834" s="125">
        <f>IFERROR(Table1[[#This Row],[Quantity]]*Table1[[#This Row],[Price/Unit
EUR]]," ")</f>
        <v>667.19999999999993</v>
      </c>
      <c r="K834" s="126">
        <v>45713</v>
      </c>
      <c r="L834" s="36">
        <f>WEEKNUM(Table1[[#This Row],[ETA
As requested
dd.mm.yyyy]])</f>
        <v>9</v>
      </c>
      <c r="M834" s="36">
        <f>YEAR(Table1[[#This Row],[ETA
As requested
dd.mm.yyyy]])</f>
        <v>2025</v>
      </c>
      <c r="N834" s="36">
        <f>IFERROR(INDEX(DATABASE_FG!$H$5:$H$367, MATCH(E834, DATABASE_FG!$C$5:$C$367, 0)), " ")</f>
        <v>0</v>
      </c>
      <c r="O834" s="129" t="str">
        <f>IF(E834&lt;&gt;"", _xlfn.XLOOKUP(E834, DATABASE_FG!C:C, DATABASE_FG!F:F), " ")</f>
        <v>Ghidaje</v>
      </c>
      <c r="P834" s="129">
        <f>IFERROR(INDEX(DATABASE_FG!$G$5:$G$367, MATCH(E834, DATABASE_FG!$C$5:$C$367, 0)), "Not Found")</f>
        <v>0</v>
      </c>
      <c r="Q834" s="36"/>
      <c r="R834" s="125" t="s">
        <v>678</v>
      </c>
      <c r="S834" s="123">
        <f>IFERROR(INDEX(DATABASE_FG!$L$5:$L$367, MATCH(E834, DATABASE_FG!$C$5:$C$367, 0)), " ")</f>
        <v>42</v>
      </c>
      <c r="T834" s="36"/>
      <c r="U834" s="36"/>
      <c r="V834" s="36"/>
      <c r="W834" s="129"/>
      <c r="X834" s="36"/>
      <c r="Y834" s="36"/>
      <c r="Z834" s="36"/>
      <c r="AA834" s="125" t="s">
        <v>121</v>
      </c>
      <c r="AB834" s="173">
        <v>45715</v>
      </c>
      <c r="AC834" s="119">
        <v>25276</v>
      </c>
      <c r="AD834" s="36">
        <f t="shared" si="100"/>
        <v>38537148</v>
      </c>
      <c r="AE834" s="36" t="str">
        <f t="shared" si="101"/>
        <v>F-607694-1038.TK.KWVE20BNL-ISB-WW1</v>
      </c>
      <c r="AF834" s="36">
        <v>120</v>
      </c>
      <c r="AG834" s="120">
        <f t="shared" si="98"/>
        <v>667.19999999999993</v>
      </c>
      <c r="AH834" s="36"/>
      <c r="AI834" s="124"/>
      <c r="AJ834" s="122" t="s">
        <v>2885</v>
      </c>
      <c r="AK834" s="129" t="str">
        <f t="shared" ca="1" si="97"/>
        <v>On Time</v>
      </c>
      <c r="AL834" s="268" t="str">
        <f t="shared" si="99"/>
        <v>February</v>
      </c>
      <c r="AM834" s="133">
        <f>YEAR(Table1[[#This Row],[ETA
As requested
dd.mm.yyyy]])</f>
        <v>2025</v>
      </c>
    </row>
    <row r="835" spans="1:39" hidden="1">
      <c r="A835" s="123" t="s">
        <v>83</v>
      </c>
      <c r="B835" s="36" t="s">
        <v>1170</v>
      </c>
      <c r="C835" s="117">
        <v>38537148</v>
      </c>
      <c r="D835" s="165">
        <v>45691</v>
      </c>
      <c r="E835" s="117" t="s">
        <v>97</v>
      </c>
      <c r="F835" s="36" t="str">
        <f>IFERROR(VLOOKUP(Table1[[#This Row],[Part Number]],DATABASE_FG!$C$6:D10824,2,FALSE)," ")</f>
        <v>300921586-8011</v>
      </c>
      <c r="G835" s="117" t="str">
        <f>IFERROR(_xlfn.XLOOKUP(Table1[[#This Row],[Part Number]],Table3[Part number],Table3[Drawing
 Revision]),"")</f>
        <v>AB</v>
      </c>
      <c r="H835" s="118" cm="1">
        <f t="array" ref="H835">IFERROR(INDEX(PDB!$C:$AT,MATCH(E835,PDB!$B:$B,0),MATCH(YEAR(K835),0+PDB!$C$1:$AT$1,0)),"")</f>
        <v>5.56</v>
      </c>
      <c r="I835" s="36">
        <f>540-140-120</f>
        <v>280</v>
      </c>
      <c r="J835" s="125">
        <f>IFERROR(Table1[[#This Row],[Quantity]]*Table1[[#This Row],[Price/Unit
EUR]]," ")</f>
        <v>1556.8</v>
      </c>
      <c r="K835" s="126">
        <v>45713</v>
      </c>
      <c r="L835" s="36">
        <f>WEEKNUM(Table1[[#This Row],[ETA
As requested
dd.mm.yyyy]])</f>
        <v>9</v>
      </c>
      <c r="M835" s="36">
        <f>YEAR(Table1[[#This Row],[ETA
As requested
dd.mm.yyyy]])</f>
        <v>2025</v>
      </c>
      <c r="N835" s="36">
        <f>IFERROR(INDEX(DATABASE_FG!$H$5:$H$367, MATCH(E835, DATABASE_FG!$C$5:$C$367, 0)), " ")</f>
        <v>0</v>
      </c>
      <c r="O835" s="129" t="str">
        <f>IF(E835&lt;&gt;"", _xlfn.XLOOKUP(E835, DATABASE_FG!C:C, DATABASE_FG!F:F), " ")</f>
        <v>Ghidaje</v>
      </c>
      <c r="P835" s="129">
        <f>IFERROR(INDEX(DATABASE_FG!$G$5:$G$367, MATCH(E835, DATABASE_FG!$C$5:$C$367, 0)), "Not Found")</f>
        <v>0</v>
      </c>
      <c r="Q835" s="36"/>
      <c r="R835" s="125" t="s">
        <v>678</v>
      </c>
      <c r="S835" s="123">
        <f>IFERROR(INDEX(DATABASE_FG!$L$5:$L$367, MATCH(E835, DATABASE_FG!$C$5:$C$367, 0)), " ")</f>
        <v>42</v>
      </c>
      <c r="T835" s="36" t="s">
        <v>679</v>
      </c>
      <c r="U835" s="36"/>
      <c r="V835" s="36"/>
      <c r="W835" s="129"/>
      <c r="X835" s="36"/>
      <c r="Y835" s="36"/>
      <c r="Z835" s="36"/>
      <c r="AA835" s="125" t="s">
        <v>121</v>
      </c>
      <c r="AB835" s="173">
        <v>45720</v>
      </c>
      <c r="AC835" s="119">
        <v>25308</v>
      </c>
      <c r="AD835" s="36">
        <f t="shared" si="100"/>
        <v>38537148</v>
      </c>
      <c r="AE835" s="36" t="str">
        <f t="shared" si="101"/>
        <v>F-607694-1038.TK.KWVE20BNL-ISB-WW1</v>
      </c>
      <c r="AF835" s="36">
        <v>280</v>
      </c>
      <c r="AG835" s="120">
        <f t="shared" si="98"/>
        <v>1556.8</v>
      </c>
      <c r="AH835" s="36"/>
      <c r="AI835" s="124"/>
      <c r="AJ835" s="122" t="s">
        <v>2887</v>
      </c>
      <c r="AK835" s="129" t="str">
        <f t="shared" ca="1" si="97"/>
        <v>Late</v>
      </c>
      <c r="AL835" s="268" t="str">
        <f t="shared" si="99"/>
        <v>February</v>
      </c>
      <c r="AM835" s="133">
        <f>YEAR(Table1[[#This Row],[ETA
As requested
dd.mm.yyyy]])</f>
        <v>2025</v>
      </c>
    </row>
    <row r="836" spans="1:39" hidden="1">
      <c r="A836" s="123" t="s">
        <v>83</v>
      </c>
      <c r="B836" s="36" t="s">
        <v>1170</v>
      </c>
      <c r="C836" s="117">
        <v>38676823</v>
      </c>
      <c r="D836" s="165">
        <v>45709</v>
      </c>
      <c r="E836" s="117" t="s">
        <v>97</v>
      </c>
      <c r="F836" s="36" t="str">
        <f>IFERROR(VLOOKUP(Table1[[#This Row],[Part Number]],DATABASE_FG!$C$6:D10825,2,FALSE)," ")</f>
        <v>300921586-8011</v>
      </c>
      <c r="G836" s="117" t="str">
        <f>IFERROR(_xlfn.XLOOKUP(Table1[[#This Row],[Part Number]],Table3[Part number],Table3[Drawing
 Revision]),"")</f>
        <v>AB</v>
      </c>
      <c r="H836" s="118" cm="1">
        <f t="array" ref="H836">IFERROR(INDEX(PDB!$C:$AT,MATCH(E836,PDB!$B:$B,0),MATCH(YEAR(K836),0+PDB!$C$1:$AT$1,0)),"")</f>
        <v>5.56</v>
      </c>
      <c r="I836" s="36">
        <v>75</v>
      </c>
      <c r="J836" s="125">
        <f>IFERROR(Table1[[#This Row],[Quantity]]*Table1[[#This Row],[Price/Unit
EUR]]," ")</f>
        <v>416.99999999999994</v>
      </c>
      <c r="K836" s="126">
        <v>45720</v>
      </c>
      <c r="L836" s="36">
        <f>WEEKNUM(Table1[[#This Row],[ETA
As requested
dd.mm.yyyy]])</f>
        <v>10</v>
      </c>
      <c r="M836" s="36">
        <f>YEAR(Table1[[#This Row],[ETA
As requested
dd.mm.yyyy]])</f>
        <v>2025</v>
      </c>
      <c r="N836" s="36"/>
      <c r="O836" s="129" t="str">
        <f>IF(E836&lt;&gt;"", _xlfn.XLOOKUP(E836, DATABASE_FG!C:C, DATABASE_FG!F:F), " ")</f>
        <v>Ghidaje</v>
      </c>
      <c r="P836" s="129">
        <f>IFERROR(INDEX(DATABASE_FG!$G$5:$G$367, MATCH(E836, DATABASE_FG!$C$5:$C$367, 0)), "Not Found")</f>
        <v>0</v>
      </c>
      <c r="Q836" s="36"/>
      <c r="R836" s="125" t="s">
        <v>678</v>
      </c>
      <c r="S836" s="123">
        <f>IFERROR(INDEX(DATABASE_FG!$L$5:$L$367, MATCH(E836, DATABASE_FG!$C$5:$C$367, 0)), " ")</f>
        <v>42</v>
      </c>
      <c r="T836" s="36" t="s">
        <v>679</v>
      </c>
      <c r="U836" s="36"/>
      <c r="V836" s="36"/>
      <c r="W836" s="129"/>
      <c r="X836" s="36"/>
      <c r="Y836" s="36"/>
      <c r="Z836" s="36"/>
      <c r="AA836" s="125" t="s">
        <v>121</v>
      </c>
      <c r="AB836" s="173">
        <v>45720</v>
      </c>
      <c r="AC836" s="119">
        <v>25311</v>
      </c>
      <c r="AD836" s="36">
        <f t="shared" si="100"/>
        <v>38676823</v>
      </c>
      <c r="AE836" s="36" t="str">
        <f t="shared" si="101"/>
        <v>F-607694-1038.TK.KWVE20BNL-ISB-WW1</v>
      </c>
      <c r="AF836" s="36">
        <v>75</v>
      </c>
      <c r="AG836" s="120">
        <f t="shared" si="98"/>
        <v>416.99999999999994</v>
      </c>
      <c r="AH836" s="36"/>
      <c r="AI836" s="124"/>
      <c r="AJ836" s="122" t="s">
        <v>2916</v>
      </c>
      <c r="AK836" s="129" t="str">
        <f t="shared" ca="1" si="97"/>
        <v>On Time</v>
      </c>
      <c r="AL836" s="268" t="str">
        <f t="shared" si="99"/>
        <v>March</v>
      </c>
      <c r="AM836" s="133">
        <f>YEAR(Table1[[#This Row],[ETA
As requested
dd.mm.yyyy]])</f>
        <v>2025</v>
      </c>
    </row>
    <row r="837" spans="1:39" hidden="1">
      <c r="A837" s="123" t="s">
        <v>83</v>
      </c>
      <c r="B837" s="36" t="s">
        <v>1170</v>
      </c>
      <c r="C837" s="117">
        <v>38676823</v>
      </c>
      <c r="D837" s="165">
        <v>45709</v>
      </c>
      <c r="E837" s="117" t="s">
        <v>97</v>
      </c>
      <c r="F837" s="36" t="str">
        <f>IFERROR(VLOOKUP(Table1[[#This Row],[Part Number]],DATABASE_FG!$C$6:D10826,2,FALSE)," ")</f>
        <v>300921586-8011</v>
      </c>
      <c r="G837" s="117" t="str">
        <f>IFERROR(_xlfn.XLOOKUP(Table1[[#This Row],[Part Number]],Table3[Part number],Table3[Drawing
 Revision]),"")</f>
        <v>AB</v>
      </c>
      <c r="H837" s="118" cm="1">
        <f t="array" ref="H837">IFERROR(INDEX(PDB!$C:$AT,MATCH(E837,PDB!$B:$B,0),MATCH(YEAR(K837),0+PDB!$C$1:$AT$1,0)),"")</f>
        <v>5.56</v>
      </c>
      <c r="I837" s="36">
        <v>92</v>
      </c>
      <c r="J837" s="125">
        <f>IFERROR(Table1[[#This Row],[Quantity]]*Table1[[#This Row],[Price/Unit
EUR]]," ")</f>
        <v>511.52</v>
      </c>
      <c r="K837" s="126">
        <v>45720</v>
      </c>
      <c r="L837" s="36">
        <f>WEEKNUM(Table1[[#This Row],[ETA
As requested
dd.mm.yyyy]])</f>
        <v>10</v>
      </c>
      <c r="M837" s="36">
        <f>YEAR(Table1[[#This Row],[ETA
As requested
dd.mm.yyyy]])</f>
        <v>2025</v>
      </c>
      <c r="N837" s="36">
        <f>IFERROR(INDEX(DATABASE_FG!$H$5:$H$367, MATCH(E837, DATABASE_FG!$C$5:$C$367, 0)), " ")</f>
        <v>0</v>
      </c>
      <c r="O837" s="129" t="str">
        <f>IF(E837&lt;&gt;"", _xlfn.XLOOKUP(E837, DATABASE_FG!C:C, DATABASE_FG!F:F), " ")</f>
        <v>Ghidaje</v>
      </c>
      <c r="P837" s="129">
        <f>IFERROR(INDEX(DATABASE_FG!$G$5:$G$367, MATCH(E837, DATABASE_FG!$C$5:$C$367, 0)), "Not Found")</f>
        <v>0</v>
      </c>
      <c r="Q837" s="36"/>
      <c r="R837" s="125" t="s">
        <v>678</v>
      </c>
      <c r="S837" s="123">
        <f>IFERROR(INDEX(DATABASE_FG!$L$5:$L$367, MATCH(E837, DATABASE_FG!$C$5:$C$367, 0)), " ")</f>
        <v>42</v>
      </c>
      <c r="T837" s="36" t="s">
        <v>679</v>
      </c>
      <c r="U837" s="36"/>
      <c r="V837" s="36"/>
      <c r="W837" s="129"/>
      <c r="X837" s="36"/>
      <c r="Y837" s="36"/>
      <c r="Z837" s="36"/>
      <c r="AA837" s="125" t="s">
        <v>121</v>
      </c>
      <c r="AB837" s="173">
        <v>45737</v>
      </c>
      <c r="AC837" s="119">
        <v>25430</v>
      </c>
      <c r="AD837" s="36">
        <f t="shared" si="100"/>
        <v>38676823</v>
      </c>
      <c r="AE837" s="36" t="str">
        <f t="shared" si="101"/>
        <v>F-607694-1038.TK.KWVE20BNL-ISB-WW1</v>
      </c>
      <c r="AF837" s="36">
        <v>92</v>
      </c>
      <c r="AG837" s="120">
        <f t="shared" si="98"/>
        <v>511.52</v>
      </c>
      <c r="AH837" s="36"/>
      <c r="AI837" s="124"/>
      <c r="AJ837" s="122" t="s">
        <v>2926</v>
      </c>
      <c r="AK837" s="129" t="str">
        <f t="shared" ca="1" si="97"/>
        <v>Late</v>
      </c>
      <c r="AL837" s="268" t="str">
        <f t="shared" si="99"/>
        <v>March</v>
      </c>
      <c r="AM837" s="133">
        <f>YEAR(Table1[[#This Row],[ETA
As requested
dd.mm.yyyy]])</f>
        <v>2025</v>
      </c>
    </row>
    <row r="838" spans="1:39" hidden="1">
      <c r="A838" s="123" t="s">
        <v>83</v>
      </c>
      <c r="B838" s="36" t="s">
        <v>1170</v>
      </c>
      <c r="C838" s="117">
        <v>38676823</v>
      </c>
      <c r="D838" s="165">
        <v>45709</v>
      </c>
      <c r="E838" s="117" t="s">
        <v>97</v>
      </c>
      <c r="F838" s="36" t="str">
        <f>IFERROR(VLOOKUP(Table1[[#This Row],[Part Number]],DATABASE_FG!$C$6:D10827,2,FALSE)," ")</f>
        <v>300921586-8011</v>
      </c>
      <c r="G838" s="117" t="str">
        <f>IFERROR(_xlfn.XLOOKUP(Table1[[#This Row],[Part Number]],Table3[Part number],Table3[Drawing
 Revision]),"")</f>
        <v>AB</v>
      </c>
      <c r="H838" s="118" cm="1">
        <f t="array" ref="H838">IFERROR(INDEX(PDB!$C:$AT,MATCH(E838,PDB!$B:$B,0),MATCH(YEAR(K838),0+PDB!$C$1:$AT$1,0)),"")</f>
        <v>5.56</v>
      </c>
      <c r="I838" s="36">
        <v>82</v>
      </c>
      <c r="J838" s="125">
        <f>IFERROR(Table1[[#This Row],[Quantity]]*Table1[[#This Row],[Price/Unit
EUR]]," ")</f>
        <v>455.91999999999996</v>
      </c>
      <c r="K838" s="126">
        <v>45720</v>
      </c>
      <c r="L838" s="36">
        <f>WEEKNUM(Table1[[#This Row],[ETA
As requested
dd.mm.yyyy]])</f>
        <v>10</v>
      </c>
      <c r="M838" s="36">
        <f>YEAR(Table1[[#This Row],[ETA
As requested
dd.mm.yyyy]])</f>
        <v>2025</v>
      </c>
      <c r="N838" s="36">
        <f>IFERROR(INDEX(DATABASE_FG!$H$5:$H$367, MATCH(E838, DATABASE_FG!$C$5:$C$367, 0)), " ")</f>
        <v>0</v>
      </c>
      <c r="O838" s="129" t="str">
        <f>IF(E838&lt;&gt;"", _xlfn.XLOOKUP(E838, DATABASE_FG!C:C, DATABASE_FG!F:F), " ")</f>
        <v>Ghidaje</v>
      </c>
      <c r="P838" s="129">
        <f>IFERROR(INDEX(DATABASE_FG!$G$5:$G$367, MATCH(E838, DATABASE_FG!$C$5:$C$367, 0)), "Not Found")</f>
        <v>0</v>
      </c>
      <c r="Q838" s="36"/>
      <c r="R838" s="125" t="s">
        <v>678</v>
      </c>
      <c r="S838" s="123">
        <f>IFERROR(INDEX(DATABASE_FG!$L$5:$L$367, MATCH(E838, DATABASE_FG!$C$5:$C$367, 0)), " ")</f>
        <v>42</v>
      </c>
      <c r="T838" s="36" t="s">
        <v>679</v>
      </c>
      <c r="U838" s="36"/>
      <c r="V838" s="36"/>
      <c r="W838" s="129"/>
      <c r="X838" s="36"/>
      <c r="Y838" s="36"/>
      <c r="Z838" s="36"/>
      <c r="AA838" s="125" t="s">
        <v>121</v>
      </c>
      <c r="AB838" s="173">
        <v>45741</v>
      </c>
      <c r="AC838" s="119">
        <v>25456</v>
      </c>
      <c r="AD838" s="36">
        <f t="shared" si="100"/>
        <v>38676823</v>
      </c>
      <c r="AE838" s="36" t="str">
        <f t="shared" si="101"/>
        <v>F-607694-1038.TK.KWVE20BNL-ISB-WW1</v>
      </c>
      <c r="AF838" s="36">
        <v>82</v>
      </c>
      <c r="AG838" s="120">
        <f t="shared" si="98"/>
        <v>455.91999999999996</v>
      </c>
      <c r="AH838" s="36"/>
      <c r="AI838" s="124"/>
      <c r="AJ838" s="122" t="s">
        <v>2927</v>
      </c>
      <c r="AK838" s="129" t="str">
        <f t="shared" ca="1" si="97"/>
        <v>Late</v>
      </c>
      <c r="AL838" s="268" t="str">
        <f t="shared" si="99"/>
        <v>March</v>
      </c>
      <c r="AM838" s="133">
        <f>YEAR(Table1[[#This Row],[ETA
As requested
dd.mm.yyyy]])</f>
        <v>2025</v>
      </c>
    </row>
    <row r="839" spans="1:39" hidden="1">
      <c r="A839" s="123" t="s">
        <v>83</v>
      </c>
      <c r="B839" s="36" t="s">
        <v>1170</v>
      </c>
      <c r="C839" s="117">
        <v>38676823</v>
      </c>
      <c r="D839" s="165">
        <v>45709</v>
      </c>
      <c r="E839" s="117" t="s">
        <v>97</v>
      </c>
      <c r="F839" s="36" t="str">
        <f>IFERROR(VLOOKUP(Table1[[#This Row],[Part Number]],DATABASE_FG!$C$6:D10828,2,FALSE)," ")</f>
        <v>300921586-8011</v>
      </c>
      <c r="G839" s="117" t="str">
        <f>IFERROR(_xlfn.XLOOKUP(Table1[[#This Row],[Part Number]],Table3[Part number],Table3[Drawing
 Revision]),"")</f>
        <v>AB</v>
      </c>
      <c r="H839" s="118" cm="1">
        <f t="array" ref="H839">IFERROR(INDEX(PDB!$C:$AT,MATCH(E839,PDB!$B:$B,0),MATCH(YEAR(K839),0+PDB!$C$1:$AT$1,0)),"")</f>
        <v>5.56</v>
      </c>
      <c r="I839" s="36">
        <v>32</v>
      </c>
      <c r="J839" s="125">
        <f>IFERROR(Table1[[#This Row],[Quantity]]*Table1[[#This Row],[Price/Unit
EUR]]," ")</f>
        <v>177.92</v>
      </c>
      <c r="K839" s="126">
        <v>45720</v>
      </c>
      <c r="L839" s="36">
        <f>WEEKNUM(Table1[[#This Row],[ETA
As requested
dd.mm.yyyy]])</f>
        <v>10</v>
      </c>
      <c r="M839" s="36">
        <f>YEAR(Table1[[#This Row],[ETA
As requested
dd.mm.yyyy]])</f>
        <v>2025</v>
      </c>
      <c r="N839" s="36">
        <f>IFERROR(INDEX(DATABASE_FG!$H$5:$H$367, MATCH(E839, DATABASE_FG!$C$5:$C$367, 0)), " ")</f>
        <v>0</v>
      </c>
      <c r="O839" s="129" t="str">
        <f>IF(E839&lt;&gt;"", _xlfn.XLOOKUP(E839, DATABASE_FG!C:C, DATABASE_FG!F:F), " ")</f>
        <v>Ghidaje</v>
      </c>
      <c r="P839" s="129">
        <f>IFERROR(INDEX(DATABASE_FG!$G$5:$G$367, MATCH(E839, DATABASE_FG!$C$5:$C$367, 0)), "Not Found")</f>
        <v>0</v>
      </c>
      <c r="Q839" s="36"/>
      <c r="R839" s="125" t="s">
        <v>678</v>
      </c>
      <c r="S839" s="123">
        <f>IFERROR(INDEX(DATABASE_FG!$L$5:$L$367, MATCH(E839, DATABASE_FG!$C$5:$C$367, 0)), " ")</f>
        <v>42</v>
      </c>
      <c r="T839" s="36" t="s">
        <v>679</v>
      </c>
      <c r="U839" s="36"/>
      <c r="V839" s="36"/>
      <c r="W839" s="129"/>
      <c r="X839" s="36"/>
      <c r="Y839" s="36"/>
      <c r="Z839" s="36"/>
      <c r="AA839" s="125" t="s">
        <v>121</v>
      </c>
      <c r="AB839" s="173">
        <v>45743</v>
      </c>
      <c r="AC839" s="119">
        <v>25479</v>
      </c>
      <c r="AD839" s="36">
        <f t="shared" si="100"/>
        <v>38676823</v>
      </c>
      <c r="AE839" s="36" t="str">
        <f t="shared" si="101"/>
        <v>F-607694-1038.TK.KWVE20BNL-ISB-WW1</v>
      </c>
      <c r="AF839" s="36">
        <v>32</v>
      </c>
      <c r="AG839" s="120">
        <f t="shared" si="98"/>
        <v>177.92</v>
      </c>
      <c r="AH839" s="36"/>
      <c r="AI839" s="124"/>
      <c r="AJ839" s="122" t="s">
        <v>2928</v>
      </c>
      <c r="AK839" s="129" t="str">
        <f t="shared" ca="1" si="97"/>
        <v>Late</v>
      </c>
      <c r="AL839" s="268" t="str">
        <f t="shared" si="99"/>
        <v>March</v>
      </c>
      <c r="AM839" s="133">
        <f>YEAR(Table1[[#This Row],[ETA
As requested
dd.mm.yyyy]])</f>
        <v>2025</v>
      </c>
    </row>
    <row r="840" spans="1:39" hidden="1">
      <c r="A840" s="123" t="s">
        <v>83</v>
      </c>
      <c r="B840" s="36" t="s">
        <v>1170</v>
      </c>
      <c r="C840" s="117">
        <v>38676823</v>
      </c>
      <c r="D840" s="165">
        <v>45709</v>
      </c>
      <c r="E840" s="117" t="s">
        <v>97</v>
      </c>
      <c r="F840" s="36" t="str">
        <f>IFERROR(VLOOKUP(Table1[[#This Row],[Part Number]],DATABASE_FG!$C$6:D10829,2,FALSE)," ")</f>
        <v>300921586-8011</v>
      </c>
      <c r="G840" s="117" t="str">
        <f>IFERROR(_xlfn.XLOOKUP(Table1[[#This Row],[Part Number]],Table3[Part number],Table3[Drawing
 Revision]),"")</f>
        <v>AB</v>
      </c>
      <c r="H840" s="118" cm="1">
        <f t="array" ref="H840">IFERROR(INDEX(PDB!$C:$AT,MATCH(E840,PDB!$B:$B,0),MATCH(YEAR(K840),0+PDB!$C$1:$AT$1,0)),"")</f>
        <v>5.56</v>
      </c>
      <c r="I840" s="36">
        <f>300-75-92-82-32</f>
        <v>19</v>
      </c>
      <c r="J840" s="125">
        <f>IFERROR(Table1[[#This Row],[Quantity]]*Table1[[#This Row],[Price/Unit
EUR]]," ")</f>
        <v>105.63999999999999</v>
      </c>
      <c r="K840" s="126">
        <v>45720</v>
      </c>
      <c r="L840" s="36">
        <f>WEEKNUM(Table1[[#This Row],[ETA
As requested
dd.mm.yyyy]])</f>
        <v>10</v>
      </c>
      <c r="M840" s="36">
        <f>YEAR(Table1[[#This Row],[ETA
As requested
dd.mm.yyyy]])</f>
        <v>2025</v>
      </c>
      <c r="N840" s="36">
        <f>IFERROR(INDEX(DATABASE_FG!$H$5:$H$367, MATCH(E840, DATABASE_FG!$C$5:$C$367, 0)), " ")</f>
        <v>0</v>
      </c>
      <c r="O840" s="129" t="str">
        <f>IF(E840&lt;&gt;"", _xlfn.XLOOKUP(E840, DATABASE_FG!C:C, DATABASE_FG!F:F), " ")</f>
        <v>Ghidaje</v>
      </c>
      <c r="P840" s="129">
        <f>IFERROR(INDEX(DATABASE_FG!$G$5:$G$367, MATCH(E840, DATABASE_FG!$C$5:$C$367, 0)), "Not Found")</f>
        <v>0</v>
      </c>
      <c r="Q840" s="36"/>
      <c r="R840" s="125" t="s">
        <v>678</v>
      </c>
      <c r="S840" s="123">
        <f>IFERROR(INDEX(DATABASE_FG!$L$5:$L$367, MATCH(E840, DATABASE_FG!$C$5:$C$367, 0)), " ")</f>
        <v>42</v>
      </c>
      <c r="T840" s="36" t="s">
        <v>679</v>
      </c>
      <c r="U840" s="36"/>
      <c r="V840" s="36"/>
      <c r="W840" s="129"/>
      <c r="X840" s="36"/>
      <c r="Y840" s="36"/>
      <c r="Z840" s="36"/>
      <c r="AA840" s="125" t="s">
        <v>121</v>
      </c>
      <c r="AB840" s="173">
        <v>45750</v>
      </c>
      <c r="AC840" s="119">
        <v>25532</v>
      </c>
      <c r="AD840" s="36">
        <f t="shared" si="100"/>
        <v>38676823</v>
      </c>
      <c r="AE840" s="36" t="str">
        <f t="shared" si="101"/>
        <v>F-607694-1038.TK.KWVE20BNL-ISB-WW1</v>
      </c>
      <c r="AF840" s="36">
        <v>19</v>
      </c>
      <c r="AG840" s="120">
        <f t="shared" si="98"/>
        <v>105.63999999999999</v>
      </c>
      <c r="AH840" s="36"/>
      <c r="AI840" s="124"/>
      <c r="AJ840" s="122" t="s">
        <v>2929</v>
      </c>
      <c r="AK840" s="129" t="str">
        <f t="shared" ca="1" si="97"/>
        <v>Late</v>
      </c>
      <c r="AL840" s="268" t="str">
        <f t="shared" si="99"/>
        <v>March</v>
      </c>
      <c r="AM840" s="133">
        <f>YEAR(Table1[[#This Row],[ETA
As requested
dd.mm.yyyy]])</f>
        <v>2025</v>
      </c>
    </row>
    <row r="841" spans="1:39" hidden="1">
      <c r="A841" s="123" t="s">
        <v>83</v>
      </c>
      <c r="B841" s="36" t="s">
        <v>1170</v>
      </c>
      <c r="C841" s="117">
        <v>38676823</v>
      </c>
      <c r="D841" s="165">
        <v>45709</v>
      </c>
      <c r="E841" s="117" t="s">
        <v>97</v>
      </c>
      <c r="F841" s="36" t="str">
        <f>IFERROR(VLOOKUP(Table1[[#This Row],[Part Number]],DATABASE_FG!$C$6:D10830,2,FALSE)," ")</f>
        <v>300921586-8011</v>
      </c>
      <c r="G841" s="117" t="str">
        <f>IFERROR(_xlfn.XLOOKUP(Table1[[#This Row],[Part Number]],Table3[Part number],Table3[Drawing
 Revision]),"")</f>
        <v>AB</v>
      </c>
      <c r="H841" s="118" cm="1">
        <f t="array" ref="H841">IFERROR(INDEX(PDB!$C:$AT,MATCH(E841,PDB!$B:$B,0),MATCH(YEAR(K841),0+PDB!$C$1:$AT$1,0)),"")</f>
        <v>5.56</v>
      </c>
      <c r="I841" s="36">
        <v>72</v>
      </c>
      <c r="J841" s="125">
        <f>IFERROR(Table1[[#This Row],[Quantity]]*Table1[[#This Row],[Price/Unit
EUR]]," ")</f>
        <v>400.32</v>
      </c>
      <c r="K841" s="126">
        <v>45727</v>
      </c>
      <c r="L841" s="36">
        <f>WEEKNUM(Table1[[#This Row],[ETA
As requested
dd.mm.yyyy]])</f>
        <v>11</v>
      </c>
      <c r="M841" s="36">
        <f>YEAR(Table1[[#This Row],[ETA
As requested
dd.mm.yyyy]])</f>
        <v>2025</v>
      </c>
      <c r="N841" s="36">
        <f>IFERROR(INDEX(DATABASE_FG!$H$5:$H$367, MATCH(E841, DATABASE_FG!$C$5:$C$367, 0)), " ")</f>
        <v>0</v>
      </c>
      <c r="O841" s="129" t="str">
        <f>IF(E841&lt;&gt;"", _xlfn.XLOOKUP(E841, DATABASE_FG!C:C, DATABASE_FG!F:F), " ")</f>
        <v>Ghidaje</v>
      </c>
      <c r="P841" s="129">
        <f>IFERROR(INDEX(DATABASE_FG!$G$5:$G$367, MATCH(E841, DATABASE_FG!$C$5:$C$367, 0)), "Not Found")</f>
        <v>0</v>
      </c>
      <c r="Q841" s="36"/>
      <c r="R841" s="125" t="s">
        <v>678</v>
      </c>
      <c r="S841" s="123">
        <f>IFERROR(INDEX(DATABASE_FG!$L$5:$L$367, MATCH(E841, DATABASE_FG!$C$5:$C$367, 0)), " ")</f>
        <v>42</v>
      </c>
      <c r="T841" s="36" t="s">
        <v>679</v>
      </c>
      <c r="U841" s="36"/>
      <c r="V841" s="36"/>
      <c r="W841" s="129"/>
      <c r="X841" s="36"/>
      <c r="Y841" s="36"/>
      <c r="Z841" s="36"/>
      <c r="AA841" s="125" t="s">
        <v>121</v>
      </c>
      <c r="AB841" s="173">
        <v>45750</v>
      </c>
      <c r="AC841" s="119">
        <v>25532</v>
      </c>
      <c r="AD841" s="36">
        <f t="shared" si="100"/>
        <v>38676823</v>
      </c>
      <c r="AE841" s="36" t="str">
        <f t="shared" si="101"/>
        <v>F-607694-1038.TK.KWVE20BNL-ISB-WW1</v>
      </c>
      <c r="AF841" s="36">
        <v>72</v>
      </c>
      <c r="AG841" s="120">
        <f t="shared" si="98"/>
        <v>400.32</v>
      </c>
      <c r="AH841" s="36"/>
      <c r="AI841" s="124"/>
      <c r="AJ841" s="122" t="s">
        <v>2929</v>
      </c>
      <c r="AK841" s="129" t="str">
        <f t="shared" ca="1" si="97"/>
        <v>Late</v>
      </c>
      <c r="AL841" s="268" t="str">
        <f t="shared" si="99"/>
        <v>March</v>
      </c>
      <c r="AM841" s="133">
        <f>YEAR(Table1[[#This Row],[ETA
As requested
dd.mm.yyyy]])</f>
        <v>2025</v>
      </c>
    </row>
    <row r="842" spans="1:39" hidden="1">
      <c r="A842" s="123" t="s">
        <v>83</v>
      </c>
      <c r="B842" s="36" t="s">
        <v>1170</v>
      </c>
      <c r="C842" s="117">
        <v>38676823</v>
      </c>
      <c r="D842" s="165">
        <v>45709</v>
      </c>
      <c r="E842" s="117" t="s">
        <v>97</v>
      </c>
      <c r="F842" s="36" t="str">
        <f>IFERROR(VLOOKUP(Table1[[#This Row],[Part Number]],DATABASE_FG!$C$6:D10831,2,FALSE)," ")</f>
        <v>300921586-8011</v>
      </c>
      <c r="G842" s="117" t="str">
        <f>IFERROR(_xlfn.XLOOKUP(Table1[[#This Row],[Part Number]],Table3[Part number],Table3[Drawing
 Revision]),"")</f>
        <v>AB</v>
      </c>
      <c r="H842" s="118" cm="1">
        <f t="array" ref="H842">IFERROR(INDEX(PDB!$C:$AT,MATCH(E842,PDB!$B:$B,0),MATCH(YEAR(K842),0+PDB!$C$1:$AT$1,0)),"")</f>
        <v>5.56</v>
      </c>
      <c r="I842" s="36">
        <v>72</v>
      </c>
      <c r="J842" s="125">
        <f>IFERROR(Table1[[#This Row],[Quantity]]*Table1[[#This Row],[Price/Unit
EUR]]," ")</f>
        <v>400.32</v>
      </c>
      <c r="K842" s="126">
        <v>45727</v>
      </c>
      <c r="L842" s="36">
        <f>WEEKNUM(Table1[[#This Row],[ETA
As requested
dd.mm.yyyy]])</f>
        <v>11</v>
      </c>
      <c r="M842" s="36">
        <f>YEAR(Table1[[#This Row],[ETA
As requested
dd.mm.yyyy]])</f>
        <v>2025</v>
      </c>
      <c r="N842" s="36">
        <f>IFERROR(INDEX(DATABASE_FG!$H$5:$H$367, MATCH(E842, DATABASE_FG!$C$5:$C$367, 0)), " ")</f>
        <v>0</v>
      </c>
      <c r="O842" s="129" t="str">
        <f>IF(E842&lt;&gt;"", _xlfn.XLOOKUP(E842, DATABASE_FG!C:C, DATABASE_FG!F:F), " ")</f>
        <v>Ghidaje</v>
      </c>
      <c r="P842" s="129">
        <f>IFERROR(INDEX(DATABASE_FG!$G$5:$G$367, MATCH(E842, DATABASE_FG!$C$5:$C$367, 0)), "Not Found")</f>
        <v>0</v>
      </c>
      <c r="Q842" s="36"/>
      <c r="R842" s="125" t="s">
        <v>678</v>
      </c>
      <c r="S842" s="123">
        <f>IFERROR(INDEX(DATABASE_FG!$L$5:$L$367, MATCH(E842, DATABASE_FG!$C$5:$C$367, 0)), " ")</f>
        <v>42</v>
      </c>
      <c r="T842" s="36" t="s">
        <v>679</v>
      </c>
      <c r="U842" s="36"/>
      <c r="V842" s="36"/>
      <c r="W842" s="129"/>
      <c r="X842" s="36"/>
      <c r="Y842" s="36"/>
      <c r="Z842" s="36"/>
      <c r="AA842" s="125" t="s">
        <v>121</v>
      </c>
      <c r="AB842" s="173">
        <v>45751</v>
      </c>
      <c r="AC842" s="119">
        <v>25539</v>
      </c>
      <c r="AD842" s="36">
        <f t="shared" si="100"/>
        <v>38676823</v>
      </c>
      <c r="AE842" s="36" t="str">
        <f t="shared" si="101"/>
        <v>F-607694-1038.TK.KWVE20BNL-ISB-WW1</v>
      </c>
      <c r="AF842" s="36">
        <v>72</v>
      </c>
      <c r="AG842" s="120">
        <f t="shared" si="98"/>
        <v>400.32</v>
      </c>
      <c r="AH842" s="36"/>
      <c r="AI842" s="124"/>
      <c r="AJ842" s="122" t="s">
        <v>2945</v>
      </c>
      <c r="AK842" s="129" t="str">
        <f t="shared" ca="1" si="97"/>
        <v>Late</v>
      </c>
      <c r="AL842" s="268" t="str">
        <f t="shared" si="99"/>
        <v>March</v>
      </c>
      <c r="AM842" s="133">
        <f>YEAR(Table1[[#This Row],[ETA
As requested
dd.mm.yyyy]])</f>
        <v>2025</v>
      </c>
    </row>
    <row r="843" spans="1:39" hidden="1">
      <c r="A843" s="123" t="s">
        <v>83</v>
      </c>
      <c r="B843" s="36" t="s">
        <v>1170</v>
      </c>
      <c r="C843" s="117">
        <v>38676823</v>
      </c>
      <c r="D843" s="165">
        <v>45709</v>
      </c>
      <c r="E843" s="117" t="s">
        <v>97</v>
      </c>
      <c r="F843" s="36" t="str">
        <f>IFERROR(VLOOKUP(Table1[[#This Row],[Part Number]],DATABASE_FG!$C$6:D10832,2,FALSE)," ")</f>
        <v>300921586-8011</v>
      </c>
      <c r="G843" s="117" t="str">
        <f>IFERROR(_xlfn.XLOOKUP(Table1[[#This Row],[Part Number]],Table3[Part number],Table3[Drawing
 Revision]),"")</f>
        <v>AB</v>
      </c>
      <c r="H843" s="118" cm="1">
        <f t="array" ref="H843">IFERROR(INDEX(PDB!$C:$AT,MATCH(E843,PDB!$B:$B,0),MATCH(YEAR(K843),0+PDB!$C$1:$AT$1,0)),"")</f>
        <v>5.56</v>
      </c>
      <c r="I843" s="36">
        <v>149</v>
      </c>
      <c r="J843" s="125">
        <f>IFERROR(Table1[[#This Row],[Quantity]]*Table1[[#This Row],[Price/Unit
EUR]]," ")</f>
        <v>828.43999999999994</v>
      </c>
      <c r="K843" s="126">
        <v>45727</v>
      </c>
      <c r="L843" s="36">
        <f>WEEKNUM(Table1[[#This Row],[ETA
As requested
dd.mm.yyyy]])</f>
        <v>11</v>
      </c>
      <c r="M843" s="36">
        <f>YEAR(Table1[[#This Row],[ETA
As requested
dd.mm.yyyy]])</f>
        <v>2025</v>
      </c>
      <c r="N843" s="36">
        <f>IFERROR(INDEX(DATABASE_FG!$H$5:$H$367, MATCH(E843, DATABASE_FG!$C$5:$C$367, 0)), " ")</f>
        <v>0</v>
      </c>
      <c r="O843" s="129" t="str">
        <f>IF(E843&lt;&gt;"", _xlfn.XLOOKUP(E843, DATABASE_FG!C:C, DATABASE_FG!F:F), " ")</f>
        <v>Ghidaje</v>
      </c>
      <c r="P843" s="129">
        <f>IFERROR(INDEX(DATABASE_FG!$G$5:$G$367, MATCH(E843, DATABASE_FG!$C$5:$C$367, 0)), "Not Found")</f>
        <v>0</v>
      </c>
      <c r="Q843" s="36"/>
      <c r="R843" s="125" t="s">
        <v>678</v>
      </c>
      <c r="S843" s="123">
        <f>IFERROR(INDEX(DATABASE_FG!$L$5:$L$367, MATCH(E843, DATABASE_FG!$C$5:$C$367, 0)), " ")</f>
        <v>42</v>
      </c>
      <c r="T843" s="36" t="s">
        <v>679</v>
      </c>
      <c r="U843" s="36"/>
      <c r="V843" s="36"/>
      <c r="W843" s="129"/>
      <c r="X843" s="36"/>
      <c r="Y843" s="36"/>
      <c r="Z843" s="36"/>
      <c r="AA843" s="125" t="s">
        <v>121</v>
      </c>
      <c r="AB843" s="173">
        <v>45776</v>
      </c>
      <c r="AC843" s="119">
        <v>25693</v>
      </c>
      <c r="AD843" s="36">
        <f t="shared" si="100"/>
        <v>38676823</v>
      </c>
      <c r="AE843" s="36" t="str">
        <f t="shared" si="101"/>
        <v>F-607694-1038.TK.KWVE20BNL-ISB-WW1</v>
      </c>
      <c r="AF843" s="36">
        <v>149</v>
      </c>
      <c r="AG843" s="120">
        <f t="shared" si="98"/>
        <v>828.43999999999994</v>
      </c>
      <c r="AH843" s="36"/>
      <c r="AI843" s="124"/>
      <c r="AJ843" s="122" t="s">
        <v>2946</v>
      </c>
      <c r="AK843" s="129" t="str">
        <f t="shared" ca="1" si="97"/>
        <v>Late</v>
      </c>
      <c r="AL843" s="268" t="str">
        <f t="shared" si="99"/>
        <v>March</v>
      </c>
      <c r="AM843" s="133">
        <f>YEAR(Table1[[#This Row],[ETA
As requested
dd.mm.yyyy]])</f>
        <v>2025</v>
      </c>
    </row>
    <row r="844" spans="1:39" hidden="1">
      <c r="A844" s="123" t="s">
        <v>83</v>
      </c>
      <c r="B844" s="36" t="s">
        <v>1170</v>
      </c>
      <c r="C844" s="117">
        <v>38676823</v>
      </c>
      <c r="D844" s="165">
        <v>45709</v>
      </c>
      <c r="E844" s="117" t="s">
        <v>97</v>
      </c>
      <c r="F844" s="36" t="str">
        <f>IFERROR(VLOOKUP(Table1[[#This Row],[Part Number]],DATABASE_FG!$C$6:D10833,2,FALSE)," ")</f>
        <v>300921586-8011</v>
      </c>
      <c r="G844" s="117" t="str">
        <f>IFERROR(_xlfn.XLOOKUP(Table1[[#This Row],[Part Number]],Table3[Part number],Table3[Drawing
 Revision]),"")</f>
        <v>AB</v>
      </c>
      <c r="H844" s="118" cm="1">
        <f t="array" ref="H844">IFERROR(INDEX(PDB!$C:$AT,MATCH(E844,PDB!$B:$B,0),MATCH(YEAR(K844),0+PDB!$C$1:$AT$1,0)),"")</f>
        <v>5.56</v>
      </c>
      <c r="I844" s="36">
        <v>89</v>
      </c>
      <c r="J844" s="125">
        <f>IFERROR(Table1[[#This Row],[Quantity]]*Table1[[#This Row],[Price/Unit
EUR]]," ")</f>
        <v>494.84</v>
      </c>
      <c r="K844" s="126">
        <v>45734</v>
      </c>
      <c r="L844" s="36">
        <f>WEEKNUM(Table1[[#This Row],[ETA
As requested
dd.mm.yyyy]])</f>
        <v>12</v>
      </c>
      <c r="M844" s="36">
        <f>YEAR(Table1[[#This Row],[ETA
As requested
dd.mm.yyyy]])</f>
        <v>2025</v>
      </c>
      <c r="N844" s="36">
        <f>IFERROR(INDEX(DATABASE_FG!$H$5:$H$367, MATCH(E844, DATABASE_FG!$C$5:$C$367, 0)), " ")</f>
        <v>0</v>
      </c>
      <c r="O844" s="129" t="str">
        <f>IF(E844&lt;&gt;"", _xlfn.XLOOKUP(E844, DATABASE_FG!C:C, DATABASE_FG!F:F), " ")</f>
        <v>Ghidaje</v>
      </c>
      <c r="P844" s="129">
        <f>IFERROR(INDEX(DATABASE_FG!$G$5:$G$367, MATCH(E844, DATABASE_FG!$C$5:$C$367, 0)), "Not Found")</f>
        <v>0</v>
      </c>
      <c r="Q844" s="36"/>
      <c r="R844" s="125" t="s">
        <v>678</v>
      </c>
      <c r="S844" s="123">
        <f>IFERROR(INDEX(DATABASE_FG!$L$5:$L$367, MATCH(E844, DATABASE_FG!$C$5:$C$367, 0)), " ")</f>
        <v>42</v>
      </c>
      <c r="T844" s="36" t="s">
        <v>679</v>
      </c>
      <c r="U844" s="36"/>
      <c r="V844" s="36"/>
      <c r="W844" s="129"/>
      <c r="X844" s="36"/>
      <c r="Y844" s="36"/>
      <c r="Z844" s="36"/>
      <c r="AA844" s="125" t="s">
        <v>121</v>
      </c>
      <c r="AB844" s="173">
        <v>45777</v>
      </c>
      <c r="AC844" s="119">
        <v>25700</v>
      </c>
      <c r="AD844" s="36">
        <f t="shared" si="100"/>
        <v>38676823</v>
      </c>
      <c r="AE844" s="36" t="str">
        <f t="shared" si="101"/>
        <v>F-607694-1038.TK.KWVE20BNL-ISB-WW1</v>
      </c>
      <c r="AF844" s="36">
        <v>89</v>
      </c>
      <c r="AG844" s="120">
        <f t="shared" si="98"/>
        <v>494.84</v>
      </c>
      <c r="AH844" s="36"/>
      <c r="AI844" s="124"/>
      <c r="AJ844" s="122" t="s">
        <v>2973</v>
      </c>
      <c r="AK844" s="129" t="str">
        <f t="shared" ca="1" si="97"/>
        <v>Late</v>
      </c>
      <c r="AL844" s="268" t="str">
        <f t="shared" si="99"/>
        <v>March</v>
      </c>
      <c r="AM844" s="133">
        <f>YEAR(Table1[[#This Row],[ETA
As requested
dd.mm.yyyy]])</f>
        <v>2025</v>
      </c>
    </row>
    <row r="845" spans="1:39" hidden="1">
      <c r="A845" s="123" t="s">
        <v>83</v>
      </c>
      <c r="B845" s="36" t="s">
        <v>1170</v>
      </c>
      <c r="C845" s="117">
        <v>38676823</v>
      </c>
      <c r="D845" s="165">
        <v>45709</v>
      </c>
      <c r="E845" s="117" t="s">
        <v>97</v>
      </c>
      <c r="F845" s="36" t="str">
        <f>IFERROR(VLOOKUP(Table1[[#This Row],[Part Number]],DATABASE_FG!$C$6:D10834,2,FALSE)," ")</f>
        <v>300921586-8011</v>
      </c>
      <c r="G845" s="117" t="str">
        <f>IFERROR(_xlfn.XLOOKUP(Table1[[#This Row],[Part Number]],Table3[Part number],Table3[Drawing
 Revision]),"")</f>
        <v>AB</v>
      </c>
      <c r="H845" s="118" cm="1">
        <f t="array" ref="H845">IFERROR(INDEX(PDB!$C:$AT,MATCH(E845,PDB!$B:$B,0),MATCH(YEAR(K845),0+PDB!$C$1:$AT$1,0)),"")</f>
        <v>5.56</v>
      </c>
      <c r="I845" s="36">
        <f>207-89</f>
        <v>118</v>
      </c>
      <c r="J845" s="125">
        <f>IFERROR(Table1[[#This Row],[Quantity]]*Table1[[#This Row],[Price/Unit
EUR]]," ")</f>
        <v>656.07999999999993</v>
      </c>
      <c r="K845" s="126">
        <v>45734</v>
      </c>
      <c r="L845" s="36">
        <f>WEEKNUM(Table1[[#This Row],[ETA
As requested
dd.mm.yyyy]])</f>
        <v>12</v>
      </c>
      <c r="M845" s="36">
        <f>YEAR(Table1[[#This Row],[ETA
As requested
dd.mm.yyyy]])</f>
        <v>2025</v>
      </c>
      <c r="N845" s="36">
        <f>IFERROR(INDEX(DATABASE_FG!$H$5:$H$367, MATCH(E845, DATABASE_FG!$C$5:$C$367, 0)), " ")</f>
        <v>0</v>
      </c>
      <c r="O845" s="129" t="str">
        <f>IF(E845&lt;&gt;"", _xlfn.XLOOKUP(E845, DATABASE_FG!C:C, DATABASE_FG!F:F), " ")</f>
        <v>Ghidaje</v>
      </c>
      <c r="P845" s="129">
        <f>IFERROR(INDEX(DATABASE_FG!$G$5:$G$367, MATCH(E845, DATABASE_FG!$C$5:$C$367, 0)), "Not Found")</f>
        <v>0</v>
      </c>
      <c r="Q845" s="36"/>
      <c r="R845" s="125" t="s">
        <v>678</v>
      </c>
      <c r="S845" s="123">
        <f>IFERROR(INDEX(DATABASE_FG!$L$5:$L$367, MATCH(E845, DATABASE_FG!$C$5:$C$367, 0)), " ")</f>
        <v>42</v>
      </c>
      <c r="T845" s="36" t="s">
        <v>679</v>
      </c>
      <c r="U845" s="36"/>
      <c r="V845" s="36"/>
      <c r="W845" s="129"/>
      <c r="X845" s="36"/>
      <c r="Y845" s="36"/>
      <c r="Z845" s="36"/>
      <c r="AA845" s="125" t="s">
        <v>121</v>
      </c>
      <c r="AB845" s="173">
        <v>45783</v>
      </c>
      <c r="AC845" s="119">
        <v>25723</v>
      </c>
      <c r="AD845" s="36">
        <f t="shared" si="100"/>
        <v>38676823</v>
      </c>
      <c r="AE845" s="36" t="str">
        <f t="shared" si="101"/>
        <v>F-607694-1038.TK.KWVE20BNL-ISB-WW1</v>
      </c>
      <c r="AF845" s="36">
        <v>118</v>
      </c>
      <c r="AG845" s="120">
        <f t="shared" si="98"/>
        <v>656.07999999999993</v>
      </c>
      <c r="AH845" s="36"/>
      <c r="AI845" s="124"/>
      <c r="AJ845" s="122" t="s">
        <v>2974</v>
      </c>
      <c r="AK845" s="129" t="str">
        <f t="shared" ca="1" si="97"/>
        <v>Late</v>
      </c>
      <c r="AL845" s="268" t="str">
        <f t="shared" si="99"/>
        <v>March</v>
      </c>
      <c r="AM845" s="133">
        <f>YEAR(Table1[[#This Row],[ETA
As requested
dd.mm.yyyy]])</f>
        <v>2025</v>
      </c>
    </row>
    <row r="846" spans="1:39" hidden="1">
      <c r="A846" s="123" t="s">
        <v>83</v>
      </c>
      <c r="B846" s="36" t="s">
        <v>1170</v>
      </c>
      <c r="C846" s="117">
        <v>39072055</v>
      </c>
      <c r="D846" s="165">
        <v>45777</v>
      </c>
      <c r="E846" s="117" t="s">
        <v>97</v>
      </c>
      <c r="F846" s="36" t="str">
        <f>IFERROR(VLOOKUP(Table1[[#This Row],[Part Number]],DATABASE_FG!$C$6:D10835,2,FALSE)," ")</f>
        <v>300921586-8011</v>
      </c>
      <c r="G846" s="117" t="str">
        <f>IFERROR(_xlfn.XLOOKUP(Table1[[#This Row],[Part Number]],Table3[Part number],Table3[Drawing
 Revision]),"")</f>
        <v>AB</v>
      </c>
      <c r="H846" s="118" cm="1">
        <f t="array" ref="H846">IFERROR(INDEX(PDB!$C:$AT,MATCH(E846,PDB!$B:$B,0),MATCH(YEAR(K846),0+PDB!$C$1:$AT$1,0)),"")</f>
        <v>5.56</v>
      </c>
      <c r="I846" s="36">
        <v>38</v>
      </c>
      <c r="J846" s="125">
        <f>IFERROR(Table1[[#This Row],[Quantity]]*Table1[[#This Row],[Price/Unit
EUR]]," ")</f>
        <v>211.27999999999997</v>
      </c>
      <c r="K846" s="126">
        <v>45781</v>
      </c>
      <c r="L846" s="36">
        <f>WEEKNUM(Table1[[#This Row],[ETA
As requested
dd.mm.yyyy]])</f>
        <v>19</v>
      </c>
      <c r="M846" s="36">
        <f>YEAR(Table1[[#This Row],[ETA
As requested
dd.mm.yyyy]])</f>
        <v>2025</v>
      </c>
      <c r="N846" s="36">
        <f>IFERROR(INDEX(DATABASE_FG!$H$5:$H$367, MATCH(E846, DATABASE_FG!$C$5:$C$367, 0)), " ")</f>
        <v>0</v>
      </c>
      <c r="O846" s="129" t="str">
        <f>IF(E846&lt;&gt;"", _xlfn.XLOOKUP(E846, DATABASE_FG!C:C, DATABASE_FG!F:F), " ")</f>
        <v>Ghidaje</v>
      </c>
      <c r="P846" s="129">
        <f>IFERROR(INDEX(DATABASE_FG!$G$5:$G$367, MATCH(E846, DATABASE_FG!$C$5:$C$367, 0)), "Not Found")</f>
        <v>0</v>
      </c>
      <c r="Q846" s="36"/>
      <c r="R846" s="125" t="s">
        <v>678</v>
      </c>
      <c r="S846" s="123">
        <f>IFERROR(INDEX(DATABASE_FG!$L$5:$L$367, MATCH(E846, DATABASE_FG!$C$5:$C$367, 0)), " ")</f>
        <v>42</v>
      </c>
      <c r="T846" s="36" t="s">
        <v>679</v>
      </c>
      <c r="U846" s="36"/>
      <c r="V846" s="36"/>
      <c r="W846" s="129"/>
      <c r="X846" s="36"/>
      <c r="Y846" s="36"/>
      <c r="Z846" s="36"/>
      <c r="AA846" s="125" t="s">
        <v>121</v>
      </c>
      <c r="AB846" s="173">
        <v>45783</v>
      </c>
      <c r="AC846" s="119">
        <v>25724</v>
      </c>
      <c r="AD846" s="36">
        <f t="shared" si="100"/>
        <v>39072055</v>
      </c>
      <c r="AE846" s="36" t="str">
        <f t="shared" si="101"/>
        <v>F-607694-1038.TK.KWVE20BNL-ISB-WW1</v>
      </c>
      <c r="AF846" s="36">
        <v>38</v>
      </c>
      <c r="AG846" s="120">
        <f t="shared" si="98"/>
        <v>211.27999999999997</v>
      </c>
      <c r="AH846" s="36"/>
      <c r="AI846" s="124"/>
      <c r="AJ846" s="122" t="s">
        <v>3140</v>
      </c>
      <c r="AK846" s="129" t="str">
        <f t="shared" ca="1" si="97"/>
        <v>On Time</v>
      </c>
      <c r="AL846" s="268" t="str">
        <f t="shared" si="99"/>
        <v>May</v>
      </c>
      <c r="AM846" s="133">
        <f>YEAR(Table1[[#This Row],[ETA
As requested
dd.mm.yyyy]])</f>
        <v>2025</v>
      </c>
    </row>
    <row r="847" spans="1:39" hidden="1">
      <c r="A847" s="123" t="s">
        <v>83</v>
      </c>
      <c r="B847" s="36" t="s">
        <v>1170</v>
      </c>
      <c r="C847" s="117">
        <v>39072055</v>
      </c>
      <c r="D847" s="165">
        <v>45777</v>
      </c>
      <c r="E847" s="117" t="s">
        <v>97</v>
      </c>
      <c r="F847" s="36" t="str">
        <f>IFERROR(VLOOKUP(Table1[[#This Row],[Part Number]],DATABASE_FG!$C$6:D10836,2,FALSE)," ")</f>
        <v>300921586-8011</v>
      </c>
      <c r="G847" s="117" t="str">
        <f>IFERROR(_xlfn.XLOOKUP(Table1[[#This Row],[Part Number]],Table3[Part number],Table3[Drawing
 Revision]),"")</f>
        <v>AB</v>
      </c>
      <c r="H847" s="118" cm="1">
        <f t="array" ref="H847">IFERROR(INDEX(PDB!$C:$AT,MATCH(E847,PDB!$B:$B,0),MATCH(YEAR(K847),0+PDB!$C$1:$AT$1,0)),"")</f>
        <v>5.56</v>
      </c>
      <c r="I847" s="36">
        <f>400-38+2</f>
        <v>364</v>
      </c>
      <c r="J847" s="125">
        <f>IFERROR(Table1[[#This Row],[Quantity]]*Table1[[#This Row],[Price/Unit
EUR]]," ")</f>
        <v>2023.84</v>
      </c>
      <c r="K847" s="126">
        <v>45782</v>
      </c>
      <c r="L847" s="36">
        <f>WEEKNUM(Table1[[#This Row],[ETA
As requested
dd.mm.yyyy]])</f>
        <v>19</v>
      </c>
      <c r="M847" s="36">
        <f>YEAR(Table1[[#This Row],[ETA
As requested
dd.mm.yyyy]])</f>
        <v>2025</v>
      </c>
      <c r="N847" s="36">
        <f>IFERROR(INDEX(DATABASE_FG!$H$5:$H$367, MATCH(E847, DATABASE_FG!$C$5:$C$367, 0)), " ")</f>
        <v>0</v>
      </c>
      <c r="O847" s="129" t="str">
        <f>IF(E847&lt;&gt;"", _xlfn.XLOOKUP(E847, DATABASE_FG!C:C, DATABASE_FG!F:F), " ")</f>
        <v>Ghidaje</v>
      </c>
      <c r="P847" s="129">
        <f>IFERROR(INDEX(DATABASE_FG!$G$5:$G$367, MATCH(E847, DATABASE_FG!$C$5:$C$367, 0)), "Not Found")</f>
        <v>0</v>
      </c>
      <c r="Q847" s="36"/>
      <c r="R847" s="125" t="s">
        <v>678</v>
      </c>
      <c r="S847" s="123">
        <f>IFERROR(INDEX(DATABASE_FG!$L$5:$L$367, MATCH(E847, DATABASE_FG!$C$5:$C$367, 0)), " ")</f>
        <v>42</v>
      </c>
      <c r="T847" s="36" t="s">
        <v>679</v>
      </c>
      <c r="U847" s="36"/>
      <c r="V847" s="36"/>
      <c r="W847" s="129"/>
      <c r="X847" s="36"/>
      <c r="Y847" s="36"/>
      <c r="Z847" s="36"/>
      <c r="AA847" s="125" t="s">
        <v>121</v>
      </c>
      <c r="AB847" s="173">
        <v>45785</v>
      </c>
      <c r="AC847" s="119">
        <v>25740</v>
      </c>
      <c r="AD847" s="36">
        <f t="shared" si="100"/>
        <v>39072055</v>
      </c>
      <c r="AE847" s="36" t="str">
        <f t="shared" si="101"/>
        <v>F-607694-1038.TK.KWVE20BNL-ISB-WW1</v>
      </c>
      <c r="AF847" s="36">
        <v>364</v>
      </c>
      <c r="AG847" s="120">
        <f t="shared" si="98"/>
        <v>2023.84</v>
      </c>
      <c r="AH847" s="36"/>
      <c r="AI847" s="124"/>
      <c r="AJ847" s="122" t="s">
        <v>3148</v>
      </c>
      <c r="AK847" s="129" t="str">
        <f t="shared" ca="1" si="97"/>
        <v>Late</v>
      </c>
      <c r="AL847" s="268" t="str">
        <f t="shared" si="99"/>
        <v>May</v>
      </c>
      <c r="AM847" s="133">
        <f>YEAR(Table1[[#This Row],[ETA
As requested
dd.mm.yyyy]])</f>
        <v>2025</v>
      </c>
    </row>
    <row r="848" spans="1:39" hidden="1">
      <c r="A848" s="123" t="s">
        <v>83</v>
      </c>
      <c r="B848" s="36" t="s">
        <v>1170</v>
      </c>
      <c r="C848" s="117">
        <v>39072055</v>
      </c>
      <c r="D848" s="165">
        <v>45777</v>
      </c>
      <c r="E848" s="117" t="s">
        <v>97</v>
      </c>
      <c r="F848" s="36" t="str">
        <f>IFERROR(VLOOKUP(Table1[[#This Row],[Part Number]],DATABASE_FG!$C$6:D10837,2,FALSE)," ")</f>
        <v>300921586-8011</v>
      </c>
      <c r="G848" s="117" t="str">
        <f>IFERROR(_xlfn.XLOOKUP(Table1[[#This Row],[Part Number]],Table3[Part number],Table3[Drawing
 Revision]),"")</f>
        <v>AB</v>
      </c>
      <c r="H848" s="118" cm="1">
        <f t="array" ref="H848">IFERROR(INDEX(PDB!$C:$AT,MATCH(E848,PDB!$B:$B,0),MATCH(YEAR(K848),0+PDB!$C$1:$AT$1,0)),"")</f>
        <v>5.56</v>
      </c>
      <c r="I848" s="36">
        <v>298</v>
      </c>
      <c r="J848" s="125">
        <f>IFERROR(Table1[[#This Row],[Quantity]]*Table1[[#This Row],[Price/Unit
EUR]]," ")</f>
        <v>1656.8799999999999</v>
      </c>
      <c r="K848" s="126">
        <v>45789</v>
      </c>
      <c r="L848" s="36">
        <f>WEEKNUM(Table1[[#This Row],[ETA
As requested
dd.mm.yyyy]])</f>
        <v>20</v>
      </c>
      <c r="M848" s="36">
        <f>YEAR(Table1[[#This Row],[ETA
As requested
dd.mm.yyyy]])</f>
        <v>2025</v>
      </c>
      <c r="N848" s="36">
        <f>IFERROR(INDEX(DATABASE_FG!$H$5:$H$367, MATCH(E848, DATABASE_FG!$C$5:$C$367, 0)), " ")</f>
        <v>0</v>
      </c>
      <c r="O848" s="129" t="str">
        <f>IF(E848&lt;&gt;"", _xlfn.XLOOKUP(E848, DATABASE_FG!C:C, DATABASE_FG!F:F), " ")</f>
        <v>Ghidaje</v>
      </c>
      <c r="P848" s="129">
        <f>IFERROR(INDEX(DATABASE_FG!$G$5:$G$367, MATCH(E848, DATABASE_FG!$C$5:$C$367, 0)), "Not Found")</f>
        <v>0</v>
      </c>
      <c r="Q848" s="36"/>
      <c r="R848" s="125" t="s">
        <v>678</v>
      </c>
      <c r="S848" s="123">
        <f>IFERROR(INDEX(DATABASE_FG!$L$5:$L$367, MATCH(E848, DATABASE_FG!$C$5:$C$367, 0)), " ")</f>
        <v>42</v>
      </c>
      <c r="T848" s="36" t="s">
        <v>679</v>
      </c>
      <c r="U848" s="36"/>
      <c r="V848" s="36"/>
      <c r="W848" s="129"/>
      <c r="X848" s="36"/>
      <c r="Y848" s="36"/>
      <c r="Z848" s="36"/>
      <c r="AA848" s="125" t="s">
        <v>121</v>
      </c>
      <c r="AB848" s="173">
        <v>45790</v>
      </c>
      <c r="AC848" s="119">
        <v>25766</v>
      </c>
      <c r="AD848" s="36">
        <f t="shared" si="100"/>
        <v>39072055</v>
      </c>
      <c r="AE848" s="36" t="str">
        <f t="shared" si="101"/>
        <v>F-607694-1038.TK.KWVE20BNL-ISB-WW1</v>
      </c>
      <c r="AF848" s="36">
        <v>298</v>
      </c>
      <c r="AG848" s="120">
        <f t="shared" si="98"/>
        <v>1656.8799999999999</v>
      </c>
      <c r="AH848" s="36"/>
      <c r="AI848" s="124"/>
      <c r="AJ848" s="122" t="s">
        <v>3176</v>
      </c>
      <c r="AK848" s="129" t="str">
        <f t="shared" ref="AK848:AK913" ca="1" si="102">IF(AB848="", IF(K848 &lt; TODAY(), "Late", ""), IF(AB848 &lt;= K848 + 2, "On Time", "Late"))</f>
        <v>On Time</v>
      </c>
      <c r="AL848" s="268" t="str">
        <f t="shared" si="99"/>
        <v>May</v>
      </c>
      <c r="AM848" s="133">
        <f>YEAR(Table1[[#This Row],[ETA
As requested
dd.mm.yyyy]])</f>
        <v>2025</v>
      </c>
    </row>
    <row r="849" spans="1:39" hidden="1">
      <c r="A849" s="123" t="s">
        <v>83</v>
      </c>
      <c r="B849" s="36" t="s">
        <v>1170</v>
      </c>
      <c r="C849" s="117">
        <v>39072055</v>
      </c>
      <c r="D849" s="165">
        <v>45777</v>
      </c>
      <c r="E849" s="117" t="s">
        <v>97</v>
      </c>
      <c r="F849" s="36" t="str">
        <f>IFERROR(VLOOKUP(Table1[[#This Row],[Part Number]],DATABASE_FG!$C$6:D10838,2,FALSE)," ")</f>
        <v>300921586-8011</v>
      </c>
      <c r="G849" s="117" t="str">
        <f>IFERROR(_xlfn.XLOOKUP(Table1[[#This Row],[Part Number]],Table3[Part number],Table3[Drawing
 Revision]),"")</f>
        <v>AB</v>
      </c>
      <c r="H849" s="118" cm="1">
        <f t="array" ref="H849">IFERROR(INDEX(PDB!$C:$AT,MATCH(E849,PDB!$B:$B,0),MATCH(YEAR(K849),0+PDB!$C$1:$AT$1,0)),"")</f>
        <v>5.56</v>
      </c>
      <c r="I849" s="36">
        <v>112</v>
      </c>
      <c r="J849" s="125">
        <f>IFERROR(Table1[[#This Row],[Quantity]]*Table1[[#This Row],[Price/Unit
EUR]]," ")</f>
        <v>622.71999999999991</v>
      </c>
      <c r="K849" s="126">
        <v>45796</v>
      </c>
      <c r="L849" s="36">
        <f>WEEKNUM(Table1[[#This Row],[ETA
As requested
dd.mm.yyyy]])</f>
        <v>21</v>
      </c>
      <c r="M849" s="36">
        <f>YEAR(Table1[[#This Row],[ETA
As requested
dd.mm.yyyy]])</f>
        <v>2025</v>
      </c>
      <c r="N849" s="36">
        <f>IFERROR(INDEX(DATABASE_FG!$H$5:$H$367, MATCH(E849, DATABASE_FG!$C$5:$C$367, 0)), " ")</f>
        <v>0</v>
      </c>
      <c r="O849" s="129" t="str">
        <f>IF(E849&lt;&gt;"", _xlfn.XLOOKUP(E849, DATABASE_FG!C:C, DATABASE_FG!F:F), " ")</f>
        <v>Ghidaje</v>
      </c>
      <c r="P849" s="129">
        <f>IFERROR(INDEX(DATABASE_FG!$G$5:$G$367, MATCH(E849, DATABASE_FG!$C$5:$C$367, 0)), "Not Found")</f>
        <v>0</v>
      </c>
      <c r="Q849" s="36"/>
      <c r="R849" s="125" t="s">
        <v>678</v>
      </c>
      <c r="S849" s="123">
        <f>IFERROR(INDEX(DATABASE_FG!$L$5:$L$367, MATCH(E849, DATABASE_FG!$C$5:$C$367, 0)), " ")</f>
        <v>42</v>
      </c>
      <c r="T849" s="36" t="s">
        <v>679</v>
      </c>
      <c r="U849" s="36"/>
      <c r="V849" s="36"/>
      <c r="W849" s="129"/>
      <c r="X849" s="36"/>
      <c r="Y849" s="36"/>
      <c r="Z849" s="36"/>
      <c r="AA849" s="125" t="s">
        <v>121</v>
      </c>
      <c r="AB849" s="173">
        <v>45790</v>
      </c>
      <c r="AC849" s="119">
        <v>25768</v>
      </c>
      <c r="AD849" s="36">
        <f t="shared" si="100"/>
        <v>39072055</v>
      </c>
      <c r="AE849" s="36" t="str">
        <f t="shared" si="101"/>
        <v>F-607694-1038.TK.KWVE20BNL-ISB-WW1</v>
      </c>
      <c r="AF849" s="36">
        <v>112</v>
      </c>
      <c r="AG849" s="120">
        <f t="shared" si="98"/>
        <v>622.71999999999991</v>
      </c>
      <c r="AH849" s="36"/>
      <c r="AI849" s="124"/>
      <c r="AJ849" s="122" t="s">
        <v>3196</v>
      </c>
      <c r="AK849" s="129" t="str">
        <f t="shared" ca="1" si="102"/>
        <v>On Time</v>
      </c>
      <c r="AL849" s="268" t="str">
        <f t="shared" si="99"/>
        <v>May</v>
      </c>
      <c r="AM849" s="133">
        <f>YEAR(Table1[[#This Row],[ETA
As requested
dd.mm.yyyy]])</f>
        <v>2025</v>
      </c>
    </row>
    <row r="850" spans="1:39" hidden="1">
      <c r="A850" s="123" t="s">
        <v>83</v>
      </c>
      <c r="B850" s="36" t="s">
        <v>1170</v>
      </c>
      <c r="C850" s="117">
        <v>39072055</v>
      </c>
      <c r="D850" s="165">
        <v>45777</v>
      </c>
      <c r="E850" s="117" t="s">
        <v>97</v>
      </c>
      <c r="F850" s="36" t="str">
        <f>IFERROR(VLOOKUP(Table1[[#This Row],[Part Number]],DATABASE_FG!$C$6:D10839,2,FALSE)," ")</f>
        <v>300921586-8011</v>
      </c>
      <c r="G850" s="117" t="str">
        <f>IFERROR(_xlfn.XLOOKUP(Table1[[#This Row],[Part Number]],Table3[Part number],Table3[Drawing
 Revision]),"")</f>
        <v>AB</v>
      </c>
      <c r="H850" s="118" cm="1">
        <f t="array" ref="H850">IFERROR(INDEX(PDB!$C:$AT,MATCH(E850,PDB!$B:$B,0),MATCH(YEAR(K850),0+PDB!$C$1:$AT$1,0)),"")</f>
        <v>5.56</v>
      </c>
      <c r="I850" s="36">
        <v>317</v>
      </c>
      <c r="J850" s="125">
        <f>IFERROR(Table1[[#This Row],[Quantity]]*Table1[[#This Row],[Price/Unit
EUR]]," ")</f>
        <v>1762.52</v>
      </c>
      <c r="K850" s="126">
        <v>45796</v>
      </c>
      <c r="L850" s="36">
        <f>WEEKNUM(Table1[[#This Row],[ETA
As requested
dd.mm.yyyy]])</f>
        <v>21</v>
      </c>
      <c r="M850" s="36">
        <f>YEAR(Table1[[#This Row],[ETA
As requested
dd.mm.yyyy]])</f>
        <v>2025</v>
      </c>
      <c r="N850" s="36">
        <f>IFERROR(INDEX(DATABASE_FG!$H$5:$H$367, MATCH(E850, DATABASE_FG!$C$5:$C$367, 0)), " ")</f>
        <v>0</v>
      </c>
      <c r="O850" s="129" t="str">
        <f>IF(E850&lt;&gt;"", _xlfn.XLOOKUP(E850, DATABASE_FG!C:C, DATABASE_FG!F:F), " ")</f>
        <v>Ghidaje</v>
      </c>
      <c r="P850" s="129">
        <f>IFERROR(INDEX(DATABASE_FG!$G$5:$G$367, MATCH(E850, DATABASE_FG!$C$5:$C$367, 0)), "Not Found")</f>
        <v>0</v>
      </c>
      <c r="Q850" s="36"/>
      <c r="R850" s="125" t="s">
        <v>678</v>
      </c>
      <c r="S850" s="123">
        <f>IFERROR(INDEX(DATABASE_FG!$L$5:$L$367, MATCH(E850, DATABASE_FG!$C$5:$C$367, 0)), " ")</f>
        <v>42</v>
      </c>
      <c r="T850" s="36" t="s">
        <v>679</v>
      </c>
      <c r="U850" s="36"/>
      <c r="V850" s="36"/>
      <c r="W850" s="129"/>
      <c r="X850" s="36"/>
      <c r="Y850" s="36"/>
      <c r="Z850" s="36"/>
      <c r="AA850" s="125" t="s">
        <v>121</v>
      </c>
      <c r="AB850" s="173">
        <v>45792</v>
      </c>
      <c r="AC850" s="119">
        <v>25779</v>
      </c>
      <c r="AD850" s="36">
        <f t="shared" si="100"/>
        <v>39072055</v>
      </c>
      <c r="AE850" s="36" t="str">
        <f t="shared" si="101"/>
        <v>F-607694-1038.TK.KWVE20BNL-ISB-WW1</v>
      </c>
      <c r="AF850" s="36">
        <v>317</v>
      </c>
      <c r="AG850" s="120">
        <f t="shared" si="98"/>
        <v>1762.52</v>
      </c>
      <c r="AH850" s="36"/>
      <c r="AI850" s="124"/>
      <c r="AJ850" s="122" t="s">
        <v>3197</v>
      </c>
      <c r="AK850" s="129" t="str">
        <f t="shared" ca="1" si="102"/>
        <v>On Time</v>
      </c>
      <c r="AL850" s="268" t="str">
        <f t="shared" si="99"/>
        <v>May</v>
      </c>
      <c r="AM850" s="133">
        <f>YEAR(Table1[[#This Row],[ETA
As requested
dd.mm.yyyy]])</f>
        <v>2025</v>
      </c>
    </row>
    <row r="851" spans="1:39" hidden="1">
      <c r="A851" s="123" t="s">
        <v>83</v>
      </c>
      <c r="B851" s="36" t="s">
        <v>1170</v>
      </c>
      <c r="C851" s="117">
        <v>39072055</v>
      </c>
      <c r="D851" s="165">
        <v>45777</v>
      </c>
      <c r="E851" s="117" t="s">
        <v>97</v>
      </c>
      <c r="F851" s="36" t="str">
        <f>IFERROR(VLOOKUP(Table1[[#This Row],[Part Number]],DATABASE_FG!$C$6:D10840,2,FALSE)," ")</f>
        <v>300921586-8011</v>
      </c>
      <c r="G851" s="117" t="str">
        <f>IFERROR(_xlfn.XLOOKUP(Table1[[#This Row],[Part Number]],Table3[Part number],Table3[Drawing
 Revision]),"")</f>
        <v>AB</v>
      </c>
      <c r="H851" s="118" cm="1">
        <f t="array" ref="H851">IFERROR(INDEX(PDB!$C:$AT,MATCH(E851,PDB!$B:$B,0),MATCH(YEAR(K851),0+PDB!$C$1:$AT$1,0)),"")</f>
        <v>5.56</v>
      </c>
      <c r="I851" s="36">
        <v>224</v>
      </c>
      <c r="J851" s="125">
        <f>IFERROR(Table1[[#This Row],[Quantity]]*Table1[[#This Row],[Price/Unit
EUR]]," ")</f>
        <v>1245.4399999999998</v>
      </c>
      <c r="K851" s="126">
        <v>45803</v>
      </c>
      <c r="L851" s="36">
        <f>WEEKNUM(Table1[[#This Row],[ETA
As requested
dd.mm.yyyy]])</f>
        <v>22</v>
      </c>
      <c r="M851" s="36">
        <f>YEAR(Table1[[#This Row],[ETA
As requested
dd.mm.yyyy]])</f>
        <v>2025</v>
      </c>
      <c r="N851" s="36">
        <f>IFERROR(INDEX(DATABASE_FG!$H$5:$H$367, MATCH(E851, DATABASE_FG!$C$5:$C$367, 0)), " ")</f>
        <v>0</v>
      </c>
      <c r="O851" s="129" t="str">
        <f>IF(E851&lt;&gt;"", _xlfn.XLOOKUP(E851, DATABASE_FG!C:C, DATABASE_FG!F:F), " ")</f>
        <v>Ghidaje</v>
      </c>
      <c r="P851" s="129">
        <f>IFERROR(INDEX(DATABASE_FG!$G$5:$G$367, MATCH(E851, DATABASE_FG!$C$5:$C$367, 0)), "Not Found")</f>
        <v>0</v>
      </c>
      <c r="Q851" s="36"/>
      <c r="R851" s="125" t="s">
        <v>678</v>
      </c>
      <c r="S851" s="123">
        <f>IFERROR(INDEX(DATABASE_FG!$L$5:$L$367, MATCH(E851, DATABASE_FG!$C$5:$C$367, 0)), " ")</f>
        <v>42</v>
      </c>
      <c r="T851" s="36" t="s">
        <v>679</v>
      </c>
      <c r="U851" s="36"/>
      <c r="V851" s="36"/>
      <c r="W851" s="129"/>
      <c r="X851" s="36"/>
      <c r="Y851" s="36"/>
      <c r="Z851" s="36"/>
      <c r="AA851" s="125" t="s">
        <v>121</v>
      </c>
      <c r="AB851" s="173">
        <v>45797</v>
      </c>
      <c r="AC851" s="119">
        <v>25790</v>
      </c>
      <c r="AD851" s="36">
        <f t="shared" si="100"/>
        <v>39072055</v>
      </c>
      <c r="AE851" s="36" t="str">
        <f t="shared" si="101"/>
        <v>F-607694-1038.TK.KWVE20BNL-ISB-WW1</v>
      </c>
      <c r="AF851" s="36">
        <v>224</v>
      </c>
      <c r="AG851" s="120">
        <f t="shared" si="98"/>
        <v>1245.4399999999998</v>
      </c>
      <c r="AH851" s="36"/>
      <c r="AI851" s="124"/>
      <c r="AJ851" s="122" t="s">
        <v>3210</v>
      </c>
      <c r="AK851" s="129" t="str">
        <f t="shared" ca="1" si="102"/>
        <v>On Time</v>
      </c>
      <c r="AL851" s="268" t="str">
        <f t="shared" si="99"/>
        <v>May</v>
      </c>
      <c r="AM851" s="133">
        <f>YEAR(Table1[[#This Row],[ETA
As requested
dd.mm.yyyy]])</f>
        <v>2025</v>
      </c>
    </row>
    <row r="852" spans="1:39" hidden="1">
      <c r="A852" s="123" t="s">
        <v>83</v>
      </c>
      <c r="B852" s="36" t="s">
        <v>1170</v>
      </c>
      <c r="C852" s="117">
        <v>39072055</v>
      </c>
      <c r="D852" s="165">
        <v>45777</v>
      </c>
      <c r="E852" s="117" t="s">
        <v>97</v>
      </c>
      <c r="F852" s="36" t="str">
        <f>IFERROR(VLOOKUP(Table1[[#This Row],[Part Number]],DATABASE_FG!$C$6:D10841,2,FALSE)," ")</f>
        <v>300921586-8011</v>
      </c>
      <c r="G852" s="117" t="str">
        <f>IFERROR(_xlfn.XLOOKUP(Table1[[#This Row],[Part Number]],Table3[Part number],Table3[Drawing
 Revision]),"")</f>
        <v>AB</v>
      </c>
      <c r="H852" s="118" cm="1">
        <f t="array" ref="H852">IFERROR(INDEX(PDB!$C:$AT,MATCH(E852,PDB!$B:$B,0),MATCH(YEAR(K852),0+PDB!$C$1:$AT$1,0)),"")</f>
        <v>5.56</v>
      </c>
      <c r="I852" s="36">
        <f>300+288-317-224</f>
        <v>47</v>
      </c>
      <c r="J852" s="125">
        <f>IFERROR(Table1[[#This Row],[Quantity]]*Table1[[#This Row],[Price/Unit
EUR]]," ")</f>
        <v>261.32</v>
      </c>
      <c r="K852" s="126">
        <v>45803</v>
      </c>
      <c r="L852" s="36">
        <f>WEEKNUM(Table1[[#This Row],[ETA
As requested
dd.mm.yyyy]])</f>
        <v>22</v>
      </c>
      <c r="M852" s="36">
        <f>YEAR(Table1[[#This Row],[ETA
As requested
dd.mm.yyyy]])</f>
        <v>2025</v>
      </c>
      <c r="N852" s="36">
        <f>IFERROR(INDEX(DATABASE_FG!$H$5:$H$367, MATCH(E852, DATABASE_FG!$C$5:$C$367, 0)), " ")</f>
        <v>0</v>
      </c>
      <c r="O852" s="129" t="str">
        <f>IF(E852&lt;&gt;"", _xlfn.XLOOKUP(E852, DATABASE_FG!C:C, DATABASE_FG!F:F), " ")</f>
        <v>Ghidaje</v>
      </c>
      <c r="P852" s="129">
        <f>IFERROR(INDEX(DATABASE_FG!$G$5:$G$367, MATCH(E852, DATABASE_FG!$C$5:$C$367, 0)), "Not Found")</f>
        <v>0</v>
      </c>
      <c r="Q852" s="36"/>
      <c r="R852" s="125" t="s">
        <v>678</v>
      </c>
      <c r="S852" s="123">
        <f>IFERROR(INDEX(DATABASE_FG!$L$5:$L$367, MATCH(E852, DATABASE_FG!$C$5:$C$367, 0)), " ")</f>
        <v>42</v>
      </c>
      <c r="T852" s="36" t="s">
        <v>679</v>
      </c>
      <c r="U852" s="36"/>
      <c r="V852" s="36"/>
      <c r="W852" s="129"/>
      <c r="X852" s="36"/>
      <c r="Y852" s="36"/>
      <c r="Z852" s="36"/>
      <c r="AA852" s="125" t="s">
        <v>121</v>
      </c>
      <c r="AB852" s="173">
        <v>45799</v>
      </c>
      <c r="AC852" s="119">
        <v>25804</v>
      </c>
      <c r="AD852" s="36">
        <f t="shared" si="100"/>
        <v>39072055</v>
      </c>
      <c r="AE852" s="36" t="str">
        <f t="shared" si="101"/>
        <v>F-607694-1038.TK.KWVE20BNL-ISB-WW1</v>
      </c>
      <c r="AF852" s="36">
        <v>47</v>
      </c>
      <c r="AG852" s="120">
        <f t="shared" si="98"/>
        <v>261.32</v>
      </c>
      <c r="AH852" s="36"/>
      <c r="AI852" s="124"/>
      <c r="AJ852" s="122" t="s">
        <v>3211</v>
      </c>
      <c r="AK852" s="129" t="str">
        <f t="shared" ca="1" si="102"/>
        <v>On Time</v>
      </c>
      <c r="AL852" s="268" t="str">
        <f t="shared" si="99"/>
        <v>May</v>
      </c>
      <c r="AM852" s="133">
        <f>YEAR(Table1[[#This Row],[ETA
As requested
dd.mm.yyyy]])</f>
        <v>2025</v>
      </c>
    </row>
    <row r="853" spans="1:39" hidden="1">
      <c r="A853" s="123" t="s">
        <v>83</v>
      </c>
      <c r="B853" s="36" t="s">
        <v>1170</v>
      </c>
      <c r="C853" s="117">
        <v>39319603</v>
      </c>
      <c r="D853" s="165">
        <v>45777</v>
      </c>
      <c r="E853" s="117" t="s">
        <v>97</v>
      </c>
      <c r="F853" s="36" t="str">
        <f>IFERROR(VLOOKUP(Table1[[#This Row],[Part Number]],DATABASE_FG!$C$6:D10842,2,FALSE)," ")</f>
        <v>300921586-8011</v>
      </c>
      <c r="G853" s="117" t="str">
        <f>IFERROR(_xlfn.XLOOKUP(Table1[[#This Row],[Part Number]],Table3[Part number],Table3[Drawing
 Revision]),"")</f>
        <v>AB</v>
      </c>
      <c r="H853" s="118" cm="1">
        <f t="array" ref="H853">IFERROR(INDEX(PDB!$C:$AT,MATCH(E853,PDB!$B:$B,0),MATCH(YEAR(K853),0+PDB!$C$1:$AT$1,0)),"")</f>
        <v>5.56</v>
      </c>
      <c r="I853" s="36">
        <v>114</v>
      </c>
      <c r="J853" s="125">
        <f>IFERROR(Table1[[#This Row],[Quantity]]*Table1[[#This Row],[Price/Unit
EUR]]," ")</f>
        <v>633.83999999999992</v>
      </c>
      <c r="K853" s="126">
        <v>45811</v>
      </c>
      <c r="L853" s="36">
        <f>WEEKNUM(Table1[[#This Row],[ETA
As requested
dd.mm.yyyy]])</f>
        <v>23</v>
      </c>
      <c r="M853" s="36">
        <f>YEAR(Table1[[#This Row],[ETA
As requested
dd.mm.yyyy]])</f>
        <v>2025</v>
      </c>
      <c r="N853" s="36">
        <f>IFERROR(INDEX(DATABASE_FG!$H$5:$H$367, MATCH(E853, DATABASE_FG!$C$5:$C$367, 0)), " ")</f>
        <v>0</v>
      </c>
      <c r="O853" s="129" t="str">
        <f>IF(E853&lt;&gt;"", _xlfn.XLOOKUP(E853, DATABASE_FG!C:C, DATABASE_FG!F:F), " ")</f>
        <v>Ghidaje</v>
      </c>
      <c r="P853" s="129">
        <f>IFERROR(INDEX(DATABASE_FG!$G$5:$G$367, MATCH(E853, DATABASE_FG!$C$5:$C$367, 0)), "Not Found")</f>
        <v>0</v>
      </c>
      <c r="Q853" s="36"/>
      <c r="R853" s="125" t="s">
        <v>678</v>
      </c>
      <c r="S853" s="123">
        <f>IFERROR(INDEX(DATABASE_FG!$L$5:$L$367, MATCH(E853, DATABASE_FG!$C$5:$C$367, 0)), " ")</f>
        <v>42</v>
      </c>
      <c r="T853" s="36" t="s">
        <v>679</v>
      </c>
      <c r="U853" s="36"/>
      <c r="V853" s="36"/>
      <c r="W853" s="129"/>
      <c r="X853" s="36"/>
      <c r="Y853" s="36"/>
      <c r="Z853" s="36"/>
      <c r="AA853" s="125" t="s">
        <v>121</v>
      </c>
      <c r="AB853" s="173">
        <v>45834</v>
      </c>
      <c r="AC853" s="119">
        <v>25993</v>
      </c>
      <c r="AD853" s="36">
        <f t="shared" si="100"/>
        <v>39319603</v>
      </c>
      <c r="AE853" s="36" t="str">
        <f t="shared" si="101"/>
        <v>F-607694-1038.TK.KWVE20BNL-ISB-WW1</v>
      </c>
      <c r="AF853" s="36">
        <v>114</v>
      </c>
      <c r="AG853" s="120">
        <f t="shared" si="98"/>
        <v>633.83999999999992</v>
      </c>
      <c r="AH853" s="36"/>
      <c r="AI853" s="124"/>
      <c r="AJ853" s="122" t="s">
        <v>3232</v>
      </c>
      <c r="AK853" s="129" t="str">
        <f t="shared" ca="1" si="102"/>
        <v>Late</v>
      </c>
      <c r="AL853" s="268" t="str">
        <f t="shared" si="99"/>
        <v>June</v>
      </c>
      <c r="AM853" s="133">
        <f>YEAR(Table1[[#This Row],[ETA
As requested
dd.mm.yyyy]])</f>
        <v>2025</v>
      </c>
    </row>
    <row r="854" spans="1:39" hidden="1">
      <c r="A854" s="123" t="s">
        <v>83</v>
      </c>
      <c r="B854" s="36" t="s">
        <v>1170</v>
      </c>
      <c r="C854" s="117">
        <v>39319603</v>
      </c>
      <c r="D854" s="165">
        <v>45777</v>
      </c>
      <c r="E854" s="117" t="s">
        <v>97</v>
      </c>
      <c r="F854" s="36" t="str">
        <f>IFERROR(VLOOKUP(Table1[[#This Row],[Part Number]],DATABASE_FG!$C$6:D10843,2,FALSE)," ")</f>
        <v>300921586-8011</v>
      </c>
      <c r="G854" s="117" t="str">
        <f>IFERROR(_xlfn.XLOOKUP(Table1[[#This Row],[Part Number]],Table3[Part number],Table3[Drawing
 Revision]),"")</f>
        <v>AB</v>
      </c>
      <c r="H854" s="118" cm="1">
        <f t="array" ref="H854">IFERROR(INDEX(PDB!$C:$AT,MATCH(E854,PDB!$B:$B,0),MATCH(YEAR(K854),0+PDB!$C$1:$AT$1,0)),"")</f>
        <v>5.56</v>
      </c>
      <c r="I854" s="36">
        <v>151</v>
      </c>
      <c r="J854" s="125">
        <f>IFERROR(Table1[[#This Row],[Quantity]]*Table1[[#This Row],[Price/Unit
EUR]]," ")</f>
        <v>839.56</v>
      </c>
      <c r="K854" s="126">
        <v>45811</v>
      </c>
      <c r="L854" s="36">
        <f>WEEKNUM(Table1[[#This Row],[ETA
As requested
dd.mm.yyyy]])</f>
        <v>23</v>
      </c>
      <c r="M854" s="36">
        <f>YEAR(Table1[[#This Row],[ETA
As requested
dd.mm.yyyy]])</f>
        <v>2025</v>
      </c>
      <c r="N854" s="36">
        <f>IFERROR(INDEX(DATABASE_FG!$H$5:$H$367, MATCH(E854, DATABASE_FG!$C$5:$C$367, 0)), " ")</f>
        <v>0</v>
      </c>
      <c r="O854" s="129" t="str">
        <f>IF(E854&lt;&gt;"", _xlfn.XLOOKUP(E854, DATABASE_FG!C:C, DATABASE_FG!F:F), " ")</f>
        <v>Ghidaje</v>
      </c>
      <c r="P854" s="129">
        <f>IFERROR(INDEX(DATABASE_FG!$G$5:$G$367, MATCH(E854, DATABASE_FG!$C$5:$C$367, 0)), "Not Found")</f>
        <v>0</v>
      </c>
      <c r="Q854" s="36"/>
      <c r="R854" s="125" t="s">
        <v>678</v>
      </c>
      <c r="S854" s="123">
        <f>IFERROR(INDEX(DATABASE_FG!$L$5:$L$367, MATCH(E854, DATABASE_FG!$C$5:$C$367, 0)), " ")</f>
        <v>42</v>
      </c>
      <c r="T854" s="36" t="s">
        <v>679</v>
      </c>
      <c r="U854" s="36"/>
      <c r="V854" s="36"/>
      <c r="W854" s="129"/>
      <c r="X854" s="36"/>
      <c r="Y854" s="36"/>
      <c r="Z854" s="36"/>
      <c r="AA854" s="125" t="s">
        <v>121</v>
      </c>
      <c r="AB854" s="173">
        <v>45838</v>
      </c>
      <c r="AC854" s="119">
        <v>260009</v>
      </c>
      <c r="AD854" s="36">
        <f t="shared" si="100"/>
        <v>39319603</v>
      </c>
      <c r="AE854" s="36" t="str">
        <f t="shared" si="101"/>
        <v>F-607694-1038.TK.KWVE20BNL-ISB-WW1</v>
      </c>
      <c r="AF854" s="36">
        <v>151</v>
      </c>
      <c r="AG854" s="120">
        <f t="shared" si="98"/>
        <v>839.56</v>
      </c>
      <c r="AH854" s="36"/>
      <c r="AI854" s="124"/>
      <c r="AJ854" s="122" t="s">
        <v>3234</v>
      </c>
      <c r="AK854" s="129" t="str">
        <f t="shared" ca="1" si="102"/>
        <v>Late</v>
      </c>
      <c r="AL854" s="268" t="str">
        <f t="shared" si="99"/>
        <v>June</v>
      </c>
      <c r="AM854" s="133">
        <f>YEAR(Table1[[#This Row],[ETA
As requested
dd.mm.yyyy]])</f>
        <v>2025</v>
      </c>
    </row>
    <row r="855" spans="1:39" hidden="1">
      <c r="A855" s="123" t="s">
        <v>83</v>
      </c>
      <c r="B855" s="36" t="s">
        <v>1170</v>
      </c>
      <c r="C855" s="117">
        <v>39319603</v>
      </c>
      <c r="D855" s="165">
        <v>45777</v>
      </c>
      <c r="E855" s="117" t="s">
        <v>97</v>
      </c>
      <c r="F855" s="36" t="str">
        <f>IFERROR(VLOOKUP(Table1[[#This Row],[Part Number]],DATABASE_FG!$C$6:D10844,2,FALSE)," ")</f>
        <v>300921586-8011</v>
      </c>
      <c r="G855" s="117" t="str">
        <f>IFERROR(_xlfn.XLOOKUP(Table1[[#This Row],[Part Number]],Table3[Part number],Table3[Drawing
 Revision]),"")</f>
        <v>AB</v>
      </c>
      <c r="H855" s="118" cm="1">
        <f t="array" ref="H855">IFERROR(INDEX(PDB!$C:$AT,MATCH(E855,PDB!$B:$B,0),MATCH(YEAR(K855),0+PDB!$C$1:$AT$1,0)),"")</f>
        <v>5.56</v>
      </c>
      <c r="I855" s="36">
        <f>400-151-114+228</f>
        <v>363</v>
      </c>
      <c r="J855" s="125">
        <f>IFERROR(Table1[[#This Row],[Quantity]]*Table1[[#This Row],[Price/Unit
EUR]]," ")</f>
        <v>2018.2799999999997</v>
      </c>
      <c r="K855" s="126">
        <v>45811</v>
      </c>
      <c r="L855" s="36">
        <f>WEEKNUM(Table1[[#This Row],[ETA
As requested
dd.mm.yyyy]])</f>
        <v>23</v>
      </c>
      <c r="M855" s="36">
        <f>YEAR(Table1[[#This Row],[ETA
As requested
dd.mm.yyyy]])</f>
        <v>2025</v>
      </c>
      <c r="N855" s="36">
        <f>IFERROR(INDEX(DATABASE_FG!$H$5:$H$367, MATCH(E855, DATABASE_FG!$C$5:$C$367, 0)), " ")</f>
        <v>0</v>
      </c>
      <c r="O855" s="129" t="str">
        <f>IF(E855&lt;&gt;"", _xlfn.XLOOKUP(E855, DATABASE_FG!C:C, DATABASE_FG!F:F), " ")</f>
        <v>Ghidaje</v>
      </c>
      <c r="P855" s="129">
        <f>IFERROR(INDEX(DATABASE_FG!$G$5:$G$367, MATCH(E855, DATABASE_FG!$C$5:$C$367, 0)), "Not Found")</f>
        <v>0</v>
      </c>
      <c r="Q855" s="36"/>
      <c r="R855" s="125" t="s">
        <v>678</v>
      </c>
      <c r="S855" s="123">
        <f>IFERROR(INDEX(DATABASE_FG!$L$5:$L$367, MATCH(E855, DATABASE_FG!$C$5:$C$367, 0)), " ")</f>
        <v>42</v>
      </c>
      <c r="T855" s="36" t="s">
        <v>679</v>
      </c>
      <c r="U855" s="36"/>
      <c r="V855" s="36"/>
      <c r="W855" s="129"/>
      <c r="X855" s="36"/>
      <c r="Y855" s="36"/>
      <c r="Z855" s="36"/>
      <c r="AA855" s="125" t="s">
        <v>121</v>
      </c>
      <c r="AB855" s="173">
        <v>45842</v>
      </c>
      <c r="AC855" s="119">
        <v>251032</v>
      </c>
      <c r="AD855" s="36">
        <f t="shared" si="100"/>
        <v>39319603</v>
      </c>
      <c r="AE855" s="36" t="str">
        <f t="shared" si="101"/>
        <v>F-607694-1038.TK.KWVE20BNL-ISB-WW1</v>
      </c>
      <c r="AF855" s="36">
        <f>264+99</f>
        <v>363</v>
      </c>
      <c r="AG855" s="120">
        <f t="shared" si="98"/>
        <v>2018.2799999999997</v>
      </c>
      <c r="AH855" s="36"/>
      <c r="AI855" s="124"/>
      <c r="AJ855" s="122" t="s">
        <v>3236</v>
      </c>
      <c r="AK855" s="129" t="str">
        <f t="shared" ca="1" si="102"/>
        <v>Late</v>
      </c>
      <c r="AL855" s="268" t="str">
        <f t="shared" si="99"/>
        <v>June</v>
      </c>
      <c r="AM855" s="133">
        <f>YEAR(Table1[[#This Row],[ETA
As requested
dd.mm.yyyy]])</f>
        <v>2025</v>
      </c>
    </row>
    <row r="856" spans="1:39" hidden="1">
      <c r="A856" s="123" t="s">
        <v>83</v>
      </c>
      <c r="B856" s="36" t="s">
        <v>1170</v>
      </c>
      <c r="C856" s="117">
        <v>39319603</v>
      </c>
      <c r="D856" s="165">
        <v>45777</v>
      </c>
      <c r="E856" s="117" t="s">
        <v>97</v>
      </c>
      <c r="F856" s="36" t="str">
        <f>IFERROR(VLOOKUP(Table1[[#This Row],[Part Number]],DATABASE_FG!$C$6:D10845,2,FALSE)," ")</f>
        <v>300921586-8011</v>
      </c>
      <c r="G856" s="117" t="str">
        <f>IFERROR(_xlfn.XLOOKUP(Table1[[#This Row],[Part Number]],Table3[Part number],Table3[Drawing
 Revision]),"")</f>
        <v>AB</v>
      </c>
      <c r="H856" s="118" cm="1">
        <f t="array" ref="H856">IFERROR(INDEX(PDB!$C:$AT,MATCH(E856,PDB!$B:$B,0),MATCH(YEAR(K856),0+PDB!$C$1:$AT$1,0)),"")</f>
        <v>5.56</v>
      </c>
      <c r="I856" s="36">
        <f>400-228-6</f>
        <v>166</v>
      </c>
      <c r="J856" s="125">
        <f>IFERROR(Table1[[#This Row],[Quantity]]*Table1[[#This Row],[Price/Unit
EUR]]," ")</f>
        <v>922.95999999999992</v>
      </c>
      <c r="K856" s="126">
        <v>45818</v>
      </c>
      <c r="L856" s="36">
        <f>WEEKNUM(Table1[[#This Row],[ETA
As requested
dd.mm.yyyy]])</f>
        <v>24</v>
      </c>
      <c r="M856" s="36">
        <f>YEAR(Table1[[#This Row],[ETA
As requested
dd.mm.yyyy]])</f>
        <v>2025</v>
      </c>
      <c r="N856" s="36">
        <f>IFERROR(INDEX(DATABASE_FG!$H$5:$H$367, MATCH(E856, DATABASE_FG!$C$5:$C$367, 0)), " ")</f>
        <v>0</v>
      </c>
      <c r="O856" s="129" t="str">
        <f>IF(E856&lt;&gt;"", _xlfn.XLOOKUP(E856, DATABASE_FG!C:C, DATABASE_FG!F:F), " ")</f>
        <v>Ghidaje</v>
      </c>
      <c r="P856" s="129">
        <f>IFERROR(INDEX(DATABASE_FG!$G$5:$G$367, MATCH(E856, DATABASE_FG!$C$5:$C$367, 0)), "Not Found")</f>
        <v>0</v>
      </c>
      <c r="Q856" s="36"/>
      <c r="R856" s="125" t="s">
        <v>678</v>
      </c>
      <c r="S856" s="123">
        <f>IFERROR(INDEX(DATABASE_FG!$L$5:$L$367, MATCH(E856, DATABASE_FG!$C$5:$C$367, 0)), " ")</f>
        <v>42</v>
      </c>
      <c r="T856" s="36" t="s">
        <v>679</v>
      </c>
      <c r="U856" s="36"/>
      <c r="V856" s="36"/>
      <c r="W856" s="129"/>
      <c r="X856" s="36"/>
      <c r="Y856" s="36"/>
      <c r="Z856" s="36"/>
      <c r="AA856" s="125" t="s">
        <v>121</v>
      </c>
      <c r="AB856" s="173">
        <v>45845</v>
      </c>
      <c r="AC856" s="119">
        <v>251039</v>
      </c>
      <c r="AD856" s="36">
        <f t="shared" si="100"/>
        <v>39319603</v>
      </c>
      <c r="AE856" s="36" t="str">
        <f t="shared" si="101"/>
        <v>F-607694-1038.TK.KWVE20BNL-ISB-WW1</v>
      </c>
      <c r="AF856" s="36">
        <v>166</v>
      </c>
      <c r="AG856" s="120">
        <f t="shared" si="98"/>
        <v>922.95999999999992</v>
      </c>
      <c r="AH856" s="36"/>
      <c r="AI856" s="124"/>
      <c r="AJ856" s="122" t="s">
        <v>3245</v>
      </c>
      <c r="AK856" s="129" t="str">
        <f t="shared" ca="1" si="102"/>
        <v>Late</v>
      </c>
      <c r="AL856" s="268" t="str">
        <f t="shared" si="99"/>
        <v>June</v>
      </c>
      <c r="AM856" s="133">
        <f>YEAR(Table1[[#This Row],[ETA
As requested
dd.mm.yyyy]])</f>
        <v>2025</v>
      </c>
    </row>
    <row r="857" spans="1:39" hidden="1">
      <c r="A857" s="123" t="s">
        <v>83</v>
      </c>
      <c r="B857" s="36" t="s">
        <v>1170</v>
      </c>
      <c r="C857" s="117">
        <v>39319603</v>
      </c>
      <c r="D857" s="165">
        <v>45777</v>
      </c>
      <c r="E857" s="117" t="s">
        <v>97</v>
      </c>
      <c r="F857" s="36" t="str">
        <f>IFERROR(VLOOKUP(Table1[[#This Row],[Part Number]],DATABASE_FG!$C$6:D10846,2,FALSE)," ")</f>
        <v>300921586-8011</v>
      </c>
      <c r="G857" s="117" t="str">
        <f>IFERROR(_xlfn.XLOOKUP(Table1[[#This Row],[Part Number]],Table3[Part number],Table3[Drawing
 Revision]),"")</f>
        <v>AB</v>
      </c>
      <c r="H857" s="118" cm="1">
        <f t="array" ref="H857">IFERROR(INDEX(PDB!$C:$AT,MATCH(E857,PDB!$B:$B,0),MATCH(YEAR(K857),0+PDB!$C$1:$AT$1,0)),"")</f>
        <v>5.56</v>
      </c>
      <c r="I857" s="36">
        <v>168</v>
      </c>
      <c r="J857" s="125">
        <f>IFERROR(Table1[[#This Row],[Quantity]]*Table1[[#This Row],[Price/Unit
EUR]]," ")</f>
        <v>934.07999999999993</v>
      </c>
      <c r="K857" s="126">
        <v>45818</v>
      </c>
      <c r="L857" s="36">
        <f>WEEKNUM(Table1[[#This Row],[ETA
As requested
dd.mm.yyyy]])</f>
        <v>24</v>
      </c>
      <c r="M857" s="36">
        <f>YEAR(Table1[[#This Row],[ETA
As requested
dd.mm.yyyy]])</f>
        <v>2025</v>
      </c>
      <c r="N857" s="36">
        <f>IFERROR(INDEX(DATABASE_FG!$H$5:$H$367, MATCH(E857, DATABASE_FG!$C$5:$C$367, 0)), " ")</f>
        <v>0</v>
      </c>
      <c r="O857" s="129" t="str">
        <f>IF(E857&lt;&gt;"", _xlfn.XLOOKUP(E857, DATABASE_FG!C:C, DATABASE_FG!F:F), " ")</f>
        <v>Ghidaje</v>
      </c>
      <c r="P857" s="129">
        <f>IFERROR(INDEX(DATABASE_FG!$G$5:$G$367, MATCH(E857, DATABASE_FG!$C$5:$C$367, 0)), "Not Found")</f>
        <v>0</v>
      </c>
      <c r="Q857" s="36"/>
      <c r="R857" s="125" t="s">
        <v>678</v>
      </c>
      <c r="S857" s="123">
        <f>IFERROR(INDEX(DATABASE_FG!$L$5:$L$367, MATCH(E857, DATABASE_FG!$C$5:$C$367, 0)), " ")</f>
        <v>42</v>
      </c>
      <c r="T857" s="36" t="s">
        <v>679</v>
      </c>
      <c r="U857" s="36"/>
      <c r="V857" s="36"/>
      <c r="W857" s="129"/>
      <c r="X857" s="36"/>
      <c r="Y857" s="36"/>
      <c r="Z857" s="36"/>
      <c r="AA857" s="125" t="s">
        <v>121</v>
      </c>
      <c r="AB857" s="173">
        <v>45846</v>
      </c>
      <c r="AC857" s="119">
        <v>251046</v>
      </c>
      <c r="AD857" s="36">
        <f t="shared" si="100"/>
        <v>39319603</v>
      </c>
      <c r="AE857" s="36" t="str">
        <f t="shared" si="101"/>
        <v>F-607694-1038.TK.KWVE20BNL-ISB-WW1</v>
      </c>
      <c r="AF857" s="36">
        <v>168</v>
      </c>
      <c r="AG857" s="120">
        <f t="shared" si="98"/>
        <v>934.07999999999993</v>
      </c>
      <c r="AH857" s="36"/>
      <c r="AI857" s="124"/>
      <c r="AJ857" s="122" t="s">
        <v>3246</v>
      </c>
      <c r="AK857" s="129" t="str">
        <f t="shared" ca="1" si="102"/>
        <v>Late</v>
      </c>
      <c r="AL857" s="268" t="str">
        <f t="shared" si="99"/>
        <v>June</v>
      </c>
      <c r="AM857" s="133">
        <f>YEAR(Table1[[#This Row],[ETA
As requested
dd.mm.yyyy]])</f>
        <v>2025</v>
      </c>
    </row>
    <row r="858" spans="1:39" hidden="1">
      <c r="A858" s="123" t="s">
        <v>83</v>
      </c>
      <c r="B858" s="36" t="s">
        <v>1170</v>
      </c>
      <c r="C858" s="117">
        <v>39319603</v>
      </c>
      <c r="D858" s="165">
        <v>45777</v>
      </c>
      <c r="E858" s="117" t="s">
        <v>97</v>
      </c>
      <c r="F858" s="36" t="str">
        <f>IFERROR(VLOOKUP(Table1[[#This Row],[Part Number]],DATABASE_FG!$C$6:D10847,2,FALSE)," ")</f>
        <v>300921586-8011</v>
      </c>
      <c r="G858" s="117" t="str">
        <f>IFERROR(_xlfn.XLOOKUP(Table1[[#This Row],[Part Number]],Table3[Part number],Table3[Drawing
 Revision]),"")</f>
        <v>AB</v>
      </c>
      <c r="H858" s="118" cm="1">
        <f t="array" ref="H858">IFERROR(INDEX(PDB!$C:$AT,MATCH(E858,PDB!$B:$B,0),MATCH(YEAR(K858),0+PDB!$C$1:$AT$1,0)),"")</f>
        <v>5.56</v>
      </c>
      <c r="I858" s="36">
        <v>134</v>
      </c>
      <c r="J858" s="125">
        <f>IFERROR(Table1[[#This Row],[Quantity]]*Table1[[#This Row],[Price/Unit
EUR]]," ")</f>
        <v>745.04</v>
      </c>
      <c r="K858" s="126">
        <v>45818</v>
      </c>
      <c r="L858" s="36">
        <f>WEEKNUM(Table1[[#This Row],[ETA
As requested
dd.mm.yyyy]])</f>
        <v>24</v>
      </c>
      <c r="M858" s="36">
        <f>YEAR(Table1[[#This Row],[ETA
As requested
dd.mm.yyyy]])</f>
        <v>2025</v>
      </c>
      <c r="N858" s="36">
        <f>IFERROR(INDEX(DATABASE_FG!$H$5:$H$367, MATCH(E858, DATABASE_FG!$C$5:$C$367, 0)), " ")</f>
        <v>0</v>
      </c>
      <c r="O858" s="129" t="str">
        <f>IF(E858&lt;&gt;"", _xlfn.XLOOKUP(E858, DATABASE_FG!C:C, DATABASE_FG!F:F), " ")</f>
        <v>Ghidaje</v>
      </c>
      <c r="P858" s="129">
        <f>IFERROR(INDEX(DATABASE_FG!$G$5:$G$367, MATCH(E858, DATABASE_FG!$C$5:$C$367, 0)), "Not Found")</f>
        <v>0</v>
      </c>
      <c r="Q858" s="36"/>
      <c r="R858" s="125" t="s">
        <v>678</v>
      </c>
      <c r="S858" s="123">
        <f>IFERROR(INDEX(DATABASE_FG!$L$5:$L$367, MATCH(E858, DATABASE_FG!$C$5:$C$367, 0)), " ")</f>
        <v>42</v>
      </c>
      <c r="T858" s="36" t="s">
        <v>679</v>
      </c>
      <c r="U858" s="36"/>
      <c r="V858" s="36"/>
      <c r="W858" s="129"/>
      <c r="X858" s="36"/>
      <c r="Y858" s="36"/>
      <c r="Z858" s="36"/>
      <c r="AA858" s="125" t="s">
        <v>121</v>
      </c>
      <c r="AB858" s="173">
        <v>45847</v>
      </c>
      <c r="AC858" s="119" t="s">
        <v>3247</v>
      </c>
      <c r="AD858" s="36">
        <f t="shared" si="100"/>
        <v>39319603</v>
      </c>
      <c r="AE858" s="36" t="str">
        <f t="shared" si="101"/>
        <v>F-607694-1038.TK.KWVE20BNL-ISB-WW1</v>
      </c>
      <c r="AF858" s="36">
        <v>134</v>
      </c>
      <c r="AG858" s="120">
        <f t="shared" si="98"/>
        <v>745.04</v>
      </c>
      <c r="AH858" s="36"/>
      <c r="AI858" s="124"/>
      <c r="AJ858" s="122" t="s">
        <v>3248</v>
      </c>
      <c r="AK858" s="129" t="str">
        <f t="shared" ca="1" si="102"/>
        <v>Late</v>
      </c>
      <c r="AL858" s="268" t="str">
        <f t="shared" si="99"/>
        <v>June</v>
      </c>
      <c r="AM858" s="133">
        <f>YEAR(Table1[[#This Row],[ETA
As requested
dd.mm.yyyy]])</f>
        <v>2025</v>
      </c>
    </row>
    <row r="859" spans="1:39" hidden="1">
      <c r="A859" s="123" t="s">
        <v>83</v>
      </c>
      <c r="B859" s="36" t="s">
        <v>1170</v>
      </c>
      <c r="C859" s="117">
        <v>39536241</v>
      </c>
      <c r="D859" s="165">
        <v>45831</v>
      </c>
      <c r="E859" s="117" t="s">
        <v>97</v>
      </c>
      <c r="F859" s="36" t="str">
        <f>IFERROR(VLOOKUP(Table1[[#This Row],[Part Number]],DATABASE_FG!$C$6:D10848,2,FALSE)," ")</f>
        <v>300921586-8011</v>
      </c>
      <c r="G859" s="117" t="str">
        <f>IFERROR(_xlfn.XLOOKUP(Table1[[#This Row],[Part Number]],Table3[Part number],Table3[Drawing
 Revision]),"")</f>
        <v>AB</v>
      </c>
      <c r="H859" s="118" cm="1">
        <f t="array" ref="H859">IFERROR(INDEX(PDB!$C:$AT,MATCH(E859,PDB!$B:$B,0),MATCH(YEAR(K859),0+PDB!$C$1:$AT$1,0)),"")</f>
        <v>5.56</v>
      </c>
      <c r="I859" s="36">
        <v>352</v>
      </c>
      <c r="J859" s="125">
        <f>IFERROR(Table1[[#This Row],[Quantity]]*Table1[[#This Row],[Price/Unit
EUR]]," ")</f>
        <v>1957.12</v>
      </c>
      <c r="K859" s="126">
        <v>45823</v>
      </c>
      <c r="L859" s="36">
        <f>WEEKNUM(Table1[[#This Row],[ETA
As requested
dd.mm.yyyy]])</f>
        <v>25</v>
      </c>
      <c r="M859" s="36">
        <f>YEAR(Table1[[#This Row],[ETA
As requested
dd.mm.yyyy]])</f>
        <v>2025</v>
      </c>
      <c r="N859" s="36">
        <f>IFERROR(INDEX(DATABASE_FG!$H$5:$H$367, MATCH(E859, DATABASE_FG!$C$5:$C$367, 0)), " ")</f>
        <v>0</v>
      </c>
      <c r="O859" s="129" t="str">
        <f>IF(E859&lt;&gt;"", _xlfn.XLOOKUP(E859, DATABASE_FG!C:C, DATABASE_FG!F:F), " ")</f>
        <v>Ghidaje</v>
      </c>
      <c r="P859" s="129">
        <f>IFERROR(INDEX(DATABASE_FG!$G$5:$G$367, MATCH(E859, DATABASE_FG!$C$5:$C$367, 0)), "Not Found")</f>
        <v>0</v>
      </c>
      <c r="Q859" s="36"/>
      <c r="R859" s="125" t="s">
        <v>678</v>
      </c>
      <c r="S859" s="123">
        <f>IFERROR(INDEX(DATABASE_FG!$L$5:$L$367, MATCH(E859, DATABASE_FG!$C$5:$C$367, 0)), " ")</f>
        <v>42</v>
      </c>
      <c r="T859" s="36" t="s">
        <v>679</v>
      </c>
      <c r="U859" s="36"/>
      <c r="V859" s="36"/>
      <c r="W859" s="129"/>
      <c r="X859" s="36"/>
      <c r="Y859" s="36"/>
      <c r="Z859" s="36"/>
      <c r="AA859" s="125" t="s">
        <v>121</v>
      </c>
      <c r="AB859" s="173">
        <v>45853</v>
      </c>
      <c r="AC859" s="119" t="s">
        <v>3282</v>
      </c>
      <c r="AD859" s="36">
        <f t="shared" si="100"/>
        <v>39536241</v>
      </c>
      <c r="AE859" s="36" t="str">
        <f t="shared" si="101"/>
        <v>F-607694-1038.TK.KWVE20BNL-ISB-WW1</v>
      </c>
      <c r="AF859" s="36">
        <v>352</v>
      </c>
      <c r="AG859" s="120">
        <f t="shared" si="98"/>
        <v>1957.12</v>
      </c>
      <c r="AH859" s="36"/>
      <c r="AI859" s="124"/>
      <c r="AJ859" s="122" t="s">
        <v>3283</v>
      </c>
      <c r="AK859" s="129" t="str">
        <f t="shared" ca="1" si="102"/>
        <v>Late</v>
      </c>
      <c r="AL859" s="268" t="str">
        <f t="shared" si="99"/>
        <v>June</v>
      </c>
      <c r="AM859" s="133">
        <f>YEAR(Table1[[#This Row],[ETA
As requested
dd.mm.yyyy]])</f>
        <v>2025</v>
      </c>
    </row>
    <row r="860" spans="1:39" hidden="1">
      <c r="A860" s="123" t="s">
        <v>83</v>
      </c>
      <c r="B860" s="36" t="s">
        <v>1170</v>
      </c>
      <c r="C860" s="117">
        <v>39536241</v>
      </c>
      <c r="D860" s="165">
        <v>45831</v>
      </c>
      <c r="E860" s="117" t="s">
        <v>97</v>
      </c>
      <c r="F860" s="36" t="str">
        <f>IFERROR(VLOOKUP(Table1[[#This Row],[Part Number]],DATABASE_FG!$C$6:D10849,2,FALSE)," ")</f>
        <v>300921586-8011</v>
      </c>
      <c r="G860" s="117" t="str">
        <f>IFERROR(_xlfn.XLOOKUP(Table1[[#This Row],[Part Number]],Table3[Part number],Table3[Drawing
 Revision]),"")</f>
        <v>AB</v>
      </c>
      <c r="H860" s="118" cm="1">
        <f t="array" ref="H860">IFERROR(INDEX(PDB!$C:$AT,MATCH(E860,PDB!$B:$B,0),MATCH(YEAR(K860),0+PDB!$C$1:$AT$1,0)),"")</f>
        <v>5.56</v>
      </c>
      <c r="I860" s="36">
        <v>208</v>
      </c>
      <c r="J860" s="125">
        <f>IFERROR(Table1[[#This Row],[Quantity]]*Table1[[#This Row],[Price/Unit
EUR]]," ")</f>
        <v>1156.48</v>
      </c>
      <c r="K860" s="126">
        <v>45823</v>
      </c>
      <c r="L860" s="36">
        <f>WEEKNUM(Table1[[#This Row],[ETA
As requested
dd.mm.yyyy]])</f>
        <v>25</v>
      </c>
      <c r="M860" s="36">
        <f>YEAR(Table1[[#This Row],[ETA
As requested
dd.mm.yyyy]])</f>
        <v>2025</v>
      </c>
      <c r="N860" s="36">
        <f>IFERROR(INDEX(DATABASE_FG!$H$5:$H$367, MATCH(E860, DATABASE_FG!$C$5:$C$367, 0)), " ")</f>
        <v>0</v>
      </c>
      <c r="O860" s="129" t="str">
        <f>IF(E860&lt;&gt;"", _xlfn.XLOOKUP(E860, DATABASE_FG!C:C, DATABASE_FG!F:F), " ")</f>
        <v>Ghidaje</v>
      </c>
      <c r="P860" s="129">
        <f>IFERROR(INDEX(DATABASE_FG!$G$5:$G$367, MATCH(E860, DATABASE_FG!$C$5:$C$367, 0)), "Not Found")</f>
        <v>0</v>
      </c>
      <c r="Q860" s="36"/>
      <c r="R860" s="125" t="s">
        <v>678</v>
      </c>
      <c r="S860" s="123">
        <f>IFERROR(INDEX(DATABASE_FG!$L$5:$L$367, MATCH(E860, DATABASE_FG!$C$5:$C$367, 0)), " ")</f>
        <v>42</v>
      </c>
      <c r="T860" s="36" t="s">
        <v>679</v>
      </c>
      <c r="U860" s="36"/>
      <c r="V860" s="36"/>
      <c r="W860" s="129"/>
      <c r="X860" s="36"/>
      <c r="Y860" s="36"/>
      <c r="Z860" s="36"/>
      <c r="AA860" s="125" t="s">
        <v>121</v>
      </c>
      <c r="AB860" s="173">
        <v>45855</v>
      </c>
      <c r="AC860" s="119" t="s">
        <v>3284</v>
      </c>
      <c r="AD860" s="36">
        <f t="shared" si="100"/>
        <v>39536241</v>
      </c>
      <c r="AE860" s="36" t="str">
        <f t="shared" si="101"/>
        <v>F-607694-1038.TK.KWVE20BNL-ISB-WW1</v>
      </c>
      <c r="AF860" s="36">
        <v>208</v>
      </c>
      <c r="AG860" s="120">
        <f t="shared" si="98"/>
        <v>1156.48</v>
      </c>
      <c r="AH860" s="36"/>
      <c r="AI860" s="124"/>
      <c r="AJ860" s="122" t="s">
        <v>3285</v>
      </c>
      <c r="AK860" s="129" t="str">
        <f t="shared" ca="1" si="102"/>
        <v>Late</v>
      </c>
      <c r="AL860" s="268" t="str">
        <f t="shared" si="99"/>
        <v>June</v>
      </c>
      <c r="AM860" s="133">
        <f>YEAR(Table1[[#This Row],[ETA
As requested
dd.mm.yyyy]])</f>
        <v>2025</v>
      </c>
    </row>
    <row r="861" spans="1:39" hidden="1">
      <c r="A861" s="123" t="s">
        <v>83</v>
      </c>
      <c r="B861" s="36" t="s">
        <v>1170</v>
      </c>
      <c r="C861" s="117">
        <v>39319603</v>
      </c>
      <c r="D861" s="165">
        <v>45777</v>
      </c>
      <c r="E861" s="117" t="s">
        <v>97</v>
      </c>
      <c r="F861" s="36" t="str">
        <f>IFERROR(VLOOKUP(Table1[[#This Row],[Part Number]],DATABASE_FG!$C$6:D10850,2,FALSE)," ")</f>
        <v>300921586-8011</v>
      </c>
      <c r="G861" s="117" t="str">
        <f>IFERROR(_xlfn.XLOOKUP(Table1[[#This Row],[Part Number]],Table3[Part number],Table3[Drawing
 Revision]),"")</f>
        <v>AB</v>
      </c>
      <c r="H861" s="118" cm="1">
        <f t="array" ref="H861">IFERROR(INDEX(PDB!$C:$AT,MATCH(E861,PDB!$B:$B,0),MATCH(YEAR(K861),0+PDB!$C$1:$AT$1,0)),"")</f>
        <v>5.56</v>
      </c>
      <c r="I861" s="36">
        <f>400+6-168-134+2</f>
        <v>106</v>
      </c>
      <c r="J861" s="125">
        <f>IFERROR(Table1[[#This Row],[Quantity]]*Table1[[#This Row],[Price/Unit
EUR]]," ")</f>
        <v>589.36</v>
      </c>
      <c r="K861" s="126">
        <v>45825</v>
      </c>
      <c r="L861" s="36">
        <f>WEEKNUM(Table1[[#This Row],[ETA
As requested
dd.mm.yyyy]])</f>
        <v>25</v>
      </c>
      <c r="M861" s="36">
        <f>YEAR(Table1[[#This Row],[ETA
As requested
dd.mm.yyyy]])</f>
        <v>2025</v>
      </c>
      <c r="N861" s="36">
        <f>IFERROR(INDEX(DATABASE_FG!$H$5:$H$367, MATCH(E861, DATABASE_FG!$C$5:$C$367, 0)), " ")</f>
        <v>0</v>
      </c>
      <c r="O861" s="129" t="str">
        <f>IF(E861&lt;&gt;"", _xlfn.XLOOKUP(E861, DATABASE_FG!C:C, DATABASE_FG!F:F), " ")</f>
        <v>Ghidaje</v>
      </c>
      <c r="P861" s="129">
        <f>IFERROR(INDEX(DATABASE_FG!$G$5:$G$367, MATCH(E861, DATABASE_FG!$C$5:$C$367, 0)), "Not Found")</f>
        <v>0</v>
      </c>
      <c r="Q861" s="36"/>
      <c r="R861" s="125" t="s">
        <v>678</v>
      </c>
      <c r="S861" s="123">
        <f>IFERROR(INDEX(DATABASE_FG!$L$5:$L$367, MATCH(E861, DATABASE_FG!$C$5:$C$367, 0)), " ")</f>
        <v>42</v>
      </c>
      <c r="T861" s="36" t="s">
        <v>679</v>
      </c>
      <c r="U861" s="36"/>
      <c r="V861" s="36"/>
      <c r="W861" s="129"/>
      <c r="X861" s="36"/>
      <c r="Y861" s="36"/>
      <c r="Z861" s="36"/>
      <c r="AA861" s="125" t="s">
        <v>121</v>
      </c>
      <c r="AB861" s="173">
        <v>45848</v>
      </c>
      <c r="AC861" s="119" t="s">
        <v>3293</v>
      </c>
      <c r="AD861" s="36">
        <f t="shared" si="100"/>
        <v>39319603</v>
      </c>
      <c r="AE861" s="36" t="str">
        <f t="shared" si="101"/>
        <v>F-607694-1038.TK.KWVE20BNL-ISB-WW1</v>
      </c>
      <c r="AF861" s="36">
        <v>106</v>
      </c>
      <c r="AG861" s="120">
        <f t="shared" si="98"/>
        <v>589.36</v>
      </c>
      <c r="AH861" s="36"/>
      <c r="AI861" s="124"/>
      <c r="AJ861" s="122" t="s">
        <v>3294</v>
      </c>
      <c r="AK861" s="129" t="str">
        <f t="shared" ca="1" si="102"/>
        <v>Late</v>
      </c>
      <c r="AL861" s="268" t="str">
        <f t="shared" si="99"/>
        <v>June</v>
      </c>
      <c r="AM861" s="133">
        <f>YEAR(Table1[[#This Row],[ETA
As requested
dd.mm.yyyy]])</f>
        <v>2025</v>
      </c>
    </row>
    <row r="862" spans="1:39" hidden="1">
      <c r="A862" s="123" t="s">
        <v>83</v>
      </c>
      <c r="B862" s="36" t="s">
        <v>1170</v>
      </c>
      <c r="C862" s="117">
        <v>39319603</v>
      </c>
      <c r="D862" s="165">
        <v>45777</v>
      </c>
      <c r="E862" s="117" t="s">
        <v>97</v>
      </c>
      <c r="F862" s="36" t="str">
        <f>IFERROR(VLOOKUP(Table1[[#This Row],[Part Number]],DATABASE_FG!$C$6:D10851,2,FALSE)," ")</f>
        <v>300921586-8011</v>
      </c>
      <c r="G862" s="117" t="str">
        <f>IFERROR(_xlfn.XLOOKUP(Table1[[#This Row],[Part Number]],Table3[Part number],Table3[Drawing
 Revision]),"")</f>
        <v>AB</v>
      </c>
      <c r="H862" s="118" cm="1">
        <f t="array" ref="H862">IFERROR(INDEX(PDB!$C:$AT,MATCH(E862,PDB!$B:$B,0),MATCH(YEAR(K862),0+PDB!$C$1:$AT$1,0)),"")</f>
        <v>5.56</v>
      </c>
      <c r="I862" s="36">
        <v>187</v>
      </c>
      <c r="J862" s="125">
        <f>IFERROR(Table1[[#This Row],[Quantity]]*Table1[[#This Row],[Price/Unit
EUR]]," ")</f>
        <v>1039.72</v>
      </c>
      <c r="K862" s="126">
        <v>45825</v>
      </c>
      <c r="L862" s="36">
        <f>WEEKNUM(Table1[[#This Row],[ETA
As requested
dd.mm.yyyy]])</f>
        <v>25</v>
      </c>
      <c r="M862" s="36">
        <f>YEAR(Table1[[#This Row],[ETA
As requested
dd.mm.yyyy]])</f>
        <v>2025</v>
      </c>
      <c r="N862" s="36">
        <f>IFERROR(INDEX(DATABASE_FG!$H$5:$H$367, MATCH(E862, DATABASE_FG!$C$5:$C$367, 0)), " ")</f>
        <v>0</v>
      </c>
      <c r="O862" s="129" t="str">
        <f>IF(E862&lt;&gt;"", _xlfn.XLOOKUP(E862, DATABASE_FG!C:C, DATABASE_FG!F:F), " ")</f>
        <v>Ghidaje</v>
      </c>
      <c r="P862" s="129">
        <f>IFERROR(INDEX(DATABASE_FG!$G$5:$G$367, MATCH(E862, DATABASE_FG!$C$5:$C$367, 0)), "Not Found")</f>
        <v>0</v>
      </c>
      <c r="Q862" s="36"/>
      <c r="R862" s="125" t="s">
        <v>678</v>
      </c>
      <c r="S862" s="123">
        <f>IFERROR(INDEX(DATABASE_FG!$L$5:$L$367, MATCH(E862, DATABASE_FG!$C$5:$C$367, 0)), " ")</f>
        <v>42</v>
      </c>
      <c r="T862" s="36" t="s">
        <v>679</v>
      </c>
      <c r="U862" s="36"/>
      <c r="V862" s="36"/>
      <c r="W862" s="129"/>
      <c r="X862" s="36"/>
      <c r="Y862" s="36"/>
      <c r="Z862" s="36"/>
      <c r="AA862" s="125" t="s">
        <v>121</v>
      </c>
      <c r="AB862" s="173">
        <v>45849</v>
      </c>
      <c r="AC862" s="119" t="s">
        <v>3295</v>
      </c>
      <c r="AD862" s="36">
        <f t="shared" si="100"/>
        <v>39319603</v>
      </c>
      <c r="AE862" s="36" t="str">
        <f t="shared" si="101"/>
        <v>F-607694-1038.TK.KWVE20BNL-ISB-WW1</v>
      </c>
      <c r="AF862" s="36">
        <v>187</v>
      </c>
      <c r="AG862" s="120">
        <f t="shared" si="98"/>
        <v>1039.72</v>
      </c>
      <c r="AH862" s="36"/>
      <c r="AI862" s="124"/>
      <c r="AJ862" s="122" t="s">
        <v>3296</v>
      </c>
      <c r="AK862" s="129" t="str">
        <f t="shared" ca="1" si="102"/>
        <v>Late</v>
      </c>
      <c r="AL862" s="268" t="str">
        <f t="shared" si="99"/>
        <v>June</v>
      </c>
      <c r="AM862" s="133">
        <f>YEAR(Table1[[#This Row],[ETA
As requested
dd.mm.yyyy]])</f>
        <v>2025</v>
      </c>
    </row>
    <row r="863" spans="1:39" hidden="1">
      <c r="A863" s="123" t="s">
        <v>83</v>
      </c>
      <c r="B863" s="36" t="s">
        <v>1170</v>
      </c>
      <c r="C863" s="117">
        <v>39319603</v>
      </c>
      <c r="D863" s="165">
        <v>45777</v>
      </c>
      <c r="E863" s="117" t="s">
        <v>97</v>
      </c>
      <c r="F863" s="36" t="str">
        <f>IFERROR(VLOOKUP(Table1[[#This Row],[Part Number]],DATABASE_FG!$C$6:D10852,2,FALSE)," ")</f>
        <v>300921586-8011</v>
      </c>
      <c r="G863" s="117" t="str">
        <f>IFERROR(_xlfn.XLOOKUP(Table1[[#This Row],[Part Number]],Table3[Part number],Table3[Drawing
 Revision]),"")</f>
        <v>AB</v>
      </c>
      <c r="H863" s="118" cm="1">
        <f t="array" ref="H863">IFERROR(INDEX(PDB!$C:$AT,MATCH(E863,PDB!$B:$B,0),MATCH(YEAR(K863),0+PDB!$C$1:$AT$1,0)),"")</f>
        <v>5.56</v>
      </c>
      <c r="I863" s="36">
        <v>208</v>
      </c>
      <c r="J863" s="125">
        <f>IFERROR(Table1[[#This Row],[Quantity]]*Table1[[#This Row],[Price/Unit
EUR]]," ")</f>
        <v>1156.48</v>
      </c>
      <c r="K863" s="126">
        <v>45825</v>
      </c>
      <c r="L863" s="36">
        <f>WEEKNUM(Table1[[#This Row],[ETA
As requested
dd.mm.yyyy]])</f>
        <v>25</v>
      </c>
      <c r="M863" s="36">
        <f>YEAR(Table1[[#This Row],[ETA
As requested
dd.mm.yyyy]])</f>
        <v>2025</v>
      </c>
      <c r="N863" s="36">
        <f>IFERROR(INDEX(DATABASE_FG!$H$5:$H$367, MATCH(E863, DATABASE_FG!$C$5:$C$367, 0)), " ")</f>
        <v>0</v>
      </c>
      <c r="O863" s="129" t="str">
        <f>IF(E863&lt;&gt;"", _xlfn.XLOOKUP(E863, DATABASE_FG!C:C, DATABASE_FG!F:F), " ")</f>
        <v>Ghidaje</v>
      </c>
      <c r="P863" s="129">
        <f>IFERROR(INDEX(DATABASE_FG!$G$5:$G$367, MATCH(E863, DATABASE_FG!$C$5:$C$367, 0)), "Not Found")</f>
        <v>0</v>
      </c>
      <c r="Q863" s="36"/>
      <c r="R863" s="125" t="s">
        <v>678</v>
      </c>
      <c r="S863" s="123">
        <f>IFERROR(INDEX(DATABASE_FG!$L$5:$L$367, MATCH(E863, DATABASE_FG!$C$5:$C$367, 0)), " ")</f>
        <v>42</v>
      </c>
      <c r="T863" s="36" t="s">
        <v>679</v>
      </c>
      <c r="U863" s="36"/>
      <c r="V863" s="36"/>
      <c r="W863" s="129"/>
      <c r="X863" s="36"/>
      <c r="Y863" s="36"/>
      <c r="Z863" s="36"/>
      <c r="AA863" s="125" t="s">
        <v>121</v>
      </c>
      <c r="AB863" s="173">
        <v>45852</v>
      </c>
      <c r="AC863" s="119" t="s">
        <v>3297</v>
      </c>
      <c r="AD863" s="36">
        <f t="shared" si="100"/>
        <v>39319603</v>
      </c>
      <c r="AE863" s="36" t="str">
        <f t="shared" si="101"/>
        <v>F-607694-1038.TK.KWVE20BNL-ISB-WW1</v>
      </c>
      <c r="AF863" s="36">
        <v>208</v>
      </c>
      <c r="AG863" s="120">
        <f t="shared" si="98"/>
        <v>1156.48</v>
      </c>
      <c r="AH863" s="36"/>
      <c r="AI863" s="124"/>
      <c r="AJ863" s="122" t="s">
        <v>3298</v>
      </c>
      <c r="AK863" s="129" t="str">
        <f t="shared" ca="1" si="102"/>
        <v>Late</v>
      </c>
      <c r="AL863" s="268" t="str">
        <f t="shared" si="99"/>
        <v>June</v>
      </c>
      <c r="AM863" s="133">
        <f>YEAR(Table1[[#This Row],[ETA
As requested
dd.mm.yyyy]])</f>
        <v>2025</v>
      </c>
    </row>
    <row r="864" spans="1:39" hidden="1">
      <c r="A864" s="208" t="s">
        <v>83</v>
      </c>
      <c r="B864" s="207" t="s">
        <v>1170</v>
      </c>
      <c r="C864" s="117">
        <v>39536241</v>
      </c>
      <c r="D864" s="209">
        <v>45856</v>
      </c>
      <c r="E864" s="210" t="s">
        <v>97</v>
      </c>
      <c r="F864" s="36" t="str">
        <f>IFERROR(VLOOKUP(Table1[[#This Row],[Part Number]],DATABASE_FG!$C$6:D10853,2,FALSE)," ")</f>
        <v>300921586-8011</v>
      </c>
      <c r="G864" s="117" t="str">
        <f>IFERROR(_xlfn.XLOOKUP(Table1[[#This Row],[Part Number]],Table3[Part number],Table3[Drawing
 Revision]),"")</f>
        <v>AB</v>
      </c>
      <c r="H864" s="118" cm="1">
        <f t="array" ref="H864">IFERROR(INDEX(PDB!$C:$AT,MATCH(E864,PDB!$B:$B,0),MATCH(YEAR(K864),0+PDB!$C$1:$AT$1,0)),"")</f>
        <v>5.56</v>
      </c>
      <c r="I864" s="207">
        <v>96</v>
      </c>
      <c r="J864" s="211">
        <f>IFERROR(Table1[[#This Row],[Quantity]]*Table1[[#This Row],[Price/Unit
EUR]]," ")</f>
        <v>533.76</v>
      </c>
      <c r="K864" s="126">
        <v>45832</v>
      </c>
      <c r="L864" s="207">
        <f>WEEKNUM(Table1[[#This Row],[ETA
As requested
dd.mm.yyyy]])</f>
        <v>26</v>
      </c>
      <c r="M864" s="207">
        <f>YEAR(Table1[[#This Row],[ETA
As requested
dd.mm.yyyy]])</f>
        <v>2025</v>
      </c>
      <c r="N864" s="36">
        <f>IFERROR(INDEX(DATABASE_FG!$H$5:$H$367, MATCH(E864, DATABASE_FG!$C$5:$C$367, 0)), " ")</f>
        <v>0</v>
      </c>
      <c r="O864" s="213" t="str">
        <f>IF(E864&lt;&gt;"", _xlfn.XLOOKUP(E864, DATABASE_FG!C:C, DATABASE_FG!F:F), " ")</f>
        <v>Ghidaje</v>
      </c>
      <c r="P864" s="129">
        <f>IFERROR(INDEX(DATABASE_FG!$G$5:$G$367, MATCH(E864, DATABASE_FG!$C$5:$C$367, 0)), "Not Found")</f>
        <v>0</v>
      </c>
      <c r="Q864" s="207"/>
      <c r="R864" s="211" t="s">
        <v>678</v>
      </c>
      <c r="S864" s="123">
        <f>IFERROR(INDEX(DATABASE_FG!$L$5:$L$367, MATCH(E864, DATABASE_FG!$C$5:$C$367, 0)), " ")</f>
        <v>42</v>
      </c>
      <c r="T864" s="207" t="s">
        <v>679</v>
      </c>
      <c r="U864" s="207"/>
      <c r="V864" s="207"/>
      <c r="W864" s="213"/>
      <c r="X864" s="207"/>
      <c r="Y864" s="207"/>
      <c r="Z864" s="207"/>
      <c r="AA864" s="211" t="s">
        <v>121</v>
      </c>
      <c r="AB864" s="245">
        <v>45862</v>
      </c>
      <c r="AC864" s="214">
        <v>202548</v>
      </c>
      <c r="AD864" s="207">
        <f t="shared" si="100"/>
        <v>39536241</v>
      </c>
      <c r="AE864" s="207" t="str">
        <f t="shared" si="101"/>
        <v>F-607694-1038.TK.KWVE20BNL-ISB-WW1</v>
      </c>
      <c r="AF864" s="207">
        <v>96</v>
      </c>
      <c r="AG864" s="120">
        <f t="shared" si="98"/>
        <v>533.76</v>
      </c>
      <c r="AH864" s="207"/>
      <c r="AI864" s="215"/>
      <c r="AJ864" s="216" t="s">
        <v>3315</v>
      </c>
      <c r="AK864" s="129" t="str">
        <f t="shared" ca="1" si="102"/>
        <v>Late</v>
      </c>
      <c r="AL864" s="268" t="str">
        <f t="shared" si="99"/>
        <v>June</v>
      </c>
      <c r="AM864" s="133">
        <f>YEAR(Table1[[#This Row],[ETA
As requested
dd.mm.yyyy]])</f>
        <v>2025</v>
      </c>
    </row>
    <row r="865" spans="1:40" hidden="1">
      <c r="A865" s="208" t="s">
        <v>83</v>
      </c>
      <c r="B865" s="207" t="s">
        <v>1170</v>
      </c>
      <c r="C865" s="210">
        <v>39726789</v>
      </c>
      <c r="D865" s="209">
        <v>45856</v>
      </c>
      <c r="E865" s="210" t="s">
        <v>97</v>
      </c>
      <c r="F865" s="36" t="str">
        <f>IFERROR(VLOOKUP(Table1[[#This Row],[Part Number]],DATABASE_FG!$C$6:D10854,2,FALSE)," ")</f>
        <v>300921586-8011</v>
      </c>
      <c r="G865" s="117" t="str">
        <f>IFERROR(_xlfn.XLOOKUP(Table1[[#This Row],[Part Number]],Table3[Part number],Table3[Drawing
 Revision]),"")</f>
        <v>AB</v>
      </c>
      <c r="H865" s="118" cm="1">
        <f t="array" ref="H865">IFERROR(INDEX(PDB!$C:$AT,MATCH(E865,PDB!$B:$B,0),MATCH(YEAR(K865),0+PDB!$C$1:$AT$1,0)),"")</f>
        <v>5.56</v>
      </c>
      <c r="I865" s="207">
        <v>152</v>
      </c>
      <c r="J865" s="211">
        <f>IFERROR(Table1[[#This Row],[Quantity]]*Table1[[#This Row],[Price/Unit
EUR]]," ")</f>
        <v>845.11999999999989</v>
      </c>
      <c r="K865" s="212">
        <v>45875</v>
      </c>
      <c r="L865" s="207">
        <f>WEEKNUM(Table1[[#This Row],[ETA
As requested
dd.mm.yyyy]])</f>
        <v>32</v>
      </c>
      <c r="M865" s="207">
        <f>YEAR(Table1[[#This Row],[ETA
As requested
dd.mm.yyyy]])</f>
        <v>2025</v>
      </c>
      <c r="N865" s="36">
        <f>IFERROR(INDEX(DATABASE_FG!$H$5:$H$367, MATCH(E865, DATABASE_FG!$C$5:$C$367, 0)), " ")</f>
        <v>0</v>
      </c>
      <c r="O865" s="213" t="str">
        <f>IF(E865&lt;&gt;"", _xlfn.XLOOKUP(E865, DATABASE_FG!C:C, DATABASE_FG!F:F), " ")</f>
        <v>Ghidaje</v>
      </c>
      <c r="P865" s="129">
        <f>IFERROR(INDEX(DATABASE_FG!$G$5:$G$367, MATCH(E865, DATABASE_FG!$C$5:$C$367, 0)), "Not Found")</f>
        <v>0</v>
      </c>
      <c r="Q865" s="207"/>
      <c r="R865" s="211" t="s">
        <v>678</v>
      </c>
      <c r="S865" s="123">
        <f>IFERROR(INDEX(DATABASE_FG!$L$5:$L$367, MATCH(E865, DATABASE_FG!$C$5:$C$367, 0)), " ")</f>
        <v>42</v>
      </c>
      <c r="T865" s="207" t="s">
        <v>679</v>
      </c>
      <c r="U865" s="207"/>
      <c r="V865" s="207"/>
      <c r="W865" s="213"/>
      <c r="X865" s="207"/>
      <c r="Y865" s="207"/>
      <c r="Z865" s="207"/>
      <c r="AA865" s="211" t="s">
        <v>121</v>
      </c>
      <c r="AB865" s="245">
        <v>45876</v>
      </c>
      <c r="AC865" s="214" t="s">
        <v>3522</v>
      </c>
      <c r="AD865" s="207">
        <f t="shared" si="100"/>
        <v>39726789</v>
      </c>
      <c r="AE865" s="207" t="str">
        <f t="shared" si="101"/>
        <v>F-607694-1038.TK.KWVE20BNL-ISB-WW1</v>
      </c>
      <c r="AF865" s="207">
        <v>152</v>
      </c>
      <c r="AG865" s="120">
        <f t="shared" si="98"/>
        <v>845.11999999999989</v>
      </c>
      <c r="AH865" s="207"/>
      <c r="AI865" s="215"/>
      <c r="AJ865" s="216" t="s">
        <v>3523</v>
      </c>
      <c r="AK865" s="129" t="str">
        <f t="shared" ca="1" si="102"/>
        <v>On Time</v>
      </c>
      <c r="AL865" s="268" t="str">
        <f t="shared" si="99"/>
        <v>August</v>
      </c>
      <c r="AM865" s="133">
        <f>YEAR(Table1[[#This Row],[ETA
As requested
dd.mm.yyyy]])</f>
        <v>2025</v>
      </c>
    </row>
    <row r="866" spans="1:40" hidden="1">
      <c r="A866" s="123" t="s">
        <v>83</v>
      </c>
      <c r="B866" s="36" t="s">
        <v>1170</v>
      </c>
      <c r="C866" s="117">
        <v>39726789</v>
      </c>
      <c r="D866" s="165">
        <v>45856</v>
      </c>
      <c r="E866" s="117" t="s">
        <v>97</v>
      </c>
      <c r="F866" s="36" t="str">
        <f>IFERROR(VLOOKUP(Table1[[#This Row],[Part Number]],DATABASE_FG!$C$6:D10855,2,FALSE)," ")</f>
        <v>300921586-8011</v>
      </c>
      <c r="G866" s="117" t="str">
        <f>IFERROR(_xlfn.XLOOKUP(Table1[[#This Row],[Part Number]],Table3[Part number],Table3[Drawing
 Revision]),"")</f>
        <v>AB</v>
      </c>
      <c r="H866" s="118" cm="1">
        <f t="array" ref="H866">IFERROR(INDEX(PDB!$C:$AT,MATCH(E866,PDB!$B:$B,0),MATCH(YEAR(K866),0+PDB!$C$1:$AT$1,0)),"")</f>
        <v>5.56</v>
      </c>
      <c r="I866" s="36">
        <f>200-152</f>
        <v>48</v>
      </c>
      <c r="J866" s="125">
        <f>IFERROR(Table1[[#This Row],[Quantity]]*Table1[[#This Row],[Price/Unit
EUR]]," ")</f>
        <v>266.88</v>
      </c>
      <c r="K866" s="126">
        <v>45875</v>
      </c>
      <c r="L866" s="36">
        <f>WEEKNUM(Table1[[#This Row],[ETA
As requested
dd.mm.yyyy]])</f>
        <v>32</v>
      </c>
      <c r="M866" s="36">
        <f>YEAR(Table1[[#This Row],[ETA
As requested
dd.mm.yyyy]])</f>
        <v>2025</v>
      </c>
      <c r="N866" s="36">
        <f>IFERROR(INDEX(DATABASE_FG!$H$5:$H$367, MATCH(E866, DATABASE_FG!$C$5:$C$367, 0)), " ")</f>
        <v>0</v>
      </c>
      <c r="O866" s="129" t="str">
        <f>IF(E866&lt;&gt;"", _xlfn.XLOOKUP(E866, DATABASE_FG!C:C, DATABASE_FG!F:F), " ")</f>
        <v>Ghidaje</v>
      </c>
      <c r="P866" s="129">
        <f>IFERROR(INDEX(DATABASE_FG!$G$5:$G$367, MATCH(E866, DATABASE_FG!$C$5:$C$367, 0)), "Not Found")</f>
        <v>0</v>
      </c>
      <c r="Q866" s="36"/>
      <c r="R866" s="125" t="s">
        <v>678</v>
      </c>
      <c r="S866" s="123">
        <f>IFERROR(INDEX(DATABASE_FG!$L$5:$L$367, MATCH(E866, DATABASE_FG!$C$5:$C$367, 0)), " ")</f>
        <v>42</v>
      </c>
      <c r="T866" s="36" t="s">
        <v>679</v>
      </c>
      <c r="U866" s="36"/>
      <c r="V866" s="36"/>
      <c r="W866" s="129"/>
      <c r="X866" s="36"/>
      <c r="Y866" s="36"/>
      <c r="Z866" s="36"/>
      <c r="AA866" s="125" t="s">
        <v>121</v>
      </c>
      <c r="AB866" s="173">
        <v>45877</v>
      </c>
      <c r="AC866" s="119" t="s">
        <v>3524</v>
      </c>
      <c r="AD866" s="36">
        <f t="shared" si="100"/>
        <v>39726789</v>
      </c>
      <c r="AE866" s="36" t="str">
        <f t="shared" si="101"/>
        <v>F-607694-1038.TK.KWVE20BNL-ISB-WW1</v>
      </c>
      <c r="AF866" s="36"/>
      <c r="AG866" s="120">
        <f t="shared" ref="AG866:AG931" si="103">AF866*H866</f>
        <v>0</v>
      </c>
      <c r="AH866" s="36"/>
      <c r="AI866" s="124"/>
      <c r="AJ866" s="122" t="s">
        <v>3525</v>
      </c>
      <c r="AK866" s="129" t="str">
        <f t="shared" ca="1" si="102"/>
        <v>On Time</v>
      </c>
      <c r="AL866" s="268" t="str">
        <f t="shared" si="99"/>
        <v>August</v>
      </c>
      <c r="AM866" s="133">
        <f>YEAR(Table1[[#This Row],[ETA
As requested
dd.mm.yyyy]])</f>
        <v>2025</v>
      </c>
    </row>
    <row r="867" spans="1:40" hidden="1">
      <c r="A867" s="123" t="s">
        <v>83</v>
      </c>
      <c r="B867" s="36" t="s">
        <v>1170</v>
      </c>
      <c r="C867" s="117">
        <v>39726789</v>
      </c>
      <c r="D867" s="165">
        <v>45856</v>
      </c>
      <c r="E867" s="117" t="s">
        <v>97</v>
      </c>
      <c r="F867" s="36" t="str">
        <f>IFERROR(VLOOKUP(Table1[[#This Row],[Part Number]],DATABASE_FG!$C$6:D10856,2,FALSE)," ")</f>
        <v>300921586-8011</v>
      </c>
      <c r="G867" s="117" t="str">
        <f>IFERROR(_xlfn.XLOOKUP(Table1[[#This Row],[Part Number]],Table3[Part number],Table3[Drawing
 Revision]),"")</f>
        <v>AB</v>
      </c>
      <c r="H867" s="118" cm="1">
        <f t="array" ref="H867">IFERROR(INDEX(PDB!$C:$AT,MATCH(E867,PDB!$B:$B,0),MATCH(YEAR(K867),0+PDB!$C$1:$AT$1,0)),"")</f>
        <v>5.56</v>
      </c>
      <c r="I867" s="36">
        <v>200</v>
      </c>
      <c r="J867" s="125">
        <f>IFERROR(Table1[[#This Row],[Quantity]]*Table1[[#This Row],[Price/Unit
EUR]]," ")</f>
        <v>1112</v>
      </c>
      <c r="K867" s="126">
        <v>45882</v>
      </c>
      <c r="L867" s="36">
        <f>WEEKNUM(Table1[[#This Row],[ETA
As requested
dd.mm.yyyy]])</f>
        <v>33</v>
      </c>
      <c r="M867" s="36">
        <f>YEAR(Table1[[#This Row],[ETA
As requested
dd.mm.yyyy]])</f>
        <v>2025</v>
      </c>
      <c r="N867" s="36">
        <f>IFERROR(INDEX(DATABASE_FG!$H$5:$H$367, MATCH(E867, DATABASE_FG!$C$5:$C$367, 0)), " ")</f>
        <v>0</v>
      </c>
      <c r="O867" s="129" t="str">
        <f>IF(E867&lt;&gt;"", _xlfn.XLOOKUP(E867, DATABASE_FG!C:C, DATABASE_FG!F:F), " ")</f>
        <v>Ghidaje</v>
      </c>
      <c r="P867" s="129">
        <f>IFERROR(INDEX(DATABASE_FG!$G$5:$G$367, MATCH(E867, DATABASE_FG!$C$5:$C$367, 0)), "Not Found")</f>
        <v>0</v>
      </c>
      <c r="Q867" s="36"/>
      <c r="R867" s="125" t="s">
        <v>678</v>
      </c>
      <c r="S867" s="123">
        <f>IFERROR(INDEX(DATABASE_FG!$L$5:$L$367, MATCH(E867, DATABASE_FG!$C$5:$C$367, 0)), " ")</f>
        <v>42</v>
      </c>
      <c r="T867" s="36" t="s">
        <v>679</v>
      </c>
      <c r="U867" s="36"/>
      <c r="V867" s="36"/>
      <c r="W867" s="129"/>
      <c r="X867" s="36"/>
      <c r="Y867" s="36"/>
      <c r="Z867" s="36"/>
      <c r="AA867" s="125" t="s">
        <v>121</v>
      </c>
      <c r="AB867" s="172">
        <v>45877</v>
      </c>
      <c r="AC867" s="119" t="s">
        <v>3524</v>
      </c>
      <c r="AD867" s="36">
        <f t="shared" si="100"/>
        <v>39726789</v>
      </c>
      <c r="AE867" s="36" t="str">
        <f t="shared" si="101"/>
        <v>F-607694-1038.TK.KWVE20BNL-ISB-WW1</v>
      </c>
      <c r="AF867" s="36"/>
      <c r="AG867" s="120">
        <f t="shared" si="103"/>
        <v>0</v>
      </c>
      <c r="AH867" s="36"/>
      <c r="AI867" s="124"/>
      <c r="AJ867" s="122" t="s">
        <v>3525</v>
      </c>
      <c r="AK867" s="129" t="str">
        <f t="shared" ca="1" si="102"/>
        <v>On Time</v>
      </c>
      <c r="AL867" s="268" t="str">
        <f t="shared" si="99"/>
        <v>August</v>
      </c>
      <c r="AM867" s="133">
        <f>YEAR(Table1[[#This Row],[ETA
As requested
dd.mm.yyyy]])</f>
        <v>2025</v>
      </c>
    </row>
    <row r="868" spans="1:40" hidden="1">
      <c r="A868" s="123" t="s">
        <v>83</v>
      </c>
      <c r="B868" s="36" t="s">
        <v>1170</v>
      </c>
      <c r="C868" s="117">
        <v>39726789</v>
      </c>
      <c r="D868" s="165">
        <v>45856</v>
      </c>
      <c r="E868" s="117" t="s">
        <v>97</v>
      </c>
      <c r="F868" s="36" t="str">
        <f>IFERROR(VLOOKUP(Table1[[#This Row],[Part Number]],DATABASE_FG!$C$6:D10857,2,FALSE)," ")</f>
        <v>300921586-8011</v>
      </c>
      <c r="G868" s="117" t="str">
        <f>IFERROR(_xlfn.XLOOKUP(Table1[[#This Row],[Part Number]],Table3[Part number],Table3[Drawing
 Revision]),"")</f>
        <v>AB</v>
      </c>
      <c r="H868" s="118" cm="1">
        <f t="array" ref="H868">IFERROR(INDEX(PDB!$C:$AT,MATCH(E868,PDB!$B:$B,0),MATCH(YEAR(K868),0+PDB!$C$1:$AT$1,0)),"")</f>
        <v>5.56</v>
      </c>
      <c r="I868" s="36">
        <v>200</v>
      </c>
      <c r="J868" s="125">
        <f>IFERROR(Table1[[#This Row],[Quantity]]*Table1[[#This Row],[Price/Unit
EUR]]," ")</f>
        <v>1112</v>
      </c>
      <c r="K868" s="126">
        <v>45889</v>
      </c>
      <c r="L868" s="36">
        <f>WEEKNUM(Table1[[#This Row],[ETA
As requested
dd.mm.yyyy]])</f>
        <v>34</v>
      </c>
      <c r="M868" s="36">
        <f>YEAR(Table1[[#This Row],[ETA
As requested
dd.mm.yyyy]])</f>
        <v>2025</v>
      </c>
      <c r="N868" s="36">
        <f>IFERROR(INDEX(DATABASE_FG!$H$5:$H$367, MATCH(E868, DATABASE_FG!$C$5:$C$367, 0)), " ")</f>
        <v>0</v>
      </c>
      <c r="O868" s="129" t="str">
        <f>IF(E868&lt;&gt;"", _xlfn.XLOOKUP(E868, DATABASE_FG!C:C, DATABASE_FG!F:F), " ")</f>
        <v>Ghidaje</v>
      </c>
      <c r="P868" s="129">
        <f>IFERROR(INDEX(DATABASE_FG!$G$5:$G$367, MATCH(E868, DATABASE_FG!$C$5:$C$367, 0)), "Not Found")</f>
        <v>0</v>
      </c>
      <c r="Q868" s="36"/>
      <c r="R868" s="125" t="s">
        <v>678</v>
      </c>
      <c r="S868" s="123">
        <f>IFERROR(INDEX(DATABASE_FG!$L$5:$L$367, MATCH(E868, DATABASE_FG!$C$5:$C$367, 0)), " ")</f>
        <v>42</v>
      </c>
      <c r="T868" s="36" t="s">
        <v>679</v>
      </c>
      <c r="U868" s="36"/>
      <c r="V868" s="36"/>
      <c r="W868" s="129"/>
      <c r="X868" s="36"/>
      <c r="Y868" s="36"/>
      <c r="Z868" s="36"/>
      <c r="AA868" s="125" t="s">
        <v>121</v>
      </c>
      <c r="AB868" s="173">
        <v>45880</v>
      </c>
      <c r="AC868" s="119">
        <v>202596</v>
      </c>
      <c r="AD868" s="36">
        <f t="shared" si="100"/>
        <v>39726789</v>
      </c>
      <c r="AE868" s="36" t="str">
        <f t="shared" si="101"/>
        <v>F-607694-1038.TK.KWVE20BNL-ISB-WW1</v>
      </c>
      <c r="AF868" s="36">
        <v>200</v>
      </c>
      <c r="AG868" s="120">
        <f t="shared" si="103"/>
        <v>1112</v>
      </c>
      <c r="AH868" s="36"/>
      <c r="AI868" s="124"/>
      <c r="AJ868" s="122" t="s">
        <v>3595</v>
      </c>
      <c r="AK868" s="129" t="str">
        <f t="shared" ca="1" si="102"/>
        <v>On Time</v>
      </c>
      <c r="AL868" s="268" t="str">
        <f t="shared" si="99"/>
        <v>August</v>
      </c>
      <c r="AM868" s="133">
        <f>YEAR(Table1[[#This Row],[ETA
As requested
dd.mm.yyyy]])</f>
        <v>2025</v>
      </c>
    </row>
    <row r="869" spans="1:40" hidden="1">
      <c r="A869" s="123" t="s">
        <v>83</v>
      </c>
      <c r="B869" s="36" t="s">
        <v>1170</v>
      </c>
      <c r="C869" s="117">
        <v>39726789</v>
      </c>
      <c r="D869" s="165">
        <v>45856</v>
      </c>
      <c r="E869" s="117" t="s">
        <v>97</v>
      </c>
      <c r="F869" s="36" t="str">
        <f>IFERROR(VLOOKUP(Table1[[#This Row],[Part Number]],DATABASE_FG!$C$6:D10858,2,FALSE)," ")</f>
        <v>300921586-8011</v>
      </c>
      <c r="G869" s="117" t="str">
        <f>IFERROR(_xlfn.XLOOKUP(Table1[[#This Row],[Part Number]],Table3[Part number],Table3[Drawing
 Revision]),"")</f>
        <v>AB</v>
      </c>
      <c r="H869" s="118" cm="1">
        <f t="array" ref="H869">IFERROR(INDEX(PDB!$C:$AT,MATCH(E869,PDB!$B:$B,0),MATCH(YEAR(K869),0+PDB!$C$1:$AT$1,0)),"")</f>
        <v>5.56</v>
      </c>
      <c r="I869" s="36">
        <v>40</v>
      </c>
      <c r="J869" s="125">
        <f>IFERROR(Table1[[#This Row],[Quantity]]*Table1[[#This Row],[Price/Unit
EUR]]," ")</f>
        <v>222.39999999999998</v>
      </c>
      <c r="K869" s="126">
        <v>45896</v>
      </c>
      <c r="L869" s="36">
        <f>WEEKNUM(Table1[[#This Row],[ETA
As requested
dd.mm.yyyy]])</f>
        <v>35</v>
      </c>
      <c r="M869" s="36">
        <f>YEAR(Table1[[#This Row],[ETA
As requested
dd.mm.yyyy]])</f>
        <v>2025</v>
      </c>
      <c r="N869" s="36">
        <f>IFERROR(INDEX(DATABASE_FG!$H$5:$H$367, MATCH(E869, DATABASE_FG!$C$5:$C$367, 0)), " ")</f>
        <v>0</v>
      </c>
      <c r="O869" s="129" t="str">
        <f>IF(E869&lt;&gt;"", _xlfn.XLOOKUP(E869, DATABASE_FG!C:C, DATABASE_FG!F:F), " ")</f>
        <v>Ghidaje</v>
      </c>
      <c r="P869" s="129">
        <f>IFERROR(INDEX(DATABASE_FG!$G$5:$G$367, MATCH(E869, DATABASE_FG!$C$5:$C$367, 0)), "Not Found")</f>
        <v>0</v>
      </c>
      <c r="Q869" s="36"/>
      <c r="R869" s="125" t="s">
        <v>678</v>
      </c>
      <c r="S869" s="123">
        <f>IFERROR(INDEX(DATABASE_FG!$L$5:$L$367, MATCH(E869, DATABASE_FG!$C$5:$C$367, 0)), " ")</f>
        <v>42</v>
      </c>
      <c r="T869" s="36" t="s">
        <v>679</v>
      </c>
      <c r="U869" s="36"/>
      <c r="V869" s="36"/>
      <c r="W869" s="129"/>
      <c r="X869" s="36"/>
      <c r="Y869" s="36"/>
      <c r="Z869" s="36"/>
      <c r="AA869" s="125" t="s">
        <v>121</v>
      </c>
      <c r="AB869" s="173">
        <v>45880</v>
      </c>
      <c r="AC869" s="119">
        <v>202596</v>
      </c>
      <c r="AD869" s="36">
        <f t="shared" si="100"/>
        <v>39726789</v>
      </c>
      <c r="AE869" s="36" t="str">
        <f t="shared" si="101"/>
        <v>F-607694-1038.TK.KWVE20BNL-ISB-WW1</v>
      </c>
      <c r="AF869" s="36">
        <v>40</v>
      </c>
      <c r="AG869" s="120">
        <f t="shared" si="103"/>
        <v>222.39999999999998</v>
      </c>
      <c r="AH869" s="36"/>
      <c r="AI869" s="124"/>
      <c r="AJ869" s="122" t="s">
        <v>3595</v>
      </c>
      <c r="AK869" s="129" t="str">
        <f t="shared" ca="1" si="102"/>
        <v>On Time</v>
      </c>
      <c r="AL869" s="268" t="str">
        <f t="shared" si="99"/>
        <v>August</v>
      </c>
      <c r="AM869" s="133">
        <f>YEAR(Table1[[#This Row],[ETA
As requested
dd.mm.yyyy]])</f>
        <v>2025</v>
      </c>
    </row>
    <row r="870" spans="1:40" hidden="1">
      <c r="A870" s="123" t="s">
        <v>83</v>
      </c>
      <c r="B870" s="36" t="s">
        <v>1170</v>
      </c>
      <c r="C870" s="117">
        <v>39726789</v>
      </c>
      <c r="D870" s="165">
        <v>45856</v>
      </c>
      <c r="E870" s="117" t="s">
        <v>97</v>
      </c>
      <c r="F870" s="36" t="str">
        <f>IFERROR(VLOOKUP(Table1[[#This Row],[Part Number]],DATABASE_FG!$C$6:D10859,2,FALSE)," ")</f>
        <v>300921586-8011</v>
      </c>
      <c r="G870" s="117" t="str">
        <f>IFERROR(_xlfn.XLOOKUP(Table1[[#This Row],[Part Number]],Table3[Part number],Table3[Drawing
 Revision]),"")</f>
        <v>AB</v>
      </c>
      <c r="H870" s="118" cm="1">
        <f t="array" ref="H870">IFERROR(INDEX(PDB!$C:$AT,MATCH(E870,PDB!$B:$B,0),MATCH(YEAR(K870),0+PDB!$C$1:$AT$1,0)),"")</f>
        <v>5.56</v>
      </c>
      <c r="I870" s="36">
        <v>232</v>
      </c>
      <c r="J870" s="125">
        <f>IFERROR(Table1[[#This Row],[Quantity]]*Table1[[#This Row],[Price/Unit
EUR]]," ")</f>
        <v>1289.9199999999998</v>
      </c>
      <c r="K870" s="126">
        <v>45896</v>
      </c>
      <c r="L870" s="36">
        <f>WEEKNUM(Table1[[#This Row],[ETA
As requested
dd.mm.yyyy]])</f>
        <v>35</v>
      </c>
      <c r="M870" s="36">
        <f>YEAR(Table1[[#This Row],[ETA
As requested
dd.mm.yyyy]])</f>
        <v>2025</v>
      </c>
      <c r="N870" s="36">
        <f>IFERROR(INDEX(DATABASE_FG!$H$5:$H$367, MATCH(E870, DATABASE_FG!$C$5:$C$367, 0)), " ")</f>
        <v>0</v>
      </c>
      <c r="O870" s="129" t="str">
        <f>IF(E870&lt;&gt;"", _xlfn.XLOOKUP(E870, DATABASE_FG!C:C, DATABASE_FG!F:F), " ")</f>
        <v>Ghidaje</v>
      </c>
      <c r="P870" s="129">
        <f>IFERROR(INDEX(DATABASE_FG!$G$5:$G$367, MATCH(E870, DATABASE_FG!$C$5:$C$367, 0)), "Not Found")</f>
        <v>0</v>
      </c>
      <c r="Q870" s="36"/>
      <c r="R870" s="125" t="s">
        <v>678</v>
      </c>
      <c r="S870" s="123">
        <f>IFERROR(INDEX(DATABASE_FG!$L$5:$L$367, MATCH(E870, DATABASE_FG!$C$5:$C$367, 0)), " ")</f>
        <v>42</v>
      </c>
      <c r="T870" s="36" t="s">
        <v>679</v>
      </c>
      <c r="U870" s="36"/>
      <c r="V870" s="36"/>
      <c r="W870" s="129"/>
      <c r="X870" s="36"/>
      <c r="Y870" s="36"/>
      <c r="Z870" s="36"/>
      <c r="AA870" s="125" t="s">
        <v>121</v>
      </c>
      <c r="AB870" s="173">
        <v>45881</v>
      </c>
      <c r="AC870" s="119" t="s">
        <v>3620</v>
      </c>
      <c r="AD870" s="36">
        <f t="shared" si="100"/>
        <v>39726789</v>
      </c>
      <c r="AE870" s="36" t="str">
        <f t="shared" si="101"/>
        <v>F-607694-1038.TK.KWVE20BNL-ISB-WW1</v>
      </c>
      <c r="AF870" s="36">
        <v>232</v>
      </c>
      <c r="AG870" s="120">
        <f t="shared" si="103"/>
        <v>1289.9199999999998</v>
      </c>
      <c r="AH870" s="36"/>
      <c r="AI870" s="124"/>
      <c r="AJ870" s="122" t="s">
        <v>3621</v>
      </c>
      <c r="AK870" s="129" t="str">
        <f t="shared" ca="1" si="102"/>
        <v>On Time</v>
      </c>
      <c r="AL870" s="268" t="str">
        <f t="shared" ref="AL870:AL935" si="104">TEXT(K870,"mmmm")</f>
        <v>August</v>
      </c>
      <c r="AM870" s="133">
        <f>YEAR(Table1[[#This Row],[ETA
As requested
dd.mm.yyyy]])</f>
        <v>2025</v>
      </c>
    </row>
    <row r="871" spans="1:40" hidden="1">
      <c r="A871" s="123" t="s">
        <v>83</v>
      </c>
      <c r="B871" s="36" t="s">
        <v>1170</v>
      </c>
      <c r="C871" s="117">
        <v>39726789</v>
      </c>
      <c r="D871" s="165">
        <v>45856</v>
      </c>
      <c r="E871" s="117" t="s">
        <v>97</v>
      </c>
      <c r="F871" s="36" t="str">
        <f>IFERROR(VLOOKUP(Table1[[#This Row],[Part Number]],DATABASE_FG!$C$6:D10860,2,FALSE)," ")</f>
        <v>300921586-8011</v>
      </c>
      <c r="G871" s="117" t="str">
        <f>IFERROR(_xlfn.XLOOKUP(Table1[[#This Row],[Part Number]],Table3[Part number],Table3[Drawing
 Revision]),"")</f>
        <v>AB</v>
      </c>
      <c r="H871" s="118" cm="1">
        <f t="array" ref="H871">IFERROR(INDEX(PDB!$C:$AT,MATCH(E871,PDB!$B:$B,0),MATCH(YEAR(K871),0+PDB!$C$1:$AT$1,0)),"")</f>
        <v>5.56</v>
      </c>
      <c r="I871" s="36">
        <v>235</v>
      </c>
      <c r="J871" s="125">
        <f>IFERROR(Table1[[#This Row],[Quantity]]*Table1[[#This Row],[Price/Unit
EUR]]," ")</f>
        <v>1306.5999999999999</v>
      </c>
      <c r="K871" s="126">
        <v>45896</v>
      </c>
      <c r="L871" s="36">
        <f>WEEKNUM(Table1[[#This Row],[ETA
As requested
dd.mm.yyyy]])</f>
        <v>35</v>
      </c>
      <c r="M871" s="36">
        <f>YEAR(Table1[[#This Row],[ETA
As requested
dd.mm.yyyy]])</f>
        <v>2025</v>
      </c>
      <c r="N871" s="36">
        <f>IFERROR(INDEX(DATABASE_FG!$H$5:$H$367, MATCH(E871, DATABASE_FG!$C$5:$C$367, 0)), " ")</f>
        <v>0</v>
      </c>
      <c r="O871" s="129" t="str">
        <f>IF(E871&lt;&gt;"", _xlfn.XLOOKUP(E871, DATABASE_FG!C:C, DATABASE_FG!F:F), " ")</f>
        <v>Ghidaje</v>
      </c>
      <c r="P871" s="129">
        <f>IFERROR(INDEX(DATABASE_FG!$G$5:$G$367, MATCH(E871, DATABASE_FG!$C$5:$C$367, 0)), "Not Found")</f>
        <v>0</v>
      </c>
      <c r="Q871" s="36"/>
      <c r="R871" s="125" t="s">
        <v>678</v>
      </c>
      <c r="S871" s="123">
        <f>IFERROR(INDEX(DATABASE_FG!$L$5:$L$367, MATCH(E871, DATABASE_FG!$C$5:$C$367, 0)), " ")</f>
        <v>42</v>
      </c>
      <c r="T871" s="36" t="s">
        <v>679</v>
      </c>
      <c r="U871" s="36"/>
      <c r="V871" s="36"/>
      <c r="W871" s="129"/>
      <c r="X871" s="36"/>
      <c r="Y871" s="36"/>
      <c r="Z871" s="36"/>
      <c r="AA871" s="125" t="s">
        <v>121</v>
      </c>
      <c r="AB871" s="173">
        <v>45882</v>
      </c>
      <c r="AC871" s="119" t="s">
        <v>3622</v>
      </c>
      <c r="AD871" s="36">
        <f t="shared" si="100"/>
        <v>39726789</v>
      </c>
      <c r="AE871" s="36" t="str">
        <f t="shared" si="101"/>
        <v>F-607694-1038.TK.KWVE20BNL-ISB-WW1</v>
      </c>
      <c r="AF871" s="36">
        <v>235</v>
      </c>
      <c r="AG871" s="120">
        <f t="shared" si="103"/>
        <v>1306.5999999999999</v>
      </c>
      <c r="AH871" s="36"/>
      <c r="AI871" s="124"/>
      <c r="AJ871" s="122" t="s">
        <v>3623</v>
      </c>
      <c r="AK871" s="129" t="str">
        <f t="shared" ca="1" si="102"/>
        <v>On Time</v>
      </c>
      <c r="AL871" s="268" t="str">
        <f t="shared" si="104"/>
        <v>August</v>
      </c>
      <c r="AM871" s="133">
        <f>YEAR(Table1[[#This Row],[ETA
As requested
dd.mm.yyyy]])</f>
        <v>2025</v>
      </c>
    </row>
    <row r="872" spans="1:40" hidden="1">
      <c r="A872" s="123" t="s">
        <v>83</v>
      </c>
      <c r="B872" s="36" t="s">
        <v>1170</v>
      </c>
      <c r="C872" s="117">
        <v>39726789</v>
      </c>
      <c r="D872" s="165">
        <v>45856</v>
      </c>
      <c r="E872" s="117" t="s">
        <v>97</v>
      </c>
      <c r="F872" s="36" t="str">
        <f>IFERROR(VLOOKUP(Table1[[#This Row],[Part Number]],DATABASE_FG!$C$6:D10861,2,FALSE)," ")</f>
        <v>300921586-8011</v>
      </c>
      <c r="G872" s="117" t="str">
        <f>IFERROR(_xlfn.XLOOKUP(Table1[[#This Row],[Part Number]],Table3[Part number],Table3[Drawing
 Revision]),"")</f>
        <v>AB</v>
      </c>
      <c r="H872" s="118" cm="1">
        <f t="array" ref="H872">IFERROR(INDEX(PDB!$C:$AT,MATCH(E872,PDB!$B:$B,0),MATCH(YEAR(K872),0+PDB!$C$1:$AT$1,0)),"")</f>
        <v>5.56</v>
      </c>
      <c r="I872" s="36">
        <f>600-40-232-235</f>
        <v>93</v>
      </c>
      <c r="J872" s="125">
        <f>IFERROR(Table1[[#This Row],[Quantity]]*Table1[[#This Row],[Price/Unit
EUR]]," ")</f>
        <v>517.07999999999993</v>
      </c>
      <c r="K872" s="126">
        <v>45896</v>
      </c>
      <c r="L872" s="36">
        <f>WEEKNUM(Table1[[#This Row],[ETA
As requested
dd.mm.yyyy]])</f>
        <v>35</v>
      </c>
      <c r="M872" s="36">
        <f>YEAR(Table1[[#This Row],[ETA
As requested
dd.mm.yyyy]])</f>
        <v>2025</v>
      </c>
      <c r="N872" s="36">
        <f>IFERROR(INDEX(DATABASE_FG!$H$5:$H$367, MATCH(E872, DATABASE_FG!$C$5:$C$367, 0)), " ")</f>
        <v>0</v>
      </c>
      <c r="O872" s="129" t="str">
        <f>IF(E872&lt;&gt;"", _xlfn.XLOOKUP(E872, DATABASE_FG!C:C, DATABASE_FG!F:F), " ")</f>
        <v>Ghidaje</v>
      </c>
      <c r="P872" s="129">
        <f>IFERROR(INDEX(DATABASE_FG!$G$5:$G$367, MATCH(E872, DATABASE_FG!$C$5:$C$367, 0)), "Not Found")</f>
        <v>0</v>
      </c>
      <c r="Q872" s="36"/>
      <c r="R872" s="125" t="s">
        <v>678</v>
      </c>
      <c r="S872" s="123">
        <f>IFERROR(INDEX(DATABASE_FG!$L$5:$L$367, MATCH(E872, DATABASE_FG!$C$5:$C$367, 0)), " ")</f>
        <v>42</v>
      </c>
      <c r="T872" s="36" t="s">
        <v>679</v>
      </c>
      <c r="U872" s="36"/>
      <c r="V872" s="36"/>
      <c r="W872" s="129"/>
      <c r="X872" s="36"/>
      <c r="Y872" s="36"/>
      <c r="Z872" s="36"/>
      <c r="AA872" s="125" t="s">
        <v>121</v>
      </c>
      <c r="AB872" s="173">
        <v>45883</v>
      </c>
      <c r="AC872" s="119" t="s">
        <v>3624</v>
      </c>
      <c r="AD872" s="36">
        <f t="shared" si="100"/>
        <v>39726789</v>
      </c>
      <c r="AE872" s="36" t="str">
        <f t="shared" si="101"/>
        <v>F-607694-1038.TK.KWVE20BNL-ISB-WW1</v>
      </c>
      <c r="AF872" s="36">
        <v>93</v>
      </c>
      <c r="AG872" s="120">
        <f t="shared" si="103"/>
        <v>517.07999999999993</v>
      </c>
      <c r="AH872" s="36"/>
      <c r="AI872" s="124"/>
      <c r="AJ872" s="122" t="s">
        <v>3625</v>
      </c>
      <c r="AK872" s="129" t="str">
        <f t="shared" ca="1" si="102"/>
        <v>On Time</v>
      </c>
      <c r="AL872" s="268" t="str">
        <f t="shared" si="104"/>
        <v>August</v>
      </c>
      <c r="AM872" s="133">
        <f>YEAR(Table1[[#This Row],[ETA
As requested
dd.mm.yyyy]])</f>
        <v>2025</v>
      </c>
    </row>
    <row r="873" spans="1:40" hidden="1">
      <c r="A873" s="123" t="s">
        <v>83</v>
      </c>
      <c r="B873" s="36" t="s">
        <v>1170</v>
      </c>
      <c r="C873" s="117">
        <v>39726789</v>
      </c>
      <c r="D873" s="165">
        <v>45777</v>
      </c>
      <c r="E873" s="117" t="s">
        <v>97</v>
      </c>
      <c r="F873" s="36" t="str">
        <f>IFERROR(VLOOKUP(Table1[[#This Row],[Part Number]],DATABASE_FG!$C$6:D10862,2,FALSE)," ")</f>
        <v>300921586-8011</v>
      </c>
      <c r="G873" s="117" t="str">
        <f>IFERROR(_xlfn.XLOOKUP(Table1[[#This Row],[Part Number]],Table3[Part number],Table3[Drawing
 Revision]),"")</f>
        <v>AB</v>
      </c>
      <c r="H873" s="118" cm="1">
        <f t="array" ref="H873">IFERROR(INDEX(PDB!$C:$AT,MATCH(E873,PDB!$B:$B,0),MATCH(YEAR(K873),0+PDB!$C$1:$AT$1,0)),"")</f>
        <v>5.56</v>
      </c>
      <c r="I873" s="36">
        <v>17</v>
      </c>
      <c r="J873" s="125">
        <f>IFERROR(Table1[[#This Row],[Quantity]]*Table1[[#This Row],[Price/Unit
EUR]]," ")</f>
        <v>94.52</v>
      </c>
      <c r="K873" s="126">
        <v>45930</v>
      </c>
      <c r="L873" s="36">
        <f>WEEKNUM(Table1[[#This Row],[ETA
As requested
dd.mm.yyyy]])</f>
        <v>40</v>
      </c>
      <c r="M873" s="36">
        <f>YEAR(Table1[[#This Row],[ETA
As requested
dd.mm.yyyy]])</f>
        <v>2025</v>
      </c>
      <c r="N873" s="36">
        <f>IFERROR(INDEX(DATABASE_FG!$H$5:$H$367, MATCH(E873, DATABASE_FG!$C$5:$C$367, 0)), " ")</f>
        <v>0</v>
      </c>
      <c r="O873" s="129" t="str">
        <f>IF(E873&lt;&gt;"", _xlfn.XLOOKUP(E873, DATABASE_FG!C:C, DATABASE_FG!F:F), " ")</f>
        <v>Ghidaje</v>
      </c>
      <c r="P873" s="129">
        <f>IFERROR(INDEX(DATABASE_FG!$G$5:$G$367, MATCH(E873, DATABASE_FG!$C$5:$C$367, 0)), "Not Found")</f>
        <v>0</v>
      </c>
      <c r="Q873" s="36"/>
      <c r="R873" s="125" t="s">
        <v>678</v>
      </c>
      <c r="S873" s="123">
        <f>IFERROR(INDEX(DATABASE_FG!$L$5:$L$367, MATCH(E873, DATABASE_FG!$C$5:$C$367, 0)), " ")</f>
        <v>42</v>
      </c>
      <c r="T873" s="36" t="s">
        <v>679</v>
      </c>
      <c r="U873" s="36"/>
      <c r="V873" s="36"/>
      <c r="W873" s="129"/>
      <c r="X873" s="36"/>
      <c r="Y873" s="36"/>
      <c r="Z873" s="36"/>
      <c r="AA873" s="125" t="s">
        <v>121</v>
      </c>
      <c r="AB873" s="172">
        <v>45883</v>
      </c>
      <c r="AC873" s="119" t="s">
        <v>3624</v>
      </c>
      <c r="AD873" s="36">
        <f t="shared" si="100"/>
        <v>39726789</v>
      </c>
      <c r="AE873" s="36" t="str">
        <f t="shared" si="101"/>
        <v>F-607694-1038.TK.KWVE20BNL-ISB-WW1</v>
      </c>
      <c r="AF873" s="36">
        <v>17</v>
      </c>
      <c r="AG873" s="120">
        <f t="shared" si="103"/>
        <v>94.52</v>
      </c>
      <c r="AH873" s="36"/>
      <c r="AI873" s="124"/>
      <c r="AJ873" s="122" t="s">
        <v>3625</v>
      </c>
      <c r="AK873" s="129" t="str">
        <f t="shared" ca="1" si="102"/>
        <v>On Time</v>
      </c>
      <c r="AL873" s="268" t="str">
        <f t="shared" si="104"/>
        <v>September</v>
      </c>
      <c r="AM873" s="133">
        <f>YEAR(Table1[[#This Row],[ETA
As requested
dd.mm.yyyy]])</f>
        <v>2025</v>
      </c>
    </row>
    <row r="874" spans="1:40" hidden="1">
      <c r="A874" s="123" t="s">
        <v>83</v>
      </c>
      <c r="B874" s="36" t="s">
        <v>1170</v>
      </c>
      <c r="C874" s="117">
        <v>39726789</v>
      </c>
      <c r="D874" s="165">
        <v>45777</v>
      </c>
      <c r="E874" s="117" t="s">
        <v>97</v>
      </c>
      <c r="F874" s="36" t="str">
        <f>IFERROR(VLOOKUP(Table1[[#This Row],[Part Number]],DATABASE_FG!$C$6:D10863,2,FALSE)," ")</f>
        <v>300921586-8011</v>
      </c>
      <c r="G874" s="117" t="str">
        <f>IFERROR(_xlfn.XLOOKUP(Table1[[#This Row],[Part Number]],Table3[Part number],Table3[Drawing
 Revision]),"")</f>
        <v>AB</v>
      </c>
      <c r="H874" s="118" cm="1">
        <f t="array" ref="H874">IFERROR(INDEX(PDB!$C:$AT,MATCH(E874,PDB!$B:$B,0),MATCH(YEAR(K874),0+PDB!$C$1:$AT$1,0)),"")</f>
        <v>5.56</v>
      </c>
      <c r="I874" s="36">
        <f>800-17-555</f>
        <v>228</v>
      </c>
      <c r="J874" s="125">
        <f>IFERROR(Table1[[#This Row],[Quantity]]*Table1[[#This Row],[Price/Unit
EUR]]," ")</f>
        <v>1267.6799999999998</v>
      </c>
      <c r="K874" s="126">
        <v>45930</v>
      </c>
      <c r="L874" s="36">
        <f>WEEKNUM(Table1[[#This Row],[ETA
As requested
dd.mm.yyyy]])</f>
        <v>40</v>
      </c>
      <c r="M874" s="36">
        <f>YEAR(Table1[[#This Row],[ETA
As requested
dd.mm.yyyy]])</f>
        <v>2025</v>
      </c>
      <c r="N874" s="36">
        <f>IFERROR(INDEX(DATABASE_FG!$H$5:$H$367, MATCH(E874, DATABASE_FG!$C$5:$C$367, 0)), " ")</f>
        <v>0</v>
      </c>
      <c r="O874" s="129" t="str">
        <f>IF(E874&lt;&gt;"", _xlfn.XLOOKUP(E874, DATABASE_FG!C:C, DATABASE_FG!F:F), " ")</f>
        <v>Ghidaje</v>
      </c>
      <c r="P874" s="129">
        <f>IFERROR(INDEX(DATABASE_FG!$G$5:$G$367, MATCH(E874, DATABASE_FG!$C$5:$C$367, 0)), "Not Found")</f>
        <v>0</v>
      </c>
      <c r="Q874" s="36"/>
      <c r="R874" s="125" t="s">
        <v>678</v>
      </c>
      <c r="S874" s="123">
        <f>IFERROR(INDEX(DATABASE_FG!$L$5:$L$367, MATCH(E874, DATABASE_FG!$C$5:$C$367, 0)), " ")</f>
        <v>42</v>
      </c>
      <c r="T874" s="36" t="s">
        <v>679</v>
      </c>
      <c r="U874" s="36"/>
      <c r="V874" s="36"/>
      <c r="W874" s="129"/>
      <c r="X874" s="36"/>
      <c r="Y874" s="36"/>
      <c r="Z874" s="36"/>
      <c r="AA874" s="125" t="s">
        <v>121</v>
      </c>
      <c r="AB874" s="172"/>
      <c r="AC874" s="119"/>
      <c r="AD874" s="36" t="str">
        <f t="shared" si="100"/>
        <v/>
      </c>
      <c r="AE874" s="36" t="str">
        <f t="shared" si="101"/>
        <v/>
      </c>
      <c r="AF874" s="36">
        <v>0</v>
      </c>
      <c r="AG874" s="120">
        <f t="shared" si="103"/>
        <v>0</v>
      </c>
      <c r="AH874" s="36"/>
      <c r="AI874" s="124" t="s">
        <v>2545</v>
      </c>
      <c r="AJ874" s="122"/>
      <c r="AK874" s="129" t="str">
        <f t="shared" ca="1" si="102"/>
        <v>Late</v>
      </c>
      <c r="AL874" s="268" t="str">
        <f t="shared" si="104"/>
        <v>September</v>
      </c>
      <c r="AM874" s="133">
        <f>YEAR(Table1[[#This Row],[ETA
As requested
dd.mm.yyyy]])</f>
        <v>2025</v>
      </c>
    </row>
    <row r="875" spans="1:40" hidden="1">
      <c r="A875" s="123" t="s">
        <v>83</v>
      </c>
      <c r="B875" s="36" t="s">
        <v>1170</v>
      </c>
      <c r="C875" s="117">
        <v>50105801</v>
      </c>
      <c r="D875" s="165">
        <v>45901</v>
      </c>
      <c r="E875" s="117" t="s">
        <v>97</v>
      </c>
      <c r="F875" s="36" t="str">
        <f>IFERROR(VLOOKUP(Table1[[#This Row],[Part Number]],DATABASE_FG!$C$6:D10864,2,FALSE)," ")</f>
        <v>300921586-8011</v>
      </c>
      <c r="G875" s="117" t="str">
        <f>IFERROR(_xlfn.XLOOKUP(Table1[[#This Row],[Part Number]],Table3[Part number],Table3[Drawing
 Revision]),"")</f>
        <v>AB</v>
      </c>
      <c r="H875" s="118" cm="1">
        <f t="array" ref="H875">IFERROR(INDEX(PDB!$C:$AT,MATCH(E875,PDB!$B:$B,0),MATCH(YEAR(K875),0+PDB!$C$1:$AT$1,0)),"")</f>
        <v>5.56</v>
      </c>
      <c r="I875" s="36">
        <v>555</v>
      </c>
      <c r="J875" s="125">
        <f>IFERROR(Table1[[#This Row],[Quantity]]*Table1[[#This Row],[Price/Unit
EUR]]," ")</f>
        <v>3085.7999999999997</v>
      </c>
      <c r="K875" s="126">
        <v>45932</v>
      </c>
      <c r="L875" s="36">
        <f>WEEKNUM(Table1[[#This Row],[ETA
As requested
dd.mm.yyyy]])</f>
        <v>40</v>
      </c>
      <c r="M875" s="36">
        <f>YEAR(Table1[[#This Row],[ETA
As requested
dd.mm.yyyy]])</f>
        <v>2025</v>
      </c>
      <c r="N875" s="36">
        <f>IFERROR(INDEX(DATABASE_FG!$H$5:$H$367, MATCH(E875, DATABASE_FG!$C$5:$C$367, 0)), " ")</f>
        <v>0</v>
      </c>
      <c r="O875" s="129" t="str">
        <f>IF(E875&lt;&gt;"", _xlfn.XLOOKUP(E875, DATABASE_FG!C:C, DATABASE_FG!F:F), " ")</f>
        <v>Ghidaje</v>
      </c>
      <c r="P875" s="129">
        <f>IFERROR(INDEX(DATABASE_FG!$G$5:$G$367, MATCH(E875, DATABASE_FG!$C$5:$C$367, 0)), "Not Found")</f>
        <v>0</v>
      </c>
      <c r="Q875" s="36"/>
      <c r="R875" s="125" t="s">
        <v>678</v>
      </c>
      <c r="S875" s="123">
        <f>IFERROR(INDEX(DATABASE_FG!$L$5:$L$367, MATCH(E875, DATABASE_FG!$C$5:$C$367, 0)), " ")</f>
        <v>42</v>
      </c>
      <c r="T875" s="36" t="s">
        <v>679</v>
      </c>
      <c r="U875" s="36"/>
      <c r="V875" s="36"/>
      <c r="W875" s="129"/>
      <c r="X875" s="36"/>
      <c r="Y875" s="36"/>
      <c r="Z875" s="36"/>
      <c r="AA875" s="125" t="s">
        <v>121</v>
      </c>
      <c r="AB875" s="172">
        <v>45899</v>
      </c>
      <c r="AC875" s="119" t="s">
        <v>3788</v>
      </c>
      <c r="AD875" s="36">
        <f t="shared" si="100"/>
        <v>50105801</v>
      </c>
      <c r="AE875" s="36" t="str">
        <f t="shared" si="101"/>
        <v>F-607694-1038.TK.KWVE20BNL-ISB-WW1</v>
      </c>
      <c r="AF875" s="36">
        <v>555</v>
      </c>
      <c r="AG875" s="120">
        <f t="shared" si="103"/>
        <v>3085.7999999999997</v>
      </c>
      <c r="AH875" s="36"/>
      <c r="AI875" s="124"/>
      <c r="AJ875" s="122" t="s">
        <v>3789</v>
      </c>
      <c r="AK875" s="129" t="str">
        <f t="shared" ca="1" si="102"/>
        <v>On Time</v>
      </c>
      <c r="AL875" s="268" t="str">
        <f t="shared" si="104"/>
        <v>October</v>
      </c>
      <c r="AM875" s="133">
        <f>YEAR(Table1[[#This Row],[ETA
As requested
dd.mm.yyyy]])</f>
        <v>2025</v>
      </c>
    </row>
    <row r="876" spans="1:40" s="76" customFormat="1" hidden="1">
      <c r="A876" s="123" t="s">
        <v>83</v>
      </c>
      <c r="B876" s="36" t="s">
        <v>1170</v>
      </c>
      <c r="C876" s="70">
        <v>39726789</v>
      </c>
      <c r="D876" s="165">
        <v>45777</v>
      </c>
      <c r="E876" s="117" t="s">
        <v>97</v>
      </c>
      <c r="F876" s="36" t="str">
        <f>IFERROR(VLOOKUP(Table1[[#This Row],[Part Number]],DATABASE_FG!$C$6:D10865,2,FALSE)," ")</f>
        <v>300921586-8011</v>
      </c>
      <c r="G876" s="117" t="str">
        <f>IFERROR(_xlfn.XLOOKUP(Table1[[#This Row],[Part Number]],Table3[Part number],Table3[Drawing
 Revision]),"")</f>
        <v>AB</v>
      </c>
      <c r="H876" s="118" cm="1">
        <f t="array" ref="H876">IFERROR(INDEX(PDB!$C:$AT,MATCH(E876,PDB!$B:$B,0),MATCH(YEAR(K876),0+PDB!$C$1:$AT$1,0)),"")</f>
        <v>5.56</v>
      </c>
      <c r="I876" s="36">
        <v>104</v>
      </c>
      <c r="J876" s="125">
        <f>IFERROR(Table1[[#This Row],[Quantity]]*Table1[[#This Row],[Price/Unit
EUR]]," ")</f>
        <v>578.24</v>
      </c>
      <c r="K876" s="243">
        <v>45960</v>
      </c>
      <c r="L876" s="36">
        <f>WEEKNUM(Table1[[#This Row],[ETA
As requested
dd.mm.yyyy]])</f>
        <v>44</v>
      </c>
      <c r="M876" s="36">
        <f>YEAR(Table1[[#This Row],[ETA
As requested
dd.mm.yyyy]])</f>
        <v>2025</v>
      </c>
      <c r="N876" s="36">
        <f>IFERROR(INDEX(DATABASE_FG!$H$5:$H$367, MATCH(E876, DATABASE_FG!$C$5:$C$367, 0)), " ")</f>
        <v>0</v>
      </c>
      <c r="O876" s="129" t="str">
        <f>IF(E876&lt;&gt;"", _xlfn.XLOOKUP(E876, DATABASE_FG!C:C, DATABASE_FG!F:F), " ")</f>
        <v>Ghidaje</v>
      </c>
      <c r="P876" s="129">
        <f>IFERROR(INDEX(DATABASE_FG!$G$5:$G$367, MATCH(E876, DATABASE_FG!$C$5:$C$367, 0)), "Not Found")</f>
        <v>0</v>
      </c>
      <c r="Q876" s="36"/>
      <c r="R876" s="125" t="s">
        <v>678</v>
      </c>
      <c r="S876" s="123">
        <f>Table1[[#This Row],[Quantity]]/48</f>
        <v>2.1666666666666665</v>
      </c>
      <c r="T876" s="36"/>
      <c r="U876" s="36"/>
      <c r="V876" s="36"/>
      <c r="W876" s="129"/>
      <c r="X876" s="36"/>
      <c r="Y876" s="36"/>
      <c r="Z876" s="36"/>
      <c r="AA876" s="125" t="s">
        <v>121</v>
      </c>
      <c r="AB876" s="173">
        <v>45947</v>
      </c>
      <c r="AC876" s="119" t="s">
        <v>4353</v>
      </c>
      <c r="AD876" s="36">
        <f t="shared" si="100"/>
        <v>39726789</v>
      </c>
      <c r="AE876" s="36" t="str">
        <f t="shared" si="101"/>
        <v>F-607694-1038.TK.KWVE20BNL-ISB-WW1</v>
      </c>
      <c r="AF876" s="36">
        <v>104</v>
      </c>
      <c r="AG876" s="120">
        <f t="shared" si="103"/>
        <v>578.24</v>
      </c>
      <c r="AH876" s="36"/>
      <c r="AI876" s="124"/>
      <c r="AJ876" s="122" t="s">
        <v>4375</v>
      </c>
      <c r="AK876" s="129" t="str">
        <f t="shared" ca="1" si="102"/>
        <v>On Time</v>
      </c>
      <c r="AL876" s="268" t="str">
        <f t="shared" si="104"/>
        <v>October</v>
      </c>
      <c r="AM876" s="133">
        <f>YEAR(Table1[[#This Row],[ETA
As requested
dd.mm.yyyy]])</f>
        <v>2025</v>
      </c>
      <c r="AN876" s="191"/>
    </row>
    <row r="877" spans="1:40" hidden="1">
      <c r="A877" s="123" t="s">
        <v>83</v>
      </c>
      <c r="B877" s="36" t="s">
        <v>1170</v>
      </c>
      <c r="C877" s="117">
        <v>50234536</v>
      </c>
      <c r="D877" s="165">
        <v>45919</v>
      </c>
      <c r="E877" s="117" t="s">
        <v>97</v>
      </c>
      <c r="F877" s="36" t="str">
        <f>IFERROR(VLOOKUP(Table1[[#This Row],[Part Number]],DATABASE_FG!$C$6:D10866,2,FALSE)," ")</f>
        <v>300921586-8011</v>
      </c>
      <c r="G877" s="117" t="str">
        <f>IFERROR(_xlfn.XLOOKUP(Table1[[#This Row],[Part Number]],Table3[Part number],Table3[Drawing
 Revision]),"")</f>
        <v>AB</v>
      </c>
      <c r="H877" s="118" cm="1">
        <f t="array" ref="H877">IFERROR(INDEX(PDB!$C:$AT,MATCH(E877,PDB!$B:$B,0),MATCH(YEAR(K877),0+PDB!$C$1:$AT$1,0)),"")</f>
        <v>5.56</v>
      </c>
      <c r="I877" s="36">
        <v>364</v>
      </c>
      <c r="J877" s="125">
        <f>IFERROR(Table1[[#This Row],[Quantity]]*Table1[[#This Row],[Price/Unit
EUR]]," ")</f>
        <v>2023.84</v>
      </c>
      <c r="K877" s="126">
        <v>45960</v>
      </c>
      <c r="L877" s="36">
        <f>WEEKNUM(Table1[[#This Row],[ETA
As requested
dd.mm.yyyy]])</f>
        <v>44</v>
      </c>
      <c r="M877" s="36">
        <f>YEAR(Table1[[#This Row],[ETA
As requested
dd.mm.yyyy]])</f>
        <v>2025</v>
      </c>
      <c r="N877" s="36">
        <f>IFERROR(INDEX(DATABASE_FG!$H$5:$H$367, MATCH(E877, DATABASE_FG!$C$5:$C$367, 0)), " ")</f>
        <v>0</v>
      </c>
      <c r="O877" s="129" t="str">
        <f>IF(E877&lt;&gt;"", _xlfn.XLOOKUP(E877, DATABASE_FG!C:C, DATABASE_FG!F:F), " ")</f>
        <v>Ghidaje</v>
      </c>
      <c r="P877" s="129">
        <f>IFERROR(INDEX(DATABASE_FG!$G$5:$G$367, MATCH(E877, DATABASE_FG!$C$5:$C$367, 0)), "Not Found")</f>
        <v>0</v>
      </c>
      <c r="Q877" s="36"/>
      <c r="R877" s="125" t="s">
        <v>678</v>
      </c>
      <c r="S877" s="123">
        <f>Table1[[#This Row],[Quantity]]/48</f>
        <v>7.583333333333333</v>
      </c>
      <c r="T877" s="36"/>
      <c r="U877" s="36"/>
      <c r="V877" s="36"/>
      <c r="W877" s="129"/>
      <c r="X877" s="36"/>
      <c r="Y877" s="36"/>
      <c r="Z877" s="36"/>
      <c r="AA877" s="125" t="s">
        <v>121</v>
      </c>
      <c r="AB877" s="173">
        <v>45951</v>
      </c>
      <c r="AC877" s="119" t="s">
        <v>4379</v>
      </c>
      <c r="AD877" s="36">
        <f t="shared" si="100"/>
        <v>50234536</v>
      </c>
      <c r="AE877" s="36" t="str">
        <f t="shared" si="101"/>
        <v>F-607694-1038.TK.KWVE20BNL-ISB-WW1</v>
      </c>
      <c r="AF877" s="36">
        <v>364</v>
      </c>
      <c r="AG877" s="120">
        <f t="shared" si="103"/>
        <v>2023.84</v>
      </c>
      <c r="AH877" s="36"/>
      <c r="AI877" s="124"/>
      <c r="AJ877" s="122" t="s">
        <v>4387</v>
      </c>
      <c r="AK877" s="129" t="str">
        <f t="shared" ca="1" si="102"/>
        <v>On Time</v>
      </c>
      <c r="AL877" s="268" t="str">
        <f t="shared" si="104"/>
        <v>October</v>
      </c>
      <c r="AM877" s="133">
        <f>YEAR(Table1[[#This Row],[ETA
As requested
dd.mm.yyyy]])</f>
        <v>2025</v>
      </c>
      <c r="AN877" s="191"/>
    </row>
    <row r="878" spans="1:40" hidden="1">
      <c r="A878" s="123" t="s">
        <v>83</v>
      </c>
      <c r="B878" s="36" t="s">
        <v>1170</v>
      </c>
      <c r="C878" s="117">
        <v>50234536</v>
      </c>
      <c r="D878" s="165">
        <v>45919</v>
      </c>
      <c r="E878" s="117" t="s">
        <v>97</v>
      </c>
      <c r="F878" s="36" t="str">
        <f>IFERROR(VLOOKUP(Table1[[#This Row],[Part Number]],DATABASE_FG!$C$6:D10867,2,FALSE)," ")</f>
        <v>300921586-8011</v>
      </c>
      <c r="G878" s="117" t="str">
        <f>IFERROR(_xlfn.XLOOKUP(Table1[[#This Row],[Part Number]],Table3[Part number],Table3[Drawing
 Revision]),"")</f>
        <v>AB</v>
      </c>
      <c r="H878" s="118" cm="1">
        <f t="array" ref="H878">IFERROR(INDEX(PDB!$C:$AT,MATCH(E878,PDB!$B:$B,0),MATCH(YEAR(K878),0+PDB!$C$1:$AT$1,0)),"")</f>
        <v>5.56</v>
      </c>
      <c r="I878" s="36">
        <v>520</v>
      </c>
      <c r="J878" s="125">
        <f>IFERROR(Table1[[#This Row],[Quantity]]*Table1[[#This Row],[Price/Unit
EUR]]," ")</f>
        <v>2891.2</v>
      </c>
      <c r="K878" s="126">
        <v>45960</v>
      </c>
      <c r="L878" s="36">
        <f>WEEKNUM(Table1[[#This Row],[ETA
As requested
dd.mm.yyyy]])</f>
        <v>44</v>
      </c>
      <c r="M878" s="36">
        <f>YEAR(Table1[[#This Row],[ETA
As requested
dd.mm.yyyy]])</f>
        <v>2025</v>
      </c>
      <c r="N878" s="36">
        <f>IFERROR(INDEX(DATABASE_FG!$H$5:$H$367, MATCH(E878, DATABASE_FG!$C$5:$C$367, 0)), " ")</f>
        <v>0</v>
      </c>
      <c r="O878" s="129" t="str">
        <f>IF(E878&lt;&gt;"", _xlfn.XLOOKUP(E878, DATABASE_FG!C:C, DATABASE_FG!F:F), " ")</f>
        <v>Ghidaje</v>
      </c>
      <c r="P878" s="129">
        <f>IFERROR(INDEX(DATABASE_FG!$G$5:$G$367, MATCH(E878, DATABASE_FG!$C$5:$C$367, 0)), "Not Found")</f>
        <v>0</v>
      </c>
      <c r="Q878" s="36"/>
      <c r="R878" s="125" t="s">
        <v>678</v>
      </c>
      <c r="S878" s="123">
        <f>Table1[[#This Row],[Quantity]]/48</f>
        <v>10.833333333333334</v>
      </c>
      <c r="T878" s="36"/>
      <c r="U878" s="36"/>
      <c r="V878" s="36"/>
      <c r="W878" s="129"/>
      <c r="X878" s="36"/>
      <c r="Y878" s="36"/>
      <c r="Z878" s="36"/>
      <c r="AA878" s="125" t="s">
        <v>121</v>
      </c>
      <c r="AB878" s="173">
        <v>45953</v>
      </c>
      <c r="AC878" s="119" t="s">
        <v>4400</v>
      </c>
      <c r="AD878" s="36">
        <f t="shared" ref="AD878" si="105">IF(NOT(ISBLANK(AC878)), C878, "")</f>
        <v>50234536</v>
      </c>
      <c r="AE878" s="36" t="str">
        <f t="shared" ref="AE878" si="106">IF(NOT(ISBLANK(AC878)), E878, "")</f>
        <v>F-607694-1038.TK.KWVE20BNL-ISB-WW1</v>
      </c>
      <c r="AF878" s="36">
        <v>520</v>
      </c>
      <c r="AG878" s="120">
        <f t="shared" ref="AG878" si="107">AF878*H878</f>
        <v>2891.2</v>
      </c>
      <c r="AH878" s="36"/>
      <c r="AI878" s="124"/>
      <c r="AJ878" s="122" t="s">
        <v>4406</v>
      </c>
      <c r="AK878" s="129" t="str">
        <f t="shared" ref="AK878" ca="1" si="108">IF(AB878="", IF(K878 &lt; TODAY(), "Late", ""), IF(AB878 &lt;= K878 + 2, "On Time", "Late"))</f>
        <v>On Time</v>
      </c>
      <c r="AL878" s="268" t="str">
        <f t="shared" ref="AL878" si="109">TEXT(K878,"mmmm")</f>
        <v>October</v>
      </c>
      <c r="AM878" s="133">
        <f>YEAR(Table1[[#This Row],[ETA
As requested
dd.mm.yyyy]])</f>
        <v>2025</v>
      </c>
      <c r="AN878" s="191"/>
    </row>
    <row r="879" spans="1:40" hidden="1">
      <c r="A879" s="123" t="s">
        <v>83</v>
      </c>
      <c r="B879" s="36" t="s">
        <v>1170</v>
      </c>
      <c r="C879" s="117">
        <v>50234536</v>
      </c>
      <c r="D879" s="165">
        <v>45919</v>
      </c>
      <c r="E879" s="117" t="s">
        <v>97</v>
      </c>
      <c r="F879" s="36" t="str">
        <f>IFERROR(VLOOKUP(Table1[[#This Row],[Part Number]],DATABASE_FG!$C$6:D10868,2,FALSE)," ")</f>
        <v>300921586-8011</v>
      </c>
      <c r="G879" s="117" t="str">
        <f>IFERROR(_xlfn.XLOOKUP(Table1[[#This Row],[Part Number]],Table3[Part number],Table3[Drawing
 Revision]),"")</f>
        <v>AB</v>
      </c>
      <c r="H879" s="118" cm="1">
        <f t="array" ref="H879">IFERROR(INDEX(PDB!$C:$AT,MATCH(E879,PDB!$B:$B,0),MATCH(YEAR(K879),0+PDB!$C$1:$AT$1,0)),"")</f>
        <v>5.56</v>
      </c>
      <c r="I879" s="36">
        <f>1000-104-364-520+40</f>
        <v>52</v>
      </c>
      <c r="J879" s="125">
        <f>IFERROR(Table1[[#This Row],[Quantity]]*Table1[[#This Row],[Price/Unit
EUR]]," ")</f>
        <v>289.12</v>
      </c>
      <c r="K879" s="126">
        <v>45960</v>
      </c>
      <c r="L879" s="36">
        <f>WEEKNUM(Table1[[#This Row],[ETA
As requested
dd.mm.yyyy]])</f>
        <v>44</v>
      </c>
      <c r="M879" s="36">
        <f>YEAR(Table1[[#This Row],[ETA
As requested
dd.mm.yyyy]])</f>
        <v>2025</v>
      </c>
      <c r="N879" s="36">
        <f>IFERROR(INDEX(DATABASE_FG!$H$5:$H$367, MATCH(E879, DATABASE_FG!$C$5:$C$367, 0)), " ")</f>
        <v>0</v>
      </c>
      <c r="O879" s="129" t="str">
        <f>IF(E879&lt;&gt;"", _xlfn.XLOOKUP(E879, DATABASE_FG!C:C, DATABASE_FG!F:F), " ")</f>
        <v>Ghidaje</v>
      </c>
      <c r="P879" s="129">
        <f>IFERROR(INDEX(DATABASE_FG!$G$5:$G$367, MATCH(E879, DATABASE_FG!$C$5:$C$367, 0)), "Not Found")</f>
        <v>0</v>
      </c>
      <c r="Q879" s="36"/>
      <c r="R879" s="125" t="s">
        <v>678</v>
      </c>
      <c r="S879" s="123">
        <f>IFERROR(INDEX(DATABASE_FG!$L$5:$L$367, MATCH(E879, DATABASE_FG!$C$5:$C$367, 0)), " ")</f>
        <v>42</v>
      </c>
      <c r="T879" s="36" t="s">
        <v>679</v>
      </c>
      <c r="U879" s="36"/>
      <c r="V879" s="36"/>
      <c r="W879" s="129"/>
      <c r="X879" s="36"/>
      <c r="Y879" s="36"/>
      <c r="Z879" s="36"/>
      <c r="AA879" s="125" t="s">
        <v>121</v>
      </c>
      <c r="AB879" s="173">
        <v>45959</v>
      </c>
      <c r="AC879" s="119" t="s">
        <v>4414</v>
      </c>
      <c r="AD879" s="36">
        <f t="shared" si="100"/>
        <v>50234536</v>
      </c>
      <c r="AE879" s="36" t="str">
        <f t="shared" si="101"/>
        <v>F-607694-1038.TK.KWVE20BNL-ISB-WW1</v>
      </c>
      <c r="AF879" s="36">
        <v>52</v>
      </c>
      <c r="AG879" s="120">
        <f t="shared" si="103"/>
        <v>289.12</v>
      </c>
      <c r="AH879" s="36"/>
      <c r="AI879" s="124"/>
      <c r="AJ879" s="122" t="s">
        <v>4419</v>
      </c>
      <c r="AK879" s="129" t="str">
        <f t="shared" ca="1" si="102"/>
        <v>On Time</v>
      </c>
      <c r="AL879" s="268" t="str">
        <f t="shared" si="104"/>
        <v>October</v>
      </c>
      <c r="AM879" s="133">
        <f>YEAR(Table1[[#This Row],[ETA
As requested
dd.mm.yyyy]])</f>
        <v>2025</v>
      </c>
    </row>
    <row r="880" spans="1:40" hidden="1">
      <c r="A880" s="123" t="s">
        <v>83</v>
      </c>
      <c r="B880" s="36" t="s">
        <v>1170</v>
      </c>
      <c r="C880" s="117">
        <v>50472498</v>
      </c>
      <c r="D880" s="165">
        <v>45952</v>
      </c>
      <c r="E880" s="117" t="s">
        <v>97</v>
      </c>
      <c r="F880" s="36" t="str">
        <f>IFERROR(VLOOKUP(Table1[[#This Row],[Part Number]],DATABASE_FG!$C$6:D10869,2,FALSE)," ")</f>
        <v>300921586-8011</v>
      </c>
      <c r="G880" s="117" t="str">
        <f>IFERROR(_xlfn.XLOOKUP(Table1[[#This Row],[Part Number]],Table3[Part number],Table3[Drawing
 Revision]),"")</f>
        <v>AB</v>
      </c>
      <c r="H880" s="118" cm="1">
        <f t="array" ref="H880">IFERROR(INDEX(PDB!$C:$AT,MATCH(E880,PDB!$B:$B,0),MATCH(YEAR(K880),0+PDB!$C$1:$AT$1,0)),"")</f>
        <v>5.56</v>
      </c>
      <c r="I880" s="36">
        <v>1285</v>
      </c>
      <c r="J880" s="125">
        <f>IFERROR(Table1[[#This Row],[Quantity]]*Table1[[#This Row],[Price/Unit
EUR]]," ")</f>
        <v>7144.5999999999995</v>
      </c>
      <c r="K880" s="126">
        <v>45980</v>
      </c>
      <c r="L880" s="36">
        <f>WEEKNUM(Table1[[#This Row],[ETA
As requested
dd.mm.yyyy]])</f>
        <v>47</v>
      </c>
      <c r="M880" s="36">
        <f>YEAR(Table1[[#This Row],[ETA
As requested
dd.mm.yyyy]])</f>
        <v>2025</v>
      </c>
      <c r="N880" s="36">
        <f>IFERROR(INDEX(DATABASE_FG!$H$5:$H$367, MATCH(E880, DATABASE_FG!$C$5:$C$367, 0)), " ")</f>
        <v>0</v>
      </c>
      <c r="O880" s="129" t="str">
        <f>IF(E880&lt;&gt;"", _xlfn.XLOOKUP(E880, DATABASE_FG!C:C, DATABASE_FG!F:F), " ")</f>
        <v>Ghidaje</v>
      </c>
      <c r="P880" s="129">
        <f>IFERROR(INDEX(DATABASE_FG!$G$5:$G$367, MATCH(E880, DATABASE_FG!$C$5:$C$367, 0)), "Not Found")</f>
        <v>0</v>
      </c>
      <c r="Q880" s="36"/>
      <c r="R880" s="125" t="s">
        <v>678</v>
      </c>
      <c r="S880" s="123">
        <f>Table1[[#This Row],[Quantity]]/48</f>
        <v>26.770833333333332</v>
      </c>
      <c r="T880" s="36"/>
      <c r="U880" s="36"/>
      <c r="V880" s="36"/>
      <c r="W880" s="129"/>
      <c r="X880" s="36"/>
      <c r="Y880" s="36"/>
      <c r="Z880" s="36"/>
      <c r="AA880" s="125" t="s">
        <v>121</v>
      </c>
      <c r="AB880" s="173">
        <v>45965</v>
      </c>
      <c r="AC880" s="119" t="s">
        <v>4456</v>
      </c>
      <c r="AD880" s="36">
        <f>IF(NOT(ISBLANK(AC880)), C880, "")</f>
        <v>50472498</v>
      </c>
      <c r="AE880" s="36" t="str">
        <f>IF(NOT(ISBLANK(AC880)), E880, "")</f>
        <v>F-607694-1038.TK.KWVE20BNL-ISB-WW1</v>
      </c>
      <c r="AF880" s="36">
        <v>1285</v>
      </c>
      <c r="AG880" s="120">
        <f>AF880*H880</f>
        <v>7144.5999999999995</v>
      </c>
      <c r="AH880" s="36"/>
      <c r="AI880" s="124"/>
      <c r="AJ880" s="122" t="s">
        <v>4473</v>
      </c>
      <c r="AK880" s="129" t="str">
        <f ca="1">IF(AB880="", IF(K880 &lt; TODAY(), "Late", ""), IF(AB880 &lt;= K880 + 2, "On Time", "Late"))</f>
        <v>On Time</v>
      </c>
      <c r="AL880" s="268" t="str">
        <f>TEXT(K880,"mmmm")</f>
        <v>November</v>
      </c>
      <c r="AM880" s="133">
        <f>YEAR(Table1[[#This Row],[ETA
As requested
dd.mm.yyyy]])</f>
        <v>2025</v>
      </c>
      <c r="AN880" s="191"/>
    </row>
    <row r="881" spans="1:40" hidden="1">
      <c r="A881" s="123" t="s">
        <v>83</v>
      </c>
      <c r="B881" s="36" t="s">
        <v>1170</v>
      </c>
      <c r="C881" s="117">
        <v>50472498</v>
      </c>
      <c r="D881" s="165">
        <v>45952</v>
      </c>
      <c r="E881" s="117" t="s">
        <v>97</v>
      </c>
      <c r="F881" s="36" t="str">
        <f>IFERROR(VLOOKUP(Table1[[#This Row],[Part Number]],DATABASE_FG!$C$6:D10870,2,FALSE)," ")</f>
        <v>300921586-8011</v>
      </c>
      <c r="G881" s="117" t="str">
        <f>IFERROR(_xlfn.XLOOKUP(Table1[[#This Row],[Part Number]],Table3[Part number],Table3[Drawing
 Revision]),"")</f>
        <v>AB</v>
      </c>
      <c r="H881" s="118" cm="1">
        <f t="array" ref="H881">IFERROR(INDEX(PDB!$C:$AT,MATCH(E881,PDB!$B:$B,0),MATCH(YEAR(K881),0+PDB!$C$1:$AT$1,0)),"")</f>
        <v>5.56</v>
      </c>
      <c r="I881" s="36">
        <f>1800-1285</f>
        <v>515</v>
      </c>
      <c r="J881" s="125">
        <f>IFERROR(Table1[[#This Row],[Quantity]]*Table1[[#This Row],[Price/Unit
EUR]]," ")</f>
        <v>2863.3999999999996</v>
      </c>
      <c r="K881" s="126">
        <v>45980</v>
      </c>
      <c r="L881" s="36">
        <f>WEEKNUM(Table1[[#This Row],[ETA
As requested
dd.mm.yyyy]])</f>
        <v>47</v>
      </c>
      <c r="M881" s="36">
        <f>YEAR(Table1[[#This Row],[ETA
As requested
dd.mm.yyyy]])</f>
        <v>2025</v>
      </c>
      <c r="N881" s="36">
        <f>IFERROR(INDEX(DATABASE_FG!$H$5:$H$367, MATCH(E881, DATABASE_FG!$C$5:$C$367, 0)), " ")</f>
        <v>0</v>
      </c>
      <c r="O881" s="129" t="str">
        <f>IF(E881&lt;&gt;"", _xlfn.XLOOKUP(E881, DATABASE_FG!C:C, DATABASE_FG!F:F), " ")</f>
        <v>Ghidaje</v>
      </c>
      <c r="P881" s="129">
        <f>IFERROR(INDEX(DATABASE_FG!$G$5:$G$367, MATCH(E881, DATABASE_FG!$C$5:$C$367, 0)), "Not Found")</f>
        <v>0</v>
      </c>
      <c r="Q881" s="36"/>
      <c r="R881" s="125" t="s">
        <v>678</v>
      </c>
      <c r="S881" s="123">
        <f>IFERROR(INDEX(DATABASE_FG!$L$5:$L$367, MATCH(E881, DATABASE_FG!$C$5:$C$367, 0)), " ")</f>
        <v>42</v>
      </c>
      <c r="T881" s="36" t="s">
        <v>679</v>
      </c>
      <c r="U881" s="36"/>
      <c r="V881" s="36"/>
      <c r="W881" s="129"/>
      <c r="X881" s="36"/>
      <c r="Y881" s="36"/>
      <c r="Z881" s="36"/>
      <c r="AA881" s="125" t="s">
        <v>3</v>
      </c>
      <c r="AB881" s="173"/>
      <c r="AC881" s="119"/>
      <c r="AD881" s="36" t="str">
        <f t="shared" si="100"/>
        <v/>
      </c>
      <c r="AE881" s="36" t="str">
        <f t="shared" si="101"/>
        <v/>
      </c>
      <c r="AF881" s="36"/>
      <c r="AG881" s="120">
        <f t="shared" si="103"/>
        <v>0</v>
      </c>
      <c r="AH881" s="36"/>
      <c r="AI881" s="124"/>
      <c r="AJ881" s="122"/>
      <c r="AK881" s="129" t="str">
        <f t="shared" ca="1" si="102"/>
        <v/>
      </c>
      <c r="AL881" s="268" t="str">
        <f t="shared" si="104"/>
        <v>November</v>
      </c>
      <c r="AM881" s="133">
        <f>YEAR(Table1[[#This Row],[ETA
As requested
dd.mm.yyyy]])</f>
        <v>2025</v>
      </c>
    </row>
    <row r="882" spans="1:40" hidden="1">
      <c r="A882" s="123" t="s">
        <v>83</v>
      </c>
      <c r="B882" s="36" t="s">
        <v>1170</v>
      </c>
      <c r="C882" s="117">
        <v>50472498</v>
      </c>
      <c r="D882" s="165">
        <v>45952</v>
      </c>
      <c r="E882" s="117" t="s">
        <v>97</v>
      </c>
      <c r="F882" s="36" t="str">
        <f>IFERROR(VLOOKUP(Table1[[#This Row],[Part Number]],DATABASE_FG!$C$6:D10871,2,FALSE)," ")</f>
        <v>300921586-8011</v>
      </c>
      <c r="G882" s="117" t="str">
        <f>IFERROR(_xlfn.XLOOKUP(Table1[[#This Row],[Part Number]],Table3[Part number],Table3[Drawing
 Revision]),"")</f>
        <v>AB</v>
      </c>
      <c r="H882" s="118" cm="1">
        <f t="array" ref="H882">IFERROR(INDEX(PDB!$C:$AT,MATCH(E882,PDB!$B:$B,0),MATCH(YEAR(K882),0+PDB!$C$1:$AT$1,0)),"")</f>
        <v>5.56</v>
      </c>
      <c r="I882" s="36">
        <v>1800</v>
      </c>
      <c r="J882" s="125">
        <f>IFERROR(Table1[[#This Row],[Quantity]]*Table1[[#This Row],[Price/Unit
EUR]]," ")</f>
        <v>10008</v>
      </c>
      <c r="K882" s="126">
        <v>45987</v>
      </c>
      <c r="L882" s="36">
        <f>WEEKNUM(Table1[[#This Row],[ETA
As requested
dd.mm.yyyy]])</f>
        <v>48</v>
      </c>
      <c r="M882" s="36">
        <f>YEAR(Table1[[#This Row],[ETA
As requested
dd.mm.yyyy]])</f>
        <v>2025</v>
      </c>
      <c r="N882" s="36">
        <f>IFERROR(INDEX(DATABASE_FG!$H$5:$H$367, MATCH(E882, DATABASE_FG!$C$5:$C$367, 0)), " ")</f>
        <v>0</v>
      </c>
      <c r="O882" s="129" t="str">
        <f>IF(E882&lt;&gt;"", _xlfn.XLOOKUP(E882, DATABASE_FG!C:C, DATABASE_FG!F:F), " ")</f>
        <v>Ghidaje</v>
      </c>
      <c r="P882" s="129">
        <f>IFERROR(INDEX(DATABASE_FG!$G$5:$G$367, MATCH(E882, DATABASE_FG!$C$5:$C$367, 0)), "Not Found")</f>
        <v>0</v>
      </c>
      <c r="Q882" s="36"/>
      <c r="R882" s="125" t="s">
        <v>678</v>
      </c>
      <c r="S882" s="123">
        <f>Table1[[#This Row],[Quantity]]/48</f>
        <v>37.5</v>
      </c>
      <c r="T882" s="36"/>
      <c r="U882" s="36"/>
      <c r="V882" s="36"/>
      <c r="W882" s="129"/>
      <c r="X882" s="36"/>
      <c r="Y882" s="36"/>
      <c r="Z882" s="36"/>
      <c r="AA882" s="125" t="s">
        <v>3</v>
      </c>
      <c r="AB882" s="173"/>
      <c r="AC882" s="119"/>
      <c r="AD882" s="36" t="str">
        <f t="shared" si="100"/>
        <v/>
      </c>
      <c r="AE882" s="36" t="str">
        <f t="shared" si="101"/>
        <v/>
      </c>
      <c r="AF882" s="36"/>
      <c r="AG882" s="120">
        <f t="shared" si="103"/>
        <v>0</v>
      </c>
      <c r="AH882" s="36"/>
      <c r="AI882" s="124"/>
      <c r="AJ882" s="122"/>
      <c r="AK882" s="129" t="str">
        <f t="shared" ca="1" si="102"/>
        <v/>
      </c>
      <c r="AL882" s="268" t="str">
        <f t="shared" si="104"/>
        <v>November</v>
      </c>
      <c r="AM882" s="133">
        <f>YEAR(Table1[[#This Row],[ETA
As requested
dd.mm.yyyy]])</f>
        <v>2025</v>
      </c>
      <c r="AN882" s="191"/>
    </row>
    <row r="883" spans="1:40" hidden="1">
      <c r="A883" s="123" t="s">
        <v>83</v>
      </c>
      <c r="B883" s="36" t="s">
        <v>2464</v>
      </c>
      <c r="C883" s="117"/>
      <c r="D883" s="165">
        <v>45777</v>
      </c>
      <c r="E883" s="117" t="s">
        <v>97</v>
      </c>
      <c r="F883" s="36" t="str">
        <f>IFERROR(VLOOKUP(Table1[[#This Row],[Part Number]],DATABASE_FG!$C$6:D10872,2,FALSE)," ")</f>
        <v>300921586-8011</v>
      </c>
      <c r="G883" s="117" t="str">
        <f>IFERROR(_xlfn.XLOOKUP(Table1[[#This Row],[Part Number]],Table3[Part number],Table3[Drawing
 Revision]),"")</f>
        <v>AB</v>
      </c>
      <c r="H883" s="118" cm="1">
        <f t="array" ref="H883">IFERROR(INDEX(PDB!$C:$AT,MATCH(E883,PDB!$B:$B,0),MATCH(YEAR(K883),0+PDB!$C$1:$AT$1,0)),"")</f>
        <v>5.56</v>
      </c>
      <c r="I883" s="36">
        <v>700</v>
      </c>
      <c r="J883" s="125">
        <f>IFERROR(Table1[[#This Row],[Quantity]]*Table1[[#This Row],[Price/Unit
EUR]]," ")</f>
        <v>3891.9999999999995</v>
      </c>
      <c r="K883" s="126">
        <v>46012</v>
      </c>
      <c r="L883" s="36">
        <f>WEEKNUM(Table1[[#This Row],[ETA
As requested
dd.mm.yyyy]])</f>
        <v>52</v>
      </c>
      <c r="M883" s="36">
        <f>YEAR(Table1[[#This Row],[ETA
As requested
dd.mm.yyyy]])</f>
        <v>2025</v>
      </c>
      <c r="N883" s="36">
        <f>IFERROR(INDEX(DATABASE_FG!$H$5:$H$367, MATCH(E883, DATABASE_FG!$C$5:$C$367, 0)), " ")</f>
        <v>0</v>
      </c>
      <c r="O883" s="129" t="str">
        <f>IF(E883&lt;&gt;"", _xlfn.XLOOKUP(E883, DATABASE_FG!C:C, DATABASE_FG!F:F), " ")</f>
        <v>Ghidaje</v>
      </c>
      <c r="P883" s="129">
        <f>IFERROR(INDEX(DATABASE_FG!$G$5:$G$367, MATCH(E883, DATABASE_FG!$C$5:$C$367, 0)), "Not Found")</f>
        <v>0</v>
      </c>
      <c r="Q883" s="36"/>
      <c r="R883" s="125" t="s">
        <v>678</v>
      </c>
      <c r="S883" s="123">
        <f>IFERROR(INDEX(DATABASE_FG!$L$5:$L$367, MATCH(E883, DATABASE_FG!$C$5:$C$367, 0)), " ")</f>
        <v>42</v>
      </c>
      <c r="T883" s="36" t="s">
        <v>679</v>
      </c>
      <c r="U883" s="36"/>
      <c r="V883" s="36"/>
      <c r="W883" s="129"/>
      <c r="X883" s="36"/>
      <c r="Y883" s="36"/>
      <c r="Z883" s="36"/>
      <c r="AA883" s="125" t="s">
        <v>3</v>
      </c>
      <c r="AB883" s="173"/>
      <c r="AC883" s="119"/>
      <c r="AD883" s="36" t="str">
        <f t="shared" ref="AD883:AD946" si="110">IF(NOT(ISBLANK(AC883)), C883, "")</f>
        <v/>
      </c>
      <c r="AE883" s="36" t="str">
        <f t="shared" ref="AE883:AE946" si="111">IF(NOT(ISBLANK(AC883)), E883, "")</f>
        <v/>
      </c>
      <c r="AF883" s="36"/>
      <c r="AG883" s="120">
        <f t="shared" si="103"/>
        <v>0</v>
      </c>
      <c r="AH883" s="36"/>
      <c r="AI883" s="124"/>
      <c r="AJ883" s="122"/>
      <c r="AK883" s="129" t="str">
        <f t="shared" ca="1" si="102"/>
        <v/>
      </c>
      <c r="AL883" s="268" t="str">
        <f t="shared" si="104"/>
        <v>December</v>
      </c>
      <c r="AM883" s="133">
        <f>YEAR(Table1[[#This Row],[ETA
As requested
dd.mm.yyyy]])</f>
        <v>2025</v>
      </c>
    </row>
    <row r="884" spans="1:40" hidden="1">
      <c r="A884" s="123" t="s">
        <v>83</v>
      </c>
      <c r="B884" s="36" t="s">
        <v>2464</v>
      </c>
      <c r="C884" s="117"/>
      <c r="D884" s="165">
        <v>45777</v>
      </c>
      <c r="E884" s="117" t="s">
        <v>97</v>
      </c>
      <c r="F884" s="36" t="str">
        <f>IFERROR(VLOOKUP(Table1[[#This Row],[Part Number]],DATABASE_FG!$C$6:D10873,2,FALSE)," ")</f>
        <v>300921586-8011</v>
      </c>
      <c r="G884" s="117" t="str">
        <f>IFERROR(_xlfn.XLOOKUP(Table1[[#This Row],[Part Number]],Table3[Part number],Table3[Drawing
 Revision]),"")</f>
        <v>AB</v>
      </c>
      <c r="H884" s="118" cm="1">
        <f t="array" ref="H884">IFERROR(INDEX(PDB!$C:$AT,MATCH(E884,PDB!$B:$B,0),MATCH(YEAR(K884),0+PDB!$C$1:$AT$1,0)),"")</f>
        <v>5.56</v>
      </c>
      <c r="I884" s="36">
        <v>700</v>
      </c>
      <c r="J884" s="125">
        <f>IFERROR(Table1[[#This Row],[Quantity]]*Table1[[#This Row],[Price/Unit
EUR]]," ")</f>
        <v>3891.9999999999995</v>
      </c>
      <c r="K884" s="126">
        <v>46021</v>
      </c>
      <c r="L884" s="36">
        <f>WEEKNUM(Table1[[#This Row],[ETA
As requested
dd.mm.yyyy]])</f>
        <v>53</v>
      </c>
      <c r="M884" s="36">
        <f>YEAR(Table1[[#This Row],[ETA
As requested
dd.mm.yyyy]])</f>
        <v>2025</v>
      </c>
      <c r="N884" s="36">
        <f>IFERROR(INDEX(DATABASE_FG!$H$5:$H$367, MATCH(E884, DATABASE_FG!$C$5:$C$367, 0)), " ")</f>
        <v>0</v>
      </c>
      <c r="O884" s="129" t="str">
        <f>IF(E884&lt;&gt;"", _xlfn.XLOOKUP(E884, DATABASE_FG!C:C, DATABASE_FG!F:F), " ")</f>
        <v>Ghidaje</v>
      </c>
      <c r="P884" s="129">
        <f>IFERROR(INDEX(DATABASE_FG!$G$5:$G$367, MATCH(E884, DATABASE_FG!$C$5:$C$367, 0)), "Not Found")</f>
        <v>0</v>
      </c>
      <c r="Q884" s="36"/>
      <c r="R884" s="125" t="s">
        <v>678</v>
      </c>
      <c r="S884" s="123">
        <f>IFERROR(INDEX(DATABASE_FG!$L$5:$L$367, MATCH(E884, DATABASE_FG!$C$5:$C$367, 0)), " ")</f>
        <v>42</v>
      </c>
      <c r="T884" s="36" t="s">
        <v>679</v>
      </c>
      <c r="U884" s="36"/>
      <c r="V884" s="36"/>
      <c r="W884" s="129"/>
      <c r="X884" s="36"/>
      <c r="Y884" s="36"/>
      <c r="Z884" s="36"/>
      <c r="AA884" s="125" t="s">
        <v>3</v>
      </c>
      <c r="AB884" s="173"/>
      <c r="AC884" s="119"/>
      <c r="AD884" s="36" t="str">
        <f t="shared" si="110"/>
        <v/>
      </c>
      <c r="AE884" s="36" t="str">
        <f t="shared" si="111"/>
        <v/>
      </c>
      <c r="AF884" s="36"/>
      <c r="AG884" s="120">
        <f t="shared" si="103"/>
        <v>0</v>
      </c>
      <c r="AH884" s="36"/>
      <c r="AI884" s="124"/>
      <c r="AJ884" s="122"/>
      <c r="AK884" s="129" t="str">
        <f t="shared" ca="1" si="102"/>
        <v/>
      </c>
      <c r="AL884" s="268" t="str">
        <f t="shared" si="104"/>
        <v>December</v>
      </c>
      <c r="AM884" s="133">
        <f>YEAR(Table1[[#This Row],[ETA
As requested
dd.mm.yyyy]])</f>
        <v>2025</v>
      </c>
    </row>
    <row r="885" spans="1:40" hidden="1">
      <c r="A885" s="123" t="s">
        <v>83</v>
      </c>
      <c r="B885" s="36" t="s">
        <v>1170</v>
      </c>
      <c r="C885" s="117">
        <v>36488943</v>
      </c>
      <c r="D885" s="165">
        <v>45376</v>
      </c>
      <c r="E885" s="117" t="s">
        <v>1820</v>
      </c>
      <c r="F885" s="36" t="str">
        <f>IFERROR(VLOOKUP(Table1[[#This Row],[Part Number]],DATABASE_FG!$C$6:D10874,2,FALSE)," ")</f>
        <v>301277508-8011</v>
      </c>
      <c r="G885" s="117" t="str">
        <f>IFERROR(_xlfn.XLOOKUP(Table1[[#This Row],[Part Number]],Table3[Part number],Table3[Drawing
 Revision]),"")</f>
        <v>AB</v>
      </c>
      <c r="H885" s="118" cm="1">
        <f t="array" ref="H885">IFERROR(INDEX(PDB!$C:$AT,MATCH(E885,PDB!$B:$B,0),MATCH(YEAR(K885),0+PDB!$C$1:$AT$1,0)),"")</f>
        <v>2.86</v>
      </c>
      <c r="I885" s="36">
        <v>100</v>
      </c>
      <c r="J885" s="125">
        <f>IFERROR(Table1[[#This Row],[Quantity]]*Table1[[#This Row],[Price/Unit
EUR]]," ")</f>
        <v>286</v>
      </c>
      <c r="K885" s="126">
        <v>45484</v>
      </c>
      <c r="L885" s="36">
        <f>WEEKNUM(Table1[[#This Row],[ETA
As requested
dd.mm.yyyy]])</f>
        <v>28</v>
      </c>
      <c r="M885" s="36">
        <f>YEAR(Table1[[#This Row],[ETA
As requested
dd.mm.yyyy]])</f>
        <v>2024</v>
      </c>
      <c r="N885" s="36">
        <f>IFERROR(INDEX(DATABASE_FG!$H$5:$H$367, MATCH(E885, DATABASE_FG!$C$5:$C$367, 0)), " ")</f>
        <v>0</v>
      </c>
      <c r="O885" s="129" t="str">
        <f>IF(E885&lt;&gt;"", _xlfn.XLOOKUP(E885, DATABASE_FG!C:C, DATABASE_FG!F:F), " ")</f>
        <v>Danfoss</v>
      </c>
      <c r="P885" s="129">
        <f>IFERROR(INDEX(DATABASE_FG!$G$5:$G$367, MATCH(E885, DATABASE_FG!$C$5:$C$367, 0)), "Not Found")</f>
        <v>0</v>
      </c>
      <c r="Q885" s="36"/>
      <c r="R885" s="125" t="s">
        <v>680</v>
      </c>
      <c r="S885" s="123">
        <f>IFERROR(INDEX(DATABASE_FG!$L$5:$L$367, MATCH(E885, DATABASE_FG!$C$5:$C$367, 0)), " ")</f>
        <v>42</v>
      </c>
      <c r="T885" s="36" t="s">
        <v>679</v>
      </c>
      <c r="U885" s="36"/>
      <c r="V885" s="36"/>
      <c r="W885" s="129"/>
      <c r="X885" s="36"/>
      <c r="Y885" s="36"/>
      <c r="Z885" s="36" t="s">
        <v>1822</v>
      </c>
      <c r="AA885" s="125" t="s">
        <v>121</v>
      </c>
      <c r="AB885" s="173">
        <v>45484</v>
      </c>
      <c r="AC885" s="119">
        <v>2024837</v>
      </c>
      <c r="AD885" s="36">
        <f t="shared" si="110"/>
        <v>36488943</v>
      </c>
      <c r="AE885" s="36" t="str">
        <f t="shared" si="111"/>
        <v>F-625593.03-0005.PKO-WW1</v>
      </c>
      <c r="AF885" s="36">
        <v>100</v>
      </c>
      <c r="AG885" s="120">
        <f t="shared" si="103"/>
        <v>286</v>
      </c>
      <c r="AH885" s="36"/>
      <c r="AI885" s="124"/>
      <c r="AJ885" s="122" t="s">
        <v>1823</v>
      </c>
      <c r="AK885" s="129" t="str">
        <f t="shared" ca="1" si="102"/>
        <v>On Time</v>
      </c>
      <c r="AL885" s="268" t="str">
        <f t="shared" si="104"/>
        <v>July</v>
      </c>
      <c r="AM885" s="133">
        <f>YEAR(Table1[[#This Row],[ETA
As requested
dd.mm.yyyy]])</f>
        <v>2024</v>
      </c>
    </row>
    <row r="886" spans="1:40" hidden="1">
      <c r="A886" s="123" t="s">
        <v>83</v>
      </c>
      <c r="B886" s="36" t="s">
        <v>1170</v>
      </c>
      <c r="C886" s="117">
        <v>36488705</v>
      </c>
      <c r="D886" s="165">
        <v>45376</v>
      </c>
      <c r="E886" s="117" t="s">
        <v>1820</v>
      </c>
      <c r="F886" s="36" t="str">
        <f>IFERROR(VLOOKUP(Table1[[#This Row],[Part Number]],DATABASE_FG!$C$6:D10875,2,FALSE)," ")</f>
        <v>301277508-8011</v>
      </c>
      <c r="G886" s="117" t="str">
        <f>IFERROR(_xlfn.XLOOKUP(Table1[[#This Row],[Part Number]],Table3[Part number],Table3[Drawing
 Revision]),"")</f>
        <v>AB</v>
      </c>
      <c r="H886" s="118" cm="1">
        <f t="array" ref="H886">IFERROR(INDEX(PDB!$C:$AT,MATCH(E886,PDB!$B:$B,0),MATCH(YEAR(K886),0+PDB!$C$1:$AT$1,0)),"")</f>
        <v>2.86</v>
      </c>
      <c r="I886" s="36">
        <v>5</v>
      </c>
      <c r="J886" s="125">
        <f>IFERROR(Table1[[#This Row],[Quantity]]*Table1[[#This Row],[Price/Unit
EUR]]," ")</f>
        <v>14.299999999999999</v>
      </c>
      <c r="K886" s="126">
        <v>45484</v>
      </c>
      <c r="L886" s="36">
        <f>WEEKNUM(Table1[[#This Row],[ETA
As requested
dd.mm.yyyy]])</f>
        <v>28</v>
      </c>
      <c r="M886" s="36">
        <f>YEAR(Table1[[#This Row],[ETA
As requested
dd.mm.yyyy]])</f>
        <v>2024</v>
      </c>
      <c r="N886" s="36">
        <f>IFERROR(INDEX(DATABASE_FG!$H$5:$H$367, MATCH(E886, DATABASE_FG!$C$5:$C$367, 0)), " ")</f>
        <v>0</v>
      </c>
      <c r="O886" s="129" t="str">
        <f>IF(E886&lt;&gt;"", _xlfn.XLOOKUP(E886, DATABASE_FG!C:C, DATABASE_FG!F:F), " ")</f>
        <v>Danfoss</v>
      </c>
      <c r="P886" s="129">
        <f>IFERROR(INDEX(DATABASE_FG!$G$5:$G$367, MATCH(E886, DATABASE_FG!$C$5:$C$367, 0)), "Not Found")</f>
        <v>0</v>
      </c>
      <c r="Q886" s="36"/>
      <c r="R886" s="125" t="s">
        <v>680</v>
      </c>
      <c r="S886" s="123">
        <f>IFERROR(INDEX(DATABASE_FG!$L$5:$L$367, MATCH(E886, DATABASE_FG!$C$5:$C$367, 0)), " ")</f>
        <v>42</v>
      </c>
      <c r="T886" s="36" t="s">
        <v>679</v>
      </c>
      <c r="U886" s="36"/>
      <c r="V886" s="36"/>
      <c r="W886" s="129"/>
      <c r="X886" s="36"/>
      <c r="Y886" s="36"/>
      <c r="Z886" s="36" t="s">
        <v>1824</v>
      </c>
      <c r="AA886" s="125" t="s">
        <v>121</v>
      </c>
      <c r="AB886" s="173">
        <v>45488</v>
      </c>
      <c r="AC886" s="119">
        <v>2024853</v>
      </c>
      <c r="AD886" s="36">
        <f t="shared" si="110"/>
        <v>36488705</v>
      </c>
      <c r="AE886" s="36" t="str">
        <f t="shared" si="111"/>
        <v>F-625593.03-0005.PKO-WW1</v>
      </c>
      <c r="AF886" s="36">
        <v>5</v>
      </c>
      <c r="AG886" s="120">
        <f t="shared" si="103"/>
        <v>14.299999999999999</v>
      </c>
      <c r="AH886" s="36"/>
      <c r="AI886" s="124" t="s">
        <v>1825</v>
      </c>
      <c r="AJ886" s="122" t="s">
        <v>1826</v>
      </c>
      <c r="AK886" s="129" t="str">
        <f t="shared" ca="1" si="102"/>
        <v>Late</v>
      </c>
      <c r="AL886" s="268" t="str">
        <f t="shared" si="104"/>
        <v>July</v>
      </c>
      <c r="AM886" s="133">
        <f>YEAR(Table1[[#This Row],[ETA
As requested
dd.mm.yyyy]])</f>
        <v>2024</v>
      </c>
    </row>
    <row r="887" spans="1:40" hidden="1">
      <c r="A887" s="123" t="s">
        <v>83</v>
      </c>
      <c r="B887" s="36" t="s">
        <v>1170</v>
      </c>
      <c r="C887" s="117">
        <v>37977745</v>
      </c>
      <c r="D887" s="165">
        <v>45596</v>
      </c>
      <c r="E887" s="117" t="s">
        <v>1820</v>
      </c>
      <c r="F887" s="36" t="str">
        <f>IFERROR(VLOOKUP(Table1[[#This Row],[Part Number]],DATABASE_FG!$C$6:D10876,2,FALSE)," ")</f>
        <v>301277508-8011</v>
      </c>
      <c r="G887" s="117" t="str">
        <f>IFERROR(_xlfn.XLOOKUP(Table1[[#This Row],[Part Number]],Table3[Part number],Table3[Drawing
 Revision]),"")</f>
        <v>AB</v>
      </c>
      <c r="H887" s="118" cm="1">
        <f t="array" ref="H887">IFERROR(INDEX(PDB!$C:$AT,MATCH(E887,PDB!$B:$B,0),MATCH(YEAR(K887),0+PDB!$C$1:$AT$1,0)),"")</f>
        <v>2.86</v>
      </c>
      <c r="I887" s="36">
        <v>1022</v>
      </c>
      <c r="J887" s="125">
        <f>IFERROR(Table1[[#This Row],[Quantity]]*Table1[[#This Row],[Price/Unit
EUR]]," ")</f>
        <v>2922.92</v>
      </c>
      <c r="K887" s="126">
        <v>45611</v>
      </c>
      <c r="L887" s="36">
        <f>WEEKNUM(Table1[[#This Row],[ETA
As requested
dd.mm.yyyy]])</f>
        <v>46</v>
      </c>
      <c r="M887" s="36">
        <f>YEAR(Table1[[#This Row],[ETA
As requested
dd.mm.yyyy]])</f>
        <v>2024</v>
      </c>
      <c r="N887" s="36">
        <f>IFERROR(INDEX(DATABASE_FG!$H$5:$H$367, MATCH(E887, DATABASE_FG!$C$5:$C$367, 0)), " ")</f>
        <v>0</v>
      </c>
      <c r="O887" s="129" t="str">
        <f>IF(E887&lt;&gt;"", _xlfn.XLOOKUP(E887, DATABASE_FG!C:C, DATABASE_FG!F:F), " ")</f>
        <v>Danfoss</v>
      </c>
      <c r="P887" s="129">
        <f>IFERROR(INDEX(DATABASE_FG!$G$5:$G$367, MATCH(E887, DATABASE_FG!$C$5:$C$367, 0)), "Not Found")</f>
        <v>0</v>
      </c>
      <c r="Q887" s="36"/>
      <c r="R887" s="125" t="s">
        <v>680</v>
      </c>
      <c r="S887" s="123">
        <f>IFERROR(INDEX(DATABASE_FG!$L$5:$L$367, MATCH(E887, DATABASE_FG!$C$5:$C$367, 0)), " ")</f>
        <v>42</v>
      </c>
      <c r="T887" s="36"/>
      <c r="U887" s="36"/>
      <c r="V887" s="36"/>
      <c r="W887" s="129"/>
      <c r="X887" s="36"/>
      <c r="Y887" s="36"/>
      <c r="Z887" s="36"/>
      <c r="AA887" s="125" t="s">
        <v>121</v>
      </c>
      <c r="AB887" s="172">
        <v>45604</v>
      </c>
      <c r="AC887" s="119">
        <v>202401355</v>
      </c>
      <c r="AD887" s="36">
        <f t="shared" si="110"/>
        <v>37977745</v>
      </c>
      <c r="AE887" s="36" t="str">
        <f t="shared" si="111"/>
        <v>F-625593.03-0005.PKO-WW1</v>
      </c>
      <c r="AF887" s="36">
        <v>1022</v>
      </c>
      <c r="AG887" s="120">
        <f t="shared" si="103"/>
        <v>2922.92</v>
      </c>
      <c r="AH887" s="36"/>
      <c r="AI887" s="124" t="s">
        <v>2597</v>
      </c>
      <c r="AJ887" s="122" t="s">
        <v>2598</v>
      </c>
      <c r="AK887" s="129" t="str">
        <f t="shared" ca="1" si="102"/>
        <v>On Time</v>
      </c>
      <c r="AL887" s="268" t="str">
        <f t="shared" si="104"/>
        <v>November</v>
      </c>
      <c r="AM887" s="133">
        <f>YEAR(Table1[[#This Row],[ETA
As requested
dd.mm.yyyy]])</f>
        <v>2024</v>
      </c>
    </row>
    <row r="888" spans="1:40" hidden="1">
      <c r="A888" s="123" t="s">
        <v>83</v>
      </c>
      <c r="B888" s="36" t="s">
        <v>1170</v>
      </c>
      <c r="C888" s="117">
        <v>35698486</v>
      </c>
      <c r="D888" s="165">
        <v>45589</v>
      </c>
      <c r="E888" s="117" t="s">
        <v>1820</v>
      </c>
      <c r="F888" s="36" t="str">
        <f>IFERROR(VLOOKUP(Table1[[#This Row],[Part Number]],DATABASE_FG!$C$6:D10877,2,FALSE)," ")</f>
        <v>301277508-8011</v>
      </c>
      <c r="G888" s="117" t="str">
        <f>IFERROR(_xlfn.XLOOKUP(Table1[[#This Row],[Part Number]],Table3[Part number],Table3[Drawing
 Revision]),"")</f>
        <v>AB</v>
      </c>
      <c r="H888" s="118" cm="1">
        <f t="array" ref="H888">IFERROR(INDEX(PDB!$C:$AT,MATCH(E888,PDB!$B:$B,0),MATCH(YEAR(K888),0+PDB!$C$1:$AT$1,0)),"")</f>
        <v>2.86</v>
      </c>
      <c r="I888" s="36">
        <v>2000</v>
      </c>
      <c r="J888" s="125">
        <f>IFERROR(Table1[[#This Row],[Quantity]]*Table1[[#This Row],[Price/Unit
EUR]]," ")</f>
        <v>5720</v>
      </c>
      <c r="K888" s="126">
        <v>45614</v>
      </c>
      <c r="L888" s="36">
        <f>WEEKNUM(Table1[[#This Row],[ETA
As requested
dd.mm.yyyy]])</f>
        <v>47</v>
      </c>
      <c r="M888" s="36">
        <f>YEAR(Table1[[#This Row],[ETA
As requested
dd.mm.yyyy]])</f>
        <v>2024</v>
      </c>
      <c r="N888" s="36">
        <f>IFERROR(INDEX(DATABASE_FG!$H$5:$H$367, MATCH(E888, DATABASE_FG!$C$5:$C$367, 0)), " ")</f>
        <v>0</v>
      </c>
      <c r="O888" s="129" t="str">
        <f>IF(E888&lt;&gt;"", _xlfn.XLOOKUP(E888, DATABASE_FG!C:C, DATABASE_FG!F:F), " ")</f>
        <v>Danfoss</v>
      </c>
      <c r="P888" s="129">
        <f>IFERROR(INDEX(DATABASE_FG!$G$5:$G$367, MATCH(E888, DATABASE_FG!$C$5:$C$367, 0)), "Not Found")</f>
        <v>0</v>
      </c>
      <c r="Q888" s="36"/>
      <c r="R888" s="125" t="s">
        <v>680</v>
      </c>
      <c r="S888" s="123">
        <f>IFERROR(INDEX(DATABASE_FG!$L$5:$L$367, MATCH(E888, DATABASE_FG!$C$5:$C$367, 0)), " ")</f>
        <v>42</v>
      </c>
      <c r="T888" s="36" t="s">
        <v>679</v>
      </c>
      <c r="U888" s="36"/>
      <c r="V888" s="36"/>
      <c r="W888" s="129"/>
      <c r="X888" s="36"/>
      <c r="Y888" s="36" t="s">
        <v>2608</v>
      </c>
      <c r="Z888" s="36"/>
      <c r="AA888" s="125" t="s">
        <v>121</v>
      </c>
      <c r="AB888" s="172">
        <v>45805</v>
      </c>
      <c r="AC888" s="119" t="s">
        <v>1751</v>
      </c>
      <c r="AD888" s="36">
        <f t="shared" si="110"/>
        <v>35698486</v>
      </c>
      <c r="AE888" s="36" t="str">
        <f t="shared" si="111"/>
        <v>F-625593.03-0005.PKO-WW1</v>
      </c>
      <c r="AF888" s="36">
        <v>0</v>
      </c>
      <c r="AG888" s="120">
        <f t="shared" si="103"/>
        <v>0</v>
      </c>
      <c r="AH888" s="36"/>
      <c r="AI888" s="124"/>
      <c r="AJ888" s="122"/>
      <c r="AK888" s="129" t="str">
        <f t="shared" ca="1" si="102"/>
        <v>Late</v>
      </c>
      <c r="AL888" s="268" t="str">
        <f t="shared" si="104"/>
        <v>November</v>
      </c>
      <c r="AM888" s="133">
        <f>YEAR(Table1[[#This Row],[ETA
As requested
dd.mm.yyyy]])</f>
        <v>2024</v>
      </c>
    </row>
    <row r="889" spans="1:40" hidden="1">
      <c r="A889" s="123" t="s">
        <v>83</v>
      </c>
      <c r="B889" s="36" t="s">
        <v>1170</v>
      </c>
      <c r="C889" s="117">
        <v>35545314</v>
      </c>
      <c r="D889" s="165">
        <v>45589</v>
      </c>
      <c r="E889" s="117" t="s">
        <v>1820</v>
      </c>
      <c r="F889" s="36" t="str">
        <f>IFERROR(VLOOKUP(Table1[[#This Row],[Part Number]],DATABASE_FG!$C$6:D10878,2,FALSE)," ")</f>
        <v>301277508-8011</v>
      </c>
      <c r="G889" s="117" t="str">
        <f>IFERROR(_xlfn.XLOOKUP(Table1[[#This Row],[Part Number]],Table3[Part number],Table3[Drawing
 Revision]),"")</f>
        <v>AB</v>
      </c>
      <c r="H889" s="118" cm="1">
        <f t="array" ref="H889">IFERROR(INDEX(PDB!$C:$AT,MATCH(E889,PDB!$B:$B,0),MATCH(YEAR(K889),0+PDB!$C$1:$AT$1,0)),"")</f>
        <v>2.86</v>
      </c>
      <c r="I889" s="36">
        <v>558</v>
      </c>
      <c r="J889" s="125">
        <f>IFERROR(Table1[[#This Row],[Quantity]]*Table1[[#This Row],[Price/Unit
EUR]]," ")</f>
        <v>1595.8799999999999</v>
      </c>
      <c r="K889" s="126">
        <v>45614</v>
      </c>
      <c r="L889" s="36">
        <f>WEEKNUM(Table1[[#This Row],[ETA
As requested
dd.mm.yyyy]])</f>
        <v>47</v>
      </c>
      <c r="M889" s="36">
        <f>YEAR(Table1[[#This Row],[ETA
As requested
dd.mm.yyyy]])</f>
        <v>2024</v>
      </c>
      <c r="N889" s="36">
        <f>IFERROR(INDEX(DATABASE_FG!$H$5:$H$367, MATCH(E889, DATABASE_FG!$C$5:$C$367, 0)), " ")</f>
        <v>0</v>
      </c>
      <c r="O889" s="129" t="str">
        <f>IF(E889&lt;&gt;"", _xlfn.XLOOKUP(E889, DATABASE_FG!C:C, DATABASE_FG!F:F), " ")</f>
        <v>Danfoss</v>
      </c>
      <c r="P889" s="129">
        <f>IFERROR(INDEX(DATABASE_FG!$G$5:$G$367, MATCH(E889, DATABASE_FG!$C$5:$C$367, 0)), "Not Found")</f>
        <v>0</v>
      </c>
      <c r="Q889" s="36"/>
      <c r="R889" s="125" t="s">
        <v>680</v>
      </c>
      <c r="S889" s="123">
        <f>IFERROR(INDEX(DATABASE_FG!$L$5:$L$367, MATCH(E889, DATABASE_FG!$C$5:$C$367, 0)), " ")</f>
        <v>42</v>
      </c>
      <c r="T889" s="36" t="s">
        <v>679</v>
      </c>
      <c r="U889" s="36"/>
      <c r="V889" s="36"/>
      <c r="W889" s="129"/>
      <c r="X889" s="36"/>
      <c r="Y889" s="36" t="s">
        <v>2608</v>
      </c>
      <c r="Z889" s="36"/>
      <c r="AA889" s="125" t="s">
        <v>121</v>
      </c>
      <c r="AB889" s="172">
        <v>45805</v>
      </c>
      <c r="AC889" s="119" t="s">
        <v>1751</v>
      </c>
      <c r="AD889" s="36">
        <f t="shared" si="110"/>
        <v>35545314</v>
      </c>
      <c r="AE889" s="36" t="str">
        <f t="shared" si="111"/>
        <v>F-625593.03-0005.PKO-WW1</v>
      </c>
      <c r="AF889" s="36">
        <v>0</v>
      </c>
      <c r="AG889" s="120">
        <f t="shared" si="103"/>
        <v>0</v>
      </c>
      <c r="AH889" s="36"/>
      <c r="AI889" s="124"/>
      <c r="AJ889" s="122"/>
      <c r="AK889" s="129" t="str">
        <f t="shared" ca="1" si="102"/>
        <v>Late</v>
      </c>
      <c r="AL889" s="268" t="str">
        <f t="shared" si="104"/>
        <v>November</v>
      </c>
      <c r="AM889" s="133">
        <f>YEAR(Table1[[#This Row],[ETA
As requested
dd.mm.yyyy]])</f>
        <v>2024</v>
      </c>
    </row>
    <row r="890" spans="1:40" hidden="1">
      <c r="A890" s="123" t="s">
        <v>83</v>
      </c>
      <c r="B890" s="36" t="s">
        <v>1170</v>
      </c>
      <c r="C890" s="117">
        <v>37373633</v>
      </c>
      <c r="D890" s="165">
        <v>45505</v>
      </c>
      <c r="E890" s="117" t="s">
        <v>1820</v>
      </c>
      <c r="F890" s="36" t="str">
        <f>IFERROR(VLOOKUP(Table1[[#This Row],[Part Number]],DATABASE_FG!$C$6:D10879,2,FALSE)," ")</f>
        <v>301277508-8011</v>
      </c>
      <c r="G890" s="117" t="str">
        <f>IFERROR(_xlfn.XLOOKUP(Table1[[#This Row],[Part Number]],Table3[Part number],Table3[Drawing
 Revision]),"")</f>
        <v>AB</v>
      </c>
      <c r="H890" s="118" cm="1">
        <f t="array" ref="H890">IFERROR(INDEX(PDB!$C:$AT,MATCH(E890,PDB!$B:$B,0),MATCH(YEAR(K890),0+PDB!$C$1:$AT$1,0)),"")</f>
        <v>2.86</v>
      </c>
      <c r="I890" s="36">
        <f>1000-5</f>
        <v>995</v>
      </c>
      <c r="J890" s="125">
        <f>IFERROR(Table1[[#This Row],[Quantity]]*Table1[[#This Row],[Price/Unit
EUR]]," ")</f>
        <v>2845.7</v>
      </c>
      <c r="K890" s="126">
        <v>45614</v>
      </c>
      <c r="L890" s="36">
        <f>WEEKNUM(Table1[[#This Row],[ETA
As requested
dd.mm.yyyy]])</f>
        <v>47</v>
      </c>
      <c r="M890" s="36">
        <f>YEAR(Table1[[#This Row],[ETA
As requested
dd.mm.yyyy]])</f>
        <v>2024</v>
      </c>
      <c r="N890" s="36">
        <f>IFERROR(INDEX(DATABASE_FG!$H$5:$H$367, MATCH(E890, DATABASE_FG!$C$5:$C$367, 0)), " ")</f>
        <v>0</v>
      </c>
      <c r="O890" s="129" t="str">
        <f>IF(E890&lt;&gt;"", _xlfn.XLOOKUP(E890, DATABASE_FG!C:C, DATABASE_FG!F:F), " ")</f>
        <v>Danfoss</v>
      </c>
      <c r="P890" s="129">
        <f>IFERROR(INDEX(DATABASE_FG!$G$5:$G$367, MATCH(E890, DATABASE_FG!$C$5:$C$367, 0)), "Not Found")</f>
        <v>0</v>
      </c>
      <c r="Q890" s="36"/>
      <c r="R890" s="125" t="s">
        <v>680</v>
      </c>
      <c r="S890" s="123">
        <f>IFERROR(INDEX(DATABASE_FG!$L$5:$L$367, MATCH(E890, DATABASE_FG!$C$5:$C$367, 0)), " ")</f>
        <v>42</v>
      </c>
      <c r="T890" s="36"/>
      <c r="U890" s="36"/>
      <c r="V890" s="36"/>
      <c r="W890" s="129"/>
      <c r="X890" s="36"/>
      <c r="Y890" s="36" t="s">
        <v>2608</v>
      </c>
      <c r="Z890" s="36"/>
      <c r="AA890" s="125" t="s">
        <v>121</v>
      </c>
      <c r="AB890" s="173">
        <v>45805</v>
      </c>
      <c r="AC890" s="119" t="s">
        <v>1751</v>
      </c>
      <c r="AD890" s="36">
        <f t="shared" si="110"/>
        <v>37373633</v>
      </c>
      <c r="AE890" s="36" t="str">
        <f t="shared" si="111"/>
        <v>F-625593.03-0005.PKO-WW1</v>
      </c>
      <c r="AF890" s="36">
        <v>0</v>
      </c>
      <c r="AG890" s="120">
        <f t="shared" si="103"/>
        <v>0</v>
      </c>
      <c r="AH890" s="36"/>
      <c r="AI890" s="124"/>
      <c r="AJ890" s="122"/>
      <c r="AK890" s="129" t="str">
        <f t="shared" ca="1" si="102"/>
        <v>Late</v>
      </c>
      <c r="AL890" s="268" t="str">
        <f t="shared" si="104"/>
        <v>November</v>
      </c>
      <c r="AM890" s="133">
        <f>YEAR(Table1[[#This Row],[ETA
As requested
dd.mm.yyyy]])</f>
        <v>2024</v>
      </c>
    </row>
    <row r="891" spans="1:40" ht="15.75" hidden="1">
      <c r="A891" s="123" t="s">
        <v>83</v>
      </c>
      <c r="B891" s="36" t="s">
        <v>1170</v>
      </c>
      <c r="C891" s="117">
        <v>37373633</v>
      </c>
      <c r="D891" s="165">
        <v>45505</v>
      </c>
      <c r="E891" s="117" t="s">
        <v>2603</v>
      </c>
      <c r="F891" s="36">
        <f>IFERROR(VLOOKUP(Table1[[#This Row],[Part Number]],DATABASE_FG!$C$6:D10880,2,FALSE)," ")</f>
        <v>0</v>
      </c>
      <c r="G891" s="117">
        <f>IFERROR(_xlfn.XLOOKUP(Table1[[#This Row],[Part Number]],Table3[Part number],Table3[Drawing
 Revision]),"")</f>
        <v>0</v>
      </c>
      <c r="H891" s="118" cm="1">
        <f t="array" ref="H891">IFERROR(INDEX(PDB!$C:$AT,MATCH(E891,PDB!$B:$B,0),MATCH(YEAR(K891),0+PDB!$C$1:$AT$1,0)),"")</f>
        <v>150</v>
      </c>
      <c r="I891" s="36">
        <v>5</v>
      </c>
      <c r="J891" s="125">
        <f>IFERROR(Table1[[#This Row],[Quantity]]*Table1[[#This Row],[Price/Unit
EUR]]," ")</f>
        <v>750</v>
      </c>
      <c r="K891" s="126">
        <v>45614</v>
      </c>
      <c r="L891" s="36">
        <f>WEEKNUM(Table1[[#This Row],[ETA
As requested
dd.mm.yyyy]])</f>
        <v>47</v>
      </c>
      <c r="M891" s="36">
        <f>YEAR(Table1[[#This Row],[ETA
As requested
dd.mm.yyyy]])</f>
        <v>2024</v>
      </c>
      <c r="N891" s="36">
        <f>IFERROR(INDEX(DATABASE_FG!$H$5:$H$367, MATCH(E891, DATABASE_FG!$C$5:$C$367, 0)), " ")</f>
        <v>0</v>
      </c>
      <c r="O891" s="129" t="str">
        <f>IF(E891&lt;&gt;"", _xlfn.XLOOKUP(E891, DATABASE_FG!C:C, DATABASE_FG!F:F), " ")</f>
        <v>Danfoss</v>
      </c>
      <c r="P891" s="129">
        <f>IFERROR(INDEX(DATABASE_FG!$G$5:$G$367, MATCH(E891, DATABASE_FG!$C$5:$C$367, 0)), "Not Found")</f>
        <v>0</v>
      </c>
      <c r="Q891" s="36"/>
      <c r="R891" s="125" t="s">
        <v>680</v>
      </c>
      <c r="S891" s="123">
        <f>IFERROR(INDEX(DATABASE_FG!$L$5:$L$367, MATCH(E891, DATABASE_FG!$C$5:$C$367, 0)), " ")</f>
        <v>0</v>
      </c>
      <c r="T891" s="36" t="s">
        <v>679</v>
      </c>
      <c r="U891" s="36"/>
      <c r="V891" s="36"/>
      <c r="W891" s="129"/>
      <c r="X891" s="36"/>
      <c r="Y891" s="36" t="s">
        <v>680</v>
      </c>
      <c r="Z891" s="36"/>
      <c r="AA891" s="125" t="s">
        <v>121</v>
      </c>
      <c r="AB891" s="173">
        <v>45547</v>
      </c>
      <c r="AC891" s="119">
        <v>20232263</v>
      </c>
      <c r="AD891" s="36">
        <f t="shared" si="110"/>
        <v>37373633</v>
      </c>
      <c r="AE891" s="36" t="str">
        <f t="shared" si="111"/>
        <v>F-625593.03-0005.PKO-WW1 - PPAP</v>
      </c>
      <c r="AF891" s="36">
        <v>5</v>
      </c>
      <c r="AG891" s="120">
        <f t="shared" si="103"/>
        <v>750</v>
      </c>
      <c r="AH891" s="36"/>
      <c r="AI891" s="124" t="s">
        <v>2604</v>
      </c>
      <c r="AJ891" s="122" t="s">
        <v>2605</v>
      </c>
      <c r="AK891" s="129" t="str">
        <f t="shared" ca="1" si="102"/>
        <v>On Time</v>
      </c>
      <c r="AL891" s="268" t="str">
        <f t="shared" si="104"/>
        <v>November</v>
      </c>
      <c r="AM891" s="133">
        <f>YEAR(Table1[[#This Row],[ETA
As requested
dd.mm.yyyy]])</f>
        <v>2024</v>
      </c>
    </row>
    <row r="892" spans="1:40" hidden="1">
      <c r="A892" s="123" t="s">
        <v>82</v>
      </c>
      <c r="B892" s="36" t="s">
        <v>1170</v>
      </c>
      <c r="C892" s="117">
        <v>36654144</v>
      </c>
      <c r="D892" s="165">
        <v>45406</v>
      </c>
      <c r="E892" s="117" t="s">
        <v>431</v>
      </c>
      <c r="F892" s="36" t="str">
        <f>IFERROR(VLOOKUP(Table1[[#This Row],[Part Number]],DATABASE_FG!$C$6:D10881,2,FALSE)," ")</f>
        <v>shaft</v>
      </c>
      <c r="G892" s="117">
        <f>IFERROR(_xlfn.XLOOKUP(Table1[[#This Row],[Part Number]],Table3[Part number],Table3[Drawing
 Revision]),"")</f>
        <v>0</v>
      </c>
      <c r="H892" s="118" cm="1">
        <f t="array" ref="H892">IFERROR(INDEX(PDB!$C:$AT,MATCH(E892,PDB!$B:$B,0),MATCH(YEAR(K892),0+PDB!$C$1:$AT$1,0)),"")</f>
        <v>7.67</v>
      </c>
      <c r="I892" s="36">
        <v>5</v>
      </c>
      <c r="J892" s="125">
        <f>IFERROR(Table1[[#This Row],[Quantity]]*Table1[[#This Row],[Price/Unit
EUR]]," ")</f>
        <v>38.35</v>
      </c>
      <c r="K892" s="126">
        <v>45419</v>
      </c>
      <c r="L892" s="36">
        <f>WEEKNUM(Table1[[#This Row],[ETA
As requested
dd.mm.yyyy]])</f>
        <v>19</v>
      </c>
      <c r="M892" s="36">
        <f>YEAR(Table1[[#This Row],[ETA
As requested
dd.mm.yyyy]])</f>
        <v>2024</v>
      </c>
      <c r="N892" s="36">
        <f>IFERROR(INDEX(DATABASE_FG!$H$5:$H$367, MATCH(E892, DATABASE_FG!$C$5:$C$367, 0)), " ")</f>
        <v>0</v>
      </c>
      <c r="O892" s="129" t="str">
        <f>IF(E892&lt;&gt;"", _xlfn.XLOOKUP(E892, DATABASE_FG!C:C, DATABASE_FG!F:F), " ")</f>
        <v>shaft</v>
      </c>
      <c r="P892" s="129">
        <f>IFERROR(INDEX(DATABASE_FG!$G$5:$G$367, MATCH(E892, DATABASE_FG!$C$5:$C$367, 0)), "Not Found")</f>
        <v>50</v>
      </c>
      <c r="Q892" s="36"/>
      <c r="R892" s="125" t="s">
        <v>680</v>
      </c>
      <c r="S892" s="123">
        <f>IFERROR(INDEX(DATABASE_FG!$L$5:$L$367, MATCH(E892, DATABASE_FG!$C$5:$C$367, 0)), " ")</f>
        <v>56</v>
      </c>
      <c r="T892" s="36" t="s">
        <v>679</v>
      </c>
      <c r="U892" s="36"/>
      <c r="V892" s="36"/>
      <c r="W892" s="129"/>
      <c r="X892" s="36"/>
      <c r="Y892" s="36"/>
      <c r="Z892" s="36">
        <v>242216</v>
      </c>
      <c r="AA892" s="125" t="s">
        <v>121</v>
      </c>
      <c r="AB892" s="173">
        <v>45469</v>
      </c>
      <c r="AC892" s="119">
        <v>2024730</v>
      </c>
      <c r="AD892" s="36">
        <f t="shared" si="110"/>
        <v>36654144</v>
      </c>
      <c r="AE892" s="36" t="str">
        <f t="shared" si="111"/>
        <v>F-688038.02-0111.W.WE36</v>
      </c>
      <c r="AF892" s="36">
        <v>5</v>
      </c>
      <c r="AG892" s="120">
        <f t="shared" si="103"/>
        <v>38.35</v>
      </c>
      <c r="AH892" s="36"/>
      <c r="AI892" s="124" t="s">
        <v>1468</v>
      </c>
      <c r="AJ892" s="122" t="s">
        <v>1469</v>
      </c>
      <c r="AK892" s="129" t="str">
        <f t="shared" ca="1" si="102"/>
        <v>Late</v>
      </c>
      <c r="AL892" s="268" t="str">
        <f t="shared" si="104"/>
        <v>May</v>
      </c>
      <c r="AM892" s="133">
        <f>YEAR(Table1[[#This Row],[ETA
As requested
dd.mm.yyyy]])</f>
        <v>2024</v>
      </c>
    </row>
    <row r="893" spans="1:40" ht="15.75" hidden="1">
      <c r="A893" s="123" t="s">
        <v>82</v>
      </c>
      <c r="B893" s="36" t="s">
        <v>1170</v>
      </c>
      <c r="C893" s="117">
        <v>37347643</v>
      </c>
      <c r="D893" s="165">
        <v>45518</v>
      </c>
      <c r="E893" s="117" t="s">
        <v>431</v>
      </c>
      <c r="F893" s="36" t="str">
        <f>IFERROR(VLOOKUP(Table1[[#This Row],[Part Number]],DATABASE_FG!$C$6:D10882,2,FALSE)," ")</f>
        <v>shaft</v>
      </c>
      <c r="G893" s="117">
        <f>IFERROR(_xlfn.XLOOKUP(Table1[[#This Row],[Part Number]],Table3[Part number],Table3[Drawing
 Revision]),"")</f>
        <v>0</v>
      </c>
      <c r="H893" s="118" cm="1">
        <f t="array" ref="H893">IFERROR(INDEX(PDB!$C:$AT,MATCH(E893,PDB!$B:$B,0),MATCH(YEAR(K893),0+PDB!$C$1:$AT$1,0)),"")</f>
        <v>7.67</v>
      </c>
      <c r="I893" s="36">
        <v>30</v>
      </c>
      <c r="J893" s="125">
        <f>IFERROR(Table1[[#This Row],[Quantity]]*Table1[[#This Row],[Price/Unit
EUR]]," ")</f>
        <v>230.1</v>
      </c>
      <c r="K893" s="126">
        <v>45520</v>
      </c>
      <c r="L893" s="36">
        <f>WEEKNUM(Table1[[#This Row],[ETA
As requested
dd.mm.yyyy]])</f>
        <v>33</v>
      </c>
      <c r="M893" s="36">
        <f>YEAR(Table1[[#This Row],[ETA
As requested
dd.mm.yyyy]])</f>
        <v>2024</v>
      </c>
      <c r="N893" s="36">
        <f>IFERROR(INDEX(DATABASE_FG!$H$5:$H$367, MATCH(E893, DATABASE_FG!$C$5:$C$367, 0)), " ")</f>
        <v>0</v>
      </c>
      <c r="O893" s="129" t="str">
        <f>IF(E893&lt;&gt;"", _xlfn.XLOOKUP(E893, DATABASE_FG!C:C, DATABASE_FG!F:F), " ")</f>
        <v>shaft</v>
      </c>
      <c r="P893" s="129">
        <f>IFERROR(INDEX(DATABASE_FG!$G$5:$G$367, MATCH(E893, DATABASE_FG!$C$5:$C$367, 0)), "Not Found")</f>
        <v>50</v>
      </c>
      <c r="Q893" s="36"/>
      <c r="R893" s="125" t="s">
        <v>680</v>
      </c>
      <c r="S893" s="123">
        <f>IFERROR(INDEX(DATABASE_FG!$L$5:$L$367, MATCH(E893, DATABASE_FG!$C$5:$C$367, 0)), " ")</f>
        <v>56</v>
      </c>
      <c r="T893" s="36" t="s">
        <v>679</v>
      </c>
      <c r="U893" s="36"/>
      <c r="V893" s="36"/>
      <c r="W893" s="129"/>
      <c r="X893" s="36"/>
      <c r="Y893" s="36"/>
      <c r="Z893" s="36"/>
      <c r="AA893" s="125" t="s">
        <v>121</v>
      </c>
      <c r="AB893" s="173">
        <v>45556</v>
      </c>
      <c r="AC893" s="119">
        <v>20232268</v>
      </c>
      <c r="AD893" s="36">
        <f t="shared" si="110"/>
        <v>37347643</v>
      </c>
      <c r="AE893" s="36" t="str">
        <f t="shared" si="111"/>
        <v>F-688038.02-0111.W.WE36</v>
      </c>
      <c r="AF893" s="36">
        <f>30-5</f>
        <v>25</v>
      </c>
      <c r="AG893" s="120">
        <f t="shared" si="103"/>
        <v>191.75</v>
      </c>
      <c r="AH893" s="36"/>
      <c r="AI893" s="124" t="s">
        <v>1598</v>
      </c>
      <c r="AJ893" s="122" t="s">
        <v>1981</v>
      </c>
      <c r="AK893" s="129" t="str">
        <f t="shared" ca="1" si="102"/>
        <v>Late</v>
      </c>
      <c r="AL893" s="268" t="str">
        <f t="shared" si="104"/>
        <v>August</v>
      </c>
      <c r="AM893" s="133">
        <f>YEAR(Table1[[#This Row],[ETA
As requested
dd.mm.yyyy]])</f>
        <v>2024</v>
      </c>
    </row>
    <row r="894" spans="1:40" hidden="1">
      <c r="A894" s="123" t="s">
        <v>82</v>
      </c>
      <c r="B894" s="36" t="s">
        <v>1170</v>
      </c>
      <c r="C894" s="117">
        <v>37347643</v>
      </c>
      <c r="D894" s="165">
        <v>45518</v>
      </c>
      <c r="E894" s="117" t="s">
        <v>431</v>
      </c>
      <c r="F894" s="36" t="str">
        <f>IFERROR(VLOOKUP(Table1[[#This Row],[Part Number]],DATABASE_FG!$C$6:D10883,2,FALSE)," ")</f>
        <v>shaft</v>
      </c>
      <c r="G894" s="117">
        <f>IFERROR(_xlfn.XLOOKUP(Table1[[#This Row],[Part Number]],Table3[Part number],Table3[Drawing
 Revision]),"")</f>
        <v>0</v>
      </c>
      <c r="H894" s="118" cm="1">
        <f t="array" ref="H894">IFERROR(INDEX(PDB!$C:$AT,MATCH(E894,PDB!$B:$B,0),MATCH(YEAR(K894),0+PDB!$C$1:$AT$1,0)),"")</f>
        <v>7.67</v>
      </c>
      <c r="I894" s="36">
        <v>113</v>
      </c>
      <c r="J894" s="125">
        <f>IFERROR(Table1[[#This Row],[Quantity]]*Table1[[#This Row],[Price/Unit
EUR]]," ")</f>
        <v>866.71</v>
      </c>
      <c r="K894" s="126">
        <v>45520</v>
      </c>
      <c r="L894" s="36">
        <f>WEEKNUM(Table1[[#This Row],[ETA
As requested
dd.mm.yyyy]])</f>
        <v>33</v>
      </c>
      <c r="M894" s="36">
        <f>YEAR(Table1[[#This Row],[ETA
As requested
dd.mm.yyyy]])</f>
        <v>2024</v>
      </c>
      <c r="N894" s="36">
        <f>IFERROR(INDEX(DATABASE_FG!$H$5:$H$367, MATCH(E894, DATABASE_FG!$C$5:$C$367, 0)), " ")</f>
        <v>0</v>
      </c>
      <c r="O894" s="129" t="str">
        <f>IF(E894&lt;&gt;"", _xlfn.XLOOKUP(E894, DATABASE_FG!C:C, DATABASE_FG!F:F), " ")</f>
        <v>shaft</v>
      </c>
      <c r="P894" s="129">
        <f>IFERROR(INDEX(DATABASE_FG!$G$5:$G$367, MATCH(E894, DATABASE_FG!$C$5:$C$367, 0)), "Not Found")</f>
        <v>50</v>
      </c>
      <c r="Q894" s="36"/>
      <c r="R894" s="125" t="s">
        <v>680</v>
      </c>
      <c r="S894" s="123">
        <f>IFERROR(INDEX(DATABASE_FG!$L$5:$L$367, MATCH(E894, DATABASE_FG!$C$5:$C$367, 0)), " ")</f>
        <v>56</v>
      </c>
      <c r="T894" s="36"/>
      <c r="U894" s="36"/>
      <c r="V894" s="36"/>
      <c r="W894" s="129"/>
      <c r="X894" s="36"/>
      <c r="Y894" s="36"/>
      <c r="Z894" s="36"/>
      <c r="AA894" s="125" t="s">
        <v>121</v>
      </c>
      <c r="AB894" s="172">
        <v>45570</v>
      </c>
      <c r="AC894" s="119">
        <v>20232277</v>
      </c>
      <c r="AD894" s="36">
        <f t="shared" si="110"/>
        <v>37347643</v>
      </c>
      <c r="AE894" s="36" t="str">
        <f t="shared" si="111"/>
        <v>F-688038.02-0111.W.WE36</v>
      </c>
      <c r="AF894" s="36">
        <v>113</v>
      </c>
      <c r="AG894" s="120">
        <f t="shared" si="103"/>
        <v>866.71</v>
      </c>
      <c r="AH894" s="36"/>
      <c r="AI894" s="124"/>
      <c r="AJ894" s="122" t="s">
        <v>1984</v>
      </c>
      <c r="AK894" s="129" t="str">
        <f t="shared" ca="1" si="102"/>
        <v>Late</v>
      </c>
      <c r="AL894" s="268" t="str">
        <f t="shared" si="104"/>
        <v>August</v>
      </c>
      <c r="AM894" s="133">
        <f>YEAR(Table1[[#This Row],[ETA
As requested
dd.mm.yyyy]])</f>
        <v>2024</v>
      </c>
    </row>
    <row r="895" spans="1:40" hidden="1">
      <c r="A895" s="123" t="s">
        <v>82</v>
      </c>
      <c r="B895" s="36" t="s">
        <v>1170</v>
      </c>
      <c r="C895" s="117">
        <v>37347643</v>
      </c>
      <c r="D895" s="165">
        <v>45518</v>
      </c>
      <c r="E895" s="117" t="s">
        <v>431</v>
      </c>
      <c r="F895" s="36" t="str">
        <f>IFERROR(VLOOKUP(Table1[[#This Row],[Part Number]],DATABASE_FG!$C$6:D10884,2,FALSE)," ")</f>
        <v>shaft</v>
      </c>
      <c r="G895" s="117">
        <f>IFERROR(_xlfn.XLOOKUP(Table1[[#This Row],[Part Number]],Table3[Part number],Table3[Drawing
 Revision]),"")</f>
        <v>0</v>
      </c>
      <c r="H895" s="118" cm="1">
        <f t="array" ref="H895">IFERROR(INDEX(PDB!$C:$AT,MATCH(E895,PDB!$B:$B,0),MATCH(YEAR(K895),0+PDB!$C$1:$AT$1,0)),"")</f>
        <v>7.67</v>
      </c>
      <c r="I895" s="36">
        <v>89</v>
      </c>
      <c r="J895" s="125">
        <f>IFERROR(Table1[[#This Row],[Quantity]]*Table1[[#This Row],[Price/Unit
EUR]]," ")</f>
        <v>682.63</v>
      </c>
      <c r="K895" s="126">
        <v>45520</v>
      </c>
      <c r="L895" s="36">
        <f>WEEKNUM(Table1[[#This Row],[ETA
As requested
dd.mm.yyyy]])</f>
        <v>33</v>
      </c>
      <c r="M895" s="36">
        <f>YEAR(Table1[[#This Row],[ETA
As requested
dd.mm.yyyy]])</f>
        <v>2024</v>
      </c>
      <c r="N895" s="36">
        <f>IFERROR(INDEX(DATABASE_FG!$H$5:$H$367, MATCH(E895, DATABASE_FG!$C$5:$C$367, 0)), " ")</f>
        <v>0</v>
      </c>
      <c r="O895" s="129" t="str">
        <f>IF(E895&lt;&gt;"", _xlfn.XLOOKUP(E895, DATABASE_FG!C:C, DATABASE_FG!F:F), " ")</f>
        <v>shaft</v>
      </c>
      <c r="P895" s="129">
        <f>IFERROR(INDEX(DATABASE_FG!$G$5:$G$367, MATCH(E895, DATABASE_FG!$C$5:$C$367, 0)), "Not Found")</f>
        <v>50</v>
      </c>
      <c r="Q895" s="36"/>
      <c r="R895" s="125" t="s">
        <v>680</v>
      </c>
      <c r="S895" s="123">
        <f>IFERROR(INDEX(DATABASE_FG!$L$5:$L$367, MATCH(E895, DATABASE_FG!$C$5:$C$367, 0)), " ")</f>
        <v>56</v>
      </c>
      <c r="T895" s="36"/>
      <c r="U895" s="36"/>
      <c r="V895" s="36"/>
      <c r="W895" s="129"/>
      <c r="X895" s="36"/>
      <c r="Y895" s="36"/>
      <c r="Z895" s="36"/>
      <c r="AA895" s="125" t="s">
        <v>121</v>
      </c>
      <c r="AB895" s="173">
        <v>45577</v>
      </c>
      <c r="AC895" s="119">
        <v>20232286</v>
      </c>
      <c r="AD895" s="36">
        <f t="shared" si="110"/>
        <v>37347643</v>
      </c>
      <c r="AE895" s="36" t="str">
        <f t="shared" si="111"/>
        <v>F-688038.02-0111.W.WE36</v>
      </c>
      <c r="AF895" s="36">
        <v>89</v>
      </c>
      <c r="AG895" s="120">
        <f t="shared" si="103"/>
        <v>682.63</v>
      </c>
      <c r="AH895" s="36"/>
      <c r="AI895" s="124"/>
      <c r="AJ895" s="122" t="s">
        <v>1986</v>
      </c>
      <c r="AK895" s="129" t="str">
        <f t="shared" ca="1" si="102"/>
        <v>Late</v>
      </c>
      <c r="AL895" s="268" t="str">
        <f t="shared" si="104"/>
        <v>August</v>
      </c>
      <c r="AM895" s="133">
        <f>YEAR(Table1[[#This Row],[ETA
As requested
dd.mm.yyyy]])</f>
        <v>2024</v>
      </c>
    </row>
    <row r="896" spans="1:40" hidden="1">
      <c r="A896" s="123" t="s">
        <v>82</v>
      </c>
      <c r="B896" s="36" t="s">
        <v>1170</v>
      </c>
      <c r="C896" s="117">
        <v>37347643</v>
      </c>
      <c r="D896" s="165">
        <v>45518</v>
      </c>
      <c r="E896" s="117" t="s">
        <v>431</v>
      </c>
      <c r="F896" s="36" t="str">
        <f>IFERROR(VLOOKUP(Table1[[#This Row],[Part Number]],DATABASE_FG!$C$6:D10885,2,FALSE)," ")</f>
        <v>shaft</v>
      </c>
      <c r="G896" s="117">
        <f>IFERROR(_xlfn.XLOOKUP(Table1[[#This Row],[Part Number]],Table3[Part number],Table3[Drawing
 Revision]),"")</f>
        <v>0</v>
      </c>
      <c r="H896" s="118" cm="1">
        <f t="array" ref="H896">IFERROR(INDEX(PDB!$C:$AT,MATCH(E896,PDB!$B:$B,0),MATCH(YEAR(K896),0+PDB!$C$1:$AT$1,0)),"")</f>
        <v>7.67</v>
      </c>
      <c r="I896" s="36">
        <v>36</v>
      </c>
      <c r="J896" s="125">
        <f>IFERROR(Table1[[#This Row],[Quantity]]*Table1[[#This Row],[Price/Unit
EUR]]," ")</f>
        <v>276.12</v>
      </c>
      <c r="K896" s="126">
        <v>45520</v>
      </c>
      <c r="L896" s="36">
        <f>WEEKNUM(Table1[[#This Row],[ETA
As requested
dd.mm.yyyy]])</f>
        <v>33</v>
      </c>
      <c r="M896" s="36">
        <f>YEAR(Table1[[#This Row],[ETA
As requested
dd.mm.yyyy]])</f>
        <v>2024</v>
      </c>
      <c r="N896" s="36">
        <f>IFERROR(INDEX(DATABASE_FG!$H$5:$H$367, MATCH(E896, DATABASE_FG!$C$5:$C$367, 0)), " ")</f>
        <v>0</v>
      </c>
      <c r="O896" s="129" t="str">
        <f>IF(E896&lt;&gt;"", _xlfn.XLOOKUP(E896, DATABASE_FG!C:C, DATABASE_FG!F:F), " ")</f>
        <v>shaft</v>
      </c>
      <c r="P896" s="129">
        <f>IFERROR(INDEX(DATABASE_FG!$G$5:$G$367, MATCH(E896, DATABASE_FG!$C$5:$C$367, 0)), "Not Found")</f>
        <v>50</v>
      </c>
      <c r="Q896" s="36"/>
      <c r="R896" s="125" t="s">
        <v>680</v>
      </c>
      <c r="S896" s="123">
        <f>IFERROR(INDEX(DATABASE_FG!$L$5:$L$367, MATCH(E896, DATABASE_FG!$C$5:$C$367, 0)), " ")</f>
        <v>56</v>
      </c>
      <c r="T896" s="36"/>
      <c r="U896" s="36"/>
      <c r="V896" s="36"/>
      <c r="W896" s="129"/>
      <c r="X896" s="36"/>
      <c r="Y896" s="36"/>
      <c r="Z896" s="36"/>
      <c r="AA896" s="125" t="s">
        <v>121</v>
      </c>
      <c r="AB896" s="173">
        <v>45584</v>
      </c>
      <c r="AC896" s="119">
        <v>20232292</v>
      </c>
      <c r="AD896" s="36">
        <f t="shared" si="110"/>
        <v>37347643</v>
      </c>
      <c r="AE896" s="36" t="str">
        <f t="shared" si="111"/>
        <v>F-688038.02-0111.W.WE36</v>
      </c>
      <c r="AF896" s="36">
        <f>36-20</f>
        <v>16</v>
      </c>
      <c r="AG896" s="120">
        <f t="shared" si="103"/>
        <v>122.72</v>
      </c>
      <c r="AH896" s="36"/>
      <c r="AI896" s="124" t="s">
        <v>1989</v>
      </c>
      <c r="AJ896" s="122" t="s">
        <v>1990</v>
      </c>
      <c r="AK896" s="129" t="str">
        <f t="shared" ca="1" si="102"/>
        <v>Late</v>
      </c>
      <c r="AL896" s="268" t="str">
        <f t="shared" si="104"/>
        <v>August</v>
      </c>
      <c r="AM896" s="133">
        <f>YEAR(Table1[[#This Row],[ETA
As requested
dd.mm.yyyy]])</f>
        <v>2024</v>
      </c>
    </row>
    <row r="897" spans="1:39" hidden="1">
      <c r="A897" s="123" t="s">
        <v>82</v>
      </c>
      <c r="B897" s="36" t="s">
        <v>1170</v>
      </c>
      <c r="C897" s="117">
        <v>37347643</v>
      </c>
      <c r="D897" s="165">
        <v>45518</v>
      </c>
      <c r="E897" s="117" t="s">
        <v>431</v>
      </c>
      <c r="F897" s="36" t="str">
        <f>IFERROR(VLOOKUP(Table1[[#This Row],[Part Number]],DATABASE_FG!$C$6:D10886,2,FALSE)," ")</f>
        <v>shaft</v>
      </c>
      <c r="G897" s="117">
        <f>IFERROR(_xlfn.XLOOKUP(Table1[[#This Row],[Part Number]],Table3[Part number],Table3[Drawing
 Revision]),"")</f>
        <v>0</v>
      </c>
      <c r="H897" s="118" cm="1">
        <f t="array" ref="H897">IFERROR(INDEX(PDB!$C:$AT,MATCH(E897,PDB!$B:$B,0),MATCH(YEAR(K897),0+PDB!$C$1:$AT$1,0)),"")</f>
        <v>7.67</v>
      </c>
      <c r="I897" s="36">
        <v>24</v>
      </c>
      <c r="J897" s="125">
        <f>IFERROR(Table1[[#This Row],[Quantity]]*Table1[[#This Row],[Price/Unit
EUR]]," ")</f>
        <v>184.07999999999998</v>
      </c>
      <c r="K897" s="126">
        <v>45520</v>
      </c>
      <c r="L897" s="36">
        <f>WEEKNUM(Table1[[#This Row],[ETA
As requested
dd.mm.yyyy]])</f>
        <v>33</v>
      </c>
      <c r="M897" s="36">
        <f>YEAR(Table1[[#This Row],[ETA
As requested
dd.mm.yyyy]])</f>
        <v>2024</v>
      </c>
      <c r="N897" s="36">
        <f>IFERROR(INDEX(DATABASE_FG!$H$5:$H$367, MATCH(E897, DATABASE_FG!$C$5:$C$367, 0)), " ")</f>
        <v>0</v>
      </c>
      <c r="O897" s="129" t="str">
        <f>IF(E897&lt;&gt;"", _xlfn.XLOOKUP(E897, DATABASE_FG!C:C, DATABASE_FG!F:F), " ")</f>
        <v>shaft</v>
      </c>
      <c r="P897" s="129">
        <f>IFERROR(INDEX(DATABASE_FG!$G$5:$G$367, MATCH(E897, DATABASE_FG!$C$5:$C$367, 0)), "Not Found")</f>
        <v>50</v>
      </c>
      <c r="Q897" s="36"/>
      <c r="R897" s="125" t="s">
        <v>680</v>
      </c>
      <c r="S897" s="123">
        <f>IFERROR(INDEX(DATABASE_FG!$L$5:$L$367, MATCH(E897, DATABASE_FG!$C$5:$C$367, 0)), " ")</f>
        <v>56</v>
      </c>
      <c r="T897" s="36"/>
      <c r="U897" s="36"/>
      <c r="V897" s="36"/>
      <c r="W897" s="129"/>
      <c r="X897" s="36"/>
      <c r="Y897" s="36"/>
      <c r="Z897" s="36"/>
      <c r="AA897" s="125" t="s">
        <v>121</v>
      </c>
      <c r="AB897" s="173">
        <v>45593</v>
      </c>
      <c r="AC897" s="119">
        <v>202401292</v>
      </c>
      <c r="AD897" s="36">
        <f t="shared" si="110"/>
        <v>37347643</v>
      </c>
      <c r="AE897" s="36" t="str">
        <f t="shared" si="111"/>
        <v>F-688038.02-0111.W.WE36</v>
      </c>
      <c r="AF897" s="36">
        <v>24</v>
      </c>
      <c r="AG897" s="120">
        <f t="shared" si="103"/>
        <v>184.07999999999998</v>
      </c>
      <c r="AH897" s="36"/>
      <c r="AI897" s="124"/>
      <c r="AJ897" s="122" t="s">
        <v>1992</v>
      </c>
      <c r="AK897" s="129" t="str">
        <f t="shared" ca="1" si="102"/>
        <v>Late</v>
      </c>
      <c r="AL897" s="268" t="str">
        <f t="shared" si="104"/>
        <v>August</v>
      </c>
      <c r="AM897" s="133">
        <f>YEAR(Table1[[#This Row],[ETA
As requested
dd.mm.yyyy]])</f>
        <v>2024</v>
      </c>
    </row>
    <row r="898" spans="1:39" hidden="1">
      <c r="A898" s="123" t="s">
        <v>82</v>
      </c>
      <c r="B898" s="36" t="s">
        <v>1170</v>
      </c>
      <c r="C898" s="117">
        <v>37347643</v>
      </c>
      <c r="D898" s="165">
        <v>45518</v>
      </c>
      <c r="E898" s="117" t="s">
        <v>431</v>
      </c>
      <c r="F898" s="36" t="str">
        <f>IFERROR(VLOOKUP(Table1[[#This Row],[Part Number]],DATABASE_FG!$C$6:D10887,2,FALSE)," ")</f>
        <v>shaft</v>
      </c>
      <c r="G898" s="117">
        <f>IFERROR(_xlfn.XLOOKUP(Table1[[#This Row],[Part Number]],Table3[Part number],Table3[Drawing
 Revision]),"")</f>
        <v>0</v>
      </c>
      <c r="H898" s="118" cm="1">
        <f t="array" ref="H898">IFERROR(INDEX(PDB!$C:$AT,MATCH(E898,PDB!$B:$B,0),MATCH(YEAR(K898),0+PDB!$C$1:$AT$1,0)),"")</f>
        <v>7.67</v>
      </c>
      <c r="I898" s="36">
        <f>378</f>
        <v>378</v>
      </c>
      <c r="J898" s="125">
        <f>IFERROR(Table1[[#This Row],[Quantity]]*Table1[[#This Row],[Price/Unit
EUR]]," ")</f>
        <v>2899.2599999999998</v>
      </c>
      <c r="K898" s="126">
        <v>45520</v>
      </c>
      <c r="L898" s="36">
        <f>WEEKNUM(Table1[[#This Row],[ETA
As requested
dd.mm.yyyy]])</f>
        <v>33</v>
      </c>
      <c r="M898" s="36">
        <f>YEAR(Table1[[#This Row],[ETA
As requested
dd.mm.yyyy]])</f>
        <v>2024</v>
      </c>
      <c r="N898" s="36">
        <f>IFERROR(INDEX(DATABASE_FG!$H$5:$H$367, MATCH(E898, DATABASE_FG!$C$5:$C$367, 0)), " ")</f>
        <v>0</v>
      </c>
      <c r="O898" s="129" t="str">
        <f>IF(E898&lt;&gt;"", _xlfn.XLOOKUP(E898, DATABASE_FG!C:C, DATABASE_FG!F:F), " ")</f>
        <v>shaft</v>
      </c>
      <c r="P898" s="129">
        <f>IFERROR(INDEX(DATABASE_FG!$G$5:$G$367, MATCH(E898, DATABASE_FG!$C$5:$C$367, 0)), "Not Found")</f>
        <v>50</v>
      </c>
      <c r="Q898" s="36"/>
      <c r="R898" s="125" t="s">
        <v>680</v>
      </c>
      <c r="S898" s="123">
        <f>IFERROR(INDEX(DATABASE_FG!$L$5:$L$367, MATCH(E898, DATABASE_FG!$C$5:$C$367, 0)), " ")</f>
        <v>56</v>
      </c>
      <c r="T898" s="36"/>
      <c r="U898" s="36"/>
      <c r="V898" s="36"/>
      <c r="W898" s="129"/>
      <c r="X898" s="36"/>
      <c r="Y898" s="36"/>
      <c r="Z898" s="36"/>
      <c r="AA898" s="125" t="s">
        <v>121</v>
      </c>
      <c r="AB898" s="173">
        <v>45601</v>
      </c>
      <c r="AC898" s="119">
        <v>202401333</v>
      </c>
      <c r="AD898" s="36">
        <f t="shared" si="110"/>
        <v>37347643</v>
      </c>
      <c r="AE898" s="36" t="str">
        <f t="shared" si="111"/>
        <v>F-688038.02-0111.W.WE36</v>
      </c>
      <c r="AF898" s="36">
        <f>378</f>
        <v>378</v>
      </c>
      <c r="AG898" s="120">
        <f t="shared" si="103"/>
        <v>2899.2599999999998</v>
      </c>
      <c r="AH898" s="36"/>
      <c r="AI898" s="124"/>
      <c r="AJ898" s="122" t="s">
        <v>1998</v>
      </c>
      <c r="AK898" s="129" t="str">
        <f t="shared" ca="1" si="102"/>
        <v>Late</v>
      </c>
      <c r="AL898" s="268" t="str">
        <f t="shared" si="104"/>
        <v>August</v>
      </c>
      <c r="AM898" s="133">
        <f>YEAR(Table1[[#This Row],[ETA
As requested
dd.mm.yyyy]])</f>
        <v>2024</v>
      </c>
    </row>
    <row r="899" spans="1:39" hidden="1">
      <c r="A899" s="123" t="s">
        <v>82</v>
      </c>
      <c r="B899" s="36" t="s">
        <v>1170</v>
      </c>
      <c r="C899" s="117">
        <v>37347643</v>
      </c>
      <c r="D899" s="165">
        <v>45518</v>
      </c>
      <c r="E899" s="117" t="s">
        <v>431</v>
      </c>
      <c r="F899" s="36" t="str">
        <f>IFERROR(VLOOKUP(Table1[[#This Row],[Part Number]],DATABASE_FG!$C$6:D10888,2,FALSE)," ")</f>
        <v>shaft</v>
      </c>
      <c r="G899" s="117">
        <f>IFERROR(_xlfn.XLOOKUP(Table1[[#This Row],[Part Number]],Table3[Part number],Table3[Drawing
 Revision]),"")</f>
        <v>0</v>
      </c>
      <c r="H899" s="118" cm="1">
        <f t="array" ref="H899">IFERROR(INDEX(PDB!$C:$AT,MATCH(E899,PDB!$B:$B,0),MATCH(YEAR(K899),0+PDB!$C$1:$AT$1,0)),"")</f>
        <v>7.67</v>
      </c>
      <c r="I899" s="36">
        <v>84</v>
      </c>
      <c r="J899" s="125">
        <f>IFERROR(Table1[[#This Row],[Quantity]]*Table1[[#This Row],[Price/Unit
EUR]]," ")</f>
        <v>644.28</v>
      </c>
      <c r="K899" s="126">
        <v>45520</v>
      </c>
      <c r="L899" s="36">
        <f>WEEKNUM(Table1[[#This Row],[ETA
As requested
dd.mm.yyyy]])</f>
        <v>33</v>
      </c>
      <c r="M899" s="36">
        <f>YEAR(Table1[[#This Row],[ETA
As requested
dd.mm.yyyy]])</f>
        <v>2024</v>
      </c>
      <c r="N899" s="36">
        <f>IFERROR(INDEX(DATABASE_FG!$H$5:$H$367, MATCH(E899, DATABASE_FG!$C$5:$C$367, 0)), " ")</f>
        <v>0</v>
      </c>
      <c r="O899" s="129" t="str">
        <f>IF(E899&lt;&gt;"", _xlfn.XLOOKUP(E899, DATABASE_FG!C:C, DATABASE_FG!F:F), " ")</f>
        <v>shaft</v>
      </c>
      <c r="P899" s="129">
        <f>IFERROR(INDEX(DATABASE_FG!$G$5:$G$367, MATCH(E899, DATABASE_FG!$C$5:$C$367, 0)), "Not Found")</f>
        <v>50</v>
      </c>
      <c r="Q899" s="36"/>
      <c r="R899" s="125" t="s">
        <v>680</v>
      </c>
      <c r="S899" s="123">
        <f>IFERROR(INDEX(DATABASE_FG!$L$5:$L$367, MATCH(E899, DATABASE_FG!$C$5:$C$367, 0)), " ")</f>
        <v>56</v>
      </c>
      <c r="T899" s="36"/>
      <c r="U899" s="36"/>
      <c r="V899" s="36"/>
      <c r="W899" s="129"/>
      <c r="X899" s="36"/>
      <c r="Y899" s="36"/>
      <c r="Z899" s="36"/>
      <c r="AA899" s="125" t="s">
        <v>121</v>
      </c>
      <c r="AB899" s="173">
        <v>45608</v>
      </c>
      <c r="AC899" s="119">
        <v>202401379</v>
      </c>
      <c r="AD899" s="36">
        <f t="shared" si="110"/>
        <v>37347643</v>
      </c>
      <c r="AE899" s="36" t="str">
        <f t="shared" si="111"/>
        <v>F-688038.02-0111.W.WE36</v>
      </c>
      <c r="AF899" s="36">
        <v>84</v>
      </c>
      <c r="AG899" s="120">
        <f t="shared" si="103"/>
        <v>644.28</v>
      </c>
      <c r="AH899" s="36"/>
      <c r="AI899" s="124"/>
      <c r="AJ899" s="122" t="s">
        <v>2001</v>
      </c>
      <c r="AK899" s="129" t="str">
        <f t="shared" ca="1" si="102"/>
        <v>Late</v>
      </c>
      <c r="AL899" s="268" t="str">
        <f t="shared" si="104"/>
        <v>August</v>
      </c>
      <c r="AM899" s="133">
        <f>YEAR(Table1[[#This Row],[ETA
As requested
dd.mm.yyyy]])</f>
        <v>2024</v>
      </c>
    </row>
    <row r="900" spans="1:39" hidden="1">
      <c r="A900" s="123" t="s">
        <v>82</v>
      </c>
      <c r="B900" s="36" t="s">
        <v>1170</v>
      </c>
      <c r="C900" s="117">
        <v>37347643</v>
      </c>
      <c r="D900" s="165">
        <v>45518</v>
      </c>
      <c r="E900" s="117" t="s">
        <v>431</v>
      </c>
      <c r="F900" s="36" t="str">
        <f>IFERROR(VLOOKUP(Table1[[#This Row],[Part Number]],DATABASE_FG!$C$6:D10889,2,FALSE)," ")</f>
        <v>shaft</v>
      </c>
      <c r="G900" s="117">
        <f>IFERROR(_xlfn.XLOOKUP(Table1[[#This Row],[Part Number]],Table3[Part number],Table3[Drawing
 Revision]),"")</f>
        <v>0</v>
      </c>
      <c r="H900" s="118" cm="1">
        <f t="array" ref="H900">IFERROR(INDEX(PDB!$C:$AT,MATCH(E900,PDB!$B:$B,0),MATCH(YEAR(K900),0+PDB!$C$1:$AT$1,0)),"")</f>
        <v>7.67</v>
      </c>
      <c r="I900" s="36">
        <v>311</v>
      </c>
      <c r="J900" s="125">
        <f>IFERROR(Table1[[#This Row],[Quantity]]*Table1[[#This Row],[Price/Unit
EUR]]," ")</f>
        <v>2385.37</v>
      </c>
      <c r="K900" s="126">
        <v>45520</v>
      </c>
      <c r="L900" s="36">
        <f>WEEKNUM(Table1[[#This Row],[ETA
As requested
dd.mm.yyyy]])</f>
        <v>33</v>
      </c>
      <c r="M900" s="36">
        <f>YEAR(Table1[[#This Row],[ETA
As requested
dd.mm.yyyy]])</f>
        <v>2024</v>
      </c>
      <c r="N900" s="36">
        <f>IFERROR(INDEX(DATABASE_FG!$H$5:$H$367, MATCH(E900, DATABASE_FG!$C$5:$C$367, 0)), " ")</f>
        <v>0</v>
      </c>
      <c r="O900" s="129" t="str">
        <f>IF(E900&lt;&gt;"", _xlfn.XLOOKUP(E900, DATABASE_FG!C:C, DATABASE_FG!F:F), " ")</f>
        <v>shaft</v>
      </c>
      <c r="P900" s="129">
        <f>IFERROR(INDEX(DATABASE_FG!$G$5:$G$367, MATCH(E900, DATABASE_FG!$C$5:$C$367, 0)), "Not Found")</f>
        <v>50</v>
      </c>
      <c r="Q900" s="36"/>
      <c r="R900" s="125" t="s">
        <v>680</v>
      </c>
      <c r="S900" s="123">
        <f>IFERROR(INDEX(DATABASE_FG!$L$5:$L$367, MATCH(E900, DATABASE_FG!$C$5:$C$367, 0)), " ")</f>
        <v>56</v>
      </c>
      <c r="T900" s="36"/>
      <c r="U900" s="36"/>
      <c r="V900" s="36"/>
      <c r="W900" s="129"/>
      <c r="X900" s="36"/>
      <c r="Y900" s="36"/>
      <c r="Z900" s="36"/>
      <c r="AA900" s="125" t="s">
        <v>121</v>
      </c>
      <c r="AB900" s="173">
        <v>45617</v>
      </c>
      <c r="AC900" s="119">
        <v>202401411</v>
      </c>
      <c r="AD900" s="36">
        <f t="shared" si="110"/>
        <v>37347643</v>
      </c>
      <c r="AE900" s="36" t="str">
        <f t="shared" si="111"/>
        <v>F-688038.02-0111.W.WE36</v>
      </c>
      <c r="AF900" s="36">
        <v>311</v>
      </c>
      <c r="AG900" s="120">
        <f t="shared" si="103"/>
        <v>2385.37</v>
      </c>
      <c r="AH900" s="36"/>
      <c r="AI900" s="124"/>
      <c r="AJ900" s="122" t="s">
        <v>2003</v>
      </c>
      <c r="AK900" s="129" t="str">
        <f t="shared" ca="1" si="102"/>
        <v>Late</v>
      </c>
      <c r="AL900" s="268" t="str">
        <f t="shared" si="104"/>
        <v>August</v>
      </c>
      <c r="AM900" s="133">
        <f>YEAR(Table1[[#This Row],[ETA
As requested
dd.mm.yyyy]])</f>
        <v>2024</v>
      </c>
    </row>
    <row r="901" spans="1:39" hidden="1">
      <c r="A901" s="123" t="s">
        <v>82</v>
      </c>
      <c r="B901" s="36" t="s">
        <v>1170</v>
      </c>
      <c r="C901" s="117">
        <v>37347643</v>
      </c>
      <c r="D901" s="165">
        <v>45518</v>
      </c>
      <c r="E901" s="117" t="s">
        <v>431</v>
      </c>
      <c r="F901" s="36" t="str">
        <f>IFERROR(VLOOKUP(Table1[[#This Row],[Part Number]],DATABASE_FG!$C$6:D10890,2,FALSE)," ")</f>
        <v>shaft</v>
      </c>
      <c r="G901" s="117">
        <f>IFERROR(_xlfn.XLOOKUP(Table1[[#This Row],[Part Number]],Table3[Part number],Table3[Drawing
 Revision]),"")</f>
        <v>0</v>
      </c>
      <c r="H901" s="118" cm="1">
        <f t="array" ref="H901">IFERROR(INDEX(PDB!$C:$AT,MATCH(E901,PDB!$B:$B,0),MATCH(YEAR(K901),0+PDB!$C$1:$AT$1,0)),"")</f>
        <v>7.67</v>
      </c>
      <c r="I901" s="36">
        <v>317</v>
      </c>
      <c r="J901" s="125">
        <f>IFERROR(Table1[[#This Row],[Quantity]]*Table1[[#This Row],[Price/Unit
EUR]]," ")</f>
        <v>2431.39</v>
      </c>
      <c r="K901" s="126">
        <v>45520</v>
      </c>
      <c r="L901" s="36">
        <f>WEEKNUM(Table1[[#This Row],[ETA
As requested
dd.mm.yyyy]])</f>
        <v>33</v>
      </c>
      <c r="M901" s="36">
        <f>YEAR(Table1[[#This Row],[ETA
As requested
dd.mm.yyyy]])</f>
        <v>2024</v>
      </c>
      <c r="N901" s="36">
        <f>IFERROR(INDEX(DATABASE_FG!$H$5:$H$367, MATCH(E901, DATABASE_FG!$C$5:$C$367, 0)), " ")</f>
        <v>0</v>
      </c>
      <c r="O901" s="129" t="str">
        <f>IF(E901&lt;&gt;"", _xlfn.XLOOKUP(E901, DATABASE_FG!C:C, DATABASE_FG!F:F), " ")</f>
        <v>shaft</v>
      </c>
      <c r="P901" s="129">
        <f>IFERROR(INDEX(DATABASE_FG!$G$5:$G$367, MATCH(E901, DATABASE_FG!$C$5:$C$367, 0)), "Not Found")</f>
        <v>50</v>
      </c>
      <c r="Q901" s="36"/>
      <c r="R901" s="125" t="s">
        <v>680</v>
      </c>
      <c r="S901" s="123">
        <f>IFERROR(INDEX(DATABASE_FG!$L$5:$L$367, MATCH(E901, DATABASE_FG!$C$5:$C$367, 0)), " ")</f>
        <v>56</v>
      </c>
      <c r="T901" s="36"/>
      <c r="U901" s="36"/>
      <c r="V901" s="36"/>
      <c r="W901" s="129"/>
      <c r="X901" s="36"/>
      <c r="Y901" s="36"/>
      <c r="Z901" s="36"/>
      <c r="AA901" s="125" t="s">
        <v>121</v>
      </c>
      <c r="AB901" s="173">
        <v>45622</v>
      </c>
      <c r="AC901" s="119">
        <v>202401441</v>
      </c>
      <c r="AD901" s="36">
        <f t="shared" si="110"/>
        <v>37347643</v>
      </c>
      <c r="AE901" s="36" t="str">
        <f t="shared" si="111"/>
        <v>F-688038.02-0111.W.WE36</v>
      </c>
      <c r="AF901" s="36">
        <v>317</v>
      </c>
      <c r="AG901" s="120">
        <f t="shared" si="103"/>
        <v>2431.39</v>
      </c>
      <c r="AH901" s="36"/>
      <c r="AI901" s="124"/>
      <c r="AJ901" s="122" t="s">
        <v>2006</v>
      </c>
      <c r="AK901" s="129" t="str">
        <f t="shared" ca="1" si="102"/>
        <v>Late</v>
      </c>
      <c r="AL901" s="268" t="str">
        <f t="shared" si="104"/>
        <v>August</v>
      </c>
      <c r="AM901" s="133">
        <f>YEAR(Table1[[#This Row],[ETA
As requested
dd.mm.yyyy]])</f>
        <v>2024</v>
      </c>
    </row>
    <row r="902" spans="1:39" hidden="1">
      <c r="A902" s="123" t="s">
        <v>82</v>
      </c>
      <c r="B902" s="36" t="s">
        <v>1170</v>
      </c>
      <c r="C902" s="117">
        <v>37347643</v>
      </c>
      <c r="D902" s="165">
        <v>45518</v>
      </c>
      <c r="E902" s="117" t="s">
        <v>431</v>
      </c>
      <c r="F902" s="36" t="str">
        <f>IFERROR(VLOOKUP(Table1[[#This Row],[Part Number]],DATABASE_FG!$C$6:D10891,2,FALSE)," ")</f>
        <v>shaft</v>
      </c>
      <c r="G902" s="117">
        <f>IFERROR(_xlfn.XLOOKUP(Table1[[#This Row],[Part Number]],Table3[Part number],Table3[Drawing
 Revision]),"")</f>
        <v>0</v>
      </c>
      <c r="H902" s="118" cm="1">
        <f t="array" ref="H902">IFERROR(INDEX(PDB!$C:$AT,MATCH(E902,PDB!$B:$B,0),MATCH(YEAR(K902),0+PDB!$C$1:$AT$1,0)),"")</f>
        <v>7.67</v>
      </c>
      <c r="I902" s="36">
        <v>348</v>
      </c>
      <c r="J902" s="125">
        <f>IFERROR(Table1[[#This Row],[Quantity]]*Table1[[#This Row],[Price/Unit
EUR]]," ")</f>
        <v>2669.16</v>
      </c>
      <c r="K902" s="126">
        <v>45520</v>
      </c>
      <c r="L902" s="36">
        <f>WEEKNUM(Table1[[#This Row],[ETA
As requested
dd.mm.yyyy]])</f>
        <v>33</v>
      </c>
      <c r="M902" s="36">
        <f>YEAR(Table1[[#This Row],[ETA
As requested
dd.mm.yyyy]])</f>
        <v>2024</v>
      </c>
      <c r="N902" s="36">
        <f>IFERROR(INDEX(DATABASE_FG!$H$5:$H$367, MATCH(E902, DATABASE_FG!$C$5:$C$367, 0)), " ")</f>
        <v>0</v>
      </c>
      <c r="O902" s="129" t="str">
        <f>IF(E902&lt;&gt;"", _xlfn.XLOOKUP(E902, DATABASE_FG!C:C, DATABASE_FG!F:F), " ")</f>
        <v>shaft</v>
      </c>
      <c r="P902" s="129">
        <f>IFERROR(INDEX(DATABASE_FG!$G$5:$G$367, MATCH(E902, DATABASE_FG!$C$5:$C$367, 0)), "Not Found")</f>
        <v>50</v>
      </c>
      <c r="Q902" s="36"/>
      <c r="R902" s="125" t="s">
        <v>680</v>
      </c>
      <c r="S902" s="123">
        <f>IFERROR(INDEX(DATABASE_FG!$L$5:$L$367, MATCH(E902, DATABASE_FG!$C$5:$C$367, 0)), " ")</f>
        <v>56</v>
      </c>
      <c r="T902" s="36"/>
      <c r="U902" s="36"/>
      <c r="V902" s="36"/>
      <c r="W902" s="129"/>
      <c r="X902" s="36"/>
      <c r="Y902" s="36"/>
      <c r="Z902" s="36"/>
      <c r="AA902" s="125" t="s">
        <v>121</v>
      </c>
      <c r="AB902" s="173">
        <v>45629</v>
      </c>
      <c r="AC902" s="119">
        <v>202401464</v>
      </c>
      <c r="AD902" s="36">
        <f t="shared" si="110"/>
        <v>37347643</v>
      </c>
      <c r="AE902" s="36" t="str">
        <f t="shared" si="111"/>
        <v>F-688038.02-0111.W.WE36</v>
      </c>
      <c r="AF902" s="36">
        <v>348</v>
      </c>
      <c r="AG902" s="120">
        <f t="shared" si="103"/>
        <v>2669.16</v>
      </c>
      <c r="AH902" s="36"/>
      <c r="AI902" s="124"/>
      <c r="AJ902" s="122" t="s">
        <v>2008</v>
      </c>
      <c r="AK902" s="129" t="str">
        <f t="shared" ca="1" si="102"/>
        <v>Late</v>
      </c>
      <c r="AL902" s="268" t="str">
        <f t="shared" si="104"/>
        <v>August</v>
      </c>
      <c r="AM902" s="133">
        <f>YEAR(Table1[[#This Row],[ETA
As requested
dd.mm.yyyy]])</f>
        <v>2024</v>
      </c>
    </row>
    <row r="903" spans="1:39" hidden="1">
      <c r="A903" s="123" t="s">
        <v>82</v>
      </c>
      <c r="B903" s="36" t="s">
        <v>1170</v>
      </c>
      <c r="C903" s="117">
        <v>37347643</v>
      </c>
      <c r="D903" s="165">
        <v>45518</v>
      </c>
      <c r="E903" s="117" t="s">
        <v>431</v>
      </c>
      <c r="F903" s="36" t="str">
        <f>IFERROR(VLOOKUP(Table1[[#This Row],[Part Number]],DATABASE_FG!$C$6:D10892,2,FALSE)," ")</f>
        <v>shaft</v>
      </c>
      <c r="G903" s="117">
        <f>IFERROR(_xlfn.XLOOKUP(Table1[[#This Row],[Part Number]],Table3[Part number],Table3[Drawing
 Revision]),"")</f>
        <v>0</v>
      </c>
      <c r="H903" s="118" cm="1">
        <f t="array" ref="H903">IFERROR(INDEX(PDB!$C:$AT,MATCH(E903,PDB!$B:$B,0),MATCH(YEAR(K903),0+PDB!$C$1:$AT$1,0)),"")</f>
        <v>7.67</v>
      </c>
      <c r="I903" s="36">
        <v>156</v>
      </c>
      <c r="J903" s="125">
        <f>IFERROR(Table1[[#This Row],[Quantity]]*Table1[[#This Row],[Price/Unit
EUR]]," ")</f>
        <v>1196.52</v>
      </c>
      <c r="K903" s="126">
        <v>45520</v>
      </c>
      <c r="L903" s="36">
        <f>WEEKNUM(Table1[[#This Row],[ETA
As requested
dd.mm.yyyy]])</f>
        <v>33</v>
      </c>
      <c r="M903" s="36">
        <f>YEAR(Table1[[#This Row],[ETA
As requested
dd.mm.yyyy]])</f>
        <v>2024</v>
      </c>
      <c r="N903" s="36">
        <f>IFERROR(INDEX(DATABASE_FG!$H$5:$H$367, MATCH(E903, DATABASE_FG!$C$5:$C$367, 0)), " ")</f>
        <v>0</v>
      </c>
      <c r="O903" s="129" t="str">
        <f>IF(E903&lt;&gt;"", _xlfn.XLOOKUP(E903, DATABASE_FG!C:C, DATABASE_FG!F:F), " ")</f>
        <v>shaft</v>
      </c>
      <c r="P903" s="129">
        <f>IFERROR(INDEX(DATABASE_FG!$G$5:$G$367, MATCH(E903, DATABASE_FG!$C$5:$C$367, 0)), "Not Found")</f>
        <v>50</v>
      </c>
      <c r="Q903" s="36"/>
      <c r="R903" s="125" t="s">
        <v>680</v>
      </c>
      <c r="S903" s="123">
        <f>IFERROR(INDEX(DATABASE_FG!$L$5:$L$367, MATCH(E903, DATABASE_FG!$C$5:$C$367, 0)), " ")</f>
        <v>56</v>
      </c>
      <c r="T903" s="36"/>
      <c r="U903" s="36"/>
      <c r="V903" s="36"/>
      <c r="W903" s="129"/>
      <c r="X903" s="36"/>
      <c r="Y903" s="36"/>
      <c r="Z903" s="36"/>
      <c r="AA903" s="125" t="s">
        <v>121</v>
      </c>
      <c r="AB903" s="173">
        <v>45632</v>
      </c>
      <c r="AC903" s="119">
        <v>202401504</v>
      </c>
      <c r="AD903" s="36">
        <f t="shared" si="110"/>
        <v>37347643</v>
      </c>
      <c r="AE903" s="36" t="str">
        <f t="shared" si="111"/>
        <v>F-688038.02-0111.W.WE36</v>
      </c>
      <c r="AF903" s="36">
        <v>156</v>
      </c>
      <c r="AG903" s="120">
        <f t="shared" si="103"/>
        <v>1196.52</v>
      </c>
      <c r="AH903" s="36"/>
      <c r="AI903" s="124"/>
      <c r="AJ903" s="122" t="s">
        <v>2010</v>
      </c>
      <c r="AK903" s="129" t="str">
        <f t="shared" ca="1" si="102"/>
        <v>Late</v>
      </c>
      <c r="AL903" s="268" t="str">
        <f t="shared" si="104"/>
        <v>August</v>
      </c>
      <c r="AM903" s="133">
        <f>YEAR(Table1[[#This Row],[ETA
As requested
dd.mm.yyyy]])</f>
        <v>2024</v>
      </c>
    </row>
    <row r="904" spans="1:39" hidden="1">
      <c r="A904" s="123" t="s">
        <v>82</v>
      </c>
      <c r="B904" s="36" t="s">
        <v>1170</v>
      </c>
      <c r="C904" s="117">
        <v>37347643</v>
      </c>
      <c r="D904" s="165">
        <v>45518</v>
      </c>
      <c r="E904" s="117" t="s">
        <v>431</v>
      </c>
      <c r="F904" s="36" t="str">
        <f>IFERROR(VLOOKUP(Table1[[#This Row],[Part Number]],DATABASE_FG!$C$6:D10893,2,FALSE)," ")</f>
        <v>shaft</v>
      </c>
      <c r="G904" s="117">
        <f>IFERROR(_xlfn.XLOOKUP(Table1[[#This Row],[Part Number]],Table3[Part number],Table3[Drawing
 Revision]),"")</f>
        <v>0</v>
      </c>
      <c r="H904" s="118" cm="1">
        <f t="array" ref="H904">IFERROR(INDEX(PDB!$C:$AT,MATCH(E904,PDB!$B:$B,0),MATCH(YEAR(K904),0+PDB!$C$1:$AT$1,0)),"")</f>
        <v>7.67</v>
      </c>
      <c r="I904" s="36">
        <v>420</v>
      </c>
      <c r="J904" s="125">
        <f>IFERROR(Table1[[#This Row],[Quantity]]*Table1[[#This Row],[Price/Unit
EUR]]," ")</f>
        <v>3221.4</v>
      </c>
      <c r="K904" s="126">
        <v>45520</v>
      </c>
      <c r="L904" s="36">
        <f>WEEKNUM(Table1[[#This Row],[ETA
As requested
dd.mm.yyyy]])</f>
        <v>33</v>
      </c>
      <c r="M904" s="36">
        <f>YEAR(Table1[[#This Row],[ETA
As requested
dd.mm.yyyy]])</f>
        <v>2024</v>
      </c>
      <c r="N904" s="36">
        <f>IFERROR(INDEX(DATABASE_FG!$H$5:$H$367, MATCH(E904, DATABASE_FG!$C$5:$C$367, 0)), " ")</f>
        <v>0</v>
      </c>
      <c r="O904" s="129" t="str">
        <f>IF(E904&lt;&gt;"", _xlfn.XLOOKUP(E904, DATABASE_FG!C:C, DATABASE_FG!F:F), " ")</f>
        <v>shaft</v>
      </c>
      <c r="P904" s="129">
        <f>IFERROR(INDEX(DATABASE_FG!$G$5:$G$367, MATCH(E904, DATABASE_FG!$C$5:$C$367, 0)), "Not Found")</f>
        <v>50</v>
      </c>
      <c r="Q904" s="36"/>
      <c r="R904" s="125" t="s">
        <v>680</v>
      </c>
      <c r="S904" s="123">
        <f>IFERROR(INDEX(DATABASE_FG!$L$5:$L$367, MATCH(E904, DATABASE_FG!$C$5:$C$367, 0)), " ")</f>
        <v>56</v>
      </c>
      <c r="T904" s="36"/>
      <c r="U904" s="36"/>
      <c r="V904" s="36"/>
      <c r="W904" s="129"/>
      <c r="X904" s="36"/>
      <c r="Y904" s="36"/>
      <c r="Z904" s="36"/>
      <c r="AA904" s="125" t="s">
        <v>121</v>
      </c>
      <c r="AB904" s="173">
        <v>45640</v>
      </c>
      <c r="AC904" s="119">
        <v>202401547</v>
      </c>
      <c r="AD904" s="36">
        <f t="shared" si="110"/>
        <v>37347643</v>
      </c>
      <c r="AE904" s="36" t="str">
        <f t="shared" si="111"/>
        <v>F-688038.02-0111.W.WE36</v>
      </c>
      <c r="AF904" s="36">
        <v>420</v>
      </c>
      <c r="AG904" s="120">
        <f t="shared" si="103"/>
        <v>3221.4</v>
      </c>
      <c r="AH904" s="36"/>
      <c r="AI904" s="124"/>
      <c r="AJ904" s="122" t="s">
        <v>2012</v>
      </c>
      <c r="AK904" s="129" t="str">
        <f t="shared" ca="1" si="102"/>
        <v>Late</v>
      </c>
      <c r="AL904" s="268" t="str">
        <f t="shared" si="104"/>
        <v>August</v>
      </c>
      <c r="AM904" s="133">
        <f>YEAR(Table1[[#This Row],[ETA
As requested
dd.mm.yyyy]])</f>
        <v>2024</v>
      </c>
    </row>
    <row r="905" spans="1:39" hidden="1">
      <c r="A905" s="123" t="s">
        <v>82</v>
      </c>
      <c r="B905" s="36" t="s">
        <v>1170</v>
      </c>
      <c r="C905" s="117">
        <v>37347643</v>
      </c>
      <c r="D905" s="165">
        <v>45518</v>
      </c>
      <c r="E905" s="117" t="s">
        <v>431</v>
      </c>
      <c r="F905" s="36" t="str">
        <f>IFERROR(VLOOKUP(Table1[[#This Row],[Part Number]],DATABASE_FG!$C$6:D10894,2,FALSE)," ")</f>
        <v>shaft</v>
      </c>
      <c r="G905" s="117">
        <f>IFERROR(_xlfn.XLOOKUP(Table1[[#This Row],[Part Number]],Table3[Part number],Table3[Drawing
 Revision]),"")</f>
        <v>0</v>
      </c>
      <c r="H905" s="118" cm="1">
        <f t="array" ref="H905">IFERROR(INDEX(PDB!$C:$AT,MATCH(E905,PDB!$B:$B,0),MATCH(YEAR(K905),0+PDB!$C$1:$AT$1,0)),"")</f>
        <v>7.67</v>
      </c>
      <c r="I905" s="36">
        <v>121</v>
      </c>
      <c r="J905" s="125">
        <f>IFERROR(Table1[[#This Row],[Quantity]]*Table1[[#This Row],[Price/Unit
EUR]]," ")</f>
        <v>928.06999999999994</v>
      </c>
      <c r="K905" s="126">
        <v>45520</v>
      </c>
      <c r="L905" s="36">
        <f>WEEKNUM(Table1[[#This Row],[ETA
As requested
dd.mm.yyyy]])</f>
        <v>33</v>
      </c>
      <c r="M905" s="36">
        <f>YEAR(Table1[[#This Row],[ETA
As requested
dd.mm.yyyy]])</f>
        <v>2024</v>
      </c>
      <c r="N905" s="36">
        <f>IFERROR(INDEX(DATABASE_FG!$H$5:$H$367, MATCH(E905, DATABASE_FG!$C$5:$C$367, 0)), " ")</f>
        <v>0</v>
      </c>
      <c r="O905" s="129" t="str">
        <f>IF(E905&lt;&gt;"", _xlfn.XLOOKUP(E905, DATABASE_FG!C:C, DATABASE_FG!F:F), " ")</f>
        <v>shaft</v>
      </c>
      <c r="P905" s="129">
        <f>IFERROR(INDEX(DATABASE_FG!$G$5:$G$367, MATCH(E905, DATABASE_FG!$C$5:$C$367, 0)), "Not Found")</f>
        <v>50</v>
      </c>
      <c r="Q905" s="36"/>
      <c r="R905" s="125" t="s">
        <v>680</v>
      </c>
      <c r="S905" s="123">
        <f>IFERROR(INDEX(DATABASE_FG!$L$5:$L$367, MATCH(E905, DATABASE_FG!$C$5:$C$367, 0)), " ")</f>
        <v>56</v>
      </c>
      <c r="T905" s="36"/>
      <c r="U905" s="36"/>
      <c r="V905" s="36"/>
      <c r="W905" s="129"/>
      <c r="X905" s="36"/>
      <c r="Y905" s="36"/>
      <c r="Z905" s="36"/>
      <c r="AA905" s="125" t="s">
        <v>121</v>
      </c>
      <c r="AB905" s="173">
        <v>45640</v>
      </c>
      <c r="AC905" s="119">
        <v>202401547</v>
      </c>
      <c r="AD905" s="36">
        <f t="shared" si="110"/>
        <v>37347643</v>
      </c>
      <c r="AE905" s="36" t="str">
        <f t="shared" si="111"/>
        <v>F-688038.02-0111.W.WE36</v>
      </c>
      <c r="AF905" s="36">
        <v>121</v>
      </c>
      <c r="AG905" s="120">
        <f t="shared" si="103"/>
        <v>928.06999999999994</v>
      </c>
      <c r="AH905" s="36"/>
      <c r="AI905" s="124"/>
      <c r="AJ905" s="122" t="s">
        <v>2012</v>
      </c>
      <c r="AK905" s="129" t="str">
        <f t="shared" ca="1" si="102"/>
        <v>Late</v>
      </c>
      <c r="AL905" s="268" t="str">
        <f t="shared" si="104"/>
        <v>August</v>
      </c>
      <c r="AM905" s="133">
        <f>YEAR(Table1[[#This Row],[ETA
As requested
dd.mm.yyyy]])</f>
        <v>2024</v>
      </c>
    </row>
    <row r="906" spans="1:39" ht="15.75" hidden="1">
      <c r="A906" s="123" t="s">
        <v>82</v>
      </c>
      <c r="B906" s="36" t="s">
        <v>1170</v>
      </c>
      <c r="C906" s="117">
        <v>37347643</v>
      </c>
      <c r="D906" s="165">
        <v>45518</v>
      </c>
      <c r="E906" s="117" t="s">
        <v>431</v>
      </c>
      <c r="F906" s="36" t="str">
        <f>IFERROR(VLOOKUP(Table1[[#This Row],[Part Number]],DATABASE_FG!$C$6:D10895,2,FALSE)," ")</f>
        <v>shaft</v>
      </c>
      <c r="G906" s="117">
        <f>IFERROR(_xlfn.XLOOKUP(Table1[[#This Row],[Part Number]],Table3[Part number],Table3[Drawing
 Revision]),"")</f>
        <v>0</v>
      </c>
      <c r="H906" s="118" cm="1">
        <f t="array" ref="H906">IFERROR(INDEX(PDB!$C:$AT,MATCH(E906,PDB!$B:$B,0),MATCH(YEAR(K906),0+PDB!$C$1:$AT$1,0)),"")</f>
        <v>7.67</v>
      </c>
      <c r="I906" s="36">
        <v>527</v>
      </c>
      <c r="J906" s="125">
        <f>IFERROR(Table1[[#This Row],[Quantity]]*Table1[[#This Row],[Price/Unit
EUR]]," ")</f>
        <v>4042.09</v>
      </c>
      <c r="K906" s="126">
        <v>45520</v>
      </c>
      <c r="L906" s="36">
        <f>WEEKNUM(Table1[[#This Row],[ETA
As requested
dd.mm.yyyy]])</f>
        <v>33</v>
      </c>
      <c r="M906" s="36">
        <f>YEAR(Table1[[#This Row],[ETA
As requested
dd.mm.yyyy]])</f>
        <v>2024</v>
      </c>
      <c r="N906" s="36">
        <f>IFERROR(INDEX(DATABASE_FG!$H$5:$H$367, MATCH(E906, DATABASE_FG!$C$5:$C$367, 0)), " ")</f>
        <v>0</v>
      </c>
      <c r="O906" s="129" t="str">
        <f>IF(E906&lt;&gt;"", _xlfn.XLOOKUP(E906, DATABASE_FG!C:C, DATABASE_FG!F:F), " ")</f>
        <v>shaft</v>
      </c>
      <c r="P906" s="129">
        <f>IFERROR(INDEX(DATABASE_FG!$G$5:$G$367, MATCH(E906, DATABASE_FG!$C$5:$C$367, 0)), "Not Found")</f>
        <v>50</v>
      </c>
      <c r="Q906" s="36"/>
      <c r="R906" s="125" t="s">
        <v>680</v>
      </c>
      <c r="S906" s="123">
        <f>IFERROR(INDEX(DATABASE_FG!$L$5:$L$367, MATCH(E906, DATABASE_FG!$C$5:$C$367, 0)), " ")</f>
        <v>56</v>
      </c>
      <c r="T906" s="36"/>
      <c r="U906" s="36"/>
      <c r="V906" s="36"/>
      <c r="W906" s="129"/>
      <c r="X906" s="36"/>
      <c r="Y906" s="36"/>
      <c r="Z906" s="36"/>
      <c r="AA906" s="125" t="s">
        <v>121</v>
      </c>
      <c r="AB906" s="173">
        <v>45647</v>
      </c>
      <c r="AC906" s="119">
        <v>202401593</v>
      </c>
      <c r="AD906" s="36">
        <f t="shared" si="110"/>
        <v>37347643</v>
      </c>
      <c r="AE906" s="36" t="str">
        <f t="shared" si="111"/>
        <v>F-688038.02-0111.W.WE36</v>
      </c>
      <c r="AF906" s="36">
        <v>527</v>
      </c>
      <c r="AG906" s="120">
        <f t="shared" si="103"/>
        <v>4042.09</v>
      </c>
      <c r="AH906" s="36"/>
      <c r="AI906" s="124" t="s">
        <v>2019</v>
      </c>
      <c r="AJ906" s="122" t="s">
        <v>2020</v>
      </c>
      <c r="AK906" s="129" t="str">
        <f t="shared" ca="1" si="102"/>
        <v>Late</v>
      </c>
      <c r="AL906" s="268" t="str">
        <f t="shared" si="104"/>
        <v>August</v>
      </c>
      <c r="AM906" s="133">
        <f>YEAR(Table1[[#This Row],[ETA
As requested
dd.mm.yyyy]])</f>
        <v>2024</v>
      </c>
    </row>
    <row r="907" spans="1:39" hidden="1">
      <c r="A907" s="123" t="s">
        <v>82</v>
      </c>
      <c r="B907" s="36" t="s">
        <v>1170</v>
      </c>
      <c r="C907" s="117">
        <v>37347643</v>
      </c>
      <c r="D907" s="165">
        <v>45518</v>
      </c>
      <c r="E907" s="117" t="s">
        <v>431</v>
      </c>
      <c r="F907" s="36" t="str">
        <f>IFERROR(VLOOKUP(Table1[[#This Row],[Part Number]],DATABASE_FG!$C$6:D10896,2,FALSE)," ")</f>
        <v>shaft</v>
      </c>
      <c r="G907" s="117">
        <f>IFERROR(_xlfn.XLOOKUP(Table1[[#This Row],[Part Number]],Table3[Part number],Table3[Drawing
 Revision]),"")</f>
        <v>0</v>
      </c>
      <c r="H907" s="118" cm="1">
        <f t="array" ref="H907">IFERROR(INDEX(PDB!$C:$AT,MATCH(E907,PDB!$B:$B,0),MATCH(YEAR(K907),0+PDB!$C$1:$AT$1,0)),"")</f>
        <v>7.67</v>
      </c>
      <c r="I907" s="36">
        <v>778</v>
      </c>
      <c r="J907" s="125">
        <f>IFERROR(Table1[[#This Row],[Quantity]]*Table1[[#This Row],[Price/Unit
EUR]]," ")</f>
        <v>5967.26</v>
      </c>
      <c r="K907" s="126">
        <v>45520</v>
      </c>
      <c r="L907" s="36">
        <f>WEEKNUM(Table1[[#This Row],[ETA
As requested
dd.mm.yyyy]])</f>
        <v>33</v>
      </c>
      <c r="M907" s="36">
        <f>YEAR(Table1[[#This Row],[ETA
As requested
dd.mm.yyyy]])</f>
        <v>2024</v>
      </c>
      <c r="N907" s="36">
        <f>IFERROR(INDEX(DATABASE_FG!$H$5:$H$367, MATCH(E907, DATABASE_FG!$C$5:$C$367, 0)), " ")</f>
        <v>0</v>
      </c>
      <c r="O907" s="129" t="str">
        <f>IF(E907&lt;&gt;"", _xlfn.XLOOKUP(E907, DATABASE_FG!C:C, DATABASE_FG!F:F), " ")</f>
        <v>shaft</v>
      </c>
      <c r="P907" s="129">
        <f>IFERROR(INDEX(DATABASE_FG!$G$5:$G$367, MATCH(E907, DATABASE_FG!$C$5:$C$367, 0)), "Not Found")</f>
        <v>50</v>
      </c>
      <c r="Q907" s="36"/>
      <c r="R907" s="125" t="s">
        <v>680</v>
      </c>
      <c r="S907" s="123">
        <f>IFERROR(INDEX(DATABASE_FG!$L$5:$L$367, MATCH(E907, DATABASE_FG!$C$5:$C$367, 0)), " ")</f>
        <v>56</v>
      </c>
      <c r="T907" s="36"/>
      <c r="U907" s="36"/>
      <c r="V907" s="36"/>
      <c r="W907" s="129"/>
      <c r="X907" s="36"/>
      <c r="Y907" s="36"/>
      <c r="Z907" s="36"/>
      <c r="AA907" s="125" t="s">
        <v>121</v>
      </c>
      <c r="AB907" s="173">
        <v>45675</v>
      </c>
      <c r="AC907" s="119" t="s">
        <v>2026</v>
      </c>
      <c r="AD907" s="36">
        <f t="shared" si="110"/>
        <v>37347643</v>
      </c>
      <c r="AE907" s="36" t="str">
        <f t="shared" si="111"/>
        <v>F-688038.02-0111.W.WE36</v>
      </c>
      <c r="AF907" s="36">
        <v>778</v>
      </c>
      <c r="AG907" s="120">
        <f t="shared" si="103"/>
        <v>5967.26</v>
      </c>
      <c r="AH907" s="36"/>
      <c r="AI907" s="124"/>
      <c r="AJ907" s="122" t="s">
        <v>2027</v>
      </c>
      <c r="AK907" s="129" t="str">
        <f t="shared" ca="1" si="102"/>
        <v>Late</v>
      </c>
      <c r="AL907" s="268" t="str">
        <f t="shared" si="104"/>
        <v>August</v>
      </c>
      <c r="AM907" s="133">
        <f>YEAR(Table1[[#This Row],[ETA
As requested
dd.mm.yyyy]])</f>
        <v>2024</v>
      </c>
    </row>
    <row r="908" spans="1:39" hidden="1">
      <c r="A908" s="123" t="s">
        <v>82</v>
      </c>
      <c r="B908" s="36" t="s">
        <v>1170</v>
      </c>
      <c r="C908" s="117">
        <v>37347643</v>
      </c>
      <c r="D908" s="165">
        <v>45518</v>
      </c>
      <c r="E908" s="117" t="s">
        <v>431</v>
      </c>
      <c r="F908" s="36" t="str">
        <f>IFERROR(VLOOKUP(Table1[[#This Row],[Part Number]],DATABASE_FG!$C$6:D10897,2,FALSE)," ")</f>
        <v>shaft</v>
      </c>
      <c r="G908" s="117">
        <f>IFERROR(_xlfn.XLOOKUP(Table1[[#This Row],[Part Number]],Table3[Part number],Table3[Drawing
 Revision]),"")</f>
        <v>0</v>
      </c>
      <c r="H908" s="118" cm="1">
        <f t="array" ref="H908">IFERROR(INDEX(PDB!$C:$AT,MATCH(E908,PDB!$B:$B,0),MATCH(YEAR(K908),0+PDB!$C$1:$AT$1,0)),"")</f>
        <v>7.67</v>
      </c>
      <c r="I908" s="36">
        <v>258</v>
      </c>
      <c r="J908" s="125">
        <f>IFERROR(Table1[[#This Row],[Quantity]]*Table1[[#This Row],[Price/Unit
EUR]]," ")</f>
        <v>1978.86</v>
      </c>
      <c r="K908" s="126">
        <v>45520</v>
      </c>
      <c r="L908" s="36">
        <f>WEEKNUM(Table1[[#This Row],[ETA
As requested
dd.mm.yyyy]])</f>
        <v>33</v>
      </c>
      <c r="M908" s="36">
        <f>YEAR(Table1[[#This Row],[ETA
As requested
dd.mm.yyyy]])</f>
        <v>2024</v>
      </c>
      <c r="N908" s="36">
        <f>IFERROR(INDEX(DATABASE_FG!$H$5:$H$367, MATCH(E908, DATABASE_FG!$C$5:$C$367, 0)), " ")</f>
        <v>0</v>
      </c>
      <c r="O908" s="129" t="str">
        <f>IF(E908&lt;&gt;"", _xlfn.XLOOKUP(E908, DATABASE_FG!C:C, DATABASE_FG!F:F), " ")</f>
        <v>shaft</v>
      </c>
      <c r="P908" s="129">
        <f>IFERROR(INDEX(DATABASE_FG!$G$5:$G$367, MATCH(E908, DATABASE_FG!$C$5:$C$367, 0)), "Not Found")</f>
        <v>50</v>
      </c>
      <c r="Q908" s="36"/>
      <c r="R908" s="125" t="s">
        <v>680</v>
      </c>
      <c r="S908" s="123">
        <f>IFERROR(INDEX(DATABASE_FG!$L$5:$L$367, MATCH(E908, DATABASE_FG!$C$5:$C$367, 0)), " ")</f>
        <v>56</v>
      </c>
      <c r="T908" s="36"/>
      <c r="U908" s="36"/>
      <c r="V908" s="36"/>
      <c r="W908" s="129"/>
      <c r="X908" s="36"/>
      <c r="Y908" s="36"/>
      <c r="Z908" s="36"/>
      <c r="AA908" s="125" t="s">
        <v>121</v>
      </c>
      <c r="AB908" s="173">
        <v>45681</v>
      </c>
      <c r="AC908" s="119">
        <v>2593</v>
      </c>
      <c r="AD908" s="36">
        <f t="shared" si="110"/>
        <v>37347643</v>
      </c>
      <c r="AE908" s="36" t="str">
        <f t="shared" si="111"/>
        <v>F-688038.02-0111.W.WE36</v>
      </c>
      <c r="AF908" s="36">
        <v>258</v>
      </c>
      <c r="AG908" s="120">
        <f t="shared" si="103"/>
        <v>1978.86</v>
      </c>
      <c r="AH908" s="36"/>
      <c r="AI908" s="124"/>
      <c r="AJ908" s="122" t="s">
        <v>2032</v>
      </c>
      <c r="AK908" s="129" t="str">
        <f t="shared" ca="1" si="102"/>
        <v>Late</v>
      </c>
      <c r="AL908" s="268" t="str">
        <f t="shared" si="104"/>
        <v>August</v>
      </c>
      <c r="AM908" s="133">
        <f>YEAR(Table1[[#This Row],[ETA
As requested
dd.mm.yyyy]])</f>
        <v>2024</v>
      </c>
    </row>
    <row r="909" spans="1:39" hidden="1">
      <c r="A909" s="123" t="s">
        <v>82</v>
      </c>
      <c r="B909" s="36" t="s">
        <v>1170</v>
      </c>
      <c r="C909" s="117">
        <v>37347643</v>
      </c>
      <c r="D909" s="165">
        <v>45518</v>
      </c>
      <c r="E909" s="117" t="s">
        <v>431</v>
      </c>
      <c r="F909" s="36" t="str">
        <f>IFERROR(VLOOKUP(Table1[[#This Row],[Part Number]],DATABASE_FG!$C$6:D10898,2,FALSE)," ")</f>
        <v>shaft</v>
      </c>
      <c r="G909" s="117">
        <f>IFERROR(_xlfn.XLOOKUP(Table1[[#This Row],[Part Number]],Table3[Part number],Table3[Drawing
 Revision]),"")</f>
        <v>0</v>
      </c>
      <c r="H909" s="118" cm="1">
        <f t="array" ref="H909">IFERROR(INDEX(PDB!$C:$AT,MATCH(E909,PDB!$B:$B,0),MATCH(YEAR(K909),0+PDB!$C$1:$AT$1,0)),"")</f>
        <v>7.67</v>
      </c>
      <c r="I909" s="36">
        <v>407</v>
      </c>
      <c r="J909" s="125">
        <f>IFERROR(Table1[[#This Row],[Quantity]]*Table1[[#This Row],[Price/Unit
EUR]]," ")</f>
        <v>3121.69</v>
      </c>
      <c r="K909" s="126">
        <v>45520</v>
      </c>
      <c r="L909" s="36">
        <f>WEEKNUM(Table1[[#This Row],[ETA
As requested
dd.mm.yyyy]])</f>
        <v>33</v>
      </c>
      <c r="M909" s="36">
        <f>YEAR(Table1[[#This Row],[ETA
As requested
dd.mm.yyyy]])</f>
        <v>2024</v>
      </c>
      <c r="N909" s="36">
        <f>IFERROR(INDEX(DATABASE_FG!$H$5:$H$367, MATCH(E909, DATABASE_FG!$C$5:$C$367, 0)), " ")</f>
        <v>0</v>
      </c>
      <c r="O909" s="129" t="str">
        <f>IF(E909&lt;&gt;"", _xlfn.XLOOKUP(E909, DATABASE_FG!C:C, DATABASE_FG!F:F), " ")</f>
        <v>shaft</v>
      </c>
      <c r="P909" s="129">
        <f>IFERROR(INDEX(DATABASE_FG!$G$5:$G$367, MATCH(E909, DATABASE_FG!$C$5:$C$367, 0)), "Not Found")</f>
        <v>50</v>
      </c>
      <c r="Q909" s="36"/>
      <c r="R909" s="125"/>
      <c r="S909" s="123">
        <f>Table1[[#This Row],[Quantity]]/48</f>
        <v>8.4791666666666661</v>
      </c>
      <c r="T909" s="36"/>
      <c r="U909" s="36"/>
      <c r="V909" s="36"/>
      <c r="W909" s="129"/>
      <c r="X909" s="36"/>
      <c r="Y909" s="36"/>
      <c r="Z909" s="36"/>
      <c r="AA909" s="125" t="s">
        <v>121</v>
      </c>
      <c r="AB909" s="173">
        <v>45689</v>
      </c>
      <c r="AC909" s="119" t="s">
        <v>2035</v>
      </c>
      <c r="AD909" s="36">
        <f t="shared" si="110"/>
        <v>37347643</v>
      </c>
      <c r="AE909" s="36" t="str">
        <f t="shared" si="111"/>
        <v>F-688038.02-0111.W.WE36</v>
      </c>
      <c r="AF909" s="36">
        <v>407</v>
      </c>
      <c r="AG909" s="120">
        <f t="shared" si="103"/>
        <v>3121.69</v>
      </c>
      <c r="AH909" s="36"/>
      <c r="AI909" s="124"/>
      <c r="AJ909" s="122" t="s">
        <v>2036</v>
      </c>
      <c r="AK909" s="129" t="str">
        <f t="shared" ca="1" si="102"/>
        <v>Late</v>
      </c>
      <c r="AL909" s="268" t="str">
        <f t="shared" si="104"/>
        <v>August</v>
      </c>
      <c r="AM909" s="133">
        <f>YEAR(Table1[[#This Row],[ETA
As requested
dd.mm.yyyy]])</f>
        <v>2024</v>
      </c>
    </row>
    <row r="910" spans="1:39" hidden="1">
      <c r="A910" s="123" t="s">
        <v>82</v>
      </c>
      <c r="B910" s="36" t="s">
        <v>1170</v>
      </c>
      <c r="C910" s="117">
        <v>37347643</v>
      </c>
      <c r="D910" s="165">
        <v>45518</v>
      </c>
      <c r="E910" s="117" t="s">
        <v>431</v>
      </c>
      <c r="F910" s="36" t="str">
        <f>IFERROR(VLOOKUP(Table1[[#This Row],[Part Number]],DATABASE_FG!$C$6:D10899,2,FALSE)," ")</f>
        <v>shaft</v>
      </c>
      <c r="G910" s="117">
        <f>IFERROR(_xlfn.XLOOKUP(Table1[[#This Row],[Part Number]],Table3[Part number],Table3[Drawing
 Revision]),"")</f>
        <v>0</v>
      </c>
      <c r="H910" s="118" cm="1">
        <f t="array" ref="H910">IFERROR(INDEX(PDB!$C:$AT,MATCH(E910,PDB!$B:$B,0),MATCH(YEAR(K910),0+PDB!$C$1:$AT$1,0)),"")</f>
        <v>7.67</v>
      </c>
      <c r="I910" s="36">
        <v>36</v>
      </c>
      <c r="J910" s="125">
        <f>IFERROR(Table1[[#This Row],[Quantity]]*Table1[[#This Row],[Price/Unit
EUR]]," ")</f>
        <v>276.12</v>
      </c>
      <c r="K910" s="126">
        <v>45520</v>
      </c>
      <c r="L910" s="36">
        <f>WEEKNUM(Table1[[#This Row],[ETA
As requested
dd.mm.yyyy]])</f>
        <v>33</v>
      </c>
      <c r="M910" s="36">
        <f>YEAR(Table1[[#This Row],[ETA
As requested
dd.mm.yyyy]])</f>
        <v>2024</v>
      </c>
      <c r="N910" s="36">
        <f>IFERROR(INDEX(DATABASE_FG!$H$5:$H$367, MATCH(E910, DATABASE_FG!$C$5:$C$367, 0)), " ")</f>
        <v>0</v>
      </c>
      <c r="O910" s="129" t="str">
        <f>IF(E910&lt;&gt;"", _xlfn.XLOOKUP(E910, DATABASE_FG!C:C, DATABASE_FG!F:F), " ")</f>
        <v>shaft</v>
      </c>
      <c r="P910" s="129">
        <f>IFERROR(INDEX(DATABASE_FG!$G$5:$G$367, MATCH(E910, DATABASE_FG!$C$5:$C$367, 0)), "Not Found")</f>
        <v>50</v>
      </c>
      <c r="Q910" s="36"/>
      <c r="R910" s="125" t="s">
        <v>680</v>
      </c>
      <c r="S910" s="123">
        <f>IFERROR(INDEX(DATABASE_FG!$L$5:$L$367, MATCH(E910, DATABASE_FG!$C$5:$C$367, 0)), " ")</f>
        <v>56</v>
      </c>
      <c r="T910" s="36"/>
      <c r="U910" s="36"/>
      <c r="V910" s="36"/>
      <c r="W910" s="129"/>
      <c r="X910" s="36"/>
      <c r="Y910" s="36"/>
      <c r="Z910" s="36"/>
      <c r="AA910" s="125" t="s">
        <v>121</v>
      </c>
      <c r="AB910" s="173">
        <v>45717</v>
      </c>
      <c r="AC910" s="119" t="s">
        <v>2044</v>
      </c>
      <c r="AD910" s="36">
        <f t="shared" si="110"/>
        <v>37347643</v>
      </c>
      <c r="AE910" s="36" t="str">
        <f t="shared" si="111"/>
        <v>F-688038.02-0111.W.WE36</v>
      </c>
      <c r="AF910" s="36">
        <v>36</v>
      </c>
      <c r="AG910" s="120">
        <f t="shared" si="103"/>
        <v>276.12</v>
      </c>
      <c r="AH910" s="36"/>
      <c r="AI910" s="124"/>
      <c r="AJ910" s="122" t="s">
        <v>2045</v>
      </c>
      <c r="AK910" s="129" t="str">
        <f t="shared" ca="1" si="102"/>
        <v>Late</v>
      </c>
      <c r="AL910" s="268" t="str">
        <f t="shared" si="104"/>
        <v>August</v>
      </c>
      <c r="AM910" s="133">
        <f>YEAR(Table1[[#This Row],[ETA
As requested
dd.mm.yyyy]])</f>
        <v>2024</v>
      </c>
    </row>
    <row r="911" spans="1:39" hidden="1">
      <c r="A911" s="123" t="s">
        <v>82</v>
      </c>
      <c r="B911" s="36" t="s">
        <v>1170</v>
      </c>
      <c r="C911" s="117">
        <v>37347643</v>
      </c>
      <c r="D911" s="165">
        <v>45518</v>
      </c>
      <c r="E911" s="117" t="s">
        <v>431</v>
      </c>
      <c r="F911" s="36" t="str">
        <f>IFERROR(VLOOKUP(Table1[[#This Row],[Part Number]],DATABASE_FG!$C$6:D10900,2,FALSE)," ")</f>
        <v>shaft</v>
      </c>
      <c r="G911" s="117">
        <f>IFERROR(_xlfn.XLOOKUP(Table1[[#This Row],[Part Number]],Table3[Part number],Table3[Drawing
 Revision]),"")</f>
        <v>0</v>
      </c>
      <c r="H911" s="118" cm="1">
        <f t="array" ref="H911">IFERROR(INDEX(PDB!$C:$AT,MATCH(E911,PDB!$B:$B,0),MATCH(YEAR(K911),0+PDB!$C$1:$AT$1,0)),"")</f>
        <v>7.67</v>
      </c>
      <c r="I911" s="36">
        <v>336</v>
      </c>
      <c r="J911" s="125">
        <f>IFERROR(Table1[[#This Row],[Quantity]]*Table1[[#This Row],[Price/Unit
EUR]]," ")</f>
        <v>2577.12</v>
      </c>
      <c r="K911" s="126">
        <v>45520</v>
      </c>
      <c r="L911" s="36">
        <f>WEEKNUM(Table1[[#This Row],[ETA
As requested
dd.mm.yyyy]])</f>
        <v>33</v>
      </c>
      <c r="M911" s="36">
        <f>YEAR(Table1[[#This Row],[ETA
As requested
dd.mm.yyyy]])</f>
        <v>2024</v>
      </c>
      <c r="N911" s="36">
        <f>IFERROR(INDEX(DATABASE_FG!$H$5:$H$367, MATCH(E911, DATABASE_FG!$C$5:$C$367, 0)), " ")</f>
        <v>0</v>
      </c>
      <c r="O911" s="129" t="str">
        <f>IF(E911&lt;&gt;"", _xlfn.XLOOKUP(E911, DATABASE_FG!C:C, DATABASE_FG!F:F), " ")</f>
        <v>shaft</v>
      </c>
      <c r="P911" s="129">
        <f>IFERROR(INDEX(DATABASE_FG!$G$5:$G$367, MATCH(E911, DATABASE_FG!$C$5:$C$367, 0)), "Not Found")</f>
        <v>50</v>
      </c>
      <c r="Q911" s="36"/>
      <c r="R911" s="125" t="s">
        <v>680</v>
      </c>
      <c r="S911" s="123">
        <f>IFERROR(INDEX(DATABASE_FG!$L$5:$L$367, MATCH(E911, DATABASE_FG!$C$5:$C$367, 0)), " ")</f>
        <v>56</v>
      </c>
      <c r="T911" s="36"/>
      <c r="U911" s="36"/>
      <c r="V911" s="36"/>
      <c r="W911" s="129"/>
      <c r="X911" s="36"/>
      <c r="Y911" s="36" t="s">
        <v>677</v>
      </c>
      <c r="Z911" s="36"/>
      <c r="AA911" s="125" t="s">
        <v>121</v>
      </c>
      <c r="AB911" s="173">
        <v>45721</v>
      </c>
      <c r="AC911" s="119">
        <v>25326</v>
      </c>
      <c r="AD911" s="36">
        <f t="shared" si="110"/>
        <v>37347643</v>
      </c>
      <c r="AE911" s="36" t="str">
        <f t="shared" si="111"/>
        <v>F-688038.02-0111.W.WE36</v>
      </c>
      <c r="AF911" s="36">
        <v>336</v>
      </c>
      <c r="AG911" s="120">
        <f t="shared" si="103"/>
        <v>2577.12</v>
      </c>
      <c r="AH911" s="36"/>
      <c r="AI911" s="124"/>
      <c r="AJ911" s="122" t="s">
        <v>2048</v>
      </c>
      <c r="AK911" s="129" t="str">
        <f t="shared" ca="1" si="102"/>
        <v>Late</v>
      </c>
      <c r="AL911" s="268" t="str">
        <f t="shared" si="104"/>
        <v>August</v>
      </c>
      <c r="AM911" s="133">
        <f>YEAR(Table1[[#This Row],[ETA
As requested
dd.mm.yyyy]])</f>
        <v>2024</v>
      </c>
    </row>
    <row r="912" spans="1:39" hidden="1">
      <c r="A912" s="123" t="s">
        <v>82</v>
      </c>
      <c r="B912" s="36" t="s">
        <v>1170</v>
      </c>
      <c r="C912" s="117">
        <v>37347643</v>
      </c>
      <c r="D912" s="165">
        <v>45518</v>
      </c>
      <c r="E912" s="117" t="s">
        <v>431</v>
      </c>
      <c r="F912" s="36" t="str">
        <f>IFERROR(VLOOKUP(Table1[[#This Row],[Part Number]],DATABASE_FG!$C$6:D10901,2,FALSE)," ")</f>
        <v>shaft</v>
      </c>
      <c r="G912" s="117">
        <f>IFERROR(_xlfn.XLOOKUP(Table1[[#This Row],[Part Number]],Table3[Part number],Table3[Drawing
 Revision]),"")</f>
        <v>0</v>
      </c>
      <c r="H912" s="118" cm="1">
        <f t="array" ref="H912">IFERROR(INDEX(PDB!$C:$AT,MATCH(E912,PDB!$B:$B,0),MATCH(YEAR(K912),0+PDB!$C$1:$AT$1,0)),"")</f>
        <v>7.67</v>
      </c>
      <c r="I912" s="36">
        <v>141</v>
      </c>
      <c r="J912" s="125">
        <f>IFERROR(Table1[[#This Row],[Quantity]]*Table1[[#This Row],[Price/Unit
EUR]]," ")</f>
        <v>1081.47</v>
      </c>
      <c r="K912" s="126">
        <v>45520</v>
      </c>
      <c r="L912" s="36">
        <f>WEEKNUM(Table1[[#This Row],[ETA
As requested
dd.mm.yyyy]])</f>
        <v>33</v>
      </c>
      <c r="M912" s="36">
        <f>YEAR(Table1[[#This Row],[ETA
As requested
dd.mm.yyyy]])</f>
        <v>2024</v>
      </c>
      <c r="N912" s="36">
        <f>IFERROR(INDEX(DATABASE_FG!$H$5:$H$367, MATCH(E912, DATABASE_FG!$C$5:$C$367, 0)), " ")</f>
        <v>0</v>
      </c>
      <c r="O912" s="129" t="str">
        <f>IF(E912&lt;&gt;"", _xlfn.XLOOKUP(E912, DATABASE_FG!C:C, DATABASE_FG!F:F), " ")</f>
        <v>shaft</v>
      </c>
      <c r="P912" s="129">
        <f>IFERROR(INDEX(DATABASE_FG!$G$5:$G$367, MATCH(E912, DATABASE_FG!$C$5:$C$367, 0)), "Not Found")</f>
        <v>50</v>
      </c>
      <c r="Q912" s="36"/>
      <c r="R912" s="125"/>
      <c r="S912" s="123">
        <f>Table1[[#This Row],[Quantity]]/48</f>
        <v>2.9375</v>
      </c>
      <c r="T912" s="36"/>
      <c r="U912" s="36"/>
      <c r="V912" s="36"/>
      <c r="W912" s="129"/>
      <c r="X912" s="36"/>
      <c r="Y912" s="36"/>
      <c r="Z912" s="36"/>
      <c r="AA912" s="125" t="s">
        <v>121</v>
      </c>
      <c r="AB912" s="173">
        <v>45724</v>
      </c>
      <c r="AC912" s="119" t="s">
        <v>2053</v>
      </c>
      <c r="AD912" s="36">
        <f t="shared" si="110"/>
        <v>37347643</v>
      </c>
      <c r="AE912" s="36" t="str">
        <f t="shared" si="111"/>
        <v>F-688038.02-0111.W.WE36</v>
      </c>
      <c r="AF912" s="36">
        <v>141</v>
      </c>
      <c r="AG912" s="120">
        <f t="shared" si="103"/>
        <v>1081.47</v>
      </c>
      <c r="AH912" s="36"/>
      <c r="AI912" s="124" t="s">
        <v>2054</v>
      </c>
      <c r="AJ912" s="122" t="s">
        <v>2055</v>
      </c>
      <c r="AK912" s="129" t="str">
        <f t="shared" ca="1" si="102"/>
        <v>Late</v>
      </c>
      <c r="AL912" s="268" t="str">
        <f t="shared" si="104"/>
        <v>August</v>
      </c>
      <c r="AM912" s="133">
        <f>YEAR(Table1[[#This Row],[ETA
As requested
dd.mm.yyyy]])</f>
        <v>2024</v>
      </c>
    </row>
    <row r="913" spans="1:39" hidden="1">
      <c r="A913" s="123" t="s">
        <v>82</v>
      </c>
      <c r="B913" s="36" t="s">
        <v>1170</v>
      </c>
      <c r="C913" s="117">
        <v>37347643</v>
      </c>
      <c r="D913" s="165">
        <v>45518</v>
      </c>
      <c r="E913" s="117" t="s">
        <v>431</v>
      </c>
      <c r="F913" s="36" t="str">
        <f>IFERROR(VLOOKUP(Table1[[#This Row],[Part Number]],DATABASE_FG!$C$6:D10902,2,FALSE)," ")</f>
        <v>shaft</v>
      </c>
      <c r="G913" s="117">
        <f>IFERROR(_xlfn.XLOOKUP(Table1[[#This Row],[Part Number]],Table3[Part number],Table3[Drawing
 Revision]),"")</f>
        <v>0</v>
      </c>
      <c r="H913" s="118" cm="1">
        <f t="array" ref="H913">IFERROR(INDEX(PDB!$C:$AT,MATCH(E913,PDB!$B:$B,0),MATCH(YEAR(K913),0+PDB!$C$1:$AT$1,0)),"")</f>
        <v>7.67</v>
      </c>
      <c r="I913" s="36">
        <v>57</v>
      </c>
      <c r="J913" s="125">
        <f>IFERROR(Table1[[#This Row],[Quantity]]*Table1[[#This Row],[Price/Unit
EUR]]," ")</f>
        <v>437.19</v>
      </c>
      <c r="K913" s="126">
        <v>45520</v>
      </c>
      <c r="L913" s="36">
        <f>WEEKNUM(Table1[[#This Row],[ETA
As requested
dd.mm.yyyy]])</f>
        <v>33</v>
      </c>
      <c r="M913" s="36">
        <f>YEAR(Table1[[#This Row],[ETA
As requested
dd.mm.yyyy]])</f>
        <v>2024</v>
      </c>
      <c r="N913" s="36">
        <f>IFERROR(INDEX(DATABASE_FG!$H$5:$H$367, MATCH(E913, DATABASE_FG!$C$5:$C$367, 0)), " ")</f>
        <v>0</v>
      </c>
      <c r="O913" s="129" t="str">
        <f>IF(E913&lt;&gt;"", _xlfn.XLOOKUP(E913, DATABASE_FG!C:C, DATABASE_FG!F:F), " ")</f>
        <v>shaft</v>
      </c>
      <c r="P913" s="129">
        <f>IFERROR(INDEX(DATABASE_FG!$G$5:$G$367, MATCH(E913, DATABASE_FG!$C$5:$C$367, 0)), "Not Found")</f>
        <v>50</v>
      </c>
      <c r="Q913" s="36"/>
      <c r="R913" s="125" t="s">
        <v>680</v>
      </c>
      <c r="S913" s="123">
        <f>IFERROR(INDEX(DATABASE_FG!$L$5:$L$367, MATCH(E913, DATABASE_FG!$C$5:$C$367, 0)), " ")</f>
        <v>56</v>
      </c>
      <c r="T913" s="36"/>
      <c r="U913" s="36"/>
      <c r="V913" s="36"/>
      <c r="W913" s="129"/>
      <c r="X913" s="36"/>
      <c r="Y913" s="36" t="s">
        <v>677</v>
      </c>
      <c r="Z913" s="36"/>
      <c r="AA913" s="125" t="s">
        <v>121</v>
      </c>
      <c r="AB913" s="173">
        <v>45728</v>
      </c>
      <c r="AC913" s="119">
        <v>25364</v>
      </c>
      <c r="AD913" s="36">
        <f t="shared" si="110"/>
        <v>37347643</v>
      </c>
      <c r="AE913" s="36" t="str">
        <f t="shared" si="111"/>
        <v>F-688038.02-0111.W.WE36</v>
      </c>
      <c r="AF913" s="36">
        <v>57</v>
      </c>
      <c r="AG913" s="120">
        <f t="shared" si="103"/>
        <v>437.19</v>
      </c>
      <c r="AH913" s="36"/>
      <c r="AI913" s="124"/>
      <c r="AJ913" s="122" t="s">
        <v>2058</v>
      </c>
      <c r="AK913" s="129" t="str">
        <f t="shared" ca="1" si="102"/>
        <v>Late</v>
      </c>
      <c r="AL913" s="268" t="str">
        <f t="shared" si="104"/>
        <v>August</v>
      </c>
      <c r="AM913" s="133">
        <f>YEAR(Table1[[#This Row],[ETA
As requested
dd.mm.yyyy]])</f>
        <v>2024</v>
      </c>
    </row>
    <row r="914" spans="1:39" hidden="1">
      <c r="A914" s="123" t="s">
        <v>82</v>
      </c>
      <c r="B914" s="36" t="s">
        <v>1170</v>
      </c>
      <c r="C914" s="117">
        <v>37347643</v>
      </c>
      <c r="D914" s="165">
        <v>45518</v>
      </c>
      <c r="E914" s="117" t="s">
        <v>431</v>
      </c>
      <c r="F914" s="36" t="str">
        <f>IFERROR(VLOOKUP(Table1[[#This Row],[Part Number]],DATABASE_FG!$C$6:D10903,2,FALSE)," ")</f>
        <v>shaft</v>
      </c>
      <c r="G914" s="117">
        <f>IFERROR(_xlfn.XLOOKUP(Table1[[#This Row],[Part Number]],Table3[Part number],Table3[Drawing
 Revision]),"")</f>
        <v>0</v>
      </c>
      <c r="H914" s="118" cm="1">
        <f t="array" ref="H914">IFERROR(INDEX(PDB!$C:$AT,MATCH(E914,PDB!$B:$B,0),MATCH(YEAR(K914),0+PDB!$C$1:$AT$1,0)),"")</f>
        <v>7.67</v>
      </c>
      <c r="I914" s="36">
        <v>186</v>
      </c>
      <c r="J914" s="125">
        <f>IFERROR(Table1[[#This Row],[Quantity]]*Table1[[#This Row],[Price/Unit
EUR]]," ")</f>
        <v>1426.62</v>
      </c>
      <c r="K914" s="126">
        <v>45520</v>
      </c>
      <c r="L914" s="36">
        <f>WEEKNUM(Table1[[#This Row],[ETA
As requested
dd.mm.yyyy]])</f>
        <v>33</v>
      </c>
      <c r="M914" s="36">
        <f>YEAR(Table1[[#This Row],[ETA
As requested
dd.mm.yyyy]])</f>
        <v>2024</v>
      </c>
      <c r="N914" s="36">
        <f>IFERROR(INDEX(DATABASE_FG!$H$5:$H$367, MATCH(E914, DATABASE_FG!$C$5:$C$367, 0)), " ")</f>
        <v>0</v>
      </c>
      <c r="O914" s="129" t="str">
        <f>IF(E914&lt;&gt;"", _xlfn.XLOOKUP(E914, DATABASE_FG!C:C, DATABASE_FG!F:F), " ")</f>
        <v>shaft</v>
      </c>
      <c r="P914" s="129">
        <f>IFERROR(INDEX(DATABASE_FG!$G$5:$G$367, MATCH(E914, DATABASE_FG!$C$5:$C$367, 0)), "Not Found")</f>
        <v>50</v>
      </c>
      <c r="Q914" s="36"/>
      <c r="R914" s="125" t="s">
        <v>680</v>
      </c>
      <c r="S914" s="123">
        <f>IFERROR(INDEX(DATABASE_FG!$L$5:$L$367, MATCH(E914, DATABASE_FG!$C$5:$C$367, 0)), " ")</f>
        <v>56</v>
      </c>
      <c r="T914" s="36"/>
      <c r="U914" s="36"/>
      <c r="V914" s="36"/>
      <c r="W914" s="129"/>
      <c r="X914" s="36"/>
      <c r="Y914" s="36"/>
      <c r="Z914" s="36"/>
      <c r="AA914" s="125" t="s">
        <v>121</v>
      </c>
      <c r="AB914" s="173">
        <v>45731</v>
      </c>
      <c r="AC914" s="119" t="s">
        <v>2060</v>
      </c>
      <c r="AD914" s="36">
        <f t="shared" si="110"/>
        <v>37347643</v>
      </c>
      <c r="AE914" s="36" t="str">
        <f t="shared" si="111"/>
        <v>F-688038.02-0111.W.WE36</v>
      </c>
      <c r="AF914" s="36">
        <v>186</v>
      </c>
      <c r="AG914" s="120">
        <f t="shared" si="103"/>
        <v>1426.62</v>
      </c>
      <c r="AH914" s="36"/>
      <c r="AI914" s="124" t="s">
        <v>2061</v>
      </c>
      <c r="AJ914" s="122" t="s">
        <v>2062</v>
      </c>
      <c r="AK914" s="129" t="str">
        <f t="shared" ref="AK914:AK977" ca="1" si="112">IF(AB914="", IF(K914 &lt; TODAY(), "Late", ""), IF(AB914 &lt;= K914 + 2, "On Time", "Late"))</f>
        <v>Late</v>
      </c>
      <c r="AL914" s="268" t="str">
        <f t="shared" si="104"/>
        <v>August</v>
      </c>
      <c r="AM914" s="133">
        <f>YEAR(Table1[[#This Row],[ETA
As requested
dd.mm.yyyy]])</f>
        <v>2024</v>
      </c>
    </row>
    <row r="915" spans="1:39" hidden="1">
      <c r="A915" s="123" t="s">
        <v>82</v>
      </c>
      <c r="B915" s="36" t="s">
        <v>1170</v>
      </c>
      <c r="C915" s="117">
        <v>37347643</v>
      </c>
      <c r="D915" s="165">
        <v>45518</v>
      </c>
      <c r="E915" s="117" t="s">
        <v>431</v>
      </c>
      <c r="F915" s="36" t="str">
        <f>IFERROR(VLOOKUP(Table1[[#This Row],[Part Number]],DATABASE_FG!$C$6:D10904,2,FALSE)," ")</f>
        <v>shaft</v>
      </c>
      <c r="G915" s="117">
        <f>IFERROR(_xlfn.XLOOKUP(Table1[[#This Row],[Part Number]],Table3[Part number],Table3[Drawing
 Revision]),"")</f>
        <v>0</v>
      </c>
      <c r="H915" s="118" cm="1">
        <f t="array" ref="H915">IFERROR(INDEX(PDB!$C:$AT,MATCH(E915,PDB!$B:$B,0),MATCH(YEAR(K915),0+PDB!$C$1:$AT$1,0)),"")</f>
        <v>7.67</v>
      </c>
      <c r="I915" s="36">
        <v>310</v>
      </c>
      <c r="J915" s="125">
        <f>IFERROR(Table1[[#This Row],[Quantity]]*Table1[[#This Row],[Price/Unit
EUR]]," ")</f>
        <v>2377.6999999999998</v>
      </c>
      <c r="K915" s="126">
        <v>45520</v>
      </c>
      <c r="L915" s="36">
        <f>WEEKNUM(Table1[[#This Row],[ETA
As requested
dd.mm.yyyy]])</f>
        <v>33</v>
      </c>
      <c r="M915" s="36">
        <f>YEAR(Table1[[#This Row],[ETA
As requested
dd.mm.yyyy]])</f>
        <v>2024</v>
      </c>
      <c r="N915" s="36">
        <f>IFERROR(INDEX(DATABASE_FG!$H$5:$H$367, MATCH(E915, DATABASE_FG!$C$5:$C$367, 0)), " ")</f>
        <v>0</v>
      </c>
      <c r="O915" s="129" t="str">
        <f>IF(E915&lt;&gt;"", _xlfn.XLOOKUP(E915, DATABASE_FG!C:C, DATABASE_FG!F:F), " ")</f>
        <v>shaft</v>
      </c>
      <c r="P915" s="129">
        <f>IFERROR(INDEX(DATABASE_FG!$G$5:$G$367, MATCH(E915, DATABASE_FG!$C$5:$C$367, 0)), "Not Found")</f>
        <v>50</v>
      </c>
      <c r="Q915" s="36"/>
      <c r="R915" s="125" t="s">
        <v>680</v>
      </c>
      <c r="S915" s="123">
        <f>IFERROR(INDEX(DATABASE_FG!$L$5:$L$367, MATCH(E915, DATABASE_FG!$C$5:$C$367, 0)), " ")</f>
        <v>56</v>
      </c>
      <c r="T915" s="36"/>
      <c r="U915" s="36"/>
      <c r="V915" s="36"/>
      <c r="W915" s="129"/>
      <c r="X915" s="36"/>
      <c r="Y915" s="36" t="s">
        <v>677</v>
      </c>
      <c r="Z915" s="36"/>
      <c r="AA915" s="125" t="s">
        <v>121</v>
      </c>
      <c r="AB915" s="173">
        <v>45735</v>
      </c>
      <c r="AC915" s="119">
        <v>25400</v>
      </c>
      <c r="AD915" s="36">
        <f t="shared" si="110"/>
        <v>37347643</v>
      </c>
      <c r="AE915" s="36" t="str">
        <f t="shared" si="111"/>
        <v>F-688038.02-0111.W.WE36</v>
      </c>
      <c r="AF915" s="36">
        <v>310</v>
      </c>
      <c r="AG915" s="120">
        <f t="shared" si="103"/>
        <v>2377.6999999999998</v>
      </c>
      <c r="AH915" s="36"/>
      <c r="AI915" s="124"/>
      <c r="AJ915" s="122" t="s">
        <v>2071</v>
      </c>
      <c r="AK915" s="129" t="str">
        <f t="shared" ca="1" si="112"/>
        <v>Late</v>
      </c>
      <c r="AL915" s="268" t="str">
        <f t="shared" si="104"/>
        <v>August</v>
      </c>
      <c r="AM915" s="133">
        <f>YEAR(Table1[[#This Row],[ETA
As requested
dd.mm.yyyy]])</f>
        <v>2024</v>
      </c>
    </row>
    <row r="916" spans="1:39" hidden="1">
      <c r="A916" s="123" t="s">
        <v>82</v>
      </c>
      <c r="B916" s="36" t="s">
        <v>1170</v>
      </c>
      <c r="C916" s="117">
        <v>37347643</v>
      </c>
      <c r="D916" s="165">
        <v>45518</v>
      </c>
      <c r="E916" s="117" t="s">
        <v>431</v>
      </c>
      <c r="F916" s="36" t="str">
        <f>IFERROR(VLOOKUP(Table1[[#This Row],[Part Number]],DATABASE_FG!$C$6:D10905,2,FALSE)," ")</f>
        <v>shaft</v>
      </c>
      <c r="G916" s="117">
        <f>IFERROR(_xlfn.XLOOKUP(Table1[[#This Row],[Part Number]],Table3[Part number],Table3[Drawing
 Revision]),"")</f>
        <v>0</v>
      </c>
      <c r="H916" s="118" cm="1">
        <f t="array" ref="H916">IFERROR(INDEX(PDB!$C:$AT,MATCH(E916,PDB!$B:$B,0),MATCH(YEAR(K916),0+PDB!$C$1:$AT$1,0)),"")</f>
        <v>7.67</v>
      </c>
      <c r="I916" s="36">
        <v>222</v>
      </c>
      <c r="J916" s="125">
        <f>IFERROR(Table1[[#This Row],[Quantity]]*Table1[[#This Row],[Price/Unit
EUR]]," ")</f>
        <v>1702.74</v>
      </c>
      <c r="K916" s="126">
        <v>45520</v>
      </c>
      <c r="L916" s="36">
        <f>WEEKNUM(Table1[[#This Row],[ETA
As requested
dd.mm.yyyy]])</f>
        <v>33</v>
      </c>
      <c r="M916" s="36">
        <f>YEAR(Table1[[#This Row],[ETA
As requested
dd.mm.yyyy]])</f>
        <v>2024</v>
      </c>
      <c r="N916" s="36">
        <f>IFERROR(INDEX(DATABASE_FG!$H$5:$H$367, MATCH(E916, DATABASE_FG!$C$5:$C$367, 0)), " ")</f>
        <v>0</v>
      </c>
      <c r="O916" s="129" t="str">
        <f>IF(E916&lt;&gt;"", _xlfn.XLOOKUP(E916, DATABASE_FG!C:C, DATABASE_FG!F:F), " ")</f>
        <v>shaft</v>
      </c>
      <c r="P916" s="129">
        <f>IFERROR(INDEX(DATABASE_FG!$G$5:$G$367, MATCH(E916, DATABASE_FG!$C$5:$C$367, 0)), "Not Found")</f>
        <v>50</v>
      </c>
      <c r="Q916" s="36"/>
      <c r="R916" s="125" t="s">
        <v>680</v>
      </c>
      <c r="S916" s="123">
        <f>IFERROR(INDEX(DATABASE_FG!$L$5:$L$367, MATCH(E916, DATABASE_FG!$C$5:$C$367, 0)), " ")</f>
        <v>56</v>
      </c>
      <c r="T916" s="36"/>
      <c r="U916" s="36"/>
      <c r="V916" s="36"/>
      <c r="W916" s="129"/>
      <c r="X916" s="36"/>
      <c r="Y916" s="36" t="s">
        <v>677</v>
      </c>
      <c r="Z916" s="36"/>
      <c r="AA916" s="125" t="s">
        <v>121</v>
      </c>
      <c r="AB916" s="173">
        <v>45737</v>
      </c>
      <c r="AC916" s="119">
        <v>25431</v>
      </c>
      <c r="AD916" s="36">
        <f t="shared" si="110"/>
        <v>37347643</v>
      </c>
      <c r="AE916" s="36" t="str">
        <f t="shared" si="111"/>
        <v>F-688038.02-0111.W.WE36</v>
      </c>
      <c r="AF916" s="36">
        <v>222</v>
      </c>
      <c r="AG916" s="120">
        <f t="shared" si="103"/>
        <v>1702.74</v>
      </c>
      <c r="AH916" s="36"/>
      <c r="AI916" s="124"/>
      <c r="AJ916" s="122" t="s">
        <v>2075</v>
      </c>
      <c r="AK916" s="129" t="str">
        <f t="shared" ca="1" si="112"/>
        <v>Late</v>
      </c>
      <c r="AL916" s="268" t="str">
        <f t="shared" si="104"/>
        <v>August</v>
      </c>
      <c r="AM916" s="133">
        <f>YEAR(Table1[[#This Row],[ETA
As requested
dd.mm.yyyy]])</f>
        <v>2024</v>
      </c>
    </row>
    <row r="917" spans="1:39" hidden="1">
      <c r="A917" s="123" t="s">
        <v>82</v>
      </c>
      <c r="B917" s="36" t="s">
        <v>1170</v>
      </c>
      <c r="C917" s="117">
        <v>37347643</v>
      </c>
      <c r="D917" s="165">
        <v>45518</v>
      </c>
      <c r="E917" s="117" t="s">
        <v>431</v>
      </c>
      <c r="F917" s="36" t="str">
        <f>IFERROR(VLOOKUP(Table1[[#This Row],[Part Number]],DATABASE_FG!$C$6:D10906,2,FALSE)," ")</f>
        <v>shaft</v>
      </c>
      <c r="G917" s="117">
        <f>IFERROR(_xlfn.XLOOKUP(Table1[[#This Row],[Part Number]],Table3[Part number],Table3[Drawing
 Revision]),"")</f>
        <v>0</v>
      </c>
      <c r="H917" s="118" cm="1">
        <f t="array" ref="H917">IFERROR(INDEX(PDB!$C:$AT,MATCH(E917,PDB!$B:$B,0),MATCH(YEAR(K917),0+PDB!$C$1:$AT$1,0)),"")</f>
        <v>7.67</v>
      </c>
      <c r="I917" s="36">
        <v>142</v>
      </c>
      <c r="J917" s="125">
        <f>IFERROR(Table1[[#This Row],[Quantity]]*Table1[[#This Row],[Price/Unit
EUR]]," ")</f>
        <v>1089.1400000000001</v>
      </c>
      <c r="K917" s="126">
        <v>45520</v>
      </c>
      <c r="L917" s="36">
        <f>WEEKNUM(Table1[[#This Row],[ETA
As requested
dd.mm.yyyy]])</f>
        <v>33</v>
      </c>
      <c r="M917" s="36">
        <f>YEAR(Table1[[#This Row],[ETA
As requested
dd.mm.yyyy]])</f>
        <v>2024</v>
      </c>
      <c r="N917" s="36">
        <f>IFERROR(INDEX(DATABASE_FG!$H$5:$H$367, MATCH(E917, DATABASE_FG!$C$5:$C$367, 0)), " ")</f>
        <v>0</v>
      </c>
      <c r="O917" s="129" t="str">
        <f>IF(E917&lt;&gt;"", _xlfn.XLOOKUP(E917, DATABASE_FG!C:C, DATABASE_FG!F:F), " ")</f>
        <v>shaft</v>
      </c>
      <c r="P917" s="129">
        <f>IFERROR(INDEX(DATABASE_FG!$G$5:$G$367, MATCH(E917, DATABASE_FG!$C$5:$C$367, 0)), "Not Found")</f>
        <v>50</v>
      </c>
      <c r="Q917" s="36"/>
      <c r="R917" s="125" t="s">
        <v>680</v>
      </c>
      <c r="S917" s="123">
        <f>IFERROR(INDEX(DATABASE_FG!$L$5:$L$367, MATCH(E917, DATABASE_FG!$C$5:$C$367, 0)), " ")</f>
        <v>56</v>
      </c>
      <c r="T917" s="36"/>
      <c r="U917" s="36"/>
      <c r="V917" s="36"/>
      <c r="W917" s="129"/>
      <c r="X917" s="36"/>
      <c r="Y917" s="36" t="s">
        <v>677</v>
      </c>
      <c r="Z917" s="36"/>
      <c r="AA917" s="125" t="s">
        <v>121</v>
      </c>
      <c r="AB917" s="173">
        <v>45742</v>
      </c>
      <c r="AC917" s="119">
        <v>25459</v>
      </c>
      <c r="AD917" s="36">
        <f t="shared" si="110"/>
        <v>37347643</v>
      </c>
      <c r="AE917" s="36" t="str">
        <f t="shared" si="111"/>
        <v>F-688038.02-0111.W.WE36</v>
      </c>
      <c r="AF917" s="36">
        <v>142</v>
      </c>
      <c r="AG917" s="120">
        <f t="shared" si="103"/>
        <v>1089.1400000000001</v>
      </c>
      <c r="AH917" s="36"/>
      <c r="AI917" s="124"/>
      <c r="AJ917" s="122" t="s">
        <v>2078</v>
      </c>
      <c r="AK917" s="129" t="str">
        <f t="shared" ca="1" si="112"/>
        <v>Late</v>
      </c>
      <c r="AL917" s="268" t="str">
        <f t="shared" si="104"/>
        <v>August</v>
      </c>
      <c r="AM917" s="133">
        <f>YEAR(Table1[[#This Row],[ETA
As requested
dd.mm.yyyy]])</f>
        <v>2024</v>
      </c>
    </row>
    <row r="918" spans="1:39" hidden="1">
      <c r="A918" s="123" t="s">
        <v>82</v>
      </c>
      <c r="B918" s="36" t="s">
        <v>1170</v>
      </c>
      <c r="C918" s="117">
        <v>37347643</v>
      </c>
      <c r="D918" s="165">
        <v>45518</v>
      </c>
      <c r="E918" s="117" t="s">
        <v>431</v>
      </c>
      <c r="F918" s="36" t="str">
        <f>IFERROR(VLOOKUP(Table1[[#This Row],[Part Number]],DATABASE_FG!$C$6:D10907,2,FALSE)," ")</f>
        <v>shaft</v>
      </c>
      <c r="G918" s="117">
        <f>IFERROR(_xlfn.XLOOKUP(Table1[[#This Row],[Part Number]],Table3[Part number],Table3[Drawing
 Revision]),"")</f>
        <v>0</v>
      </c>
      <c r="H918" s="118" cm="1">
        <f t="array" ref="H918">IFERROR(INDEX(PDB!$C:$AT,MATCH(E918,PDB!$B:$B,0),MATCH(YEAR(K918),0+PDB!$C$1:$AT$1,0)),"")</f>
        <v>7.67</v>
      </c>
      <c r="I918" s="36">
        <v>178</v>
      </c>
      <c r="J918" s="125">
        <f>IFERROR(Table1[[#This Row],[Quantity]]*Table1[[#This Row],[Price/Unit
EUR]]," ")</f>
        <v>1365.26</v>
      </c>
      <c r="K918" s="126">
        <v>45520</v>
      </c>
      <c r="L918" s="36">
        <f>WEEKNUM(Table1[[#This Row],[ETA
As requested
dd.mm.yyyy]])</f>
        <v>33</v>
      </c>
      <c r="M918" s="36">
        <f>YEAR(Table1[[#This Row],[ETA
As requested
dd.mm.yyyy]])</f>
        <v>2024</v>
      </c>
      <c r="N918" s="36">
        <f>IFERROR(INDEX(DATABASE_FG!$H$5:$H$367, MATCH(E918, DATABASE_FG!$C$5:$C$367, 0)), " ")</f>
        <v>0</v>
      </c>
      <c r="O918" s="129" t="str">
        <f>IF(E918&lt;&gt;"", _xlfn.XLOOKUP(E918, DATABASE_FG!C:C, DATABASE_FG!F:F), " ")</f>
        <v>shaft</v>
      </c>
      <c r="P918" s="129">
        <f>IFERROR(INDEX(DATABASE_FG!$G$5:$G$367, MATCH(E918, DATABASE_FG!$C$5:$C$367, 0)), "Not Found")</f>
        <v>50</v>
      </c>
      <c r="Q918" s="36"/>
      <c r="R918" s="125" t="s">
        <v>680</v>
      </c>
      <c r="S918" s="123">
        <f>IFERROR(INDEX(DATABASE_FG!$L$5:$L$367, MATCH(E918, DATABASE_FG!$C$5:$C$367, 0)), " ")</f>
        <v>56</v>
      </c>
      <c r="T918" s="36"/>
      <c r="U918" s="36"/>
      <c r="V918" s="36"/>
      <c r="W918" s="129"/>
      <c r="X918" s="36"/>
      <c r="Y918" s="36"/>
      <c r="Z918" s="36"/>
      <c r="AA918" s="125" t="s">
        <v>121</v>
      </c>
      <c r="AB918" s="173">
        <v>45749</v>
      </c>
      <c r="AC918" s="119" t="s">
        <v>2081</v>
      </c>
      <c r="AD918" s="36">
        <f t="shared" si="110"/>
        <v>37347643</v>
      </c>
      <c r="AE918" s="36" t="str">
        <f t="shared" si="111"/>
        <v>F-688038.02-0111.W.WE36</v>
      </c>
      <c r="AF918" s="36">
        <v>178</v>
      </c>
      <c r="AG918" s="120">
        <f t="shared" si="103"/>
        <v>1365.26</v>
      </c>
      <c r="AH918" s="36"/>
      <c r="AI918" s="124"/>
      <c r="AJ918" s="122" t="s">
        <v>2082</v>
      </c>
      <c r="AK918" s="129" t="str">
        <f t="shared" ca="1" si="112"/>
        <v>Late</v>
      </c>
      <c r="AL918" s="268" t="str">
        <f t="shared" si="104"/>
        <v>August</v>
      </c>
      <c r="AM918" s="133">
        <f>YEAR(Table1[[#This Row],[ETA
As requested
dd.mm.yyyy]])</f>
        <v>2024</v>
      </c>
    </row>
    <row r="919" spans="1:39" hidden="1">
      <c r="A919" s="123" t="s">
        <v>82</v>
      </c>
      <c r="B919" s="36" t="s">
        <v>1170</v>
      </c>
      <c r="C919" s="117">
        <v>37347643</v>
      </c>
      <c r="D919" s="165">
        <v>45518</v>
      </c>
      <c r="E919" s="117" t="s">
        <v>431</v>
      </c>
      <c r="F919" s="36" t="str">
        <f>IFERROR(VLOOKUP(Table1[[#This Row],[Part Number]],DATABASE_FG!$C$6:D10908,2,FALSE)," ")</f>
        <v>shaft</v>
      </c>
      <c r="G919" s="117">
        <f>IFERROR(_xlfn.XLOOKUP(Table1[[#This Row],[Part Number]],Table3[Part number],Table3[Drawing
 Revision]),"")</f>
        <v>0</v>
      </c>
      <c r="H919" s="118" cm="1">
        <f t="array" ref="H919">IFERROR(INDEX(PDB!$C:$AT,MATCH(E919,PDB!$B:$B,0),MATCH(YEAR(K919),0+PDB!$C$1:$AT$1,0)),"")</f>
        <v>7.67</v>
      </c>
      <c r="I919" s="36">
        <v>340</v>
      </c>
      <c r="J919" s="125">
        <f>IFERROR(Table1[[#This Row],[Quantity]]*Table1[[#This Row],[Price/Unit
EUR]]," ")</f>
        <v>2607.8000000000002</v>
      </c>
      <c r="K919" s="126">
        <v>45520</v>
      </c>
      <c r="L919" s="36">
        <f>WEEKNUM(Table1[[#This Row],[ETA
As requested
dd.mm.yyyy]])</f>
        <v>33</v>
      </c>
      <c r="M919" s="36">
        <f>YEAR(Table1[[#This Row],[ETA
As requested
dd.mm.yyyy]])</f>
        <v>2024</v>
      </c>
      <c r="N919" s="36">
        <f>IFERROR(INDEX(DATABASE_FG!$H$5:$H$367, MATCH(E919, DATABASE_FG!$C$5:$C$367, 0)), " ")</f>
        <v>0</v>
      </c>
      <c r="O919" s="129" t="str">
        <f>IF(E919&lt;&gt;"", _xlfn.XLOOKUP(E919, DATABASE_FG!C:C, DATABASE_FG!F:F), " ")</f>
        <v>shaft</v>
      </c>
      <c r="P919" s="129">
        <f>IFERROR(INDEX(DATABASE_FG!$G$5:$G$367, MATCH(E919, DATABASE_FG!$C$5:$C$367, 0)), "Not Found")</f>
        <v>50</v>
      </c>
      <c r="Q919" s="36"/>
      <c r="R919" s="125" t="s">
        <v>680</v>
      </c>
      <c r="S919" s="123">
        <f>IFERROR(INDEX(DATABASE_FG!$L$5:$L$367, MATCH(E919, DATABASE_FG!$C$5:$C$367, 0)), " ")</f>
        <v>56</v>
      </c>
      <c r="T919" s="36"/>
      <c r="U919" s="36"/>
      <c r="V919" s="36"/>
      <c r="W919" s="129"/>
      <c r="X919" s="36"/>
      <c r="Y919" s="36" t="s">
        <v>677</v>
      </c>
      <c r="Z919" s="36"/>
      <c r="AA919" s="125" t="s">
        <v>121</v>
      </c>
      <c r="AB919" s="173">
        <v>45754</v>
      </c>
      <c r="AC919" s="119">
        <v>25555</v>
      </c>
      <c r="AD919" s="36">
        <f t="shared" si="110"/>
        <v>37347643</v>
      </c>
      <c r="AE919" s="36" t="str">
        <f t="shared" si="111"/>
        <v>F-688038.02-0111.W.WE36</v>
      </c>
      <c r="AF919" s="36">
        <v>340</v>
      </c>
      <c r="AG919" s="120">
        <f t="shared" si="103"/>
        <v>2607.8000000000002</v>
      </c>
      <c r="AH919" s="36"/>
      <c r="AI919" s="124"/>
      <c r="AJ919" s="122" t="s">
        <v>2085</v>
      </c>
      <c r="AK919" s="129" t="str">
        <f t="shared" ca="1" si="112"/>
        <v>Late</v>
      </c>
      <c r="AL919" s="268" t="str">
        <f t="shared" si="104"/>
        <v>August</v>
      </c>
      <c r="AM919" s="133">
        <f>YEAR(Table1[[#This Row],[ETA
As requested
dd.mm.yyyy]])</f>
        <v>2024</v>
      </c>
    </row>
    <row r="920" spans="1:39" hidden="1">
      <c r="A920" s="123" t="s">
        <v>82</v>
      </c>
      <c r="B920" s="36" t="s">
        <v>1170</v>
      </c>
      <c r="C920" s="117">
        <v>37347643</v>
      </c>
      <c r="D920" s="165">
        <v>45518</v>
      </c>
      <c r="E920" s="117" t="s">
        <v>431</v>
      </c>
      <c r="F920" s="36" t="str">
        <f>IFERROR(VLOOKUP(Table1[[#This Row],[Part Number]],DATABASE_FG!$C$6:D10909,2,FALSE)," ")</f>
        <v>shaft</v>
      </c>
      <c r="G920" s="117">
        <f>IFERROR(_xlfn.XLOOKUP(Table1[[#This Row],[Part Number]],Table3[Part number],Table3[Drawing
 Revision]),"")</f>
        <v>0</v>
      </c>
      <c r="H920" s="118" cm="1">
        <f t="array" ref="H920">IFERROR(INDEX(PDB!$C:$AT,MATCH(E920,PDB!$B:$B,0),MATCH(YEAR(K920),0+PDB!$C$1:$AT$1,0)),"")</f>
        <v>7.67</v>
      </c>
      <c r="I920" s="36">
        <v>72</v>
      </c>
      <c r="J920" s="125">
        <f>IFERROR(Table1[[#This Row],[Quantity]]*Table1[[#This Row],[Price/Unit
EUR]]," ")</f>
        <v>552.24</v>
      </c>
      <c r="K920" s="126">
        <v>45520</v>
      </c>
      <c r="L920" s="36">
        <f>WEEKNUM(Table1[[#This Row],[ETA
As requested
dd.mm.yyyy]])</f>
        <v>33</v>
      </c>
      <c r="M920" s="36">
        <f>YEAR(Table1[[#This Row],[ETA
As requested
dd.mm.yyyy]])</f>
        <v>2024</v>
      </c>
      <c r="N920" s="36">
        <f>IFERROR(INDEX(DATABASE_FG!$H$5:$H$367, MATCH(E920, DATABASE_FG!$C$5:$C$367, 0)), " ")</f>
        <v>0</v>
      </c>
      <c r="O920" s="129" t="str">
        <f>IF(E920&lt;&gt;"", _xlfn.XLOOKUP(E920, DATABASE_FG!C:C, DATABASE_FG!F:F), " ")</f>
        <v>shaft</v>
      </c>
      <c r="P920" s="129">
        <f>IFERROR(INDEX(DATABASE_FG!$G$5:$G$367, MATCH(E920, DATABASE_FG!$C$5:$C$367, 0)), "Not Found")</f>
        <v>50</v>
      </c>
      <c r="Q920" s="36"/>
      <c r="R920" s="125" t="s">
        <v>680</v>
      </c>
      <c r="S920" s="123">
        <f>IFERROR(INDEX(DATABASE_FG!$L$5:$L$367, MATCH(E920, DATABASE_FG!$C$5:$C$367, 0)), " ")</f>
        <v>56</v>
      </c>
      <c r="T920" s="36"/>
      <c r="U920" s="36"/>
      <c r="V920" s="36"/>
      <c r="W920" s="129"/>
      <c r="X920" s="36"/>
      <c r="Y920" s="36" t="s">
        <v>677</v>
      </c>
      <c r="Z920" s="36"/>
      <c r="AA920" s="125" t="s">
        <v>121</v>
      </c>
      <c r="AB920" s="173">
        <v>45754</v>
      </c>
      <c r="AC920" s="119">
        <v>25559</v>
      </c>
      <c r="AD920" s="36">
        <f t="shared" si="110"/>
        <v>37347643</v>
      </c>
      <c r="AE920" s="36" t="str">
        <f t="shared" si="111"/>
        <v>F-688038.02-0111.W.WE36</v>
      </c>
      <c r="AF920" s="36">
        <v>72</v>
      </c>
      <c r="AG920" s="120">
        <f t="shared" si="103"/>
        <v>552.24</v>
      </c>
      <c r="AH920" s="36"/>
      <c r="AI920" s="124"/>
      <c r="AJ920" s="122" t="s">
        <v>2086</v>
      </c>
      <c r="AK920" s="129" t="str">
        <f t="shared" ca="1" si="112"/>
        <v>Late</v>
      </c>
      <c r="AL920" s="268" t="str">
        <f t="shared" si="104"/>
        <v>August</v>
      </c>
      <c r="AM920" s="133">
        <f>YEAR(Table1[[#This Row],[ETA
As requested
dd.mm.yyyy]])</f>
        <v>2024</v>
      </c>
    </row>
    <row r="921" spans="1:39" hidden="1">
      <c r="A921" s="123" t="s">
        <v>82</v>
      </c>
      <c r="B921" s="36" t="s">
        <v>1170</v>
      </c>
      <c r="C921" s="117">
        <v>37347643</v>
      </c>
      <c r="D921" s="165">
        <v>45518</v>
      </c>
      <c r="E921" s="117" t="s">
        <v>431</v>
      </c>
      <c r="F921" s="36" t="str">
        <f>IFERROR(VLOOKUP(Table1[[#This Row],[Part Number]],DATABASE_FG!$C$6:D10910,2,FALSE)," ")</f>
        <v>shaft</v>
      </c>
      <c r="G921" s="117">
        <f>IFERROR(_xlfn.XLOOKUP(Table1[[#This Row],[Part Number]],Table3[Part number],Table3[Drawing
 Revision]),"")</f>
        <v>0</v>
      </c>
      <c r="H921" s="118" cm="1">
        <f t="array" ref="H921">IFERROR(INDEX(PDB!$C:$AT,MATCH(E921,PDB!$B:$B,0),MATCH(YEAR(K921),0+PDB!$C$1:$AT$1,0)),"")</f>
        <v>7.67</v>
      </c>
      <c r="I921" s="36">
        <v>268</v>
      </c>
      <c r="J921" s="125">
        <f>IFERROR(Table1[[#This Row],[Quantity]]*Table1[[#This Row],[Price/Unit
EUR]]," ")</f>
        <v>2055.56</v>
      </c>
      <c r="K921" s="126">
        <v>45520</v>
      </c>
      <c r="L921" s="36">
        <f>WEEKNUM(Table1[[#This Row],[ETA
As requested
dd.mm.yyyy]])</f>
        <v>33</v>
      </c>
      <c r="M921" s="36">
        <f>YEAR(Table1[[#This Row],[ETA
As requested
dd.mm.yyyy]])</f>
        <v>2024</v>
      </c>
      <c r="N921" s="36">
        <f>IFERROR(INDEX(DATABASE_FG!$H$5:$H$367, MATCH(E921, DATABASE_FG!$C$5:$C$367, 0)), " ")</f>
        <v>0</v>
      </c>
      <c r="O921" s="129" t="str">
        <f>IF(E921&lt;&gt;"", _xlfn.XLOOKUP(E921, DATABASE_FG!C:C, DATABASE_FG!F:F), " ")</f>
        <v>shaft</v>
      </c>
      <c r="P921" s="129">
        <f>IFERROR(INDEX(DATABASE_FG!$G$5:$G$367, MATCH(E921, DATABASE_FG!$C$5:$C$367, 0)), "Not Found")</f>
        <v>50</v>
      </c>
      <c r="Q921" s="36"/>
      <c r="R921" s="125" t="s">
        <v>680</v>
      </c>
      <c r="S921" s="123">
        <f>IFERROR(INDEX(DATABASE_FG!$L$5:$L$367, MATCH(E921, DATABASE_FG!$C$5:$C$367, 0)), " ")</f>
        <v>56</v>
      </c>
      <c r="T921" s="36"/>
      <c r="U921" s="36"/>
      <c r="V921" s="36"/>
      <c r="W921" s="129"/>
      <c r="X921" s="36"/>
      <c r="Y921" s="36" t="s">
        <v>677</v>
      </c>
      <c r="Z921" s="36"/>
      <c r="AA921" s="125" t="s">
        <v>121</v>
      </c>
      <c r="AB921" s="173">
        <v>45758</v>
      </c>
      <c r="AC921" s="119">
        <v>25589</v>
      </c>
      <c r="AD921" s="36">
        <f t="shared" si="110"/>
        <v>37347643</v>
      </c>
      <c r="AE921" s="36" t="str">
        <f t="shared" si="111"/>
        <v>F-688038.02-0111.W.WE36</v>
      </c>
      <c r="AF921" s="36">
        <v>268</v>
      </c>
      <c r="AG921" s="120">
        <f t="shared" si="103"/>
        <v>2055.56</v>
      </c>
      <c r="AH921" s="36"/>
      <c r="AI921" s="124"/>
      <c r="AJ921" s="122" t="s">
        <v>2090</v>
      </c>
      <c r="AK921" s="129" t="str">
        <f t="shared" ca="1" si="112"/>
        <v>Late</v>
      </c>
      <c r="AL921" s="268" t="str">
        <f t="shared" si="104"/>
        <v>August</v>
      </c>
      <c r="AM921" s="133">
        <f>YEAR(Table1[[#This Row],[ETA
As requested
dd.mm.yyyy]])</f>
        <v>2024</v>
      </c>
    </row>
    <row r="922" spans="1:39" hidden="1">
      <c r="A922" s="123" t="s">
        <v>82</v>
      </c>
      <c r="B922" s="36" t="s">
        <v>1170</v>
      </c>
      <c r="C922" s="117">
        <v>37347643</v>
      </c>
      <c r="D922" s="165">
        <v>45518</v>
      </c>
      <c r="E922" s="117" t="s">
        <v>431</v>
      </c>
      <c r="F922" s="36" t="str">
        <f>IFERROR(VLOOKUP(Table1[[#This Row],[Part Number]],DATABASE_FG!$C$6:D10911,2,FALSE)," ")</f>
        <v>shaft</v>
      </c>
      <c r="G922" s="117">
        <f>IFERROR(_xlfn.XLOOKUP(Table1[[#This Row],[Part Number]],Table3[Part number],Table3[Drawing
 Revision]),"")</f>
        <v>0</v>
      </c>
      <c r="H922" s="118" cm="1">
        <f t="array" ref="H922">IFERROR(INDEX(PDB!$C:$AT,MATCH(E922,PDB!$B:$B,0),MATCH(YEAR(K922),0+PDB!$C$1:$AT$1,0)),"")</f>
        <v>7.67</v>
      </c>
      <c r="I922" s="36">
        <v>69</v>
      </c>
      <c r="J922" s="125">
        <f>IFERROR(Table1[[#This Row],[Quantity]]*Table1[[#This Row],[Price/Unit
EUR]]," ")</f>
        <v>529.23</v>
      </c>
      <c r="K922" s="126">
        <v>45520</v>
      </c>
      <c r="L922" s="36">
        <f>WEEKNUM(Table1[[#This Row],[ETA
As requested
dd.mm.yyyy]])</f>
        <v>33</v>
      </c>
      <c r="M922" s="36">
        <f>YEAR(Table1[[#This Row],[ETA
As requested
dd.mm.yyyy]])</f>
        <v>2024</v>
      </c>
      <c r="N922" s="36">
        <f>IFERROR(INDEX(DATABASE_FG!$H$5:$H$367, MATCH(E922, DATABASE_FG!$C$5:$C$367, 0)), " ")</f>
        <v>0</v>
      </c>
      <c r="O922" s="129" t="str">
        <f>IF(E922&lt;&gt;"", _xlfn.XLOOKUP(E922, DATABASE_FG!C:C, DATABASE_FG!F:F), " ")</f>
        <v>shaft</v>
      </c>
      <c r="P922" s="129">
        <f>IFERROR(INDEX(DATABASE_FG!$G$5:$G$367, MATCH(E922, DATABASE_FG!$C$5:$C$367, 0)), "Not Found")</f>
        <v>50</v>
      </c>
      <c r="Q922" s="36"/>
      <c r="R922" s="125" t="s">
        <v>680</v>
      </c>
      <c r="S922" s="123">
        <f>IFERROR(INDEX(DATABASE_FG!$L$5:$L$367, MATCH(E922, DATABASE_FG!$C$5:$C$367, 0)), " ")</f>
        <v>56</v>
      </c>
      <c r="T922" s="36"/>
      <c r="U922" s="36"/>
      <c r="V922" s="36"/>
      <c r="W922" s="129"/>
      <c r="X922" s="36"/>
      <c r="Y922" s="36"/>
      <c r="Z922" s="36"/>
      <c r="AA922" s="125" t="s">
        <v>121</v>
      </c>
      <c r="AB922" s="173">
        <v>45764</v>
      </c>
      <c r="AC922" s="119">
        <v>25645</v>
      </c>
      <c r="AD922" s="36">
        <f t="shared" si="110"/>
        <v>37347643</v>
      </c>
      <c r="AE922" s="36" t="str">
        <f t="shared" si="111"/>
        <v>F-688038.02-0111.W.WE36</v>
      </c>
      <c r="AF922" s="36">
        <v>69</v>
      </c>
      <c r="AG922" s="120">
        <f t="shared" si="103"/>
        <v>529.23</v>
      </c>
      <c r="AH922" s="36"/>
      <c r="AI922" s="124"/>
      <c r="AJ922" s="122" t="s">
        <v>2093</v>
      </c>
      <c r="AK922" s="129" t="str">
        <f t="shared" ca="1" si="112"/>
        <v>Late</v>
      </c>
      <c r="AL922" s="268" t="str">
        <f t="shared" si="104"/>
        <v>August</v>
      </c>
      <c r="AM922" s="133">
        <f>YEAR(Table1[[#This Row],[ETA
As requested
dd.mm.yyyy]])</f>
        <v>2024</v>
      </c>
    </row>
    <row r="923" spans="1:39" hidden="1">
      <c r="A923" s="123" t="s">
        <v>82</v>
      </c>
      <c r="B923" s="36" t="s">
        <v>1170</v>
      </c>
      <c r="C923" s="117">
        <v>37347643</v>
      </c>
      <c r="D923" s="165">
        <v>45518</v>
      </c>
      <c r="E923" s="117" t="s">
        <v>431</v>
      </c>
      <c r="F923" s="36" t="str">
        <f>IFERROR(VLOOKUP(Table1[[#This Row],[Part Number]],DATABASE_FG!$C$6:D10912,2,FALSE)," ")</f>
        <v>shaft</v>
      </c>
      <c r="G923" s="117">
        <f>IFERROR(_xlfn.XLOOKUP(Table1[[#This Row],[Part Number]],Table3[Part number],Table3[Drawing
 Revision]),"")</f>
        <v>0</v>
      </c>
      <c r="H923" s="118" cm="1">
        <f t="array" ref="H923">IFERROR(INDEX(PDB!$C:$AT,MATCH(E923,PDB!$B:$B,0),MATCH(YEAR(K923),0+PDB!$C$1:$AT$1,0)),"")</f>
        <v>7.67</v>
      </c>
      <c r="I923" s="36">
        <v>6</v>
      </c>
      <c r="J923" s="125">
        <f>IFERROR(Table1[[#This Row],[Quantity]]*Table1[[#This Row],[Price/Unit
EUR]]," ")</f>
        <v>46.019999999999996</v>
      </c>
      <c r="K923" s="126">
        <v>45520</v>
      </c>
      <c r="L923" s="36">
        <f>WEEKNUM(Table1[[#This Row],[ETA
As requested
dd.mm.yyyy]])</f>
        <v>33</v>
      </c>
      <c r="M923" s="36">
        <f>YEAR(Table1[[#This Row],[ETA
As requested
dd.mm.yyyy]])</f>
        <v>2024</v>
      </c>
      <c r="N923" s="36">
        <f>IFERROR(INDEX(DATABASE_FG!$H$5:$H$367, MATCH(E923, DATABASE_FG!$C$5:$C$367, 0)), " ")</f>
        <v>0</v>
      </c>
      <c r="O923" s="129"/>
      <c r="P923" s="129">
        <f>IFERROR(INDEX(DATABASE_FG!$G$5:$G$367, MATCH(E923, DATABASE_FG!$C$5:$C$367, 0)), "Not Found")</f>
        <v>50</v>
      </c>
      <c r="Q923" s="36"/>
      <c r="R923" s="125"/>
      <c r="S923" s="123">
        <f>Table1[[#This Row],[Quantity]]/48</f>
        <v>0.125</v>
      </c>
      <c r="T923" s="36"/>
      <c r="U923" s="36"/>
      <c r="V923" s="36"/>
      <c r="W923" s="129"/>
      <c r="X923" s="36"/>
      <c r="Y923" s="36"/>
      <c r="Z923" s="36"/>
      <c r="AA923" s="125" t="s">
        <v>121</v>
      </c>
      <c r="AB923" s="173">
        <v>45778</v>
      </c>
      <c r="AC923" s="119">
        <v>25711</v>
      </c>
      <c r="AD923" s="36">
        <f t="shared" si="110"/>
        <v>37347643</v>
      </c>
      <c r="AE923" s="36" t="str">
        <f t="shared" si="111"/>
        <v>F-688038.02-0111.W.WE36</v>
      </c>
      <c r="AF923" s="36">
        <v>6</v>
      </c>
      <c r="AG923" s="120">
        <f t="shared" si="103"/>
        <v>46.019999999999996</v>
      </c>
      <c r="AH923" s="36"/>
      <c r="AI923" s="124"/>
      <c r="AJ923" s="122" t="s">
        <v>2096</v>
      </c>
      <c r="AK923" s="129" t="str">
        <f t="shared" ca="1" si="112"/>
        <v>Late</v>
      </c>
      <c r="AL923" s="268" t="str">
        <f t="shared" si="104"/>
        <v>August</v>
      </c>
      <c r="AM923" s="133">
        <f>YEAR(Table1[[#This Row],[ETA
As requested
dd.mm.yyyy]])</f>
        <v>2024</v>
      </c>
    </row>
    <row r="924" spans="1:39" hidden="1">
      <c r="A924" s="123" t="s">
        <v>82</v>
      </c>
      <c r="B924" s="36" t="s">
        <v>1170</v>
      </c>
      <c r="C924" s="117">
        <v>37347643</v>
      </c>
      <c r="D924" s="165">
        <v>45518</v>
      </c>
      <c r="E924" s="117" t="s">
        <v>431</v>
      </c>
      <c r="F924" s="36" t="str">
        <f>IFERROR(VLOOKUP(Table1[[#This Row],[Part Number]],DATABASE_FG!$C$6:D10913,2,FALSE)," ")</f>
        <v>shaft</v>
      </c>
      <c r="G924" s="117">
        <f>IFERROR(_xlfn.XLOOKUP(Table1[[#This Row],[Part Number]],Table3[Part number],Table3[Drawing
 Revision]),"")</f>
        <v>0</v>
      </c>
      <c r="H924" s="118" cm="1">
        <f t="array" ref="H924">IFERROR(INDEX(PDB!$C:$AT,MATCH(E924,PDB!$B:$B,0),MATCH(YEAR(K924),0+PDB!$C$1:$AT$1,0)),"")</f>
        <v>7.67</v>
      </c>
      <c r="I924" s="36">
        <v>117</v>
      </c>
      <c r="J924" s="125">
        <f>IFERROR(Table1[[#This Row],[Quantity]]*Table1[[#This Row],[Price/Unit
EUR]]," ")</f>
        <v>897.39</v>
      </c>
      <c r="K924" s="126">
        <v>45520</v>
      </c>
      <c r="L924" s="36">
        <f>WEEKNUM(Table1[[#This Row],[ETA
As requested
dd.mm.yyyy]])</f>
        <v>33</v>
      </c>
      <c r="M924" s="36">
        <f>YEAR(Table1[[#This Row],[ETA
As requested
dd.mm.yyyy]])</f>
        <v>2024</v>
      </c>
      <c r="N924" s="36">
        <f>IFERROR(INDEX(DATABASE_FG!$H$5:$H$367, MATCH(E924, DATABASE_FG!$C$5:$C$367, 0)), " ")</f>
        <v>0</v>
      </c>
      <c r="O924" s="129" t="str">
        <f>IF(E924&lt;&gt;"", _xlfn.XLOOKUP(E924, DATABASE_FG!C:C, DATABASE_FG!F:F), " ")</f>
        <v>shaft</v>
      </c>
      <c r="P924" s="129">
        <f>IFERROR(INDEX(DATABASE_FG!$G$5:$G$367, MATCH(E924, DATABASE_FG!$C$5:$C$367, 0)), "Not Found")</f>
        <v>50</v>
      </c>
      <c r="Q924" s="36"/>
      <c r="R924" s="125" t="s">
        <v>680</v>
      </c>
      <c r="S924" s="123">
        <f>Table1[[#This Row],[Quantity]]/48</f>
        <v>2.4375</v>
      </c>
      <c r="T924" s="36"/>
      <c r="U924" s="36"/>
      <c r="V924" s="36"/>
      <c r="W924" s="129"/>
      <c r="X924" s="36"/>
      <c r="Y924" s="36"/>
      <c r="Z924" s="36"/>
      <c r="AA924" s="125" t="s">
        <v>121</v>
      </c>
      <c r="AB924" s="173">
        <v>45786</v>
      </c>
      <c r="AC924" s="119">
        <v>25748</v>
      </c>
      <c r="AD924" s="36">
        <f t="shared" si="110"/>
        <v>37347643</v>
      </c>
      <c r="AE924" s="36" t="str">
        <f t="shared" si="111"/>
        <v>F-688038.02-0111.W.WE36</v>
      </c>
      <c r="AF924" s="36">
        <v>117</v>
      </c>
      <c r="AG924" s="120">
        <f t="shared" si="103"/>
        <v>897.39</v>
      </c>
      <c r="AH924" s="36"/>
      <c r="AI924" s="124"/>
      <c r="AJ924" s="122" t="s">
        <v>2097</v>
      </c>
      <c r="AK924" s="129" t="str">
        <f t="shared" ca="1" si="112"/>
        <v>Late</v>
      </c>
      <c r="AL924" s="268" t="str">
        <f t="shared" si="104"/>
        <v>August</v>
      </c>
      <c r="AM924" s="133">
        <f>YEAR(Table1[[#This Row],[ETA
As requested
dd.mm.yyyy]])</f>
        <v>2024</v>
      </c>
    </row>
    <row r="925" spans="1:39" hidden="1">
      <c r="A925" s="123" t="s">
        <v>82</v>
      </c>
      <c r="B925" s="36" t="s">
        <v>1170</v>
      </c>
      <c r="C925" s="117">
        <v>37347643</v>
      </c>
      <c r="D925" s="165">
        <v>45518</v>
      </c>
      <c r="E925" s="117" t="s">
        <v>431</v>
      </c>
      <c r="F925" s="36" t="str">
        <f>IFERROR(VLOOKUP(Table1[[#This Row],[Part Number]],DATABASE_FG!$C$6:D10914,2,FALSE)," ")</f>
        <v>shaft</v>
      </c>
      <c r="G925" s="117">
        <f>IFERROR(_xlfn.XLOOKUP(Table1[[#This Row],[Part Number]],Table3[Part number],Table3[Drawing
 Revision]),"")</f>
        <v>0</v>
      </c>
      <c r="H925" s="118" cm="1">
        <f t="array" ref="H925">IFERROR(INDEX(PDB!$C:$AT,MATCH(E925,PDB!$B:$B,0),MATCH(YEAR(K925),0+PDB!$C$1:$AT$1,0)),"")</f>
        <v>7.67</v>
      </c>
      <c r="I925" s="36">
        <v>109</v>
      </c>
      <c r="J925" s="125">
        <f>IFERROR(Table1[[#This Row],[Quantity]]*Table1[[#This Row],[Price/Unit
EUR]]," ")</f>
        <v>836.03</v>
      </c>
      <c r="K925" s="126">
        <v>45520</v>
      </c>
      <c r="L925" s="36">
        <f>WEEKNUM(Table1[[#This Row],[ETA
As requested
dd.mm.yyyy]])</f>
        <v>33</v>
      </c>
      <c r="M925" s="36">
        <f>YEAR(Table1[[#This Row],[ETA
As requested
dd.mm.yyyy]])</f>
        <v>2024</v>
      </c>
      <c r="N925" s="36">
        <f>IFERROR(INDEX(DATABASE_FG!$H$5:$H$367, MATCH(E925, DATABASE_FG!$C$5:$C$367, 0)), " ")</f>
        <v>0</v>
      </c>
      <c r="O925" s="129" t="str">
        <f>IF(E925&lt;&gt;"", _xlfn.XLOOKUP(E925, DATABASE_FG!C:C, DATABASE_FG!F:F), " ")</f>
        <v>shaft</v>
      </c>
      <c r="P925" s="129">
        <f>IFERROR(INDEX(DATABASE_FG!$G$5:$G$367, MATCH(E925, DATABASE_FG!$C$5:$C$367, 0)), "Not Found")</f>
        <v>50</v>
      </c>
      <c r="Q925" s="36"/>
      <c r="R925" s="125" t="s">
        <v>680</v>
      </c>
      <c r="S925" s="123">
        <f>IFERROR(INDEX(DATABASE_FG!$L$5:$L$367, MATCH(E925, DATABASE_FG!$C$5:$C$367, 0)), " ")</f>
        <v>56</v>
      </c>
      <c r="T925" s="36"/>
      <c r="U925" s="36"/>
      <c r="V925" s="36"/>
      <c r="W925" s="129"/>
      <c r="X925" s="36"/>
      <c r="Y925" s="36"/>
      <c r="Z925" s="36"/>
      <c r="AA925" s="125" t="s">
        <v>121</v>
      </c>
      <c r="AB925" s="173">
        <v>45792</v>
      </c>
      <c r="AC925" s="119">
        <v>25781</v>
      </c>
      <c r="AD925" s="36">
        <f t="shared" si="110"/>
        <v>37347643</v>
      </c>
      <c r="AE925" s="36" t="str">
        <f t="shared" si="111"/>
        <v>F-688038.02-0111.W.WE36</v>
      </c>
      <c r="AF925" s="36">
        <v>109</v>
      </c>
      <c r="AG925" s="120">
        <f t="shared" si="103"/>
        <v>836.03</v>
      </c>
      <c r="AH925" s="36"/>
      <c r="AI925" s="124"/>
      <c r="AJ925" s="122" t="s">
        <v>2099</v>
      </c>
      <c r="AK925" s="129" t="str">
        <f t="shared" ca="1" si="112"/>
        <v>Late</v>
      </c>
      <c r="AL925" s="268" t="str">
        <f t="shared" si="104"/>
        <v>August</v>
      </c>
      <c r="AM925" s="133">
        <f>YEAR(Table1[[#This Row],[ETA
As requested
dd.mm.yyyy]])</f>
        <v>2024</v>
      </c>
    </row>
    <row r="926" spans="1:39" hidden="1">
      <c r="A926" s="123" t="s">
        <v>82</v>
      </c>
      <c r="B926" s="36" t="s">
        <v>1170</v>
      </c>
      <c r="C926" s="117">
        <v>37347643</v>
      </c>
      <c r="D926" s="165">
        <v>45518</v>
      </c>
      <c r="E926" s="117" t="s">
        <v>431</v>
      </c>
      <c r="F926" s="36" t="str">
        <f>IFERROR(VLOOKUP(Table1[[#This Row],[Part Number]],DATABASE_FG!$C$6:D10915,2,FALSE)," ")</f>
        <v>shaft</v>
      </c>
      <c r="G926" s="117">
        <f>IFERROR(_xlfn.XLOOKUP(Table1[[#This Row],[Part Number]],Table3[Part number],Table3[Drawing
 Revision]),"")</f>
        <v>0</v>
      </c>
      <c r="H926" s="118" cm="1">
        <f t="array" ref="H926">IFERROR(INDEX(PDB!$C:$AT,MATCH(E926,PDB!$B:$B,0),MATCH(YEAR(K926),0+PDB!$C$1:$AT$1,0)),"")</f>
        <v>7.67</v>
      </c>
      <c r="I926" s="36">
        <v>5</v>
      </c>
      <c r="J926" s="125">
        <f>IFERROR(Table1[[#This Row],[Quantity]]*Table1[[#This Row],[Price/Unit
EUR]]," ")</f>
        <v>38.35</v>
      </c>
      <c r="K926" s="126">
        <v>45520</v>
      </c>
      <c r="L926" s="36">
        <f>WEEKNUM(Table1[[#This Row],[ETA
As requested
dd.mm.yyyy]])</f>
        <v>33</v>
      </c>
      <c r="M926" s="36">
        <f>YEAR(Table1[[#This Row],[ETA
As requested
dd.mm.yyyy]])</f>
        <v>2024</v>
      </c>
      <c r="N926" s="36">
        <f>IFERROR(INDEX(DATABASE_FG!$H$5:$H$367, MATCH(E926, DATABASE_FG!$C$5:$C$367, 0)), " ")</f>
        <v>0</v>
      </c>
      <c r="O926" s="129" t="str">
        <f>IF(E926&lt;&gt;"", _xlfn.XLOOKUP(E926, DATABASE_FG!C:C, DATABASE_FG!F:F), " ")</f>
        <v>shaft</v>
      </c>
      <c r="P926" s="129">
        <f>IFERROR(INDEX(DATABASE_FG!$G$5:$G$367, MATCH(E926, DATABASE_FG!$C$5:$C$367, 0)), "Not Found")</f>
        <v>50</v>
      </c>
      <c r="Q926" s="36"/>
      <c r="R926" s="125" t="s">
        <v>680</v>
      </c>
      <c r="S926" s="123">
        <f>IFERROR(INDEX(DATABASE_FG!$L$5:$L$367, MATCH(E926, DATABASE_FG!$C$5:$C$367, 0)), " ")</f>
        <v>56</v>
      </c>
      <c r="T926" s="36"/>
      <c r="U926" s="36"/>
      <c r="V926" s="36"/>
      <c r="W926" s="129"/>
      <c r="X926" s="36"/>
      <c r="Y926" s="36"/>
      <c r="Z926" s="36"/>
      <c r="AA926" s="125" t="s">
        <v>121</v>
      </c>
      <c r="AB926" s="173">
        <v>45792</v>
      </c>
      <c r="AC926" s="119">
        <v>25781</v>
      </c>
      <c r="AD926" s="36">
        <f t="shared" si="110"/>
        <v>37347643</v>
      </c>
      <c r="AE926" s="36" t="str">
        <f t="shared" si="111"/>
        <v>F-688038.02-0111.W.WE36</v>
      </c>
      <c r="AF926" s="36">
        <v>5</v>
      </c>
      <c r="AG926" s="120">
        <f t="shared" si="103"/>
        <v>38.35</v>
      </c>
      <c r="AH926" s="36"/>
      <c r="AI926" s="124" t="s">
        <v>310</v>
      </c>
      <c r="AJ926" s="122"/>
      <c r="AK926" s="129" t="str">
        <f t="shared" ca="1" si="112"/>
        <v>Late</v>
      </c>
      <c r="AL926" s="268" t="str">
        <f t="shared" si="104"/>
        <v>August</v>
      </c>
      <c r="AM926" s="133">
        <f>YEAR(Table1[[#This Row],[ETA
As requested
dd.mm.yyyy]])</f>
        <v>2024</v>
      </c>
    </row>
    <row r="927" spans="1:39" hidden="1">
      <c r="A927" s="123" t="s">
        <v>82</v>
      </c>
      <c r="B927" s="36" t="s">
        <v>1170</v>
      </c>
      <c r="C927" s="117">
        <v>37347643</v>
      </c>
      <c r="D927" s="165">
        <v>45518</v>
      </c>
      <c r="E927" s="117" t="s">
        <v>431</v>
      </c>
      <c r="F927" s="36" t="str">
        <f>IFERROR(VLOOKUP(Table1[[#This Row],[Part Number]],DATABASE_FG!$C$6:D10916,2,FALSE)," ")</f>
        <v>shaft</v>
      </c>
      <c r="G927" s="117">
        <f>IFERROR(_xlfn.XLOOKUP(Table1[[#This Row],[Part Number]],Table3[Part number],Table3[Drawing
 Revision]),"")</f>
        <v>0</v>
      </c>
      <c r="H927" s="118" cm="1">
        <f t="array" ref="H927">IFERROR(INDEX(PDB!$C:$AT,MATCH(E927,PDB!$B:$B,0),MATCH(YEAR(K927),0+PDB!$C$1:$AT$1,0)),"")</f>
        <v>7.67</v>
      </c>
      <c r="I927" s="36">
        <v>140</v>
      </c>
      <c r="J927" s="125">
        <f>IFERROR(Table1[[#This Row],[Quantity]]*Table1[[#This Row],[Price/Unit
EUR]]," ")</f>
        <v>1073.8</v>
      </c>
      <c r="K927" s="126">
        <v>45520</v>
      </c>
      <c r="L927" s="36">
        <f>WEEKNUM(Table1[[#This Row],[ETA
As requested
dd.mm.yyyy]])</f>
        <v>33</v>
      </c>
      <c r="M927" s="36">
        <f>YEAR(Table1[[#This Row],[ETA
As requested
dd.mm.yyyy]])</f>
        <v>2024</v>
      </c>
      <c r="N927" s="36">
        <f>IFERROR(INDEX(DATABASE_FG!$H$5:$H$367, MATCH(E927, DATABASE_FG!$C$5:$C$367, 0)), " ")</f>
        <v>0</v>
      </c>
      <c r="O927" s="129" t="str">
        <f>IF(E927&lt;&gt;"", _xlfn.XLOOKUP(E927, DATABASE_FG!C:C, DATABASE_FG!F:F), " ")</f>
        <v>shaft</v>
      </c>
      <c r="P927" s="129">
        <f>IFERROR(INDEX(DATABASE_FG!$G$5:$G$367, MATCH(E927, DATABASE_FG!$C$5:$C$367, 0)), "Not Found")</f>
        <v>50</v>
      </c>
      <c r="Q927" s="36"/>
      <c r="R927" s="125" t="s">
        <v>680</v>
      </c>
      <c r="S927" s="123">
        <f>IFERROR(INDEX(DATABASE_FG!$L$5:$L$367, MATCH(E927, DATABASE_FG!$C$5:$C$367, 0)), " ")</f>
        <v>56</v>
      </c>
      <c r="T927" s="36"/>
      <c r="U927" s="36"/>
      <c r="V927" s="36"/>
      <c r="W927" s="129"/>
      <c r="X927" s="36"/>
      <c r="Y927" s="36"/>
      <c r="Z927" s="36"/>
      <c r="AA927" s="125" t="s">
        <v>121</v>
      </c>
      <c r="AB927" s="173">
        <v>45792</v>
      </c>
      <c r="AC927" s="119">
        <v>25773</v>
      </c>
      <c r="AD927" s="36">
        <f t="shared" si="110"/>
        <v>37347643</v>
      </c>
      <c r="AE927" s="36" t="str">
        <f t="shared" si="111"/>
        <v>F-688038.02-0111.W.WE36</v>
      </c>
      <c r="AF927" s="36">
        <v>140</v>
      </c>
      <c r="AG927" s="120">
        <f t="shared" si="103"/>
        <v>1073.8</v>
      </c>
      <c r="AH927" s="36"/>
      <c r="AI927" s="124"/>
      <c r="AJ927" s="122" t="s">
        <v>2100</v>
      </c>
      <c r="AK927" s="129" t="str">
        <f t="shared" ca="1" si="112"/>
        <v>Late</v>
      </c>
      <c r="AL927" s="268" t="str">
        <f t="shared" si="104"/>
        <v>August</v>
      </c>
      <c r="AM927" s="133">
        <f>YEAR(Table1[[#This Row],[ETA
As requested
dd.mm.yyyy]])</f>
        <v>2024</v>
      </c>
    </row>
    <row r="928" spans="1:39" hidden="1">
      <c r="A928" s="123" t="s">
        <v>82</v>
      </c>
      <c r="B928" s="36" t="s">
        <v>1170</v>
      </c>
      <c r="C928" s="117">
        <v>37347643</v>
      </c>
      <c r="D928" s="165">
        <v>45518</v>
      </c>
      <c r="E928" s="117" t="s">
        <v>431</v>
      </c>
      <c r="F928" s="36" t="str">
        <f>IFERROR(VLOOKUP(Table1[[#This Row],[Part Number]],DATABASE_FG!$C$6:D10917,2,FALSE)," ")</f>
        <v>shaft</v>
      </c>
      <c r="G928" s="117">
        <f>IFERROR(_xlfn.XLOOKUP(Table1[[#This Row],[Part Number]],Table3[Part number],Table3[Drawing
 Revision]),"")</f>
        <v>0</v>
      </c>
      <c r="H928" s="118" cm="1">
        <f t="array" ref="H928">IFERROR(INDEX(PDB!$C:$AT,MATCH(E928,PDB!$B:$B,0),MATCH(YEAR(K928),0+PDB!$C$1:$AT$1,0)),"")</f>
        <v>7.67</v>
      </c>
      <c r="I928" s="36">
        <f>7150-6719-6-117-109-5-140</f>
        <v>54</v>
      </c>
      <c r="J928" s="125">
        <f>IFERROR(Table1[[#This Row],[Quantity]]*Table1[[#This Row],[Price/Unit
EUR]]," ")</f>
        <v>414.18</v>
      </c>
      <c r="K928" s="126">
        <v>45520</v>
      </c>
      <c r="L928" s="36">
        <f>WEEKNUM(Table1[[#This Row],[ETA
As requested
dd.mm.yyyy]])</f>
        <v>33</v>
      </c>
      <c r="M928" s="36">
        <f>YEAR(Table1[[#This Row],[ETA
As requested
dd.mm.yyyy]])</f>
        <v>2024</v>
      </c>
      <c r="N928" s="36">
        <f>IFERROR(INDEX(DATABASE_FG!$H$5:$H$367, MATCH(E928, DATABASE_FG!$C$5:$C$367, 0)), " ")</f>
        <v>0</v>
      </c>
      <c r="O928" s="129" t="str">
        <f>IF(E928&lt;&gt;"", _xlfn.XLOOKUP(E928, DATABASE_FG!C:C, DATABASE_FG!F:F), " ")</f>
        <v>shaft</v>
      </c>
      <c r="P928" s="129">
        <f>IFERROR(INDEX(DATABASE_FG!$G$5:$G$367, MATCH(E928, DATABASE_FG!$C$5:$C$367, 0)), "Not Found")</f>
        <v>50</v>
      </c>
      <c r="Q928" s="36"/>
      <c r="R928" s="125" t="s">
        <v>680</v>
      </c>
      <c r="S928" s="123">
        <f>IFERROR(INDEX(DATABASE_FG!$L$5:$L$367, MATCH(E928, DATABASE_FG!$C$5:$C$367, 0)), " ")</f>
        <v>56</v>
      </c>
      <c r="T928" s="36"/>
      <c r="U928" s="36"/>
      <c r="V928" s="36"/>
      <c r="W928" s="129"/>
      <c r="X928" s="36"/>
      <c r="Y928" s="36" t="s">
        <v>677</v>
      </c>
      <c r="Z928" s="36"/>
      <c r="AA928" s="125" t="s">
        <v>3</v>
      </c>
      <c r="AB928" s="173"/>
      <c r="AC928" s="119"/>
      <c r="AD928" s="36" t="str">
        <f t="shared" si="110"/>
        <v/>
      </c>
      <c r="AE928" s="36" t="str">
        <f t="shared" si="111"/>
        <v/>
      </c>
      <c r="AF928" s="36"/>
      <c r="AG928" s="120">
        <f t="shared" si="103"/>
        <v>0</v>
      </c>
      <c r="AH928" s="36"/>
      <c r="AI928" s="124"/>
      <c r="AJ928" s="122"/>
      <c r="AK928" s="129" t="str">
        <f t="shared" ca="1" si="112"/>
        <v>Late</v>
      </c>
      <c r="AL928" s="268" t="str">
        <f t="shared" si="104"/>
        <v>August</v>
      </c>
      <c r="AM928" s="133">
        <f>YEAR(Table1[[#This Row],[ETA
As requested
dd.mm.yyyy]])</f>
        <v>2024</v>
      </c>
    </row>
    <row r="929" spans="1:39" hidden="1">
      <c r="A929" s="123" t="s">
        <v>82</v>
      </c>
      <c r="B929" s="36" t="s">
        <v>1170</v>
      </c>
      <c r="C929" s="117">
        <v>37347643</v>
      </c>
      <c r="D929" s="165">
        <v>45518</v>
      </c>
      <c r="E929" s="117" t="s">
        <v>1965</v>
      </c>
      <c r="F929" s="36">
        <f>IFERROR(VLOOKUP(Table1[[#This Row],[Part Number]],DATABASE_FG!$C$6:D10918,2,FALSE)," ")</f>
        <v>0</v>
      </c>
      <c r="G929" s="117">
        <f>IFERROR(_xlfn.XLOOKUP(Table1[[#This Row],[Part Number]],Table3[Part number],Table3[Drawing
 Revision]),"")</f>
        <v>0</v>
      </c>
      <c r="H929" s="118" cm="1">
        <f t="array" ref="H929">IFERROR(INDEX(PDB!$C:$AT,MATCH(E929,PDB!$B:$B,0),MATCH(YEAR(K929),0+PDB!$C$1:$AT$1,0)),"")</f>
        <v>0.73</v>
      </c>
      <c r="I929" s="36">
        <v>5</v>
      </c>
      <c r="J929" s="125">
        <f>IFERROR(Table1[[#This Row],[Quantity]]*Table1[[#This Row],[Price/Unit
EUR]]," ")</f>
        <v>3.65</v>
      </c>
      <c r="K929" s="126">
        <v>45520</v>
      </c>
      <c r="L929" s="36">
        <f>WEEKNUM(Table1[[#This Row],[ETA
As requested
dd.mm.yyyy]])</f>
        <v>33</v>
      </c>
      <c r="M929" s="36">
        <f>YEAR(Table1[[#This Row],[ETA
As requested
dd.mm.yyyy]])</f>
        <v>2024</v>
      </c>
      <c r="N929" s="36">
        <f>IFERROR(INDEX(DATABASE_FG!$H$5:$H$367, MATCH(E929, DATABASE_FG!$C$5:$C$367, 0)), " ")</f>
        <v>0</v>
      </c>
      <c r="O929" s="129" t="str">
        <f>IF(E929&lt;&gt;"", _xlfn.XLOOKUP(E929, DATABASE_FG!C:C, DATABASE_FG!F:F), " ")</f>
        <v>Bolts and washers</v>
      </c>
      <c r="P929" s="129">
        <f>IFERROR(INDEX(DATABASE_FG!$G$5:$G$367, MATCH(E929, DATABASE_FG!$C$5:$C$367, 0)), "Not Found")</f>
        <v>0</v>
      </c>
      <c r="Q929" s="36"/>
      <c r="R929" s="125"/>
      <c r="S929" s="123">
        <f>Table1[[#This Row],[Quantity]]/48</f>
        <v>0.10416666666666667</v>
      </c>
      <c r="T929" s="36"/>
      <c r="U929" s="36"/>
      <c r="V929" s="36"/>
      <c r="W929" s="129"/>
      <c r="X929" s="36"/>
      <c r="Y929" s="36"/>
      <c r="Z929" s="36"/>
      <c r="AA929" s="125" t="s">
        <v>121</v>
      </c>
      <c r="AB929" s="173">
        <v>45519</v>
      </c>
      <c r="AC929" s="119">
        <v>202401028</v>
      </c>
      <c r="AD929" s="36">
        <f t="shared" si="110"/>
        <v>37347643</v>
      </c>
      <c r="AE929" s="36" t="str">
        <f t="shared" si="111"/>
        <v>F-688038.02-0121.SHB.WE36</v>
      </c>
      <c r="AF929" s="36">
        <v>5</v>
      </c>
      <c r="AG929" s="120">
        <f t="shared" si="103"/>
        <v>3.65</v>
      </c>
      <c r="AH929" s="36"/>
      <c r="AI929" s="124" t="s">
        <v>1966</v>
      </c>
      <c r="AJ929" s="122" t="s">
        <v>1967</v>
      </c>
      <c r="AK929" s="129" t="str">
        <f t="shared" ca="1" si="112"/>
        <v>On Time</v>
      </c>
      <c r="AL929" s="268" t="str">
        <f t="shared" si="104"/>
        <v>August</v>
      </c>
      <c r="AM929" s="133">
        <f>YEAR(Table1[[#This Row],[ETA
As requested
dd.mm.yyyy]])</f>
        <v>2024</v>
      </c>
    </row>
    <row r="930" spans="1:39" hidden="1">
      <c r="A930" s="123" t="s">
        <v>82</v>
      </c>
      <c r="B930" s="36" t="s">
        <v>1170</v>
      </c>
      <c r="C930" s="117">
        <v>37347643</v>
      </c>
      <c r="D930" s="165">
        <v>45518</v>
      </c>
      <c r="E930" s="117" t="s">
        <v>1965</v>
      </c>
      <c r="F930" s="36">
        <f>IFERROR(VLOOKUP(Table1[[#This Row],[Part Number]],DATABASE_FG!$C$6:D10919,2,FALSE)," ")</f>
        <v>0</v>
      </c>
      <c r="G930" s="117">
        <f>IFERROR(_xlfn.XLOOKUP(Table1[[#This Row],[Part Number]],Table3[Part number],Table3[Drawing
 Revision]),"")</f>
        <v>0</v>
      </c>
      <c r="H930" s="118" cm="1">
        <f t="array" ref="H930">IFERROR(INDEX(PDB!$C:$AT,MATCH(E930,PDB!$B:$B,0),MATCH(YEAR(K930),0+PDB!$C$1:$AT$1,0)),"")</f>
        <v>0.73</v>
      </c>
      <c r="I930" s="36">
        <v>322</v>
      </c>
      <c r="J930" s="125">
        <f>IFERROR(Table1[[#This Row],[Quantity]]*Table1[[#This Row],[Price/Unit
EUR]]," ")</f>
        <v>235.06</v>
      </c>
      <c r="K930" s="126">
        <v>45520</v>
      </c>
      <c r="L930" s="36">
        <f>WEEKNUM(Table1[[#This Row],[ETA
As requested
dd.mm.yyyy]])</f>
        <v>33</v>
      </c>
      <c r="M930" s="36">
        <f>YEAR(Table1[[#This Row],[ETA
As requested
dd.mm.yyyy]])</f>
        <v>2024</v>
      </c>
      <c r="N930" s="36">
        <f>IFERROR(INDEX(DATABASE_FG!$H$5:$H$367, MATCH(E930, DATABASE_FG!$C$5:$C$367, 0)), " ")</f>
        <v>0</v>
      </c>
      <c r="O930" s="129" t="str">
        <f>IF(E930&lt;&gt;"", _xlfn.XLOOKUP(E930, DATABASE_FG!C:C, DATABASE_FG!F:F), " ")</f>
        <v>Bolts and washers</v>
      </c>
      <c r="P930" s="129">
        <f>IFERROR(INDEX(DATABASE_FG!$G$5:$G$367, MATCH(E930, DATABASE_FG!$C$5:$C$367, 0)), "Not Found")</f>
        <v>0</v>
      </c>
      <c r="Q930" s="36"/>
      <c r="R930" s="125"/>
      <c r="S930" s="123">
        <f>Table1[[#This Row],[Quantity]]/48</f>
        <v>6.708333333333333</v>
      </c>
      <c r="T930" s="36"/>
      <c r="U930" s="36"/>
      <c r="V930" s="36"/>
      <c r="W930" s="129"/>
      <c r="X930" s="36"/>
      <c r="Y930" s="36"/>
      <c r="Z930" s="36"/>
      <c r="AA930" s="125" t="s">
        <v>121</v>
      </c>
      <c r="AB930" s="173">
        <v>45528</v>
      </c>
      <c r="AC930" s="119">
        <v>20232254</v>
      </c>
      <c r="AD930" s="36">
        <f t="shared" si="110"/>
        <v>37347643</v>
      </c>
      <c r="AE930" s="36" t="str">
        <f t="shared" si="111"/>
        <v>F-688038.02-0121.SHB.WE36</v>
      </c>
      <c r="AF930" s="36">
        <v>322</v>
      </c>
      <c r="AG930" s="120">
        <f t="shared" si="103"/>
        <v>235.06</v>
      </c>
      <c r="AH930" s="36"/>
      <c r="AI930" s="124"/>
      <c r="AJ930" s="122" t="s">
        <v>1969</v>
      </c>
      <c r="AK930" s="129" t="str">
        <f t="shared" ca="1" si="112"/>
        <v>Late</v>
      </c>
      <c r="AL930" s="268" t="str">
        <f t="shared" si="104"/>
        <v>August</v>
      </c>
      <c r="AM930" s="133">
        <f>YEAR(Table1[[#This Row],[ETA
As requested
dd.mm.yyyy]])</f>
        <v>2024</v>
      </c>
    </row>
    <row r="931" spans="1:39" hidden="1">
      <c r="A931" s="123" t="s">
        <v>82</v>
      </c>
      <c r="B931" s="36" t="s">
        <v>1170</v>
      </c>
      <c r="C931" s="117">
        <v>37347643</v>
      </c>
      <c r="D931" s="165">
        <v>45518</v>
      </c>
      <c r="E931" s="117" t="s">
        <v>1965</v>
      </c>
      <c r="F931" s="36">
        <f>IFERROR(VLOOKUP(Table1[[#This Row],[Part Number]],DATABASE_FG!$C$6:D10920,2,FALSE)," ")</f>
        <v>0</v>
      </c>
      <c r="G931" s="117">
        <f>IFERROR(_xlfn.XLOOKUP(Table1[[#This Row],[Part Number]],Table3[Part number],Table3[Drawing
 Revision]),"")</f>
        <v>0</v>
      </c>
      <c r="H931" s="118" cm="1">
        <f t="array" ref="H931">IFERROR(INDEX(PDB!$C:$AT,MATCH(E931,PDB!$B:$B,0),MATCH(YEAR(K931),0+PDB!$C$1:$AT$1,0)),"")</f>
        <v>0.73</v>
      </c>
      <c r="I931" s="36">
        <v>800</v>
      </c>
      <c r="J931" s="125">
        <f>IFERROR(Table1[[#This Row],[Quantity]]*Table1[[#This Row],[Price/Unit
EUR]]," ")</f>
        <v>584</v>
      </c>
      <c r="K931" s="126">
        <v>45520</v>
      </c>
      <c r="L931" s="36">
        <f>WEEKNUM(Table1[[#This Row],[ETA
As requested
dd.mm.yyyy]])</f>
        <v>33</v>
      </c>
      <c r="M931" s="36">
        <f>YEAR(Table1[[#This Row],[ETA
As requested
dd.mm.yyyy]])</f>
        <v>2024</v>
      </c>
      <c r="N931" s="36">
        <f>IFERROR(INDEX(DATABASE_FG!$H$5:$H$367, MATCH(E931, DATABASE_FG!$C$5:$C$367, 0)), " ")</f>
        <v>0</v>
      </c>
      <c r="O931" s="129" t="str">
        <f>IF(E931&lt;&gt;"", _xlfn.XLOOKUP(E931, DATABASE_FG!C:C, DATABASE_FG!F:F), " ")</f>
        <v>Bolts and washers</v>
      </c>
      <c r="P931" s="129">
        <f>IFERROR(INDEX(DATABASE_FG!$G$5:$G$367, MATCH(E931, DATABASE_FG!$C$5:$C$367, 0)), "Not Found")</f>
        <v>0</v>
      </c>
      <c r="Q931" s="36"/>
      <c r="R931" s="125"/>
      <c r="S931" s="123">
        <f>Table1[[#This Row],[Quantity]]/48</f>
        <v>16.666666666666668</v>
      </c>
      <c r="T931" s="36"/>
      <c r="U931" s="36"/>
      <c r="V931" s="36"/>
      <c r="W931" s="129"/>
      <c r="X931" s="36"/>
      <c r="Y931" s="36"/>
      <c r="Z931" s="36"/>
      <c r="AA931" s="125" t="s">
        <v>121</v>
      </c>
      <c r="AB931" s="173">
        <v>45535</v>
      </c>
      <c r="AC931" s="119">
        <v>20232258</v>
      </c>
      <c r="AD931" s="36">
        <f t="shared" si="110"/>
        <v>37347643</v>
      </c>
      <c r="AE931" s="36" t="str">
        <f t="shared" si="111"/>
        <v>F-688038.02-0121.SHB.WE36</v>
      </c>
      <c r="AF931" s="36">
        <v>800</v>
      </c>
      <c r="AG931" s="120">
        <f t="shared" si="103"/>
        <v>584</v>
      </c>
      <c r="AH931" s="36"/>
      <c r="AI931" s="124"/>
      <c r="AJ931" s="122" t="s">
        <v>1972</v>
      </c>
      <c r="AK931" s="129" t="str">
        <f t="shared" ca="1" si="112"/>
        <v>Late</v>
      </c>
      <c r="AL931" s="268" t="str">
        <f t="shared" si="104"/>
        <v>August</v>
      </c>
      <c r="AM931" s="133">
        <f>YEAR(Table1[[#This Row],[ETA
As requested
dd.mm.yyyy]])</f>
        <v>2024</v>
      </c>
    </row>
    <row r="932" spans="1:39" hidden="1">
      <c r="A932" s="123" t="s">
        <v>82</v>
      </c>
      <c r="B932" s="36" t="s">
        <v>1170</v>
      </c>
      <c r="C932" s="117">
        <v>37347643</v>
      </c>
      <c r="D932" s="165">
        <v>45519</v>
      </c>
      <c r="E932" s="117" t="s">
        <v>1965</v>
      </c>
      <c r="F932" s="36">
        <f>IFERROR(VLOOKUP(Table1[[#This Row],[Part Number]],DATABASE_FG!$C$6:D10921,2,FALSE)," ")</f>
        <v>0</v>
      </c>
      <c r="G932" s="117">
        <f>IFERROR(_xlfn.XLOOKUP(Table1[[#This Row],[Part Number]],Table3[Part number],Table3[Drawing
 Revision]),"")</f>
        <v>0</v>
      </c>
      <c r="H932" s="118" cm="1">
        <f t="array" ref="H932">IFERROR(INDEX(PDB!$C:$AT,MATCH(E932,PDB!$B:$B,0),MATCH(YEAR(K932),0+PDB!$C$1:$AT$1,0)),"")</f>
        <v>0.73</v>
      </c>
      <c r="I932" s="36">
        <v>1700</v>
      </c>
      <c r="J932" s="125">
        <f>IFERROR(Table1[[#This Row],[Quantity]]*Table1[[#This Row],[Price/Unit
EUR]]," ")</f>
        <v>1241</v>
      </c>
      <c r="K932" s="126">
        <v>45520</v>
      </c>
      <c r="L932" s="36">
        <f>WEEKNUM(Table1[[#This Row],[ETA
As requested
dd.mm.yyyy]])</f>
        <v>33</v>
      </c>
      <c r="M932" s="36">
        <f>YEAR(Table1[[#This Row],[ETA
As requested
dd.mm.yyyy]])</f>
        <v>2024</v>
      </c>
      <c r="N932" s="36">
        <f>IFERROR(INDEX(DATABASE_FG!$H$5:$H$367, MATCH(E932, DATABASE_FG!$C$5:$C$367, 0)), " ")</f>
        <v>0</v>
      </c>
      <c r="O932" s="129" t="str">
        <f>IF(E932&lt;&gt;"", _xlfn.XLOOKUP(E932, DATABASE_FG!C:C, DATABASE_FG!F:F), " ")</f>
        <v>Bolts and washers</v>
      </c>
      <c r="P932" s="129">
        <f>IFERROR(INDEX(DATABASE_FG!$G$5:$G$367, MATCH(E932, DATABASE_FG!$C$5:$C$367, 0)), "Not Found")</f>
        <v>0</v>
      </c>
      <c r="Q932" s="36"/>
      <c r="R932" s="125"/>
      <c r="S932" s="123">
        <f>Table1[[#This Row],[Quantity]]/48</f>
        <v>35.416666666666664</v>
      </c>
      <c r="T932" s="36"/>
      <c r="U932" s="36"/>
      <c r="V932" s="36"/>
      <c r="W932" s="129"/>
      <c r="X932" s="36"/>
      <c r="Y932" s="36"/>
      <c r="Z932" s="36"/>
      <c r="AA932" s="125" t="s">
        <v>121</v>
      </c>
      <c r="AB932" s="173">
        <v>45541</v>
      </c>
      <c r="AC932" s="119">
        <v>20232261</v>
      </c>
      <c r="AD932" s="36">
        <f t="shared" si="110"/>
        <v>37347643</v>
      </c>
      <c r="AE932" s="36" t="str">
        <f t="shared" si="111"/>
        <v>F-688038.02-0121.SHB.WE36</v>
      </c>
      <c r="AF932" s="36">
        <v>1700</v>
      </c>
      <c r="AG932" s="120">
        <f t="shared" ref="AG932:AG995" si="113">AF932*H932</f>
        <v>1241</v>
      </c>
      <c r="AH932" s="36"/>
      <c r="AI932" s="124"/>
      <c r="AJ932" s="122" t="s">
        <v>1974</v>
      </c>
      <c r="AK932" s="129" t="str">
        <f t="shared" ca="1" si="112"/>
        <v>Late</v>
      </c>
      <c r="AL932" s="268" t="str">
        <f t="shared" si="104"/>
        <v>August</v>
      </c>
      <c r="AM932" s="133">
        <f>YEAR(Table1[[#This Row],[ETA
As requested
dd.mm.yyyy]])</f>
        <v>2024</v>
      </c>
    </row>
    <row r="933" spans="1:39" hidden="1">
      <c r="A933" s="123" t="s">
        <v>82</v>
      </c>
      <c r="B933" s="36" t="s">
        <v>1170</v>
      </c>
      <c r="C933" s="117">
        <v>37347643</v>
      </c>
      <c r="D933" s="165">
        <v>45519</v>
      </c>
      <c r="E933" s="117" t="s">
        <v>1965</v>
      </c>
      <c r="F933" s="36">
        <f>IFERROR(VLOOKUP(Table1[[#This Row],[Part Number]],DATABASE_FG!$C$6:D10922,2,FALSE)," ")</f>
        <v>0</v>
      </c>
      <c r="G933" s="117">
        <f>IFERROR(_xlfn.XLOOKUP(Table1[[#This Row],[Part Number]],Table3[Part number],Table3[Drawing
 Revision]),"")</f>
        <v>0</v>
      </c>
      <c r="H933" s="118" cm="1">
        <f t="array" ref="H933">IFERROR(INDEX(PDB!$C:$AT,MATCH(E933,PDB!$B:$B,0),MATCH(YEAR(K933),0+PDB!$C$1:$AT$1,0)),"")</f>
        <v>0.73</v>
      </c>
      <c r="I933" s="36">
        <v>2400</v>
      </c>
      <c r="J933" s="125">
        <f>IFERROR(Table1[[#This Row],[Quantity]]*Table1[[#This Row],[Price/Unit
EUR]]," ")</f>
        <v>1752</v>
      </c>
      <c r="K933" s="126">
        <v>45520</v>
      </c>
      <c r="L933" s="36">
        <f>WEEKNUM(Table1[[#This Row],[ETA
As requested
dd.mm.yyyy]])</f>
        <v>33</v>
      </c>
      <c r="M933" s="36">
        <f>YEAR(Table1[[#This Row],[ETA
As requested
dd.mm.yyyy]])</f>
        <v>2024</v>
      </c>
      <c r="N933" s="36">
        <f>IFERROR(INDEX(DATABASE_FG!$H$5:$H$367, MATCH(E933, DATABASE_FG!$C$5:$C$367, 0)), " ")</f>
        <v>0</v>
      </c>
      <c r="O933" s="129" t="str">
        <f>IF(E933&lt;&gt;"", _xlfn.XLOOKUP(E933, DATABASE_FG!C:C, DATABASE_FG!F:F), " ")</f>
        <v>Bolts and washers</v>
      </c>
      <c r="P933" s="129">
        <f>IFERROR(INDEX(DATABASE_FG!$G$5:$G$367, MATCH(E933, DATABASE_FG!$C$5:$C$367, 0)), "Not Found")</f>
        <v>0</v>
      </c>
      <c r="Q933" s="36"/>
      <c r="R933" s="125"/>
      <c r="S933" s="123">
        <f>Table1[[#This Row],[Quantity]]/48</f>
        <v>50</v>
      </c>
      <c r="T933" s="36"/>
      <c r="U933" s="36"/>
      <c r="V933" s="36"/>
      <c r="W933" s="129"/>
      <c r="X933" s="36"/>
      <c r="Y933" s="36"/>
      <c r="Z933" s="36"/>
      <c r="AA933" s="125" t="s">
        <v>121</v>
      </c>
      <c r="AB933" s="173">
        <v>45549</v>
      </c>
      <c r="AC933" s="119">
        <v>20232264</v>
      </c>
      <c r="AD933" s="36">
        <f t="shared" si="110"/>
        <v>37347643</v>
      </c>
      <c r="AE933" s="36" t="str">
        <f t="shared" si="111"/>
        <v>F-688038.02-0121.SHB.WE36</v>
      </c>
      <c r="AF933" s="36">
        <v>2400</v>
      </c>
      <c r="AG933" s="120">
        <f t="shared" si="113"/>
        <v>1752</v>
      </c>
      <c r="AH933" s="36"/>
      <c r="AI933" s="124"/>
      <c r="AJ933" s="122" t="s">
        <v>1979</v>
      </c>
      <c r="AK933" s="129" t="str">
        <f t="shared" ca="1" si="112"/>
        <v>Late</v>
      </c>
      <c r="AL933" s="268" t="str">
        <f t="shared" si="104"/>
        <v>August</v>
      </c>
      <c r="AM933" s="133">
        <f>YEAR(Table1[[#This Row],[ETA
As requested
dd.mm.yyyy]])</f>
        <v>2024</v>
      </c>
    </row>
    <row r="934" spans="1:39" hidden="1">
      <c r="A934" s="123" t="s">
        <v>82</v>
      </c>
      <c r="B934" s="36" t="s">
        <v>1170</v>
      </c>
      <c r="C934" s="117">
        <v>37347643</v>
      </c>
      <c r="D934" s="165">
        <v>45519</v>
      </c>
      <c r="E934" s="117" t="s">
        <v>1965</v>
      </c>
      <c r="F934" s="36">
        <f>IFERROR(VLOOKUP(Table1[[#This Row],[Part Number]],DATABASE_FG!$C$6:D10923,2,FALSE)," ")</f>
        <v>0</v>
      </c>
      <c r="G934" s="117">
        <f>IFERROR(_xlfn.XLOOKUP(Table1[[#This Row],[Part Number]],Table3[Part number],Table3[Drawing
 Revision]),"")</f>
        <v>0</v>
      </c>
      <c r="H934" s="118" cm="1">
        <f t="array" ref="H934">IFERROR(INDEX(PDB!$C:$AT,MATCH(E934,PDB!$B:$B,0),MATCH(YEAR(K934),0+PDB!$C$1:$AT$1,0)),"")</f>
        <v>0.73</v>
      </c>
      <c r="I934" s="36">
        <v>2400</v>
      </c>
      <c r="J934" s="125">
        <f>IFERROR(Table1[[#This Row],[Quantity]]*Table1[[#This Row],[Price/Unit
EUR]]," ")</f>
        <v>1752</v>
      </c>
      <c r="K934" s="126">
        <v>45520</v>
      </c>
      <c r="L934" s="36">
        <f>WEEKNUM(Table1[[#This Row],[ETA
As requested
dd.mm.yyyy]])</f>
        <v>33</v>
      </c>
      <c r="M934" s="36">
        <f>YEAR(Table1[[#This Row],[ETA
As requested
dd.mm.yyyy]])</f>
        <v>2024</v>
      </c>
      <c r="N934" s="36">
        <f>IFERROR(INDEX(DATABASE_FG!$H$5:$H$367, MATCH(E934, DATABASE_FG!$C$5:$C$367, 0)), " ")</f>
        <v>0</v>
      </c>
      <c r="O934" s="129" t="str">
        <f>IF(E934&lt;&gt;"", _xlfn.XLOOKUP(E934, DATABASE_FG!C:C, DATABASE_FG!F:F), " ")</f>
        <v>Bolts and washers</v>
      </c>
      <c r="P934" s="129">
        <f>IFERROR(INDEX(DATABASE_FG!$G$5:$G$367, MATCH(E934, DATABASE_FG!$C$5:$C$367, 0)), "Not Found")</f>
        <v>0</v>
      </c>
      <c r="Q934" s="36"/>
      <c r="R934" s="125"/>
      <c r="S934" s="123">
        <f>Table1[[#This Row],[Quantity]]/48</f>
        <v>50</v>
      </c>
      <c r="T934" s="36"/>
      <c r="U934" s="36"/>
      <c r="V934" s="36"/>
      <c r="W934" s="129"/>
      <c r="X934" s="36"/>
      <c r="Y934" s="36"/>
      <c r="Z934" s="36"/>
      <c r="AA934" s="125" t="s">
        <v>121</v>
      </c>
      <c r="AB934" s="173">
        <v>45556</v>
      </c>
      <c r="AC934" s="119">
        <v>20232268</v>
      </c>
      <c r="AD934" s="36">
        <f t="shared" si="110"/>
        <v>37347643</v>
      </c>
      <c r="AE934" s="36" t="str">
        <f t="shared" si="111"/>
        <v>F-688038.02-0121.SHB.WE36</v>
      </c>
      <c r="AF934" s="36">
        <v>2400</v>
      </c>
      <c r="AG934" s="120">
        <f t="shared" si="113"/>
        <v>1752</v>
      </c>
      <c r="AH934" s="36"/>
      <c r="AI934" s="124"/>
      <c r="AJ934" s="122" t="s">
        <v>1980</v>
      </c>
      <c r="AK934" s="129" t="str">
        <f t="shared" ca="1" si="112"/>
        <v>Late</v>
      </c>
      <c r="AL934" s="268" t="str">
        <f t="shared" si="104"/>
        <v>August</v>
      </c>
      <c r="AM934" s="133">
        <f>YEAR(Table1[[#This Row],[ETA
As requested
dd.mm.yyyy]])</f>
        <v>2024</v>
      </c>
    </row>
    <row r="935" spans="1:39" hidden="1">
      <c r="A935" s="123" t="s">
        <v>82</v>
      </c>
      <c r="B935" s="36" t="s">
        <v>1170</v>
      </c>
      <c r="C935" s="117">
        <v>37347643</v>
      </c>
      <c r="D935" s="165">
        <v>45519</v>
      </c>
      <c r="E935" s="117" t="s">
        <v>1965</v>
      </c>
      <c r="F935" s="36">
        <f>IFERROR(VLOOKUP(Table1[[#This Row],[Part Number]],DATABASE_FG!$C$6:D10924,2,FALSE)," ")</f>
        <v>0</v>
      </c>
      <c r="G935" s="117">
        <f>IFERROR(_xlfn.XLOOKUP(Table1[[#This Row],[Part Number]],Table3[Part number],Table3[Drawing
 Revision]),"")</f>
        <v>0</v>
      </c>
      <c r="H935" s="118" cm="1">
        <f t="array" ref="H935">IFERROR(INDEX(PDB!$C:$AT,MATCH(E935,PDB!$B:$B,0),MATCH(YEAR(K935),0+PDB!$C$1:$AT$1,0)),"")</f>
        <v>0.73</v>
      </c>
      <c r="I935" s="36">
        <v>2000</v>
      </c>
      <c r="J935" s="125">
        <f>IFERROR(Table1[[#This Row],[Quantity]]*Table1[[#This Row],[Price/Unit
EUR]]," ")</f>
        <v>1460</v>
      </c>
      <c r="K935" s="126">
        <v>45520</v>
      </c>
      <c r="L935" s="36">
        <f>WEEKNUM(Table1[[#This Row],[ETA
As requested
dd.mm.yyyy]])</f>
        <v>33</v>
      </c>
      <c r="M935" s="36">
        <f>YEAR(Table1[[#This Row],[ETA
As requested
dd.mm.yyyy]])</f>
        <v>2024</v>
      </c>
      <c r="N935" s="36">
        <f>IFERROR(INDEX(DATABASE_FG!$H$5:$H$367, MATCH(E935, DATABASE_FG!$C$5:$C$367, 0)), " ")</f>
        <v>0</v>
      </c>
      <c r="O935" s="129" t="str">
        <f>IF(E935&lt;&gt;"", _xlfn.XLOOKUP(E935, DATABASE_FG!C:C, DATABASE_FG!F:F), " ")</f>
        <v>Bolts and washers</v>
      </c>
      <c r="P935" s="129">
        <f>IFERROR(INDEX(DATABASE_FG!$G$5:$G$367, MATCH(E935, DATABASE_FG!$C$5:$C$367, 0)), "Not Found")</f>
        <v>0</v>
      </c>
      <c r="Q935" s="36"/>
      <c r="R935" s="125"/>
      <c r="S935" s="123">
        <f>Table1[[#This Row],[Quantity]]/48</f>
        <v>41.666666666666664</v>
      </c>
      <c r="T935" s="36"/>
      <c r="U935" s="36"/>
      <c r="V935" s="36"/>
      <c r="W935" s="129"/>
      <c r="X935" s="36"/>
      <c r="Y935" s="36"/>
      <c r="Z935" s="36"/>
      <c r="AA935" s="125" t="s">
        <v>121</v>
      </c>
      <c r="AB935" s="173">
        <v>45563</v>
      </c>
      <c r="AC935" s="119">
        <v>20232274</v>
      </c>
      <c r="AD935" s="36">
        <f t="shared" si="110"/>
        <v>37347643</v>
      </c>
      <c r="AE935" s="36" t="str">
        <f t="shared" si="111"/>
        <v>F-688038.02-0121.SHB.WE36</v>
      </c>
      <c r="AF935" s="36">
        <v>2000</v>
      </c>
      <c r="AG935" s="120">
        <f t="shared" si="113"/>
        <v>1460</v>
      </c>
      <c r="AH935" s="36"/>
      <c r="AI935" s="124"/>
      <c r="AJ935" s="122" t="s">
        <v>1983</v>
      </c>
      <c r="AK935" s="129" t="str">
        <f t="shared" ca="1" si="112"/>
        <v>Late</v>
      </c>
      <c r="AL935" s="268" t="str">
        <f t="shared" si="104"/>
        <v>August</v>
      </c>
      <c r="AM935" s="133">
        <f>YEAR(Table1[[#This Row],[ETA
As requested
dd.mm.yyyy]])</f>
        <v>2024</v>
      </c>
    </row>
    <row r="936" spans="1:39" hidden="1">
      <c r="A936" s="123" t="s">
        <v>82</v>
      </c>
      <c r="B936" s="36" t="s">
        <v>1170</v>
      </c>
      <c r="C936" s="117">
        <v>37347643</v>
      </c>
      <c r="D936" s="165">
        <v>45520</v>
      </c>
      <c r="E936" s="117" t="s">
        <v>1965</v>
      </c>
      <c r="F936" s="36">
        <f>IFERROR(VLOOKUP(Table1[[#This Row],[Part Number]],DATABASE_FG!$C$6:D10925,2,FALSE)," ")</f>
        <v>0</v>
      </c>
      <c r="G936" s="117">
        <f>IFERROR(_xlfn.XLOOKUP(Table1[[#This Row],[Part Number]],Table3[Part number],Table3[Drawing
 Revision]),"")</f>
        <v>0</v>
      </c>
      <c r="H936" s="118" cm="1">
        <f t="array" ref="H936">IFERROR(INDEX(PDB!$C:$AT,MATCH(E936,PDB!$B:$B,0),MATCH(YEAR(K936),0+PDB!$C$1:$AT$1,0)),"")</f>
        <v>0.73</v>
      </c>
      <c r="I936" s="36">
        <v>2000</v>
      </c>
      <c r="J936" s="125">
        <f>IFERROR(Table1[[#This Row],[Quantity]]*Table1[[#This Row],[Price/Unit
EUR]]," ")</f>
        <v>1460</v>
      </c>
      <c r="K936" s="126">
        <v>45520</v>
      </c>
      <c r="L936" s="36">
        <f>WEEKNUM(Table1[[#This Row],[ETA
As requested
dd.mm.yyyy]])</f>
        <v>33</v>
      </c>
      <c r="M936" s="36">
        <f>YEAR(Table1[[#This Row],[ETA
As requested
dd.mm.yyyy]])</f>
        <v>2024</v>
      </c>
      <c r="N936" s="36">
        <f>IFERROR(INDEX(DATABASE_FG!$H$5:$H$367, MATCH(E936, DATABASE_FG!$C$5:$C$367, 0)), " ")</f>
        <v>0</v>
      </c>
      <c r="O936" s="129" t="str">
        <f>IF(E936&lt;&gt;"", _xlfn.XLOOKUP(E936, DATABASE_FG!C:C, DATABASE_FG!F:F), " ")</f>
        <v>Bolts and washers</v>
      </c>
      <c r="P936" s="129">
        <f>IFERROR(INDEX(DATABASE_FG!$G$5:$G$367, MATCH(E936, DATABASE_FG!$C$5:$C$367, 0)), "Not Found")</f>
        <v>0</v>
      </c>
      <c r="Q936" s="36"/>
      <c r="R936" s="125"/>
      <c r="S936" s="123">
        <f>Table1[[#This Row],[Quantity]]/48</f>
        <v>41.666666666666664</v>
      </c>
      <c r="T936" s="36"/>
      <c r="U936" s="36"/>
      <c r="V936" s="36"/>
      <c r="W936" s="129"/>
      <c r="X936" s="36"/>
      <c r="Y936" s="36"/>
      <c r="Z936" s="36"/>
      <c r="AA936" s="125" t="s">
        <v>121</v>
      </c>
      <c r="AB936" s="173">
        <v>45570</v>
      </c>
      <c r="AC936" s="119">
        <v>20232277</v>
      </c>
      <c r="AD936" s="36">
        <f t="shared" si="110"/>
        <v>37347643</v>
      </c>
      <c r="AE936" s="36" t="str">
        <f t="shared" si="111"/>
        <v>F-688038.02-0121.SHB.WE36</v>
      </c>
      <c r="AF936" s="36">
        <v>2000</v>
      </c>
      <c r="AG936" s="120">
        <f t="shared" si="113"/>
        <v>1460</v>
      </c>
      <c r="AH936" s="36"/>
      <c r="AI936" s="124"/>
      <c r="AJ936" s="122" t="s">
        <v>1984</v>
      </c>
      <c r="AK936" s="129" t="str">
        <f t="shared" ca="1" si="112"/>
        <v>Late</v>
      </c>
      <c r="AL936" s="268" t="str">
        <f t="shared" ref="AL936:AL999" si="114">TEXT(K936,"mmmm")</f>
        <v>August</v>
      </c>
      <c r="AM936" s="133">
        <f>YEAR(Table1[[#This Row],[ETA
As requested
dd.mm.yyyy]])</f>
        <v>2024</v>
      </c>
    </row>
    <row r="937" spans="1:39" hidden="1">
      <c r="A937" s="123" t="s">
        <v>82</v>
      </c>
      <c r="B937" s="36" t="s">
        <v>1170</v>
      </c>
      <c r="C937" s="117">
        <v>37347643</v>
      </c>
      <c r="D937" s="165">
        <v>45520</v>
      </c>
      <c r="E937" s="117" t="s">
        <v>1965</v>
      </c>
      <c r="F937" s="36">
        <f>IFERROR(VLOOKUP(Table1[[#This Row],[Part Number]],DATABASE_FG!$C$6:D10926,2,FALSE)," ")</f>
        <v>0</v>
      </c>
      <c r="G937" s="117">
        <f>IFERROR(_xlfn.XLOOKUP(Table1[[#This Row],[Part Number]],Table3[Part number],Table3[Drawing
 Revision]),"")</f>
        <v>0</v>
      </c>
      <c r="H937" s="118" cm="1">
        <f t="array" ref="H937">IFERROR(INDEX(PDB!$C:$AT,MATCH(E937,PDB!$B:$B,0),MATCH(YEAR(K937),0+PDB!$C$1:$AT$1,0)),"")</f>
        <v>0.73</v>
      </c>
      <c r="I937" s="36">
        <v>950</v>
      </c>
      <c r="J937" s="125">
        <f>IFERROR(Table1[[#This Row],[Quantity]]*Table1[[#This Row],[Price/Unit
EUR]]," ")</f>
        <v>693.5</v>
      </c>
      <c r="K937" s="126">
        <v>45520</v>
      </c>
      <c r="L937" s="36">
        <f>WEEKNUM(Table1[[#This Row],[ETA
As requested
dd.mm.yyyy]])</f>
        <v>33</v>
      </c>
      <c r="M937" s="36">
        <f>YEAR(Table1[[#This Row],[ETA
As requested
dd.mm.yyyy]])</f>
        <v>2024</v>
      </c>
      <c r="N937" s="36">
        <f>IFERROR(INDEX(DATABASE_FG!$H$5:$H$367, MATCH(E937, DATABASE_FG!$C$5:$C$367, 0)), " ")</f>
        <v>0</v>
      </c>
      <c r="O937" s="129" t="str">
        <f>IF(E937&lt;&gt;"", _xlfn.XLOOKUP(E937, DATABASE_FG!C:C, DATABASE_FG!F:F), " ")</f>
        <v>Bolts and washers</v>
      </c>
      <c r="P937" s="129">
        <f>IFERROR(INDEX(DATABASE_FG!$G$5:$G$367, MATCH(E937, DATABASE_FG!$C$5:$C$367, 0)), "Not Found")</f>
        <v>0</v>
      </c>
      <c r="Q937" s="36"/>
      <c r="R937" s="125"/>
      <c r="S937" s="123">
        <f>Table1[[#This Row],[Quantity]]/48</f>
        <v>19.791666666666668</v>
      </c>
      <c r="T937" s="36"/>
      <c r="U937" s="36"/>
      <c r="V937" s="36"/>
      <c r="W937" s="129"/>
      <c r="X937" s="36"/>
      <c r="Y937" s="36"/>
      <c r="Z937" s="36"/>
      <c r="AA937" s="125" t="s">
        <v>121</v>
      </c>
      <c r="AB937" s="173">
        <v>45577</v>
      </c>
      <c r="AC937" s="119">
        <v>20232286</v>
      </c>
      <c r="AD937" s="36">
        <f t="shared" si="110"/>
        <v>37347643</v>
      </c>
      <c r="AE937" s="36" t="str">
        <f t="shared" si="111"/>
        <v>F-688038.02-0121.SHB.WE36</v>
      </c>
      <c r="AF937" s="36">
        <v>950</v>
      </c>
      <c r="AG937" s="120">
        <f t="shared" si="113"/>
        <v>693.5</v>
      </c>
      <c r="AH937" s="36"/>
      <c r="AI937" s="124"/>
      <c r="AJ937" s="122" t="s">
        <v>1986</v>
      </c>
      <c r="AK937" s="129" t="str">
        <f t="shared" ca="1" si="112"/>
        <v>Late</v>
      </c>
      <c r="AL937" s="268" t="str">
        <f t="shared" si="114"/>
        <v>August</v>
      </c>
      <c r="AM937" s="133">
        <f>YEAR(Table1[[#This Row],[ETA
As requested
dd.mm.yyyy]])</f>
        <v>2024</v>
      </c>
    </row>
    <row r="938" spans="1:39" hidden="1">
      <c r="A938" s="123" t="s">
        <v>82</v>
      </c>
      <c r="B938" s="36" t="s">
        <v>1170</v>
      </c>
      <c r="C938" s="117">
        <v>37347643</v>
      </c>
      <c r="D938" s="165">
        <v>45520</v>
      </c>
      <c r="E938" s="117" t="s">
        <v>1965</v>
      </c>
      <c r="F938" s="36">
        <f>IFERROR(VLOOKUP(Table1[[#This Row],[Part Number]],DATABASE_FG!$C$6:D10927,2,FALSE)," ")</f>
        <v>0</v>
      </c>
      <c r="G938" s="117">
        <f>IFERROR(_xlfn.XLOOKUP(Table1[[#This Row],[Part Number]],Table3[Part number],Table3[Drawing
 Revision]),"")</f>
        <v>0</v>
      </c>
      <c r="H938" s="118" cm="1">
        <f t="array" ref="H938">IFERROR(INDEX(PDB!$C:$AT,MATCH(E938,PDB!$B:$B,0),MATCH(YEAR(K938),0+PDB!$C$1:$AT$1,0)),"")</f>
        <v>0.73</v>
      </c>
      <c r="I938" s="36">
        <v>900</v>
      </c>
      <c r="J938" s="125">
        <f>IFERROR(Table1[[#This Row],[Quantity]]*Table1[[#This Row],[Price/Unit
EUR]]," ")</f>
        <v>657</v>
      </c>
      <c r="K938" s="126">
        <v>45520</v>
      </c>
      <c r="L938" s="36">
        <f>WEEKNUM(Table1[[#This Row],[ETA
As requested
dd.mm.yyyy]])</f>
        <v>33</v>
      </c>
      <c r="M938" s="36">
        <f>YEAR(Table1[[#This Row],[ETA
As requested
dd.mm.yyyy]])</f>
        <v>2024</v>
      </c>
      <c r="N938" s="36">
        <f>IFERROR(INDEX(DATABASE_FG!$H$5:$H$367, MATCH(E938, DATABASE_FG!$C$5:$C$367, 0)), " ")</f>
        <v>0</v>
      </c>
      <c r="O938" s="129" t="str">
        <f>IF(E938&lt;&gt;"", _xlfn.XLOOKUP(E938, DATABASE_FG!C:C, DATABASE_FG!F:F), " ")</f>
        <v>Bolts and washers</v>
      </c>
      <c r="P938" s="129">
        <f>IFERROR(INDEX(DATABASE_FG!$G$5:$G$367, MATCH(E938, DATABASE_FG!$C$5:$C$367, 0)), "Not Found")</f>
        <v>0</v>
      </c>
      <c r="Q938" s="36"/>
      <c r="R938" s="125"/>
      <c r="S938" s="123">
        <f>Table1[[#This Row],[Quantity]]/48</f>
        <v>18.75</v>
      </c>
      <c r="T938" s="36"/>
      <c r="U938" s="36"/>
      <c r="V938" s="36"/>
      <c r="W938" s="129"/>
      <c r="X938" s="36"/>
      <c r="Y938" s="36"/>
      <c r="Z938" s="36"/>
      <c r="AA938" s="125" t="s">
        <v>121</v>
      </c>
      <c r="AB938" s="173">
        <v>45584</v>
      </c>
      <c r="AC938" s="119">
        <v>20232292</v>
      </c>
      <c r="AD938" s="36">
        <f t="shared" si="110"/>
        <v>37347643</v>
      </c>
      <c r="AE938" s="36" t="str">
        <f t="shared" si="111"/>
        <v>F-688038.02-0121.SHB.WE36</v>
      </c>
      <c r="AF938" s="36">
        <v>900</v>
      </c>
      <c r="AG938" s="120">
        <f t="shared" si="113"/>
        <v>657</v>
      </c>
      <c r="AH938" s="36"/>
      <c r="AI938" s="124"/>
      <c r="AJ938" s="122" t="s">
        <v>1988</v>
      </c>
      <c r="AK938" s="129" t="str">
        <f t="shared" ca="1" si="112"/>
        <v>Late</v>
      </c>
      <c r="AL938" s="268" t="str">
        <f t="shared" si="114"/>
        <v>August</v>
      </c>
      <c r="AM938" s="133">
        <f>YEAR(Table1[[#This Row],[ETA
As requested
dd.mm.yyyy]])</f>
        <v>2024</v>
      </c>
    </row>
    <row r="939" spans="1:39" hidden="1">
      <c r="A939" s="123" t="s">
        <v>82</v>
      </c>
      <c r="B939" s="36" t="s">
        <v>1170</v>
      </c>
      <c r="C939" s="117">
        <v>37347643</v>
      </c>
      <c r="D939" s="165">
        <v>45520</v>
      </c>
      <c r="E939" s="117" t="s">
        <v>1965</v>
      </c>
      <c r="F939" s="36">
        <f>IFERROR(VLOOKUP(Table1[[#This Row],[Part Number]],DATABASE_FG!$C$6:D10928,2,FALSE)," ")</f>
        <v>0</v>
      </c>
      <c r="G939" s="117">
        <f>IFERROR(_xlfn.XLOOKUP(Table1[[#This Row],[Part Number]],Table3[Part number],Table3[Drawing
 Revision]),"")</f>
        <v>0</v>
      </c>
      <c r="H939" s="118" cm="1">
        <f t="array" ref="H939">IFERROR(INDEX(PDB!$C:$AT,MATCH(E939,PDB!$B:$B,0),MATCH(YEAR(K939),0+PDB!$C$1:$AT$1,0)),"")</f>
        <v>0.73</v>
      </c>
      <c r="I939" s="36">
        <v>2950</v>
      </c>
      <c r="J939" s="125">
        <f>IFERROR(Table1[[#This Row],[Quantity]]*Table1[[#This Row],[Price/Unit
EUR]]," ")</f>
        <v>2153.5</v>
      </c>
      <c r="K939" s="126">
        <v>45520</v>
      </c>
      <c r="L939" s="36">
        <f>WEEKNUM(Table1[[#This Row],[ETA
As requested
dd.mm.yyyy]])</f>
        <v>33</v>
      </c>
      <c r="M939" s="36">
        <f>YEAR(Table1[[#This Row],[ETA
As requested
dd.mm.yyyy]])</f>
        <v>2024</v>
      </c>
      <c r="N939" s="36">
        <f>IFERROR(INDEX(DATABASE_FG!$H$5:$H$367, MATCH(E939, DATABASE_FG!$C$5:$C$367, 0)), " ")</f>
        <v>0</v>
      </c>
      <c r="O939" s="129" t="str">
        <f>IF(E939&lt;&gt;"", _xlfn.XLOOKUP(E939, DATABASE_FG!C:C, DATABASE_FG!F:F), " ")</f>
        <v>Bolts and washers</v>
      </c>
      <c r="P939" s="129">
        <f>IFERROR(INDEX(DATABASE_FG!$G$5:$G$367, MATCH(E939, DATABASE_FG!$C$5:$C$367, 0)), "Not Found")</f>
        <v>0</v>
      </c>
      <c r="Q939" s="36"/>
      <c r="R939" s="125"/>
      <c r="S939" s="123">
        <f>Table1[[#This Row],[Quantity]]/48</f>
        <v>61.458333333333336</v>
      </c>
      <c r="T939" s="36"/>
      <c r="U939" s="36"/>
      <c r="V939" s="36"/>
      <c r="W939" s="129"/>
      <c r="X939" s="36"/>
      <c r="Y939" s="36"/>
      <c r="Z939" s="36"/>
      <c r="AA939" s="125" t="s">
        <v>121</v>
      </c>
      <c r="AB939" s="173">
        <v>45593</v>
      </c>
      <c r="AC939" s="119">
        <v>202401292</v>
      </c>
      <c r="AD939" s="36">
        <f t="shared" si="110"/>
        <v>37347643</v>
      </c>
      <c r="AE939" s="36" t="str">
        <f t="shared" si="111"/>
        <v>F-688038.02-0121.SHB.WE36</v>
      </c>
      <c r="AF939" s="36">
        <v>2950</v>
      </c>
      <c r="AG939" s="120">
        <f t="shared" si="113"/>
        <v>2153.5</v>
      </c>
      <c r="AH939" s="36"/>
      <c r="AI939" s="124"/>
      <c r="AJ939" s="122" t="s">
        <v>1992</v>
      </c>
      <c r="AK939" s="129" t="str">
        <f t="shared" ca="1" si="112"/>
        <v>Late</v>
      </c>
      <c r="AL939" s="268" t="str">
        <f t="shared" si="114"/>
        <v>August</v>
      </c>
      <c r="AM939" s="133">
        <f>YEAR(Table1[[#This Row],[ETA
As requested
dd.mm.yyyy]])</f>
        <v>2024</v>
      </c>
    </row>
    <row r="940" spans="1:39" hidden="1">
      <c r="A940" s="123" t="s">
        <v>82</v>
      </c>
      <c r="B940" s="36" t="s">
        <v>1170</v>
      </c>
      <c r="C940" s="117">
        <v>37347643</v>
      </c>
      <c r="D940" s="165">
        <v>45520</v>
      </c>
      <c r="E940" s="117" t="s">
        <v>1965</v>
      </c>
      <c r="F940" s="36">
        <f>IFERROR(VLOOKUP(Table1[[#This Row],[Part Number]],DATABASE_FG!$C$6:D10929,2,FALSE)," ")</f>
        <v>0</v>
      </c>
      <c r="G940" s="117">
        <f>IFERROR(_xlfn.XLOOKUP(Table1[[#This Row],[Part Number]],Table3[Part number],Table3[Drawing
 Revision]),"")</f>
        <v>0</v>
      </c>
      <c r="H940" s="118" cm="1">
        <f t="array" ref="H940">IFERROR(INDEX(PDB!$C:$AT,MATCH(E940,PDB!$B:$B,0),MATCH(YEAR(K940),0+PDB!$C$1:$AT$1,0)),"")</f>
        <v>0.73</v>
      </c>
      <c r="I940" s="36">
        <v>550</v>
      </c>
      <c r="J940" s="125">
        <f>IFERROR(Table1[[#This Row],[Quantity]]*Table1[[#This Row],[Price/Unit
EUR]]," ")</f>
        <v>401.5</v>
      </c>
      <c r="K940" s="126">
        <v>45520</v>
      </c>
      <c r="L940" s="36">
        <f>WEEKNUM(Table1[[#This Row],[ETA
As requested
dd.mm.yyyy]])</f>
        <v>33</v>
      </c>
      <c r="M940" s="36">
        <f>YEAR(Table1[[#This Row],[ETA
As requested
dd.mm.yyyy]])</f>
        <v>2024</v>
      </c>
      <c r="N940" s="36">
        <f>IFERROR(INDEX(DATABASE_FG!$H$5:$H$367, MATCH(E940, DATABASE_FG!$C$5:$C$367, 0)), " ")</f>
        <v>0</v>
      </c>
      <c r="O940" s="129" t="str">
        <f>IF(E940&lt;&gt;"", _xlfn.XLOOKUP(E940, DATABASE_FG!C:C, DATABASE_FG!F:F), " ")</f>
        <v>Bolts and washers</v>
      </c>
      <c r="P940" s="129">
        <f>IFERROR(INDEX(DATABASE_FG!$G$5:$G$367, MATCH(E940, DATABASE_FG!$C$5:$C$367, 0)), "Not Found")</f>
        <v>0</v>
      </c>
      <c r="Q940" s="36"/>
      <c r="R940" s="125"/>
      <c r="S940" s="123">
        <f>Table1[[#This Row],[Quantity]]/48</f>
        <v>11.458333333333334</v>
      </c>
      <c r="T940" s="36"/>
      <c r="U940" s="36"/>
      <c r="V940" s="36"/>
      <c r="W940" s="129"/>
      <c r="X940" s="36"/>
      <c r="Y940" s="36"/>
      <c r="Z940" s="36"/>
      <c r="AA940" s="125" t="s">
        <v>121</v>
      </c>
      <c r="AB940" s="173">
        <v>45601</v>
      </c>
      <c r="AC940" s="119">
        <v>202401329</v>
      </c>
      <c r="AD940" s="36">
        <f t="shared" si="110"/>
        <v>37347643</v>
      </c>
      <c r="AE940" s="36" t="str">
        <f t="shared" si="111"/>
        <v>F-688038.02-0121.SHB.WE36</v>
      </c>
      <c r="AF940" s="36">
        <v>550</v>
      </c>
      <c r="AG940" s="120">
        <f t="shared" si="113"/>
        <v>401.5</v>
      </c>
      <c r="AH940" s="36"/>
      <c r="AI940" s="124"/>
      <c r="AJ940" s="122" t="s">
        <v>1997</v>
      </c>
      <c r="AK940" s="129" t="str">
        <f t="shared" ca="1" si="112"/>
        <v>Late</v>
      </c>
      <c r="AL940" s="268" t="str">
        <f t="shared" si="114"/>
        <v>August</v>
      </c>
      <c r="AM940" s="133">
        <f>YEAR(Table1[[#This Row],[ETA
As requested
dd.mm.yyyy]])</f>
        <v>2024</v>
      </c>
    </row>
    <row r="941" spans="1:39" hidden="1">
      <c r="A941" s="123" t="s">
        <v>82</v>
      </c>
      <c r="B941" s="36" t="s">
        <v>1170</v>
      </c>
      <c r="C941" s="117">
        <v>37347643</v>
      </c>
      <c r="D941" s="165">
        <v>45520</v>
      </c>
      <c r="E941" s="117" t="s">
        <v>1965</v>
      </c>
      <c r="F941" s="36">
        <f>IFERROR(VLOOKUP(Table1[[#This Row],[Part Number]],DATABASE_FG!$C$6:D10930,2,FALSE)," ")</f>
        <v>0</v>
      </c>
      <c r="G941" s="117">
        <f>IFERROR(_xlfn.XLOOKUP(Table1[[#This Row],[Part Number]],Table3[Part number],Table3[Drawing
 Revision]),"")</f>
        <v>0</v>
      </c>
      <c r="H941" s="118" cm="1">
        <f t="array" ref="H941">IFERROR(INDEX(PDB!$C:$AT,MATCH(E941,PDB!$B:$B,0),MATCH(YEAR(K941),0+PDB!$C$1:$AT$1,0)),"")</f>
        <v>0.73</v>
      </c>
      <c r="I941" s="36">
        <v>859</v>
      </c>
      <c r="J941" s="125">
        <f>IFERROR(Table1[[#This Row],[Quantity]]*Table1[[#This Row],[Price/Unit
EUR]]," ")</f>
        <v>627.06999999999994</v>
      </c>
      <c r="K941" s="126">
        <v>45520</v>
      </c>
      <c r="L941" s="36">
        <f>WEEKNUM(Table1[[#This Row],[ETA
As requested
dd.mm.yyyy]])</f>
        <v>33</v>
      </c>
      <c r="M941" s="36">
        <f>YEAR(Table1[[#This Row],[ETA
As requested
dd.mm.yyyy]])</f>
        <v>2024</v>
      </c>
      <c r="N941" s="36">
        <f>IFERROR(INDEX(DATABASE_FG!$H$5:$H$367, MATCH(E941, DATABASE_FG!$C$5:$C$367, 0)), " ")</f>
        <v>0</v>
      </c>
      <c r="O941" s="129" t="str">
        <f>IF(E941&lt;&gt;"", _xlfn.XLOOKUP(E941, DATABASE_FG!C:C, DATABASE_FG!F:F), " ")</f>
        <v>Bolts and washers</v>
      </c>
      <c r="P941" s="129">
        <f>IFERROR(INDEX(DATABASE_FG!$G$5:$G$367, MATCH(E941, DATABASE_FG!$C$5:$C$367, 0)), "Not Found")</f>
        <v>0</v>
      </c>
      <c r="Q941" s="36"/>
      <c r="R941" s="125"/>
      <c r="S941" s="123">
        <f>Table1[[#This Row],[Quantity]]/48</f>
        <v>17.895833333333332</v>
      </c>
      <c r="T941" s="36"/>
      <c r="U941" s="36"/>
      <c r="V941" s="36"/>
      <c r="W941" s="129"/>
      <c r="X941" s="36"/>
      <c r="Y941" s="36"/>
      <c r="Z941" s="36"/>
      <c r="AA941" s="125" t="s">
        <v>121</v>
      </c>
      <c r="AB941" s="173">
        <v>45689</v>
      </c>
      <c r="AC941" s="119" t="s">
        <v>2035</v>
      </c>
      <c r="AD941" s="36">
        <f t="shared" si="110"/>
        <v>37347643</v>
      </c>
      <c r="AE941" s="36" t="str">
        <f t="shared" si="111"/>
        <v>F-688038.02-0121.SHB.WE36</v>
      </c>
      <c r="AF941" s="36">
        <v>859</v>
      </c>
      <c r="AG941" s="120">
        <f t="shared" si="113"/>
        <v>627.06999999999994</v>
      </c>
      <c r="AH941" s="36"/>
      <c r="AI941" s="124"/>
      <c r="AJ941" s="122" t="s">
        <v>2036</v>
      </c>
      <c r="AK941" s="129" t="str">
        <f t="shared" ca="1" si="112"/>
        <v>Late</v>
      </c>
      <c r="AL941" s="268" t="str">
        <f t="shared" si="114"/>
        <v>August</v>
      </c>
      <c r="AM941" s="133">
        <f>YEAR(Table1[[#This Row],[ETA
As requested
dd.mm.yyyy]])</f>
        <v>2024</v>
      </c>
    </row>
    <row r="942" spans="1:39" hidden="1">
      <c r="A942" s="123" t="s">
        <v>82</v>
      </c>
      <c r="B942" s="36" t="s">
        <v>1170</v>
      </c>
      <c r="C942" s="117">
        <v>37347643</v>
      </c>
      <c r="D942" s="165">
        <v>45520</v>
      </c>
      <c r="E942" s="117" t="s">
        <v>1965</v>
      </c>
      <c r="F942" s="36">
        <f>IFERROR(VLOOKUP(Table1[[#This Row],[Part Number]],DATABASE_FG!$C$6:D10931,2,FALSE)," ")</f>
        <v>0</v>
      </c>
      <c r="G942" s="117">
        <f>IFERROR(_xlfn.XLOOKUP(Table1[[#This Row],[Part Number]],Table3[Part number],Table3[Drawing
 Revision]),"")</f>
        <v>0</v>
      </c>
      <c r="H942" s="118" cm="1">
        <f t="array" ref="H942">IFERROR(INDEX(PDB!$C:$AT,MATCH(E942,PDB!$B:$B,0),MATCH(YEAR(K942),0+PDB!$C$1:$AT$1,0)),"")</f>
        <v>0.73</v>
      </c>
      <c r="I942" s="36">
        <v>2305</v>
      </c>
      <c r="J942" s="125">
        <f>IFERROR(Table1[[#This Row],[Quantity]]*Table1[[#This Row],[Price/Unit
EUR]]," ")</f>
        <v>1682.6499999999999</v>
      </c>
      <c r="K942" s="126">
        <v>45520</v>
      </c>
      <c r="L942" s="36">
        <f>WEEKNUM(Table1[[#This Row],[ETA
As requested
dd.mm.yyyy]])</f>
        <v>33</v>
      </c>
      <c r="M942" s="36">
        <f>YEAR(Table1[[#This Row],[ETA
As requested
dd.mm.yyyy]])</f>
        <v>2024</v>
      </c>
      <c r="N942" s="36">
        <f>IFERROR(INDEX(DATABASE_FG!$H$5:$H$367, MATCH(E942, DATABASE_FG!$C$5:$C$367, 0)), " ")</f>
        <v>0</v>
      </c>
      <c r="O942" s="129" t="str">
        <f>IF(E942&lt;&gt;"", _xlfn.XLOOKUP(E942, DATABASE_FG!C:C, DATABASE_FG!F:F), " ")</f>
        <v>Bolts and washers</v>
      </c>
      <c r="P942" s="129">
        <f>IFERROR(INDEX(DATABASE_FG!$G$5:$G$367, MATCH(E942, DATABASE_FG!$C$5:$C$367, 0)), "Not Found")</f>
        <v>0</v>
      </c>
      <c r="Q942" s="36"/>
      <c r="R942" s="125"/>
      <c r="S942" s="123">
        <f>Table1[[#This Row],[Quantity]]/48</f>
        <v>48.020833333333336</v>
      </c>
      <c r="T942" s="36"/>
      <c r="U942" s="36"/>
      <c r="V942" s="36"/>
      <c r="W942" s="129"/>
      <c r="X942" s="36"/>
      <c r="Y942" s="36"/>
      <c r="Z942" s="36"/>
      <c r="AA942" s="125" t="s">
        <v>121</v>
      </c>
      <c r="AB942" s="173">
        <v>45717</v>
      </c>
      <c r="AC942" s="119" t="s">
        <v>2042</v>
      </c>
      <c r="AD942" s="36">
        <f t="shared" si="110"/>
        <v>37347643</v>
      </c>
      <c r="AE942" s="36" t="str">
        <f t="shared" si="111"/>
        <v>F-688038.02-0121.SHB.WE36</v>
      </c>
      <c r="AF942" s="36">
        <v>2305</v>
      </c>
      <c r="AG942" s="120">
        <f t="shared" si="113"/>
        <v>1682.6499999999999</v>
      </c>
      <c r="AH942" s="36"/>
      <c r="AI942" s="124"/>
      <c r="AJ942" s="122" t="s">
        <v>2043</v>
      </c>
      <c r="AK942" s="129" t="str">
        <f t="shared" ca="1" si="112"/>
        <v>Late</v>
      </c>
      <c r="AL942" s="268" t="str">
        <f t="shared" si="114"/>
        <v>August</v>
      </c>
      <c r="AM942" s="133">
        <f>YEAR(Table1[[#This Row],[ETA
As requested
dd.mm.yyyy]])</f>
        <v>2024</v>
      </c>
    </row>
    <row r="943" spans="1:39" hidden="1">
      <c r="A943" s="123" t="s">
        <v>82</v>
      </c>
      <c r="B943" s="36" t="s">
        <v>1170</v>
      </c>
      <c r="C943" s="117">
        <v>37347643</v>
      </c>
      <c r="D943" s="165">
        <v>45520</v>
      </c>
      <c r="E943" s="117" t="s">
        <v>1965</v>
      </c>
      <c r="F943" s="36">
        <f>IFERROR(VLOOKUP(Table1[[#This Row],[Part Number]],DATABASE_FG!$C$6:D10932,2,FALSE)," ")</f>
        <v>0</v>
      </c>
      <c r="G943" s="117">
        <f>IFERROR(_xlfn.XLOOKUP(Table1[[#This Row],[Part Number]],Table3[Part number],Table3[Drawing
 Revision]),"")</f>
        <v>0</v>
      </c>
      <c r="H943" s="118" cm="1">
        <f t="array" ref="H943">IFERROR(INDEX(PDB!$C:$AT,MATCH(E943,PDB!$B:$B,0),MATCH(YEAR(K943),0+PDB!$C$1:$AT$1,0)),"")</f>
        <v>0.73</v>
      </c>
      <c r="I943" s="36">
        <f>2164+250-2305</f>
        <v>109</v>
      </c>
      <c r="J943" s="125">
        <f>IFERROR(Table1[[#This Row],[Quantity]]*Table1[[#This Row],[Price/Unit
EUR]]," ")</f>
        <v>79.569999999999993</v>
      </c>
      <c r="K943" s="126">
        <v>45520</v>
      </c>
      <c r="L943" s="36">
        <f>WEEKNUM(Table1[[#This Row],[ETA
As requested
dd.mm.yyyy]])</f>
        <v>33</v>
      </c>
      <c r="M943" s="36">
        <f>YEAR(Table1[[#This Row],[ETA
As requested
dd.mm.yyyy]])</f>
        <v>2024</v>
      </c>
      <c r="N943" s="36">
        <f>IFERROR(INDEX(DATABASE_FG!$H$5:$H$367, MATCH(E943, DATABASE_FG!$C$5:$C$367, 0)), " ")</f>
        <v>0</v>
      </c>
      <c r="O943" s="129" t="str">
        <f>IF(E943&lt;&gt;"", _xlfn.XLOOKUP(E943, DATABASE_FG!C:C, DATABASE_FG!F:F), " ")</f>
        <v>Bolts and washers</v>
      </c>
      <c r="P943" s="129">
        <f>IFERROR(INDEX(DATABASE_FG!$G$5:$G$367, MATCH(E943, DATABASE_FG!$C$5:$C$367, 0)), "Not Found")</f>
        <v>0</v>
      </c>
      <c r="Q943" s="36"/>
      <c r="R943" s="125"/>
      <c r="S943" s="123">
        <f>Table1[[#This Row],[Quantity]]/48</f>
        <v>2.2708333333333335</v>
      </c>
      <c r="T943" s="36"/>
      <c r="U943" s="36"/>
      <c r="V943" s="36"/>
      <c r="W943" s="129"/>
      <c r="X943" s="36"/>
      <c r="Y943" s="36" t="s">
        <v>677</v>
      </c>
      <c r="Z943" s="36"/>
      <c r="AA943" s="125" t="s">
        <v>121</v>
      </c>
      <c r="AB943" s="173">
        <v>45735</v>
      </c>
      <c r="AC943" s="119">
        <v>25401</v>
      </c>
      <c r="AD943" s="36">
        <f t="shared" si="110"/>
        <v>37347643</v>
      </c>
      <c r="AE943" s="36" t="str">
        <f t="shared" si="111"/>
        <v>F-688038.02-0121.SHB.WE36</v>
      </c>
      <c r="AF943" s="36">
        <v>109</v>
      </c>
      <c r="AG943" s="120">
        <f t="shared" si="113"/>
        <v>79.569999999999993</v>
      </c>
      <c r="AH943" s="36"/>
      <c r="AI943" s="124"/>
      <c r="AJ943" s="122" t="s">
        <v>2070</v>
      </c>
      <c r="AK943" s="129" t="str">
        <f t="shared" ca="1" si="112"/>
        <v>Late</v>
      </c>
      <c r="AL943" s="268" t="str">
        <f t="shared" si="114"/>
        <v>August</v>
      </c>
      <c r="AM943" s="133">
        <f>YEAR(Table1[[#This Row],[ETA
As requested
dd.mm.yyyy]])</f>
        <v>2024</v>
      </c>
    </row>
    <row r="944" spans="1:39" hidden="1">
      <c r="A944" s="123" t="s">
        <v>82</v>
      </c>
      <c r="B944" s="36" t="s">
        <v>1170</v>
      </c>
      <c r="C944" s="117">
        <v>37349251</v>
      </c>
      <c r="D944" s="165">
        <v>45499</v>
      </c>
      <c r="E944" s="117" t="s">
        <v>444</v>
      </c>
      <c r="F944" s="36">
        <f>IFERROR(VLOOKUP(Table1[[#This Row],[Part Number]],DATABASE_FG!$C$6:D10933,2,FALSE)," ")</f>
        <v>0</v>
      </c>
      <c r="G944" s="117">
        <f>IFERROR(_xlfn.XLOOKUP(Table1[[#This Row],[Part Number]],Table3[Part number],Table3[Drawing
 Revision]),"")</f>
        <v>0</v>
      </c>
      <c r="H944" s="118" cm="1">
        <f t="array" ref="H944">IFERROR(INDEX(PDB!$C:$AT,MATCH(E944,PDB!$B:$B,0),MATCH(YEAR(K944),0+PDB!$C$1:$AT$1,0)),"")</f>
        <v>7.71</v>
      </c>
      <c r="I944" s="36">
        <v>44</v>
      </c>
      <c r="J944" s="125">
        <f>IFERROR(Table1[[#This Row],[Quantity]]*Table1[[#This Row],[Price/Unit
EUR]]," ")</f>
        <v>339.24</v>
      </c>
      <c r="K944" s="126">
        <v>45520</v>
      </c>
      <c r="L944" s="36">
        <f>WEEKNUM(Table1[[#This Row],[ETA
As requested
dd.mm.yyyy]])</f>
        <v>33</v>
      </c>
      <c r="M944" s="36">
        <f>YEAR(Table1[[#This Row],[ETA
As requested
dd.mm.yyyy]])</f>
        <v>2024</v>
      </c>
      <c r="N944" s="36">
        <f>IFERROR(INDEX(DATABASE_FG!$H$5:$H$367, MATCH(E944, DATABASE_FG!$C$5:$C$367, 0)), " ")</f>
        <v>0</v>
      </c>
      <c r="O944" s="129" t="str">
        <f>IF(E944&lt;&gt;"", _xlfn.XLOOKUP(E944, DATABASE_FG!C:C, DATABASE_FG!F:F), " ")</f>
        <v>shaft</v>
      </c>
      <c r="P944" s="129">
        <f>IFERROR(INDEX(DATABASE_FG!$G$5:$G$367, MATCH(E944, DATABASE_FG!$C$5:$C$367, 0)), "Not Found")</f>
        <v>0</v>
      </c>
      <c r="Q944" s="36"/>
      <c r="R944" s="125" t="s">
        <v>680</v>
      </c>
      <c r="S944" s="123">
        <f>Table1[[#This Row],[Quantity]]/48</f>
        <v>0.91666666666666663</v>
      </c>
      <c r="T944" s="36" t="s">
        <v>679</v>
      </c>
      <c r="U944" s="36"/>
      <c r="V944" s="36"/>
      <c r="W944" s="129"/>
      <c r="X944" s="36"/>
      <c r="Y944" s="36"/>
      <c r="Z944" s="36"/>
      <c r="AA944" s="125" t="s">
        <v>121</v>
      </c>
      <c r="AB944" s="173">
        <v>45577</v>
      </c>
      <c r="AC944" s="119">
        <v>20232287</v>
      </c>
      <c r="AD944" s="36">
        <f t="shared" si="110"/>
        <v>37349251</v>
      </c>
      <c r="AE944" s="36" t="str">
        <f t="shared" si="111"/>
        <v>F-688038.02-0211.W.WE36</v>
      </c>
      <c r="AF944" s="36">
        <v>44</v>
      </c>
      <c r="AG944" s="120">
        <f t="shared" si="113"/>
        <v>339.24</v>
      </c>
      <c r="AH944" s="36"/>
      <c r="AI944" s="124"/>
      <c r="AJ944" s="122" t="s">
        <v>1987</v>
      </c>
      <c r="AK944" s="129" t="str">
        <f t="shared" ca="1" si="112"/>
        <v>Late</v>
      </c>
      <c r="AL944" s="268" t="str">
        <f t="shared" si="114"/>
        <v>August</v>
      </c>
      <c r="AM944" s="133">
        <f>YEAR(Table1[[#This Row],[ETA
As requested
dd.mm.yyyy]])</f>
        <v>2024</v>
      </c>
    </row>
    <row r="945" spans="1:40" hidden="1">
      <c r="A945" s="123" t="s">
        <v>82</v>
      </c>
      <c r="B945" s="36" t="s">
        <v>1170</v>
      </c>
      <c r="C945" s="117">
        <v>37349251</v>
      </c>
      <c r="D945" s="165">
        <v>45499</v>
      </c>
      <c r="E945" s="117" t="s">
        <v>444</v>
      </c>
      <c r="F945" s="36">
        <f>IFERROR(VLOOKUP(Table1[[#This Row],[Part Number]],DATABASE_FG!$C$6:D10934,2,FALSE)," ")</f>
        <v>0</v>
      </c>
      <c r="G945" s="117">
        <f>IFERROR(_xlfn.XLOOKUP(Table1[[#This Row],[Part Number]],Table3[Part number],Table3[Drawing
 Revision]),"")</f>
        <v>0</v>
      </c>
      <c r="H945" s="118" cm="1">
        <f t="array" ref="H945">IFERROR(INDEX(PDB!$C:$AT,MATCH(E945,PDB!$B:$B,0),MATCH(YEAR(K945),0+PDB!$C$1:$AT$1,0)),"")</f>
        <v>7.71</v>
      </c>
      <c r="I945" s="36">
        <v>16</v>
      </c>
      <c r="J945" s="125">
        <f>IFERROR(Table1[[#This Row],[Quantity]]*Table1[[#This Row],[Price/Unit
EUR]]," ")</f>
        <v>123.36</v>
      </c>
      <c r="K945" s="126">
        <v>45520</v>
      </c>
      <c r="L945" s="36">
        <f>WEEKNUM(Table1[[#This Row],[ETA
As requested
dd.mm.yyyy]])</f>
        <v>33</v>
      </c>
      <c r="M945" s="36">
        <f>YEAR(Table1[[#This Row],[ETA
As requested
dd.mm.yyyy]])</f>
        <v>2024</v>
      </c>
      <c r="N945" s="36">
        <f>IFERROR(INDEX(DATABASE_FG!$H$5:$H$367, MATCH(E945, DATABASE_FG!$C$5:$C$367, 0)), " ")</f>
        <v>0</v>
      </c>
      <c r="O945" s="129" t="str">
        <f>IF(E945&lt;&gt;"", _xlfn.XLOOKUP(E945, DATABASE_FG!C:C, DATABASE_FG!F:F), " ")</f>
        <v>shaft</v>
      </c>
      <c r="P945" s="129">
        <f>IFERROR(INDEX(DATABASE_FG!$G$5:$G$367, MATCH(E945, DATABASE_FG!$C$5:$C$367, 0)), "Not Found")</f>
        <v>0</v>
      </c>
      <c r="Q945" s="36"/>
      <c r="R945" s="125" t="s">
        <v>680</v>
      </c>
      <c r="S945" s="123">
        <f>Table1[[#This Row],[Quantity]]/48</f>
        <v>0.33333333333333331</v>
      </c>
      <c r="T945" s="36" t="s">
        <v>679</v>
      </c>
      <c r="U945" s="36"/>
      <c r="V945" s="36"/>
      <c r="W945" s="129"/>
      <c r="X945" s="36"/>
      <c r="Y945" s="36"/>
      <c r="Z945" s="36"/>
      <c r="AA945" s="125" t="s">
        <v>121</v>
      </c>
      <c r="AB945" s="173">
        <v>45584</v>
      </c>
      <c r="AC945" s="119">
        <v>20232293</v>
      </c>
      <c r="AD945" s="36">
        <f t="shared" si="110"/>
        <v>37349251</v>
      </c>
      <c r="AE945" s="36" t="str">
        <f t="shared" si="111"/>
        <v>F-688038.02-0211.W.WE36</v>
      </c>
      <c r="AF945" s="36">
        <v>16</v>
      </c>
      <c r="AG945" s="120">
        <f t="shared" si="113"/>
        <v>123.36</v>
      </c>
      <c r="AH945" s="36"/>
      <c r="AI945" s="124"/>
      <c r="AJ945" s="122" t="s">
        <v>1991</v>
      </c>
      <c r="AK945" s="129" t="str">
        <f t="shared" ca="1" si="112"/>
        <v>Late</v>
      </c>
      <c r="AL945" s="268" t="str">
        <f t="shared" si="114"/>
        <v>August</v>
      </c>
      <c r="AM945" s="133">
        <f>YEAR(Table1[[#This Row],[ETA
As requested
dd.mm.yyyy]])</f>
        <v>2024</v>
      </c>
    </row>
    <row r="946" spans="1:40" hidden="1">
      <c r="A946" s="123" t="s">
        <v>82</v>
      </c>
      <c r="B946" s="36" t="s">
        <v>1170</v>
      </c>
      <c r="C946" s="117">
        <v>37349251</v>
      </c>
      <c r="D946" s="165">
        <v>45499</v>
      </c>
      <c r="E946" s="117" t="s">
        <v>444</v>
      </c>
      <c r="F946" s="36">
        <f>IFERROR(VLOOKUP(Table1[[#This Row],[Part Number]],DATABASE_FG!$C$6:D10935,2,FALSE)," ")</f>
        <v>0</v>
      </c>
      <c r="G946" s="117">
        <f>IFERROR(_xlfn.XLOOKUP(Table1[[#This Row],[Part Number]],Table3[Part number],Table3[Drawing
 Revision]),"")</f>
        <v>0</v>
      </c>
      <c r="H946" s="118" cm="1">
        <f t="array" ref="H946">IFERROR(INDEX(PDB!$C:$AT,MATCH(E946,PDB!$B:$B,0),MATCH(YEAR(K946),0+PDB!$C$1:$AT$1,0)),"")</f>
        <v>7.71</v>
      </c>
      <c r="I946" s="36">
        <v>78</v>
      </c>
      <c r="J946" s="125">
        <f>IFERROR(Table1[[#This Row],[Quantity]]*Table1[[#This Row],[Price/Unit
EUR]]," ")</f>
        <v>601.38</v>
      </c>
      <c r="K946" s="126">
        <v>45520</v>
      </c>
      <c r="L946" s="36">
        <f>WEEKNUM(Table1[[#This Row],[ETA
As requested
dd.mm.yyyy]])</f>
        <v>33</v>
      </c>
      <c r="M946" s="36">
        <f>YEAR(Table1[[#This Row],[ETA
As requested
dd.mm.yyyy]])</f>
        <v>2024</v>
      </c>
      <c r="N946" s="36">
        <f>IFERROR(INDEX(DATABASE_FG!$H$5:$H$367, MATCH(E946, DATABASE_FG!$C$5:$C$367, 0)), " ")</f>
        <v>0</v>
      </c>
      <c r="O946" s="129" t="str">
        <f>IF(E946&lt;&gt;"", _xlfn.XLOOKUP(E946, DATABASE_FG!C:C, DATABASE_FG!F:F), " ")</f>
        <v>shaft</v>
      </c>
      <c r="P946" s="129">
        <f>IFERROR(INDEX(DATABASE_FG!$G$5:$G$367, MATCH(E946, DATABASE_FG!$C$5:$C$367, 0)), "Not Found")</f>
        <v>0</v>
      </c>
      <c r="Q946" s="36"/>
      <c r="R946" s="125" t="s">
        <v>680</v>
      </c>
      <c r="S946" s="123">
        <f>Table1[[#This Row],[Quantity]]/48</f>
        <v>1.625</v>
      </c>
      <c r="T946" s="36" t="s">
        <v>679</v>
      </c>
      <c r="U946" s="36"/>
      <c r="V946" s="36"/>
      <c r="W946" s="129"/>
      <c r="X946" s="36"/>
      <c r="Y946" s="36"/>
      <c r="Z946" s="36"/>
      <c r="AA946" s="125" t="s">
        <v>121</v>
      </c>
      <c r="AB946" s="173">
        <v>45593</v>
      </c>
      <c r="AC946" s="119">
        <v>202401290</v>
      </c>
      <c r="AD946" s="36">
        <f t="shared" si="110"/>
        <v>37349251</v>
      </c>
      <c r="AE946" s="36" t="str">
        <f t="shared" si="111"/>
        <v>F-688038.02-0211.W.WE36</v>
      </c>
      <c r="AF946" s="36">
        <v>78</v>
      </c>
      <c r="AG946" s="120">
        <f t="shared" si="113"/>
        <v>601.38</v>
      </c>
      <c r="AH946" s="36"/>
      <c r="AI946" s="124"/>
      <c r="AJ946" s="122" t="s">
        <v>1993</v>
      </c>
      <c r="AK946" s="129" t="str">
        <f t="shared" ca="1" si="112"/>
        <v>Late</v>
      </c>
      <c r="AL946" s="268" t="str">
        <f t="shared" si="114"/>
        <v>August</v>
      </c>
      <c r="AM946" s="133">
        <f>YEAR(Table1[[#This Row],[ETA
As requested
dd.mm.yyyy]])</f>
        <v>2024</v>
      </c>
    </row>
    <row r="947" spans="1:40" hidden="1">
      <c r="A947" s="123" t="s">
        <v>82</v>
      </c>
      <c r="B947" s="36" t="s">
        <v>1170</v>
      </c>
      <c r="C947" s="117">
        <v>37349251</v>
      </c>
      <c r="D947" s="165">
        <v>45499</v>
      </c>
      <c r="E947" s="117" t="s">
        <v>444</v>
      </c>
      <c r="F947" s="36">
        <f>IFERROR(VLOOKUP(Table1[[#This Row],[Part Number]],DATABASE_FG!$C$6:D10936,2,FALSE)," ")</f>
        <v>0</v>
      </c>
      <c r="G947" s="117">
        <f>IFERROR(_xlfn.XLOOKUP(Table1[[#This Row],[Part Number]],Table3[Part number],Table3[Drawing
 Revision]),"")</f>
        <v>0</v>
      </c>
      <c r="H947" s="118" cm="1">
        <f t="array" ref="H947">IFERROR(INDEX(PDB!$C:$AT,MATCH(E947,PDB!$B:$B,0),MATCH(YEAR(K947),0+PDB!$C$1:$AT$1,0)),"")</f>
        <v>7.71</v>
      </c>
      <c r="I947" s="36">
        <v>5</v>
      </c>
      <c r="J947" s="125">
        <f>IFERROR(Table1[[#This Row],[Quantity]]*Table1[[#This Row],[Price/Unit
EUR]]," ")</f>
        <v>38.549999999999997</v>
      </c>
      <c r="K947" s="126">
        <v>45520</v>
      </c>
      <c r="L947" s="36">
        <f>WEEKNUM(Table1[[#This Row],[ETA
As requested
dd.mm.yyyy]])</f>
        <v>33</v>
      </c>
      <c r="M947" s="36">
        <f>YEAR(Table1[[#This Row],[ETA
As requested
dd.mm.yyyy]])</f>
        <v>2024</v>
      </c>
      <c r="N947" s="36">
        <f>IFERROR(INDEX(DATABASE_FG!$H$5:$H$367, MATCH(E947, DATABASE_FG!$C$5:$C$367, 0)), " ")</f>
        <v>0</v>
      </c>
      <c r="O947" s="129" t="str">
        <f>IF(E947&lt;&gt;"", _xlfn.XLOOKUP(E947, DATABASE_FG!C:C, DATABASE_FG!F:F), " ")</f>
        <v>shaft</v>
      </c>
      <c r="P947" s="129">
        <f>IFERROR(INDEX(DATABASE_FG!$G$5:$G$367, MATCH(E947, DATABASE_FG!$C$5:$C$367, 0)), "Not Found")</f>
        <v>0</v>
      </c>
      <c r="Q947" s="36"/>
      <c r="R947" s="125" t="s">
        <v>680</v>
      </c>
      <c r="S947" s="123">
        <f>Table1[[#This Row],[Quantity]]/48</f>
        <v>0.10416666666666667</v>
      </c>
      <c r="T947" s="36" t="s">
        <v>679</v>
      </c>
      <c r="U947" s="36"/>
      <c r="V947" s="36"/>
      <c r="W947" s="129"/>
      <c r="X947" s="36"/>
      <c r="Y947" s="36"/>
      <c r="Z947" s="36"/>
      <c r="AA947" s="125" t="s">
        <v>121</v>
      </c>
      <c r="AB947" s="173">
        <v>45601</v>
      </c>
      <c r="AC947" s="119">
        <v>202401330</v>
      </c>
      <c r="AD947" s="36">
        <f t="shared" ref="AD947:AD1010" si="115">IF(NOT(ISBLANK(AC947)), C947, "")</f>
        <v>37349251</v>
      </c>
      <c r="AE947" s="36" t="str">
        <f t="shared" ref="AE947:AE1010" si="116">IF(NOT(ISBLANK(AC947)), E947, "")</f>
        <v>F-688038.02-0211.W.WE36</v>
      </c>
      <c r="AF947" s="36">
        <v>5</v>
      </c>
      <c r="AG947" s="120">
        <f t="shared" si="113"/>
        <v>38.549999999999997</v>
      </c>
      <c r="AH947" s="36"/>
      <c r="AI947" s="124" t="s">
        <v>310</v>
      </c>
      <c r="AJ947" s="122" t="s">
        <v>1999</v>
      </c>
      <c r="AK947" s="129" t="str">
        <f t="shared" ca="1" si="112"/>
        <v>Late</v>
      </c>
      <c r="AL947" s="268" t="str">
        <f t="shared" si="114"/>
        <v>August</v>
      </c>
      <c r="AM947" s="133">
        <f>YEAR(Table1[[#This Row],[ETA
As requested
dd.mm.yyyy]])</f>
        <v>2024</v>
      </c>
    </row>
    <row r="948" spans="1:40" hidden="1">
      <c r="A948" s="123" t="s">
        <v>82</v>
      </c>
      <c r="B948" s="36" t="s">
        <v>1170</v>
      </c>
      <c r="C948" s="117">
        <v>37349251</v>
      </c>
      <c r="D948" s="165">
        <v>45499</v>
      </c>
      <c r="E948" s="117" t="s">
        <v>444</v>
      </c>
      <c r="F948" s="36">
        <f>IFERROR(VLOOKUP(Table1[[#This Row],[Part Number]],DATABASE_FG!$C$6:D10937,2,FALSE)," ")</f>
        <v>0</v>
      </c>
      <c r="G948" s="117">
        <f>IFERROR(_xlfn.XLOOKUP(Table1[[#This Row],[Part Number]],Table3[Part number],Table3[Drawing
 Revision]),"")</f>
        <v>0</v>
      </c>
      <c r="H948" s="118" cm="1">
        <f t="array" ref="H948">IFERROR(INDEX(PDB!$C:$AT,MATCH(E948,PDB!$B:$B,0),MATCH(YEAR(K948),0+PDB!$C$1:$AT$1,0)),"")</f>
        <v>7.71</v>
      </c>
      <c r="I948" s="36">
        <v>82</v>
      </c>
      <c r="J948" s="125">
        <f>IFERROR(Table1[[#This Row],[Quantity]]*Table1[[#This Row],[Price/Unit
EUR]]," ")</f>
        <v>632.22</v>
      </c>
      <c r="K948" s="126">
        <v>45520</v>
      </c>
      <c r="L948" s="36">
        <f>WEEKNUM(Table1[[#This Row],[ETA
As requested
dd.mm.yyyy]])</f>
        <v>33</v>
      </c>
      <c r="M948" s="36">
        <f>YEAR(Table1[[#This Row],[ETA
As requested
dd.mm.yyyy]])</f>
        <v>2024</v>
      </c>
      <c r="N948" s="36">
        <f>IFERROR(INDEX(DATABASE_FG!$H$5:$H$367, MATCH(E948, DATABASE_FG!$C$5:$C$367, 0)), " ")</f>
        <v>0</v>
      </c>
      <c r="O948" s="129" t="str">
        <f>IF(E948&lt;&gt;"", _xlfn.XLOOKUP(E948, DATABASE_FG!C:C, DATABASE_FG!F:F), " ")</f>
        <v>shaft</v>
      </c>
      <c r="P948" s="129">
        <f>IFERROR(INDEX(DATABASE_FG!$G$5:$G$367, MATCH(E948, DATABASE_FG!$C$5:$C$367, 0)), "Not Found")</f>
        <v>0</v>
      </c>
      <c r="Q948" s="36"/>
      <c r="R948" s="125" t="s">
        <v>680</v>
      </c>
      <c r="S948" s="123">
        <f>Table1[[#This Row],[Quantity]]/48</f>
        <v>1.7083333333333333</v>
      </c>
      <c r="T948" s="36" t="s">
        <v>679</v>
      </c>
      <c r="U948" s="36"/>
      <c r="V948" s="36"/>
      <c r="W948" s="129"/>
      <c r="X948" s="36"/>
      <c r="Y948" s="36"/>
      <c r="Z948" s="36"/>
      <c r="AA948" s="125" t="s">
        <v>121</v>
      </c>
      <c r="AB948" s="173">
        <v>45640</v>
      </c>
      <c r="AC948" s="119">
        <v>202401548</v>
      </c>
      <c r="AD948" s="36">
        <f t="shared" si="115"/>
        <v>37349251</v>
      </c>
      <c r="AE948" s="36" t="str">
        <f t="shared" si="116"/>
        <v>F-688038.02-0211.W.WE36</v>
      </c>
      <c r="AF948" s="36">
        <v>82</v>
      </c>
      <c r="AG948" s="120">
        <f t="shared" si="113"/>
        <v>632.22</v>
      </c>
      <c r="AH948" s="36"/>
      <c r="AI948" s="124"/>
      <c r="AJ948" s="122" t="s">
        <v>2013</v>
      </c>
      <c r="AK948" s="129" t="str">
        <f t="shared" ca="1" si="112"/>
        <v>Late</v>
      </c>
      <c r="AL948" s="268" t="str">
        <f t="shared" si="114"/>
        <v>August</v>
      </c>
      <c r="AM948" s="133">
        <f>YEAR(Table1[[#This Row],[ETA
As requested
dd.mm.yyyy]])</f>
        <v>2024</v>
      </c>
    </row>
    <row r="949" spans="1:40" hidden="1">
      <c r="A949" s="123" t="s">
        <v>82</v>
      </c>
      <c r="B949" s="36" t="s">
        <v>1170</v>
      </c>
      <c r="C949" s="117">
        <v>37349251</v>
      </c>
      <c r="D949" s="165">
        <v>45499</v>
      </c>
      <c r="E949" s="117" t="s">
        <v>444</v>
      </c>
      <c r="F949" s="36">
        <f>IFERROR(VLOOKUP(Table1[[#This Row],[Part Number]],DATABASE_FG!$C$6:D10938,2,FALSE)," ")</f>
        <v>0</v>
      </c>
      <c r="G949" s="117">
        <f>IFERROR(_xlfn.XLOOKUP(Table1[[#This Row],[Part Number]],Table3[Part number],Table3[Drawing
 Revision]),"")</f>
        <v>0</v>
      </c>
      <c r="H949" s="118" cm="1">
        <f t="array" ref="H949">IFERROR(INDEX(PDB!$C:$AT,MATCH(E949,PDB!$B:$B,0),MATCH(YEAR(K949),0+PDB!$C$1:$AT$1,0)),"")</f>
        <v>7.71</v>
      </c>
      <c r="I949" s="36">
        <f>107-82</f>
        <v>25</v>
      </c>
      <c r="J949" s="125">
        <f>IFERROR(Table1[[#This Row],[Quantity]]*Table1[[#This Row],[Price/Unit
EUR]]," ")</f>
        <v>192.75</v>
      </c>
      <c r="K949" s="126">
        <v>45520</v>
      </c>
      <c r="L949" s="36">
        <f>WEEKNUM(Table1[[#This Row],[ETA
As requested
dd.mm.yyyy]])</f>
        <v>33</v>
      </c>
      <c r="M949" s="36">
        <f>YEAR(Table1[[#This Row],[ETA
As requested
dd.mm.yyyy]])</f>
        <v>2024</v>
      </c>
      <c r="N949" s="36">
        <f>IFERROR(INDEX(DATABASE_FG!$H$5:$H$367, MATCH(E949, DATABASE_FG!$C$5:$C$367, 0)), " ")</f>
        <v>0</v>
      </c>
      <c r="O949" s="129" t="str">
        <f>IF(E949&lt;&gt;"", _xlfn.XLOOKUP(E949, DATABASE_FG!C:C, DATABASE_FG!F:F), " ")</f>
        <v>shaft</v>
      </c>
      <c r="P949" s="129">
        <f>IFERROR(INDEX(DATABASE_FG!$G$5:$G$367, MATCH(E949, DATABASE_FG!$C$5:$C$367, 0)), "Not Found")</f>
        <v>0</v>
      </c>
      <c r="Q949" s="36"/>
      <c r="R949" s="125" t="s">
        <v>680</v>
      </c>
      <c r="S949" s="123">
        <f>Table1[[#This Row],[Quantity]]/48</f>
        <v>0.52083333333333337</v>
      </c>
      <c r="T949" s="36" t="s">
        <v>679</v>
      </c>
      <c r="U949" s="36"/>
      <c r="V949" s="36"/>
      <c r="W949" s="129"/>
      <c r="X949" s="36"/>
      <c r="Y949" s="36"/>
      <c r="Z949" s="36"/>
      <c r="AA949" s="125" t="s">
        <v>121</v>
      </c>
      <c r="AB949" s="173">
        <v>45647</v>
      </c>
      <c r="AC949" s="119">
        <v>202401598</v>
      </c>
      <c r="AD949" s="36">
        <f t="shared" si="115"/>
        <v>37349251</v>
      </c>
      <c r="AE949" s="36" t="str">
        <f t="shared" si="116"/>
        <v>F-688038.02-0211.W.WE36</v>
      </c>
      <c r="AF949" s="36">
        <v>26</v>
      </c>
      <c r="AG949" s="120">
        <f t="shared" si="113"/>
        <v>200.46</v>
      </c>
      <c r="AH949" s="36"/>
      <c r="AI949" s="124"/>
      <c r="AJ949" s="122" t="s">
        <v>2021</v>
      </c>
      <c r="AK949" s="129" t="str">
        <f t="shared" ca="1" si="112"/>
        <v>Late</v>
      </c>
      <c r="AL949" s="268" t="str">
        <f t="shared" si="114"/>
        <v>August</v>
      </c>
      <c r="AM949" s="133">
        <f>YEAR(Table1[[#This Row],[ETA
As requested
dd.mm.yyyy]])</f>
        <v>2024</v>
      </c>
    </row>
    <row r="950" spans="1:40" hidden="1">
      <c r="A950" s="123" t="s">
        <v>82</v>
      </c>
      <c r="B950" s="36" t="s">
        <v>1170</v>
      </c>
      <c r="C950" s="117">
        <v>36654144</v>
      </c>
      <c r="D950" s="165">
        <v>45404</v>
      </c>
      <c r="E950" s="117" t="s">
        <v>1471</v>
      </c>
      <c r="F950" s="36" t="str">
        <f>IFERROR(VLOOKUP(Table1[[#This Row],[Part Number]],DATABASE_FG!$C$6:D10939,2,FALSE)," ")</f>
        <v>shaft</v>
      </c>
      <c r="G950" s="117">
        <f>IFERROR(_xlfn.XLOOKUP(Table1[[#This Row],[Part Number]],Table3[Part number],Table3[Drawing
 Revision]),"")</f>
        <v>0</v>
      </c>
      <c r="H950" s="118" cm="1">
        <f t="array" ref="H950">IFERROR(INDEX(PDB!$C:$AT,MATCH(E950,PDB!$B:$B,0),MATCH(YEAR(K950),0+PDB!$C$1:$AT$1,0)),"")</f>
        <v>5.92</v>
      </c>
      <c r="I950" s="36">
        <v>5</v>
      </c>
      <c r="J950" s="125">
        <f>IFERROR(Table1[[#This Row],[Quantity]]*Table1[[#This Row],[Price/Unit
EUR]]," ")</f>
        <v>29.6</v>
      </c>
      <c r="K950" s="126">
        <v>45419</v>
      </c>
      <c r="L950" s="36">
        <f>WEEKNUM(Table1[[#This Row],[ETA
As requested
dd.mm.yyyy]])</f>
        <v>19</v>
      </c>
      <c r="M950" s="36">
        <f>YEAR(Table1[[#This Row],[ETA
As requested
dd.mm.yyyy]])</f>
        <v>2024</v>
      </c>
      <c r="N950" s="36">
        <f>IFERROR(INDEX(DATABASE_FG!$H$5:$H$367, MATCH(E950, DATABASE_FG!$C$5:$C$367, 0)), " ")</f>
        <v>0</v>
      </c>
      <c r="O950" s="129" t="str">
        <f>IF(E950&lt;&gt;"", _xlfn.XLOOKUP(E950, DATABASE_FG!C:C, DATABASE_FG!F:F), " ")</f>
        <v>shaft</v>
      </c>
      <c r="P950" s="129">
        <f>IFERROR(INDEX(DATABASE_FG!$G$5:$G$367, MATCH(E950, DATABASE_FG!$C$5:$C$367, 0)), "Not Found")</f>
        <v>50</v>
      </c>
      <c r="Q950" s="36"/>
      <c r="R950" s="125" t="s">
        <v>680</v>
      </c>
      <c r="S950" s="123">
        <f>IFERROR(INDEX(DATABASE_FG!$L$5:$L$367, MATCH(E950, DATABASE_FG!$C$5:$C$367, 0)), " ")</f>
        <v>56</v>
      </c>
      <c r="T950" s="36" t="s">
        <v>679</v>
      </c>
      <c r="U950" s="36"/>
      <c r="V950" s="36"/>
      <c r="W950" s="129"/>
      <c r="X950" s="36"/>
      <c r="Y950" s="36"/>
      <c r="Z950" s="36">
        <v>242214</v>
      </c>
      <c r="AA950" s="125" t="s">
        <v>121</v>
      </c>
      <c r="AB950" s="173">
        <v>45495</v>
      </c>
      <c r="AC950" s="119">
        <v>2024888</v>
      </c>
      <c r="AD950" s="36">
        <f t="shared" si="115"/>
        <v>36654144</v>
      </c>
      <c r="AE950" s="36" t="str">
        <f t="shared" si="116"/>
        <v>F-688038.02-0311.W.WE36</v>
      </c>
      <c r="AF950" s="36">
        <v>5</v>
      </c>
      <c r="AG950" s="120">
        <f t="shared" si="113"/>
        <v>29.6</v>
      </c>
      <c r="AH950" s="36"/>
      <c r="AI950" s="124"/>
      <c r="AJ950" s="122" t="s">
        <v>1472</v>
      </c>
      <c r="AK950" s="129" t="str">
        <f t="shared" ca="1" si="112"/>
        <v>Late</v>
      </c>
      <c r="AL950" s="268" t="str">
        <f t="shared" si="114"/>
        <v>May</v>
      </c>
      <c r="AM950" s="133">
        <f>YEAR(Table1[[#This Row],[ETA
As requested
dd.mm.yyyy]])</f>
        <v>2024</v>
      </c>
    </row>
    <row r="951" spans="1:40" hidden="1">
      <c r="A951" s="123" t="s">
        <v>82</v>
      </c>
      <c r="B951" s="36" t="s">
        <v>1170</v>
      </c>
      <c r="C951" s="117">
        <v>36654144</v>
      </c>
      <c r="D951" s="165">
        <v>45405</v>
      </c>
      <c r="E951" s="117" t="s">
        <v>1471</v>
      </c>
      <c r="F951" s="36" t="str">
        <f>IFERROR(VLOOKUP(Table1[[#This Row],[Part Number]],DATABASE_FG!$C$6:D10940,2,FALSE)," ")</f>
        <v>shaft</v>
      </c>
      <c r="G951" s="117">
        <f>IFERROR(_xlfn.XLOOKUP(Table1[[#This Row],[Part Number]],Table3[Part number],Table3[Drawing
 Revision]),"")</f>
        <v>0</v>
      </c>
      <c r="H951" s="118" cm="1">
        <f t="array" ref="H951">IFERROR(INDEX(PDB!$C:$AT,MATCH(E951,PDB!$B:$B,0),MATCH(YEAR(K951),0+PDB!$C$1:$AT$1,0)),"")</f>
        <v>5.92</v>
      </c>
      <c r="I951" s="36">
        <v>0</v>
      </c>
      <c r="J951" s="125">
        <f>IFERROR(Table1[[#This Row],[Quantity]]*Table1[[#This Row],[Price/Unit
EUR]]," ")</f>
        <v>0</v>
      </c>
      <c r="K951" s="126">
        <v>45420</v>
      </c>
      <c r="L951" s="36">
        <f>WEEKNUM(Table1[[#This Row],[ETA
As requested
dd.mm.yyyy]])</f>
        <v>19</v>
      </c>
      <c r="M951" s="36">
        <f>YEAR(Table1[[#This Row],[ETA
As requested
dd.mm.yyyy]])</f>
        <v>2024</v>
      </c>
      <c r="N951" s="36">
        <f>IFERROR(INDEX(DATABASE_FG!$H$5:$H$367, MATCH(E951, DATABASE_FG!$C$5:$C$367, 0)), " ")</f>
        <v>0</v>
      </c>
      <c r="O951" s="129" t="str">
        <f>IF(E951&lt;&gt;"", _xlfn.XLOOKUP(E951, DATABASE_FG!C:C, DATABASE_FG!F:F), " ")</f>
        <v>shaft</v>
      </c>
      <c r="P951" s="129">
        <f>IFERROR(INDEX(DATABASE_FG!$G$5:$G$367, MATCH(E951, DATABASE_FG!$C$5:$C$367, 0)), "Not Found")</f>
        <v>50</v>
      </c>
      <c r="Q951" s="36"/>
      <c r="R951" s="125" t="s">
        <v>680</v>
      </c>
      <c r="S951" s="123">
        <f>Table1[[#This Row],[Quantity]]/48</f>
        <v>0</v>
      </c>
      <c r="T951" s="36" t="s">
        <v>679</v>
      </c>
      <c r="U951" s="36"/>
      <c r="V951" s="36"/>
      <c r="W951" s="129"/>
      <c r="X951" s="36"/>
      <c r="Y951" s="36"/>
      <c r="Z951" s="36"/>
      <c r="AA951" s="125" t="s">
        <v>121</v>
      </c>
      <c r="AB951" s="173">
        <v>45499</v>
      </c>
      <c r="AC951" s="119">
        <v>2024924</v>
      </c>
      <c r="AD951" s="36">
        <f t="shared" si="115"/>
        <v>36654144</v>
      </c>
      <c r="AE951" s="36" t="str">
        <f t="shared" si="116"/>
        <v>F-688038.02-0311.W.WE36</v>
      </c>
      <c r="AF951" s="36">
        <v>5</v>
      </c>
      <c r="AG951" s="120">
        <f t="shared" si="113"/>
        <v>29.6</v>
      </c>
      <c r="AH951" s="36"/>
      <c r="AI951" s="124"/>
      <c r="AJ951" s="122"/>
      <c r="AK951" s="129" t="str">
        <f t="shared" ca="1" si="112"/>
        <v>Late</v>
      </c>
      <c r="AL951" s="268" t="str">
        <f t="shared" si="114"/>
        <v>May</v>
      </c>
      <c r="AM951" s="133">
        <f>YEAR(Table1[[#This Row],[ETA
As requested
dd.mm.yyyy]])</f>
        <v>2024</v>
      </c>
    </row>
    <row r="952" spans="1:40" hidden="1">
      <c r="A952" s="123" t="s">
        <v>82</v>
      </c>
      <c r="B952" s="36" t="s">
        <v>1170</v>
      </c>
      <c r="C952" s="117">
        <v>37349251</v>
      </c>
      <c r="D952" s="165">
        <v>45474</v>
      </c>
      <c r="E952" s="117" t="s">
        <v>1471</v>
      </c>
      <c r="F952" s="36" t="str">
        <f>IFERROR(VLOOKUP(Table1[[#This Row],[Part Number]],DATABASE_FG!$C$6:D10941,2,FALSE)," ")</f>
        <v>shaft</v>
      </c>
      <c r="G952" s="117">
        <f>IFERROR(_xlfn.XLOOKUP(Table1[[#This Row],[Part Number]],Table3[Part number],Table3[Drawing
 Revision]),"")</f>
        <v>0</v>
      </c>
      <c r="H952" s="118" cm="1">
        <f t="array" ref="H952">IFERROR(INDEX(PDB!$C:$AT,MATCH(E952,PDB!$B:$B,0),MATCH(YEAR(K952),0+PDB!$C$1:$AT$1,0)),"")</f>
        <v>5.92</v>
      </c>
      <c r="I952" s="36">
        <v>4</v>
      </c>
      <c r="J952" s="125">
        <f>IFERROR(Table1[[#This Row],[Quantity]]*Table1[[#This Row],[Price/Unit
EUR]]," ")</f>
        <v>23.68</v>
      </c>
      <c r="K952" s="126">
        <v>45520</v>
      </c>
      <c r="L952" s="36">
        <f>WEEKNUM(Table1[[#This Row],[ETA
As requested
dd.mm.yyyy]])</f>
        <v>33</v>
      </c>
      <c r="M952" s="36">
        <f>YEAR(Table1[[#This Row],[ETA
As requested
dd.mm.yyyy]])</f>
        <v>2024</v>
      </c>
      <c r="N952" s="36">
        <f>IFERROR(INDEX(DATABASE_FG!$H$5:$H$367, MATCH(E952, DATABASE_FG!$C$5:$C$367, 0)), " ")</f>
        <v>0</v>
      </c>
      <c r="O952" s="129" t="str">
        <f>IF(E952&lt;&gt;"", _xlfn.XLOOKUP(E952, DATABASE_FG!C:C, DATABASE_FG!F:F), " ")</f>
        <v>shaft</v>
      </c>
      <c r="P952" s="129">
        <f>IFERROR(INDEX(DATABASE_FG!$G$5:$G$367, MATCH(E952, DATABASE_FG!$C$5:$C$367, 0)), "Not Found")</f>
        <v>50</v>
      </c>
      <c r="Q952" s="36"/>
      <c r="R952" s="125" t="s">
        <v>680</v>
      </c>
      <c r="S952" s="123">
        <f>IFERROR(INDEX(DATABASE_FG!$L$5:$L$367, MATCH(E952, DATABASE_FG!$C$5:$C$367, 0)), " ")</f>
        <v>56</v>
      </c>
      <c r="T952" s="36" t="s">
        <v>679</v>
      </c>
      <c r="U952" s="36"/>
      <c r="V952" s="36"/>
      <c r="W952" s="129"/>
      <c r="X952" s="36"/>
      <c r="Y952" s="36" t="s">
        <v>121</v>
      </c>
      <c r="Z952" s="36"/>
      <c r="AA952" s="125" t="s">
        <v>121</v>
      </c>
      <c r="AB952" s="173">
        <v>45593</v>
      </c>
      <c r="AC952" s="119">
        <v>202401294</v>
      </c>
      <c r="AD952" s="36">
        <f t="shared" si="115"/>
        <v>37349251</v>
      </c>
      <c r="AE952" s="36" t="str">
        <f t="shared" si="116"/>
        <v>F-688038.02-0311.W.WE36</v>
      </c>
      <c r="AF952" s="36">
        <v>4</v>
      </c>
      <c r="AG952" s="120">
        <f t="shared" si="113"/>
        <v>23.68</v>
      </c>
      <c r="AH952" s="36"/>
      <c r="AI952" s="124"/>
      <c r="AJ952" s="122" t="s">
        <v>1994</v>
      </c>
      <c r="AK952" s="129" t="str">
        <f t="shared" ca="1" si="112"/>
        <v>Late</v>
      </c>
      <c r="AL952" s="268" t="str">
        <f t="shared" si="114"/>
        <v>August</v>
      </c>
      <c r="AM952" s="133">
        <f>YEAR(Table1[[#This Row],[ETA
As requested
dd.mm.yyyy]])</f>
        <v>2024</v>
      </c>
    </row>
    <row r="953" spans="1:40" hidden="1">
      <c r="A953" s="123" t="s">
        <v>82</v>
      </c>
      <c r="B953" s="36" t="s">
        <v>1170</v>
      </c>
      <c r="C953" s="117">
        <v>37349251</v>
      </c>
      <c r="D953" s="165">
        <v>45474</v>
      </c>
      <c r="E953" s="117" t="s">
        <v>1471</v>
      </c>
      <c r="F953" s="36" t="str">
        <f>IFERROR(VLOOKUP(Table1[[#This Row],[Part Number]],DATABASE_FG!$C$6:D10942,2,FALSE)," ")</f>
        <v>shaft</v>
      </c>
      <c r="G953" s="117">
        <f>IFERROR(_xlfn.XLOOKUP(Table1[[#This Row],[Part Number]],Table3[Part number],Table3[Drawing
 Revision]),"")</f>
        <v>0</v>
      </c>
      <c r="H953" s="118" cm="1">
        <f t="array" ref="H953">IFERROR(INDEX(PDB!$C:$AT,MATCH(E953,PDB!$B:$B,0),MATCH(YEAR(K953),0+PDB!$C$1:$AT$1,0)),"")</f>
        <v>5.92</v>
      </c>
      <c r="I953" s="36">
        <v>48</v>
      </c>
      <c r="J953" s="125">
        <f>IFERROR(Table1[[#This Row],[Quantity]]*Table1[[#This Row],[Price/Unit
EUR]]," ")</f>
        <v>284.15999999999997</v>
      </c>
      <c r="K953" s="126">
        <v>45520</v>
      </c>
      <c r="L953" s="36">
        <f>WEEKNUM(Table1[[#This Row],[ETA
As requested
dd.mm.yyyy]])</f>
        <v>33</v>
      </c>
      <c r="M953" s="36">
        <f>YEAR(Table1[[#This Row],[ETA
As requested
dd.mm.yyyy]])</f>
        <v>2024</v>
      </c>
      <c r="N953" s="36">
        <f>IFERROR(INDEX(DATABASE_FG!$H$5:$H$367, MATCH(E953, DATABASE_FG!$C$5:$C$367, 0)), " ")</f>
        <v>0</v>
      </c>
      <c r="O953" s="129" t="str">
        <f>IF(E953&lt;&gt;"", _xlfn.XLOOKUP(E953, DATABASE_FG!C:C, DATABASE_FG!F:F), " ")</f>
        <v>shaft</v>
      </c>
      <c r="P953" s="129">
        <f>IFERROR(INDEX(DATABASE_FG!$G$5:$G$367, MATCH(E953, DATABASE_FG!$C$5:$C$367, 0)), "Not Found")</f>
        <v>50</v>
      </c>
      <c r="Q953" s="36"/>
      <c r="R953" s="125" t="s">
        <v>680</v>
      </c>
      <c r="S953" s="123">
        <f>IFERROR(INDEX(DATABASE_FG!$L$5:$L$367, MATCH(E953, DATABASE_FG!$C$5:$C$367, 0)), " ")</f>
        <v>56</v>
      </c>
      <c r="T953" s="36" t="s">
        <v>679</v>
      </c>
      <c r="U953" s="36"/>
      <c r="V953" s="36"/>
      <c r="W953" s="129"/>
      <c r="X953" s="36"/>
      <c r="Y953" s="36"/>
      <c r="Z953" s="36"/>
      <c r="AA953" s="125" t="s">
        <v>121</v>
      </c>
      <c r="AB953" s="173">
        <v>45601</v>
      </c>
      <c r="AC953" s="119">
        <v>202401334</v>
      </c>
      <c r="AD953" s="36">
        <f t="shared" si="115"/>
        <v>37349251</v>
      </c>
      <c r="AE953" s="36" t="str">
        <f t="shared" si="116"/>
        <v>F-688038.02-0311.W.WE36</v>
      </c>
      <c r="AF953" s="36">
        <v>48</v>
      </c>
      <c r="AG953" s="120">
        <f t="shared" si="113"/>
        <v>284.15999999999997</v>
      </c>
      <c r="AH953" s="36"/>
      <c r="AI953" s="124"/>
      <c r="AJ953" s="122" t="s">
        <v>2000</v>
      </c>
      <c r="AK953" s="129" t="str">
        <f t="shared" ca="1" si="112"/>
        <v>Late</v>
      </c>
      <c r="AL953" s="268" t="str">
        <f t="shared" si="114"/>
        <v>August</v>
      </c>
      <c r="AM953" s="133">
        <f>YEAR(Table1[[#This Row],[ETA
As requested
dd.mm.yyyy]])</f>
        <v>2024</v>
      </c>
    </row>
    <row r="954" spans="1:40" hidden="1">
      <c r="A954" s="123" t="s">
        <v>82</v>
      </c>
      <c r="B954" s="36" t="s">
        <v>1170</v>
      </c>
      <c r="C954" s="117">
        <v>37349251</v>
      </c>
      <c r="D954" s="165">
        <v>45474</v>
      </c>
      <c r="E954" s="117" t="s">
        <v>1471</v>
      </c>
      <c r="F954" s="36" t="str">
        <f>IFERROR(VLOOKUP(Table1[[#This Row],[Part Number]],DATABASE_FG!$C$6:D10943,2,FALSE)," ")</f>
        <v>shaft</v>
      </c>
      <c r="G954" s="117">
        <f>IFERROR(_xlfn.XLOOKUP(Table1[[#This Row],[Part Number]],Table3[Part number],Table3[Drawing
 Revision]),"")</f>
        <v>0</v>
      </c>
      <c r="H954" s="118" cm="1">
        <f t="array" ref="H954">IFERROR(INDEX(PDB!$C:$AT,MATCH(E954,PDB!$B:$B,0),MATCH(YEAR(K954),0+PDB!$C$1:$AT$1,0)),"")</f>
        <v>5.92</v>
      </c>
      <c r="I954" s="36">
        <v>40</v>
      </c>
      <c r="J954" s="125">
        <f>IFERROR(Table1[[#This Row],[Quantity]]*Table1[[#This Row],[Price/Unit
EUR]]," ")</f>
        <v>236.8</v>
      </c>
      <c r="K954" s="126">
        <v>45520</v>
      </c>
      <c r="L954" s="36">
        <f>WEEKNUM(Table1[[#This Row],[ETA
As requested
dd.mm.yyyy]])</f>
        <v>33</v>
      </c>
      <c r="M954" s="36">
        <f>YEAR(Table1[[#This Row],[ETA
As requested
dd.mm.yyyy]])</f>
        <v>2024</v>
      </c>
      <c r="N954" s="36">
        <f>IFERROR(INDEX(DATABASE_FG!$H$5:$H$367, MATCH(E954, DATABASE_FG!$C$5:$C$367, 0)), " ")</f>
        <v>0</v>
      </c>
      <c r="O954" s="129" t="str">
        <f>IF(E954&lt;&gt;"", _xlfn.XLOOKUP(E954, DATABASE_FG!C:C, DATABASE_FG!F:F), " ")</f>
        <v>shaft</v>
      </c>
      <c r="P954" s="129">
        <f>IFERROR(INDEX(DATABASE_FG!$G$5:$G$367, MATCH(E954, DATABASE_FG!$C$5:$C$367, 0)), "Not Found")</f>
        <v>50</v>
      </c>
      <c r="Q954" s="36"/>
      <c r="R954" s="125" t="s">
        <v>680</v>
      </c>
      <c r="S954" s="123">
        <f>IFERROR(INDEX(DATABASE_FG!$L$5:$L$367, MATCH(E954, DATABASE_FG!$C$5:$C$367, 0)), " ")</f>
        <v>56</v>
      </c>
      <c r="T954" s="36" t="s">
        <v>679</v>
      </c>
      <c r="U954" s="36"/>
      <c r="V954" s="36"/>
      <c r="W954" s="129"/>
      <c r="X954" s="36"/>
      <c r="Y954" s="36"/>
      <c r="Z954" s="36"/>
      <c r="AA954" s="125" t="s">
        <v>121</v>
      </c>
      <c r="AB954" s="173">
        <v>45608</v>
      </c>
      <c r="AC954" s="119">
        <v>202401376</v>
      </c>
      <c r="AD954" s="36">
        <f t="shared" si="115"/>
        <v>37349251</v>
      </c>
      <c r="AE954" s="36" t="str">
        <f t="shared" si="116"/>
        <v>F-688038.02-0311.W.WE36</v>
      </c>
      <c r="AF954" s="36">
        <v>40</v>
      </c>
      <c r="AG954" s="120">
        <f t="shared" si="113"/>
        <v>236.8</v>
      </c>
      <c r="AH954" s="36"/>
      <c r="AI954" s="124"/>
      <c r="AJ954" s="122" t="s">
        <v>2002</v>
      </c>
      <c r="AK954" s="129" t="str">
        <f t="shared" ca="1" si="112"/>
        <v>Late</v>
      </c>
      <c r="AL954" s="268" t="str">
        <f t="shared" si="114"/>
        <v>August</v>
      </c>
      <c r="AM954" s="133">
        <f>YEAR(Table1[[#This Row],[ETA
As requested
dd.mm.yyyy]])</f>
        <v>2024</v>
      </c>
    </row>
    <row r="955" spans="1:40" hidden="1">
      <c r="A955" s="123" t="s">
        <v>82</v>
      </c>
      <c r="B955" s="36" t="s">
        <v>1170</v>
      </c>
      <c r="C955" s="117">
        <v>37349251</v>
      </c>
      <c r="D955" s="165">
        <v>45474</v>
      </c>
      <c r="E955" s="117" t="s">
        <v>1471</v>
      </c>
      <c r="F955" s="36" t="str">
        <f>IFERROR(VLOOKUP(Table1[[#This Row],[Part Number]],DATABASE_FG!$C$6:D10944,2,FALSE)," ")</f>
        <v>shaft</v>
      </c>
      <c r="G955" s="117">
        <f>IFERROR(_xlfn.XLOOKUP(Table1[[#This Row],[Part Number]],Table3[Part number],Table3[Drawing
 Revision]),"")</f>
        <v>0</v>
      </c>
      <c r="H955" s="118" cm="1">
        <f t="array" ref="H955">IFERROR(INDEX(PDB!$C:$AT,MATCH(E955,PDB!$B:$B,0),MATCH(YEAR(K955),0+PDB!$C$1:$AT$1,0)),"")</f>
        <v>5.92</v>
      </c>
      <c r="I955" s="36">
        <v>39</v>
      </c>
      <c r="J955" s="125">
        <f>IFERROR(Table1[[#This Row],[Quantity]]*Table1[[#This Row],[Price/Unit
EUR]]," ")</f>
        <v>230.88</v>
      </c>
      <c r="K955" s="126">
        <v>45520</v>
      </c>
      <c r="L955" s="36">
        <f>WEEKNUM(Table1[[#This Row],[ETA
As requested
dd.mm.yyyy]])</f>
        <v>33</v>
      </c>
      <c r="M955" s="36">
        <f>YEAR(Table1[[#This Row],[ETA
As requested
dd.mm.yyyy]])</f>
        <v>2024</v>
      </c>
      <c r="N955" s="36">
        <f>IFERROR(INDEX(DATABASE_FG!$H$5:$H$367, MATCH(E955, DATABASE_FG!$C$5:$C$367, 0)), " ")</f>
        <v>0</v>
      </c>
      <c r="O955" s="129" t="str">
        <f>IF(E955&lt;&gt;"", _xlfn.XLOOKUP(E955, DATABASE_FG!C:C, DATABASE_FG!F:F), " ")</f>
        <v>shaft</v>
      </c>
      <c r="P955" s="129">
        <f>IFERROR(INDEX(DATABASE_FG!$G$5:$G$367, MATCH(E955, DATABASE_FG!$C$5:$C$367, 0)), "Not Found")</f>
        <v>50</v>
      </c>
      <c r="Q955" s="36"/>
      <c r="R955" s="125" t="s">
        <v>680</v>
      </c>
      <c r="S955" s="123">
        <f>IFERROR(INDEX(DATABASE_FG!$L$5:$L$367, MATCH(E955, DATABASE_FG!$C$5:$C$367, 0)), " ")</f>
        <v>56</v>
      </c>
      <c r="T955" s="36" t="s">
        <v>679</v>
      </c>
      <c r="U955" s="36"/>
      <c r="V955" s="36"/>
      <c r="W955" s="129"/>
      <c r="X955" s="36"/>
      <c r="Y955" s="36"/>
      <c r="Z955" s="36"/>
      <c r="AA955" s="125" t="s">
        <v>121</v>
      </c>
      <c r="AB955" s="173">
        <v>45617</v>
      </c>
      <c r="AC955" s="119">
        <v>202401412</v>
      </c>
      <c r="AD955" s="36">
        <f t="shared" si="115"/>
        <v>37349251</v>
      </c>
      <c r="AE955" s="36" t="str">
        <f t="shared" si="116"/>
        <v>F-688038.02-0311.W.WE36</v>
      </c>
      <c r="AF955" s="36">
        <v>39</v>
      </c>
      <c r="AG955" s="120">
        <f t="shared" si="113"/>
        <v>230.88</v>
      </c>
      <c r="AH955" s="36"/>
      <c r="AI955" s="124"/>
      <c r="AJ955" s="122" t="s">
        <v>2004</v>
      </c>
      <c r="AK955" s="129" t="str">
        <f t="shared" ca="1" si="112"/>
        <v>Late</v>
      </c>
      <c r="AL955" s="268" t="str">
        <f t="shared" si="114"/>
        <v>August</v>
      </c>
      <c r="AM955" s="133">
        <f>YEAR(Table1[[#This Row],[ETA
As requested
dd.mm.yyyy]])</f>
        <v>2024</v>
      </c>
    </row>
    <row r="956" spans="1:40" hidden="1">
      <c r="A956" s="123" t="s">
        <v>82</v>
      </c>
      <c r="B956" s="36" t="s">
        <v>1170</v>
      </c>
      <c r="C956" s="117">
        <v>37349251</v>
      </c>
      <c r="D956" s="165">
        <v>45474</v>
      </c>
      <c r="E956" s="117" t="s">
        <v>1471</v>
      </c>
      <c r="F956" s="36" t="str">
        <f>IFERROR(VLOOKUP(Table1[[#This Row],[Part Number]],DATABASE_FG!$C$6:D10945,2,FALSE)," ")</f>
        <v>shaft</v>
      </c>
      <c r="G956" s="117">
        <f>IFERROR(_xlfn.XLOOKUP(Table1[[#This Row],[Part Number]],Table3[Part number],Table3[Drawing
 Revision]),"")</f>
        <v>0</v>
      </c>
      <c r="H956" s="118" cm="1">
        <f t="array" ref="H956">IFERROR(INDEX(PDB!$C:$AT,MATCH(E956,PDB!$B:$B,0),MATCH(YEAR(K956),0+PDB!$C$1:$AT$1,0)),"")</f>
        <v>5.92</v>
      </c>
      <c r="I956" s="36">
        <v>21</v>
      </c>
      <c r="J956" s="125">
        <f>IFERROR(Table1[[#This Row],[Quantity]]*Table1[[#This Row],[Price/Unit
EUR]]," ")</f>
        <v>124.32</v>
      </c>
      <c r="K956" s="126">
        <v>45520</v>
      </c>
      <c r="L956" s="36">
        <f>WEEKNUM(Table1[[#This Row],[ETA
As requested
dd.mm.yyyy]])</f>
        <v>33</v>
      </c>
      <c r="M956" s="36">
        <f>YEAR(Table1[[#This Row],[ETA
As requested
dd.mm.yyyy]])</f>
        <v>2024</v>
      </c>
      <c r="N956" s="36">
        <f>IFERROR(INDEX(DATABASE_FG!$H$5:$H$367, MATCH(E956, DATABASE_FG!$C$5:$C$367, 0)), " ")</f>
        <v>0</v>
      </c>
      <c r="O956" s="129" t="str">
        <f>IF(E956&lt;&gt;"", _xlfn.XLOOKUP(E956, DATABASE_FG!C:C, DATABASE_FG!F:F), " ")</f>
        <v>shaft</v>
      </c>
      <c r="P956" s="129">
        <f>IFERROR(INDEX(DATABASE_FG!$G$5:$G$367, MATCH(E956, DATABASE_FG!$C$5:$C$367, 0)), "Not Found")</f>
        <v>50</v>
      </c>
      <c r="Q956" s="36"/>
      <c r="R956" s="125" t="s">
        <v>680</v>
      </c>
      <c r="S956" s="123">
        <f>IFERROR(INDEX(DATABASE_FG!$L$5:$L$367, MATCH(E956, DATABASE_FG!$C$5:$C$367, 0)), " ")</f>
        <v>56</v>
      </c>
      <c r="T956" s="36" t="s">
        <v>679</v>
      </c>
      <c r="U956" s="36"/>
      <c r="V956" s="36"/>
      <c r="W956" s="129"/>
      <c r="X956" s="36"/>
      <c r="Y956" s="36"/>
      <c r="Z956" s="36"/>
      <c r="AA956" s="125" t="s">
        <v>121</v>
      </c>
      <c r="AB956" s="173">
        <v>45667</v>
      </c>
      <c r="AC956" s="119">
        <v>202502509</v>
      </c>
      <c r="AD956" s="36">
        <f t="shared" si="115"/>
        <v>37349251</v>
      </c>
      <c r="AE956" s="36" t="str">
        <f t="shared" si="116"/>
        <v>F-688038.02-0311.W.WE36</v>
      </c>
      <c r="AF956" s="36">
        <v>21</v>
      </c>
      <c r="AG956" s="120">
        <f t="shared" si="113"/>
        <v>124.32</v>
      </c>
      <c r="AH956" s="36"/>
      <c r="AI956" s="124"/>
      <c r="AJ956" s="122" t="s">
        <v>2025</v>
      </c>
      <c r="AK956" s="129" t="str">
        <f t="shared" ca="1" si="112"/>
        <v>Late</v>
      </c>
      <c r="AL956" s="268" t="str">
        <f t="shared" si="114"/>
        <v>August</v>
      </c>
      <c r="AM956" s="133">
        <f>YEAR(Table1[[#This Row],[ETA
As requested
dd.mm.yyyy]])</f>
        <v>2024</v>
      </c>
    </row>
    <row r="957" spans="1:40" hidden="1">
      <c r="A957" s="123" t="s">
        <v>82</v>
      </c>
      <c r="B957" s="36" t="s">
        <v>1170</v>
      </c>
      <c r="C957" s="117">
        <v>37349251</v>
      </c>
      <c r="D957" s="165">
        <v>45474</v>
      </c>
      <c r="E957" s="117" t="s">
        <v>1471</v>
      </c>
      <c r="F957" s="36" t="str">
        <f>IFERROR(VLOOKUP(Table1[[#This Row],[Part Number]],DATABASE_FG!$C$6:D10946,2,FALSE)," ")</f>
        <v>shaft</v>
      </c>
      <c r="G957" s="117">
        <f>IFERROR(_xlfn.XLOOKUP(Table1[[#This Row],[Part Number]],Table3[Part number],Table3[Drawing
 Revision]),"")</f>
        <v>0</v>
      </c>
      <c r="H957" s="118" cm="1">
        <f t="array" ref="H957">IFERROR(INDEX(PDB!$C:$AT,MATCH(E957,PDB!$B:$B,0),MATCH(YEAR(K957),0+PDB!$C$1:$AT$1,0)),"")</f>
        <v>5.92</v>
      </c>
      <c r="I957" s="36">
        <f>246-48-40-39-21</f>
        <v>98</v>
      </c>
      <c r="J957" s="125">
        <f>IFERROR(Table1[[#This Row],[Quantity]]*Table1[[#This Row],[Price/Unit
EUR]]," ")</f>
        <v>580.16</v>
      </c>
      <c r="K957" s="126">
        <v>45520</v>
      </c>
      <c r="L957" s="36">
        <f>WEEKNUM(Table1[[#This Row],[ETA
As requested
dd.mm.yyyy]])</f>
        <v>33</v>
      </c>
      <c r="M957" s="36">
        <f>YEAR(Table1[[#This Row],[ETA
As requested
dd.mm.yyyy]])</f>
        <v>2024</v>
      </c>
      <c r="N957" s="36">
        <f>IFERROR(INDEX(DATABASE_FG!$H$5:$H$367, MATCH(E957, DATABASE_FG!$C$5:$C$367, 0)), " ")</f>
        <v>0</v>
      </c>
      <c r="O957" s="129" t="str">
        <f>IF(E957&lt;&gt;"", _xlfn.XLOOKUP(E957, DATABASE_FG!C:C, DATABASE_FG!F:F), " ")</f>
        <v>shaft</v>
      </c>
      <c r="P957" s="129">
        <f>IFERROR(INDEX(DATABASE_FG!$G$5:$G$367, MATCH(E957, DATABASE_FG!$C$5:$C$367, 0)), "Not Found")</f>
        <v>50</v>
      </c>
      <c r="Q957" s="36"/>
      <c r="R957" s="125" t="s">
        <v>680</v>
      </c>
      <c r="S957" s="123">
        <f>IFERROR(INDEX(DATABASE_FG!$L$5:$L$367, MATCH(E957, DATABASE_FG!$C$5:$C$367, 0)), " ")</f>
        <v>56</v>
      </c>
      <c r="T957" s="36" t="s">
        <v>679</v>
      </c>
      <c r="U957" s="36"/>
      <c r="V957" s="36"/>
      <c r="W957" s="129"/>
      <c r="X957" s="36"/>
      <c r="Y957" s="36" t="s">
        <v>677</v>
      </c>
      <c r="Z957" s="36"/>
      <c r="AA957" s="125" t="s">
        <v>121</v>
      </c>
      <c r="AB957" s="173">
        <v>45728</v>
      </c>
      <c r="AC957" s="119">
        <v>25365</v>
      </c>
      <c r="AD957" s="36">
        <f t="shared" si="115"/>
        <v>37349251</v>
      </c>
      <c r="AE957" s="36" t="str">
        <f t="shared" si="116"/>
        <v>F-688038.02-0311.W.WE36</v>
      </c>
      <c r="AF957" s="36">
        <v>98</v>
      </c>
      <c r="AG957" s="120">
        <f t="shared" si="113"/>
        <v>580.16</v>
      </c>
      <c r="AH957" s="36"/>
      <c r="AI957" s="124"/>
      <c r="AJ957" s="122" t="s">
        <v>2059</v>
      </c>
      <c r="AK957" s="129" t="str">
        <f t="shared" ca="1" si="112"/>
        <v>Late</v>
      </c>
      <c r="AL957" s="268" t="str">
        <f t="shared" si="114"/>
        <v>August</v>
      </c>
      <c r="AM957" s="133">
        <f>YEAR(Table1[[#This Row],[ETA
As requested
dd.mm.yyyy]])</f>
        <v>2024</v>
      </c>
    </row>
    <row r="958" spans="1:40" hidden="1">
      <c r="A958" s="123" t="s">
        <v>82</v>
      </c>
      <c r="B958" s="36" t="s">
        <v>1170</v>
      </c>
      <c r="C958" s="117">
        <v>37357865</v>
      </c>
      <c r="D958" s="165">
        <v>45502</v>
      </c>
      <c r="E958" s="117" t="s">
        <v>486</v>
      </c>
      <c r="F958" s="36">
        <f>IFERROR(VLOOKUP(Table1[[#This Row],[Part Number]],DATABASE_FG!$C$6:D10947,2,FALSE)," ")</f>
        <v>0</v>
      </c>
      <c r="G958" s="117">
        <f>IFERROR(_xlfn.XLOOKUP(Table1[[#This Row],[Part Number]],Table3[Part number],Table3[Drawing
 Revision]),"")</f>
        <v>0</v>
      </c>
      <c r="H958" s="118" cm="1">
        <f t="array" ref="H958">IFERROR(INDEX(PDB!$C:$AT,MATCH(E958,PDB!$B:$B,0),MATCH(YEAR(K958),0+PDB!$C$1:$AT$1,0)),"")</f>
        <v>7.36</v>
      </c>
      <c r="I958" s="36">
        <v>111</v>
      </c>
      <c r="J958" s="125">
        <f>IFERROR(Table1[[#This Row],[Quantity]]*Table1[[#This Row],[Price/Unit
EUR]]," ")</f>
        <v>816.96</v>
      </c>
      <c r="K958" s="173">
        <v>45473</v>
      </c>
      <c r="L958" s="36">
        <f>WEEKNUM(Table1[[#This Row],[ETA
As requested
dd.mm.yyyy]])</f>
        <v>27</v>
      </c>
      <c r="M958" s="36">
        <f>YEAR(Table1[[#This Row],[ETA
As requested
dd.mm.yyyy]])</f>
        <v>2024</v>
      </c>
      <c r="N958" s="36">
        <f>IFERROR(INDEX(DATABASE_FG!$H$5:$H$367, MATCH(E958, DATABASE_FG!$C$5:$C$367, 0)), " ")</f>
        <v>0</v>
      </c>
      <c r="O958" s="129"/>
      <c r="P958" s="129">
        <f>IFERROR(INDEX(DATABASE_FG!$G$5:$G$367, MATCH(E958, DATABASE_FG!$C$5:$C$367, 0)), "Not Found")</f>
        <v>0</v>
      </c>
      <c r="Q958" s="36"/>
      <c r="R958" s="125"/>
      <c r="S958" s="123">
        <f>Table1[[#This Row],[Quantity]]/48</f>
        <v>2.3125</v>
      </c>
      <c r="T958" s="36"/>
      <c r="U958" s="36"/>
      <c r="V958" s="36"/>
      <c r="W958" s="129"/>
      <c r="X958" s="36"/>
      <c r="Y958" s="36"/>
      <c r="Z958" s="36"/>
      <c r="AA958" s="125" t="s">
        <v>121</v>
      </c>
      <c r="AB958" s="173">
        <v>45838</v>
      </c>
      <c r="AC958" s="119">
        <v>260025</v>
      </c>
      <c r="AD958" s="36">
        <f t="shared" si="115"/>
        <v>37357865</v>
      </c>
      <c r="AE958" s="36" t="str">
        <f t="shared" si="116"/>
        <v>F-688038.02-0411.WH.WE36</v>
      </c>
      <c r="AF958" s="36">
        <v>111</v>
      </c>
      <c r="AG958" s="120">
        <f t="shared" si="113"/>
        <v>816.96</v>
      </c>
      <c r="AH958" s="36"/>
      <c r="AI958" s="124" t="s">
        <v>1744</v>
      </c>
      <c r="AJ958" s="122" t="s">
        <v>1745</v>
      </c>
      <c r="AK958" s="129" t="str">
        <f t="shared" ca="1" si="112"/>
        <v>Late</v>
      </c>
      <c r="AL958" s="268" t="str">
        <f t="shared" si="114"/>
        <v>June</v>
      </c>
      <c r="AM958" s="133">
        <f>YEAR(Table1[[#This Row],[ETA
As requested
dd.mm.yyyy]])</f>
        <v>2024</v>
      </c>
      <c r="AN958" s="191"/>
    </row>
    <row r="959" spans="1:40" hidden="1">
      <c r="A959" s="123" t="s">
        <v>82</v>
      </c>
      <c r="B959" s="36" t="s">
        <v>1170</v>
      </c>
      <c r="C959" s="117">
        <v>37357865</v>
      </c>
      <c r="D959" s="165">
        <v>45502</v>
      </c>
      <c r="E959" s="117" t="s">
        <v>486</v>
      </c>
      <c r="F959" s="36">
        <f>IFERROR(VLOOKUP(Table1[[#This Row],[Part Number]],DATABASE_FG!$C$6:D10948,2,FALSE)," ")</f>
        <v>0</v>
      </c>
      <c r="G959" s="117">
        <f>IFERROR(_xlfn.XLOOKUP(Table1[[#This Row],[Part Number]],Table3[Part number],Table3[Drawing
 Revision]),"")</f>
        <v>0</v>
      </c>
      <c r="H959" s="118" cm="1">
        <f t="array" ref="H959">IFERROR(INDEX(PDB!$C:$AT,MATCH(E959,PDB!$B:$B,0),MATCH(YEAR(K959),0+PDB!$C$1:$AT$1,0)),"")</f>
        <v>7.36</v>
      </c>
      <c r="I959" s="36">
        <v>61</v>
      </c>
      <c r="J959" s="125">
        <f>IFERROR(Table1[[#This Row],[Quantity]]*Table1[[#This Row],[Price/Unit
EUR]]," ")</f>
        <v>448.96000000000004</v>
      </c>
      <c r="K959" s="126">
        <v>45534</v>
      </c>
      <c r="L959" s="36">
        <f>WEEKNUM(Table1[[#This Row],[ETA
As requested
dd.mm.yyyy]])</f>
        <v>35</v>
      </c>
      <c r="M959" s="36">
        <f>YEAR(Table1[[#This Row],[ETA
As requested
dd.mm.yyyy]])</f>
        <v>2024</v>
      </c>
      <c r="N959" s="36">
        <f>IFERROR(INDEX(DATABASE_FG!$H$5:$H$367, MATCH(E959, DATABASE_FG!$C$5:$C$367, 0)), " ")</f>
        <v>0</v>
      </c>
      <c r="O959" s="129" t="str">
        <f>IF(E959&lt;&gt;"", _xlfn.XLOOKUP(E959, DATABASE_FG!C:C, DATABASE_FG!F:F), " ")</f>
        <v>shaft</v>
      </c>
      <c r="P959" s="129">
        <f>IFERROR(INDEX(DATABASE_FG!$G$5:$G$367, MATCH(E959, DATABASE_FG!$C$5:$C$367, 0)), "Not Found")</f>
        <v>0</v>
      </c>
      <c r="Q959" s="36"/>
      <c r="R959" s="125"/>
      <c r="S959" s="123">
        <f>Table1[[#This Row],[Quantity]]/48</f>
        <v>1.2708333333333333</v>
      </c>
      <c r="T959" s="36" t="s">
        <v>677</v>
      </c>
      <c r="U959" s="36"/>
      <c r="V959" s="36"/>
      <c r="W959" s="129"/>
      <c r="X959" s="36"/>
      <c r="Y959" s="36"/>
      <c r="Z959" s="36"/>
      <c r="AA959" s="125" t="s">
        <v>121</v>
      </c>
      <c r="AB959" s="173">
        <v>45597</v>
      </c>
      <c r="AC959" s="119">
        <v>202401495</v>
      </c>
      <c r="AD959" s="36">
        <f t="shared" si="115"/>
        <v>37357865</v>
      </c>
      <c r="AE959" s="36" t="str">
        <f t="shared" si="116"/>
        <v>F-688038.02-0411.WH.WE36</v>
      </c>
      <c r="AF959" s="36">
        <v>61</v>
      </c>
      <c r="AG959" s="120">
        <f t="shared" si="113"/>
        <v>448.96000000000004</v>
      </c>
      <c r="AH959" s="36"/>
      <c r="AI959" s="124" t="s">
        <v>2145</v>
      </c>
      <c r="AJ959" s="122" t="s">
        <v>2146</v>
      </c>
      <c r="AK959" s="129" t="str">
        <f t="shared" ca="1" si="112"/>
        <v>Late</v>
      </c>
      <c r="AL959" s="268" t="str">
        <f t="shared" si="114"/>
        <v>August</v>
      </c>
      <c r="AM959" s="133">
        <f>YEAR(Table1[[#This Row],[ETA
As requested
dd.mm.yyyy]])</f>
        <v>2024</v>
      </c>
    </row>
    <row r="960" spans="1:40" hidden="1">
      <c r="A960" s="123" t="s">
        <v>82</v>
      </c>
      <c r="B960" s="36" t="s">
        <v>1170</v>
      </c>
      <c r="C960" s="117">
        <v>37357865</v>
      </c>
      <c r="D960" s="165">
        <v>45502</v>
      </c>
      <c r="E960" s="117" t="s">
        <v>486</v>
      </c>
      <c r="F960" s="36">
        <f>IFERROR(VLOOKUP(Table1[[#This Row],[Part Number]],DATABASE_FG!$C$6:D10949,2,FALSE)," ")</f>
        <v>0</v>
      </c>
      <c r="G960" s="117">
        <f>IFERROR(_xlfn.XLOOKUP(Table1[[#This Row],[Part Number]],Table3[Part number],Table3[Drawing
 Revision]),"")</f>
        <v>0</v>
      </c>
      <c r="H960" s="118" cm="1">
        <f t="array" ref="H960">IFERROR(INDEX(PDB!$C:$AT,MATCH(E960,PDB!$B:$B,0),MATCH(YEAR(K960),0+PDB!$C$1:$AT$1,0)),"")</f>
        <v>7.36</v>
      </c>
      <c r="I960" s="36">
        <v>271</v>
      </c>
      <c r="J960" s="125">
        <f>IFERROR(Table1[[#This Row],[Quantity]]*Table1[[#This Row],[Price/Unit
EUR]]," ")</f>
        <v>1994.5600000000002</v>
      </c>
      <c r="K960" s="126">
        <v>45534</v>
      </c>
      <c r="L960" s="36">
        <f>WEEKNUM(Table1[[#This Row],[ETA
As requested
dd.mm.yyyy]])</f>
        <v>35</v>
      </c>
      <c r="M960" s="36">
        <f>YEAR(Table1[[#This Row],[ETA
As requested
dd.mm.yyyy]])</f>
        <v>2024</v>
      </c>
      <c r="N960" s="36">
        <f>IFERROR(INDEX(DATABASE_FG!$H$5:$H$367, MATCH(E960, DATABASE_FG!$C$5:$C$367, 0)), " ")</f>
        <v>0</v>
      </c>
      <c r="O960" s="129" t="str">
        <f>IF(E960&lt;&gt;"", _xlfn.XLOOKUP(E960, DATABASE_FG!C:C, DATABASE_FG!F:F), " ")</f>
        <v>shaft</v>
      </c>
      <c r="P960" s="129">
        <f>IFERROR(INDEX(DATABASE_FG!$G$5:$G$367, MATCH(E960, DATABASE_FG!$C$5:$C$367, 0)), "Not Found")</f>
        <v>0</v>
      </c>
      <c r="Q960" s="36"/>
      <c r="R960" s="125"/>
      <c r="S960" s="123">
        <f>Table1[[#This Row],[Quantity]]/48</f>
        <v>5.645833333333333</v>
      </c>
      <c r="T960" s="36" t="s">
        <v>677</v>
      </c>
      <c r="U960" s="36"/>
      <c r="V960" s="36"/>
      <c r="W960" s="129"/>
      <c r="X960" s="36"/>
      <c r="Y960" s="36"/>
      <c r="Z960" s="36"/>
      <c r="AA960" s="125" t="s">
        <v>121</v>
      </c>
      <c r="AB960" s="173">
        <v>45604</v>
      </c>
      <c r="AC960" s="119">
        <v>202401496</v>
      </c>
      <c r="AD960" s="36">
        <f t="shared" si="115"/>
        <v>37357865</v>
      </c>
      <c r="AE960" s="36" t="str">
        <f t="shared" si="116"/>
        <v>F-688038.02-0411.WH.WE36</v>
      </c>
      <c r="AF960" s="36">
        <v>271</v>
      </c>
      <c r="AG960" s="120">
        <f t="shared" si="113"/>
        <v>1994.5600000000002</v>
      </c>
      <c r="AH960" s="36"/>
      <c r="AI960" s="124" t="s">
        <v>2148</v>
      </c>
      <c r="AJ960" s="122" t="s">
        <v>2149</v>
      </c>
      <c r="AK960" s="129" t="str">
        <f t="shared" ca="1" si="112"/>
        <v>Late</v>
      </c>
      <c r="AL960" s="268" t="str">
        <f t="shared" si="114"/>
        <v>August</v>
      </c>
      <c r="AM960" s="133">
        <f>YEAR(Table1[[#This Row],[ETA
As requested
dd.mm.yyyy]])</f>
        <v>2024</v>
      </c>
    </row>
    <row r="961" spans="1:39" hidden="1">
      <c r="A961" s="123" t="s">
        <v>82</v>
      </c>
      <c r="B961" s="36" t="s">
        <v>1170</v>
      </c>
      <c r="C961" s="117">
        <v>37357865</v>
      </c>
      <c r="D961" s="165">
        <v>45502</v>
      </c>
      <c r="E961" s="117" t="s">
        <v>486</v>
      </c>
      <c r="F961" s="36">
        <f>IFERROR(VLOOKUP(Table1[[#This Row],[Part Number]],DATABASE_FG!$C$6:D10950,2,FALSE)," ")</f>
        <v>0</v>
      </c>
      <c r="G961" s="117">
        <f>IFERROR(_xlfn.XLOOKUP(Table1[[#This Row],[Part Number]],Table3[Part number],Table3[Drawing
 Revision]),"")</f>
        <v>0</v>
      </c>
      <c r="H961" s="118" cm="1">
        <f t="array" ref="H961">IFERROR(INDEX(PDB!$C:$AT,MATCH(E961,PDB!$B:$B,0),MATCH(YEAR(K961),0+PDB!$C$1:$AT$1,0)),"")</f>
        <v>7.36</v>
      </c>
      <c r="I961" s="36">
        <v>5</v>
      </c>
      <c r="J961" s="125">
        <f>IFERROR(Table1[[#This Row],[Quantity]]*Table1[[#This Row],[Price/Unit
EUR]]," ")</f>
        <v>36.800000000000004</v>
      </c>
      <c r="K961" s="126">
        <v>45534</v>
      </c>
      <c r="L961" s="36">
        <f>WEEKNUM(Table1[[#This Row],[ETA
As requested
dd.mm.yyyy]])</f>
        <v>35</v>
      </c>
      <c r="M961" s="36">
        <f>YEAR(Table1[[#This Row],[ETA
As requested
dd.mm.yyyy]])</f>
        <v>2024</v>
      </c>
      <c r="N961" s="36">
        <f>IFERROR(INDEX(DATABASE_FG!$H$5:$H$367, MATCH(E961, DATABASE_FG!$C$5:$C$367, 0)), " ")</f>
        <v>0</v>
      </c>
      <c r="O961" s="129" t="str">
        <f>IF(E961&lt;&gt;"", _xlfn.XLOOKUP(E961, DATABASE_FG!C:C, DATABASE_FG!F:F), " ")</f>
        <v>shaft</v>
      </c>
      <c r="P961" s="129">
        <f>IFERROR(INDEX(DATABASE_FG!$G$5:$G$367, MATCH(E961, DATABASE_FG!$C$5:$C$367, 0)), "Not Found")</f>
        <v>0</v>
      </c>
      <c r="Q961" s="36"/>
      <c r="R961" s="125"/>
      <c r="S961" s="123">
        <f>Table1[[#This Row],[Quantity]]/48</f>
        <v>0.10416666666666667</v>
      </c>
      <c r="T961" s="36" t="s">
        <v>677</v>
      </c>
      <c r="U961" s="36"/>
      <c r="V961" s="36"/>
      <c r="W961" s="129"/>
      <c r="X961" s="36"/>
      <c r="Y961" s="36"/>
      <c r="Z961" s="36"/>
      <c r="AA961" s="125" t="s">
        <v>121</v>
      </c>
      <c r="AB961" s="173">
        <v>45604</v>
      </c>
      <c r="AC961" s="119">
        <v>202401497</v>
      </c>
      <c r="AD961" s="36">
        <f t="shared" si="115"/>
        <v>37357865</v>
      </c>
      <c r="AE961" s="36" t="str">
        <f t="shared" si="116"/>
        <v>F-688038.02-0411.WH.WE36</v>
      </c>
      <c r="AF961" s="36">
        <v>5</v>
      </c>
      <c r="AG961" s="120">
        <f t="shared" si="113"/>
        <v>36.800000000000004</v>
      </c>
      <c r="AH961" s="36"/>
      <c r="AI961" s="124" t="s">
        <v>2150</v>
      </c>
      <c r="AJ961" s="122" t="s">
        <v>2151</v>
      </c>
      <c r="AK961" s="129" t="str">
        <f t="shared" ca="1" si="112"/>
        <v>Late</v>
      </c>
      <c r="AL961" s="268" t="str">
        <f t="shared" si="114"/>
        <v>August</v>
      </c>
      <c r="AM961" s="133">
        <f>YEAR(Table1[[#This Row],[ETA
As requested
dd.mm.yyyy]])</f>
        <v>2024</v>
      </c>
    </row>
    <row r="962" spans="1:39" hidden="1">
      <c r="A962" s="123" t="s">
        <v>82</v>
      </c>
      <c r="B962" s="36" t="s">
        <v>1170</v>
      </c>
      <c r="C962" s="117">
        <v>37357865</v>
      </c>
      <c r="D962" s="165">
        <v>45502</v>
      </c>
      <c r="E962" s="117" t="s">
        <v>486</v>
      </c>
      <c r="F962" s="36">
        <f>IFERROR(VLOOKUP(Table1[[#This Row],[Part Number]],DATABASE_FG!$C$6:D10951,2,FALSE)," ")</f>
        <v>0</v>
      </c>
      <c r="G962" s="117">
        <f>IFERROR(_xlfn.XLOOKUP(Table1[[#This Row],[Part Number]],Table3[Part number],Table3[Drawing
 Revision]),"")</f>
        <v>0</v>
      </c>
      <c r="H962" s="118" cm="1">
        <f t="array" ref="H962">IFERROR(INDEX(PDB!$C:$AT,MATCH(E962,PDB!$B:$B,0),MATCH(YEAR(K962),0+PDB!$C$1:$AT$1,0)),"")</f>
        <v>7.36</v>
      </c>
      <c r="I962" s="36">
        <v>753</v>
      </c>
      <c r="J962" s="125">
        <f>IFERROR(Table1[[#This Row],[Quantity]]*Table1[[#This Row],[Price/Unit
EUR]]," ")</f>
        <v>5542.08</v>
      </c>
      <c r="K962" s="126">
        <v>45534</v>
      </c>
      <c r="L962" s="36">
        <f>WEEKNUM(Table1[[#This Row],[ETA
As requested
dd.mm.yyyy]])</f>
        <v>35</v>
      </c>
      <c r="M962" s="36">
        <f>YEAR(Table1[[#This Row],[ETA
As requested
dd.mm.yyyy]])</f>
        <v>2024</v>
      </c>
      <c r="N962" s="36">
        <f>IFERROR(INDEX(DATABASE_FG!$H$5:$H$367, MATCH(E962, DATABASE_FG!$C$5:$C$367, 0)), " ")</f>
        <v>0</v>
      </c>
      <c r="O962" s="129" t="str">
        <f>IF(E962&lt;&gt;"", _xlfn.XLOOKUP(E962, DATABASE_FG!C:C, DATABASE_FG!F:F), " ")</f>
        <v>shaft</v>
      </c>
      <c r="P962" s="129">
        <f>IFERROR(INDEX(DATABASE_FG!$G$5:$G$367, MATCH(E962, DATABASE_FG!$C$5:$C$367, 0)), "Not Found")</f>
        <v>0</v>
      </c>
      <c r="Q962" s="36"/>
      <c r="R962" s="125"/>
      <c r="S962" s="123">
        <f>Table1[[#This Row],[Quantity]]/48</f>
        <v>15.6875</v>
      </c>
      <c r="T962" s="36" t="s">
        <v>677</v>
      </c>
      <c r="U962" s="36"/>
      <c r="V962" s="36"/>
      <c r="W962" s="129"/>
      <c r="X962" s="36"/>
      <c r="Y962" s="36"/>
      <c r="Z962" s="36"/>
      <c r="AA962" s="125" t="s">
        <v>121</v>
      </c>
      <c r="AB962" s="173">
        <v>45617</v>
      </c>
      <c r="AC962" s="119">
        <v>202401498</v>
      </c>
      <c r="AD962" s="36">
        <f t="shared" si="115"/>
        <v>37357865</v>
      </c>
      <c r="AE962" s="36" t="str">
        <f t="shared" si="116"/>
        <v>F-688038.02-0411.WH.WE36</v>
      </c>
      <c r="AF962" s="36">
        <v>753</v>
      </c>
      <c r="AG962" s="120">
        <f t="shared" si="113"/>
        <v>5542.08</v>
      </c>
      <c r="AH962" s="36"/>
      <c r="AI962" s="124" t="s">
        <v>2156</v>
      </c>
      <c r="AJ962" s="122" t="s">
        <v>2157</v>
      </c>
      <c r="AK962" s="129" t="str">
        <f t="shared" ca="1" si="112"/>
        <v>Late</v>
      </c>
      <c r="AL962" s="268" t="str">
        <f t="shared" si="114"/>
        <v>August</v>
      </c>
      <c r="AM962" s="133">
        <f>YEAR(Table1[[#This Row],[ETA
As requested
dd.mm.yyyy]])</f>
        <v>2024</v>
      </c>
    </row>
    <row r="963" spans="1:39" hidden="1">
      <c r="A963" s="123" t="s">
        <v>82</v>
      </c>
      <c r="B963" s="36" t="s">
        <v>1170</v>
      </c>
      <c r="C963" s="117">
        <v>37357865</v>
      </c>
      <c r="D963" s="165">
        <v>45502</v>
      </c>
      <c r="E963" s="117" t="s">
        <v>486</v>
      </c>
      <c r="F963" s="36">
        <f>IFERROR(VLOOKUP(Table1[[#This Row],[Part Number]],DATABASE_FG!$C$6:D10952,2,FALSE)," ")</f>
        <v>0</v>
      </c>
      <c r="G963" s="117">
        <f>IFERROR(_xlfn.XLOOKUP(Table1[[#This Row],[Part Number]],Table3[Part number],Table3[Drawing
 Revision]),"")</f>
        <v>0</v>
      </c>
      <c r="H963" s="118" cm="1">
        <f t="array" ref="H963">IFERROR(INDEX(PDB!$C:$AT,MATCH(E963,PDB!$B:$B,0),MATCH(YEAR(K963),0+PDB!$C$1:$AT$1,0)),"")</f>
        <v>7.36</v>
      </c>
      <c r="I963" s="36">
        <v>207</v>
      </c>
      <c r="J963" s="125">
        <f>IFERROR(Table1[[#This Row],[Quantity]]*Table1[[#This Row],[Price/Unit
EUR]]," ")</f>
        <v>1523.52</v>
      </c>
      <c r="K963" s="126">
        <v>45534</v>
      </c>
      <c r="L963" s="36">
        <f>WEEKNUM(Table1[[#This Row],[ETA
As requested
dd.mm.yyyy]])</f>
        <v>35</v>
      </c>
      <c r="M963" s="36">
        <f>YEAR(Table1[[#This Row],[ETA
As requested
dd.mm.yyyy]])</f>
        <v>2024</v>
      </c>
      <c r="N963" s="36">
        <f>IFERROR(INDEX(DATABASE_FG!$H$5:$H$367, MATCH(E963, DATABASE_FG!$C$5:$C$367, 0)), " ")</f>
        <v>0</v>
      </c>
      <c r="O963" s="129" t="str">
        <f>IF(E963&lt;&gt;"", _xlfn.XLOOKUP(E963, DATABASE_FG!C:C, DATABASE_FG!F:F), " ")</f>
        <v>shaft</v>
      </c>
      <c r="P963" s="129">
        <f>IFERROR(INDEX(DATABASE_FG!$G$5:$G$367, MATCH(E963, DATABASE_FG!$C$5:$C$367, 0)), "Not Found")</f>
        <v>0</v>
      </c>
      <c r="Q963" s="36"/>
      <c r="R963" s="125"/>
      <c r="S963" s="123">
        <f>Table1[[#This Row],[Quantity]]/48</f>
        <v>4.3125</v>
      </c>
      <c r="T963" s="36" t="s">
        <v>677</v>
      </c>
      <c r="U963" s="36"/>
      <c r="V963" s="36"/>
      <c r="W963" s="129"/>
      <c r="X963" s="36"/>
      <c r="Y963" s="36"/>
      <c r="Z963" s="36"/>
      <c r="AA963" s="125" t="s">
        <v>121</v>
      </c>
      <c r="AB963" s="173">
        <v>45622</v>
      </c>
      <c r="AC963" s="119">
        <v>202401501</v>
      </c>
      <c r="AD963" s="36">
        <f t="shared" si="115"/>
        <v>37357865</v>
      </c>
      <c r="AE963" s="36" t="str">
        <f t="shared" si="116"/>
        <v>F-688038.02-0411.WH.WE36</v>
      </c>
      <c r="AF963" s="36">
        <v>207</v>
      </c>
      <c r="AG963" s="120">
        <f t="shared" si="113"/>
        <v>1523.52</v>
      </c>
      <c r="AH963" s="36"/>
      <c r="AI963" s="124" t="s">
        <v>2162</v>
      </c>
      <c r="AJ963" s="122" t="s">
        <v>2163</v>
      </c>
      <c r="AK963" s="129" t="str">
        <f t="shared" ca="1" si="112"/>
        <v>Late</v>
      </c>
      <c r="AL963" s="268" t="str">
        <f t="shared" si="114"/>
        <v>August</v>
      </c>
      <c r="AM963" s="133">
        <f>YEAR(Table1[[#This Row],[ETA
As requested
dd.mm.yyyy]])</f>
        <v>2024</v>
      </c>
    </row>
    <row r="964" spans="1:39" hidden="1">
      <c r="A964" s="123" t="s">
        <v>82</v>
      </c>
      <c r="B964" s="36" t="s">
        <v>1170</v>
      </c>
      <c r="C964" s="117">
        <v>37357865</v>
      </c>
      <c r="D964" s="165">
        <v>45502</v>
      </c>
      <c r="E964" s="117" t="s">
        <v>486</v>
      </c>
      <c r="F964" s="36">
        <f>IFERROR(VLOOKUP(Table1[[#This Row],[Part Number]],DATABASE_FG!$C$6:D10953,2,FALSE)," ")</f>
        <v>0</v>
      </c>
      <c r="G964" s="117">
        <f>IFERROR(_xlfn.XLOOKUP(Table1[[#This Row],[Part Number]],Table3[Part number],Table3[Drawing
 Revision]),"")</f>
        <v>0</v>
      </c>
      <c r="H964" s="118" cm="1">
        <f t="array" ref="H964">IFERROR(INDEX(PDB!$C:$AT,MATCH(E964,PDB!$B:$B,0),MATCH(YEAR(K964),0+PDB!$C$1:$AT$1,0)),"")</f>
        <v>7.36</v>
      </c>
      <c r="I964" s="36">
        <v>150</v>
      </c>
      <c r="J964" s="125">
        <f>IFERROR(Table1[[#This Row],[Quantity]]*Table1[[#This Row],[Price/Unit
EUR]]," ")</f>
        <v>1104</v>
      </c>
      <c r="K964" s="126">
        <v>45534</v>
      </c>
      <c r="L964" s="36">
        <f>WEEKNUM(Table1[[#This Row],[ETA
As requested
dd.mm.yyyy]])</f>
        <v>35</v>
      </c>
      <c r="M964" s="36">
        <f>YEAR(Table1[[#This Row],[ETA
As requested
dd.mm.yyyy]])</f>
        <v>2024</v>
      </c>
      <c r="N964" s="36">
        <f>IFERROR(INDEX(DATABASE_FG!$H$5:$H$367, MATCH(E964, DATABASE_FG!$C$5:$C$367, 0)), " ")</f>
        <v>0</v>
      </c>
      <c r="O964" s="129" t="str">
        <f>IF(E964&lt;&gt;"", _xlfn.XLOOKUP(E964, DATABASE_FG!C:C, DATABASE_FG!F:F), " ")</f>
        <v>shaft</v>
      </c>
      <c r="P964" s="129">
        <f>IFERROR(INDEX(DATABASE_FG!$G$5:$G$367, MATCH(E964, DATABASE_FG!$C$5:$C$367, 0)), "Not Found")</f>
        <v>0</v>
      </c>
      <c r="Q964" s="36"/>
      <c r="R964" s="125"/>
      <c r="S964" s="123">
        <f>Table1[[#This Row],[Quantity]]/48</f>
        <v>3.125</v>
      </c>
      <c r="T964" s="36" t="s">
        <v>677</v>
      </c>
      <c r="U964" s="36"/>
      <c r="V964" s="36"/>
      <c r="W964" s="129"/>
      <c r="X964" s="36"/>
      <c r="Y964" s="36"/>
      <c r="Z964" s="36"/>
      <c r="AA964" s="125" t="s">
        <v>121</v>
      </c>
      <c r="AB964" s="173">
        <v>45629</v>
      </c>
      <c r="AC964" s="119">
        <v>202401502</v>
      </c>
      <c r="AD964" s="36">
        <f t="shared" si="115"/>
        <v>37357865</v>
      </c>
      <c r="AE964" s="36" t="str">
        <f t="shared" si="116"/>
        <v>F-688038.02-0411.WH.WE36</v>
      </c>
      <c r="AF964" s="36">
        <v>150</v>
      </c>
      <c r="AG964" s="120">
        <f t="shared" si="113"/>
        <v>1104</v>
      </c>
      <c r="AH964" s="36"/>
      <c r="AI964" s="124" t="s">
        <v>2168</v>
      </c>
      <c r="AJ964" s="122" t="s">
        <v>2173</v>
      </c>
      <c r="AK964" s="129" t="str">
        <f t="shared" ca="1" si="112"/>
        <v>Late</v>
      </c>
      <c r="AL964" s="268" t="str">
        <f t="shared" si="114"/>
        <v>August</v>
      </c>
      <c r="AM964" s="133">
        <f>YEAR(Table1[[#This Row],[ETA
As requested
dd.mm.yyyy]])</f>
        <v>2024</v>
      </c>
    </row>
    <row r="965" spans="1:39" hidden="1">
      <c r="A965" s="123" t="s">
        <v>82</v>
      </c>
      <c r="B965" s="36" t="s">
        <v>1170</v>
      </c>
      <c r="C965" s="117">
        <v>37357865</v>
      </c>
      <c r="D965" s="165">
        <v>45502</v>
      </c>
      <c r="E965" s="117" t="s">
        <v>486</v>
      </c>
      <c r="F965" s="36">
        <f>IFERROR(VLOOKUP(Table1[[#This Row],[Part Number]],DATABASE_FG!$C$6:D10954,2,FALSE)," ")</f>
        <v>0</v>
      </c>
      <c r="G965" s="117">
        <f>IFERROR(_xlfn.XLOOKUP(Table1[[#This Row],[Part Number]],Table3[Part number],Table3[Drawing
 Revision]),"")</f>
        <v>0</v>
      </c>
      <c r="H965" s="118" cm="1">
        <f t="array" ref="H965">IFERROR(INDEX(PDB!$C:$AT,MATCH(E965,PDB!$B:$B,0),MATCH(YEAR(K965),0+PDB!$C$1:$AT$1,0)),"")</f>
        <v>7.36</v>
      </c>
      <c r="I965" s="36">
        <v>571</v>
      </c>
      <c r="J965" s="125">
        <f>IFERROR(Table1[[#This Row],[Quantity]]*Table1[[#This Row],[Price/Unit
EUR]]," ")</f>
        <v>4202.5600000000004</v>
      </c>
      <c r="K965" s="126">
        <v>45534</v>
      </c>
      <c r="L965" s="36">
        <f>WEEKNUM(Table1[[#This Row],[ETA
As requested
dd.mm.yyyy]])</f>
        <v>35</v>
      </c>
      <c r="M965" s="36">
        <f>YEAR(Table1[[#This Row],[ETA
As requested
dd.mm.yyyy]])</f>
        <v>2024</v>
      </c>
      <c r="N965" s="36">
        <f>IFERROR(INDEX(DATABASE_FG!$H$5:$H$367, MATCH(E965, DATABASE_FG!$C$5:$C$367, 0)), " ")</f>
        <v>0</v>
      </c>
      <c r="O965" s="129" t="str">
        <f>IF(E965&lt;&gt;"", _xlfn.XLOOKUP(E965, DATABASE_FG!C:C, DATABASE_FG!F:F), " ")</f>
        <v>shaft</v>
      </c>
      <c r="P965" s="129">
        <f>IFERROR(INDEX(DATABASE_FG!$G$5:$G$367, MATCH(E965, DATABASE_FG!$C$5:$C$367, 0)), "Not Found")</f>
        <v>0</v>
      </c>
      <c r="Q965" s="36"/>
      <c r="R965" s="125"/>
      <c r="S965" s="123">
        <f>Table1[[#This Row],[Quantity]]/48</f>
        <v>11.895833333333334</v>
      </c>
      <c r="T965" s="36" t="s">
        <v>677</v>
      </c>
      <c r="U965" s="36"/>
      <c r="V965" s="36"/>
      <c r="W965" s="129"/>
      <c r="X965" s="36"/>
      <c r="Y965" s="36"/>
      <c r="Z965" s="36"/>
      <c r="AA965" s="125" t="s">
        <v>121</v>
      </c>
      <c r="AB965" s="173">
        <v>45640</v>
      </c>
      <c r="AC965" s="119">
        <v>202401542</v>
      </c>
      <c r="AD965" s="36">
        <f t="shared" si="115"/>
        <v>37357865</v>
      </c>
      <c r="AE965" s="36" t="str">
        <f t="shared" si="116"/>
        <v>F-688038.02-0411.WH.WE36</v>
      </c>
      <c r="AF965" s="36">
        <v>571</v>
      </c>
      <c r="AG965" s="120">
        <f t="shared" si="113"/>
        <v>4202.5600000000004</v>
      </c>
      <c r="AH965" s="36"/>
      <c r="AI965" s="124" t="s">
        <v>2182</v>
      </c>
      <c r="AJ965" s="122" t="s">
        <v>2183</v>
      </c>
      <c r="AK965" s="129" t="str">
        <f t="shared" ca="1" si="112"/>
        <v>Late</v>
      </c>
      <c r="AL965" s="268" t="str">
        <f t="shared" si="114"/>
        <v>August</v>
      </c>
      <c r="AM965" s="133">
        <f>YEAR(Table1[[#This Row],[ETA
As requested
dd.mm.yyyy]])</f>
        <v>2024</v>
      </c>
    </row>
    <row r="966" spans="1:39" hidden="1">
      <c r="A966" s="123" t="s">
        <v>82</v>
      </c>
      <c r="B966" s="36" t="s">
        <v>1170</v>
      </c>
      <c r="C966" s="117">
        <v>37357865</v>
      </c>
      <c r="D966" s="165">
        <v>45502</v>
      </c>
      <c r="E966" s="117" t="s">
        <v>486</v>
      </c>
      <c r="F966" s="36">
        <f>IFERROR(VLOOKUP(Table1[[#This Row],[Part Number]],DATABASE_FG!$C$6:D10955,2,FALSE)," ")</f>
        <v>0</v>
      </c>
      <c r="G966" s="117">
        <f>IFERROR(_xlfn.XLOOKUP(Table1[[#This Row],[Part Number]],Table3[Part number],Table3[Drawing
 Revision]),"")</f>
        <v>0</v>
      </c>
      <c r="H966" s="118" cm="1">
        <f t="array" ref="H966">IFERROR(INDEX(PDB!$C:$AT,MATCH(E966,PDB!$B:$B,0),MATCH(YEAR(K966),0+PDB!$C$1:$AT$1,0)),"")</f>
        <v>7.36</v>
      </c>
      <c r="I966" s="36">
        <v>338</v>
      </c>
      <c r="J966" s="125">
        <f>IFERROR(Table1[[#This Row],[Quantity]]*Table1[[#This Row],[Price/Unit
EUR]]," ")</f>
        <v>2487.6800000000003</v>
      </c>
      <c r="K966" s="126">
        <v>45534</v>
      </c>
      <c r="L966" s="36">
        <f>WEEKNUM(Table1[[#This Row],[ETA
As requested
dd.mm.yyyy]])</f>
        <v>35</v>
      </c>
      <c r="M966" s="36">
        <f>YEAR(Table1[[#This Row],[ETA
As requested
dd.mm.yyyy]])</f>
        <v>2024</v>
      </c>
      <c r="N966" s="36">
        <f>IFERROR(INDEX(DATABASE_FG!$H$5:$H$367, MATCH(E966, DATABASE_FG!$C$5:$C$367, 0)), " ")</f>
        <v>0</v>
      </c>
      <c r="O966" s="129" t="str">
        <f>IF(E966&lt;&gt;"", _xlfn.XLOOKUP(E966, DATABASE_FG!C:C, DATABASE_FG!F:F), " ")</f>
        <v>shaft</v>
      </c>
      <c r="P966" s="129">
        <f>IFERROR(INDEX(DATABASE_FG!$G$5:$G$367, MATCH(E966, DATABASE_FG!$C$5:$C$367, 0)), "Not Found")</f>
        <v>0</v>
      </c>
      <c r="Q966" s="36"/>
      <c r="R966" s="125"/>
      <c r="S966" s="123">
        <f>Table1[[#This Row],[Quantity]]/48</f>
        <v>7.041666666666667</v>
      </c>
      <c r="T966" s="36" t="s">
        <v>677</v>
      </c>
      <c r="U966" s="36"/>
      <c r="V966" s="36"/>
      <c r="W966" s="129"/>
      <c r="X966" s="36"/>
      <c r="Y966" s="36"/>
      <c r="Z966" s="36"/>
      <c r="AA966" s="125" t="s">
        <v>121</v>
      </c>
      <c r="AB966" s="173">
        <v>45640</v>
      </c>
      <c r="AC966" s="119">
        <v>202401542</v>
      </c>
      <c r="AD966" s="36">
        <f t="shared" si="115"/>
        <v>37357865</v>
      </c>
      <c r="AE966" s="36" t="str">
        <f t="shared" si="116"/>
        <v>F-688038.02-0411.WH.WE36</v>
      </c>
      <c r="AF966" s="36">
        <v>338</v>
      </c>
      <c r="AG966" s="120">
        <f t="shared" si="113"/>
        <v>2487.6800000000003</v>
      </c>
      <c r="AH966" s="36"/>
      <c r="AI966" s="124" t="s">
        <v>2182</v>
      </c>
      <c r="AJ966" s="122" t="s">
        <v>2183</v>
      </c>
      <c r="AK966" s="129" t="str">
        <f t="shared" ca="1" si="112"/>
        <v>Late</v>
      </c>
      <c r="AL966" s="268" t="str">
        <f t="shared" si="114"/>
        <v>August</v>
      </c>
      <c r="AM966" s="133">
        <f>YEAR(Table1[[#This Row],[ETA
As requested
dd.mm.yyyy]])</f>
        <v>2024</v>
      </c>
    </row>
    <row r="967" spans="1:39" hidden="1">
      <c r="A967" s="123" t="s">
        <v>82</v>
      </c>
      <c r="B967" s="36" t="s">
        <v>1170</v>
      </c>
      <c r="C967" s="117">
        <v>37357865</v>
      </c>
      <c r="D967" s="165">
        <v>45502</v>
      </c>
      <c r="E967" s="117" t="s">
        <v>486</v>
      </c>
      <c r="F967" s="36">
        <f>IFERROR(VLOOKUP(Table1[[#This Row],[Part Number]],DATABASE_FG!$C$6:D10956,2,FALSE)," ")</f>
        <v>0</v>
      </c>
      <c r="G967" s="117">
        <f>IFERROR(_xlfn.XLOOKUP(Table1[[#This Row],[Part Number]],Table3[Part number],Table3[Drawing
 Revision]),"")</f>
        <v>0</v>
      </c>
      <c r="H967" s="118" cm="1">
        <f t="array" ref="H967">IFERROR(INDEX(PDB!$C:$AT,MATCH(E967,PDB!$B:$B,0),MATCH(YEAR(K967),0+PDB!$C$1:$AT$1,0)),"")</f>
        <v>7.36</v>
      </c>
      <c r="I967" s="36">
        <v>712</v>
      </c>
      <c r="J967" s="125">
        <f>IFERROR(Table1[[#This Row],[Quantity]]*Table1[[#This Row],[Price/Unit
EUR]]," ")</f>
        <v>5240.3200000000006</v>
      </c>
      <c r="K967" s="126">
        <v>45534</v>
      </c>
      <c r="L967" s="36">
        <f>WEEKNUM(Table1[[#This Row],[ETA
As requested
dd.mm.yyyy]])</f>
        <v>35</v>
      </c>
      <c r="M967" s="36">
        <f>YEAR(Table1[[#This Row],[ETA
As requested
dd.mm.yyyy]])</f>
        <v>2024</v>
      </c>
      <c r="N967" s="36">
        <f>IFERROR(INDEX(DATABASE_FG!$H$5:$H$367, MATCH(E967, DATABASE_FG!$C$5:$C$367, 0)), " ")</f>
        <v>0</v>
      </c>
      <c r="O967" s="129" t="str">
        <f>IF(E967&lt;&gt;"", _xlfn.XLOOKUP(E967, DATABASE_FG!C:C, DATABASE_FG!F:F), " ")</f>
        <v>shaft</v>
      </c>
      <c r="P967" s="129">
        <f>IFERROR(INDEX(DATABASE_FG!$G$5:$G$367, MATCH(E967, DATABASE_FG!$C$5:$C$367, 0)), "Not Found")</f>
        <v>0</v>
      </c>
      <c r="Q967" s="36"/>
      <c r="R967" s="125"/>
      <c r="S967" s="123">
        <f>Table1[[#This Row],[Quantity]]/48</f>
        <v>14.833333333333334</v>
      </c>
      <c r="T967" s="36" t="s">
        <v>677</v>
      </c>
      <c r="U967" s="36"/>
      <c r="V967" s="36"/>
      <c r="W967" s="129"/>
      <c r="X967" s="36"/>
      <c r="Y967" s="36"/>
      <c r="Z967" s="36"/>
      <c r="AA967" s="125" t="s">
        <v>121</v>
      </c>
      <c r="AB967" s="173">
        <v>45644</v>
      </c>
      <c r="AC967" s="119">
        <v>202401572</v>
      </c>
      <c r="AD967" s="36">
        <f t="shared" si="115"/>
        <v>37357865</v>
      </c>
      <c r="AE967" s="36" t="str">
        <f t="shared" si="116"/>
        <v>F-688038.02-0411.WH.WE36</v>
      </c>
      <c r="AF967" s="36">
        <v>712</v>
      </c>
      <c r="AG967" s="120">
        <f t="shared" si="113"/>
        <v>5240.3200000000006</v>
      </c>
      <c r="AH967" s="36"/>
      <c r="AI967" s="124" t="s">
        <v>2194</v>
      </c>
      <c r="AJ967" s="122" t="s">
        <v>2195</v>
      </c>
      <c r="AK967" s="129" t="str">
        <f t="shared" ca="1" si="112"/>
        <v>Late</v>
      </c>
      <c r="AL967" s="268" t="str">
        <f t="shared" si="114"/>
        <v>August</v>
      </c>
      <c r="AM967" s="133">
        <f>YEAR(Table1[[#This Row],[ETA
As requested
dd.mm.yyyy]])</f>
        <v>2024</v>
      </c>
    </row>
    <row r="968" spans="1:39" hidden="1">
      <c r="A968" s="123" t="s">
        <v>82</v>
      </c>
      <c r="B968" s="36" t="s">
        <v>1170</v>
      </c>
      <c r="C968" s="117">
        <v>37357865</v>
      </c>
      <c r="D968" s="165">
        <v>45502</v>
      </c>
      <c r="E968" s="117" t="s">
        <v>486</v>
      </c>
      <c r="F968" s="36">
        <f>IFERROR(VLOOKUP(Table1[[#This Row],[Part Number]],DATABASE_FG!$C$6:D10957,2,FALSE)," ")</f>
        <v>0</v>
      </c>
      <c r="G968" s="117">
        <f>IFERROR(_xlfn.XLOOKUP(Table1[[#This Row],[Part Number]],Table3[Part number],Table3[Drawing
 Revision]),"")</f>
        <v>0</v>
      </c>
      <c r="H968" s="118" cm="1">
        <f t="array" ref="H968">IFERROR(INDEX(PDB!$C:$AT,MATCH(E968,PDB!$B:$B,0),MATCH(YEAR(K968),0+PDB!$C$1:$AT$1,0)),"")</f>
        <v>7.36</v>
      </c>
      <c r="I968" s="36">
        <v>545</v>
      </c>
      <c r="J968" s="125">
        <f>IFERROR(Table1[[#This Row],[Quantity]]*Table1[[#This Row],[Price/Unit
EUR]]," ")</f>
        <v>4011.2000000000003</v>
      </c>
      <c r="K968" s="126">
        <v>45534</v>
      </c>
      <c r="L968" s="36">
        <f>WEEKNUM(Table1[[#This Row],[ETA
As requested
dd.mm.yyyy]])</f>
        <v>35</v>
      </c>
      <c r="M968" s="36">
        <f>YEAR(Table1[[#This Row],[ETA
As requested
dd.mm.yyyy]])</f>
        <v>2024</v>
      </c>
      <c r="N968" s="36">
        <f>IFERROR(INDEX(DATABASE_FG!$H$5:$H$367, MATCH(E968, DATABASE_FG!$C$5:$C$367, 0)), " ")</f>
        <v>0</v>
      </c>
      <c r="O968" s="129" t="str">
        <f>IF(E968&lt;&gt;"", _xlfn.XLOOKUP(E968, DATABASE_FG!C:C, DATABASE_FG!F:F), " ")</f>
        <v>shaft</v>
      </c>
      <c r="P968" s="129">
        <f>IFERROR(INDEX(DATABASE_FG!$G$5:$G$367, MATCH(E968, DATABASE_FG!$C$5:$C$367, 0)), "Not Found")</f>
        <v>0</v>
      </c>
      <c r="Q968" s="36"/>
      <c r="R968" s="125"/>
      <c r="S968" s="123">
        <f>Table1[[#This Row],[Quantity]]/48</f>
        <v>11.354166666666666</v>
      </c>
      <c r="T968" s="36" t="s">
        <v>677</v>
      </c>
      <c r="U968" s="36"/>
      <c r="V968" s="36"/>
      <c r="W968" s="129"/>
      <c r="X968" s="36"/>
      <c r="Y968" s="36"/>
      <c r="Z968" s="36"/>
      <c r="AA968" s="125" t="s">
        <v>121</v>
      </c>
      <c r="AB968" s="173">
        <v>45675</v>
      </c>
      <c r="AC968" s="119" t="s">
        <v>2209</v>
      </c>
      <c r="AD968" s="36">
        <f t="shared" si="115"/>
        <v>37357865</v>
      </c>
      <c r="AE968" s="36" t="str">
        <f t="shared" si="116"/>
        <v>F-688038.02-0411.WH.WE36</v>
      </c>
      <c r="AF968" s="36">
        <v>545</v>
      </c>
      <c r="AG968" s="120">
        <f t="shared" si="113"/>
        <v>4011.2000000000003</v>
      </c>
      <c r="AH968" s="36"/>
      <c r="AI968" s="124" t="s">
        <v>2210</v>
      </c>
      <c r="AJ968" s="122" t="s">
        <v>2211</v>
      </c>
      <c r="AK968" s="129" t="str">
        <f t="shared" ca="1" si="112"/>
        <v>Late</v>
      </c>
      <c r="AL968" s="268" t="str">
        <f t="shared" si="114"/>
        <v>August</v>
      </c>
      <c r="AM968" s="133">
        <f>YEAR(Table1[[#This Row],[ETA
As requested
dd.mm.yyyy]])</f>
        <v>2024</v>
      </c>
    </row>
    <row r="969" spans="1:39" hidden="1">
      <c r="A969" s="123" t="s">
        <v>82</v>
      </c>
      <c r="B969" s="36" t="s">
        <v>1170</v>
      </c>
      <c r="C969" s="117">
        <v>37357865</v>
      </c>
      <c r="D969" s="165">
        <v>45502</v>
      </c>
      <c r="E969" s="117" t="s">
        <v>486</v>
      </c>
      <c r="F969" s="36">
        <f>IFERROR(VLOOKUP(Table1[[#This Row],[Part Number]],DATABASE_FG!$C$6:D10958,2,FALSE)," ")</f>
        <v>0</v>
      </c>
      <c r="G969" s="117">
        <f>IFERROR(_xlfn.XLOOKUP(Table1[[#This Row],[Part Number]],Table3[Part number],Table3[Drawing
 Revision]),"")</f>
        <v>0</v>
      </c>
      <c r="H969" s="118" cm="1">
        <f t="array" ref="H969">IFERROR(INDEX(PDB!$C:$AT,MATCH(E969,PDB!$B:$B,0),MATCH(YEAR(K969),0+PDB!$C$1:$AT$1,0)),"")</f>
        <v>7.36</v>
      </c>
      <c r="I969" s="36">
        <v>580</v>
      </c>
      <c r="J969" s="125">
        <f>IFERROR(Table1[[#This Row],[Quantity]]*Table1[[#This Row],[Price/Unit
EUR]]," ")</f>
        <v>4268.8</v>
      </c>
      <c r="K969" s="126">
        <v>45534</v>
      </c>
      <c r="L969" s="36">
        <f>WEEKNUM(Table1[[#This Row],[ETA
As requested
dd.mm.yyyy]])</f>
        <v>35</v>
      </c>
      <c r="M969" s="36">
        <f>YEAR(Table1[[#This Row],[ETA
As requested
dd.mm.yyyy]])</f>
        <v>2024</v>
      </c>
      <c r="N969" s="36">
        <f>IFERROR(INDEX(DATABASE_FG!$H$5:$H$367, MATCH(E969, DATABASE_FG!$C$5:$C$367, 0)), " ")</f>
        <v>0</v>
      </c>
      <c r="O969" s="129" t="str">
        <f>IF(E969&lt;&gt;"", _xlfn.XLOOKUP(E969, DATABASE_FG!C:C, DATABASE_FG!F:F), " ")</f>
        <v>shaft</v>
      </c>
      <c r="P969" s="129">
        <f>IFERROR(INDEX(DATABASE_FG!$G$5:$G$367, MATCH(E969, DATABASE_FG!$C$5:$C$367, 0)), "Not Found")</f>
        <v>0</v>
      </c>
      <c r="Q969" s="36"/>
      <c r="R969" s="125"/>
      <c r="S969" s="123">
        <f>Table1[[#This Row],[Quantity]]/48</f>
        <v>12.083333333333334</v>
      </c>
      <c r="T969" s="36" t="s">
        <v>677</v>
      </c>
      <c r="U969" s="36"/>
      <c r="V969" s="36"/>
      <c r="W969" s="129"/>
      <c r="X969" s="36"/>
      <c r="Y969" s="36"/>
      <c r="Z969" s="36"/>
      <c r="AA969" s="125" t="s">
        <v>121</v>
      </c>
      <c r="AB969" s="173">
        <v>45681</v>
      </c>
      <c r="AC969" s="119">
        <v>2598</v>
      </c>
      <c r="AD969" s="36">
        <f t="shared" si="115"/>
        <v>37357865</v>
      </c>
      <c r="AE969" s="36" t="str">
        <f t="shared" si="116"/>
        <v>F-688038.02-0411.WH.WE36</v>
      </c>
      <c r="AF969" s="36">
        <v>580</v>
      </c>
      <c r="AG969" s="120">
        <f t="shared" si="113"/>
        <v>4268.8</v>
      </c>
      <c r="AH969" s="36"/>
      <c r="AI969" s="124" t="s">
        <v>2219</v>
      </c>
      <c r="AJ969" s="122" t="s">
        <v>2220</v>
      </c>
      <c r="AK969" s="129" t="str">
        <f t="shared" ca="1" si="112"/>
        <v>Late</v>
      </c>
      <c r="AL969" s="268" t="str">
        <f t="shared" si="114"/>
        <v>August</v>
      </c>
      <c r="AM969" s="133">
        <f>YEAR(Table1[[#This Row],[ETA
As requested
dd.mm.yyyy]])</f>
        <v>2024</v>
      </c>
    </row>
    <row r="970" spans="1:39" hidden="1">
      <c r="A970" s="123" t="s">
        <v>82</v>
      </c>
      <c r="B970" s="36" t="s">
        <v>1170</v>
      </c>
      <c r="C970" s="117">
        <v>37357865</v>
      </c>
      <c r="D970" s="165">
        <v>45502</v>
      </c>
      <c r="E970" s="117" t="s">
        <v>486</v>
      </c>
      <c r="F970" s="36">
        <f>IFERROR(VLOOKUP(Table1[[#This Row],[Part Number]],DATABASE_FG!$C$6:D10959,2,FALSE)," ")</f>
        <v>0</v>
      </c>
      <c r="G970" s="117">
        <f>IFERROR(_xlfn.XLOOKUP(Table1[[#This Row],[Part Number]],Table3[Part number],Table3[Drawing
 Revision]),"")</f>
        <v>0</v>
      </c>
      <c r="H970" s="118" cm="1">
        <f t="array" ref="H970">IFERROR(INDEX(PDB!$C:$AT,MATCH(E970,PDB!$B:$B,0),MATCH(YEAR(K970),0+PDB!$C$1:$AT$1,0)),"")</f>
        <v>7.36</v>
      </c>
      <c r="I970" s="36">
        <v>393</v>
      </c>
      <c r="J970" s="125">
        <f>IFERROR(Table1[[#This Row],[Quantity]]*Table1[[#This Row],[Price/Unit
EUR]]," ")</f>
        <v>2892.48</v>
      </c>
      <c r="K970" s="126">
        <v>45534</v>
      </c>
      <c r="L970" s="36">
        <f>WEEKNUM(Table1[[#This Row],[ETA
As requested
dd.mm.yyyy]])</f>
        <v>35</v>
      </c>
      <c r="M970" s="36">
        <f>YEAR(Table1[[#This Row],[ETA
As requested
dd.mm.yyyy]])</f>
        <v>2024</v>
      </c>
      <c r="N970" s="36">
        <f>IFERROR(INDEX(DATABASE_FG!$H$5:$H$367, MATCH(E970, DATABASE_FG!$C$5:$C$367, 0)), " ")</f>
        <v>0</v>
      </c>
      <c r="O970" s="129" t="str">
        <f>IF(E970&lt;&gt;"", _xlfn.XLOOKUP(E970, DATABASE_FG!C:C, DATABASE_FG!F:F), " ")</f>
        <v>shaft</v>
      </c>
      <c r="P970" s="129">
        <f>IFERROR(INDEX(DATABASE_FG!$G$5:$G$367, MATCH(E970, DATABASE_FG!$C$5:$C$367, 0)), "Not Found")</f>
        <v>0</v>
      </c>
      <c r="Q970" s="36"/>
      <c r="R970" s="125"/>
      <c r="S970" s="123">
        <f>Table1[[#This Row],[Quantity]]/48</f>
        <v>8.1875</v>
      </c>
      <c r="T970" s="36" t="s">
        <v>677</v>
      </c>
      <c r="U970" s="36"/>
      <c r="V970" s="36"/>
      <c r="W970" s="129"/>
      <c r="X970" s="36"/>
      <c r="Y970" s="36"/>
      <c r="Z970" s="36"/>
      <c r="AA970" s="125" t="s">
        <v>121</v>
      </c>
      <c r="AB970" s="172">
        <v>45703</v>
      </c>
      <c r="AC970" s="119" t="s">
        <v>2237</v>
      </c>
      <c r="AD970" s="36">
        <f t="shared" si="115"/>
        <v>37357865</v>
      </c>
      <c r="AE970" s="36" t="str">
        <f t="shared" si="116"/>
        <v>F-688038.02-0411.WH.WE36</v>
      </c>
      <c r="AF970" s="36">
        <v>393</v>
      </c>
      <c r="AG970" s="120">
        <f t="shared" si="113"/>
        <v>2892.48</v>
      </c>
      <c r="AH970" s="36"/>
      <c r="AI970" s="124" t="s">
        <v>2235</v>
      </c>
      <c r="AJ970" s="122" t="s">
        <v>2238</v>
      </c>
      <c r="AK970" s="129" t="str">
        <f t="shared" ca="1" si="112"/>
        <v>Late</v>
      </c>
      <c r="AL970" s="268" t="str">
        <f t="shared" si="114"/>
        <v>August</v>
      </c>
      <c r="AM970" s="133">
        <f>YEAR(Table1[[#This Row],[ETA
As requested
dd.mm.yyyy]])</f>
        <v>2024</v>
      </c>
    </row>
    <row r="971" spans="1:39" hidden="1">
      <c r="A971" s="123" t="s">
        <v>82</v>
      </c>
      <c r="B971" s="36" t="s">
        <v>1170</v>
      </c>
      <c r="C971" s="117">
        <v>37357865</v>
      </c>
      <c r="D971" s="165">
        <v>45502</v>
      </c>
      <c r="E971" s="117" t="s">
        <v>486</v>
      </c>
      <c r="F971" s="36">
        <f>IFERROR(VLOOKUP(Table1[[#This Row],[Part Number]],DATABASE_FG!$C$6:D10960,2,FALSE)," ")</f>
        <v>0</v>
      </c>
      <c r="G971" s="117">
        <f>IFERROR(_xlfn.XLOOKUP(Table1[[#This Row],[Part Number]],Table3[Part number],Table3[Drawing
 Revision]),"")</f>
        <v>0</v>
      </c>
      <c r="H971" s="118" cm="1">
        <f t="array" ref="H971">IFERROR(INDEX(PDB!$C:$AT,MATCH(E971,PDB!$B:$B,0),MATCH(YEAR(K971),0+PDB!$C$1:$AT$1,0)),"")</f>
        <v>7.36</v>
      </c>
      <c r="I971" s="36">
        <v>790</v>
      </c>
      <c r="J971" s="125">
        <f>IFERROR(Table1[[#This Row],[Quantity]]*Table1[[#This Row],[Price/Unit
EUR]]," ")</f>
        <v>5814.4000000000005</v>
      </c>
      <c r="K971" s="126">
        <v>45534</v>
      </c>
      <c r="L971" s="36">
        <f>WEEKNUM(Table1[[#This Row],[ETA
As requested
dd.mm.yyyy]])</f>
        <v>35</v>
      </c>
      <c r="M971" s="36">
        <f>YEAR(Table1[[#This Row],[ETA
As requested
dd.mm.yyyy]])</f>
        <v>2024</v>
      </c>
      <c r="N971" s="36">
        <f>IFERROR(INDEX(DATABASE_FG!$H$5:$H$367, MATCH(E971, DATABASE_FG!$C$5:$C$367, 0)), " ")</f>
        <v>0</v>
      </c>
      <c r="O971" s="129" t="str">
        <f>IF(E971&lt;&gt;"", _xlfn.XLOOKUP(E971, DATABASE_FG!C:C, DATABASE_FG!F:F), " ")</f>
        <v>shaft</v>
      </c>
      <c r="P971" s="129">
        <f>IFERROR(INDEX(DATABASE_FG!$G$5:$G$367, MATCH(E971, DATABASE_FG!$C$5:$C$367, 0)), "Not Found")</f>
        <v>0</v>
      </c>
      <c r="Q971" s="36"/>
      <c r="R971" s="125"/>
      <c r="S971" s="123">
        <f>Table1[[#This Row],[Quantity]]/48</f>
        <v>16.458333333333332</v>
      </c>
      <c r="T971" s="36" t="s">
        <v>677</v>
      </c>
      <c r="U971" s="36"/>
      <c r="V971" s="36"/>
      <c r="W971" s="129"/>
      <c r="X971" s="36"/>
      <c r="Y971" s="36"/>
      <c r="Z971" s="36"/>
      <c r="AA971" s="125" t="s">
        <v>121</v>
      </c>
      <c r="AB971" s="172">
        <v>45717</v>
      </c>
      <c r="AC971" s="119" t="s">
        <v>2242</v>
      </c>
      <c r="AD971" s="36">
        <f t="shared" si="115"/>
        <v>37357865</v>
      </c>
      <c r="AE971" s="36" t="str">
        <f t="shared" si="116"/>
        <v>F-688038.02-0411.WH.WE36</v>
      </c>
      <c r="AF971" s="36">
        <v>790</v>
      </c>
      <c r="AG971" s="120">
        <f t="shared" si="113"/>
        <v>5814.4000000000005</v>
      </c>
      <c r="AH971" s="36"/>
      <c r="AI971" s="124" t="s">
        <v>2243</v>
      </c>
      <c r="AJ971" s="122" t="s">
        <v>2244</v>
      </c>
      <c r="AK971" s="129" t="str">
        <f t="shared" ca="1" si="112"/>
        <v>Late</v>
      </c>
      <c r="AL971" s="268" t="str">
        <f t="shared" si="114"/>
        <v>August</v>
      </c>
      <c r="AM971" s="133">
        <f>YEAR(Table1[[#This Row],[ETA
As requested
dd.mm.yyyy]])</f>
        <v>2024</v>
      </c>
    </row>
    <row r="972" spans="1:39" hidden="1">
      <c r="A972" s="123" t="s">
        <v>82</v>
      </c>
      <c r="B972" s="36" t="s">
        <v>1170</v>
      </c>
      <c r="C972" s="117">
        <v>37357865</v>
      </c>
      <c r="D972" s="165">
        <v>45502</v>
      </c>
      <c r="E972" s="117" t="s">
        <v>486</v>
      </c>
      <c r="F972" s="36">
        <f>IFERROR(VLOOKUP(Table1[[#This Row],[Part Number]],DATABASE_FG!$C$6:D10961,2,FALSE)," ")</f>
        <v>0</v>
      </c>
      <c r="G972" s="117">
        <f>IFERROR(_xlfn.XLOOKUP(Table1[[#This Row],[Part Number]],Table3[Part number],Table3[Drawing
 Revision]),"")</f>
        <v>0</v>
      </c>
      <c r="H972" s="118" cm="1">
        <f t="array" ref="H972">IFERROR(INDEX(PDB!$C:$AT,MATCH(E972,PDB!$B:$B,0),MATCH(YEAR(K972),0+PDB!$C$1:$AT$1,0)),"")</f>
        <v>7.36</v>
      </c>
      <c r="I972" s="36">
        <v>245</v>
      </c>
      <c r="J972" s="125">
        <f>IFERROR(Table1[[#This Row],[Quantity]]*Table1[[#This Row],[Price/Unit
EUR]]," ")</f>
        <v>1803.2</v>
      </c>
      <c r="K972" s="126">
        <v>45534</v>
      </c>
      <c r="L972" s="36">
        <f>WEEKNUM(Table1[[#This Row],[ETA
As requested
dd.mm.yyyy]])</f>
        <v>35</v>
      </c>
      <c r="M972" s="36">
        <f>YEAR(Table1[[#This Row],[ETA
As requested
dd.mm.yyyy]])</f>
        <v>2024</v>
      </c>
      <c r="N972" s="36">
        <f>IFERROR(INDEX(DATABASE_FG!$H$5:$H$367, MATCH(E972, DATABASE_FG!$C$5:$C$367, 0)), " ")</f>
        <v>0</v>
      </c>
      <c r="O972" s="129" t="str">
        <f>IF(E972&lt;&gt;"", _xlfn.XLOOKUP(E972, DATABASE_FG!C:C, DATABASE_FG!F:F), " ")</f>
        <v>shaft</v>
      </c>
      <c r="P972" s="129">
        <f>IFERROR(INDEX(DATABASE_FG!$G$5:$G$367, MATCH(E972, DATABASE_FG!$C$5:$C$367, 0)), "Not Found")</f>
        <v>0</v>
      </c>
      <c r="Q972" s="36"/>
      <c r="R972" s="125"/>
      <c r="S972" s="123">
        <f>Table1[[#This Row],[Quantity]]/48</f>
        <v>5.104166666666667</v>
      </c>
      <c r="T972" s="36" t="s">
        <v>677</v>
      </c>
      <c r="U972" s="36"/>
      <c r="V972" s="36"/>
      <c r="W972" s="129"/>
      <c r="X972" s="36"/>
      <c r="Y972" s="36"/>
      <c r="Z972" s="36"/>
      <c r="AA972" s="125" t="s">
        <v>121</v>
      </c>
      <c r="AB972" s="172">
        <v>45724</v>
      </c>
      <c r="AC972" s="119" t="s">
        <v>2251</v>
      </c>
      <c r="AD972" s="36">
        <f t="shared" si="115"/>
        <v>37357865</v>
      </c>
      <c r="AE972" s="36" t="str">
        <f t="shared" si="116"/>
        <v>F-688038.02-0411.WH.WE36</v>
      </c>
      <c r="AF972" s="36">
        <v>245</v>
      </c>
      <c r="AG972" s="120">
        <f t="shared" si="113"/>
        <v>1803.2</v>
      </c>
      <c r="AH972" s="36"/>
      <c r="AI972" s="124" t="s">
        <v>2252</v>
      </c>
      <c r="AJ972" s="122" t="s">
        <v>2253</v>
      </c>
      <c r="AK972" s="129" t="str">
        <f t="shared" ca="1" si="112"/>
        <v>Late</v>
      </c>
      <c r="AL972" s="268" t="str">
        <f t="shared" si="114"/>
        <v>August</v>
      </c>
      <c r="AM972" s="133">
        <f>YEAR(Table1[[#This Row],[ETA
As requested
dd.mm.yyyy]])</f>
        <v>2024</v>
      </c>
    </row>
    <row r="973" spans="1:39" hidden="1">
      <c r="A973" s="123" t="s">
        <v>82</v>
      </c>
      <c r="B973" s="36" t="s">
        <v>1170</v>
      </c>
      <c r="C973" s="117">
        <v>37357865</v>
      </c>
      <c r="D973" s="165">
        <v>45502</v>
      </c>
      <c r="E973" s="117" t="s">
        <v>486</v>
      </c>
      <c r="F973" s="36">
        <f>IFERROR(VLOOKUP(Table1[[#This Row],[Part Number]],DATABASE_FG!$C$6:D10962,2,FALSE)," ")</f>
        <v>0</v>
      </c>
      <c r="G973" s="117">
        <f>IFERROR(_xlfn.XLOOKUP(Table1[[#This Row],[Part Number]],Table3[Part number],Table3[Drawing
 Revision]),"")</f>
        <v>0</v>
      </c>
      <c r="H973" s="118" cm="1">
        <f t="array" ref="H973">IFERROR(INDEX(PDB!$C:$AT,MATCH(E973,PDB!$B:$B,0),MATCH(YEAR(K973),0+PDB!$C$1:$AT$1,0)),"")</f>
        <v>7.36</v>
      </c>
      <c r="I973" s="36">
        <v>592</v>
      </c>
      <c r="J973" s="125">
        <f>IFERROR(Table1[[#This Row],[Quantity]]*Table1[[#This Row],[Price/Unit
EUR]]," ")</f>
        <v>4357.12</v>
      </c>
      <c r="K973" s="126">
        <v>45534</v>
      </c>
      <c r="L973" s="36">
        <f>WEEKNUM(Table1[[#This Row],[ETA
As requested
dd.mm.yyyy]])</f>
        <v>35</v>
      </c>
      <c r="M973" s="36">
        <f>YEAR(Table1[[#This Row],[ETA
As requested
dd.mm.yyyy]])</f>
        <v>2024</v>
      </c>
      <c r="N973" s="36">
        <f>IFERROR(INDEX(DATABASE_FG!$H$5:$H$367, MATCH(E973, DATABASE_FG!$C$5:$C$367, 0)), " ")</f>
        <v>0</v>
      </c>
      <c r="O973" s="129" t="str">
        <f>IF(E973&lt;&gt;"", _xlfn.XLOOKUP(E973, DATABASE_FG!C:C, DATABASE_FG!F:F), " ")</f>
        <v>shaft</v>
      </c>
      <c r="P973" s="129">
        <f>IFERROR(INDEX(DATABASE_FG!$G$5:$G$367, MATCH(E973, DATABASE_FG!$C$5:$C$367, 0)), "Not Found")</f>
        <v>0</v>
      </c>
      <c r="Q973" s="36"/>
      <c r="R973" s="125"/>
      <c r="S973" s="123">
        <f>Table1[[#This Row],[Quantity]]/48</f>
        <v>12.333333333333334</v>
      </c>
      <c r="T973" s="36" t="s">
        <v>677</v>
      </c>
      <c r="U973" s="36"/>
      <c r="V973" s="36"/>
      <c r="W973" s="129"/>
      <c r="X973" s="36"/>
      <c r="Y973" s="36"/>
      <c r="Z973" s="36"/>
      <c r="AA973" s="125" t="s">
        <v>121</v>
      </c>
      <c r="AB973" s="172">
        <v>45731</v>
      </c>
      <c r="AC973" s="119" t="s">
        <v>2260</v>
      </c>
      <c r="AD973" s="36">
        <f t="shared" si="115"/>
        <v>37357865</v>
      </c>
      <c r="AE973" s="36" t="str">
        <f t="shared" si="116"/>
        <v>F-688038.02-0411.WH.WE36</v>
      </c>
      <c r="AF973" s="36">
        <v>592</v>
      </c>
      <c r="AG973" s="120">
        <f t="shared" si="113"/>
        <v>4357.12</v>
      </c>
      <c r="AH973" s="36"/>
      <c r="AI973" s="124" t="s">
        <v>2261</v>
      </c>
      <c r="AJ973" s="122" t="s">
        <v>2262</v>
      </c>
      <c r="AK973" s="129" t="str">
        <f t="shared" ca="1" si="112"/>
        <v>Late</v>
      </c>
      <c r="AL973" s="268" t="str">
        <f t="shared" si="114"/>
        <v>August</v>
      </c>
      <c r="AM973" s="133">
        <f>YEAR(Table1[[#This Row],[ETA
As requested
dd.mm.yyyy]])</f>
        <v>2024</v>
      </c>
    </row>
    <row r="974" spans="1:39" hidden="1">
      <c r="A974" s="123" t="s">
        <v>82</v>
      </c>
      <c r="B974" s="36" t="s">
        <v>1170</v>
      </c>
      <c r="C974" s="117">
        <v>37357865</v>
      </c>
      <c r="D974" s="165">
        <v>45502</v>
      </c>
      <c r="E974" s="117" t="s">
        <v>486</v>
      </c>
      <c r="F974" s="36">
        <f>IFERROR(VLOOKUP(Table1[[#This Row],[Part Number]],DATABASE_FG!$C$6:D10963,2,FALSE)," ")</f>
        <v>0</v>
      </c>
      <c r="G974" s="117">
        <f>IFERROR(_xlfn.XLOOKUP(Table1[[#This Row],[Part Number]],Table3[Part number],Table3[Drawing
 Revision]),"")</f>
        <v>0</v>
      </c>
      <c r="H974" s="118" cm="1">
        <f t="array" ref="H974">IFERROR(INDEX(PDB!$C:$AT,MATCH(E974,PDB!$B:$B,0),MATCH(YEAR(K974),0+PDB!$C$1:$AT$1,0)),"")</f>
        <v>7.36</v>
      </c>
      <c r="I974" s="36">
        <v>343</v>
      </c>
      <c r="J974" s="125">
        <f>IFERROR(Table1[[#This Row],[Quantity]]*Table1[[#This Row],[Price/Unit
EUR]]," ")</f>
        <v>2524.48</v>
      </c>
      <c r="K974" s="126">
        <v>45534</v>
      </c>
      <c r="L974" s="36">
        <f>WEEKNUM(Table1[[#This Row],[ETA
As requested
dd.mm.yyyy]])</f>
        <v>35</v>
      </c>
      <c r="M974" s="36">
        <f>YEAR(Table1[[#This Row],[ETA
As requested
dd.mm.yyyy]])</f>
        <v>2024</v>
      </c>
      <c r="N974" s="36">
        <f>IFERROR(INDEX(DATABASE_FG!$H$5:$H$367, MATCH(E974, DATABASE_FG!$C$5:$C$367, 0)), " ")</f>
        <v>0</v>
      </c>
      <c r="O974" s="129" t="str">
        <f>IF(E974&lt;&gt;"", _xlfn.XLOOKUP(E974, DATABASE_FG!C:C, DATABASE_FG!F:F), " ")</f>
        <v>shaft</v>
      </c>
      <c r="P974" s="129">
        <f>IFERROR(INDEX(DATABASE_FG!$G$5:$G$367, MATCH(E974, DATABASE_FG!$C$5:$C$367, 0)), "Not Found")</f>
        <v>0</v>
      </c>
      <c r="Q974" s="36"/>
      <c r="R974" s="125"/>
      <c r="S974" s="123">
        <f>Table1[[#This Row],[Quantity]]/48</f>
        <v>7.145833333333333</v>
      </c>
      <c r="T974" s="36" t="s">
        <v>677</v>
      </c>
      <c r="U974" s="36"/>
      <c r="V974" s="36"/>
      <c r="W974" s="129"/>
      <c r="X974" s="36"/>
      <c r="Y974" s="36"/>
      <c r="Z974" s="36"/>
      <c r="AA974" s="125" t="s">
        <v>121</v>
      </c>
      <c r="AB974" s="172">
        <v>45758</v>
      </c>
      <c r="AC974" s="119">
        <v>25594</v>
      </c>
      <c r="AD974" s="36">
        <f t="shared" si="115"/>
        <v>37357865</v>
      </c>
      <c r="AE974" s="36" t="str">
        <f t="shared" si="116"/>
        <v>F-688038.02-0411.WH.WE36</v>
      </c>
      <c r="AF974" s="36">
        <v>343</v>
      </c>
      <c r="AG974" s="120">
        <f t="shared" si="113"/>
        <v>2524.48</v>
      </c>
      <c r="AH974" s="36"/>
      <c r="AI974" s="124" t="s">
        <v>2279</v>
      </c>
      <c r="AJ974" s="122" t="s">
        <v>2280</v>
      </c>
      <c r="AK974" s="129" t="str">
        <f t="shared" ca="1" si="112"/>
        <v>Late</v>
      </c>
      <c r="AL974" s="268" t="str">
        <f t="shared" si="114"/>
        <v>August</v>
      </c>
      <c r="AM974" s="133">
        <f>YEAR(Table1[[#This Row],[ETA
As requested
dd.mm.yyyy]])</f>
        <v>2024</v>
      </c>
    </row>
    <row r="975" spans="1:39" hidden="1">
      <c r="A975" s="123" t="s">
        <v>82</v>
      </c>
      <c r="B975" s="36" t="s">
        <v>1170</v>
      </c>
      <c r="C975" s="117">
        <v>37357865</v>
      </c>
      <c r="D975" s="165">
        <v>45502</v>
      </c>
      <c r="E975" s="117" t="s">
        <v>486</v>
      </c>
      <c r="F975" s="36">
        <f>IFERROR(VLOOKUP(Table1[[#This Row],[Part Number]],DATABASE_FG!$C$6:D10964,2,FALSE)," ")</f>
        <v>0</v>
      </c>
      <c r="G975" s="117">
        <f>IFERROR(_xlfn.XLOOKUP(Table1[[#This Row],[Part Number]],Table3[Part number],Table3[Drawing
 Revision]),"")</f>
        <v>0</v>
      </c>
      <c r="H975" s="118" cm="1">
        <f t="array" ref="H975">IFERROR(INDEX(PDB!$C:$AT,MATCH(E975,PDB!$B:$B,0),MATCH(YEAR(K975),0+PDB!$C$1:$AT$1,0)),"")</f>
        <v>7.36</v>
      </c>
      <c r="I975" s="36">
        <v>563</v>
      </c>
      <c r="J975" s="125">
        <f>IFERROR(Table1[[#This Row],[Quantity]]*Table1[[#This Row],[Price/Unit
EUR]]," ")</f>
        <v>4143.68</v>
      </c>
      <c r="K975" s="126">
        <v>45534</v>
      </c>
      <c r="L975" s="36">
        <f>WEEKNUM(Table1[[#This Row],[ETA
As requested
dd.mm.yyyy]])</f>
        <v>35</v>
      </c>
      <c r="M975" s="36">
        <f>YEAR(Table1[[#This Row],[ETA
As requested
dd.mm.yyyy]])</f>
        <v>2024</v>
      </c>
      <c r="N975" s="36">
        <f>IFERROR(INDEX(DATABASE_FG!$H$5:$H$367, MATCH(E975, DATABASE_FG!$C$5:$C$367, 0)), " ")</f>
        <v>0</v>
      </c>
      <c r="O975" s="129" t="str">
        <f>IF(E975&lt;&gt;"", _xlfn.XLOOKUP(E975, DATABASE_FG!C:C, DATABASE_FG!F:F), " ")</f>
        <v>shaft</v>
      </c>
      <c r="P975" s="129">
        <f>IFERROR(INDEX(DATABASE_FG!$G$5:$G$367, MATCH(E975, DATABASE_FG!$C$5:$C$367, 0)), "Not Found")</f>
        <v>0</v>
      </c>
      <c r="Q975" s="36"/>
      <c r="R975" s="125"/>
      <c r="S975" s="123">
        <f>Table1[[#This Row],[Quantity]]/48</f>
        <v>11.729166666666666</v>
      </c>
      <c r="T975" s="36" t="s">
        <v>677</v>
      </c>
      <c r="U975" s="36"/>
      <c r="V975" s="36"/>
      <c r="W975" s="129"/>
      <c r="X975" s="36"/>
      <c r="Y975" s="36"/>
      <c r="Z975" s="36"/>
      <c r="AA975" s="125" t="s">
        <v>121</v>
      </c>
      <c r="AB975" s="172">
        <v>45764</v>
      </c>
      <c r="AC975" s="119">
        <v>25647</v>
      </c>
      <c r="AD975" s="36">
        <f t="shared" si="115"/>
        <v>37357865</v>
      </c>
      <c r="AE975" s="36" t="str">
        <f t="shared" si="116"/>
        <v>F-688038.02-0411.WH.WE36</v>
      </c>
      <c r="AF975" s="36">
        <v>563</v>
      </c>
      <c r="AG975" s="120">
        <f t="shared" si="113"/>
        <v>4143.68</v>
      </c>
      <c r="AH975" s="36"/>
      <c r="AI975" s="124" t="s">
        <v>2284</v>
      </c>
      <c r="AJ975" s="122" t="s">
        <v>2285</v>
      </c>
      <c r="AK975" s="129" t="str">
        <f t="shared" ca="1" si="112"/>
        <v>Late</v>
      </c>
      <c r="AL975" s="268" t="str">
        <f t="shared" si="114"/>
        <v>August</v>
      </c>
      <c r="AM975" s="133">
        <f>YEAR(Table1[[#This Row],[ETA
As requested
dd.mm.yyyy]])</f>
        <v>2024</v>
      </c>
    </row>
    <row r="976" spans="1:39" hidden="1">
      <c r="A976" s="123" t="s">
        <v>82</v>
      </c>
      <c r="B976" s="36" t="s">
        <v>1170</v>
      </c>
      <c r="C976" s="117">
        <v>37357865</v>
      </c>
      <c r="D976" s="165">
        <v>45502</v>
      </c>
      <c r="E976" s="117" t="s">
        <v>486</v>
      </c>
      <c r="F976" s="36">
        <f>IFERROR(VLOOKUP(Table1[[#This Row],[Part Number]],DATABASE_FG!$C$6:D10965,2,FALSE)," ")</f>
        <v>0</v>
      </c>
      <c r="G976" s="117">
        <f>IFERROR(_xlfn.XLOOKUP(Table1[[#This Row],[Part Number]],Table3[Part number],Table3[Drawing
 Revision]),"")</f>
        <v>0</v>
      </c>
      <c r="H976" s="118" cm="1">
        <f t="array" ref="H976">IFERROR(INDEX(PDB!$C:$AT,MATCH(E976,PDB!$B:$B,0),MATCH(YEAR(K976),0+PDB!$C$1:$AT$1,0)),"")</f>
        <v>7.36</v>
      </c>
      <c r="I976" s="36">
        <v>230</v>
      </c>
      <c r="J976" s="125">
        <f>IFERROR(Table1[[#This Row],[Quantity]]*Table1[[#This Row],[Price/Unit
EUR]]," ")</f>
        <v>1692.8000000000002</v>
      </c>
      <c r="K976" s="126">
        <v>45534</v>
      </c>
      <c r="L976" s="36">
        <f>WEEKNUM(Table1[[#This Row],[ETA
As requested
dd.mm.yyyy]])</f>
        <v>35</v>
      </c>
      <c r="M976" s="36">
        <f>YEAR(Table1[[#This Row],[ETA
As requested
dd.mm.yyyy]])</f>
        <v>2024</v>
      </c>
      <c r="N976" s="36">
        <f>IFERROR(INDEX(DATABASE_FG!$H$5:$H$367, MATCH(E976, DATABASE_FG!$C$5:$C$367, 0)), " ")</f>
        <v>0</v>
      </c>
      <c r="O976" s="129" t="str">
        <f>IF(E976&lt;&gt;"", _xlfn.XLOOKUP(E976, DATABASE_FG!C:C, DATABASE_FG!F:F), " ")</f>
        <v>shaft</v>
      </c>
      <c r="P976" s="129">
        <f>IFERROR(INDEX(DATABASE_FG!$G$5:$G$367, MATCH(E976, DATABASE_FG!$C$5:$C$367, 0)), "Not Found")</f>
        <v>0</v>
      </c>
      <c r="Q976" s="36"/>
      <c r="R976" s="125"/>
      <c r="S976" s="123">
        <f>Table1[[#This Row],[Quantity]]/48</f>
        <v>4.791666666666667</v>
      </c>
      <c r="T976" s="36"/>
      <c r="U976" s="36"/>
      <c r="V976" s="36"/>
      <c r="W976" s="129"/>
      <c r="X976" s="36"/>
      <c r="Y976" s="36"/>
      <c r="Z976" s="36"/>
      <c r="AA976" s="125" t="s">
        <v>121</v>
      </c>
      <c r="AB976" s="172">
        <v>45778</v>
      </c>
      <c r="AC976" s="119">
        <v>25713</v>
      </c>
      <c r="AD976" s="36">
        <f t="shared" si="115"/>
        <v>37357865</v>
      </c>
      <c r="AE976" s="36" t="str">
        <f t="shared" si="116"/>
        <v>F-688038.02-0411.WH.WE36</v>
      </c>
      <c r="AF976" s="36">
        <v>230</v>
      </c>
      <c r="AG976" s="120">
        <f t="shared" si="113"/>
        <v>1692.8000000000002</v>
      </c>
      <c r="AH976" s="36"/>
      <c r="AI976" s="124" t="s">
        <v>2287</v>
      </c>
      <c r="AJ976" s="122" t="s">
        <v>2288</v>
      </c>
      <c r="AK976" s="129" t="str">
        <f t="shared" ca="1" si="112"/>
        <v>Late</v>
      </c>
      <c r="AL976" s="268" t="str">
        <f t="shared" si="114"/>
        <v>August</v>
      </c>
      <c r="AM976" s="133">
        <f>YEAR(Table1[[#This Row],[ETA
As requested
dd.mm.yyyy]])</f>
        <v>2024</v>
      </c>
    </row>
    <row r="977" spans="1:39" hidden="1">
      <c r="A977" s="123" t="s">
        <v>82</v>
      </c>
      <c r="B977" s="36" t="s">
        <v>1170</v>
      </c>
      <c r="C977" s="117">
        <v>37357865</v>
      </c>
      <c r="D977" s="165">
        <v>45502</v>
      </c>
      <c r="E977" s="117" t="s">
        <v>486</v>
      </c>
      <c r="F977" s="36">
        <f>IFERROR(VLOOKUP(Table1[[#This Row],[Part Number]],DATABASE_FG!$C$6:D10966,2,FALSE)," ")</f>
        <v>0</v>
      </c>
      <c r="G977" s="117">
        <f>IFERROR(_xlfn.XLOOKUP(Table1[[#This Row],[Part Number]],Table3[Part number],Table3[Drawing
 Revision]),"")</f>
        <v>0</v>
      </c>
      <c r="H977" s="118" cm="1">
        <f t="array" ref="H977">IFERROR(INDEX(PDB!$C:$AT,MATCH(E977,PDB!$B:$B,0),MATCH(YEAR(K977),0+PDB!$C$1:$AT$1,0)),"")</f>
        <v>7.36</v>
      </c>
      <c r="I977" s="36">
        <v>51</v>
      </c>
      <c r="J977" s="125">
        <f>IFERROR(Table1[[#This Row],[Quantity]]*Table1[[#This Row],[Price/Unit
EUR]]," ")</f>
        <v>375.36</v>
      </c>
      <c r="K977" s="126">
        <v>45534</v>
      </c>
      <c r="L977" s="36">
        <f>WEEKNUM(Table1[[#This Row],[ETA
As requested
dd.mm.yyyy]])</f>
        <v>35</v>
      </c>
      <c r="M977" s="36">
        <f>YEAR(Table1[[#This Row],[ETA
As requested
dd.mm.yyyy]])</f>
        <v>2024</v>
      </c>
      <c r="N977" s="36">
        <f>IFERROR(INDEX(DATABASE_FG!$H$5:$H$367, MATCH(E977, DATABASE_FG!$C$5:$C$367, 0)), " ")</f>
        <v>0</v>
      </c>
      <c r="O977" s="129" t="str">
        <f>IF(E977&lt;&gt;"", _xlfn.XLOOKUP(E977, DATABASE_FG!C:C, DATABASE_FG!F:F), " ")</f>
        <v>shaft</v>
      </c>
      <c r="P977" s="129">
        <f>IFERROR(INDEX(DATABASE_FG!$G$5:$G$367, MATCH(E977, DATABASE_FG!$C$5:$C$367, 0)), "Not Found")</f>
        <v>0</v>
      </c>
      <c r="Q977" s="36"/>
      <c r="R977" s="125"/>
      <c r="S977" s="123">
        <f>Table1[[#This Row],[Quantity]]/48</f>
        <v>1.0625</v>
      </c>
      <c r="T977" s="36"/>
      <c r="U977" s="36"/>
      <c r="V977" s="36"/>
      <c r="W977" s="129"/>
      <c r="X977" s="36"/>
      <c r="Y977" s="36"/>
      <c r="Z977" s="36"/>
      <c r="AA977" s="125" t="s">
        <v>121</v>
      </c>
      <c r="AB977" s="172">
        <v>45786</v>
      </c>
      <c r="AC977" s="119">
        <v>25747</v>
      </c>
      <c r="AD977" s="36">
        <f t="shared" si="115"/>
        <v>37357865</v>
      </c>
      <c r="AE977" s="36" t="str">
        <f t="shared" si="116"/>
        <v>F-688038.02-0411.WH.WE36</v>
      </c>
      <c r="AF977" s="36">
        <v>51</v>
      </c>
      <c r="AG977" s="120">
        <f t="shared" si="113"/>
        <v>375.36</v>
      </c>
      <c r="AH977" s="36"/>
      <c r="AI977" s="124" t="s">
        <v>2289</v>
      </c>
      <c r="AJ977" s="122" t="s">
        <v>2290</v>
      </c>
      <c r="AK977" s="129" t="str">
        <f t="shared" ca="1" si="112"/>
        <v>Late</v>
      </c>
      <c r="AL977" s="268" t="str">
        <f t="shared" si="114"/>
        <v>August</v>
      </c>
      <c r="AM977" s="133">
        <f>YEAR(Table1[[#This Row],[ETA
As requested
dd.mm.yyyy]])</f>
        <v>2024</v>
      </c>
    </row>
    <row r="978" spans="1:39" hidden="1">
      <c r="A978" s="123" t="s">
        <v>82</v>
      </c>
      <c r="B978" s="36" t="s">
        <v>1170</v>
      </c>
      <c r="C978" s="117">
        <v>37357865</v>
      </c>
      <c r="D978" s="165">
        <v>45502</v>
      </c>
      <c r="E978" s="117" t="s">
        <v>486</v>
      </c>
      <c r="F978" s="36">
        <f>IFERROR(VLOOKUP(Table1[[#This Row],[Part Number]],DATABASE_FG!$C$6:D10967,2,FALSE)," ")</f>
        <v>0</v>
      </c>
      <c r="G978" s="117">
        <f>IFERROR(_xlfn.XLOOKUP(Table1[[#This Row],[Part Number]],Table3[Part number],Table3[Drawing
 Revision]),"")</f>
        <v>0</v>
      </c>
      <c r="H978" s="118" cm="1">
        <f t="array" ref="H978">IFERROR(INDEX(PDB!$C:$AT,MATCH(E978,PDB!$B:$B,0),MATCH(YEAR(K978),0+PDB!$C$1:$AT$1,0)),"")</f>
        <v>7.36</v>
      </c>
      <c r="I978" s="36">
        <f>4432-545-580-393-790-245-592-343-563-51-300-6</f>
        <v>24</v>
      </c>
      <c r="J978" s="125">
        <f>IFERROR(Table1[[#This Row],[Quantity]]*Table1[[#This Row],[Price/Unit
EUR]]," ")</f>
        <v>176.64000000000001</v>
      </c>
      <c r="K978" s="126">
        <v>45534</v>
      </c>
      <c r="L978" s="36">
        <f>WEEKNUM(Table1[[#This Row],[ETA
As requested
dd.mm.yyyy]])</f>
        <v>35</v>
      </c>
      <c r="M978" s="36">
        <f>YEAR(Table1[[#This Row],[ETA
As requested
dd.mm.yyyy]])</f>
        <v>2024</v>
      </c>
      <c r="N978" s="36">
        <f>IFERROR(INDEX(DATABASE_FG!$H$5:$H$367, MATCH(E978, DATABASE_FG!$C$5:$C$367, 0)), " ")</f>
        <v>0</v>
      </c>
      <c r="O978" s="129" t="str">
        <f>IF(E978&lt;&gt;"", _xlfn.XLOOKUP(E978, DATABASE_FG!C:C, DATABASE_FG!F:F), " ")</f>
        <v>shaft</v>
      </c>
      <c r="P978" s="129">
        <f>IFERROR(INDEX(DATABASE_FG!$G$5:$G$367, MATCH(E978, DATABASE_FG!$C$5:$C$367, 0)), "Not Found")</f>
        <v>0</v>
      </c>
      <c r="Q978" s="36"/>
      <c r="R978" s="125"/>
      <c r="S978" s="123">
        <f>Table1[[#This Row],[Quantity]]/48</f>
        <v>0.5</v>
      </c>
      <c r="T978" s="36" t="s">
        <v>677</v>
      </c>
      <c r="U978" s="36"/>
      <c r="V978" s="36"/>
      <c r="W978" s="129"/>
      <c r="X978" s="36"/>
      <c r="Y978" s="36"/>
      <c r="Z978" s="36"/>
      <c r="AA978" s="125" t="s">
        <v>3</v>
      </c>
      <c r="AB978" s="172"/>
      <c r="AC978" s="119"/>
      <c r="AD978" s="36" t="str">
        <f t="shared" si="115"/>
        <v/>
      </c>
      <c r="AE978" s="36" t="str">
        <f t="shared" si="116"/>
        <v/>
      </c>
      <c r="AF978" s="36"/>
      <c r="AG978" s="120">
        <f t="shared" si="113"/>
        <v>0</v>
      </c>
      <c r="AH978" s="36"/>
      <c r="AI978" s="124"/>
      <c r="AJ978" s="122"/>
      <c r="AK978" s="129" t="str">
        <f t="shared" ref="AK978:AK1041" ca="1" si="117">IF(AB978="", IF(K978 &lt; TODAY(), "Late", ""), IF(AB978 &lt;= K978 + 2, "On Time", "Late"))</f>
        <v>Late</v>
      </c>
      <c r="AL978" s="268" t="str">
        <f t="shared" si="114"/>
        <v>August</v>
      </c>
      <c r="AM978" s="133">
        <f>YEAR(Table1[[#This Row],[ETA
As requested
dd.mm.yyyy]])</f>
        <v>2024</v>
      </c>
    </row>
    <row r="979" spans="1:39" hidden="1">
      <c r="A979" s="123" t="s">
        <v>82</v>
      </c>
      <c r="B979" s="36" t="s">
        <v>1170</v>
      </c>
      <c r="C979" s="117">
        <v>37347643</v>
      </c>
      <c r="D979" s="165">
        <v>45510</v>
      </c>
      <c r="E979" s="117" t="s">
        <v>541</v>
      </c>
      <c r="F979" s="36">
        <f>IFERROR(VLOOKUP(Table1[[#This Row],[Part Number]],DATABASE_FG!$C$6:D10968,2,FALSE)," ")</f>
        <v>0</v>
      </c>
      <c r="G979" s="117">
        <f>IFERROR(_xlfn.XLOOKUP(Table1[[#This Row],[Part Number]],Table3[Part number],Table3[Drawing
 Revision]),"")</f>
        <v>0</v>
      </c>
      <c r="H979" s="118" cm="1">
        <f t="array" ref="H979">IFERROR(INDEX(PDB!$C:$AT,MATCH(E979,PDB!$B:$B,0),MATCH(YEAR(K979),0+PDB!$C$1:$AT$1,0)),"")</f>
        <v>3.57</v>
      </c>
      <c r="I979" s="36">
        <v>5</v>
      </c>
      <c r="J979" s="125">
        <f>IFERROR(Table1[[#This Row],[Quantity]]*Table1[[#This Row],[Price/Unit
EUR]]," ")</f>
        <v>17.849999999999998</v>
      </c>
      <c r="K979" s="126">
        <v>45520</v>
      </c>
      <c r="L979" s="36">
        <f>WEEKNUM(Table1[[#This Row],[ETA
As requested
dd.mm.yyyy]])</f>
        <v>33</v>
      </c>
      <c r="M979" s="36">
        <f>YEAR(Table1[[#This Row],[ETA
As requested
dd.mm.yyyy]])</f>
        <v>2024</v>
      </c>
      <c r="N979" s="36">
        <f>IFERROR(INDEX(DATABASE_FG!$H$5:$H$367, MATCH(E979, DATABASE_FG!$C$5:$C$367, 0)), " ")</f>
        <v>0</v>
      </c>
      <c r="O979" s="129" t="str">
        <f>IF(E979&lt;&gt;"", _xlfn.XLOOKUP(E979, DATABASE_FG!C:C, DATABASE_FG!F:F), " ")</f>
        <v>Housings</v>
      </c>
      <c r="P979" s="129">
        <f>IFERROR(INDEX(DATABASE_FG!$G$5:$G$367, MATCH(E979, DATABASE_FG!$C$5:$C$367, 0)), "Not Found")</f>
        <v>0</v>
      </c>
      <c r="Q979" s="36"/>
      <c r="R979" s="125"/>
      <c r="S979" s="123">
        <f>Table1[[#This Row],[Quantity]]/48</f>
        <v>0.10416666666666667</v>
      </c>
      <c r="T979" s="36"/>
      <c r="U979" s="36"/>
      <c r="V979" s="36"/>
      <c r="W979" s="129"/>
      <c r="X979" s="36"/>
      <c r="Y979" s="36"/>
      <c r="Z979" s="36"/>
      <c r="AA979" s="125" t="s">
        <v>121</v>
      </c>
      <c r="AB979" s="172">
        <v>45519</v>
      </c>
      <c r="AC979" s="119">
        <v>202401029</v>
      </c>
      <c r="AD979" s="36">
        <f t="shared" si="115"/>
        <v>37347643</v>
      </c>
      <c r="AE979" s="36" t="str">
        <f t="shared" si="116"/>
        <v>F-688038.02-0421.GEH.WE36</v>
      </c>
      <c r="AF979" s="36">
        <v>5</v>
      </c>
      <c r="AG979" s="120">
        <f t="shared" si="113"/>
        <v>17.849999999999998</v>
      </c>
      <c r="AH979" s="36"/>
      <c r="AI979" s="124" t="s">
        <v>1966</v>
      </c>
      <c r="AJ979" s="122" t="s">
        <v>1968</v>
      </c>
      <c r="AK979" s="129" t="str">
        <f t="shared" ca="1" si="117"/>
        <v>On Time</v>
      </c>
      <c r="AL979" s="268" t="str">
        <f t="shared" si="114"/>
        <v>August</v>
      </c>
      <c r="AM979" s="133">
        <f>YEAR(Table1[[#This Row],[ETA
As requested
dd.mm.yyyy]])</f>
        <v>2024</v>
      </c>
    </row>
    <row r="980" spans="1:39" ht="15.75" hidden="1">
      <c r="A980" s="123" t="s">
        <v>82</v>
      </c>
      <c r="B980" s="36" t="s">
        <v>1170</v>
      </c>
      <c r="C980" s="117">
        <v>37347643</v>
      </c>
      <c r="D980" s="165">
        <v>45510</v>
      </c>
      <c r="E980" s="117" t="s">
        <v>541</v>
      </c>
      <c r="F980" s="36">
        <f>IFERROR(VLOOKUP(Table1[[#This Row],[Part Number]],DATABASE_FG!$C$6:D10969,2,FALSE)," ")</f>
        <v>0</v>
      </c>
      <c r="G980" s="117">
        <f>IFERROR(_xlfn.XLOOKUP(Table1[[#This Row],[Part Number]],Table3[Part number],Table3[Drawing
 Revision]),"")</f>
        <v>0</v>
      </c>
      <c r="H980" s="118" cm="1">
        <f t="array" ref="H980">IFERROR(INDEX(PDB!$C:$AT,MATCH(E980,PDB!$B:$B,0),MATCH(YEAR(K980),0+PDB!$C$1:$AT$1,0)),"")</f>
        <v>3.57</v>
      </c>
      <c r="I980" s="36">
        <v>528</v>
      </c>
      <c r="J980" s="125">
        <f>IFERROR(Table1[[#This Row],[Quantity]]*Table1[[#This Row],[Price/Unit
EUR]]," ")</f>
        <v>1884.9599999999998</v>
      </c>
      <c r="K980" s="126">
        <v>45520</v>
      </c>
      <c r="L980" s="36">
        <f>WEEKNUM(Table1[[#This Row],[ETA
As requested
dd.mm.yyyy]])</f>
        <v>33</v>
      </c>
      <c r="M980" s="36">
        <f>YEAR(Table1[[#This Row],[ETA
As requested
dd.mm.yyyy]])</f>
        <v>2024</v>
      </c>
      <c r="N980" s="36">
        <f>IFERROR(INDEX(DATABASE_FG!$H$5:$H$367, MATCH(E980, DATABASE_FG!$C$5:$C$367, 0)), " ")</f>
        <v>0</v>
      </c>
      <c r="O980" s="129" t="str">
        <f>IF(E980&lt;&gt;"", _xlfn.XLOOKUP(E980, DATABASE_FG!C:C, DATABASE_FG!F:F), " ")</f>
        <v>Housings</v>
      </c>
      <c r="P980" s="129">
        <f>IFERROR(INDEX(DATABASE_FG!$G$5:$G$367, MATCH(E980, DATABASE_FG!$C$5:$C$367, 0)), "Not Found")</f>
        <v>0</v>
      </c>
      <c r="Q980" s="36"/>
      <c r="R980" s="125"/>
      <c r="S980" s="123">
        <f>Table1[[#This Row],[Quantity]]/48</f>
        <v>11</v>
      </c>
      <c r="T980" s="36"/>
      <c r="U980" s="36"/>
      <c r="V980" s="36"/>
      <c r="W980" s="129"/>
      <c r="X980" s="36"/>
      <c r="Y980" s="36"/>
      <c r="Z980" s="36"/>
      <c r="AA980" s="125" t="s">
        <v>121</v>
      </c>
      <c r="AB980" s="172">
        <v>45528</v>
      </c>
      <c r="AC980" s="119">
        <v>20232254</v>
      </c>
      <c r="AD980" s="36">
        <f t="shared" si="115"/>
        <v>37347643</v>
      </c>
      <c r="AE980" s="36" t="str">
        <f t="shared" si="116"/>
        <v>F-688038.02-0421.GEH.WE36</v>
      </c>
      <c r="AF980" s="36">
        <f>528-528</f>
        <v>0</v>
      </c>
      <c r="AG980" s="120">
        <f t="shared" si="113"/>
        <v>0</v>
      </c>
      <c r="AH980" s="36"/>
      <c r="AI980" s="124" t="s">
        <v>1970</v>
      </c>
      <c r="AJ980" s="122" t="s">
        <v>1971</v>
      </c>
      <c r="AK980" s="129" t="str">
        <f t="shared" ca="1" si="117"/>
        <v>Late</v>
      </c>
      <c r="AL980" s="268" t="str">
        <f t="shared" si="114"/>
        <v>August</v>
      </c>
      <c r="AM980" s="133">
        <f>YEAR(Table1[[#This Row],[ETA
As requested
dd.mm.yyyy]])</f>
        <v>2024</v>
      </c>
    </row>
    <row r="981" spans="1:39" ht="15.75" hidden="1">
      <c r="A981" s="123" t="s">
        <v>82</v>
      </c>
      <c r="B981" s="36" t="s">
        <v>1170</v>
      </c>
      <c r="C981" s="117">
        <v>37347643</v>
      </c>
      <c r="D981" s="165">
        <v>45510</v>
      </c>
      <c r="E981" s="117" t="s">
        <v>541</v>
      </c>
      <c r="F981" s="36">
        <f>IFERROR(VLOOKUP(Table1[[#This Row],[Part Number]],DATABASE_FG!$C$6:D10970,2,FALSE)," ")</f>
        <v>0</v>
      </c>
      <c r="G981" s="117">
        <f>IFERROR(_xlfn.XLOOKUP(Table1[[#This Row],[Part Number]],Table3[Part number],Table3[Drawing
 Revision]),"")</f>
        <v>0</v>
      </c>
      <c r="H981" s="118" cm="1">
        <f t="array" ref="H981">IFERROR(INDEX(PDB!$C:$AT,MATCH(E981,PDB!$B:$B,0),MATCH(YEAR(K981),0+PDB!$C$1:$AT$1,0)),"")</f>
        <v>3.57</v>
      </c>
      <c r="I981" s="36">
        <v>616</v>
      </c>
      <c r="J981" s="125">
        <f>IFERROR(Table1[[#This Row],[Quantity]]*Table1[[#This Row],[Price/Unit
EUR]]," ")</f>
        <v>2199.12</v>
      </c>
      <c r="K981" s="126">
        <v>45520</v>
      </c>
      <c r="L981" s="36">
        <f>WEEKNUM(Table1[[#This Row],[ETA
As requested
dd.mm.yyyy]])</f>
        <v>33</v>
      </c>
      <c r="M981" s="36">
        <f>YEAR(Table1[[#This Row],[ETA
As requested
dd.mm.yyyy]])</f>
        <v>2024</v>
      </c>
      <c r="N981" s="36">
        <f>IFERROR(INDEX(DATABASE_FG!$H$5:$H$367, MATCH(E981, DATABASE_FG!$C$5:$C$367, 0)), " ")</f>
        <v>0</v>
      </c>
      <c r="O981" s="129" t="str">
        <f>IF(E981&lt;&gt;"", _xlfn.XLOOKUP(E981, DATABASE_FG!C:C, DATABASE_FG!F:F), " ")</f>
        <v>Housings</v>
      </c>
      <c r="P981" s="129">
        <f>IFERROR(INDEX(DATABASE_FG!$G$5:$G$367, MATCH(E981, DATABASE_FG!$C$5:$C$367, 0)), "Not Found")</f>
        <v>0</v>
      </c>
      <c r="Q981" s="36"/>
      <c r="R981" s="125"/>
      <c r="S981" s="123">
        <f>Table1[[#This Row],[Quantity]]/48</f>
        <v>12.833333333333334</v>
      </c>
      <c r="T981" s="36"/>
      <c r="U981" s="36"/>
      <c r="V981" s="36"/>
      <c r="W981" s="129"/>
      <c r="X981" s="36"/>
      <c r="Y981" s="36"/>
      <c r="Z981" s="36"/>
      <c r="AA981" s="125" t="s">
        <v>121</v>
      </c>
      <c r="AB981" s="172">
        <v>45535</v>
      </c>
      <c r="AC981" s="119">
        <v>20232258</v>
      </c>
      <c r="AD981" s="36">
        <f t="shared" si="115"/>
        <v>37347643</v>
      </c>
      <c r="AE981" s="36" t="str">
        <f t="shared" si="116"/>
        <v>F-688038.02-0421.GEH.WE36</v>
      </c>
      <c r="AF981" s="36">
        <f>616-616</f>
        <v>0</v>
      </c>
      <c r="AG981" s="120">
        <f t="shared" si="113"/>
        <v>0</v>
      </c>
      <c r="AH981" s="36"/>
      <c r="AI981" s="124" t="s">
        <v>1970</v>
      </c>
      <c r="AJ981" s="122" t="s">
        <v>1973</v>
      </c>
      <c r="AK981" s="129" t="str">
        <f t="shared" ca="1" si="117"/>
        <v>Late</v>
      </c>
      <c r="AL981" s="268" t="str">
        <f t="shared" si="114"/>
        <v>August</v>
      </c>
      <c r="AM981" s="133">
        <f>YEAR(Table1[[#This Row],[ETA
As requested
dd.mm.yyyy]])</f>
        <v>2024</v>
      </c>
    </row>
    <row r="982" spans="1:39" ht="15.75" hidden="1">
      <c r="A982" s="123" t="s">
        <v>82</v>
      </c>
      <c r="B982" s="36" t="s">
        <v>1170</v>
      </c>
      <c r="C982" s="117">
        <v>37347643</v>
      </c>
      <c r="D982" s="165">
        <v>45510</v>
      </c>
      <c r="E982" s="117" t="s">
        <v>541</v>
      </c>
      <c r="F982" s="36">
        <f>IFERROR(VLOOKUP(Table1[[#This Row],[Part Number]],DATABASE_FG!$C$6:D10971,2,FALSE)," ")</f>
        <v>0</v>
      </c>
      <c r="G982" s="117">
        <f>IFERROR(_xlfn.XLOOKUP(Table1[[#This Row],[Part Number]],Table3[Part number],Table3[Drawing
 Revision]),"")</f>
        <v>0</v>
      </c>
      <c r="H982" s="118" cm="1">
        <f t="array" ref="H982">IFERROR(INDEX(PDB!$C:$AT,MATCH(E982,PDB!$B:$B,0),MATCH(YEAR(K982),0+PDB!$C$1:$AT$1,0)),"")</f>
        <v>3.57</v>
      </c>
      <c r="I982" s="36">
        <v>792</v>
      </c>
      <c r="J982" s="125">
        <f>IFERROR(Table1[[#This Row],[Quantity]]*Table1[[#This Row],[Price/Unit
EUR]]," ")</f>
        <v>2827.44</v>
      </c>
      <c r="K982" s="126">
        <v>45520</v>
      </c>
      <c r="L982" s="36">
        <f>WEEKNUM(Table1[[#This Row],[ETA
As requested
dd.mm.yyyy]])</f>
        <v>33</v>
      </c>
      <c r="M982" s="36">
        <f>YEAR(Table1[[#This Row],[ETA
As requested
dd.mm.yyyy]])</f>
        <v>2024</v>
      </c>
      <c r="N982" s="36">
        <f>IFERROR(INDEX(DATABASE_FG!$H$5:$H$367, MATCH(E982, DATABASE_FG!$C$5:$C$367, 0)), " ")</f>
        <v>0</v>
      </c>
      <c r="O982" s="129" t="str">
        <f>IF(E982&lt;&gt;"", _xlfn.XLOOKUP(E982, DATABASE_FG!C:C, DATABASE_FG!F:F), " ")</f>
        <v>Housings</v>
      </c>
      <c r="P982" s="129">
        <f>IFERROR(INDEX(DATABASE_FG!$G$5:$G$367, MATCH(E982, DATABASE_FG!$C$5:$C$367, 0)), "Not Found")</f>
        <v>0</v>
      </c>
      <c r="Q982" s="36"/>
      <c r="R982" s="125"/>
      <c r="S982" s="123">
        <f>Table1[[#This Row],[Quantity]]/48</f>
        <v>16.5</v>
      </c>
      <c r="T982" s="36"/>
      <c r="U982" s="36"/>
      <c r="V982" s="36"/>
      <c r="W982" s="129"/>
      <c r="X982" s="36"/>
      <c r="Y982" s="36"/>
      <c r="Z982" s="36"/>
      <c r="AA982" s="125" t="s">
        <v>121</v>
      </c>
      <c r="AB982" s="172">
        <v>45541</v>
      </c>
      <c r="AC982" s="119">
        <v>20232261</v>
      </c>
      <c r="AD982" s="36">
        <f t="shared" si="115"/>
        <v>37347643</v>
      </c>
      <c r="AE982" s="36" t="str">
        <f t="shared" si="116"/>
        <v>F-688038.02-0421.GEH.WE36</v>
      </c>
      <c r="AF982" s="36">
        <f>792-792</f>
        <v>0</v>
      </c>
      <c r="AG982" s="120">
        <f t="shared" si="113"/>
        <v>0</v>
      </c>
      <c r="AH982" s="36"/>
      <c r="AI982" s="124" t="s">
        <v>1970</v>
      </c>
      <c r="AJ982" s="122" t="s">
        <v>1975</v>
      </c>
      <c r="AK982" s="129" t="str">
        <f t="shared" ca="1" si="117"/>
        <v>Late</v>
      </c>
      <c r="AL982" s="268" t="str">
        <f t="shared" si="114"/>
        <v>August</v>
      </c>
      <c r="AM982" s="133">
        <f>YEAR(Table1[[#This Row],[ETA
As requested
dd.mm.yyyy]])</f>
        <v>2024</v>
      </c>
    </row>
    <row r="983" spans="1:39" hidden="1">
      <c r="A983" s="123" t="s">
        <v>82</v>
      </c>
      <c r="B983" s="36" t="s">
        <v>1170</v>
      </c>
      <c r="C983" s="117">
        <v>37347643</v>
      </c>
      <c r="D983" s="165">
        <v>45510</v>
      </c>
      <c r="E983" s="117" t="s">
        <v>541</v>
      </c>
      <c r="F983" s="36">
        <f>IFERROR(VLOOKUP(Table1[[#This Row],[Part Number]],DATABASE_FG!$C$6:D10972,2,FALSE)," ")</f>
        <v>0</v>
      </c>
      <c r="G983" s="117">
        <f>IFERROR(_xlfn.XLOOKUP(Table1[[#This Row],[Part Number]],Table3[Part number],Table3[Drawing
 Revision]),"")</f>
        <v>0</v>
      </c>
      <c r="H983" s="118" cm="1">
        <f t="array" ref="H983">IFERROR(INDEX(PDB!$C:$AT,MATCH(E983,PDB!$B:$B,0),MATCH(YEAR(K983),0+PDB!$C$1:$AT$1,0)),"")</f>
        <v>3.57</v>
      </c>
      <c r="I983" s="36">
        <v>352</v>
      </c>
      <c r="J983" s="125">
        <f>IFERROR(Table1[[#This Row],[Quantity]]*Table1[[#This Row],[Price/Unit
EUR]]," ")</f>
        <v>1256.6399999999999</v>
      </c>
      <c r="K983" s="126">
        <v>45520</v>
      </c>
      <c r="L983" s="36">
        <f>WEEKNUM(Table1[[#This Row],[ETA
As requested
dd.mm.yyyy]])</f>
        <v>33</v>
      </c>
      <c r="M983" s="36">
        <f>YEAR(Table1[[#This Row],[ETA
As requested
dd.mm.yyyy]])</f>
        <v>2024</v>
      </c>
      <c r="N983" s="36">
        <f>IFERROR(INDEX(DATABASE_FG!$H$5:$H$367, MATCH(E983, DATABASE_FG!$C$5:$C$367, 0)), " ")</f>
        <v>0</v>
      </c>
      <c r="O983" s="129" t="str">
        <f>IF(E983&lt;&gt;"", _xlfn.XLOOKUP(E983, DATABASE_FG!C:C, DATABASE_FG!F:F), " ")</f>
        <v>Housings</v>
      </c>
      <c r="P983" s="129">
        <f>IFERROR(INDEX(DATABASE_FG!$G$5:$G$367, MATCH(E983, DATABASE_FG!$C$5:$C$367, 0)), "Not Found")</f>
        <v>0</v>
      </c>
      <c r="Q983" s="36"/>
      <c r="R983" s="125"/>
      <c r="S983" s="123">
        <f>Table1[[#This Row],[Quantity]]/48</f>
        <v>7.333333333333333</v>
      </c>
      <c r="T983" s="36"/>
      <c r="U983" s="36"/>
      <c r="V983" s="36"/>
      <c r="W983" s="129"/>
      <c r="X983" s="36"/>
      <c r="Y983" s="36"/>
      <c r="Z983" s="36"/>
      <c r="AA983" s="125" t="s">
        <v>121</v>
      </c>
      <c r="AB983" s="172">
        <v>45549</v>
      </c>
      <c r="AC983" s="119">
        <v>20232264</v>
      </c>
      <c r="AD983" s="36">
        <f t="shared" si="115"/>
        <v>37347643</v>
      </c>
      <c r="AE983" s="36" t="str">
        <f t="shared" si="116"/>
        <v>F-688038.02-0421.GEH.WE36</v>
      </c>
      <c r="AF983" s="36">
        <v>352</v>
      </c>
      <c r="AG983" s="120">
        <f t="shared" si="113"/>
        <v>1256.6399999999999</v>
      </c>
      <c r="AH983" s="36"/>
      <c r="AI983" s="124"/>
      <c r="AJ983" s="122" t="s">
        <v>1979</v>
      </c>
      <c r="AK983" s="129" t="str">
        <f t="shared" ca="1" si="117"/>
        <v>Late</v>
      </c>
      <c r="AL983" s="268" t="str">
        <f t="shared" si="114"/>
        <v>August</v>
      </c>
      <c r="AM983" s="133">
        <f>YEAR(Table1[[#This Row],[ETA
As requested
dd.mm.yyyy]])</f>
        <v>2024</v>
      </c>
    </row>
    <row r="984" spans="1:39" ht="15.75" hidden="1">
      <c r="A984" s="123" t="s">
        <v>82</v>
      </c>
      <c r="B984" s="36" t="s">
        <v>1170</v>
      </c>
      <c r="C984" s="117">
        <v>37347643</v>
      </c>
      <c r="D984" s="165">
        <v>45510</v>
      </c>
      <c r="E984" s="117" t="s">
        <v>541</v>
      </c>
      <c r="F984" s="36">
        <f>IFERROR(VLOOKUP(Table1[[#This Row],[Part Number]],DATABASE_FG!$C$6:D10973,2,FALSE)," ")</f>
        <v>0</v>
      </c>
      <c r="G984" s="117">
        <f>IFERROR(_xlfn.XLOOKUP(Table1[[#This Row],[Part Number]],Table3[Part number],Table3[Drawing
 Revision]),"")</f>
        <v>0</v>
      </c>
      <c r="H984" s="118" cm="1">
        <f t="array" ref="H984">IFERROR(INDEX(PDB!$C:$AT,MATCH(E984,PDB!$B:$B,0),MATCH(YEAR(K984),0+PDB!$C$1:$AT$1,0)),"")</f>
        <v>3.57</v>
      </c>
      <c r="I984" s="36">
        <v>352</v>
      </c>
      <c r="J984" s="125">
        <f>IFERROR(Table1[[#This Row],[Quantity]]*Table1[[#This Row],[Price/Unit
EUR]]," ")</f>
        <v>1256.6399999999999</v>
      </c>
      <c r="K984" s="126">
        <v>45520</v>
      </c>
      <c r="L984" s="36">
        <f>WEEKNUM(Table1[[#This Row],[ETA
As requested
dd.mm.yyyy]])</f>
        <v>33</v>
      </c>
      <c r="M984" s="36">
        <f>YEAR(Table1[[#This Row],[ETA
As requested
dd.mm.yyyy]])</f>
        <v>2024</v>
      </c>
      <c r="N984" s="36">
        <f>IFERROR(INDEX(DATABASE_FG!$H$5:$H$367, MATCH(E984, DATABASE_FG!$C$5:$C$367, 0)), " ")</f>
        <v>0</v>
      </c>
      <c r="O984" s="129" t="str">
        <f>IF(E984&lt;&gt;"", _xlfn.XLOOKUP(E984, DATABASE_FG!C:C, DATABASE_FG!F:F), " ")</f>
        <v>Housings</v>
      </c>
      <c r="P984" s="129">
        <f>IFERROR(INDEX(DATABASE_FG!$G$5:$G$367, MATCH(E984, DATABASE_FG!$C$5:$C$367, 0)), "Not Found")</f>
        <v>0</v>
      </c>
      <c r="Q984" s="36"/>
      <c r="R984" s="125"/>
      <c r="S984" s="123">
        <f>Table1[[#This Row],[Quantity]]/48</f>
        <v>7.333333333333333</v>
      </c>
      <c r="T984" s="36"/>
      <c r="U984" s="36"/>
      <c r="V984" s="36"/>
      <c r="W984" s="129"/>
      <c r="X984" s="36"/>
      <c r="Y984" s="36"/>
      <c r="Z984" s="36"/>
      <c r="AA984" s="125" t="s">
        <v>121</v>
      </c>
      <c r="AB984" s="172">
        <v>45556</v>
      </c>
      <c r="AC984" s="119">
        <v>20232268</v>
      </c>
      <c r="AD984" s="36">
        <f t="shared" si="115"/>
        <v>37347643</v>
      </c>
      <c r="AE984" s="36" t="str">
        <f t="shared" si="116"/>
        <v>F-688038.02-0421.GEH.WE36</v>
      </c>
      <c r="AF984" s="36">
        <f>352-77</f>
        <v>275</v>
      </c>
      <c r="AG984" s="120">
        <f t="shared" si="113"/>
        <v>981.75</v>
      </c>
      <c r="AH984" s="36">
        <v>5</v>
      </c>
      <c r="AI984" s="124" t="s">
        <v>1982</v>
      </c>
      <c r="AJ984" s="122" t="s">
        <v>1981</v>
      </c>
      <c r="AK984" s="129" t="str">
        <f t="shared" ca="1" si="117"/>
        <v>Late</v>
      </c>
      <c r="AL984" s="268" t="str">
        <f t="shared" si="114"/>
        <v>August</v>
      </c>
      <c r="AM984" s="133">
        <f>YEAR(Table1[[#This Row],[ETA
As requested
dd.mm.yyyy]])</f>
        <v>2024</v>
      </c>
    </row>
    <row r="985" spans="1:39" hidden="1">
      <c r="A985" s="123" t="s">
        <v>82</v>
      </c>
      <c r="B985" s="36" t="s">
        <v>1170</v>
      </c>
      <c r="C985" s="117">
        <v>37347643</v>
      </c>
      <c r="D985" s="165">
        <v>45510</v>
      </c>
      <c r="E985" s="117" t="s">
        <v>541</v>
      </c>
      <c r="F985" s="36">
        <f>IFERROR(VLOOKUP(Table1[[#This Row],[Part Number]],DATABASE_FG!$C$6:D10974,2,FALSE)," ")</f>
        <v>0</v>
      </c>
      <c r="G985" s="117">
        <f>IFERROR(_xlfn.XLOOKUP(Table1[[#This Row],[Part Number]],Table3[Part number],Table3[Drawing
 Revision]),"")</f>
        <v>0</v>
      </c>
      <c r="H985" s="118" cm="1">
        <f t="array" ref="H985">IFERROR(INDEX(PDB!$C:$AT,MATCH(E985,PDB!$B:$B,0),MATCH(YEAR(K985),0+PDB!$C$1:$AT$1,0)),"")</f>
        <v>3.57</v>
      </c>
      <c r="I985" s="36">
        <v>968</v>
      </c>
      <c r="J985" s="125">
        <f>IFERROR(Table1[[#This Row],[Quantity]]*Table1[[#This Row],[Price/Unit
EUR]]," ")</f>
        <v>3455.7599999999998</v>
      </c>
      <c r="K985" s="126">
        <v>45520</v>
      </c>
      <c r="L985" s="36">
        <f>WEEKNUM(Table1[[#This Row],[ETA
As requested
dd.mm.yyyy]])</f>
        <v>33</v>
      </c>
      <c r="M985" s="36">
        <f>YEAR(Table1[[#This Row],[ETA
As requested
dd.mm.yyyy]])</f>
        <v>2024</v>
      </c>
      <c r="N985" s="36">
        <f>IFERROR(INDEX(DATABASE_FG!$H$5:$H$367, MATCH(E985, DATABASE_FG!$C$5:$C$367, 0)), " ")</f>
        <v>0</v>
      </c>
      <c r="O985" s="129" t="str">
        <f>IF(E985&lt;&gt;"", _xlfn.XLOOKUP(E985, DATABASE_FG!C:C, DATABASE_FG!F:F), " ")</f>
        <v>Housings</v>
      </c>
      <c r="P985" s="129">
        <f>IFERROR(INDEX(DATABASE_FG!$G$5:$G$367, MATCH(E985, DATABASE_FG!$C$5:$C$367, 0)), "Not Found")</f>
        <v>0</v>
      </c>
      <c r="Q985" s="36"/>
      <c r="R985" s="125"/>
      <c r="S985" s="123">
        <f>Table1[[#This Row],[Quantity]]/48</f>
        <v>20.166666666666668</v>
      </c>
      <c r="T985" s="36"/>
      <c r="U985" s="36"/>
      <c r="V985" s="36"/>
      <c r="W985" s="129"/>
      <c r="X985" s="36"/>
      <c r="Y985" s="36"/>
      <c r="Z985" s="36"/>
      <c r="AA985" s="125" t="s">
        <v>121</v>
      </c>
      <c r="AB985" s="172">
        <v>45563</v>
      </c>
      <c r="AC985" s="119">
        <v>20232274</v>
      </c>
      <c r="AD985" s="36">
        <f t="shared" si="115"/>
        <v>37347643</v>
      </c>
      <c r="AE985" s="36" t="str">
        <f t="shared" si="116"/>
        <v>F-688038.02-0421.GEH.WE36</v>
      </c>
      <c r="AF985" s="36">
        <v>968</v>
      </c>
      <c r="AG985" s="120">
        <f t="shared" si="113"/>
        <v>3455.7599999999998</v>
      </c>
      <c r="AH985" s="36"/>
      <c r="AI985" s="124"/>
      <c r="AJ985" s="122" t="s">
        <v>1983</v>
      </c>
      <c r="AK985" s="129" t="str">
        <f t="shared" ca="1" si="117"/>
        <v>Late</v>
      </c>
      <c r="AL985" s="268" t="str">
        <f t="shared" si="114"/>
        <v>August</v>
      </c>
      <c r="AM985" s="133">
        <f>YEAR(Table1[[#This Row],[ETA
As requested
dd.mm.yyyy]])</f>
        <v>2024</v>
      </c>
    </row>
    <row r="986" spans="1:39" hidden="1">
      <c r="A986" s="123" t="s">
        <v>82</v>
      </c>
      <c r="B986" s="36" t="s">
        <v>1170</v>
      </c>
      <c r="C986" s="117">
        <v>37347643</v>
      </c>
      <c r="D986" s="165">
        <v>45510</v>
      </c>
      <c r="E986" s="117" t="s">
        <v>541</v>
      </c>
      <c r="F986" s="36">
        <f>IFERROR(VLOOKUP(Table1[[#This Row],[Part Number]],DATABASE_FG!$C$6:D10975,2,FALSE)," ")</f>
        <v>0</v>
      </c>
      <c r="G986" s="117">
        <f>IFERROR(_xlfn.XLOOKUP(Table1[[#This Row],[Part Number]],Table3[Part number],Table3[Drawing
 Revision]),"")</f>
        <v>0</v>
      </c>
      <c r="H986" s="118" cm="1">
        <f t="array" ref="H986">IFERROR(INDEX(PDB!$C:$AT,MATCH(E986,PDB!$B:$B,0),MATCH(YEAR(K986),0+PDB!$C$1:$AT$1,0)),"")</f>
        <v>3.57</v>
      </c>
      <c r="I986" s="36">
        <v>269</v>
      </c>
      <c r="J986" s="125">
        <f>IFERROR(Table1[[#This Row],[Quantity]]*Table1[[#This Row],[Price/Unit
EUR]]," ")</f>
        <v>960.32999999999993</v>
      </c>
      <c r="K986" s="126">
        <v>45520</v>
      </c>
      <c r="L986" s="36">
        <f>WEEKNUM(Table1[[#This Row],[ETA
As requested
dd.mm.yyyy]])</f>
        <v>33</v>
      </c>
      <c r="M986" s="36">
        <f>YEAR(Table1[[#This Row],[ETA
As requested
dd.mm.yyyy]])</f>
        <v>2024</v>
      </c>
      <c r="N986" s="36">
        <f>IFERROR(INDEX(DATABASE_FG!$H$5:$H$367, MATCH(E986, DATABASE_FG!$C$5:$C$367, 0)), " ")</f>
        <v>0</v>
      </c>
      <c r="O986" s="129" t="str">
        <f>IF(E986&lt;&gt;"", _xlfn.XLOOKUP(E986, DATABASE_FG!C:C, DATABASE_FG!F:F), " ")</f>
        <v>Housings</v>
      </c>
      <c r="P986" s="129">
        <f>IFERROR(INDEX(DATABASE_FG!$G$5:$G$367, MATCH(E986, DATABASE_FG!$C$5:$C$367, 0)), "Not Found")</f>
        <v>0</v>
      </c>
      <c r="Q986" s="36"/>
      <c r="R986" s="125"/>
      <c r="S986" s="123">
        <f>Table1[[#This Row],[Quantity]]/48</f>
        <v>5.604166666666667</v>
      </c>
      <c r="T986" s="36"/>
      <c r="U986" s="36"/>
      <c r="V986" s="36"/>
      <c r="W986" s="129"/>
      <c r="X986" s="36"/>
      <c r="Y986" s="36"/>
      <c r="Z986" s="36"/>
      <c r="AA986" s="125" t="s">
        <v>121</v>
      </c>
      <c r="AB986" s="172">
        <v>45570</v>
      </c>
      <c r="AC986" s="119">
        <v>20232277</v>
      </c>
      <c r="AD986" s="36">
        <f t="shared" si="115"/>
        <v>37347643</v>
      </c>
      <c r="AE986" s="36" t="str">
        <f t="shared" si="116"/>
        <v>F-688038.02-0421.GEH.WE36</v>
      </c>
      <c r="AF986" s="36">
        <v>269</v>
      </c>
      <c r="AG986" s="120">
        <f t="shared" si="113"/>
        <v>960.32999999999993</v>
      </c>
      <c r="AH986" s="36"/>
      <c r="AI986" s="124" t="s">
        <v>1985</v>
      </c>
      <c r="AJ986" s="122" t="s">
        <v>1984</v>
      </c>
      <c r="AK986" s="129" t="str">
        <f t="shared" ca="1" si="117"/>
        <v>Late</v>
      </c>
      <c r="AL986" s="268" t="str">
        <f t="shared" si="114"/>
        <v>August</v>
      </c>
      <c r="AM986" s="133">
        <f>YEAR(Table1[[#This Row],[ETA
As requested
dd.mm.yyyy]])</f>
        <v>2024</v>
      </c>
    </row>
    <row r="987" spans="1:39" hidden="1">
      <c r="A987" s="123" t="s">
        <v>82</v>
      </c>
      <c r="B987" s="36" t="s">
        <v>1170</v>
      </c>
      <c r="C987" s="117">
        <v>37347643</v>
      </c>
      <c r="D987" s="165">
        <v>45510</v>
      </c>
      <c r="E987" s="117" t="s">
        <v>541</v>
      </c>
      <c r="F987" s="36">
        <f>IFERROR(VLOOKUP(Table1[[#This Row],[Part Number]],DATABASE_FG!$C$6:D10976,2,FALSE)," ")</f>
        <v>0</v>
      </c>
      <c r="G987" s="117">
        <f>IFERROR(_xlfn.XLOOKUP(Table1[[#This Row],[Part Number]],Table3[Part number],Table3[Drawing
 Revision]),"")</f>
        <v>0</v>
      </c>
      <c r="H987" s="118" cm="1">
        <f t="array" ref="H987">IFERROR(INDEX(PDB!$C:$AT,MATCH(E987,PDB!$B:$B,0),MATCH(YEAR(K987),0+PDB!$C$1:$AT$1,0)),"")</f>
        <v>3.57</v>
      </c>
      <c r="I987" s="36">
        <v>264</v>
      </c>
      <c r="J987" s="125">
        <f>IFERROR(Table1[[#This Row],[Quantity]]*Table1[[#This Row],[Price/Unit
EUR]]," ")</f>
        <v>942.4799999999999</v>
      </c>
      <c r="K987" s="126">
        <v>45520</v>
      </c>
      <c r="L987" s="36">
        <f>WEEKNUM(Table1[[#This Row],[ETA
As requested
dd.mm.yyyy]])</f>
        <v>33</v>
      </c>
      <c r="M987" s="36">
        <f>YEAR(Table1[[#This Row],[ETA
As requested
dd.mm.yyyy]])</f>
        <v>2024</v>
      </c>
      <c r="N987" s="36">
        <f>IFERROR(INDEX(DATABASE_FG!$H$5:$H$367, MATCH(E987, DATABASE_FG!$C$5:$C$367, 0)), " ")</f>
        <v>0</v>
      </c>
      <c r="O987" s="129" t="str">
        <f>IF(E987&lt;&gt;"", _xlfn.XLOOKUP(E987, DATABASE_FG!C:C, DATABASE_FG!F:F), " ")</f>
        <v>Housings</v>
      </c>
      <c r="P987" s="129">
        <f>IFERROR(INDEX(DATABASE_FG!$G$5:$G$367, MATCH(E987, DATABASE_FG!$C$5:$C$367, 0)), "Not Found")</f>
        <v>0</v>
      </c>
      <c r="Q987" s="36"/>
      <c r="R987" s="125"/>
      <c r="S987" s="123">
        <f>Table1[[#This Row],[Quantity]]/48</f>
        <v>5.5</v>
      </c>
      <c r="T987" s="36"/>
      <c r="U987" s="36"/>
      <c r="V987" s="36"/>
      <c r="W987" s="129"/>
      <c r="X987" s="36"/>
      <c r="Y987" s="36"/>
      <c r="Z987" s="36"/>
      <c r="AA987" s="125" t="s">
        <v>121</v>
      </c>
      <c r="AB987" s="172">
        <v>45584</v>
      </c>
      <c r="AC987" s="119">
        <v>20232292</v>
      </c>
      <c r="AD987" s="36">
        <f t="shared" si="115"/>
        <v>37347643</v>
      </c>
      <c r="AE987" s="36" t="str">
        <f t="shared" si="116"/>
        <v>F-688038.02-0421.GEH.WE36</v>
      </c>
      <c r="AF987" s="36">
        <v>264</v>
      </c>
      <c r="AG987" s="120">
        <f t="shared" si="113"/>
        <v>942.4799999999999</v>
      </c>
      <c r="AH987" s="36"/>
      <c r="AI987" s="124"/>
      <c r="AJ987" s="122" t="s">
        <v>1988</v>
      </c>
      <c r="AK987" s="129" t="str">
        <f t="shared" ca="1" si="117"/>
        <v>Late</v>
      </c>
      <c r="AL987" s="268" t="str">
        <f t="shared" si="114"/>
        <v>August</v>
      </c>
      <c r="AM987" s="133">
        <f>YEAR(Table1[[#This Row],[ETA
As requested
dd.mm.yyyy]])</f>
        <v>2024</v>
      </c>
    </row>
    <row r="988" spans="1:39" ht="15.75" hidden="1">
      <c r="A988" s="123" t="s">
        <v>82</v>
      </c>
      <c r="B988" s="36" t="s">
        <v>1170</v>
      </c>
      <c r="C988" s="117">
        <v>37347643</v>
      </c>
      <c r="D988" s="165">
        <v>45511</v>
      </c>
      <c r="E988" s="117" t="s">
        <v>541</v>
      </c>
      <c r="F988" s="36">
        <f>IFERROR(VLOOKUP(Table1[[#This Row],[Part Number]],DATABASE_FG!$C$6:D10977,2,FALSE)," ")</f>
        <v>0</v>
      </c>
      <c r="G988" s="117">
        <f>IFERROR(_xlfn.XLOOKUP(Table1[[#This Row],[Part Number]],Table3[Part number],Table3[Drawing
 Revision]),"")</f>
        <v>0</v>
      </c>
      <c r="H988" s="118" cm="1">
        <f t="array" ref="H988">IFERROR(INDEX(PDB!$C:$AT,MATCH(E988,PDB!$B:$B,0),MATCH(YEAR(K988),0+PDB!$C$1:$AT$1,0)),"")</f>
        <v>3.57</v>
      </c>
      <c r="I988" s="36">
        <v>1320</v>
      </c>
      <c r="J988" s="125">
        <f>IFERROR(Table1[[#This Row],[Quantity]]*Table1[[#This Row],[Price/Unit
EUR]]," ")</f>
        <v>4712.3999999999996</v>
      </c>
      <c r="K988" s="126">
        <v>45520</v>
      </c>
      <c r="L988" s="36">
        <f>WEEKNUM(Table1[[#This Row],[ETA
As requested
dd.mm.yyyy]])</f>
        <v>33</v>
      </c>
      <c r="M988" s="36">
        <f>YEAR(Table1[[#This Row],[ETA
As requested
dd.mm.yyyy]])</f>
        <v>2024</v>
      </c>
      <c r="N988" s="36">
        <f>IFERROR(INDEX(DATABASE_FG!$H$5:$H$367, MATCH(E988, DATABASE_FG!$C$5:$C$367, 0)), " ")</f>
        <v>0</v>
      </c>
      <c r="O988" s="129" t="str">
        <f>IF(E988&lt;&gt;"", _xlfn.XLOOKUP(E988, DATABASE_FG!C:C, DATABASE_FG!F:F), " ")</f>
        <v>Housings</v>
      </c>
      <c r="P988" s="129">
        <f>IFERROR(INDEX(DATABASE_FG!$G$5:$G$367, MATCH(E988, DATABASE_FG!$C$5:$C$367, 0)), "Not Found")</f>
        <v>0</v>
      </c>
      <c r="Q988" s="36"/>
      <c r="R988" s="125"/>
      <c r="S988" s="123">
        <f>Table1[[#This Row],[Quantity]]/48</f>
        <v>27.5</v>
      </c>
      <c r="T988" s="36"/>
      <c r="U988" s="36"/>
      <c r="V988" s="36"/>
      <c r="W988" s="129"/>
      <c r="X988" s="36"/>
      <c r="Y988" s="36"/>
      <c r="Z988" s="36"/>
      <c r="AA988" s="125" t="s">
        <v>121</v>
      </c>
      <c r="AB988" s="172">
        <v>45593</v>
      </c>
      <c r="AC988" s="119">
        <v>202401289</v>
      </c>
      <c r="AD988" s="36">
        <f t="shared" si="115"/>
        <v>37347643</v>
      </c>
      <c r="AE988" s="36" t="str">
        <f t="shared" si="116"/>
        <v>F-688038.02-0421.GEH.WE36</v>
      </c>
      <c r="AF988" s="36">
        <f>1320</f>
        <v>1320</v>
      </c>
      <c r="AG988" s="120">
        <f t="shared" si="113"/>
        <v>4712.3999999999996</v>
      </c>
      <c r="AH988" s="36"/>
      <c r="AI988" s="124" t="s">
        <v>1995</v>
      </c>
      <c r="AJ988" s="122" t="s">
        <v>1996</v>
      </c>
      <c r="AK988" s="129" t="str">
        <f t="shared" ca="1" si="117"/>
        <v>Late</v>
      </c>
      <c r="AL988" s="268" t="str">
        <f t="shared" si="114"/>
        <v>August</v>
      </c>
      <c r="AM988" s="133">
        <f>YEAR(Table1[[#This Row],[ETA
As requested
dd.mm.yyyy]])</f>
        <v>2024</v>
      </c>
    </row>
    <row r="989" spans="1:39" hidden="1">
      <c r="A989" s="123" t="s">
        <v>82</v>
      </c>
      <c r="B989" s="36" t="s">
        <v>1170</v>
      </c>
      <c r="C989" s="117">
        <v>37347643</v>
      </c>
      <c r="D989" s="165">
        <v>45511</v>
      </c>
      <c r="E989" s="117" t="s">
        <v>541</v>
      </c>
      <c r="F989" s="36">
        <f>IFERROR(VLOOKUP(Table1[[#This Row],[Part Number]],DATABASE_FG!$C$6:D10978,2,FALSE)," ")</f>
        <v>0</v>
      </c>
      <c r="G989" s="117">
        <f>IFERROR(_xlfn.XLOOKUP(Table1[[#This Row],[Part Number]],Table3[Part number],Table3[Drawing
 Revision]),"")</f>
        <v>0</v>
      </c>
      <c r="H989" s="118" cm="1">
        <f t="array" ref="H989">IFERROR(INDEX(PDB!$C:$AT,MATCH(E989,PDB!$B:$B,0),MATCH(YEAR(K989),0+PDB!$C$1:$AT$1,0)),"")</f>
        <v>3.57</v>
      </c>
      <c r="I989" s="36">
        <v>1232</v>
      </c>
      <c r="J989" s="125">
        <f>IFERROR(Table1[[#This Row],[Quantity]]*Table1[[#This Row],[Price/Unit
EUR]]," ")</f>
        <v>4398.24</v>
      </c>
      <c r="K989" s="126">
        <v>45520</v>
      </c>
      <c r="L989" s="36">
        <f>WEEKNUM(Table1[[#This Row],[ETA
As requested
dd.mm.yyyy]])</f>
        <v>33</v>
      </c>
      <c r="M989" s="36">
        <f>YEAR(Table1[[#This Row],[ETA
As requested
dd.mm.yyyy]])</f>
        <v>2024</v>
      </c>
      <c r="N989" s="36">
        <f>IFERROR(INDEX(DATABASE_FG!$H$5:$H$367, MATCH(E989, DATABASE_FG!$C$5:$C$367, 0)), " ")</f>
        <v>0</v>
      </c>
      <c r="O989" s="129" t="str">
        <f>IF(E989&lt;&gt;"", _xlfn.XLOOKUP(E989, DATABASE_FG!C:C, DATABASE_FG!F:F), " ")</f>
        <v>Housings</v>
      </c>
      <c r="P989" s="129">
        <f>IFERROR(INDEX(DATABASE_FG!$G$5:$G$367, MATCH(E989, DATABASE_FG!$C$5:$C$367, 0)), "Not Found")</f>
        <v>0</v>
      </c>
      <c r="Q989" s="36"/>
      <c r="R989" s="125"/>
      <c r="S989" s="123">
        <f>Table1[[#This Row],[Quantity]]/48</f>
        <v>25.666666666666668</v>
      </c>
      <c r="T989" s="36"/>
      <c r="U989" s="36"/>
      <c r="V989" s="36"/>
      <c r="W989" s="129"/>
      <c r="X989" s="36"/>
      <c r="Y989" s="36"/>
      <c r="Z989" s="36"/>
      <c r="AA989" s="125" t="s">
        <v>121</v>
      </c>
      <c r="AB989" s="172">
        <v>45601</v>
      </c>
      <c r="AC989" s="119">
        <v>202401329</v>
      </c>
      <c r="AD989" s="36">
        <f t="shared" si="115"/>
        <v>37347643</v>
      </c>
      <c r="AE989" s="36" t="str">
        <f t="shared" si="116"/>
        <v>F-688038.02-0421.GEH.WE36</v>
      </c>
      <c r="AF989" s="36">
        <v>1232</v>
      </c>
      <c r="AG989" s="120">
        <f t="shared" si="113"/>
        <v>4398.24</v>
      </c>
      <c r="AH989" s="36"/>
      <c r="AI989" s="124"/>
      <c r="AJ989" s="122" t="s">
        <v>1997</v>
      </c>
      <c r="AK989" s="129" t="str">
        <f t="shared" ca="1" si="117"/>
        <v>Late</v>
      </c>
      <c r="AL989" s="268" t="str">
        <f t="shared" si="114"/>
        <v>August</v>
      </c>
      <c r="AM989" s="133">
        <f>YEAR(Table1[[#This Row],[ETA
As requested
dd.mm.yyyy]])</f>
        <v>2024</v>
      </c>
    </row>
    <row r="990" spans="1:39" hidden="1">
      <c r="A990" s="123" t="s">
        <v>82</v>
      </c>
      <c r="B990" s="36" t="s">
        <v>1170</v>
      </c>
      <c r="C990" s="117">
        <v>37347643</v>
      </c>
      <c r="D990" s="165">
        <v>45511</v>
      </c>
      <c r="E990" s="117" t="s">
        <v>541</v>
      </c>
      <c r="F990" s="36">
        <f>IFERROR(VLOOKUP(Table1[[#This Row],[Part Number]],DATABASE_FG!$C$6:D10979,2,FALSE)," ")</f>
        <v>0</v>
      </c>
      <c r="G990" s="117">
        <f>IFERROR(_xlfn.XLOOKUP(Table1[[#This Row],[Part Number]],Table3[Part number],Table3[Drawing
 Revision]),"")</f>
        <v>0</v>
      </c>
      <c r="H990" s="118" cm="1">
        <f t="array" ref="H990">IFERROR(INDEX(PDB!$C:$AT,MATCH(E990,PDB!$B:$B,0),MATCH(YEAR(K990),0+PDB!$C$1:$AT$1,0)),"")</f>
        <v>3.57</v>
      </c>
      <c r="I990" s="36">
        <v>264</v>
      </c>
      <c r="J990" s="125">
        <f>IFERROR(Table1[[#This Row],[Quantity]]*Table1[[#This Row],[Price/Unit
EUR]]," ")</f>
        <v>942.4799999999999</v>
      </c>
      <c r="K990" s="126">
        <v>45520</v>
      </c>
      <c r="L990" s="36">
        <f>WEEKNUM(Table1[[#This Row],[ETA
As requested
dd.mm.yyyy]])</f>
        <v>33</v>
      </c>
      <c r="M990" s="36">
        <f>YEAR(Table1[[#This Row],[ETA
As requested
dd.mm.yyyy]])</f>
        <v>2024</v>
      </c>
      <c r="N990" s="36">
        <f>IFERROR(INDEX(DATABASE_FG!$H$5:$H$367, MATCH(E990, DATABASE_FG!$C$5:$C$367, 0)), " ")</f>
        <v>0</v>
      </c>
      <c r="O990" s="129" t="str">
        <f>IF(E990&lt;&gt;"", _xlfn.XLOOKUP(E990, DATABASE_FG!C:C, DATABASE_FG!F:F), " ")</f>
        <v>Housings</v>
      </c>
      <c r="P990" s="129">
        <f>IFERROR(INDEX(DATABASE_FG!$G$5:$G$367, MATCH(E990, DATABASE_FG!$C$5:$C$367, 0)), "Not Found")</f>
        <v>0</v>
      </c>
      <c r="Q990" s="36"/>
      <c r="R990" s="125"/>
      <c r="S990" s="123">
        <f>Table1[[#This Row],[Quantity]]/48</f>
        <v>5.5</v>
      </c>
      <c r="T990" s="36"/>
      <c r="U990" s="36"/>
      <c r="V990" s="36"/>
      <c r="W990" s="129"/>
      <c r="X990" s="36"/>
      <c r="Y990" s="36"/>
      <c r="Z990" s="36"/>
      <c r="AA990" s="125" t="s">
        <v>121</v>
      </c>
      <c r="AB990" s="173">
        <v>45608</v>
      </c>
      <c r="AC990" s="119">
        <v>202401379</v>
      </c>
      <c r="AD990" s="36">
        <f t="shared" si="115"/>
        <v>37347643</v>
      </c>
      <c r="AE990" s="36" t="str">
        <f t="shared" si="116"/>
        <v>F-688038.02-0421.GEH.WE36</v>
      </c>
      <c r="AF990" s="36">
        <v>264</v>
      </c>
      <c r="AG990" s="120">
        <f t="shared" si="113"/>
        <v>942.4799999999999</v>
      </c>
      <c r="AH990" s="36"/>
      <c r="AI990" s="124"/>
      <c r="AJ990" s="122" t="s">
        <v>2001</v>
      </c>
      <c r="AK990" s="129" t="str">
        <f t="shared" ca="1" si="117"/>
        <v>Late</v>
      </c>
      <c r="AL990" s="268" t="str">
        <f t="shared" si="114"/>
        <v>August</v>
      </c>
      <c r="AM990" s="133">
        <f>YEAR(Table1[[#This Row],[ETA
As requested
dd.mm.yyyy]])</f>
        <v>2024</v>
      </c>
    </row>
    <row r="991" spans="1:39" hidden="1">
      <c r="A991" s="123" t="s">
        <v>82</v>
      </c>
      <c r="B991" s="36" t="s">
        <v>1170</v>
      </c>
      <c r="C991" s="117">
        <v>37347643</v>
      </c>
      <c r="D991" s="165">
        <v>45511</v>
      </c>
      <c r="E991" s="117" t="s">
        <v>541</v>
      </c>
      <c r="F991" s="36">
        <f>IFERROR(VLOOKUP(Table1[[#This Row],[Part Number]],DATABASE_FG!$C$6:D10980,2,FALSE)," ")</f>
        <v>0</v>
      </c>
      <c r="G991" s="117">
        <f>IFERROR(_xlfn.XLOOKUP(Table1[[#This Row],[Part Number]],Table3[Part number],Table3[Drawing
 Revision]),"")</f>
        <v>0</v>
      </c>
      <c r="H991" s="118" cm="1">
        <f t="array" ref="H991">IFERROR(INDEX(PDB!$C:$AT,MATCH(E991,PDB!$B:$B,0),MATCH(YEAR(K991),0+PDB!$C$1:$AT$1,0)),"")</f>
        <v>3.57</v>
      </c>
      <c r="I991" s="36">
        <v>616</v>
      </c>
      <c r="J991" s="125">
        <f>IFERROR(Table1[[#This Row],[Quantity]]*Table1[[#This Row],[Price/Unit
EUR]]," ")</f>
        <v>2199.12</v>
      </c>
      <c r="K991" s="126">
        <v>45520</v>
      </c>
      <c r="L991" s="36">
        <f>WEEKNUM(Table1[[#This Row],[ETA
As requested
dd.mm.yyyy]])</f>
        <v>33</v>
      </c>
      <c r="M991" s="36">
        <f>YEAR(Table1[[#This Row],[ETA
As requested
dd.mm.yyyy]])</f>
        <v>2024</v>
      </c>
      <c r="N991" s="36">
        <f>IFERROR(INDEX(DATABASE_FG!$H$5:$H$367, MATCH(E991, DATABASE_FG!$C$5:$C$367, 0)), " ")</f>
        <v>0</v>
      </c>
      <c r="O991" s="129" t="str">
        <f>IF(E991&lt;&gt;"", _xlfn.XLOOKUP(E991, DATABASE_FG!C:C, DATABASE_FG!F:F), " ")</f>
        <v>Housings</v>
      </c>
      <c r="P991" s="129">
        <f>IFERROR(INDEX(DATABASE_FG!$G$5:$G$367, MATCH(E991, DATABASE_FG!$C$5:$C$367, 0)), "Not Found")</f>
        <v>0</v>
      </c>
      <c r="Q991" s="36"/>
      <c r="R991" s="125"/>
      <c r="S991" s="123">
        <f>Table1[[#This Row],[Quantity]]/48</f>
        <v>12.833333333333334</v>
      </c>
      <c r="T991" s="36"/>
      <c r="U991" s="36"/>
      <c r="V991" s="36"/>
      <c r="W991" s="129"/>
      <c r="X991" s="36"/>
      <c r="Y991" s="36"/>
      <c r="Z991" s="36"/>
      <c r="AA991" s="125" t="s">
        <v>121</v>
      </c>
      <c r="AB991" s="173">
        <v>45617</v>
      </c>
      <c r="AC991" s="119">
        <v>202401411</v>
      </c>
      <c r="AD991" s="36">
        <f t="shared" si="115"/>
        <v>37347643</v>
      </c>
      <c r="AE991" s="36" t="str">
        <f t="shared" si="116"/>
        <v>F-688038.02-0421.GEH.WE36</v>
      </c>
      <c r="AF991" s="36">
        <v>616</v>
      </c>
      <c r="AG991" s="120">
        <f t="shared" si="113"/>
        <v>2199.12</v>
      </c>
      <c r="AH991" s="36"/>
      <c r="AI991" s="124"/>
      <c r="AJ991" s="122" t="s">
        <v>2003</v>
      </c>
      <c r="AK991" s="129" t="str">
        <f t="shared" ca="1" si="117"/>
        <v>Late</v>
      </c>
      <c r="AL991" s="268" t="str">
        <f t="shared" si="114"/>
        <v>August</v>
      </c>
      <c r="AM991" s="133">
        <f>YEAR(Table1[[#This Row],[ETA
As requested
dd.mm.yyyy]])</f>
        <v>2024</v>
      </c>
    </row>
    <row r="992" spans="1:39" hidden="1">
      <c r="A992" s="123" t="s">
        <v>82</v>
      </c>
      <c r="B992" s="36" t="s">
        <v>1170</v>
      </c>
      <c r="C992" s="117">
        <v>37347643</v>
      </c>
      <c r="D992" s="165">
        <v>45511</v>
      </c>
      <c r="E992" s="117" t="s">
        <v>541</v>
      </c>
      <c r="F992" s="36">
        <f>IFERROR(VLOOKUP(Table1[[#This Row],[Part Number]],DATABASE_FG!$C$6:D10981,2,FALSE)," ")</f>
        <v>0</v>
      </c>
      <c r="G992" s="117">
        <f>IFERROR(_xlfn.XLOOKUP(Table1[[#This Row],[Part Number]],Table3[Part number],Table3[Drawing
 Revision]),"")</f>
        <v>0</v>
      </c>
      <c r="H992" s="118" cm="1">
        <f t="array" ref="H992">IFERROR(INDEX(PDB!$C:$AT,MATCH(E992,PDB!$B:$B,0),MATCH(YEAR(K992),0+PDB!$C$1:$AT$1,0)),"")</f>
        <v>3.57</v>
      </c>
      <c r="I992" s="36">
        <v>726</v>
      </c>
      <c r="J992" s="125">
        <f>IFERROR(Table1[[#This Row],[Quantity]]*Table1[[#This Row],[Price/Unit
EUR]]," ")</f>
        <v>2591.8199999999997</v>
      </c>
      <c r="K992" s="126">
        <v>45520</v>
      </c>
      <c r="L992" s="36">
        <f>WEEKNUM(Table1[[#This Row],[ETA
As requested
dd.mm.yyyy]])</f>
        <v>33</v>
      </c>
      <c r="M992" s="36">
        <f>YEAR(Table1[[#This Row],[ETA
As requested
dd.mm.yyyy]])</f>
        <v>2024</v>
      </c>
      <c r="N992" s="36">
        <f>IFERROR(INDEX(DATABASE_FG!$H$5:$H$367, MATCH(E992, DATABASE_FG!$C$5:$C$367, 0)), " ")</f>
        <v>0</v>
      </c>
      <c r="O992" s="129" t="str">
        <f>IF(E992&lt;&gt;"", _xlfn.XLOOKUP(E992, DATABASE_FG!C:C, DATABASE_FG!F:F), " ")</f>
        <v>Housings</v>
      </c>
      <c r="P992" s="129">
        <f>IFERROR(INDEX(DATABASE_FG!$G$5:$G$367, MATCH(E992, DATABASE_FG!$C$5:$C$367, 0)), "Not Found")</f>
        <v>0</v>
      </c>
      <c r="Q992" s="36"/>
      <c r="R992" s="125"/>
      <c r="S992" s="123">
        <f>Table1[[#This Row],[Quantity]]/48</f>
        <v>15.125</v>
      </c>
      <c r="T992" s="36"/>
      <c r="U992" s="36"/>
      <c r="V992" s="36"/>
      <c r="W992" s="129"/>
      <c r="X992" s="36"/>
      <c r="Y992" s="36"/>
      <c r="Z992" s="36"/>
      <c r="AA992" s="125" t="s">
        <v>121</v>
      </c>
      <c r="AB992" s="173">
        <v>45622</v>
      </c>
      <c r="AC992" s="119">
        <v>202401441</v>
      </c>
      <c r="AD992" s="36">
        <f t="shared" si="115"/>
        <v>37347643</v>
      </c>
      <c r="AE992" s="36" t="str">
        <f t="shared" si="116"/>
        <v>F-688038.02-0421.GEH.WE36</v>
      </c>
      <c r="AF992" s="36">
        <v>726</v>
      </c>
      <c r="AG992" s="120">
        <f t="shared" si="113"/>
        <v>2591.8199999999997</v>
      </c>
      <c r="AH992" s="36"/>
      <c r="AI992" s="124"/>
      <c r="AJ992" s="122" t="s">
        <v>2006</v>
      </c>
      <c r="AK992" s="129" t="str">
        <f t="shared" ca="1" si="117"/>
        <v>Late</v>
      </c>
      <c r="AL992" s="268" t="str">
        <f t="shared" si="114"/>
        <v>August</v>
      </c>
      <c r="AM992" s="133">
        <f>YEAR(Table1[[#This Row],[ETA
As requested
dd.mm.yyyy]])</f>
        <v>2024</v>
      </c>
    </row>
    <row r="993" spans="1:39" hidden="1">
      <c r="A993" s="123" t="s">
        <v>82</v>
      </c>
      <c r="B993" s="36" t="s">
        <v>1170</v>
      </c>
      <c r="C993" s="117">
        <v>37347643</v>
      </c>
      <c r="D993" s="165">
        <v>45511</v>
      </c>
      <c r="E993" s="117" t="s">
        <v>541</v>
      </c>
      <c r="F993" s="36">
        <f>IFERROR(VLOOKUP(Table1[[#This Row],[Part Number]],DATABASE_FG!$C$6:D10982,2,FALSE)," ")</f>
        <v>0</v>
      </c>
      <c r="G993" s="117">
        <f>IFERROR(_xlfn.XLOOKUP(Table1[[#This Row],[Part Number]],Table3[Part number],Table3[Drawing
 Revision]),"")</f>
        <v>0</v>
      </c>
      <c r="H993" s="118" cm="1">
        <f t="array" ref="H993">IFERROR(INDEX(PDB!$C:$AT,MATCH(E993,PDB!$B:$B,0),MATCH(YEAR(K993),0+PDB!$C$1:$AT$1,0)),"")</f>
        <v>3.57</v>
      </c>
      <c r="I993" s="36">
        <v>880</v>
      </c>
      <c r="J993" s="125">
        <f>IFERROR(Table1[[#This Row],[Quantity]]*Table1[[#This Row],[Price/Unit
EUR]]," ")</f>
        <v>3141.6</v>
      </c>
      <c r="K993" s="126">
        <v>45520</v>
      </c>
      <c r="L993" s="36">
        <f>WEEKNUM(Table1[[#This Row],[ETA
As requested
dd.mm.yyyy]])</f>
        <v>33</v>
      </c>
      <c r="M993" s="36">
        <f>YEAR(Table1[[#This Row],[ETA
As requested
dd.mm.yyyy]])</f>
        <v>2024</v>
      </c>
      <c r="N993" s="36">
        <f>IFERROR(INDEX(DATABASE_FG!$H$5:$H$367, MATCH(E993, DATABASE_FG!$C$5:$C$367, 0)), " ")</f>
        <v>0</v>
      </c>
      <c r="O993" s="129" t="str">
        <f>IF(E993&lt;&gt;"", _xlfn.XLOOKUP(E993, DATABASE_FG!C:C, DATABASE_FG!F:F), " ")</f>
        <v>Housings</v>
      </c>
      <c r="P993" s="129">
        <f>IFERROR(INDEX(DATABASE_FG!$G$5:$G$367, MATCH(E993, DATABASE_FG!$C$5:$C$367, 0)), "Not Found")</f>
        <v>0</v>
      </c>
      <c r="Q993" s="36"/>
      <c r="R993" s="125"/>
      <c r="S993" s="123">
        <f>Table1[[#This Row],[Quantity]]/48</f>
        <v>18.333333333333332</v>
      </c>
      <c r="T993" s="36"/>
      <c r="U993" s="36"/>
      <c r="V993" s="36"/>
      <c r="W993" s="129"/>
      <c r="X993" s="36"/>
      <c r="Y993" s="36"/>
      <c r="Z993" s="36"/>
      <c r="AA993" s="125" t="s">
        <v>121</v>
      </c>
      <c r="AB993" s="173">
        <v>45629</v>
      </c>
      <c r="AC993" s="119">
        <v>202401464</v>
      </c>
      <c r="AD993" s="36">
        <f t="shared" si="115"/>
        <v>37347643</v>
      </c>
      <c r="AE993" s="36" t="str">
        <f t="shared" si="116"/>
        <v>F-688038.02-0421.GEH.WE36</v>
      </c>
      <c r="AF993" s="36">
        <v>880</v>
      </c>
      <c r="AG993" s="120">
        <f t="shared" si="113"/>
        <v>3141.6</v>
      </c>
      <c r="AH993" s="36"/>
      <c r="AI993" s="124"/>
      <c r="AJ993" s="122" t="s">
        <v>2008</v>
      </c>
      <c r="AK993" s="129" t="str">
        <f t="shared" ca="1" si="117"/>
        <v>Late</v>
      </c>
      <c r="AL993" s="268" t="str">
        <f t="shared" si="114"/>
        <v>August</v>
      </c>
      <c r="AM993" s="133">
        <f>YEAR(Table1[[#This Row],[ETA
As requested
dd.mm.yyyy]])</f>
        <v>2024</v>
      </c>
    </row>
    <row r="994" spans="1:39" hidden="1">
      <c r="A994" s="123" t="s">
        <v>82</v>
      </c>
      <c r="B994" s="36" t="s">
        <v>1170</v>
      </c>
      <c r="C994" s="117">
        <v>37347643</v>
      </c>
      <c r="D994" s="165">
        <v>45511</v>
      </c>
      <c r="E994" s="117" t="s">
        <v>541</v>
      </c>
      <c r="F994" s="36">
        <f>IFERROR(VLOOKUP(Table1[[#This Row],[Part Number]],DATABASE_FG!$C$6:D10983,2,FALSE)," ")</f>
        <v>0</v>
      </c>
      <c r="G994" s="117">
        <f>IFERROR(_xlfn.XLOOKUP(Table1[[#This Row],[Part Number]],Table3[Part number],Table3[Drawing
 Revision]),"")</f>
        <v>0</v>
      </c>
      <c r="H994" s="118" cm="1">
        <f t="array" ref="H994">IFERROR(INDEX(PDB!$C:$AT,MATCH(E994,PDB!$B:$B,0),MATCH(YEAR(K994),0+PDB!$C$1:$AT$1,0)),"")</f>
        <v>3.57</v>
      </c>
      <c r="I994" s="36">
        <v>72</v>
      </c>
      <c r="J994" s="125">
        <f>IFERROR(Table1[[#This Row],[Quantity]]*Table1[[#This Row],[Price/Unit
EUR]]," ")</f>
        <v>257.03999999999996</v>
      </c>
      <c r="K994" s="126">
        <v>45520</v>
      </c>
      <c r="L994" s="36">
        <f>WEEKNUM(Table1[[#This Row],[ETA
As requested
dd.mm.yyyy]])</f>
        <v>33</v>
      </c>
      <c r="M994" s="36">
        <f>YEAR(Table1[[#This Row],[ETA
As requested
dd.mm.yyyy]])</f>
        <v>2024</v>
      </c>
      <c r="N994" s="36">
        <f>IFERROR(INDEX(DATABASE_FG!$H$5:$H$367, MATCH(E994, DATABASE_FG!$C$5:$C$367, 0)), " ")</f>
        <v>0</v>
      </c>
      <c r="O994" s="129" t="str">
        <f>IF(E994&lt;&gt;"", _xlfn.XLOOKUP(E994, DATABASE_FG!C:C, DATABASE_FG!F:F), " ")</f>
        <v>Housings</v>
      </c>
      <c r="P994" s="129">
        <f>IFERROR(INDEX(DATABASE_FG!$G$5:$G$367, MATCH(E994, DATABASE_FG!$C$5:$C$367, 0)), "Not Found")</f>
        <v>0</v>
      </c>
      <c r="Q994" s="36"/>
      <c r="R994" s="125"/>
      <c r="S994" s="123">
        <f>Table1[[#This Row],[Quantity]]/48</f>
        <v>1.5</v>
      </c>
      <c r="T994" s="36"/>
      <c r="U994" s="36"/>
      <c r="V994" s="36"/>
      <c r="W994" s="129"/>
      <c r="X994" s="36"/>
      <c r="Y994" s="36"/>
      <c r="Z994" s="36"/>
      <c r="AA994" s="125" t="s">
        <v>121</v>
      </c>
      <c r="AB994" s="173">
        <v>45632</v>
      </c>
      <c r="AC994" s="119">
        <v>202401504</v>
      </c>
      <c r="AD994" s="36">
        <f t="shared" si="115"/>
        <v>37347643</v>
      </c>
      <c r="AE994" s="36" t="str">
        <f t="shared" si="116"/>
        <v>F-688038.02-0421.GEH.WE36</v>
      </c>
      <c r="AF994" s="36">
        <v>72</v>
      </c>
      <c r="AG994" s="120">
        <f t="shared" si="113"/>
        <v>257.03999999999996</v>
      </c>
      <c r="AH994" s="36"/>
      <c r="AI994" s="124"/>
      <c r="AJ994" s="122" t="s">
        <v>2010</v>
      </c>
      <c r="AK994" s="129" t="str">
        <f t="shared" ca="1" si="117"/>
        <v>Late</v>
      </c>
      <c r="AL994" s="268" t="str">
        <f t="shared" si="114"/>
        <v>August</v>
      </c>
      <c r="AM994" s="133">
        <f>YEAR(Table1[[#This Row],[ETA
As requested
dd.mm.yyyy]])</f>
        <v>2024</v>
      </c>
    </row>
    <row r="995" spans="1:39" hidden="1">
      <c r="A995" s="123" t="s">
        <v>82</v>
      </c>
      <c r="B995" s="36" t="s">
        <v>1170</v>
      </c>
      <c r="C995" s="117">
        <v>37347643</v>
      </c>
      <c r="D995" s="165">
        <v>45511</v>
      </c>
      <c r="E995" s="117" t="s">
        <v>541</v>
      </c>
      <c r="F995" s="36">
        <f>IFERROR(VLOOKUP(Table1[[#This Row],[Part Number]],DATABASE_FG!$C$6:D10984,2,FALSE)," ")</f>
        <v>0</v>
      </c>
      <c r="G995" s="117">
        <f>IFERROR(_xlfn.XLOOKUP(Table1[[#This Row],[Part Number]],Table3[Part number],Table3[Drawing
 Revision]),"")</f>
        <v>0</v>
      </c>
      <c r="H995" s="118" cm="1">
        <f t="array" ref="H995">IFERROR(INDEX(PDB!$C:$AT,MATCH(E995,PDB!$B:$B,0),MATCH(YEAR(K995),0+PDB!$C$1:$AT$1,0)),"")</f>
        <v>3.57</v>
      </c>
      <c r="I995" s="36">
        <v>264</v>
      </c>
      <c r="J995" s="125">
        <f>IFERROR(Table1[[#This Row],[Quantity]]*Table1[[#This Row],[Price/Unit
EUR]]," ")</f>
        <v>942.4799999999999</v>
      </c>
      <c r="K995" s="126">
        <v>45520</v>
      </c>
      <c r="L995" s="36">
        <f>WEEKNUM(Table1[[#This Row],[ETA
As requested
dd.mm.yyyy]])</f>
        <v>33</v>
      </c>
      <c r="M995" s="36">
        <f>YEAR(Table1[[#This Row],[ETA
As requested
dd.mm.yyyy]])</f>
        <v>2024</v>
      </c>
      <c r="N995" s="36">
        <f>IFERROR(INDEX(DATABASE_FG!$H$5:$H$367, MATCH(E995, DATABASE_FG!$C$5:$C$367, 0)), " ")</f>
        <v>0</v>
      </c>
      <c r="O995" s="129" t="str">
        <f>IF(E995&lt;&gt;"", _xlfn.XLOOKUP(E995, DATABASE_FG!C:C, DATABASE_FG!F:F), " ")</f>
        <v>Housings</v>
      </c>
      <c r="P995" s="129">
        <f>IFERROR(INDEX(DATABASE_FG!$G$5:$G$367, MATCH(E995, DATABASE_FG!$C$5:$C$367, 0)), "Not Found")</f>
        <v>0</v>
      </c>
      <c r="Q995" s="36"/>
      <c r="R995" s="125"/>
      <c r="S995" s="123">
        <f>Table1[[#This Row],[Quantity]]/48</f>
        <v>5.5</v>
      </c>
      <c r="T995" s="36"/>
      <c r="U995" s="36"/>
      <c r="V995" s="36"/>
      <c r="W995" s="129"/>
      <c r="X995" s="36"/>
      <c r="Y995" s="36"/>
      <c r="Z995" s="36"/>
      <c r="AA995" s="125" t="s">
        <v>121</v>
      </c>
      <c r="AB995" s="173">
        <v>45640</v>
      </c>
      <c r="AC995" s="119">
        <v>202401549</v>
      </c>
      <c r="AD995" s="36">
        <f t="shared" si="115"/>
        <v>37347643</v>
      </c>
      <c r="AE995" s="36" t="str">
        <f t="shared" si="116"/>
        <v>F-688038.02-0421.GEH.WE36</v>
      </c>
      <c r="AF995" s="36">
        <f>264-27</f>
        <v>237</v>
      </c>
      <c r="AG995" s="120">
        <f t="shared" si="113"/>
        <v>846.08999999999992</v>
      </c>
      <c r="AH995" s="36"/>
      <c r="AI995" s="124" t="s">
        <v>2016</v>
      </c>
      <c r="AJ995" s="122" t="s">
        <v>2017</v>
      </c>
      <c r="AK995" s="129" t="str">
        <f t="shared" ca="1" si="117"/>
        <v>Late</v>
      </c>
      <c r="AL995" s="268" t="str">
        <f t="shared" si="114"/>
        <v>August</v>
      </c>
      <c r="AM995" s="133">
        <f>YEAR(Table1[[#This Row],[ETA
As requested
dd.mm.yyyy]])</f>
        <v>2024</v>
      </c>
    </row>
    <row r="996" spans="1:39" hidden="1">
      <c r="A996" s="123" t="s">
        <v>82</v>
      </c>
      <c r="B996" s="36" t="s">
        <v>1170</v>
      </c>
      <c r="C996" s="117">
        <v>37347643</v>
      </c>
      <c r="D996" s="165">
        <v>45511</v>
      </c>
      <c r="E996" s="117" t="s">
        <v>541</v>
      </c>
      <c r="F996" s="36">
        <f>IFERROR(VLOOKUP(Table1[[#This Row],[Part Number]],DATABASE_FG!$C$6:D10985,2,FALSE)," ")</f>
        <v>0</v>
      </c>
      <c r="G996" s="117">
        <f>IFERROR(_xlfn.XLOOKUP(Table1[[#This Row],[Part Number]],Table3[Part number],Table3[Drawing
 Revision]),"")</f>
        <v>0</v>
      </c>
      <c r="H996" s="118" cm="1">
        <f t="array" ref="H996">IFERROR(INDEX(PDB!$C:$AT,MATCH(E996,PDB!$B:$B,0),MATCH(YEAR(K996),0+PDB!$C$1:$AT$1,0)),"")</f>
        <v>3.57</v>
      </c>
      <c r="I996" s="36">
        <v>480</v>
      </c>
      <c r="J996" s="125">
        <f>IFERROR(Table1[[#This Row],[Quantity]]*Table1[[#This Row],[Price/Unit
EUR]]," ")</f>
        <v>1713.6</v>
      </c>
      <c r="K996" s="126">
        <v>45520</v>
      </c>
      <c r="L996" s="36">
        <f>WEEKNUM(Table1[[#This Row],[ETA
As requested
dd.mm.yyyy]])</f>
        <v>33</v>
      </c>
      <c r="M996" s="36">
        <f>YEAR(Table1[[#This Row],[ETA
As requested
dd.mm.yyyy]])</f>
        <v>2024</v>
      </c>
      <c r="N996" s="36">
        <f>IFERROR(INDEX(DATABASE_FG!$H$5:$H$367, MATCH(E996, DATABASE_FG!$C$5:$C$367, 0)), " ")</f>
        <v>0</v>
      </c>
      <c r="O996" s="129" t="str">
        <f>IF(E996&lt;&gt;"", _xlfn.XLOOKUP(E996, DATABASE_FG!C:C, DATABASE_FG!F:F), " ")</f>
        <v>Housings</v>
      </c>
      <c r="P996" s="129">
        <f>IFERROR(INDEX(DATABASE_FG!$G$5:$G$367, MATCH(E996, DATABASE_FG!$C$5:$C$367, 0)), "Not Found")</f>
        <v>0</v>
      </c>
      <c r="Q996" s="36"/>
      <c r="R996" s="125"/>
      <c r="S996" s="123">
        <f>Table1[[#This Row],[Quantity]]/48</f>
        <v>10</v>
      </c>
      <c r="T996" s="36"/>
      <c r="U996" s="36"/>
      <c r="V996" s="36"/>
      <c r="W996" s="129"/>
      <c r="X996" s="36"/>
      <c r="Y996" s="36"/>
      <c r="Z996" s="36"/>
      <c r="AA996" s="125" t="s">
        <v>121</v>
      </c>
      <c r="AB996" s="173">
        <v>45640</v>
      </c>
      <c r="AC996" s="119">
        <v>202401549</v>
      </c>
      <c r="AD996" s="36">
        <f t="shared" si="115"/>
        <v>37347643</v>
      </c>
      <c r="AE996" s="36" t="str">
        <f t="shared" si="116"/>
        <v>F-688038.02-0421.GEH.WE36</v>
      </c>
      <c r="AF996" s="36">
        <f>480-480</f>
        <v>0</v>
      </c>
      <c r="AG996" s="120">
        <f t="shared" ref="AG996:AG1059" si="118">AF996*H996</f>
        <v>0</v>
      </c>
      <c r="AH996" s="36"/>
      <c r="AI996" s="124" t="s">
        <v>2018</v>
      </c>
      <c r="AJ996" s="122" t="s">
        <v>2017</v>
      </c>
      <c r="AK996" s="129" t="str">
        <f t="shared" ca="1" si="117"/>
        <v>Late</v>
      </c>
      <c r="AL996" s="268" t="str">
        <f t="shared" si="114"/>
        <v>August</v>
      </c>
      <c r="AM996" s="133">
        <f>YEAR(Table1[[#This Row],[ETA
As requested
dd.mm.yyyy]])</f>
        <v>2024</v>
      </c>
    </row>
    <row r="997" spans="1:39" hidden="1">
      <c r="A997" s="123" t="s">
        <v>82</v>
      </c>
      <c r="B997" s="36" t="s">
        <v>1170</v>
      </c>
      <c r="C997" s="117">
        <v>37347643</v>
      </c>
      <c r="D997" s="165">
        <v>45511</v>
      </c>
      <c r="E997" s="117" t="s">
        <v>541</v>
      </c>
      <c r="F997" s="36">
        <f>IFERROR(VLOOKUP(Table1[[#This Row],[Part Number]],DATABASE_FG!$C$6:D10986,2,FALSE)," ")</f>
        <v>0</v>
      </c>
      <c r="G997" s="117">
        <f>IFERROR(_xlfn.XLOOKUP(Table1[[#This Row],[Part Number]],Table3[Part number],Table3[Drawing
 Revision]),"")</f>
        <v>0</v>
      </c>
      <c r="H997" s="118" cm="1">
        <f t="array" ref="H997">IFERROR(INDEX(PDB!$C:$AT,MATCH(E997,PDB!$B:$B,0),MATCH(YEAR(K997),0+PDB!$C$1:$AT$1,0)),"")</f>
        <v>3.57</v>
      </c>
      <c r="I997" s="36">
        <v>374</v>
      </c>
      <c r="J997" s="125">
        <f>IFERROR(Table1[[#This Row],[Quantity]]*Table1[[#This Row],[Price/Unit
EUR]]," ")</f>
        <v>1335.1799999999998</v>
      </c>
      <c r="K997" s="126">
        <v>45520</v>
      </c>
      <c r="L997" s="36">
        <f>WEEKNUM(Table1[[#This Row],[ETA
As requested
dd.mm.yyyy]])</f>
        <v>33</v>
      </c>
      <c r="M997" s="36">
        <f>YEAR(Table1[[#This Row],[ETA
As requested
dd.mm.yyyy]])</f>
        <v>2024</v>
      </c>
      <c r="N997" s="36">
        <f>IFERROR(INDEX(DATABASE_FG!$H$5:$H$367, MATCH(E997, DATABASE_FG!$C$5:$C$367, 0)), " ")</f>
        <v>0</v>
      </c>
      <c r="O997" s="129" t="str">
        <f>IF(E997&lt;&gt;"", _xlfn.XLOOKUP(E997, DATABASE_FG!C:C, DATABASE_FG!F:F), " ")</f>
        <v>Housings</v>
      </c>
      <c r="P997" s="129">
        <f>IFERROR(INDEX(DATABASE_FG!$G$5:$G$367, MATCH(E997, DATABASE_FG!$C$5:$C$367, 0)), "Not Found")</f>
        <v>0</v>
      </c>
      <c r="Q997" s="36"/>
      <c r="R997" s="125"/>
      <c r="S997" s="123">
        <f>Table1[[#This Row],[Quantity]]/48</f>
        <v>7.791666666666667</v>
      </c>
      <c r="T997" s="36"/>
      <c r="U997" s="36"/>
      <c r="V997" s="36"/>
      <c r="W997" s="129"/>
      <c r="X997" s="36"/>
      <c r="Y997" s="36"/>
      <c r="Z997" s="36"/>
      <c r="AA997" s="125" t="s">
        <v>121</v>
      </c>
      <c r="AB997" s="173">
        <v>45647</v>
      </c>
      <c r="AC997" s="119">
        <v>202401594</v>
      </c>
      <c r="AD997" s="36">
        <f t="shared" si="115"/>
        <v>37347643</v>
      </c>
      <c r="AE997" s="36" t="str">
        <f t="shared" si="116"/>
        <v>F-688038.02-0421.GEH.WE36</v>
      </c>
      <c r="AF997" s="36">
        <v>374</v>
      </c>
      <c r="AG997" s="120">
        <f t="shared" si="118"/>
        <v>1335.1799999999998</v>
      </c>
      <c r="AH997" s="36"/>
      <c r="AI997" s="124"/>
      <c r="AJ997" s="122" t="s">
        <v>2024</v>
      </c>
      <c r="AK997" s="129" t="str">
        <f t="shared" ca="1" si="117"/>
        <v>Late</v>
      </c>
      <c r="AL997" s="268" t="str">
        <f t="shared" si="114"/>
        <v>August</v>
      </c>
      <c r="AM997" s="133">
        <f>YEAR(Table1[[#This Row],[ETA
As requested
dd.mm.yyyy]])</f>
        <v>2024</v>
      </c>
    </row>
    <row r="998" spans="1:39" hidden="1">
      <c r="A998" s="123" t="s">
        <v>82</v>
      </c>
      <c r="B998" s="36" t="s">
        <v>1170</v>
      </c>
      <c r="C998" s="117">
        <v>37347643</v>
      </c>
      <c r="D998" s="165">
        <v>45511</v>
      </c>
      <c r="E998" s="117" t="s">
        <v>541</v>
      </c>
      <c r="F998" s="36">
        <f>IFERROR(VLOOKUP(Table1[[#This Row],[Part Number]],DATABASE_FG!$C$6:D10987,2,FALSE)," ")</f>
        <v>0</v>
      </c>
      <c r="G998" s="117">
        <f>IFERROR(_xlfn.XLOOKUP(Table1[[#This Row],[Part Number]],Table3[Part number],Table3[Drawing
 Revision]),"")</f>
        <v>0</v>
      </c>
      <c r="H998" s="118" cm="1">
        <f t="array" ref="H998">IFERROR(INDEX(PDB!$C:$AT,MATCH(E998,PDB!$B:$B,0),MATCH(YEAR(K998),0+PDB!$C$1:$AT$1,0)),"")</f>
        <v>3.57</v>
      </c>
      <c r="I998" s="36">
        <v>424</v>
      </c>
      <c r="J998" s="125">
        <f>IFERROR(Table1[[#This Row],[Quantity]]*Table1[[#This Row],[Price/Unit
EUR]]," ")</f>
        <v>1513.6799999999998</v>
      </c>
      <c r="K998" s="126">
        <v>45520</v>
      </c>
      <c r="L998" s="36">
        <f>WEEKNUM(Table1[[#This Row],[ETA
As requested
dd.mm.yyyy]])</f>
        <v>33</v>
      </c>
      <c r="M998" s="36">
        <f>YEAR(Table1[[#This Row],[ETA
As requested
dd.mm.yyyy]])</f>
        <v>2024</v>
      </c>
      <c r="N998" s="36">
        <f>IFERROR(INDEX(DATABASE_FG!$H$5:$H$367, MATCH(E998, DATABASE_FG!$C$5:$C$367, 0)), " ")</f>
        <v>0</v>
      </c>
      <c r="O998" s="129" t="str">
        <f>IF(E998&lt;&gt;"", _xlfn.XLOOKUP(E998, DATABASE_FG!C:C, DATABASE_FG!F:F), " ")</f>
        <v>Housings</v>
      </c>
      <c r="P998" s="129">
        <f>IFERROR(INDEX(DATABASE_FG!$G$5:$G$367, MATCH(E998, DATABASE_FG!$C$5:$C$367, 0)), "Not Found")</f>
        <v>0</v>
      </c>
      <c r="Q998" s="36"/>
      <c r="R998" s="125"/>
      <c r="S998" s="123">
        <f>Table1[[#This Row],[Quantity]]/48</f>
        <v>8.8333333333333339</v>
      </c>
      <c r="T998" s="36"/>
      <c r="U998" s="36"/>
      <c r="V998" s="36"/>
      <c r="W998" s="129"/>
      <c r="X998" s="36"/>
      <c r="Y998" s="36"/>
      <c r="Z998" s="36"/>
      <c r="AA998" s="125" t="s">
        <v>121</v>
      </c>
      <c r="AB998" s="173">
        <v>45681</v>
      </c>
      <c r="AC998" s="119">
        <v>2593</v>
      </c>
      <c r="AD998" s="36">
        <f t="shared" si="115"/>
        <v>37347643</v>
      </c>
      <c r="AE998" s="36" t="str">
        <f t="shared" si="116"/>
        <v>F-688038.02-0421.GEH.WE36</v>
      </c>
      <c r="AF998" s="36">
        <f>424-424</f>
        <v>0</v>
      </c>
      <c r="AG998" s="120">
        <f t="shared" si="118"/>
        <v>0</v>
      </c>
      <c r="AH998" s="36"/>
      <c r="AI998" s="124" t="s">
        <v>2033</v>
      </c>
      <c r="AJ998" s="122" t="s">
        <v>2034</v>
      </c>
      <c r="AK998" s="129" t="str">
        <f t="shared" ca="1" si="117"/>
        <v>Late</v>
      </c>
      <c r="AL998" s="268" t="str">
        <f t="shared" si="114"/>
        <v>August</v>
      </c>
      <c r="AM998" s="133">
        <f>YEAR(Table1[[#This Row],[ETA
As requested
dd.mm.yyyy]])</f>
        <v>2024</v>
      </c>
    </row>
    <row r="999" spans="1:39" hidden="1">
      <c r="A999" s="123" t="s">
        <v>82</v>
      </c>
      <c r="B999" s="36" t="s">
        <v>1170</v>
      </c>
      <c r="C999" s="117">
        <v>37347643</v>
      </c>
      <c r="D999" s="165">
        <v>45511</v>
      </c>
      <c r="E999" s="117" t="s">
        <v>541</v>
      </c>
      <c r="F999" s="36">
        <f>IFERROR(VLOOKUP(Table1[[#This Row],[Part Number]],DATABASE_FG!$C$6:D10988,2,FALSE)," ")</f>
        <v>0</v>
      </c>
      <c r="G999" s="117">
        <f>IFERROR(_xlfn.XLOOKUP(Table1[[#This Row],[Part Number]],Table3[Part number],Table3[Drawing
 Revision]),"")</f>
        <v>0</v>
      </c>
      <c r="H999" s="118" cm="1">
        <f t="array" ref="H999">IFERROR(INDEX(PDB!$C:$AT,MATCH(E999,PDB!$B:$B,0),MATCH(YEAR(K999),0+PDB!$C$1:$AT$1,0)),"")</f>
        <v>3.57</v>
      </c>
      <c r="I999" s="36">
        <v>264</v>
      </c>
      <c r="J999" s="125">
        <f>IFERROR(Table1[[#This Row],[Quantity]]*Table1[[#This Row],[Price/Unit
EUR]]," ")</f>
        <v>942.4799999999999</v>
      </c>
      <c r="K999" s="126">
        <v>45520</v>
      </c>
      <c r="L999" s="36">
        <f>WEEKNUM(Table1[[#This Row],[ETA
As requested
dd.mm.yyyy]])</f>
        <v>33</v>
      </c>
      <c r="M999" s="36">
        <f>YEAR(Table1[[#This Row],[ETA
As requested
dd.mm.yyyy]])</f>
        <v>2024</v>
      </c>
      <c r="N999" s="36">
        <f>IFERROR(INDEX(DATABASE_FG!$H$5:$H$367, MATCH(E999, DATABASE_FG!$C$5:$C$367, 0)), " ")</f>
        <v>0</v>
      </c>
      <c r="O999" s="129" t="str">
        <f>IF(E999&lt;&gt;"", _xlfn.XLOOKUP(E999, DATABASE_FG!C:C, DATABASE_FG!F:F), " ")</f>
        <v>Housings</v>
      </c>
      <c r="P999" s="129">
        <f>IFERROR(INDEX(DATABASE_FG!$G$5:$G$367, MATCH(E999, DATABASE_FG!$C$5:$C$367, 0)), "Not Found")</f>
        <v>0</v>
      </c>
      <c r="Q999" s="36"/>
      <c r="R999" s="125"/>
      <c r="S999" s="123">
        <f>Table1[[#This Row],[Quantity]]/48</f>
        <v>5.5</v>
      </c>
      <c r="T999" s="36"/>
      <c r="U999" s="36"/>
      <c r="V999" s="36"/>
      <c r="W999" s="129"/>
      <c r="X999" s="36"/>
      <c r="Y999" s="36"/>
      <c r="Z999" s="36"/>
      <c r="AA999" s="125" t="s">
        <v>121</v>
      </c>
      <c r="AB999" s="173">
        <v>45689</v>
      </c>
      <c r="AC999" s="119" t="s">
        <v>2035</v>
      </c>
      <c r="AD999" s="36">
        <f t="shared" si="115"/>
        <v>37347643</v>
      </c>
      <c r="AE999" s="36" t="str">
        <f t="shared" si="116"/>
        <v>F-688038.02-0421.GEH.WE36</v>
      </c>
      <c r="AF999" s="36">
        <v>264</v>
      </c>
      <c r="AG999" s="120">
        <f t="shared" si="118"/>
        <v>942.4799999999999</v>
      </c>
      <c r="AH999" s="36"/>
      <c r="AI999" s="124"/>
      <c r="AJ999" s="122" t="s">
        <v>2036</v>
      </c>
      <c r="AK999" s="129" t="str">
        <f t="shared" ca="1" si="117"/>
        <v>Late</v>
      </c>
      <c r="AL999" s="268" t="str">
        <f t="shared" si="114"/>
        <v>August</v>
      </c>
      <c r="AM999" s="133">
        <f>YEAR(Table1[[#This Row],[ETA
As requested
dd.mm.yyyy]])</f>
        <v>2024</v>
      </c>
    </row>
    <row r="1000" spans="1:39" hidden="1">
      <c r="A1000" s="123" t="s">
        <v>82</v>
      </c>
      <c r="B1000" s="36" t="s">
        <v>1170</v>
      </c>
      <c r="C1000" s="117">
        <v>37347643</v>
      </c>
      <c r="D1000" s="165">
        <v>45511</v>
      </c>
      <c r="E1000" s="117" t="s">
        <v>541</v>
      </c>
      <c r="F1000" s="36">
        <f>IFERROR(VLOOKUP(Table1[[#This Row],[Part Number]],DATABASE_FG!$C$6:D10989,2,FALSE)," ")</f>
        <v>0</v>
      </c>
      <c r="G1000" s="117">
        <f>IFERROR(_xlfn.XLOOKUP(Table1[[#This Row],[Part Number]],Table3[Part number],Table3[Drawing
 Revision]),"")</f>
        <v>0</v>
      </c>
      <c r="H1000" s="118" cm="1">
        <f t="array" ref="H1000">IFERROR(INDEX(PDB!$C:$AT,MATCH(E1000,PDB!$B:$B,0),MATCH(YEAR(K1000),0+PDB!$C$1:$AT$1,0)),"")</f>
        <v>3.57</v>
      </c>
      <c r="I1000" s="36">
        <v>244</v>
      </c>
      <c r="J1000" s="125">
        <f>IFERROR(Table1[[#This Row],[Quantity]]*Table1[[#This Row],[Price/Unit
EUR]]," ")</f>
        <v>871.07999999999993</v>
      </c>
      <c r="K1000" s="126">
        <v>45520</v>
      </c>
      <c r="L1000" s="36">
        <f>WEEKNUM(Table1[[#This Row],[ETA
As requested
dd.mm.yyyy]])</f>
        <v>33</v>
      </c>
      <c r="M1000" s="36">
        <f>YEAR(Table1[[#This Row],[ETA
As requested
dd.mm.yyyy]])</f>
        <v>2024</v>
      </c>
      <c r="N1000" s="36">
        <f>IFERROR(INDEX(DATABASE_FG!$H$5:$H$367, MATCH(E1000, DATABASE_FG!$C$5:$C$367, 0)), " ")</f>
        <v>0</v>
      </c>
      <c r="O1000" s="129" t="str">
        <f>IF(E1000&lt;&gt;"", _xlfn.XLOOKUP(E1000, DATABASE_FG!C:C, DATABASE_FG!F:F), " ")</f>
        <v>Housings</v>
      </c>
      <c r="P1000" s="129">
        <f>IFERROR(INDEX(DATABASE_FG!$G$5:$G$367, MATCH(E1000, DATABASE_FG!$C$5:$C$367, 0)), "Not Found")</f>
        <v>0</v>
      </c>
      <c r="Q1000" s="36"/>
      <c r="R1000" s="125"/>
      <c r="S1000" s="123">
        <f>Table1[[#This Row],[Quantity]]/48</f>
        <v>5.083333333333333</v>
      </c>
      <c r="T1000" s="36"/>
      <c r="U1000" s="36"/>
      <c r="V1000" s="36"/>
      <c r="W1000" s="129"/>
      <c r="X1000" s="36"/>
      <c r="Y1000" s="36"/>
      <c r="Z1000" s="36"/>
      <c r="AA1000" s="125" t="s">
        <v>121</v>
      </c>
      <c r="AB1000" s="173">
        <v>45703</v>
      </c>
      <c r="AC1000" s="119" t="s">
        <v>2039</v>
      </c>
      <c r="AD1000" s="36">
        <f t="shared" si="115"/>
        <v>37347643</v>
      </c>
      <c r="AE1000" s="36" t="str">
        <f t="shared" si="116"/>
        <v>F-688038.02-0421.GEH.WE36</v>
      </c>
      <c r="AF1000" s="36">
        <v>244</v>
      </c>
      <c r="AG1000" s="120">
        <f t="shared" si="118"/>
        <v>871.07999999999993</v>
      </c>
      <c r="AH1000" s="36"/>
      <c r="AI1000" s="124" t="s">
        <v>2040</v>
      </c>
      <c r="AJ1000" s="122" t="s">
        <v>2041</v>
      </c>
      <c r="AK1000" s="129" t="str">
        <f t="shared" ca="1" si="117"/>
        <v>Late</v>
      </c>
      <c r="AL1000" s="268" t="str">
        <f t="shared" ref="AL1000:AL1063" si="119">TEXT(K1000,"mmmm")</f>
        <v>August</v>
      </c>
      <c r="AM1000" s="133">
        <f>YEAR(Table1[[#This Row],[ETA
As requested
dd.mm.yyyy]])</f>
        <v>2024</v>
      </c>
    </row>
    <row r="1001" spans="1:39" hidden="1">
      <c r="A1001" s="123" t="s">
        <v>82</v>
      </c>
      <c r="B1001" s="36" t="s">
        <v>1170</v>
      </c>
      <c r="C1001" s="117">
        <v>37347643</v>
      </c>
      <c r="D1001" s="165">
        <v>45511</v>
      </c>
      <c r="E1001" s="117" t="s">
        <v>541</v>
      </c>
      <c r="F1001" s="36">
        <f>IFERROR(VLOOKUP(Table1[[#This Row],[Part Number]],DATABASE_FG!$C$6:D10990,2,FALSE)," ")</f>
        <v>0</v>
      </c>
      <c r="G1001" s="117">
        <f>IFERROR(_xlfn.XLOOKUP(Table1[[#This Row],[Part Number]],Table3[Part number],Table3[Drawing
 Revision]),"")</f>
        <v>0</v>
      </c>
      <c r="H1001" s="118" cm="1">
        <f t="array" ref="H1001">IFERROR(INDEX(PDB!$C:$AT,MATCH(E1001,PDB!$B:$B,0),MATCH(YEAR(K1001),0+PDB!$C$1:$AT$1,0)),"")</f>
        <v>3.57</v>
      </c>
      <c r="I1001" s="36">
        <v>425</v>
      </c>
      <c r="J1001" s="125">
        <f>IFERROR(Table1[[#This Row],[Quantity]]*Table1[[#This Row],[Price/Unit
EUR]]," ")</f>
        <v>1517.25</v>
      </c>
      <c r="K1001" s="126">
        <v>45520</v>
      </c>
      <c r="L1001" s="36">
        <f>WEEKNUM(Table1[[#This Row],[ETA
As requested
dd.mm.yyyy]])</f>
        <v>33</v>
      </c>
      <c r="M1001" s="36">
        <f>YEAR(Table1[[#This Row],[ETA
As requested
dd.mm.yyyy]])</f>
        <v>2024</v>
      </c>
      <c r="N1001" s="36">
        <f>IFERROR(INDEX(DATABASE_FG!$H$5:$H$367, MATCH(E1001, DATABASE_FG!$C$5:$C$367, 0)), " ")</f>
        <v>0</v>
      </c>
      <c r="O1001" s="129" t="str">
        <f>IF(E1001&lt;&gt;"", _xlfn.XLOOKUP(E1001, DATABASE_FG!C:C, DATABASE_FG!F:F), " ")</f>
        <v>Housings</v>
      </c>
      <c r="P1001" s="129">
        <f>IFERROR(INDEX(DATABASE_FG!$G$5:$G$367, MATCH(E1001, DATABASE_FG!$C$5:$C$367, 0)), "Not Found")</f>
        <v>0</v>
      </c>
      <c r="Q1001" s="36"/>
      <c r="R1001" s="125"/>
      <c r="S1001" s="123">
        <f>Table1[[#This Row],[Quantity]]/48</f>
        <v>8.8541666666666661</v>
      </c>
      <c r="T1001" s="36"/>
      <c r="U1001" s="36"/>
      <c r="V1001" s="36"/>
      <c r="W1001" s="129"/>
      <c r="X1001" s="36"/>
      <c r="Y1001" s="36"/>
      <c r="Z1001" s="36"/>
      <c r="AA1001" s="125" t="s">
        <v>121</v>
      </c>
      <c r="AB1001" s="172">
        <v>45717</v>
      </c>
      <c r="AC1001" s="119" t="s">
        <v>2042</v>
      </c>
      <c r="AD1001" s="36">
        <f t="shared" si="115"/>
        <v>37347643</v>
      </c>
      <c r="AE1001" s="36" t="str">
        <f t="shared" si="116"/>
        <v>F-688038.02-0421.GEH.WE36</v>
      </c>
      <c r="AF1001" s="36">
        <v>425</v>
      </c>
      <c r="AG1001" s="120">
        <f t="shared" si="118"/>
        <v>1517.25</v>
      </c>
      <c r="AH1001" s="36"/>
      <c r="AI1001" s="124"/>
      <c r="AJ1001" s="122" t="s">
        <v>2043</v>
      </c>
      <c r="AK1001" s="129" t="str">
        <f t="shared" ca="1" si="117"/>
        <v>Late</v>
      </c>
      <c r="AL1001" s="268" t="str">
        <f t="shared" si="119"/>
        <v>August</v>
      </c>
      <c r="AM1001" s="133">
        <f>YEAR(Table1[[#This Row],[ETA
As requested
dd.mm.yyyy]])</f>
        <v>2024</v>
      </c>
    </row>
    <row r="1002" spans="1:39" hidden="1">
      <c r="A1002" s="123" t="s">
        <v>82</v>
      </c>
      <c r="B1002" s="36" t="s">
        <v>1170</v>
      </c>
      <c r="C1002" s="117">
        <v>37347643</v>
      </c>
      <c r="D1002" s="165">
        <v>45511</v>
      </c>
      <c r="E1002" s="117" t="s">
        <v>541</v>
      </c>
      <c r="F1002" s="36">
        <f>IFERROR(VLOOKUP(Table1[[#This Row],[Part Number]],DATABASE_FG!$C$6:D10991,2,FALSE)," ")</f>
        <v>0</v>
      </c>
      <c r="G1002" s="117">
        <f>IFERROR(_xlfn.XLOOKUP(Table1[[#This Row],[Part Number]],Table3[Part number],Table3[Drawing
 Revision]),"")</f>
        <v>0</v>
      </c>
      <c r="H1002" s="118" cm="1">
        <f t="array" ref="H1002">IFERROR(INDEX(PDB!$C:$AT,MATCH(E1002,PDB!$B:$B,0),MATCH(YEAR(K1002),0+PDB!$C$1:$AT$1,0)),"")</f>
        <v>3.57</v>
      </c>
      <c r="I1002" s="36">
        <v>106</v>
      </c>
      <c r="J1002" s="125">
        <f>IFERROR(Table1[[#This Row],[Quantity]]*Table1[[#This Row],[Price/Unit
EUR]]," ")</f>
        <v>378.41999999999996</v>
      </c>
      <c r="K1002" s="126">
        <v>45520</v>
      </c>
      <c r="L1002" s="36">
        <f>WEEKNUM(Table1[[#This Row],[ETA
As requested
dd.mm.yyyy]])</f>
        <v>33</v>
      </c>
      <c r="M1002" s="36">
        <f>YEAR(Table1[[#This Row],[ETA
As requested
dd.mm.yyyy]])</f>
        <v>2024</v>
      </c>
      <c r="N1002" s="36">
        <f>IFERROR(INDEX(DATABASE_FG!$H$5:$H$367, MATCH(E1002, DATABASE_FG!$C$5:$C$367, 0)), " ")</f>
        <v>0</v>
      </c>
      <c r="O1002" s="129" t="str">
        <f>IF(E1002&lt;&gt;"", _xlfn.XLOOKUP(E1002, DATABASE_FG!C:C, DATABASE_FG!F:F), " ")</f>
        <v>Housings</v>
      </c>
      <c r="P1002" s="129">
        <f>IFERROR(INDEX(DATABASE_FG!$G$5:$G$367, MATCH(E1002, DATABASE_FG!$C$5:$C$367, 0)), "Not Found")</f>
        <v>0</v>
      </c>
      <c r="Q1002" s="36"/>
      <c r="R1002" s="125"/>
      <c r="S1002" s="123">
        <f>Table1[[#This Row],[Quantity]]/48</f>
        <v>2.2083333333333335</v>
      </c>
      <c r="T1002" s="36"/>
      <c r="U1002" s="36"/>
      <c r="V1002" s="36"/>
      <c r="W1002" s="129"/>
      <c r="X1002" s="36"/>
      <c r="Y1002" s="36" t="s">
        <v>2051</v>
      </c>
      <c r="Z1002" s="36"/>
      <c r="AA1002" s="125" t="s">
        <v>121</v>
      </c>
      <c r="AB1002" s="172">
        <v>45721</v>
      </c>
      <c r="AC1002" s="119">
        <v>25329</v>
      </c>
      <c r="AD1002" s="36">
        <f t="shared" si="115"/>
        <v>37347643</v>
      </c>
      <c r="AE1002" s="36" t="str">
        <f t="shared" si="116"/>
        <v>F-688038.02-0421.GEH.WE36</v>
      </c>
      <c r="AF1002" s="36">
        <v>106</v>
      </c>
      <c r="AG1002" s="120">
        <f t="shared" si="118"/>
        <v>378.41999999999996</v>
      </c>
      <c r="AH1002" s="36"/>
      <c r="AI1002" s="124"/>
      <c r="AJ1002" s="122" t="s">
        <v>2052</v>
      </c>
      <c r="AK1002" s="129" t="str">
        <f t="shared" ca="1" si="117"/>
        <v>Late</v>
      </c>
      <c r="AL1002" s="268" t="str">
        <f t="shared" si="119"/>
        <v>August</v>
      </c>
      <c r="AM1002" s="133">
        <f>YEAR(Table1[[#This Row],[ETA
As requested
dd.mm.yyyy]])</f>
        <v>2024</v>
      </c>
    </row>
    <row r="1003" spans="1:39" hidden="1">
      <c r="A1003" s="123" t="s">
        <v>82</v>
      </c>
      <c r="B1003" s="36" t="s">
        <v>1170</v>
      </c>
      <c r="C1003" s="117">
        <v>37347643</v>
      </c>
      <c r="D1003" s="165">
        <v>45511</v>
      </c>
      <c r="E1003" s="117" t="s">
        <v>541</v>
      </c>
      <c r="F1003" s="36">
        <f>IFERROR(VLOOKUP(Table1[[#This Row],[Part Number]],DATABASE_FG!$C$6:D10992,2,FALSE)," ")</f>
        <v>0</v>
      </c>
      <c r="G1003" s="117">
        <f>IFERROR(_xlfn.XLOOKUP(Table1[[#This Row],[Part Number]],Table3[Part number],Table3[Drawing
 Revision]),"")</f>
        <v>0</v>
      </c>
      <c r="H1003" s="118" cm="1">
        <f t="array" ref="H1003">IFERROR(INDEX(PDB!$C:$AT,MATCH(E1003,PDB!$B:$B,0),MATCH(YEAR(K1003),0+PDB!$C$1:$AT$1,0)),"")</f>
        <v>3.57</v>
      </c>
      <c r="I1003" s="36">
        <v>372</v>
      </c>
      <c r="J1003" s="125">
        <f>IFERROR(Table1[[#This Row],[Quantity]]*Table1[[#This Row],[Price/Unit
EUR]]," ")</f>
        <v>1328.04</v>
      </c>
      <c r="K1003" s="126">
        <v>45520</v>
      </c>
      <c r="L1003" s="36">
        <f>WEEKNUM(Table1[[#This Row],[ETA
As requested
dd.mm.yyyy]])</f>
        <v>33</v>
      </c>
      <c r="M1003" s="36">
        <f>YEAR(Table1[[#This Row],[ETA
As requested
dd.mm.yyyy]])</f>
        <v>2024</v>
      </c>
      <c r="N1003" s="36">
        <f>IFERROR(INDEX(DATABASE_FG!$H$5:$H$367, MATCH(E1003, DATABASE_FG!$C$5:$C$367, 0)), " ")</f>
        <v>0</v>
      </c>
      <c r="O1003" s="129" t="str">
        <f>IF(E1003&lt;&gt;"", _xlfn.XLOOKUP(E1003, DATABASE_FG!C:C, DATABASE_FG!F:F), " ")</f>
        <v>Housings</v>
      </c>
      <c r="P1003" s="129">
        <f>IFERROR(INDEX(DATABASE_FG!$G$5:$G$367, MATCH(E1003, DATABASE_FG!$C$5:$C$367, 0)), "Not Found")</f>
        <v>0</v>
      </c>
      <c r="Q1003" s="36"/>
      <c r="R1003" s="125"/>
      <c r="S1003" s="123">
        <f>Table1[[#This Row],[Quantity]]/48</f>
        <v>7.75</v>
      </c>
      <c r="T1003" s="36"/>
      <c r="U1003" s="36"/>
      <c r="V1003" s="36"/>
      <c r="W1003" s="129"/>
      <c r="X1003" s="36"/>
      <c r="Y1003" s="36"/>
      <c r="Z1003" s="36"/>
      <c r="AA1003" s="125" t="s">
        <v>121</v>
      </c>
      <c r="AB1003" s="172">
        <v>45731</v>
      </c>
      <c r="AC1003" s="119" t="s">
        <v>2060</v>
      </c>
      <c r="AD1003" s="36">
        <f t="shared" si="115"/>
        <v>37347643</v>
      </c>
      <c r="AE1003" s="36" t="str">
        <f t="shared" si="116"/>
        <v>F-688038.02-0421.GEH.WE36</v>
      </c>
      <c r="AF1003" s="36">
        <f>372-192</f>
        <v>180</v>
      </c>
      <c r="AG1003" s="120">
        <f t="shared" si="118"/>
        <v>642.6</v>
      </c>
      <c r="AH1003" s="36"/>
      <c r="AI1003" s="124" t="s">
        <v>2068</v>
      </c>
      <c r="AJ1003" s="122" t="s">
        <v>2069</v>
      </c>
      <c r="AK1003" s="129" t="str">
        <f t="shared" ca="1" si="117"/>
        <v>Late</v>
      </c>
      <c r="AL1003" s="268" t="str">
        <f t="shared" si="119"/>
        <v>August</v>
      </c>
      <c r="AM1003" s="133">
        <f>YEAR(Table1[[#This Row],[ETA
As requested
dd.mm.yyyy]])</f>
        <v>2024</v>
      </c>
    </row>
    <row r="1004" spans="1:39" hidden="1">
      <c r="A1004" s="123" t="s">
        <v>82</v>
      </c>
      <c r="B1004" s="36" t="s">
        <v>1170</v>
      </c>
      <c r="C1004" s="117">
        <v>37347643</v>
      </c>
      <c r="D1004" s="165">
        <v>45511</v>
      </c>
      <c r="E1004" s="117" t="s">
        <v>541</v>
      </c>
      <c r="F1004" s="36">
        <f>IFERROR(VLOOKUP(Table1[[#This Row],[Part Number]],DATABASE_FG!$C$6:D10993,2,FALSE)," ")</f>
        <v>0</v>
      </c>
      <c r="G1004" s="117">
        <f>IFERROR(_xlfn.XLOOKUP(Table1[[#This Row],[Part Number]],Table3[Part number],Table3[Drawing
 Revision]),"")</f>
        <v>0</v>
      </c>
      <c r="H1004" s="118" cm="1">
        <f t="array" ref="H1004">IFERROR(INDEX(PDB!$C:$AT,MATCH(E1004,PDB!$B:$B,0),MATCH(YEAR(K1004),0+PDB!$C$1:$AT$1,0)),"")</f>
        <v>3.57</v>
      </c>
      <c r="I1004" s="36">
        <v>203</v>
      </c>
      <c r="J1004" s="125">
        <f>IFERROR(Table1[[#This Row],[Quantity]]*Table1[[#This Row],[Price/Unit
EUR]]," ")</f>
        <v>724.70999999999992</v>
      </c>
      <c r="K1004" s="126">
        <v>45520</v>
      </c>
      <c r="L1004" s="36">
        <f>WEEKNUM(Table1[[#This Row],[ETA
As requested
dd.mm.yyyy]])</f>
        <v>33</v>
      </c>
      <c r="M1004" s="36">
        <f>YEAR(Table1[[#This Row],[ETA
As requested
dd.mm.yyyy]])</f>
        <v>2024</v>
      </c>
      <c r="N1004" s="36">
        <f>IFERROR(INDEX(DATABASE_FG!$H$5:$H$367, MATCH(E1004, DATABASE_FG!$C$5:$C$367, 0)), " ")</f>
        <v>0</v>
      </c>
      <c r="O1004" s="129" t="str">
        <f>IF(E1004&lt;&gt;"", _xlfn.XLOOKUP(E1004, DATABASE_FG!C:C, DATABASE_FG!F:F), " ")</f>
        <v>Housings</v>
      </c>
      <c r="P1004" s="129">
        <f>IFERROR(INDEX(DATABASE_FG!$G$5:$G$367, MATCH(E1004, DATABASE_FG!$C$5:$C$367, 0)), "Not Found")</f>
        <v>0</v>
      </c>
      <c r="Q1004" s="36"/>
      <c r="R1004" s="125"/>
      <c r="S1004" s="123">
        <f>Table1[[#This Row],[Quantity]]/48</f>
        <v>4.229166666666667</v>
      </c>
      <c r="T1004" s="36"/>
      <c r="U1004" s="36"/>
      <c r="V1004" s="36"/>
      <c r="W1004" s="129"/>
      <c r="X1004" s="36"/>
      <c r="Y1004" s="36" t="s">
        <v>2051</v>
      </c>
      <c r="Z1004" s="36"/>
      <c r="AA1004" s="125" t="s">
        <v>121</v>
      </c>
      <c r="AB1004" s="172">
        <v>45742</v>
      </c>
      <c r="AC1004" s="119">
        <v>25461</v>
      </c>
      <c r="AD1004" s="36">
        <f t="shared" si="115"/>
        <v>37347643</v>
      </c>
      <c r="AE1004" s="36" t="str">
        <f t="shared" si="116"/>
        <v>F-688038.02-0421.GEH.WE36</v>
      </c>
      <c r="AF1004" s="36">
        <v>203</v>
      </c>
      <c r="AG1004" s="120">
        <f t="shared" si="118"/>
        <v>724.70999999999992</v>
      </c>
      <c r="AH1004" s="36"/>
      <c r="AI1004" s="124"/>
      <c r="AJ1004" s="122" t="s">
        <v>2080</v>
      </c>
      <c r="AK1004" s="129" t="str">
        <f t="shared" ca="1" si="117"/>
        <v>Late</v>
      </c>
      <c r="AL1004" s="268" t="str">
        <f t="shared" si="119"/>
        <v>August</v>
      </c>
      <c r="AM1004" s="133">
        <f>YEAR(Table1[[#This Row],[ETA
As requested
dd.mm.yyyy]])</f>
        <v>2024</v>
      </c>
    </row>
    <row r="1005" spans="1:39" hidden="1">
      <c r="A1005" s="123" t="s">
        <v>82</v>
      </c>
      <c r="B1005" s="36" t="s">
        <v>1170</v>
      </c>
      <c r="C1005" s="117">
        <v>37347643</v>
      </c>
      <c r="D1005" s="165">
        <v>45511</v>
      </c>
      <c r="E1005" s="117" t="s">
        <v>541</v>
      </c>
      <c r="F1005" s="36">
        <f>IFERROR(VLOOKUP(Table1[[#This Row],[Part Number]],DATABASE_FG!$C$6:D10994,2,FALSE)," ")</f>
        <v>0</v>
      </c>
      <c r="G1005" s="117">
        <f>IFERROR(_xlfn.XLOOKUP(Table1[[#This Row],[Part Number]],Table3[Part number],Table3[Drawing
 Revision]),"")</f>
        <v>0</v>
      </c>
      <c r="H1005" s="118" cm="1">
        <f t="array" ref="H1005">IFERROR(INDEX(PDB!$C:$AT,MATCH(E1005,PDB!$B:$B,0),MATCH(YEAR(K1005),0+PDB!$C$1:$AT$1,0)),"")</f>
        <v>3.57</v>
      </c>
      <c r="I1005" s="36">
        <v>394</v>
      </c>
      <c r="J1005" s="125">
        <f>IFERROR(Table1[[#This Row],[Quantity]]*Table1[[#This Row],[Price/Unit
EUR]]," ")</f>
        <v>1406.58</v>
      </c>
      <c r="K1005" s="126">
        <v>45520</v>
      </c>
      <c r="L1005" s="36">
        <f>WEEKNUM(Table1[[#This Row],[ETA
As requested
dd.mm.yyyy]])</f>
        <v>33</v>
      </c>
      <c r="M1005" s="36">
        <f>YEAR(Table1[[#This Row],[ETA
As requested
dd.mm.yyyy]])</f>
        <v>2024</v>
      </c>
      <c r="N1005" s="36">
        <f>IFERROR(INDEX(DATABASE_FG!$H$5:$H$367, MATCH(E1005, DATABASE_FG!$C$5:$C$367, 0)), " ")</f>
        <v>0</v>
      </c>
      <c r="O1005" s="129" t="str">
        <f>IF(E1005&lt;&gt;"", _xlfn.XLOOKUP(E1005, DATABASE_FG!C:C, DATABASE_FG!F:F), " ")</f>
        <v>Housings</v>
      </c>
      <c r="P1005" s="129">
        <f>IFERROR(INDEX(DATABASE_FG!$G$5:$G$367, MATCH(E1005, DATABASE_FG!$C$5:$C$367, 0)), "Not Found")</f>
        <v>0</v>
      </c>
      <c r="Q1005" s="36"/>
      <c r="R1005" s="125"/>
      <c r="S1005" s="128">
        <f>Table1[[#This Row],[Quantity]]/48</f>
        <v>8.2083333333333339</v>
      </c>
      <c r="T1005" s="36"/>
      <c r="U1005" s="36"/>
      <c r="V1005" s="36"/>
      <c r="W1005" s="129"/>
      <c r="X1005" s="36"/>
      <c r="Y1005" s="36" t="s">
        <v>2051</v>
      </c>
      <c r="Z1005" s="36"/>
      <c r="AA1005" s="125" t="s">
        <v>121</v>
      </c>
      <c r="AB1005" s="172">
        <v>45754</v>
      </c>
      <c r="AC1005" s="119">
        <v>25553</v>
      </c>
      <c r="AD1005" s="36">
        <f t="shared" si="115"/>
        <v>37347643</v>
      </c>
      <c r="AE1005" s="36" t="str">
        <f t="shared" si="116"/>
        <v>F-688038.02-0421.GEH.WE36</v>
      </c>
      <c r="AF1005" s="36">
        <v>394</v>
      </c>
      <c r="AG1005" s="120">
        <f t="shared" si="118"/>
        <v>1406.58</v>
      </c>
      <c r="AH1005" s="36"/>
      <c r="AI1005" s="124"/>
      <c r="AJ1005" s="122" t="s">
        <v>2089</v>
      </c>
      <c r="AK1005" s="129" t="str">
        <f t="shared" ca="1" si="117"/>
        <v>Late</v>
      </c>
      <c r="AL1005" s="268" t="str">
        <f t="shared" si="119"/>
        <v>August</v>
      </c>
      <c r="AM1005" s="133">
        <f>YEAR(Table1[[#This Row],[ETA
As requested
dd.mm.yyyy]])</f>
        <v>2024</v>
      </c>
    </row>
    <row r="1006" spans="1:39" hidden="1">
      <c r="A1006" s="123" t="s">
        <v>82</v>
      </c>
      <c r="B1006" s="36" t="s">
        <v>1170</v>
      </c>
      <c r="C1006" s="117">
        <v>37347643</v>
      </c>
      <c r="D1006" s="165">
        <v>45511</v>
      </c>
      <c r="E1006" s="117" t="s">
        <v>541</v>
      </c>
      <c r="F1006" s="36">
        <f>IFERROR(VLOOKUP(Table1[[#This Row],[Part Number]],DATABASE_FG!$C$6:D10995,2,FALSE)," ")</f>
        <v>0</v>
      </c>
      <c r="G1006" s="117">
        <f>IFERROR(_xlfn.XLOOKUP(Table1[[#This Row],[Part Number]],Table3[Part number],Table3[Drawing
 Revision]),"")</f>
        <v>0</v>
      </c>
      <c r="H1006" s="118" cm="1">
        <f t="array" ref="H1006">IFERROR(INDEX(PDB!$C:$AT,MATCH(E1006,PDB!$B:$B,0),MATCH(YEAR(K1006),0+PDB!$C$1:$AT$1,0)),"")</f>
        <v>3.57</v>
      </c>
      <c r="I1006" s="36">
        <v>162</v>
      </c>
      <c r="J1006" s="125">
        <f>IFERROR(Table1[[#This Row],[Quantity]]*Table1[[#This Row],[Price/Unit
EUR]]," ")</f>
        <v>578.33999999999992</v>
      </c>
      <c r="K1006" s="126">
        <v>45520</v>
      </c>
      <c r="L1006" s="36">
        <f>WEEKNUM(Table1[[#This Row],[ETA
As requested
dd.mm.yyyy]])</f>
        <v>33</v>
      </c>
      <c r="M1006" s="36">
        <f>YEAR(Table1[[#This Row],[ETA
As requested
dd.mm.yyyy]])</f>
        <v>2024</v>
      </c>
      <c r="N1006" s="36">
        <f>IFERROR(INDEX(DATABASE_FG!$H$5:$H$367, MATCH(E1006, DATABASE_FG!$C$5:$C$367, 0)), " ")</f>
        <v>0</v>
      </c>
      <c r="O1006" s="129" t="str">
        <f>IF(E1006&lt;&gt;"", _xlfn.XLOOKUP(E1006, DATABASE_FG!C:C, DATABASE_FG!F:F), " ")</f>
        <v>Housings</v>
      </c>
      <c r="P1006" s="129">
        <f>IFERROR(INDEX(DATABASE_FG!$G$5:$G$367, MATCH(E1006, DATABASE_FG!$C$5:$C$367, 0)), "Not Found")</f>
        <v>0</v>
      </c>
      <c r="Q1006" s="36"/>
      <c r="R1006" s="125"/>
      <c r="S1006" s="123">
        <f>Table1[[#This Row],[Quantity]]/48</f>
        <v>3.375</v>
      </c>
      <c r="T1006" s="36"/>
      <c r="U1006" s="36"/>
      <c r="V1006" s="36"/>
      <c r="W1006" s="129"/>
      <c r="X1006" s="36"/>
      <c r="Y1006" s="36" t="s">
        <v>2051</v>
      </c>
      <c r="Z1006" s="36"/>
      <c r="AA1006" s="125" t="s">
        <v>121</v>
      </c>
      <c r="AB1006" s="172">
        <v>45758</v>
      </c>
      <c r="AC1006" s="119">
        <v>25590</v>
      </c>
      <c r="AD1006" s="36">
        <f t="shared" si="115"/>
        <v>37347643</v>
      </c>
      <c r="AE1006" s="36" t="str">
        <f t="shared" si="116"/>
        <v>F-688038.02-0421.GEH.WE36</v>
      </c>
      <c r="AF1006" s="36">
        <v>162</v>
      </c>
      <c r="AG1006" s="120">
        <f t="shared" si="118"/>
        <v>578.33999999999992</v>
      </c>
      <c r="AH1006" s="36"/>
      <c r="AI1006" s="124"/>
      <c r="AJ1006" s="122" t="s">
        <v>2092</v>
      </c>
      <c r="AK1006" s="129" t="str">
        <f t="shared" ca="1" si="117"/>
        <v>Late</v>
      </c>
      <c r="AL1006" s="268" t="str">
        <f t="shared" si="119"/>
        <v>August</v>
      </c>
      <c r="AM1006" s="133">
        <f>YEAR(Table1[[#This Row],[ETA
As requested
dd.mm.yyyy]])</f>
        <v>2024</v>
      </c>
    </row>
    <row r="1007" spans="1:39" hidden="1">
      <c r="A1007" s="123" t="s">
        <v>82</v>
      </c>
      <c r="B1007" s="36" t="s">
        <v>1170</v>
      </c>
      <c r="C1007" s="117">
        <v>37347643</v>
      </c>
      <c r="D1007" s="165">
        <v>45511</v>
      </c>
      <c r="E1007" s="117" t="s">
        <v>541</v>
      </c>
      <c r="F1007" s="36">
        <f>IFERROR(VLOOKUP(Table1[[#This Row],[Part Number]],DATABASE_FG!$C$6:D10996,2,FALSE)," ")</f>
        <v>0</v>
      </c>
      <c r="G1007" s="117">
        <f>IFERROR(_xlfn.XLOOKUP(Table1[[#This Row],[Part Number]],Table3[Part number],Table3[Drawing
 Revision]),"")</f>
        <v>0</v>
      </c>
      <c r="H1007" s="118" cm="1">
        <f t="array" ref="H1007">IFERROR(INDEX(PDB!$C:$AT,MATCH(E1007,PDB!$B:$B,0),MATCH(YEAR(K1007),0+PDB!$C$1:$AT$1,0)),"")</f>
        <v>3.57</v>
      </c>
      <c r="I1007" s="36">
        <v>257</v>
      </c>
      <c r="J1007" s="125">
        <f>IFERROR(Table1[[#This Row],[Quantity]]*Table1[[#This Row],[Price/Unit
EUR]]," ")</f>
        <v>917.49</v>
      </c>
      <c r="K1007" s="126">
        <v>45520</v>
      </c>
      <c r="L1007" s="36">
        <f>WEEKNUM(Table1[[#This Row],[ETA
As requested
dd.mm.yyyy]])</f>
        <v>33</v>
      </c>
      <c r="M1007" s="36">
        <f>YEAR(Table1[[#This Row],[ETA
As requested
dd.mm.yyyy]])</f>
        <v>2024</v>
      </c>
      <c r="N1007" s="36">
        <f>IFERROR(INDEX(DATABASE_FG!$H$5:$H$367, MATCH(E1007, DATABASE_FG!$C$5:$C$367, 0)), " ")</f>
        <v>0</v>
      </c>
      <c r="O1007" s="129" t="str">
        <f>IF(E1007&lt;&gt;"", _xlfn.XLOOKUP(E1007, DATABASE_FG!C:C, DATABASE_FG!F:F), " ")</f>
        <v>Housings</v>
      </c>
      <c r="P1007" s="129">
        <f>IFERROR(INDEX(DATABASE_FG!$G$5:$G$367, MATCH(E1007, DATABASE_FG!$C$5:$C$367, 0)), "Not Found")</f>
        <v>0</v>
      </c>
      <c r="Q1007" s="36"/>
      <c r="R1007" s="125"/>
      <c r="S1007" s="123">
        <f>Table1[[#This Row],[Quantity]]/48</f>
        <v>5.354166666666667</v>
      </c>
      <c r="T1007" s="36"/>
      <c r="U1007" s="36"/>
      <c r="V1007" s="36"/>
      <c r="W1007" s="129"/>
      <c r="X1007" s="36"/>
      <c r="Y1007" s="36"/>
      <c r="Z1007" s="36"/>
      <c r="AA1007" s="125" t="s">
        <v>121</v>
      </c>
      <c r="AB1007" s="172">
        <v>45764</v>
      </c>
      <c r="AC1007" s="119">
        <v>25645</v>
      </c>
      <c r="AD1007" s="36">
        <f t="shared" si="115"/>
        <v>37347643</v>
      </c>
      <c r="AE1007" s="36" t="str">
        <f t="shared" si="116"/>
        <v>F-688038.02-0421.GEH.WE36</v>
      </c>
      <c r="AF1007" s="36">
        <v>257</v>
      </c>
      <c r="AG1007" s="120">
        <f t="shared" si="118"/>
        <v>917.49</v>
      </c>
      <c r="AH1007" s="36"/>
      <c r="AI1007" s="124"/>
      <c r="AJ1007" s="122" t="s">
        <v>2093</v>
      </c>
      <c r="AK1007" s="129" t="str">
        <f t="shared" ca="1" si="117"/>
        <v>Late</v>
      </c>
      <c r="AL1007" s="268" t="str">
        <f t="shared" si="119"/>
        <v>August</v>
      </c>
      <c r="AM1007" s="133">
        <f>YEAR(Table1[[#This Row],[ETA
As requested
dd.mm.yyyy]])</f>
        <v>2024</v>
      </c>
    </row>
    <row r="1008" spans="1:39" hidden="1">
      <c r="A1008" s="123" t="s">
        <v>82</v>
      </c>
      <c r="B1008" s="36" t="s">
        <v>1170</v>
      </c>
      <c r="C1008" s="117">
        <v>37347643</v>
      </c>
      <c r="D1008" s="165">
        <v>45511</v>
      </c>
      <c r="E1008" s="117" t="s">
        <v>541</v>
      </c>
      <c r="F1008" s="36">
        <f>IFERROR(VLOOKUP(Table1[[#This Row],[Part Number]],DATABASE_FG!$C$6:D10997,2,FALSE)," ")</f>
        <v>0</v>
      </c>
      <c r="G1008" s="117">
        <f>IFERROR(_xlfn.XLOOKUP(Table1[[#This Row],[Part Number]],Table3[Part number],Table3[Drawing
 Revision]),"")</f>
        <v>0</v>
      </c>
      <c r="H1008" s="118" cm="1">
        <f t="array" ref="H1008">IFERROR(INDEX(PDB!$C:$AT,MATCH(E1008,PDB!$B:$B,0),MATCH(YEAR(K1008),0+PDB!$C$1:$AT$1,0)),"")</f>
        <v>3.57</v>
      </c>
      <c r="I1008" s="36">
        <v>492</v>
      </c>
      <c r="J1008" s="125">
        <f>IFERROR(Table1[[#This Row],[Quantity]]*Table1[[#This Row],[Price/Unit
EUR]]," ")</f>
        <v>1756.4399999999998</v>
      </c>
      <c r="K1008" s="126">
        <v>45520</v>
      </c>
      <c r="L1008" s="36">
        <f>WEEKNUM(Table1[[#This Row],[ETA
As requested
dd.mm.yyyy]])</f>
        <v>33</v>
      </c>
      <c r="M1008" s="36">
        <f>YEAR(Table1[[#This Row],[ETA
As requested
dd.mm.yyyy]])</f>
        <v>2024</v>
      </c>
      <c r="N1008" s="36">
        <f>IFERROR(INDEX(DATABASE_FG!$H$5:$H$367, MATCH(E1008, DATABASE_FG!$C$5:$C$367, 0)), " ")</f>
        <v>0</v>
      </c>
      <c r="O1008" s="129" t="str">
        <f>IF(E1008&lt;&gt;"", _xlfn.XLOOKUP(E1008, DATABASE_FG!C:C, DATABASE_FG!F:F), " ")</f>
        <v>Housings</v>
      </c>
      <c r="P1008" s="129">
        <f>IFERROR(INDEX(DATABASE_FG!$G$5:$G$367, MATCH(E1008, DATABASE_FG!$C$5:$C$367, 0)), "Not Found")</f>
        <v>0</v>
      </c>
      <c r="Q1008" s="36"/>
      <c r="R1008" s="125"/>
      <c r="S1008" s="123">
        <f>Table1[[#This Row],[Quantity]]/48</f>
        <v>10.25</v>
      </c>
      <c r="T1008" s="36"/>
      <c r="U1008" s="36"/>
      <c r="V1008" s="36"/>
      <c r="W1008" s="129"/>
      <c r="X1008" s="36"/>
      <c r="Y1008" s="36"/>
      <c r="Z1008" s="36"/>
      <c r="AA1008" s="125" t="s">
        <v>121</v>
      </c>
      <c r="AB1008" s="172">
        <v>45776</v>
      </c>
      <c r="AC1008" s="119">
        <v>25686</v>
      </c>
      <c r="AD1008" s="36">
        <f t="shared" si="115"/>
        <v>37347643</v>
      </c>
      <c r="AE1008" s="36" t="str">
        <f t="shared" si="116"/>
        <v>F-688038.02-0421.GEH.WE36</v>
      </c>
      <c r="AF1008" s="36">
        <v>492</v>
      </c>
      <c r="AG1008" s="120">
        <f t="shared" si="118"/>
        <v>1756.4399999999998</v>
      </c>
      <c r="AH1008" s="36"/>
      <c r="AI1008" s="124"/>
      <c r="AJ1008" s="122" t="s">
        <v>2095</v>
      </c>
      <c r="AK1008" s="129" t="str">
        <f t="shared" ca="1" si="117"/>
        <v>Late</v>
      </c>
      <c r="AL1008" s="268" t="str">
        <f t="shared" si="119"/>
        <v>August</v>
      </c>
      <c r="AM1008" s="133">
        <f>YEAR(Table1[[#This Row],[ETA
As requested
dd.mm.yyyy]])</f>
        <v>2024</v>
      </c>
    </row>
    <row r="1009" spans="1:39" hidden="1">
      <c r="A1009" s="123" t="s">
        <v>82</v>
      </c>
      <c r="B1009" s="36" t="s">
        <v>1170</v>
      </c>
      <c r="C1009" s="117">
        <v>37347643</v>
      </c>
      <c r="D1009" s="165">
        <v>45511</v>
      </c>
      <c r="E1009" s="117" t="s">
        <v>541</v>
      </c>
      <c r="F1009" s="36">
        <f>IFERROR(VLOOKUP(Table1[[#This Row],[Part Number]],DATABASE_FG!$C$6:D10998,2,FALSE)," ")</f>
        <v>0</v>
      </c>
      <c r="G1009" s="117">
        <f>IFERROR(_xlfn.XLOOKUP(Table1[[#This Row],[Part Number]],Table3[Part number],Table3[Drawing
 Revision]),"")</f>
        <v>0</v>
      </c>
      <c r="H1009" s="118" cm="1">
        <f t="array" ref="H1009">IFERROR(INDEX(PDB!$C:$AT,MATCH(E1009,PDB!$B:$B,0),MATCH(YEAR(K1009),0+PDB!$C$1:$AT$1,0)),"")</f>
        <v>3.57</v>
      </c>
      <c r="I1009" s="36">
        <v>401</v>
      </c>
      <c r="J1009" s="125">
        <f>IFERROR(Table1[[#This Row],[Quantity]]*Table1[[#This Row],[Price/Unit
EUR]]," ")</f>
        <v>1431.57</v>
      </c>
      <c r="K1009" s="126">
        <v>45520</v>
      </c>
      <c r="L1009" s="36">
        <f>WEEKNUM(Table1[[#This Row],[ETA
As requested
dd.mm.yyyy]])</f>
        <v>33</v>
      </c>
      <c r="M1009" s="36">
        <f>YEAR(Table1[[#This Row],[ETA
As requested
dd.mm.yyyy]])</f>
        <v>2024</v>
      </c>
      <c r="N1009" s="36">
        <f>IFERROR(INDEX(DATABASE_FG!$H$5:$H$367, MATCH(E1009, DATABASE_FG!$C$5:$C$367, 0)), " ")</f>
        <v>0</v>
      </c>
      <c r="O1009" s="129"/>
      <c r="P1009" s="129">
        <f>IFERROR(INDEX(DATABASE_FG!$G$5:$G$367, MATCH(E1009, DATABASE_FG!$C$5:$C$367, 0)), "Not Found")</f>
        <v>0</v>
      </c>
      <c r="Q1009" s="36"/>
      <c r="R1009" s="125"/>
      <c r="S1009" s="123">
        <f>Table1[[#This Row],[Quantity]]/48</f>
        <v>8.3541666666666661</v>
      </c>
      <c r="T1009" s="36"/>
      <c r="U1009" s="36"/>
      <c r="V1009" s="36"/>
      <c r="W1009" s="129"/>
      <c r="X1009" s="36"/>
      <c r="Y1009" s="36"/>
      <c r="Z1009" s="36"/>
      <c r="AA1009" s="125" t="s">
        <v>121</v>
      </c>
      <c r="AB1009" s="172">
        <v>45778</v>
      </c>
      <c r="AC1009" s="119">
        <v>25711</v>
      </c>
      <c r="AD1009" s="36">
        <f t="shared" si="115"/>
        <v>37347643</v>
      </c>
      <c r="AE1009" s="36" t="str">
        <f t="shared" si="116"/>
        <v>F-688038.02-0421.GEH.WE36</v>
      </c>
      <c r="AF1009" s="36">
        <v>401</v>
      </c>
      <c r="AG1009" s="120">
        <f t="shared" si="118"/>
        <v>1431.57</v>
      </c>
      <c r="AH1009" s="36"/>
      <c r="AI1009" s="124"/>
      <c r="AJ1009" s="122" t="s">
        <v>2096</v>
      </c>
      <c r="AK1009" s="129" t="str">
        <f t="shared" ca="1" si="117"/>
        <v>Late</v>
      </c>
      <c r="AL1009" s="268" t="str">
        <f t="shared" si="119"/>
        <v>August</v>
      </c>
      <c r="AM1009" s="133">
        <f>YEAR(Table1[[#This Row],[ETA
As requested
dd.mm.yyyy]])</f>
        <v>2024</v>
      </c>
    </row>
    <row r="1010" spans="1:39" hidden="1">
      <c r="A1010" s="123" t="s">
        <v>82</v>
      </c>
      <c r="B1010" s="36" t="s">
        <v>1170</v>
      </c>
      <c r="C1010" s="117">
        <v>37347643</v>
      </c>
      <c r="D1010" s="165">
        <v>45511</v>
      </c>
      <c r="E1010" s="117" t="s">
        <v>541</v>
      </c>
      <c r="F1010" s="36">
        <f>IFERROR(VLOOKUP(Table1[[#This Row],[Part Number]],DATABASE_FG!$C$6:D10999,2,FALSE)," ")</f>
        <v>0</v>
      </c>
      <c r="G1010" s="117">
        <f>IFERROR(_xlfn.XLOOKUP(Table1[[#This Row],[Part Number]],Table3[Part number],Table3[Drawing
 Revision]),"")</f>
        <v>0</v>
      </c>
      <c r="H1010" s="118" cm="1">
        <f t="array" ref="H1010">IFERROR(INDEX(PDB!$C:$AT,MATCH(E1010,PDB!$B:$B,0),MATCH(YEAR(K1010),0+PDB!$C$1:$AT$1,0)),"")</f>
        <v>3.57</v>
      </c>
      <c r="I1010" s="36">
        <v>5</v>
      </c>
      <c r="J1010" s="125">
        <f>IFERROR(Table1[[#This Row],[Quantity]]*Table1[[#This Row],[Price/Unit
EUR]]," ")</f>
        <v>17.849999999999998</v>
      </c>
      <c r="K1010" s="126">
        <v>45520</v>
      </c>
      <c r="L1010" s="36">
        <f>WEEKNUM(Table1[[#This Row],[ETA
As requested
dd.mm.yyyy]])</f>
        <v>33</v>
      </c>
      <c r="M1010" s="36">
        <f>YEAR(Table1[[#This Row],[ETA
As requested
dd.mm.yyyy]])</f>
        <v>2024</v>
      </c>
      <c r="N1010" s="36">
        <f>IFERROR(INDEX(DATABASE_FG!$H$5:$H$367, MATCH(E1010, DATABASE_FG!$C$5:$C$367, 0)), " ")</f>
        <v>0</v>
      </c>
      <c r="O1010" s="129" t="str">
        <f>IF(E1010&lt;&gt;"", _xlfn.XLOOKUP(E1010, DATABASE_FG!C:C, DATABASE_FG!F:F), " ")</f>
        <v>Housings</v>
      </c>
      <c r="P1010" s="129">
        <f>IFERROR(INDEX(DATABASE_FG!$G$5:$G$367, MATCH(E1010, DATABASE_FG!$C$5:$C$367, 0)), "Not Found")</f>
        <v>0</v>
      </c>
      <c r="Q1010" s="36"/>
      <c r="R1010" s="125"/>
      <c r="S1010" s="123">
        <f>Table1[[#This Row],[Quantity]]/48</f>
        <v>0.10416666666666667</v>
      </c>
      <c r="T1010" s="36"/>
      <c r="U1010" s="36"/>
      <c r="V1010" s="36"/>
      <c r="W1010" s="129"/>
      <c r="X1010" s="36"/>
      <c r="Y1010" s="36"/>
      <c r="Z1010" s="36"/>
      <c r="AA1010" s="125" t="s">
        <v>121</v>
      </c>
      <c r="AB1010" s="172">
        <v>45786</v>
      </c>
      <c r="AC1010" s="119">
        <v>25749</v>
      </c>
      <c r="AD1010" s="36">
        <f t="shared" si="115"/>
        <v>37347643</v>
      </c>
      <c r="AE1010" s="36" t="str">
        <f t="shared" si="116"/>
        <v>F-688038.02-0421.GEH.WE36</v>
      </c>
      <c r="AF1010" s="36">
        <v>5</v>
      </c>
      <c r="AG1010" s="120">
        <f t="shared" si="118"/>
        <v>17.849999999999998</v>
      </c>
      <c r="AH1010" s="36"/>
      <c r="AI1010" s="124"/>
      <c r="AJ1010" s="122" t="s">
        <v>2098</v>
      </c>
      <c r="AK1010" s="129" t="str">
        <f t="shared" ca="1" si="117"/>
        <v>Late</v>
      </c>
      <c r="AL1010" s="268" t="str">
        <f t="shared" si="119"/>
        <v>August</v>
      </c>
      <c r="AM1010" s="133">
        <f>YEAR(Table1[[#This Row],[ETA
As requested
dd.mm.yyyy]])</f>
        <v>2024</v>
      </c>
    </row>
    <row r="1011" spans="1:39" hidden="1">
      <c r="A1011" s="123" t="s">
        <v>82</v>
      </c>
      <c r="B1011" s="36" t="s">
        <v>1170</v>
      </c>
      <c r="C1011" s="117">
        <v>37347643</v>
      </c>
      <c r="D1011" s="165">
        <v>45511</v>
      </c>
      <c r="E1011" s="117" t="s">
        <v>541</v>
      </c>
      <c r="F1011" s="36">
        <f>IFERROR(VLOOKUP(Table1[[#This Row],[Part Number]],DATABASE_FG!$C$6:D11000,2,FALSE)," ")</f>
        <v>0</v>
      </c>
      <c r="G1011" s="117">
        <f>IFERROR(_xlfn.XLOOKUP(Table1[[#This Row],[Part Number]],Table3[Part number],Table3[Drawing
 Revision]),"")</f>
        <v>0</v>
      </c>
      <c r="H1011" s="118" cm="1">
        <f t="array" ref="H1011">IFERROR(INDEX(PDB!$C:$AT,MATCH(E1011,PDB!$B:$B,0),MATCH(YEAR(K1011),0+PDB!$C$1:$AT$1,0)),"")</f>
        <v>3.57</v>
      </c>
      <c r="I1011" s="36">
        <v>364</v>
      </c>
      <c r="J1011" s="125">
        <f>IFERROR(Table1[[#This Row],[Quantity]]*Table1[[#This Row],[Price/Unit
EUR]]," ")</f>
        <v>1299.48</v>
      </c>
      <c r="K1011" s="126">
        <v>45520</v>
      </c>
      <c r="L1011" s="36">
        <f>WEEKNUM(Table1[[#This Row],[ETA
As requested
dd.mm.yyyy]])</f>
        <v>33</v>
      </c>
      <c r="M1011" s="36">
        <f>YEAR(Table1[[#This Row],[ETA
As requested
dd.mm.yyyy]])</f>
        <v>2024</v>
      </c>
      <c r="N1011" s="36">
        <f>IFERROR(INDEX(DATABASE_FG!$H$5:$H$367, MATCH(E1011, DATABASE_FG!$C$5:$C$367, 0)), " ")</f>
        <v>0</v>
      </c>
      <c r="O1011" s="129" t="str">
        <f>IF(E1011&lt;&gt;"", _xlfn.XLOOKUP(E1011, DATABASE_FG!C:C, DATABASE_FG!F:F), " ")</f>
        <v>Housings</v>
      </c>
      <c r="P1011" s="129">
        <f>IFERROR(INDEX(DATABASE_FG!$G$5:$G$367, MATCH(E1011, DATABASE_FG!$C$5:$C$367, 0)), "Not Found")</f>
        <v>0</v>
      </c>
      <c r="Q1011" s="36"/>
      <c r="R1011" s="125"/>
      <c r="S1011" s="123">
        <f>Table1[[#This Row],[Quantity]]/48</f>
        <v>7.583333333333333</v>
      </c>
      <c r="T1011" s="36"/>
      <c r="U1011" s="36"/>
      <c r="V1011" s="36"/>
      <c r="W1011" s="129"/>
      <c r="X1011" s="36"/>
      <c r="Y1011" s="36"/>
      <c r="Z1011" s="36"/>
      <c r="AA1011" s="125" t="s">
        <v>121</v>
      </c>
      <c r="AB1011" s="172">
        <v>45786</v>
      </c>
      <c r="AC1011" s="119">
        <v>25749</v>
      </c>
      <c r="AD1011" s="36">
        <f t="shared" ref="AD1011:AD1074" si="120">IF(NOT(ISBLANK(AC1011)), C1011, "")</f>
        <v>37347643</v>
      </c>
      <c r="AE1011" s="36" t="str">
        <f t="shared" ref="AE1011:AE1074" si="121">IF(NOT(ISBLANK(AC1011)), E1011, "")</f>
        <v>F-688038.02-0421.GEH.WE36</v>
      </c>
      <c r="AF1011" s="36">
        <v>364</v>
      </c>
      <c r="AG1011" s="120">
        <f t="shared" si="118"/>
        <v>1299.48</v>
      </c>
      <c r="AH1011" s="36"/>
      <c r="AI1011" s="124"/>
      <c r="AJ1011" s="122" t="s">
        <v>2098</v>
      </c>
      <c r="AK1011" s="129" t="str">
        <f t="shared" ca="1" si="117"/>
        <v>Late</v>
      </c>
      <c r="AL1011" s="268" t="str">
        <f t="shared" si="119"/>
        <v>August</v>
      </c>
      <c r="AM1011" s="133">
        <f>YEAR(Table1[[#This Row],[ETA
As requested
dd.mm.yyyy]])</f>
        <v>2024</v>
      </c>
    </row>
    <row r="1012" spans="1:39" hidden="1">
      <c r="A1012" s="123" t="s">
        <v>82</v>
      </c>
      <c r="B1012" s="36" t="s">
        <v>1170</v>
      </c>
      <c r="C1012" s="117">
        <v>37347643</v>
      </c>
      <c r="D1012" s="165">
        <v>45511</v>
      </c>
      <c r="E1012" s="117" t="s">
        <v>541</v>
      </c>
      <c r="F1012" s="36">
        <f>IFERROR(VLOOKUP(Table1[[#This Row],[Part Number]],DATABASE_FG!$C$6:D11001,2,FALSE)," ")</f>
        <v>0</v>
      </c>
      <c r="G1012" s="117">
        <f>IFERROR(_xlfn.XLOOKUP(Table1[[#This Row],[Part Number]],Table3[Part number],Table3[Drawing
 Revision]),"")</f>
        <v>0</v>
      </c>
      <c r="H1012" s="118" cm="1">
        <f t="array" ref="H1012">IFERROR(INDEX(PDB!$C:$AT,MATCH(E1012,PDB!$B:$B,0),MATCH(YEAR(K1012),0+PDB!$C$1:$AT$1,0)),"")</f>
        <v>3.57</v>
      </c>
      <c r="I1012" s="36">
        <f>10350-SUM(I978:I1009)+5253-77-364-5</f>
        <v>1015</v>
      </c>
      <c r="J1012" s="125">
        <f>IFERROR(Table1[[#This Row],[Quantity]]*Table1[[#This Row],[Price/Unit
EUR]]," ")</f>
        <v>3623.5499999999997</v>
      </c>
      <c r="K1012" s="126">
        <v>45520</v>
      </c>
      <c r="L1012" s="36">
        <f>WEEKNUM(Table1[[#This Row],[ETA
As requested
dd.mm.yyyy]])</f>
        <v>33</v>
      </c>
      <c r="M1012" s="36">
        <f>YEAR(Table1[[#This Row],[ETA
As requested
dd.mm.yyyy]])</f>
        <v>2024</v>
      </c>
      <c r="N1012" s="36">
        <f>IFERROR(INDEX(DATABASE_FG!$H$5:$H$367, MATCH(E1012, DATABASE_FG!$C$5:$C$367, 0)), " ")</f>
        <v>0</v>
      </c>
      <c r="O1012" s="129" t="str">
        <f>IF(E1012&lt;&gt;"", _xlfn.XLOOKUP(E1012, DATABASE_FG!C:C, DATABASE_FG!F:F), " ")</f>
        <v>Housings</v>
      </c>
      <c r="P1012" s="129">
        <f>IFERROR(INDEX(DATABASE_FG!$G$5:$G$367, MATCH(E1012, DATABASE_FG!$C$5:$C$367, 0)), "Not Found")</f>
        <v>0</v>
      </c>
      <c r="Q1012" s="36"/>
      <c r="R1012" s="125"/>
      <c r="S1012" s="123">
        <f>Table1[[#This Row],[Quantity]]/48</f>
        <v>21.145833333333332</v>
      </c>
      <c r="T1012" s="36"/>
      <c r="U1012" s="36"/>
      <c r="V1012" s="36"/>
      <c r="W1012" s="129"/>
      <c r="X1012" s="36"/>
      <c r="Y1012" s="36" t="s">
        <v>2051</v>
      </c>
      <c r="Z1012" s="36"/>
      <c r="AA1012" s="125" t="s">
        <v>121</v>
      </c>
      <c r="AB1012" s="172">
        <v>45792</v>
      </c>
      <c r="AC1012" s="119">
        <v>25773</v>
      </c>
      <c r="AD1012" s="36">
        <f t="shared" si="120"/>
        <v>37347643</v>
      </c>
      <c r="AE1012" s="36" t="str">
        <f t="shared" si="121"/>
        <v>F-688038.02-0421.GEH.WE36</v>
      </c>
      <c r="AF1012" s="36">
        <v>335</v>
      </c>
      <c r="AG1012" s="120">
        <f t="shared" si="118"/>
        <v>1195.95</v>
      </c>
      <c r="AH1012" s="36"/>
      <c r="AI1012" s="124"/>
      <c r="AJ1012" s="122" t="s">
        <v>2100</v>
      </c>
      <c r="AK1012" s="129" t="str">
        <f t="shared" ca="1" si="117"/>
        <v>Late</v>
      </c>
      <c r="AL1012" s="268" t="str">
        <f t="shared" si="119"/>
        <v>August</v>
      </c>
      <c r="AM1012" s="133">
        <f>YEAR(Table1[[#This Row],[ETA
As requested
dd.mm.yyyy]])</f>
        <v>2024</v>
      </c>
    </row>
    <row r="1013" spans="1:39" hidden="1">
      <c r="A1013" s="123" t="s">
        <v>82</v>
      </c>
      <c r="B1013" s="36" t="s">
        <v>1170</v>
      </c>
      <c r="C1013" s="117">
        <v>37347643</v>
      </c>
      <c r="D1013" s="165">
        <v>45510</v>
      </c>
      <c r="E1013" s="117" t="s">
        <v>541</v>
      </c>
      <c r="F1013" s="36">
        <f>IFERROR(VLOOKUP(Table1[[#This Row],[Part Number]],DATABASE_FG!$C$6:D11002,2,FALSE)," ")</f>
        <v>0</v>
      </c>
      <c r="G1013" s="117">
        <f>IFERROR(_xlfn.XLOOKUP(Table1[[#This Row],[Part Number]],Table3[Part number],Table3[Drawing
 Revision]),"")</f>
        <v>0</v>
      </c>
      <c r="H1013" s="118" cm="1">
        <f t="array" ref="H1013">IFERROR(INDEX(PDB!$C:$AT,MATCH(E1013,PDB!$B:$B,0),MATCH(YEAR(K1013),0+PDB!$C$1:$AT$1,0)),"")</f>
        <v>3.57</v>
      </c>
      <c r="I1013" s="36">
        <v>704</v>
      </c>
      <c r="J1013" s="125">
        <f>IFERROR(Table1[[#This Row],[Quantity]]*Table1[[#This Row],[Price/Unit
EUR]]," ")</f>
        <v>2513.2799999999997</v>
      </c>
      <c r="K1013" s="126">
        <v>45521</v>
      </c>
      <c r="L1013" s="36">
        <f>WEEKNUM(Table1[[#This Row],[ETA
As requested
dd.mm.yyyy]])</f>
        <v>33</v>
      </c>
      <c r="M1013" s="36">
        <f>YEAR(Table1[[#This Row],[ETA
As requested
dd.mm.yyyy]])</f>
        <v>2024</v>
      </c>
      <c r="N1013" s="36">
        <f>IFERROR(INDEX(DATABASE_FG!$H$5:$H$367, MATCH(E1013, DATABASE_FG!$C$5:$C$367, 0)), " ")</f>
        <v>0</v>
      </c>
      <c r="O1013" s="129" t="str">
        <f>IF(E1013&lt;&gt;"", _xlfn.XLOOKUP(E1013, DATABASE_FG!C:C, DATABASE_FG!F:F), " ")</f>
        <v>Housings</v>
      </c>
      <c r="P1013" s="129">
        <f>IFERROR(INDEX(DATABASE_FG!$G$5:$G$367, MATCH(E1013, DATABASE_FG!$C$5:$C$367, 0)), "Not Found")</f>
        <v>0</v>
      </c>
      <c r="Q1013" s="36"/>
      <c r="R1013" s="125"/>
      <c r="S1013" s="123">
        <f>Table1[[#This Row],[Quantity]]/48</f>
        <v>14.666666666666666</v>
      </c>
      <c r="T1013" s="36"/>
      <c r="U1013" s="36"/>
      <c r="V1013" s="36"/>
      <c r="W1013" s="129"/>
      <c r="X1013" s="36"/>
      <c r="Y1013" s="36"/>
      <c r="Z1013" s="36"/>
      <c r="AA1013" s="125" t="s">
        <v>121</v>
      </c>
      <c r="AB1013" s="172">
        <v>45749</v>
      </c>
      <c r="AC1013" s="119" t="s">
        <v>2081</v>
      </c>
      <c r="AD1013" s="36">
        <f t="shared" si="120"/>
        <v>37347643</v>
      </c>
      <c r="AE1013" s="36" t="str">
        <f t="shared" si="121"/>
        <v>F-688038.02-0421.GEH.WE36</v>
      </c>
      <c r="AF1013" s="36">
        <v>704</v>
      </c>
      <c r="AG1013" s="120">
        <f t="shared" si="118"/>
        <v>2513.2799999999997</v>
      </c>
      <c r="AH1013" s="36"/>
      <c r="AI1013" s="124"/>
      <c r="AJ1013" s="122" t="s">
        <v>2082</v>
      </c>
      <c r="AK1013" s="129" t="str">
        <f t="shared" ca="1" si="117"/>
        <v>Late</v>
      </c>
      <c r="AL1013" s="268" t="str">
        <f t="shared" si="119"/>
        <v>August</v>
      </c>
      <c r="AM1013" s="133">
        <f>YEAR(Table1[[#This Row],[ETA
As requested
dd.mm.yyyy]])</f>
        <v>2024</v>
      </c>
    </row>
    <row r="1014" spans="1:39" hidden="1">
      <c r="A1014" s="123" t="s">
        <v>82</v>
      </c>
      <c r="B1014" s="36" t="s">
        <v>1170</v>
      </c>
      <c r="C1014" s="117">
        <v>37347702</v>
      </c>
      <c r="D1014" s="165">
        <v>45499</v>
      </c>
      <c r="E1014" s="117" t="s">
        <v>498</v>
      </c>
      <c r="F1014" s="36">
        <f>IFERROR(VLOOKUP(Table1[[#This Row],[Part Number]],DATABASE_FG!$C$6:D11003,2,FALSE)," ")</f>
        <v>0</v>
      </c>
      <c r="G1014" s="117">
        <f>IFERROR(_xlfn.XLOOKUP(Table1[[#This Row],[Part Number]],Table3[Part number],Table3[Drawing
 Revision]),"")</f>
        <v>0</v>
      </c>
      <c r="H1014" s="118" cm="1">
        <f t="array" ref="H1014">IFERROR(INDEX(PDB!$C:$AT,MATCH(E1014,PDB!$B:$B,0),MATCH(YEAR(K1014),0+PDB!$C$1:$AT$1,0)),"")</f>
        <v>10.31</v>
      </c>
      <c r="I1014" s="36">
        <f>177</f>
        <v>177</v>
      </c>
      <c r="J1014" s="125">
        <f>IFERROR(Table1[[#This Row],[Quantity]]*Table1[[#This Row],[Price/Unit
EUR]]," ")</f>
        <v>1824.8700000000001</v>
      </c>
      <c r="K1014" s="126">
        <v>45534</v>
      </c>
      <c r="L1014" s="36">
        <f>WEEKNUM(Table1[[#This Row],[ETA
As requested
dd.mm.yyyy]])</f>
        <v>35</v>
      </c>
      <c r="M1014" s="36">
        <f>YEAR(Table1[[#This Row],[ETA
As requested
dd.mm.yyyy]])</f>
        <v>2024</v>
      </c>
      <c r="N1014" s="36">
        <f>IFERROR(INDEX(DATABASE_FG!$H$5:$H$367, MATCH(E1014, DATABASE_FG!$C$5:$C$367, 0)), " ")</f>
        <v>0</v>
      </c>
      <c r="O1014" s="129" t="str">
        <f>IF(E1014&lt;&gt;"", _xlfn.XLOOKUP(E1014, DATABASE_FG!C:C, DATABASE_FG!F:F), " ")</f>
        <v>Housings</v>
      </c>
      <c r="P1014" s="129">
        <f>IFERROR(INDEX(DATABASE_FG!$G$5:$G$367, MATCH(E1014, DATABASE_FG!$C$5:$C$367, 0)), "Not Found")</f>
        <v>0</v>
      </c>
      <c r="Q1014" s="36"/>
      <c r="R1014" s="125"/>
      <c r="S1014" s="123">
        <f>Table1[[#This Row],[Quantity]]/48</f>
        <v>3.6875</v>
      </c>
      <c r="T1014" s="36"/>
      <c r="U1014" s="36"/>
      <c r="V1014" s="36"/>
      <c r="W1014" s="129"/>
      <c r="X1014" s="36"/>
      <c r="Y1014" s="36"/>
      <c r="Z1014" s="36"/>
      <c r="AA1014" s="125" t="s">
        <v>121</v>
      </c>
      <c r="AB1014" s="172">
        <v>45622</v>
      </c>
      <c r="AC1014" s="119">
        <v>202401442</v>
      </c>
      <c r="AD1014" s="36">
        <f t="shared" si="120"/>
        <v>37347702</v>
      </c>
      <c r="AE1014" s="36" t="str">
        <f t="shared" si="121"/>
        <v>F-688038.02-0611.GEH.WE36</v>
      </c>
      <c r="AF1014" s="36">
        <f>177</f>
        <v>177</v>
      </c>
      <c r="AG1014" s="120">
        <f t="shared" si="118"/>
        <v>1824.8700000000001</v>
      </c>
      <c r="AH1014" s="36"/>
      <c r="AI1014" s="124"/>
      <c r="AJ1014" s="122" t="s">
        <v>2165</v>
      </c>
      <c r="AK1014" s="129" t="str">
        <f t="shared" ca="1" si="117"/>
        <v>Late</v>
      </c>
      <c r="AL1014" s="268" t="str">
        <f t="shared" si="119"/>
        <v>August</v>
      </c>
      <c r="AM1014" s="133">
        <f>YEAR(Table1[[#This Row],[ETA
As requested
dd.mm.yyyy]])</f>
        <v>2024</v>
      </c>
    </row>
    <row r="1015" spans="1:39" hidden="1">
      <c r="A1015" s="123" t="s">
        <v>82</v>
      </c>
      <c r="B1015" s="36" t="s">
        <v>1170</v>
      </c>
      <c r="C1015" s="117">
        <v>37347702</v>
      </c>
      <c r="D1015" s="165">
        <v>45499</v>
      </c>
      <c r="E1015" s="117" t="s">
        <v>498</v>
      </c>
      <c r="F1015" s="36">
        <f>IFERROR(VLOOKUP(Table1[[#This Row],[Part Number]],DATABASE_FG!$C$6:D11004,2,FALSE)," ")</f>
        <v>0</v>
      </c>
      <c r="G1015" s="117">
        <f>IFERROR(_xlfn.XLOOKUP(Table1[[#This Row],[Part Number]],Table3[Part number],Table3[Drawing
 Revision]),"")</f>
        <v>0</v>
      </c>
      <c r="H1015" s="118" cm="1">
        <f t="array" ref="H1015">IFERROR(INDEX(PDB!$C:$AT,MATCH(E1015,PDB!$B:$B,0),MATCH(YEAR(K1015),0+PDB!$C$1:$AT$1,0)),"")</f>
        <v>10.31</v>
      </c>
      <c r="I1015" s="36">
        <v>14</v>
      </c>
      <c r="J1015" s="125">
        <f>IFERROR(Table1[[#This Row],[Quantity]]*Table1[[#This Row],[Price/Unit
EUR]]," ")</f>
        <v>144.34</v>
      </c>
      <c r="K1015" s="126">
        <v>45534</v>
      </c>
      <c r="L1015" s="36">
        <f>WEEKNUM(Table1[[#This Row],[ETA
As requested
dd.mm.yyyy]])</f>
        <v>35</v>
      </c>
      <c r="M1015" s="36">
        <f>YEAR(Table1[[#This Row],[ETA
As requested
dd.mm.yyyy]])</f>
        <v>2024</v>
      </c>
      <c r="N1015" s="36">
        <f>IFERROR(INDEX(DATABASE_FG!$H$5:$H$367, MATCH(E1015, DATABASE_FG!$C$5:$C$367, 0)), " ")</f>
        <v>0</v>
      </c>
      <c r="O1015" s="129" t="str">
        <f>IF(E1015&lt;&gt;"", _xlfn.XLOOKUP(E1015, DATABASE_FG!C:C, DATABASE_FG!F:F), " ")</f>
        <v>Housings</v>
      </c>
      <c r="P1015" s="129">
        <f>IFERROR(INDEX(DATABASE_FG!$G$5:$G$367, MATCH(E1015, DATABASE_FG!$C$5:$C$367, 0)), "Not Found")</f>
        <v>0</v>
      </c>
      <c r="Q1015" s="36"/>
      <c r="R1015" s="125"/>
      <c r="S1015" s="123">
        <f>Table1[[#This Row],[Quantity]]/48</f>
        <v>0.29166666666666669</v>
      </c>
      <c r="T1015" s="36"/>
      <c r="U1015" s="36"/>
      <c r="V1015" s="36"/>
      <c r="W1015" s="129"/>
      <c r="X1015" s="36"/>
      <c r="Y1015" s="36"/>
      <c r="Z1015" s="36"/>
      <c r="AA1015" s="125" t="s">
        <v>121</v>
      </c>
      <c r="AB1015" s="172">
        <v>45647</v>
      </c>
      <c r="AC1015" s="119">
        <v>202401596</v>
      </c>
      <c r="AD1015" s="36">
        <f t="shared" si="120"/>
        <v>37347702</v>
      </c>
      <c r="AE1015" s="36" t="str">
        <f t="shared" si="121"/>
        <v>F-688038.02-0611.GEH.WE36</v>
      </c>
      <c r="AF1015" s="36">
        <v>14</v>
      </c>
      <c r="AG1015" s="120">
        <f t="shared" si="118"/>
        <v>144.34</v>
      </c>
      <c r="AH1015" s="36"/>
      <c r="AI1015" s="124"/>
      <c r="AJ1015" s="122" t="s">
        <v>2198</v>
      </c>
      <c r="AK1015" s="129" t="str">
        <f t="shared" ca="1" si="117"/>
        <v>Late</v>
      </c>
      <c r="AL1015" s="268" t="str">
        <f t="shared" si="119"/>
        <v>August</v>
      </c>
      <c r="AM1015" s="133">
        <f>YEAR(Table1[[#This Row],[ETA
As requested
dd.mm.yyyy]])</f>
        <v>2024</v>
      </c>
    </row>
    <row r="1016" spans="1:39" hidden="1">
      <c r="A1016" s="123" t="s">
        <v>82</v>
      </c>
      <c r="B1016" s="36" t="s">
        <v>1170</v>
      </c>
      <c r="C1016" s="117">
        <v>37347702</v>
      </c>
      <c r="D1016" s="165">
        <v>45499</v>
      </c>
      <c r="E1016" s="117" t="s">
        <v>498</v>
      </c>
      <c r="F1016" s="36">
        <f>IFERROR(VLOOKUP(Table1[[#This Row],[Part Number]],DATABASE_FG!$C$6:D11005,2,FALSE)," ")</f>
        <v>0</v>
      </c>
      <c r="G1016" s="117">
        <f>IFERROR(_xlfn.XLOOKUP(Table1[[#This Row],[Part Number]],Table3[Part number],Table3[Drawing
 Revision]),"")</f>
        <v>0</v>
      </c>
      <c r="H1016" s="118" cm="1">
        <f t="array" ref="H1016">IFERROR(INDEX(PDB!$C:$AT,MATCH(E1016,PDB!$B:$B,0),MATCH(YEAR(K1016),0+PDB!$C$1:$AT$1,0)),"")</f>
        <v>10.31</v>
      </c>
      <c r="I1016" s="36">
        <v>5</v>
      </c>
      <c r="J1016" s="125">
        <f>IFERROR(Table1[[#This Row],[Quantity]]*Table1[[#This Row],[Price/Unit
EUR]]," ")</f>
        <v>51.550000000000004</v>
      </c>
      <c r="K1016" s="126">
        <v>45534</v>
      </c>
      <c r="L1016" s="36">
        <f>WEEKNUM(Table1[[#This Row],[ETA
As requested
dd.mm.yyyy]])</f>
        <v>35</v>
      </c>
      <c r="M1016" s="36">
        <f>YEAR(Table1[[#This Row],[ETA
As requested
dd.mm.yyyy]])</f>
        <v>2024</v>
      </c>
      <c r="N1016" s="36">
        <f>IFERROR(INDEX(DATABASE_FG!$H$5:$H$367, MATCH(E1016, DATABASE_FG!$C$5:$C$367, 0)), " ")</f>
        <v>0</v>
      </c>
      <c r="O1016" s="129" t="str">
        <f>IF(E1016&lt;&gt;"", _xlfn.XLOOKUP(E1016, DATABASE_FG!C:C, DATABASE_FG!F:F), " ")</f>
        <v>Housings</v>
      </c>
      <c r="P1016" s="129">
        <f>IFERROR(INDEX(DATABASE_FG!$G$5:$G$367, MATCH(E1016, DATABASE_FG!$C$5:$C$367, 0)), "Not Found")</f>
        <v>0</v>
      </c>
      <c r="Q1016" s="36"/>
      <c r="R1016" s="125"/>
      <c r="S1016" s="123">
        <f>Table1[[#This Row],[Quantity]]/48</f>
        <v>0.10416666666666667</v>
      </c>
      <c r="T1016" s="36"/>
      <c r="U1016" s="36"/>
      <c r="V1016" s="36"/>
      <c r="W1016" s="129"/>
      <c r="X1016" s="36"/>
      <c r="Y1016" s="36"/>
      <c r="Z1016" s="36"/>
      <c r="AA1016" s="125" t="s">
        <v>121</v>
      </c>
      <c r="AB1016" s="173">
        <v>45675</v>
      </c>
      <c r="AC1016" s="119" t="s">
        <v>2215</v>
      </c>
      <c r="AD1016" s="36">
        <f t="shared" si="120"/>
        <v>37347702</v>
      </c>
      <c r="AE1016" s="36" t="str">
        <f t="shared" si="121"/>
        <v>F-688038.02-0611.GEH.WE36</v>
      </c>
      <c r="AF1016" s="36">
        <v>5</v>
      </c>
      <c r="AG1016" s="120">
        <f t="shared" si="118"/>
        <v>51.550000000000004</v>
      </c>
      <c r="AH1016" s="36"/>
      <c r="AI1016" s="124"/>
      <c r="AJ1016" s="122" t="s">
        <v>2216</v>
      </c>
      <c r="AK1016" s="129" t="str">
        <f t="shared" ca="1" si="117"/>
        <v>Late</v>
      </c>
      <c r="AL1016" s="268" t="str">
        <f t="shared" si="119"/>
        <v>August</v>
      </c>
      <c r="AM1016" s="133">
        <f>YEAR(Table1[[#This Row],[ETA
As requested
dd.mm.yyyy]])</f>
        <v>2024</v>
      </c>
    </row>
    <row r="1017" spans="1:39" hidden="1">
      <c r="A1017" s="123" t="s">
        <v>82</v>
      </c>
      <c r="B1017" s="36" t="s">
        <v>1170</v>
      </c>
      <c r="C1017" s="117">
        <v>37347702</v>
      </c>
      <c r="D1017" s="165">
        <v>45499</v>
      </c>
      <c r="E1017" s="117" t="s">
        <v>498</v>
      </c>
      <c r="F1017" s="36">
        <f>IFERROR(VLOOKUP(Table1[[#This Row],[Part Number]],DATABASE_FG!$C$6:D11006,2,FALSE)," ")</f>
        <v>0</v>
      </c>
      <c r="G1017" s="117">
        <f>IFERROR(_xlfn.XLOOKUP(Table1[[#This Row],[Part Number]],Table3[Part number],Table3[Drawing
 Revision]),"")</f>
        <v>0</v>
      </c>
      <c r="H1017" s="118" cm="1">
        <f t="array" ref="H1017">IFERROR(INDEX(PDB!$C:$AT,MATCH(E1017,PDB!$B:$B,0),MATCH(YEAR(K1017),0+PDB!$C$1:$AT$1,0)),"")</f>
        <v>10.31</v>
      </c>
      <c r="I1017" s="36">
        <v>29</v>
      </c>
      <c r="J1017" s="125">
        <f>IFERROR(Table1[[#This Row],[Quantity]]*Table1[[#This Row],[Price/Unit
EUR]]," ")</f>
        <v>298.99</v>
      </c>
      <c r="K1017" s="126">
        <v>45534</v>
      </c>
      <c r="L1017" s="36">
        <f>WEEKNUM(Table1[[#This Row],[ETA
As requested
dd.mm.yyyy]])</f>
        <v>35</v>
      </c>
      <c r="M1017" s="36">
        <f>YEAR(Table1[[#This Row],[ETA
As requested
dd.mm.yyyy]])</f>
        <v>2024</v>
      </c>
      <c r="N1017" s="36">
        <f>IFERROR(INDEX(DATABASE_FG!$H$5:$H$367, MATCH(E1017, DATABASE_FG!$C$5:$C$367, 0)), " ")</f>
        <v>0</v>
      </c>
      <c r="O1017" s="129" t="str">
        <f>IF(E1017&lt;&gt;"", _xlfn.XLOOKUP(E1017, DATABASE_FG!C:C, DATABASE_FG!F:F), " ")</f>
        <v>Housings</v>
      </c>
      <c r="P1017" s="129">
        <f>IFERROR(INDEX(DATABASE_FG!$G$5:$G$367, MATCH(E1017, DATABASE_FG!$C$5:$C$367, 0)), "Not Found")</f>
        <v>0</v>
      </c>
      <c r="Q1017" s="36"/>
      <c r="R1017" s="125"/>
      <c r="S1017" s="123">
        <f>Table1[[#This Row],[Quantity]]/48</f>
        <v>0.60416666666666663</v>
      </c>
      <c r="T1017" s="36"/>
      <c r="U1017" s="36"/>
      <c r="V1017" s="36"/>
      <c r="W1017" s="129"/>
      <c r="X1017" s="36"/>
      <c r="Y1017" s="36"/>
      <c r="Z1017" s="36"/>
      <c r="AA1017" s="125" t="s">
        <v>121</v>
      </c>
      <c r="AB1017" s="173">
        <v>45689</v>
      </c>
      <c r="AC1017" s="119" t="s">
        <v>2227</v>
      </c>
      <c r="AD1017" s="36">
        <f t="shared" si="120"/>
        <v>37347702</v>
      </c>
      <c r="AE1017" s="36" t="str">
        <f t="shared" si="121"/>
        <v>F-688038.02-0611.GEH.WE36</v>
      </c>
      <c r="AF1017" s="36">
        <v>29</v>
      </c>
      <c r="AG1017" s="120">
        <f t="shared" si="118"/>
        <v>298.99</v>
      </c>
      <c r="AH1017" s="36"/>
      <c r="AI1017" s="124"/>
      <c r="AJ1017" s="122" t="s">
        <v>2228</v>
      </c>
      <c r="AK1017" s="129" t="str">
        <f t="shared" ca="1" si="117"/>
        <v>Late</v>
      </c>
      <c r="AL1017" s="268" t="str">
        <f t="shared" si="119"/>
        <v>August</v>
      </c>
      <c r="AM1017" s="133">
        <f>YEAR(Table1[[#This Row],[ETA
As requested
dd.mm.yyyy]])</f>
        <v>2024</v>
      </c>
    </row>
    <row r="1018" spans="1:39" hidden="1">
      <c r="A1018" s="123" t="s">
        <v>82</v>
      </c>
      <c r="B1018" s="36" t="s">
        <v>1170</v>
      </c>
      <c r="C1018" s="117">
        <v>37347702</v>
      </c>
      <c r="D1018" s="165">
        <v>45499</v>
      </c>
      <c r="E1018" s="117" t="s">
        <v>498</v>
      </c>
      <c r="F1018" s="36">
        <f>IFERROR(VLOOKUP(Table1[[#This Row],[Part Number]],DATABASE_FG!$C$6:D11007,2,FALSE)," ")</f>
        <v>0</v>
      </c>
      <c r="G1018" s="117">
        <f>IFERROR(_xlfn.XLOOKUP(Table1[[#This Row],[Part Number]],Table3[Part number],Table3[Drawing
 Revision]),"")</f>
        <v>0</v>
      </c>
      <c r="H1018" s="118" cm="1">
        <f t="array" ref="H1018">IFERROR(INDEX(PDB!$C:$AT,MATCH(E1018,PDB!$B:$B,0),MATCH(YEAR(K1018),0+PDB!$C$1:$AT$1,0)),"")</f>
        <v>10.31</v>
      </c>
      <c r="I1018" s="36">
        <v>40</v>
      </c>
      <c r="J1018" s="125">
        <f>IFERROR(Table1[[#This Row],[Quantity]]*Table1[[#This Row],[Price/Unit
EUR]]," ")</f>
        <v>412.40000000000003</v>
      </c>
      <c r="K1018" s="126">
        <v>45534</v>
      </c>
      <c r="L1018" s="36">
        <f>WEEKNUM(Table1[[#This Row],[ETA
As requested
dd.mm.yyyy]])</f>
        <v>35</v>
      </c>
      <c r="M1018" s="36">
        <f>YEAR(Table1[[#This Row],[ETA
As requested
dd.mm.yyyy]])</f>
        <v>2024</v>
      </c>
      <c r="N1018" s="36">
        <f>IFERROR(INDEX(DATABASE_FG!$H$5:$H$367, MATCH(E1018, DATABASE_FG!$C$5:$C$367, 0)), " ")</f>
        <v>0</v>
      </c>
      <c r="O1018" s="129" t="str">
        <f>IF(E1018&lt;&gt;"", _xlfn.XLOOKUP(E1018, DATABASE_FG!C:C, DATABASE_FG!F:F), " ")</f>
        <v>Housings</v>
      </c>
      <c r="P1018" s="129">
        <f>IFERROR(INDEX(DATABASE_FG!$G$5:$G$367, MATCH(E1018, DATABASE_FG!$C$5:$C$367, 0)), "Not Found")</f>
        <v>0</v>
      </c>
      <c r="Q1018" s="36"/>
      <c r="R1018" s="125"/>
      <c r="S1018" s="123">
        <f>Table1[[#This Row],[Quantity]]/48</f>
        <v>0.83333333333333337</v>
      </c>
      <c r="T1018" s="36"/>
      <c r="U1018" s="36"/>
      <c r="V1018" s="36"/>
      <c r="W1018" s="129"/>
      <c r="X1018" s="36"/>
      <c r="Y1018" s="36" t="s">
        <v>677</v>
      </c>
      <c r="Z1018" s="36"/>
      <c r="AA1018" s="125" t="s">
        <v>121</v>
      </c>
      <c r="AB1018" s="173">
        <v>45728</v>
      </c>
      <c r="AC1018" s="119">
        <v>25366</v>
      </c>
      <c r="AD1018" s="36">
        <f t="shared" si="120"/>
        <v>37347702</v>
      </c>
      <c r="AE1018" s="36" t="str">
        <f t="shared" si="121"/>
        <v>F-688038.02-0611.GEH.WE36</v>
      </c>
      <c r="AF1018" s="36">
        <v>40</v>
      </c>
      <c r="AG1018" s="120">
        <f t="shared" si="118"/>
        <v>412.40000000000003</v>
      </c>
      <c r="AH1018" s="36"/>
      <c r="AI1018" s="124"/>
      <c r="AJ1018" s="122" t="s">
        <v>2257</v>
      </c>
      <c r="AK1018" s="129" t="str">
        <f t="shared" ca="1" si="117"/>
        <v>Late</v>
      </c>
      <c r="AL1018" s="268" t="str">
        <f t="shared" si="119"/>
        <v>August</v>
      </c>
      <c r="AM1018" s="133">
        <f>YEAR(Table1[[#This Row],[ETA
As requested
dd.mm.yyyy]])</f>
        <v>2024</v>
      </c>
    </row>
    <row r="1019" spans="1:39" hidden="1">
      <c r="A1019" s="123" t="s">
        <v>82</v>
      </c>
      <c r="B1019" s="36" t="s">
        <v>1170</v>
      </c>
      <c r="C1019" s="117">
        <v>37347702</v>
      </c>
      <c r="D1019" s="165">
        <v>45499</v>
      </c>
      <c r="E1019" s="117" t="s">
        <v>498</v>
      </c>
      <c r="F1019" s="36">
        <f>IFERROR(VLOOKUP(Table1[[#This Row],[Part Number]],DATABASE_FG!$C$6:D11008,2,FALSE)," ")</f>
        <v>0</v>
      </c>
      <c r="G1019" s="117">
        <f>IFERROR(_xlfn.XLOOKUP(Table1[[#This Row],[Part Number]],Table3[Part number],Table3[Drawing
 Revision]),"")</f>
        <v>0</v>
      </c>
      <c r="H1019" s="118" cm="1">
        <f t="array" ref="H1019">IFERROR(INDEX(PDB!$C:$AT,MATCH(E1019,PDB!$B:$B,0),MATCH(YEAR(K1019),0+PDB!$C$1:$AT$1,0)),"")</f>
        <v>10.31</v>
      </c>
      <c r="I1019" s="36">
        <v>81</v>
      </c>
      <c r="J1019" s="125">
        <f>IFERROR(Table1[[#This Row],[Quantity]]*Table1[[#This Row],[Price/Unit
EUR]]," ")</f>
        <v>835.11</v>
      </c>
      <c r="K1019" s="126">
        <v>45534</v>
      </c>
      <c r="L1019" s="36">
        <f>WEEKNUM(Table1[[#This Row],[ETA
As requested
dd.mm.yyyy]])</f>
        <v>35</v>
      </c>
      <c r="M1019" s="36">
        <f>YEAR(Table1[[#This Row],[ETA
As requested
dd.mm.yyyy]])</f>
        <v>2024</v>
      </c>
      <c r="N1019" s="36">
        <f>IFERROR(INDEX(DATABASE_FG!$H$5:$H$367, MATCH(E1019, DATABASE_FG!$C$5:$C$367, 0)), " ")</f>
        <v>0</v>
      </c>
      <c r="O1019" s="129" t="str">
        <f>IF(E1019&lt;&gt;"", _xlfn.XLOOKUP(E1019, DATABASE_FG!C:C, DATABASE_FG!F:F), " ")</f>
        <v>Housings</v>
      </c>
      <c r="P1019" s="129">
        <f>IFERROR(INDEX(DATABASE_FG!$G$5:$G$367, MATCH(E1019, DATABASE_FG!$C$5:$C$367, 0)), "Not Found")</f>
        <v>0</v>
      </c>
      <c r="Q1019" s="36"/>
      <c r="R1019" s="125"/>
      <c r="S1019" s="123">
        <f>Table1[[#This Row],[Quantity]]/48</f>
        <v>1.6875</v>
      </c>
      <c r="T1019" s="36"/>
      <c r="U1019" s="36"/>
      <c r="V1019" s="36"/>
      <c r="W1019" s="129"/>
      <c r="X1019" s="36"/>
      <c r="Y1019" s="36"/>
      <c r="Z1019" s="36"/>
      <c r="AA1019" s="125" t="s">
        <v>121</v>
      </c>
      <c r="AB1019" s="173">
        <v>45731</v>
      </c>
      <c r="AC1019" s="119" t="s">
        <v>2263</v>
      </c>
      <c r="AD1019" s="36">
        <f t="shared" si="120"/>
        <v>37347702</v>
      </c>
      <c r="AE1019" s="36" t="str">
        <f t="shared" si="121"/>
        <v>F-688038.02-0611.GEH.WE36</v>
      </c>
      <c r="AF1019" s="36">
        <v>81</v>
      </c>
      <c r="AG1019" s="120">
        <f t="shared" si="118"/>
        <v>835.11</v>
      </c>
      <c r="AH1019" s="36"/>
      <c r="AI1019" s="124" t="s">
        <v>2064</v>
      </c>
      <c r="AJ1019" s="122" t="s">
        <v>2264</v>
      </c>
      <c r="AK1019" s="129" t="str">
        <f t="shared" ca="1" si="117"/>
        <v>Late</v>
      </c>
      <c r="AL1019" s="268" t="str">
        <f t="shared" si="119"/>
        <v>August</v>
      </c>
      <c r="AM1019" s="133">
        <f>YEAR(Table1[[#This Row],[ETA
As requested
dd.mm.yyyy]])</f>
        <v>2024</v>
      </c>
    </row>
    <row r="1020" spans="1:39" hidden="1">
      <c r="A1020" s="123" t="s">
        <v>82</v>
      </c>
      <c r="B1020" s="36" t="s">
        <v>1170</v>
      </c>
      <c r="C1020" s="117">
        <v>37347702</v>
      </c>
      <c r="D1020" s="165">
        <v>45499</v>
      </c>
      <c r="E1020" s="117" t="s">
        <v>498</v>
      </c>
      <c r="F1020" s="36">
        <f>IFERROR(VLOOKUP(Table1[[#This Row],[Part Number]],DATABASE_FG!$C$6:D11009,2,FALSE)," ")</f>
        <v>0</v>
      </c>
      <c r="G1020" s="117">
        <f>IFERROR(_xlfn.XLOOKUP(Table1[[#This Row],[Part Number]],Table3[Part number],Table3[Drawing
 Revision]),"")</f>
        <v>0</v>
      </c>
      <c r="H1020" s="118" cm="1">
        <f t="array" ref="H1020">IFERROR(INDEX(PDB!$C:$AT,MATCH(E1020,PDB!$B:$B,0),MATCH(YEAR(K1020),0+PDB!$C$1:$AT$1,0)),"")</f>
        <v>10.31</v>
      </c>
      <c r="I1020" s="36">
        <v>62</v>
      </c>
      <c r="J1020" s="125">
        <f>IFERROR(Table1[[#This Row],[Quantity]]*Table1[[#This Row],[Price/Unit
EUR]]," ")</f>
        <v>639.22</v>
      </c>
      <c r="K1020" s="126">
        <v>45534</v>
      </c>
      <c r="L1020" s="36">
        <f>WEEKNUM(Table1[[#This Row],[ETA
As requested
dd.mm.yyyy]])</f>
        <v>35</v>
      </c>
      <c r="M1020" s="36">
        <f>YEAR(Table1[[#This Row],[ETA
As requested
dd.mm.yyyy]])</f>
        <v>2024</v>
      </c>
      <c r="N1020" s="36">
        <f>IFERROR(INDEX(DATABASE_FG!$H$5:$H$367, MATCH(E1020, DATABASE_FG!$C$5:$C$367, 0)), " ")</f>
        <v>0</v>
      </c>
      <c r="O1020" s="129" t="str">
        <f>IF(E1020&lt;&gt;"", _xlfn.XLOOKUP(E1020, DATABASE_FG!C:C, DATABASE_FG!F:F), " ")</f>
        <v>Housings</v>
      </c>
      <c r="P1020" s="129">
        <f>IFERROR(INDEX(DATABASE_FG!$G$5:$G$367, MATCH(E1020, DATABASE_FG!$C$5:$C$367, 0)), "Not Found")</f>
        <v>0</v>
      </c>
      <c r="Q1020" s="36"/>
      <c r="R1020" s="125"/>
      <c r="S1020" s="123">
        <f>Table1[[#This Row],[Quantity]]/48</f>
        <v>1.2916666666666667</v>
      </c>
      <c r="T1020" s="36"/>
      <c r="U1020" s="36"/>
      <c r="V1020" s="36"/>
      <c r="W1020" s="129"/>
      <c r="X1020" s="36"/>
      <c r="Y1020" s="36" t="s">
        <v>677</v>
      </c>
      <c r="Z1020" s="36"/>
      <c r="AA1020" s="125" t="s">
        <v>121</v>
      </c>
      <c r="AB1020" s="173">
        <v>45758</v>
      </c>
      <c r="AC1020" s="119">
        <v>25591</v>
      </c>
      <c r="AD1020" s="36">
        <f t="shared" si="120"/>
        <v>37347702</v>
      </c>
      <c r="AE1020" s="36" t="str">
        <f t="shared" si="121"/>
        <v>F-688038.02-0611.GEH.WE36</v>
      </c>
      <c r="AF1020" s="36">
        <v>62</v>
      </c>
      <c r="AG1020" s="120">
        <f t="shared" si="118"/>
        <v>639.22</v>
      </c>
      <c r="AH1020" s="36"/>
      <c r="AI1020" s="124"/>
      <c r="AJ1020" s="122" t="s">
        <v>2281</v>
      </c>
      <c r="AK1020" s="129" t="str">
        <f t="shared" ca="1" si="117"/>
        <v>Late</v>
      </c>
      <c r="AL1020" s="268" t="str">
        <f t="shared" si="119"/>
        <v>August</v>
      </c>
      <c r="AM1020" s="133">
        <f>YEAR(Table1[[#This Row],[ETA
As requested
dd.mm.yyyy]])</f>
        <v>2024</v>
      </c>
    </row>
    <row r="1021" spans="1:39" hidden="1">
      <c r="A1021" s="123" t="s">
        <v>82</v>
      </c>
      <c r="B1021" s="36" t="s">
        <v>1170</v>
      </c>
      <c r="C1021" s="117">
        <v>37347702</v>
      </c>
      <c r="D1021" s="165">
        <v>45499</v>
      </c>
      <c r="E1021" s="117" t="s">
        <v>498</v>
      </c>
      <c r="F1021" s="36">
        <f>IFERROR(VLOOKUP(Table1[[#This Row],[Part Number]],DATABASE_FG!$C$6:D11010,2,FALSE)," ")</f>
        <v>0</v>
      </c>
      <c r="G1021" s="117">
        <f>IFERROR(_xlfn.XLOOKUP(Table1[[#This Row],[Part Number]],Table3[Part number],Table3[Drawing
 Revision]),"")</f>
        <v>0</v>
      </c>
      <c r="H1021" s="118" cm="1">
        <f t="array" ref="H1021">IFERROR(INDEX(PDB!$C:$AT,MATCH(E1021,PDB!$B:$B,0),MATCH(YEAR(K1021),0+PDB!$C$1:$AT$1,0)),"")</f>
        <v>10.31</v>
      </c>
      <c r="I1021" s="36">
        <v>10</v>
      </c>
      <c r="J1021" s="125">
        <f>IFERROR(Table1[[#This Row],[Quantity]]*Table1[[#This Row],[Price/Unit
EUR]]," ")</f>
        <v>103.10000000000001</v>
      </c>
      <c r="K1021" s="126">
        <v>45534</v>
      </c>
      <c r="L1021" s="36">
        <f>WEEKNUM(Table1[[#This Row],[ETA
As requested
dd.mm.yyyy]])</f>
        <v>35</v>
      </c>
      <c r="M1021" s="36">
        <f>YEAR(Table1[[#This Row],[ETA
As requested
dd.mm.yyyy]])</f>
        <v>2024</v>
      </c>
      <c r="N1021" s="36">
        <f>IFERROR(INDEX(DATABASE_FG!$H$5:$H$367, MATCH(E1021, DATABASE_FG!$C$5:$C$367, 0)), " ")</f>
        <v>0</v>
      </c>
      <c r="O1021" s="129" t="str">
        <f>IF(E1021&lt;&gt;"", _xlfn.XLOOKUP(E1021, DATABASE_FG!C:C, DATABASE_FG!F:F), " ")</f>
        <v>Housings</v>
      </c>
      <c r="P1021" s="129">
        <f>IFERROR(INDEX(DATABASE_FG!$G$5:$G$367, MATCH(E1021, DATABASE_FG!$C$5:$C$367, 0)), "Not Found")</f>
        <v>0</v>
      </c>
      <c r="Q1021" s="36"/>
      <c r="R1021" s="125"/>
      <c r="S1021" s="123">
        <f>Table1[[#This Row],[Quantity]]/48</f>
        <v>0.20833333333333334</v>
      </c>
      <c r="T1021" s="36"/>
      <c r="U1021" s="36"/>
      <c r="V1021" s="36"/>
      <c r="W1021" s="129"/>
      <c r="X1021" s="36"/>
      <c r="Y1021" s="36" t="s">
        <v>677</v>
      </c>
      <c r="Z1021" s="36"/>
      <c r="AA1021" s="125" t="s">
        <v>121</v>
      </c>
      <c r="AB1021" s="173">
        <v>45758</v>
      </c>
      <c r="AC1021" s="119">
        <v>25596</v>
      </c>
      <c r="AD1021" s="36">
        <f t="shared" si="120"/>
        <v>37347702</v>
      </c>
      <c r="AE1021" s="36" t="str">
        <f t="shared" si="121"/>
        <v>F-688038.02-0611.GEH.WE36</v>
      </c>
      <c r="AF1021" s="36">
        <v>10</v>
      </c>
      <c r="AG1021" s="120">
        <f t="shared" si="118"/>
        <v>103.10000000000001</v>
      </c>
      <c r="AH1021" s="36"/>
      <c r="AI1021" s="124"/>
      <c r="AJ1021" s="122" t="s">
        <v>2282</v>
      </c>
      <c r="AK1021" s="129" t="str">
        <f t="shared" ca="1" si="117"/>
        <v>Late</v>
      </c>
      <c r="AL1021" s="268" t="str">
        <f t="shared" si="119"/>
        <v>August</v>
      </c>
      <c r="AM1021" s="133">
        <f>YEAR(Table1[[#This Row],[ETA
As requested
dd.mm.yyyy]])</f>
        <v>2024</v>
      </c>
    </row>
    <row r="1022" spans="1:39" hidden="1">
      <c r="A1022" s="123" t="s">
        <v>82</v>
      </c>
      <c r="B1022" s="36" t="s">
        <v>1170</v>
      </c>
      <c r="C1022" s="117">
        <v>37347702</v>
      </c>
      <c r="D1022" s="165">
        <v>45499</v>
      </c>
      <c r="E1022" s="117" t="s">
        <v>498</v>
      </c>
      <c r="F1022" s="36">
        <f>IFERROR(VLOOKUP(Table1[[#This Row],[Part Number]],DATABASE_FG!$C$6:D11011,2,FALSE)," ")</f>
        <v>0</v>
      </c>
      <c r="G1022" s="117">
        <f>IFERROR(_xlfn.XLOOKUP(Table1[[#This Row],[Part Number]],Table3[Part number],Table3[Drawing
 Revision]),"")</f>
        <v>0</v>
      </c>
      <c r="H1022" s="118" cm="1">
        <f t="array" ref="H1022">IFERROR(INDEX(PDB!$C:$AT,MATCH(E1022,PDB!$B:$B,0),MATCH(YEAR(K1022),0+PDB!$C$1:$AT$1,0)),"")</f>
        <v>10.31</v>
      </c>
      <c r="I1022" s="36">
        <f>459-5-139-29-40-81-62-10</f>
        <v>93</v>
      </c>
      <c r="J1022" s="125">
        <f>IFERROR(Table1[[#This Row],[Quantity]]*Table1[[#This Row],[Price/Unit
EUR]]," ")</f>
        <v>958.83</v>
      </c>
      <c r="K1022" s="126">
        <v>45534</v>
      </c>
      <c r="L1022" s="36">
        <f>WEEKNUM(Table1[[#This Row],[ETA
As requested
dd.mm.yyyy]])</f>
        <v>35</v>
      </c>
      <c r="M1022" s="36">
        <f>YEAR(Table1[[#This Row],[ETA
As requested
dd.mm.yyyy]])</f>
        <v>2024</v>
      </c>
      <c r="N1022" s="36">
        <f>IFERROR(INDEX(DATABASE_FG!$H$5:$H$367, MATCH(E1022, DATABASE_FG!$C$5:$C$367, 0)), " ")</f>
        <v>0</v>
      </c>
      <c r="O1022" s="129" t="str">
        <f>IF(E1022&lt;&gt;"", _xlfn.XLOOKUP(E1022, DATABASE_FG!C:C, DATABASE_FG!F:F), " ")</f>
        <v>Housings</v>
      </c>
      <c r="P1022" s="129">
        <f>IFERROR(INDEX(DATABASE_FG!$G$5:$G$367, MATCH(E1022, DATABASE_FG!$C$5:$C$367, 0)), "Not Found")</f>
        <v>0</v>
      </c>
      <c r="Q1022" s="36"/>
      <c r="R1022" s="125"/>
      <c r="S1022" s="123">
        <f>Table1[[#This Row],[Quantity]]/48</f>
        <v>1.9375</v>
      </c>
      <c r="T1022" s="36"/>
      <c r="U1022" s="36"/>
      <c r="V1022" s="36"/>
      <c r="W1022" s="129"/>
      <c r="X1022" s="36"/>
      <c r="Y1022" s="36" t="s">
        <v>677</v>
      </c>
      <c r="Z1022" s="36"/>
      <c r="AA1022" s="125" t="s">
        <v>121</v>
      </c>
      <c r="AB1022" s="173">
        <v>45764</v>
      </c>
      <c r="AC1022" s="119">
        <v>25626</v>
      </c>
      <c r="AD1022" s="36">
        <f t="shared" si="120"/>
        <v>37347702</v>
      </c>
      <c r="AE1022" s="36" t="str">
        <f t="shared" si="121"/>
        <v>F-688038.02-0611.GEH.WE36</v>
      </c>
      <c r="AF1022" s="36">
        <v>93</v>
      </c>
      <c r="AG1022" s="120">
        <f t="shared" si="118"/>
        <v>958.83</v>
      </c>
      <c r="AH1022" s="36"/>
      <c r="AI1022" s="124"/>
      <c r="AJ1022" s="122" t="s">
        <v>2286</v>
      </c>
      <c r="AK1022" s="129" t="str">
        <f t="shared" ca="1" si="117"/>
        <v>Late</v>
      </c>
      <c r="AL1022" s="268" t="str">
        <f t="shared" si="119"/>
        <v>August</v>
      </c>
      <c r="AM1022" s="133">
        <f>YEAR(Table1[[#This Row],[ETA
As requested
dd.mm.yyyy]])</f>
        <v>2024</v>
      </c>
    </row>
    <row r="1023" spans="1:39" hidden="1">
      <c r="A1023" s="123" t="s">
        <v>82</v>
      </c>
      <c r="B1023" s="36" t="s">
        <v>1170</v>
      </c>
      <c r="C1023" s="117">
        <v>37347702</v>
      </c>
      <c r="D1023" s="165">
        <v>45499</v>
      </c>
      <c r="E1023" s="117" t="s">
        <v>498</v>
      </c>
      <c r="F1023" s="36">
        <f>IFERROR(VLOOKUP(Table1[[#This Row],[Part Number]],DATABASE_FG!$C$6:D11012,2,FALSE)," ")</f>
        <v>0</v>
      </c>
      <c r="G1023" s="117">
        <f>IFERROR(_xlfn.XLOOKUP(Table1[[#This Row],[Part Number]],Table3[Part number],Table3[Drawing
 Revision]),"")</f>
        <v>0</v>
      </c>
      <c r="H1023" s="118" cm="1">
        <f t="array" ref="H1023">IFERROR(INDEX(PDB!$C:$AT,MATCH(E1023,PDB!$B:$B,0),MATCH(YEAR(K1023),0+PDB!$C$1:$AT$1,0)),"")</f>
        <v>10.31</v>
      </c>
      <c r="I1023" s="36">
        <v>139</v>
      </c>
      <c r="J1023" s="125">
        <f>IFERROR(Table1[[#This Row],[Quantity]]*Table1[[#This Row],[Price/Unit
EUR]]," ")</f>
        <v>1433.0900000000001</v>
      </c>
      <c r="K1023" s="126">
        <v>45535</v>
      </c>
      <c r="L1023" s="36">
        <f>WEEKNUM(Table1[[#This Row],[ETA
As requested
dd.mm.yyyy]])</f>
        <v>35</v>
      </c>
      <c r="M1023" s="36">
        <f>YEAR(Table1[[#This Row],[ETA
As requested
dd.mm.yyyy]])</f>
        <v>2024</v>
      </c>
      <c r="N1023" s="36">
        <f>IFERROR(INDEX(DATABASE_FG!$H$5:$H$367, MATCH(E1023, DATABASE_FG!$C$5:$C$367, 0)), " ")</f>
        <v>0</v>
      </c>
      <c r="O1023" s="129" t="str">
        <f>IF(E1023&lt;&gt;"", _xlfn.XLOOKUP(E1023, DATABASE_FG!C:C, DATABASE_FG!F:F), " ")</f>
        <v>Housings</v>
      </c>
      <c r="P1023" s="129">
        <f>IFERROR(INDEX(DATABASE_FG!$G$5:$G$367, MATCH(E1023, DATABASE_FG!$C$5:$C$367, 0)), "Not Found")</f>
        <v>0</v>
      </c>
      <c r="Q1023" s="36"/>
      <c r="R1023" s="125"/>
      <c r="S1023" s="123">
        <f>Table1[[#This Row],[Quantity]]/48</f>
        <v>2.8958333333333335</v>
      </c>
      <c r="T1023" s="36"/>
      <c r="U1023" s="36"/>
      <c r="V1023" s="36"/>
      <c r="W1023" s="129"/>
      <c r="X1023" s="36"/>
      <c r="Y1023" s="36"/>
      <c r="Z1023" s="36"/>
      <c r="AA1023" s="125" t="s">
        <v>121</v>
      </c>
      <c r="AB1023" s="173">
        <v>45681</v>
      </c>
      <c r="AC1023" s="119">
        <v>2596</v>
      </c>
      <c r="AD1023" s="36">
        <f t="shared" si="120"/>
        <v>37347702</v>
      </c>
      <c r="AE1023" s="36" t="str">
        <f t="shared" si="121"/>
        <v>F-688038.02-0611.GEH.WE36</v>
      </c>
      <c r="AF1023" s="36">
        <v>139</v>
      </c>
      <c r="AG1023" s="120">
        <f t="shared" si="118"/>
        <v>1433.0900000000001</v>
      </c>
      <c r="AH1023" s="36"/>
      <c r="AI1023" s="124"/>
      <c r="AJ1023" s="122" t="s">
        <v>2221</v>
      </c>
      <c r="AK1023" s="129" t="str">
        <f t="shared" ca="1" si="117"/>
        <v>Late</v>
      </c>
      <c r="AL1023" s="268" t="str">
        <f t="shared" si="119"/>
        <v>August</v>
      </c>
      <c r="AM1023" s="133">
        <f>YEAR(Table1[[#This Row],[ETA
As requested
dd.mm.yyyy]])</f>
        <v>2024</v>
      </c>
    </row>
    <row r="1024" spans="1:39" hidden="1">
      <c r="A1024" s="123" t="s">
        <v>82</v>
      </c>
      <c r="B1024" s="36" t="s">
        <v>1170</v>
      </c>
      <c r="C1024" s="117">
        <v>37347702</v>
      </c>
      <c r="D1024" s="165">
        <v>45474</v>
      </c>
      <c r="E1024" s="117" t="s">
        <v>480</v>
      </c>
      <c r="F1024" s="36">
        <f>IFERROR(VLOOKUP(Table1[[#This Row],[Part Number]],DATABASE_FG!$C$6:D11013,2,FALSE)," ")</f>
        <v>0</v>
      </c>
      <c r="G1024" s="117">
        <f>IFERROR(_xlfn.XLOOKUP(Table1[[#This Row],[Part Number]],Table3[Part number],Table3[Drawing
 Revision]),"")</f>
        <v>0</v>
      </c>
      <c r="H1024" s="118" cm="1">
        <f t="array" ref="H1024">IFERROR(INDEX(PDB!$C:$AT,MATCH(E1024,PDB!$B:$B,0),MATCH(YEAR(K1024),0+PDB!$C$1:$AT$1,0)),"")</f>
        <v>4.55</v>
      </c>
      <c r="I1024" s="36">
        <v>104</v>
      </c>
      <c r="J1024" s="125">
        <f>IFERROR(Table1[[#This Row],[Quantity]]*Table1[[#This Row],[Price/Unit
EUR]]," ")</f>
        <v>473.2</v>
      </c>
      <c r="K1024" s="126">
        <v>45534</v>
      </c>
      <c r="L1024" s="36">
        <f>WEEKNUM(Table1[[#This Row],[ETA
As requested
dd.mm.yyyy]])</f>
        <v>35</v>
      </c>
      <c r="M1024" s="36">
        <f>YEAR(Table1[[#This Row],[ETA
As requested
dd.mm.yyyy]])</f>
        <v>2024</v>
      </c>
      <c r="N1024" s="36">
        <f>IFERROR(INDEX(DATABASE_FG!$H$5:$H$367, MATCH(E1024, DATABASE_FG!$C$5:$C$367, 0)), " ")</f>
        <v>0</v>
      </c>
      <c r="O1024" s="129" t="str">
        <f>IF(E1024&lt;&gt;"", _xlfn.XLOOKUP(E1024, DATABASE_FG!C:C, DATABASE_FG!F:F), " ")</f>
        <v>Housings</v>
      </c>
      <c r="P1024" s="129">
        <f>IFERROR(INDEX(DATABASE_FG!$G$5:$G$367, MATCH(E1024, DATABASE_FG!$C$5:$C$367, 0)), "Not Found")</f>
        <v>0</v>
      </c>
      <c r="Q1024" s="36"/>
      <c r="R1024" s="125" t="s">
        <v>680</v>
      </c>
      <c r="S1024" s="123">
        <f>Table1[[#This Row],[Quantity]]/48</f>
        <v>2.1666666666666665</v>
      </c>
      <c r="T1024" s="36"/>
      <c r="U1024" s="36"/>
      <c r="V1024" s="36"/>
      <c r="W1024" s="129"/>
      <c r="X1024" s="36"/>
      <c r="Y1024" s="36"/>
      <c r="Z1024" s="36"/>
      <c r="AA1024" s="125" t="s">
        <v>121</v>
      </c>
      <c r="AB1024" s="173">
        <v>45593</v>
      </c>
      <c r="AC1024" s="119">
        <v>202401288</v>
      </c>
      <c r="AD1024" s="36">
        <f t="shared" si="120"/>
        <v>37347702</v>
      </c>
      <c r="AE1024" s="36" t="str">
        <f t="shared" si="121"/>
        <v>F-688038.02-0621.GEH.WE36</v>
      </c>
      <c r="AF1024" s="36">
        <v>104</v>
      </c>
      <c r="AG1024" s="120">
        <f t="shared" si="118"/>
        <v>473.2</v>
      </c>
      <c r="AH1024" s="36"/>
      <c r="AI1024" s="124"/>
      <c r="AJ1024" s="122" t="s">
        <v>2144</v>
      </c>
      <c r="AK1024" s="129" t="str">
        <f t="shared" ca="1" si="117"/>
        <v>Late</v>
      </c>
      <c r="AL1024" s="268" t="str">
        <f t="shared" si="119"/>
        <v>August</v>
      </c>
      <c r="AM1024" s="133">
        <f>YEAR(Table1[[#This Row],[ETA
As requested
dd.mm.yyyy]])</f>
        <v>2024</v>
      </c>
    </row>
    <row r="1025" spans="1:39" hidden="1">
      <c r="A1025" s="123" t="s">
        <v>82</v>
      </c>
      <c r="B1025" s="36" t="s">
        <v>1170</v>
      </c>
      <c r="C1025" s="117">
        <v>37347702</v>
      </c>
      <c r="D1025" s="165">
        <v>45474</v>
      </c>
      <c r="E1025" s="117" t="s">
        <v>480</v>
      </c>
      <c r="F1025" s="36">
        <f>IFERROR(VLOOKUP(Table1[[#This Row],[Part Number]],DATABASE_FG!$C$6:D11014,2,FALSE)," ")</f>
        <v>0</v>
      </c>
      <c r="G1025" s="117">
        <f>IFERROR(_xlfn.XLOOKUP(Table1[[#This Row],[Part Number]],Table3[Part number],Table3[Drawing
 Revision]),"")</f>
        <v>0</v>
      </c>
      <c r="H1025" s="118" cm="1">
        <f t="array" ref="H1025">IFERROR(INDEX(PDB!$C:$AT,MATCH(E1025,PDB!$B:$B,0),MATCH(YEAR(K1025),0+PDB!$C$1:$AT$1,0)),"")</f>
        <v>4.55</v>
      </c>
      <c r="I1025" s="36">
        <v>5</v>
      </c>
      <c r="J1025" s="125">
        <f>IFERROR(Table1[[#This Row],[Quantity]]*Table1[[#This Row],[Price/Unit
EUR]]," ")</f>
        <v>22.75</v>
      </c>
      <c r="K1025" s="126">
        <v>45534</v>
      </c>
      <c r="L1025" s="36">
        <f>WEEKNUM(Table1[[#This Row],[ETA
As requested
dd.mm.yyyy]])</f>
        <v>35</v>
      </c>
      <c r="M1025" s="36">
        <f>YEAR(Table1[[#This Row],[ETA
As requested
dd.mm.yyyy]])</f>
        <v>2024</v>
      </c>
      <c r="N1025" s="36">
        <f>IFERROR(INDEX(DATABASE_FG!$H$5:$H$367, MATCH(E1025, DATABASE_FG!$C$5:$C$367, 0)), " ")</f>
        <v>0</v>
      </c>
      <c r="O1025" s="129" t="str">
        <f>IF(E1025&lt;&gt;"", _xlfn.XLOOKUP(E1025, DATABASE_FG!C:C, DATABASE_FG!F:F), " ")</f>
        <v>Housings</v>
      </c>
      <c r="P1025" s="129">
        <f>IFERROR(INDEX(DATABASE_FG!$G$5:$G$367, MATCH(E1025, DATABASE_FG!$C$5:$C$367, 0)), "Not Found")</f>
        <v>0</v>
      </c>
      <c r="Q1025" s="36"/>
      <c r="R1025" s="125" t="s">
        <v>680</v>
      </c>
      <c r="S1025" s="123">
        <f>Table1[[#This Row],[Quantity]]/48</f>
        <v>0.10416666666666667</v>
      </c>
      <c r="T1025" s="36"/>
      <c r="U1025" s="36"/>
      <c r="V1025" s="36"/>
      <c r="W1025" s="129"/>
      <c r="X1025" s="36"/>
      <c r="Y1025" s="36"/>
      <c r="Z1025" s="36"/>
      <c r="AA1025" s="125" t="s">
        <v>121</v>
      </c>
      <c r="AB1025" s="173">
        <v>45601</v>
      </c>
      <c r="AC1025" s="119">
        <v>202401331</v>
      </c>
      <c r="AD1025" s="36">
        <f t="shared" si="120"/>
        <v>37347702</v>
      </c>
      <c r="AE1025" s="36" t="str">
        <f t="shared" si="121"/>
        <v>F-688038.02-0621.GEH.WE36</v>
      </c>
      <c r="AF1025" s="36">
        <v>5</v>
      </c>
      <c r="AG1025" s="120">
        <f t="shared" si="118"/>
        <v>22.75</v>
      </c>
      <c r="AH1025" s="36"/>
      <c r="AI1025" s="124" t="s">
        <v>310</v>
      </c>
      <c r="AJ1025" s="122" t="s">
        <v>2147</v>
      </c>
      <c r="AK1025" s="129" t="str">
        <f t="shared" ca="1" si="117"/>
        <v>Late</v>
      </c>
      <c r="AL1025" s="268" t="str">
        <f t="shared" si="119"/>
        <v>August</v>
      </c>
      <c r="AM1025" s="133">
        <f>YEAR(Table1[[#This Row],[ETA
As requested
dd.mm.yyyy]])</f>
        <v>2024</v>
      </c>
    </row>
    <row r="1026" spans="1:39" hidden="1">
      <c r="A1026" s="123" t="s">
        <v>82</v>
      </c>
      <c r="B1026" s="36" t="s">
        <v>1170</v>
      </c>
      <c r="C1026" s="117">
        <v>37347702</v>
      </c>
      <c r="D1026" s="165">
        <v>45474</v>
      </c>
      <c r="E1026" s="117" t="s">
        <v>480</v>
      </c>
      <c r="F1026" s="36">
        <f>IFERROR(VLOOKUP(Table1[[#This Row],[Part Number]],DATABASE_FG!$C$6:D11015,2,FALSE)," ")</f>
        <v>0</v>
      </c>
      <c r="G1026" s="117">
        <f>IFERROR(_xlfn.XLOOKUP(Table1[[#This Row],[Part Number]],Table3[Part number],Table3[Drawing
 Revision]),"")</f>
        <v>0</v>
      </c>
      <c r="H1026" s="118" cm="1">
        <f t="array" ref="H1026">IFERROR(INDEX(PDB!$C:$AT,MATCH(E1026,PDB!$B:$B,0),MATCH(YEAR(K1026),0+PDB!$C$1:$AT$1,0)),"")</f>
        <v>4.55</v>
      </c>
      <c r="I1026" s="36">
        <v>224</v>
      </c>
      <c r="J1026" s="125">
        <f>IFERROR(Table1[[#This Row],[Quantity]]*Table1[[#This Row],[Price/Unit
EUR]]," ")</f>
        <v>1019.1999999999999</v>
      </c>
      <c r="K1026" s="126">
        <v>45534</v>
      </c>
      <c r="L1026" s="36">
        <f>WEEKNUM(Table1[[#This Row],[ETA
As requested
dd.mm.yyyy]])</f>
        <v>35</v>
      </c>
      <c r="M1026" s="36">
        <f>YEAR(Table1[[#This Row],[ETA
As requested
dd.mm.yyyy]])</f>
        <v>2024</v>
      </c>
      <c r="N1026" s="36">
        <f>IFERROR(INDEX(DATABASE_FG!$H$5:$H$367, MATCH(E1026, DATABASE_FG!$C$5:$C$367, 0)), " ")</f>
        <v>0</v>
      </c>
      <c r="O1026" s="129" t="str">
        <f>IF(E1026&lt;&gt;"", _xlfn.XLOOKUP(E1026, DATABASE_FG!C:C, DATABASE_FG!F:F), " ")</f>
        <v>Housings</v>
      </c>
      <c r="P1026" s="129">
        <f>IFERROR(INDEX(DATABASE_FG!$G$5:$G$367, MATCH(E1026, DATABASE_FG!$C$5:$C$367, 0)), "Not Found")</f>
        <v>0</v>
      </c>
      <c r="Q1026" s="36"/>
      <c r="R1026" s="125" t="s">
        <v>680</v>
      </c>
      <c r="S1026" s="123">
        <f>Table1[[#This Row],[Quantity]]/48</f>
        <v>4.666666666666667</v>
      </c>
      <c r="T1026" s="36"/>
      <c r="U1026" s="36"/>
      <c r="V1026" s="36"/>
      <c r="W1026" s="129"/>
      <c r="X1026" s="36"/>
      <c r="Y1026" s="36"/>
      <c r="Z1026" s="36"/>
      <c r="AA1026" s="125" t="s">
        <v>121</v>
      </c>
      <c r="AB1026" s="173">
        <v>45601</v>
      </c>
      <c r="AC1026" s="119">
        <v>202401331</v>
      </c>
      <c r="AD1026" s="36">
        <f t="shared" si="120"/>
        <v>37347702</v>
      </c>
      <c r="AE1026" s="36" t="str">
        <f t="shared" si="121"/>
        <v>F-688038.02-0621.GEH.WE36</v>
      </c>
      <c r="AF1026" s="36">
        <v>224</v>
      </c>
      <c r="AG1026" s="120">
        <f t="shared" si="118"/>
        <v>1019.1999999999999</v>
      </c>
      <c r="AH1026" s="36"/>
      <c r="AI1026" s="124"/>
      <c r="AJ1026" s="122" t="s">
        <v>2147</v>
      </c>
      <c r="AK1026" s="129" t="str">
        <f t="shared" ca="1" si="117"/>
        <v>Late</v>
      </c>
      <c r="AL1026" s="268" t="str">
        <f t="shared" si="119"/>
        <v>August</v>
      </c>
      <c r="AM1026" s="133">
        <f>YEAR(Table1[[#This Row],[ETA
As requested
dd.mm.yyyy]])</f>
        <v>2024</v>
      </c>
    </row>
    <row r="1027" spans="1:39" hidden="1">
      <c r="A1027" s="123" t="s">
        <v>82</v>
      </c>
      <c r="B1027" s="36" t="s">
        <v>1170</v>
      </c>
      <c r="C1027" s="117">
        <v>37347702</v>
      </c>
      <c r="D1027" s="165">
        <v>45474</v>
      </c>
      <c r="E1027" s="117" t="s">
        <v>480</v>
      </c>
      <c r="F1027" s="36">
        <f>IFERROR(VLOOKUP(Table1[[#This Row],[Part Number]],DATABASE_FG!$C$6:D11016,2,FALSE)," ")</f>
        <v>0</v>
      </c>
      <c r="G1027" s="117">
        <f>IFERROR(_xlfn.XLOOKUP(Table1[[#This Row],[Part Number]],Table3[Part number],Table3[Drawing
 Revision]),"")</f>
        <v>0</v>
      </c>
      <c r="H1027" s="118" cm="1">
        <f t="array" ref="H1027">IFERROR(INDEX(PDB!$C:$AT,MATCH(E1027,PDB!$B:$B,0),MATCH(YEAR(K1027),0+PDB!$C$1:$AT$1,0)),"")</f>
        <v>4.55</v>
      </c>
      <c r="I1027" s="36">
        <v>101</v>
      </c>
      <c r="J1027" s="125">
        <f>IFERROR(Table1[[#This Row],[Quantity]]*Table1[[#This Row],[Price/Unit
EUR]]," ")</f>
        <v>459.54999999999995</v>
      </c>
      <c r="K1027" s="126">
        <v>45534</v>
      </c>
      <c r="L1027" s="36">
        <f>WEEKNUM(Table1[[#This Row],[ETA
As requested
dd.mm.yyyy]])</f>
        <v>35</v>
      </c>
      <c r="M1027" s="36">
        <f>YEAR(Table1[[#This Row],[ETA
As requested
dd.mm.yyyy]])</f>
        <v>2024</v>
      </c>
      <c r="N1027" s="36">
        <f>IFERROR(INDEX(DATABASE_FG!$H$5:$H$367, MATCH(E1027, DATABASE_FG!$C$5:$C$367, 0)), " ")</f>
        <v>0</v>
      </c>
      <c r="O1027" s="129" t="str">
        <f>IF(E1027&lt;&gt;"", _xlfn.XLOOKUP(E1027, DATABASE_FG!C:C, DATABASE_FG!F:F), " ")</f>
        <v>Housings</v>
      </c>
      <c r="P1027" s="129">
        <f>IFERROR(INDEX(DATABASE_FG!$G$5:$G$367, MATCH(E1027, DATABASE_FG!$C$5:$C$367, 0)), "Not Found")</f>
        <v>0</v>
      </c>
      <c r="Q1027" s="36"/>
      <c r="R1027" s="125" t="s">
        <v>680</v>
      </c>
      <c r="S1027" s="123">
        <f>Table1[[#This Row],[Quantity]]/48</f>
        <v>2.1041666666666665</v>
      </c>
      <c r="T1027" s="36"/>
      <c r="U1027" s="36"/>
      <c r="V1027" s="36"/>
      <c r="W1027" s="129"/>
      <c r="X1027" s="36"/>
      <c r="Y1027" s="36"/>
      <c r="Z1027" s="36"/>
      <c r="AA1027" s="125" t="s">
        <v>121</v>
      </c>
      <c r="AB1027" s="173">
        <v>45608</v>
      </c>
      <c r="AC1027" s="119">
        <v>202401375</v>
      </c>
      <c r="AD1027" s="36">
        <f t="shared" si="120"/>
        <v>37347702</v>
      </c>
      <c r="AE1027" s="36" t="str">
        <f t="shared" si="121"/>
        <v>F-688038.02-0621.GEH.WE36</v>
      </c>
      <c r="AF1027" s="36">
        <v>101</v>
      </c>
      <c r="AG1027" s="120">
        <f t="shared" si="118"/>
        <v>459.54999999999995</v>
      </c>
      <c r="AH1027" s="36"/>
      <c r="AI1027" s="124"/>
      <c r="AJ1027" s="122" t="s">
        <v>2152</v>
      </c>
      <c r="AK1027" s="129" t="str">
        <f t="shared" ca="1" si="117"/>
        <v>Late</v>
      </c>
      <c r="AL1027" s="268" t="str">
        <f t="shared" si="119"/>
        <v>August</v>
      </c>
      <c r="AM1027" s="133">
        <f>YEAR(Table1[[#This Row],[ETA
As requested
dd.mm.yyyy]])</f>
        <v>2024</v>
      </c>
    </row>
    <row r="1028" spans="1:39" hidden="1">
      <c r="A1028" s="123" t="s">
        <v>82</v>
      </c>
      <c r="B1028" s="36" t="s">
        <v>1170</v>
      </c>
      <c r="C1028" s="117">
        <v>37347702</v>
      </c>
      <c r="D1028" s="165">
        <v>45474</v>
      </c>
      <c r="E1028" s="117" t="s">
        <v>480</v>
      </c>
      <c r="F1028" s="36">
        <f>IFERROR(VLOOKUP(Table1[[#This Row],[Part Number]],DATABASE_FG!$C$6:D11017,2,FALSE)," ")</f>
        <v>0</v>
      </c>
      <c r="G1028" s="117">
        <f>IFERROR(_xlfn.XLOOKUP(Table1[[#This Row],[Part Number]],Table3[Part number],Table3[Drawing
 Revision]),"")</f>
        <v>0</v>
      </c>
      <c r="H1028" s="118" cm="1">
        <f t="array" ref="H1028">IFERROR(INDEX(PDB!$C:$AT,MATCH(E1028,PDB!$B:$B,0),MATCH(YEAR(K1028),0+PDB!$C$1:$AT$1,0)),"")</f>
        <v>4.55</v>
      </c>
      <c r="I1028" s="36">
        <v>41</v>
      </c>
      <c r="J1028" s="125">
        <f>IFERROR(Table1[[#This Row],[Quantity]]*Table1[[#This Row],[Price/Unit
EUR]]," ")</f>
        <v>186.54999999999998</v>
      </c>
      <c r="K1028" s="126">
        <v>45534</v>
      </c>
      <c r="L1028" s="36">
        <f>WEEKNUM(Table1[[#This Row],[ETA
As requested
dd.mm.yyyy]])</f>
        <v>35</v>
      </c>
      <c r="M1028" s="36">
        <f>YEAR(Table1[[#This Row],[ETA
As requested
dd.mm.yyyy]])</f>
        <v>2024</v>
      </c>
      <c r="N1028" s="36">
        <f>IFERROR(INDEX(DATABASE_FG!$H$5:$H$367, MATCH(E1028, DATABASE_FG!$C$5:$C$367, 0)), " ")</f>
        <v>0</v>
      </c>
      <c r="O1028" s="129" t="str">
        <f>IF(E1028&lt;&gt;"", _xlfn.XLOOKUP(E1028, DATABASE_FG!C:C, DATABASE_FG!F:F), " ")</f>
        <v>Housings</v>
      </c>
      <c r="P1028" s="129">
        <f>IFERROR(INDEX(DATABASE_FG!$G$5:$G$367, MATCH(E1028, DATABASE_FG!$C$5:$C$367, 0)), "Not Found")</f>
        <v>0</v>
      </c>
      <c r="Q1028" s="36"/>
      <c r="R1028" s="125" t="s">
        <v>680</v>
      </c>
      <c r="S1028" s="123">
        <f>Table1[[#This Row],[Quantity]]/48</f>
        <v>0.85416666666666663</v>
      </c>
      <c r="T1028" s="36"/>
      <c r="U1028" s="36"/>
      <c r="V1028" s="36"/>
      <c r="W1028" s="129"/>
      <c r="X1028" s="36"/>
      <c r="Y1028" s="36"/>
      <c r="Z1028" s="36"/>
      <c r="AA1028" s="125" t="s">
        <v>121</v>
      </c>
      <c r="AB1028" s="173">
        <v>45675</v>
      </c>
      <c r="AC1028" s="119" t="s">
        <v>2217</v>
      </c>
      <c r="AD1028" s="36">
        <f t="shared" si="120"/>
        <v>37347702</v>
      </c>
      <c r="AE1028" s="36" t="str">
        <f t="shared" si="121"/>
        <v>F-688038.02-0621.GEH.WE36</v>
      </c>
      <c r="AF1028" s="36">
        <v>41</v>
      </c>
      <c r="AG1028" s="120">
        <f t="shared" si="118"/>
        <v>186.54999999999998</v>
      </c>
      <c r="AH1028" s="36"/>
      <c r="AI1028" s="124"/>
      <c r="AJ1028" s="122" t="s">
        <v>2218</v>
      </c>
      <c r="AK1028" s="129" t="str">
        <f t="shared" ca="1" si="117"/>
        <v>Late</v>
      </c>
      <c r="AL1028" s="268" t="str">
        <f t="shared" si="119"/>
        <v>August</v>
      </c>
      <c r="AM1028" s="133">
        <f>YEAR(Table1[[#This Row],[ETA
As requested
dd.mm.yyyy]])</f>
        <v>2024</v>
      </c>
    </row>
    <row r="1029" spans="1:39" hidden="1">
      <c r="A1029" s="123" t="s">
        <v>82</v>
      </c>
      <c r="B1029" s="36" t="s">
        <v>1170</v>
      </c>
      <c r="C1029" s="117">
        <v>37347702</v>
      </c>
      <c r="D1029" s="165">
        <v>45474</v>
      </c>
      <c r="E1029" s="117" t="s">
        <v>480</v>
      </c>
      <c r="F1029" s="36">
        <f>IFERROR(VLOOKUP(Table1[[#This Row],[Part Number]],DATABASE_FG!$C$6:D11018,2,FALSE)," ")</f>
        <v>0</v>
      </c>
      <c r="G1029" s="117">
        <f>IFERROR(_xlfn.XLOOKUP(Table1[[#This Row],[Part Number]],Table3[Part number],Table3[Drawing
 Revision]),"")</f>
        <v>0</v>
      </c>
      <c r="H1029" s="118" cm="1">
        <f t="array" ref="H1029">IFERROR(INDEX(PDB!$C:$AT,MATCH(E1029,PDB!$B:$B,0),MATCH(YEAR(K1029),0+PDB!$C$1:$AT$1,0)),"")</f>
        <v>4.55</v>
      </c>
      <c r="I1029" s="36">
        <v>151</v>
      </c>
      <c r="J1029" s="125">
        <f>IFERROR(Table1[[#This Row],[Quantity]]*Table1[[#This Row],[Price/Unit
EUR]]," ")</f>
        <v>687.05</v>
      </c>
      <c r="K1029" s="126">
        <v>45534</v>
      </c>
      <c r="L1029" s="36">
        <f>WEEKNUM(Table1[[#This Row],[ETA
As requested
dd.mm.yyyy]])</f>
        <v>35</v>
      </c>
      <c r="M1029" s="36">
        <f>YEAR(Table1[[#This Row],[ETA
As requested
dd.mm.yyyy]])</f>
        <v>2024</v>
      </c>
      <c r="N1029" s="36">
        <f>IFERROR(INDEX(DATABASE_FG!$H$5:$H$367, MATCH(E1029, DATABASE_FG!$C$5:$C$367, 0)), " ")</f>
        <v>0</v>
      </c>
      <c r="O1029" s="129" t="str">
        <f>IF(E1029&lt;&gt;"", _xlfn.XLOOKUP(E1029, DATABASE_FG!C:C, DATABASE_FG!F:F), " ")</f>
        <v>Housings</v>
      </c>
      <c r="P1029" s="129">
        <f>IFERROR(INDEX(DATABASE_FG!$G$5:$G$367, MATCH(E1029, DATABASE_FG!$C$5:$C$367, 0)), "Not Found")</f>
        <v>0</v>
      </c>
      <c r="Q1029" s="36"/>
      <c r="R1029" s="125" t="s">
        <v>680</v>
      </c>
      <c r="S1029" s="123">
        <f>Table1[[#This Row],[Quantity]]/48</f>
        <v>3.1458333333333335</v>
      </c>
      <c r="T1029" s="36"/>
      <c r="U1029" s="36"/>
      <c r="V1029" s="36"/>
      <c r="W1029" s="129"/>
      <c r="X1029" s="36"/>
      <c r="Y1029" s="36"/>
      <c r="Z1029" s="36"/>
      <c r="AA1029" s="125" t="s">
        <v>121</v>
      </c>
      <c r="AB1029" s="173">
        <v>45681</v>
      </c>
      <c r="AC1029" s="119">
        <v>2596</v>
      </c>
      <c r="AD1029" s="36">
        <f t="shared" si="120"/>
        <v>37347702</v>
      </c>
      <c r="AE1029" s="36" t="str">
        <f t="shared" si="121"/>
        <v>F-688038.02-0621.GEH.WE36</v>
      </c>
      <c r="AF1029" s="36">
        <v>151</v>
      </c>
      <c r="AG1029" s="120">
        <f t="shared" si="118"/>
        <v>687.05</v>
      </c>
      <c r="AH1029" s="36"/>
      <c r="AI1029" s="124"/>
      <c r="AJ1029" s="122" t="s">
        <v>2221</v>
      </c>
      <c r="AK1029" s="129" t="str">
        <f t="shared" ca="1" si="117"/>
        <v>Late</v>
      </c>
      <c r="AL1029" s="268" t="str">
        <f t="shared" si="119"/>
        <v>August</v>
      </c>
      <c r="AM1029" s="133">
        <f>YEAR(Table1[[#This Row],[ETA
As requested
dd.mm.yyyy]])</f>
        <v>2024</v>
      </c>
    </row>
    <row r="1030" spans="1:39" hidden="1">
      <c r="A1030" s="123" t="s">
        <v>82</v>
      </c>
      <c r="B1030" s="36" t="s">
        <v>1170</v>
      </c>
      <c r="C1030" s="117">
        <v>37347702</v>
      </c>
      <c r="D1030" s="165">
        <v>45474</v>
      </c>
      <c r="E1030" s="117" t="s">
        <v>480</v>
      </c>
      <c r="F1030" s="36">
        <f>IFERROR(VLOOKUP(Table1[[#This Row],[Part Number]],DATABASE_FG!$C$6:D11019,2,FALSE)," ")</f>
        <v>0</v>
      </c>
      <c r="G1030" s="117">
        <f>IFERROR(_xlfn.XLOOKUP(Table1[[#This Row],[Part Number]],Table3[Part number],Table3[Drawing
 Revision]),"")</f>
        <v>0</v>
      </c>
      <c r="H1030" s="118" cm="1">
        <f t="array" ref="H1030">IFERROR(INDEX(PDB!$C:$AT,MATCH(E1030,PDB!$B:$B,0),MATCH(YEAR(K1030),0+PDB!$C$1:$AT$1,0)),"")</f>
        <v>4.55</v>
      </c>
      <c r="I1030" s="36">
        <v>12</v>
      </c>
      <c r="J1030" s="125">
        <f>IFERROR(Table1[[#This Row],[Quantity]]*Table1[[#This Row],[Price/Unit
EUR]]," ")</f>
        <v>54.599999999999994</v>
      </c>
      <c r="K1030" s="126">
        <v>45534</v>
      </c>
      <c r="L1030" s="36">
        <f>WEEKNUM(Table1[[#This Row],[ETA
As requested
dd.mm.yyyy]])</f>
        <v>35</v>
      </c>
      <c r="M1030" s="36">
        <f>YEAR(Table1[[#This Row],[ETA
As requested
dd.mm.yyyy]])</f>
        <v>2024</v>
      </c>
      <c r="N1030" s="36">
        <f>IFERROR(INDEX(DATABASE_FG!$H$5:$H$367, MATCH(E1030, DATABASE_FG!$C$5:$C$367, 0)), " ")</f>
        <v>0</v>
      </c>
      <c r="O1030" s="129" t="str">
        <f>IF(E1030&lt;&gt;"", _xlfn.XLOOKUP(E1030, DATABASE_FG!C:C, DATABASE_FG!F:F), " ")</f>
        <v>Housings</v>
      </c>
      <c r="P1030" s="129">
        <f>IFERROR(INDEX(DATABASE_FG!$G$5:$G$367, MATCH(E1030, DATABASE_FG!$C$5:$C$367, 0)), "Not Found")</f>
        <v>0</v>
      </c>
      <c r="Q1030" s="36"/>
      <c r="R1030" s="125" t="s">
        <v>680</v>
      </c>
      <c r="S1030" s="123">
        <f>Table1[[#This Row],[Quantity]]/48</f>
        <v>0.25</v>
      </c>
      <c r="T1030" s="36"/>
      <c r="U1030" s="36"/>
      <c r="V1030" s="36"/>
      <c r="W1030" s="129"/>
      <c r="X1030" s="36"/>
      <c r="Y1030" s="36"/>
      <c r="Z1030" s="36"/>
      <c r="AA1030" s="125" t="s">
        <v>121</v>
      </c>
      <c r="AB1030" s="173">
        <v>45724</v>
      </c>
      <c r="AC1030" s="119" t="s">
        <v>2255</v>
      </c>
      <c r="AD1030" s="36">
        <f t="shared" si="120"/>
        <v>37347702</v>
      </c>
      <c r="AE1030" s="36" t="str">
        <f t="shared" si="121"/>
        <v>F-688038.02-0621.GEH.WE36</v>
      </c>
      <c r="AF1030" s="36">
        <v>12</v>
      </c>
      <c r="AG1030" s="120">
        <f t="shared" si="118"/>
        <v>54.599999999999994</v>
      </c>
      <c r="AH1030" s="36"/>
      <c r="AI1030" s="124" t="s">
        <v>2054</v>
      </c>
      <c r="AJ1030" s="122" t="s">
        <v>2256</v>
      </c>
      <c r="AK1030" s="129" t="str">
        <f t="shared" ca="1" si="117"/>
        <v>Late</v>
      </c>
      <c r="AL1030" s="268" t="str">
        <f t="shared" si="119"/>
        <v>August</v>
      </c>
      <c r="AM1030" s="133">
        <f>YEAR(Table1[[#This Row],[ETA
As requested
dd.mm.yyyy]])</f>
        <v>2024</v>
      </c>
    </row>
    <row r="1031" spans="1:39" hidden="1">
      <c r="A1031" s="123" t="s">
        <v>82</v>
      </c>
      <c r="B1031" s="36" t="s">
        <v>1170</v>
      </c>
      <c r="C1031" s="117">
        <v>37347702</v>
      </c>
      <c r="D1031" s="165">
        <v>45474</v>
      </c>
      <c r="E1031" s="117" t="s">
        <v>480</v>
      </c>
      <c r="F1031" s="36">
        <f>IFERROR(VLOOKUP(Table1[[#This Row],[Part Number]],DATABASE_FG!$C$6:D11020,2,FALSE)," ")</f>
        <v>0</v>
      </c>
      <c r="G1031" s="117">
        <f>IFERROR(_xlfn.XLOOKUP(Table1[[#This Row],[Part Number]],Table3[Part number],Table3[Drawing
 Revision]),"")</f>
        <v>0</v>
      </c>
      <c r="H1031" s="118" cm="1">
        <f t="array" ref="H1031">IFERROR(INDEX(PDB!$C:$AT,MATCH(E1031,PDB!$B:$B,0),MATCH(YEAR(K1031),0+PDB!$C$1:$AT$1,0)),"")</f>
        <v>4.55</v>
      </c>
      <c r="I1031" s="36">
        <f>650-104-5-224-101-41-151</f>
        <v>24</v>
      </c>
      <c r="J1031" s="125">
        <f>IFERROR(Table1[[#This Row],[Quantity]]*Table1[[#This Row],[Price/Unit
EUR]]," ")</f>
        <v>109.19999999999999</v>
      </c>
      <c r="K1031" s="126">
        <v>45534</v>
      </c>
      <c r="L1031" s="36">
        <f>WEEKNUM(Table1[[#This Row],[ETA
As requested
dd.mm.yyyy]])</f>
        <v>35</v>
      </c>
      <c r="M1031" s="36">
        <f>YEAR(Table1[[#This Row],[ETA
As requested
dd.mm.yyyy]])</f>
        <v>2024</v>
      </c>
      <c r="N1031" s="36">
        <f>IFERROR(INDEX(DATABASE_FG!$H$5:$H$367, MATCH(E1031, DATABASE_FG!$C$5:$C$367, 0)), " ")</f>
        <v>0</v>
      </c>
      <c r="O1031" s="129" t="str">
        <f>IF(E1031&lt;&gt;"", _xlfn.XLOOKUP(E1031, DATABASE_FG!C:C, DATABASE_FG!F:F), " ")</f>
        <v>Housings</v>
      </c>
      <c r="P1031" s="129">
        <f>IFERROR(INDEX(DATABASE_FG!$G$5:$G$367, MATCH(E1031, DATABASE_FG!$C$5:$C$367, 0)), "Not Found")</f>
        <v>0</v>
      </c>
      <c r="Q1031" s="36"/>
      <c r="R1031" s="125" t="s">
        <v>680</v>
      </c>
      <c r="S1031" s="123">
        <f>Table1[[#This Row],[Quantity]]/48</f>
        <v>0.5</v>
      </c>
      <c r="T1031" s="36"/>
      <c r="U1031" s="36"/>
      <c r="V1031" s="36"/>
      <c r="W1031" s="129"/>
      <c r="X1031" s="36"/>
      <c r="Y1031" s="36" t="s">
        <v>677</v>
      </c>
      <c r="Z1031" s="36"/>
      <c r="AA1031" s="125" t="s">
        <v>121</v>
      </c>
      <c r="AB1031" s="173">
        <v>45724</v>
      </c>
      <c r="AC1031" s="119" t="s">
        <v>2255</v>
      </c>
      <c r="AD1031" s="36">
        <f t="shared" si="120"/>
        <v>37347702</v>
      </c>
      <c r="AE1031" s="36" t="str">
        <f t="shared" si="121"/>
        <v>F-688038.02-0621.GEH.WE36</v>
      </c>
      <c r="AF1031" s="36">
        <v>24</v>
      </c>
      <c r="AG1031" s="120">
        <f t="shared" si="118"/>
        <v>109.19999999999999</v>
      </c>
      <c r="AH1031" s="36"/>
      <c r="AI1031" s="124" t="s">
        <v>2054</v>
      </c>
      <c r="AJ1031" s="122" t="s">
        <v>2256</v>
      </c>
      <c r="AK1031" s="129" t="str">
        <f t="shared" ca="1" si="117"/>
        <v>Late</v>
      </c>
      <c r="AL1031" s="268" t="str">
        <f t="shared" si="119"/>
        <v>August</v>
      </c>
      <c r="AM1031" s="133">
        <f>YEAR(Table1[[#This Row],[ETA
As requested
dd.mm.yyyy]])</f>
        <v>2024</v>
      </c>
    </row>
    <row r="1032" spans="1:39" hidden="1">
      <c r="A1032" s="123" t="s">
        <v>82</v>
      </c>
      <c r="B1032" s="36" t="s">
        <v>1170</v>
      </c>
      <c r="C1032" s="117">
        <v>37347702</v>
      </c>
      <c r="D1032" s="165">
        <v>45474</v>
      </c>
      <c r="E1032" s="117" t="s">
        <v>511</v>
      </c>
      <c r="F1032" s="36">
        <f>IFERROR(VLOOKUP(Table1[[#This Row],[Part Number]],DATABASE_FG!$C$6:D11021,2,FALSE)," ")</f>
        <v>0</v>
      </c>
      <c r="G1032" s="117">
        <f>IFERROR(_xlfn.XLOOKUP(Table1[[#This Row],[Part Number]],Table3[Part number],Table3[Drawing
 Revision]),"")</f>
        <v>0</v>
      </c>
      <c r="H1032" s="118" cm="1">
        <f t="array" ref="H1032">IFERROR(INDEX(PDB!$C:$AT,MATCH(E1032,PDB!$B:$B,0),MATCH(YEAR(K1032),0+PDB!$C$1:$AT$1,0)),"")</f>
        <v>3.76</v>
      </c>
      <c r="I1032" s="36">
        <v>75</v>
      </c>
      <c r="J1032" s="125">
        <f>IFERROR(Table1[[#This Row],[Quantity]]*Table1[[#This Row],[Price/Unit
EUR]]," ")</f>
        <v>282</v>
      </c>
      <c r="K1032" s="126">
        <v>45534</v>
      </c>
      <c r="L1032" s="36">
        <f>WEEKNUM(Table1[[#This Row],[ETA
As requested
dd.mm.yyyy]])</f>
        <v>35</v>
      </c>
      <c r="M1032" s="36">
        <f>YEAR(Table1[[#This Row],[ETA
As requested
dd.mm.yyyy]])</f>
        <v>2024</v>
      </c>
      <c r="N1032" s="36">
        <f>IFERROR(INDEX(DATABASE_FG!$H$5:$H$367, MATCH(E1032, DATABASE_FG!$C$5:$C$367, 0)), " ")</f>
        <v>0</v>
      </c>
      <c r="O1032" s="129" t="str">
        <f>IF(E1032&lt;&gt;"", _xlfn.XLOOKUP(E1032, DATABASE_FG!C:C, DATABASE_FG!F:F), " ")</f>
        <v>Housings</v>
      </c>
      <c r="P1032" s="129">
        <f>IFERROR(INDEX(DATABASE_FG!$G$5:$G$367, MATCH(E1032, DATABASE_FG!$C$5:$C$367, 0)), "Not Found")</f>
        <v>0</v>
      </c>
      <c r="Q1032" s="36"/>
      <c r="R1032" s="125"/>
      <c r="S1032" s="123">
        <f>Table1[[#This Row],[Quantity]]/48</f>
        <v>1.5625</v>
      </c>
      <c r="T1032" s="36"/>
      <c r="U1032" s="36"/>
      <c r="V1032" s="36"/>
      <c r="W1032" s="129"/>
      <c r="X1032" s="36"/>
      <c r="Y1032" s="36"/>
      <c r="Z1032" s="36"/>
      <c r="AA1032" s="125" t="s">
        <v>121</v>
      </c>
      <c r="AB1032" s="173">
        <v>45608</v>
      </c>
      <c r="AC1032" s="119">
        <v>202401375</v>
      </c>
      <c r="AD1032" s="36">
        <f t="shared" si="120"/>
        <v>37347702</v>
      </c>
      <c r="AE1032" s="36" t="str">
        <f t="shared" si="121"/>
        <v>F-688038.02-0631.GEH.WE36</v>
      </c>
      <c r="AF1032" s="36">
        <v>75</v>
      </c>
      <c r="AG1032" s="120">
        <f t="shared" si="118"/>
        <v>282</v>
      </c>
      <c r="AH1032" s="36"/>
      <c r="AI1032" s="124"/>
      <c r="AJ1032" s="122" t="s">
        <v>2153</v>
      </c>
      <c r="AK1032" s="129" t="str">
        <f t="shared" ca="1" si="117"/>
        <v>Late</v>
      </c>
      <c r="AL1032" s="268" t="str">
        <f t="shared" si="119"/>
        <v>August</v>
      </c>
      <c r="AM1032" s="133">
        <f>YEAR(Table1[[#This Row],[ETA
As requested
dd.mm.yyyy]])</f>
        <v>2024</v>
      </c>
    </row>
    <row r="1033" spans="1:39" hidden="1">
      <c r="A1033" s="123" t="s">
        <v>82</v>
      </c>
      <c r="B1033" s="36" t="s">
        <v>1170</v>
      </c>
      <c r="C1033" s="117">
        <v>37347702</v>
      </c>
      <c r="D1033" s="165">
        <v>45474</v>
      </c>
      <c r="E1033" s="117" t="s">
        <v>511</v>
      </c>
      <c r="F1033" s="36">
        <f>IFERROR(VLOOKUP(Table1[[#This Row],[Part Number]],DATABASE_FG!$C$6:D11022,2,FALSE)," ")</f>
        <v>0</v>
      </c>
      <c r="G1033" s="117">
        <f>IFERROR(_xlfn.XLOOKUP(Table1[[#This Row],[Part Number]],Table3[Part number],Table3[Drawing
 Revision]),"")</f>
        <v>0</v>
      </c>
      <c r="H1033" s="118" cm="1">
        <f t="array" ref="H1033">IFERROR(INDEX(PDB!$C:$AT,MATCH(E1033,PDB!$B:$B,0),MATCH(YEAR(K1033),0+PDB!$C$1:$AT$1,0)),"")</f>
        <v>3.76</v>
      </c>
      <c r="I1033" s="36">
        <v>167</v>
      </c>
      <c r="J1033" s="125">
        <f>IFERROR(Table1[[#This Row],[Quantity]]*Table1[[#This Row],[Price/Unit
EUR]]," ")</f>
        <v>627.91999999999996</v>
      </c>
      <c r="K1033" s="126">
        <v>45534</v>
      </c>
      <c r="L1033" s="36">
        <f>WEEKNUM(Table1[[#This Row],[ETA
As requested
dd.mm.yyyy]])</f>
        <v>35</v>
      </c>
      <c r="M1033" s="36">
        <f>YEAR(Table1[[#This Row],[ETA
As requested
dd.mm.yyyy]])</f>
        <v>2024</v>
      </c>
      <c r="N1033" s="36">
        <f>IFERROR(INDEX(DATABASE_FG!$H$5:$H$367, MATCH(E1033, DATABASE_FG!$C$5:$C$367, 0)), " ")</f>
        <v>0</v>
      </c>
      <c r="O1033" s="129" t="str">
        <f>IF(E1033&lt;&gt;"", _xlfn.XLOOKUP(E1033, DATABASE_FG!C:C, DATABASE_FG!F:F), " ")</f>
        <v>Housings</v>
      </c>
      <c r="P1033" s="129">
        <f>IFERROR(INDEX(DATABASE_FG!$G$5:$G$367, MATCH(E1033, DATABASE_FG!$C$5:$C$367, 0)), "Not Found")</f>
        <v>0</v>
      </c>
      <c r="Q1033" s="36"/>
      <c r="R1033" s="125"/>
      <c r="S1033" s="123">
        <f>Table1[[#This Row],[Quantity]]/48</f>
        <v>3.4791666666666665</v>
      </c>
      <c r="T1033" s="36"/>
      <c r="U1033" s="36"/>
      <c r="V1033" s="36"/>
      <c r="W1033" s="129"/>
      <c r="X1033" s="36"/>
      <c r="Y1033" s="36"/>
      <c r="Z1033" s="36"/>
      <c r="AA1033" s="125" t="s">
        <v>121</v>
      </c>
      <c r="AB1033" s="172">
        <v>45617</v>
      </c>
      <c r="AC1033" s="119">
        <v>202401415</v>
      </c>
      <c r="AD1033" s="36">
        <f t="shared" si="120"/>
        <v>37347702</v>
      </c>
      <c r="AE1033" s="36" t="str">
        <f t="shared" si="121"/>
        <v>F-688038.02-0631.GEH.WE36</v>
      </c>
      <c r="AF1033" s="36">
        <v>167</v>
      </c>
      <c r="AG1033" s="120">
        <f t="shared" si="118"/>
        <v>627.91999999999996</v>
      </c>
      <c r="AH1033" s="36"/>
      <c r="AI1033" s="124"/>
      <c r="AJ1033" s="122" t="s">
        <v>2158</v>
      </c>
      <c r="AK1033" s="129" t="str">
        <f t="shared" ca="1" si="117"/>
        <v>Late</v>
      </c>
      <c r="AL1033" s="268" t="str">
        <f t="shared" si="119"/>
        <v>August</v>
      </c>
      <c r="AM1033" s="133">
        <f>YEAR(Table1[[#This Row],[ETA
As requested
dd.mm.yyyy]])</f>
        <v>2024</v>
      </c>
    </row>
    <row r="1034" spans="1:39" hidden="1">
      <c r="A1034" s="123" t="s">
        <v>82</v>
      </c>
      <c r="B1034" s="36" t="s">
        <v>1170</v>
      </c>
      <c r="C1034" s="117">
        <v>37347702</v>
      </c>
      <c r="D1034" s="165">
        <v>45474</v>
      </c>
      <c r="E1034" s="117" t="s">
        <v>511</v>
      </c>
      <c r="F1034" s="36">
        <f>IFERROR(VLOOKUP(Table1[[#This Row],[Part Number]],DATABASE_FG!$C$6:D11023,2,FALSE)," ")</f>
        <v>0</v>
      </c>
      <c r="G1034" s="117">
        <f>IFERROR(_xlfn.XLOOKUP(Table1[[#This Row],[Part Number]],Table3[Part number],Table3[Drawing
 Revision]),"")</f>
        <v>0</v>
      </c>
      <c r="H1034" s="118" cm="1">
        <f t="array" ref="H1034">IFERROR(INDEX(PDB!$C:$AT,MATCH(E1034,PDB!$B:$B,0),MATCH(YEAR(K1034),0+PDB!$C$1:$AT$1,0)),"")</f>
        <v>3.76</v>
      </c>
      <c r="I1034" s="36">
        <v>329</v>
      </c>
      <c r="J1034" s="125">
        <f>IFERROR(Table1[[#This Row],[Quantity]]*Table1[[#This Row],[Price/Unit
EUR]]," ")</f>
        <v>1237.04</v>
      </c>
      <c r="K1034" s="126">
        <v>45534</v>
      </c>
      <c r="L1034" s="36">
        <f>WEEKNUM(Table1[[#This Row],[ETA
As requested
dd.mm.yyyy]])</f>
        <v>35</v>
      </c>
      <c r="M1034" s="36">
        <f>YEAR(Table1[[#This Row],[ETA
As requested
dd.mm.yyyy]])</f>
        <v>2024</v>
      </c>
      <c r="N1034" s="36">
        <f>IFERROR(INDEX(DATABASE_FG!$H$5:$H$367, MATCH(E1034, DATABASE_FG!$C$5:$C$367, 0)), " ")</f>
        <v>0</v>
      </c>
      <c r="O1034" s="129" t="str">
        <f>IF(E1034&lt;&gt;"", _xlfn.XLOOKUP(E1034, DATABASE_FG!C:C, DATABASE_FG!F:F), " ")</f>
        <v>Housings</v>
      </c>
      <c r="P1034" s="129">
        <f>IFERROR(INDEX(DATABASE_FG!$G$5:$G$367, MATCH(E1034, DATABASE_FG!$C$5:$C$367, 0)), "Not Found")</f>
        <v>0</v>
      </c>
      <c r="Q1034" s="36"/>
      <c r="R1034" s="125"/>
      <c r="S1034" s="123">
        <f>Table1[[#This Row],[Quantity]]/48</f>
        <v>6.854166666666667</v>
      </c>
      <c r="T1034" s="36"/>
      <c r="U1034" s="36"/>
      <c r="V1034" s="36"/>
      <c r="W1034" s="129"/>
      <c r="X1034" s="36"/>
      <c r="Y1034" s="36"/>
      <c r="Z1034" s="36"/>
      <c r="AA1034" s="125" t="s">
        <v>121</v>
      </c>
      <c r="AB1034" s="173">
        <v>45632</v>
      </c>
      <c r="AC1034" s="119">
        <v>202401491</v>
      </c>
      <c r="AD1034" s="36">
        <f t="shared" si="120"/>
        <v>37347702</v>
      </c>
      <c r="AE1034" s="36" t="str">
        <f t="shared" si="121"/>
        <v>F-688038.02-0631.GEH.WE36</v>
      </c>
      <c r="AF1034" s="36">
        <v>329</v>
      </c>
      <c r="AG1034" s="120">
        <f t="shared" si="118"/>
        <v>1237.04</v>
      </c>
      <c r="AH1034" s="36"/>
      <c r="AI1034" s="124"/>
      <c r="AJ1034" s="122" t="s">
        <v>2177</v>
      </c>
      <c r="AK1034" s="129" t="str">
        <f t="shared" ca="1" si="117"/>
        <v>Late</v>
      </c>
      <c r="AL1034" s="268" t="str">
        <f t="shared" si="119"/>
        <v>August</v>
      </c>
      <c r="AM1034" s="133">
        <f>YEAR(Table1[[#This Row],[ETA
As requested
dd.mm.yyyy]])</f>
        <v>2024</v>
      </c>
    </row>
    <row r="1035" spans="1:39" hidden="1">
      <c r="A1035" s="123" t="s">
        <v>82</v>
      </c>
      <c r="B1035" s="36" t="s">
        <v>1170</v>
      </c>
      <c r="C1035" s="117">
        <v>37347702</v>
      </c>
      <c r="D1035" s="165">
        <v>45474</v>
      </c>
      <c r="E1035" s="117" t="s">
        <v>511</v>
      </c>
      <c r="F1035" s="36">
        <f>IFERROR(VLOOKUP(Table1[[#This Row],[Part Number]],DATABASE_FG!$C$6:D11024,2,FALSE)," ")</f>
        <v>0</v>
      </c>
      <c r="G1035" s="117">
        <f>IFERROR(_xlfn.XLOOKUP(Table1[[#This Row],[Part Number]],Table3[Part number],Table3[Drawing
 Revision]),"")</f>
        <v>0</v>
      </c>
      <c r="H1035" s="118" cm="1">
        <f t="array" ref="H1035">IFERROR(INDEX(PDB!$C:$AT,MATCH(E1035,PDB!$B:$B,0),MATCH(YEAR(K1035),0+PDB!$C$1:$AT$1,0)),"")</f>
        <v>3.76</v>
      </c>
      <c r="I1035" s="36">
        <v>117</v>
      </c>
      <c r="J1035" s="125">
        <f>IFERROR(Table1[[#This Row],[Quantity]]*Table1[[#This Row],[Price/Unit
EUR]]," ")</f>
        <v>439.91999999999996</v>
      </c>
      <c r="K1035" s="126">
        <v>45534</v>
      </c>
      <c r="L1035" s="36">
        <f>WEEKNUM(Table1[[#This Row],[ETA
As requested
dd.mm.yyyy]])</f>
        <v>35</v>
      </c>
      <c r="M1035" s="36">
        <f>YEAR(Table1[[#This Row],[ETA
As requested
dd.mm.yyyy]])</f>
        <v>2024</v>
      </c>
      <c r="N1035" s="36">
        <f>IFERROR(INDEX(DATABASE_FG!$H$5:$H$367, MATCH(E1035, DATABASE_FG!$C$5:$C$367, 0)), " ")</f>
        <v>0</v>
      </c>
      <c r="O1035" s="129" t="str">
        <f>IF(E1035&lt;&gt;"", _xlfn.XLOOKUP(E1035, DATABASE_FG!C:C, DATABASE_FG!F:F), " ")</f>
        <v>Housings</v>
      </c>
      <c r="P1035" s="129">
        <f>IFERROR(INDEX(DATABASE_FG!$G$5:$G$367, MATCH(E1035, DATABASE_FG!$C$5:$C$367, 0)), "Not Found")</f>
        <v>0</v>
      </c>
      <c r="Q1035" s="36"/>
      <c r="R1035" s="125"/>
      <c r="S1035" s="123">
        <f>Table1[[#This Row],[Quantity]]/48</f>
        <v>2.4375</v>
      </c>
      <c r="T1035" s="36"/>
      <c r="U1035" s="36"/>
      <c r="V1035" s="36"/>
      <c r="W1035" s="129"/>
      <c r="X1035" s="36"/>
      <c r="Y1035" s="36"/>
      <c r="Z1035" s="36"/>
      <c r="AA1035" s="125" t="s">
        <v>121</v>
      </c>
      <c r="AB1035" s="173">
        <v>45640</v>
      </c>
      <c r="AC1035" s="119">
        <v>202401550</v>
      </c>
      <c r="AD1035" s="36">
        <f t="shared" si="120"/>
        <v>37347702</v>
      </c>
      <c r="AE1035" s="36" t="str">
        <f t="shared" si="121"/>
        <v>F-688038.02-0631.GEH.WE36</v>
      </c>
      <c r="AF1035" s="36">
        <f>105+12</f>
        <v>117</v>
      </c>
      <c r="AG1035" s="120">
        <f t="shared" si="118"/>
        <v>439.91999999999996</v>
      </c>
      <c r="AH1035" s="36"/>
      <c r="AI1035" s="124"/>
      <c r="AJ1035" s="122" t="s">
        <v>2188</v>
      </c>
      <c r="AK1035" s="129" t="str">
        <f t="shared" ca="1" si="117"/>
        <v>Late</v>
      </c>
      <c r="AL1035" s="268" t="str">
        <f t="shared" si="119"/>
        <v>August</v>
      </c>
      <c r="AM1035" s="133">
        <f>YEAR(Table1[[#This Row],[ETA
As requested
dd.mm.yyyy]])</f>
        <v>2024</v>
      </c>
    </row>
    <row r="1036" spans="1:39" hidden="1">
      <c r="A1036" s="123" t="s">
        <v>82</v>
      </c>
      <c r="B1036" s="36" t="s">
        <v>1170</v>
      </c>
      <c r="C1036" s="117">
        <v>37347702</v>
      </c>
      <c r="D1036" s="165">
        <v>45474</v>
      </c>
      <c r="E1036" s="117" t="s">
        <v>546</v>
      </c>
      <c r="F1036" s="36">
        <f>IFERROR(VLOOKUP(Table1[[#This Row],[Part Number]],DATABASE_FG!$C$6:D11025,2,FALSE)," ")</f>
        <v>0</v>
      </c>
      <c r="G1036" s="117">
        <f>IFERROR(_xlfn.XLOOKUP(Table1[[#This Row],[Part Number]],Table3[Part number],Table3[Drawing
 Revision]),"")</f>
        <v>0</v>
      </c>
      <c r="H1036" s="118" cm="1">
        <f t="array" ref="H1036">IFERROR(INDEX(PDB!$C:$AT,MATCH(E1036,PDB!$B:$B,0),MATCH(YEAR(K1036),0+PDB!$C$1:$AT$1,0)),"")</f>
        <v>16.420000000000002</v>
      </c>
      <c r="I1036" s="36">
        <v>40</v>
      </c>
      <c r="J1036" s="125">
        <f>IFERROR(Table1[[#This Row],[Quantity]]*Table1[[#This Row],[Price/Unit
EUR]]," ")</f>
        <v>656.80000000000007</v>
      </c>
      <c r="K1036" s="126">
        <v>45534</v>
      </c>
      <c r="L1036" s="36">
        <f>WEEKNUM(Table1[[#This Row],[ETA
As requested
dd.mm.yyyy]])</f>
        <v>35</v>
      </c>
      <c r="M1036" s="36">
        <f>YEAR(Table1[[#This Row],[ETA
As requested
dd.mm.yyyy]])</f>
        <v>2024</v>
      </c>
      <c r="N1036" s="36">
        <f>IFERROR(INDEX(DATABASE_FG!$H$5:$H$367, MATCH(E1036, DATABASE_FG!$C$5:$C$367, 0)), " ")</f>
        <v>0</v>
      </c>
      <c r="O1036" s="129" t="str">
        <f>IF(E1036&lt;&gt;"", _xlfn.XLOOKUP(E1036, DATABASE_FG!C:C, DATABASE_FG!F:F), " ")</f>
        <v>Bolts and washers</v>
      </c>
      <c r="P1036" s="129">
        <f>IFERROR(INDEX(DATABASE_FG!$G$5:$G$367, MATCH(E1036, DATABASE_FG!$C$5:$C$367, 0)), "Not Found")</f>
        <v>0</v>
      </c>
      <c r="Q1036" s="36"/>
      <c r="R1036" s="125"/>
      <c r="S1036" s="123">
        <f>Table1[[#This Row],[Quantity]]/48</f>
        <v>0.83333333333333337</v>
      </c>
      <c r="T1036" s="36" t="s">
        <v>677</v>
      </c>
      <c r="U1036" s="36"/>
      <c r="V1036" s="36"/>
      <c r="W1036" s="129"/>
      <c r="X1036" s="36"/>
      <c r="Y1036" s="36"/>
      <c r="Z1036" s="36"/>
      <c r="AA1036" s="125" t="s">
        <v>121</v>
      </c>
      <c r="AB1036" s="173">
        <v>45629</v>
      </c>
      <c r="AC1036" s="119">
        <v>202401503</v>
      </c>
      <c r="AD1036" s="36">
        <f t="shared" si="120"/>
        <v>37347702</v>
      </c>
      <c r="AE1036" s="36" t="str">
        <f t="shared" si="121"/>
        <v>F-688038.02-0711.BZ.WE</v>
      </c>
      <c r="AF1036" s="36">
        <v>40</v>
      </c>
      <c r="AG1036" s="120">
        <f t="shared" si="118"/>
        <v>656.80000000000007</v>
      </c>
      <c r="AH1036" s="36"/>
      <c r="AI1036" s="124" t="s">
        <v>2168</v>
      </c>
      <c r="AJ1036" s="122" t="s">
        <v>2169</v>
      </c>
      <c r="AK1036" s="129" t="str">
        <f t="shared" ca="1" si="117"/>
        <v>Late</v>
      </c>
      <c r="AL1036" s="268" t="str">
        <f t="shared" si="119"/>
        <v>August</v>
      </c>
      <c r="AM1036" s="133">
        <f>YEAR(Table1[[#This Row],[ETA
As requested
dd.mm.yyyy]])</f>
        <v>2024</v>
      </c>
    </row>
    <row r="1037" spans="1:39" hidden="1">
      <c r="A1037" s="123" t="s">
        <v>82</v>
      </c>
      <c r="B1037" s="36" t="s">
        <v>1170</v>
      </c>
      <c r="C1037" s="117">
        <v>37347702</v>
      </c>
      <c r="D1037" s="165">
        <v>45474</v>
      </c>
      <c r="E1037" s="117" t="s">
        <v>546</v>
      </c>
      <c r="F1037" s="36">
        <f>IFERROR(VLOOKUP(Table1[[#This Row],[Part Number]],DATABASE_FG!$C$6:D11026,2,FALSE)," ")</f>
        <v>0</v>
      </c>
      <c r="G1037" s="117">
        <f>IFERROR(_xlfn.XLOOKUP(Table1[[#This Row],[Part Number]],Table3[Part number],Table3[Drawing
 Revision]),"")</f>
        <v>0</v>
      </c>
      <c r="H1037" s="118" cm="1">
        <f t="array" ref="H1037">IFERROR(INDEX(PDB!$C:$AT,MATCH(E1037,PDB!$B:$B,0),MATCH(YEAR(K1037),0+PDB!$C$1:$AT$1,0)),"")</f>
        <v>16.420000000000002</v>
      </c>
      <c r="I1037" s="36">
        <v>24</v>
      </c>
      <c r="J1037" s="125">
        <f>IFERROR(Table1[[#This Row],[Quantity]]*Table1[[#This Row],[Price/Unit
EUR]]," ")</f>
        <v>394.08000000000004</v>
      </c>
      <c r="K1037" s="126">
        <v>45534</v>
      </c>
      <c r="L1037" s="36">
        <f>WEEKNUM(Table1[[#This Row],[ETA
As requested
dd.mm.yyyy]])</f>
        <v>35</v>
      </c>
      <c r="M1037" s="36">
        <f>YEAR(Table1[[#This Row],[ETA
As requested
dd.mm.yyyy]])</f>
        <v>2024</v>
      </c>
      <c r="N1037" s="36">
        <f>IFERROR(INDEX(DATABASE_FG!$H$5:$H$367, MATCH(E1037, DATABASE_FG!$C$5:$C$367, 0)), " ")</f>
        <v>0</v>
      </c>
      <c r="O1037" s="129" t="str">
        <f>IF(E1037&lt;&gt;"", _xlfn.XLOOKUP(E1037, DATABASE_FG!C:C, DATABASE_FG!F:F), " ")</f>
        <v>Bolts and washers</v>
      </c>
      <c r="P1037" s="129">
        <f>IFERROR(INDEX(DATABASE_FG!$G$5:$G$367, MATCH(E1037, DATABASE_FG!$C$5:$C$367, 0)), "Not Found")</f>
        <v>0</v>
      </c>
      <c r="Q1037" s="36"/>
      <c r="R1037" s="125"/>
      <c r="S1037" s="123">
        <f>Table1[[#This Row],[Quantity]]/48</f>
        <v>0.5</v>
      </c>
      <c r="T1037" s="36"/>
      <c r="U1037" s="36"/>
      <c r="V1037" s="36"/>
      <c r="W1037" s="129"/>
      <c r="X1037" s="36"/>
      <c r="Y1037" s="36"/>
      <c r="Z1037" s="36"/>
      <c r="AA1037" s="125" t="s">
        <v>121</v>
      </c>
      <c r="AB1037" s="173">
        <v>45632</v>
      </c>
      <c r="AC1037" s="119">
        <v>202401516</v>
      </c>
      <c r="AD1037" s="36">
        <f t="shared" si="120"/>
        <v>37347702</v>
      </c>
      <c r="AE1037" s="36" t="str">
        <f t="shared" si="121"/>
        <v>F-688038.02-0711.BZ.WE</v>
      </c>
      <c r="AF1037" s="36">
        <v>24</v>
      </c>
      <c r="AG1037" s="120">
        <f t="shared" si="118"/>
        <v>394.08000000000004</v>
      </c>
      <c r="AH1037" s="36"/>
      <c r="AI1037" s="124" t="s">
        <v>2174</v>
      </c>
      <c r="AJ1037" s="122" t="s">
        <v>2175</v>
      </c>
      <c r="AK1037" s="129" t="str">
        <f t="shared" ca="1" si="117"/>
        <v>Late</v>
      </c>
      <c r="AL1037" s="268" t="str">
        <f t="shared" si="119"/>
        <v>August</v>
      </c>
      <c r="AM1037" s="133">
        <f>YEAR(Table1[[#This Row],[ETA
As requested
dd.mm.yyyy]])</f>
        <v>2024</v>
      </c>
    </row>
    <row r="1038" spans="1:39" hidden="1">
      <c r="A1038" s="123" t="s">
        <v>82</v>
      </c>
      <c r="B1038" s="36" t="s">
        <v>1170</v>
      </c>
      <c r="C1038" s="117">
        <v>37347702</v>
      </c>
      <c r="D1038" s="165">
        <v>45474</v>
      </c>
      <c r="E1038" s="117" t="s">
        <v>546</v>
      </c>
      <c r="F1038" s="36">
        <f>IFERROR(VLOOKUP(Table1[[#This Row],[Part Number]],DATABASE_FG!$C$6:D11027,2,FALSE)," ")</f>
        <v>0</v>
      </c>
      <c r="G1038" s="117">
        <f>IFERROR(_xlfn.XLOOKUP(Table1[[#This Row],[Part Number]],Table3[Part number],Table3[Drawing
 Revision]),"")</f>
        <v>0</v>
      </c>
      <c r="H1038" s="118" cm="1">
        <f t="array" ref="H1038">IFERROR(INDEX(PDB!$C:$AT,MATCH(E1038,PDB!$B:$B,0),MATCH(YEAR(K1038),0+PDB!$C$1:$AT$1,0)),"")</f>
        <v>16.420000000000002</v>
      </c>
      <c r="I1038" s="36">
        <v>54</v>
      </c>
      <c r="J1038" s="125">
        <f>IFERROR(Table1[[#This Row],[Quantity]]*Table1[[#This Row],[Price/Unit
EUR]]," ")</f>
        <v>886.68000000000006</v>
      </c>
      <c r="K1038" s="126">
        <v>45534</v>
      </c>
      <c r="L1038" s="36">
        <f>WEEKNUM(Table1[[#This Row],[ETA
As requested
dd.mm.yyyy]])</f>
        <v>35</v>
      </c>
      <c r="M1038" s="36">
        <f>YEAR(Table1[[#This Row],[ETA
As requested
dd.mm.yyyy]])</f>
        <v>2024</v>
      </c>
      <c r="N1038" s="36">
        <f>IFERROR(INDEX(DATABASE_FG!$H$5:$H$367, MATCH(E1038, DATABASE_FG!$C$5:$C$367, 0)), " ")</f>
        <v>0</v>
      </c>
      <c r="O1038" s="129" t="str">
        <f>IF(E1038&lt;&gt;"", _xlfn.XLOOKUP(E1038, DATABASE_FG!C:C, DATABASE_FG!F:F), " ")</f>
        <v>Bolts and washers</v>
      </c>
      <c r="P1038" s="129">
        <f>IFERROR(INDEX(DATABASE_FG!$G$5:$G$367, MATCH(E1038, DATABASE_FG!$C$5:$C$367, 0)), "Not Found")</f>
        <v>0</v>
      </c>
      <c r="Q1038" s="36"/>
      <c r="R1038" s="125"/>
      <c r="S1038" s="123">
        <f>Table1[[#This Row],[Quantity]]/48</f>
        <v>1.125</v>
      </c>
      <c r="T1038" s="36" t="s">
        <v>677</v>
      </c>
      <c r="U1038" s="36"/>
      <c r="V1038" s="36"/>
      <c r="W1038" s="129"/>
      <c r="X1038" s="36"/>
      <c r="Y1038" s="36"/>
      <c r="Z1038" s="36"/>
      <c r="AA1038" s="125" t="s">
        <v>121</v>
      </c>
      <c r="AB1038" s="173">
        <v>45640</v>
      </c>
      <c r="AC1038" s="119">
        <v>202401539</v>
      </c>
      <c r="AD1038" s="36">
        <f t="shared" si="120"/>
        <v>37347702</v>
      </c>
      <c r="AE1038" s="36" t="str">
        <f t="shared" si="121"/>
        <v>F-688038.02-0711.BZ.WE</v>
      </c>
      <c r="AF1038" s="36">
        <v>54</v>
      </c>
      <c r="AG1038" s="120">
        <f t="shared" si="118"/>
        <v>886.68000000000006</v>
      </c>
      <c r="AH1038" s="36"/>
      <c r="AI1038" s="124" t="s">
        <v>2180</v>
      </c>
      <c r="AJ1038" s="122" t="s">
        <v>2181</v>
      </c>
      <c r="AK1038" s="129" t="str">
        <f t="shared" ca="1" si="117"/>
        <v>Late</v>
      </c>
      <c r="AL1038" s="268" t="str">
        <f t="shared" si="119"/>
        <v>August</v>
      </c>
      <c r="AM1038" s="133">
        <f>YEAR(Table1[[#This Row],[ETA
As requested
dd.mm.yyyy]])</f>
        <v>2024</v>
      </c>
    </row>
    <row r="1039" spans="1:39" hidden="1">
      <c r="A1039" s="123" t="s">
        <v>82</v>
      </c>
      <c r="B1039" s="36" t="s">
        <v>1170</v>
      </c>
      <c r="C1039" s="117">
        <v>37347702</v>
      </c>
      <c r="D1039" s="165">
        <v>45474</v>
      </c>
      <c r="E1039" s="117" t="s">
        <v>546</v>
      </c>
      <c r="F1039" s="36">
        <f>IFERROR(VLOOKUP(Table1[[#This Row],[Part Number]],DATABASE_FG!$C$6:D11028,2,FALSE)," ")</f>
        <v>0</v>
      </c>
      <c r="G1039" s="117">
        <f>IFERROR(_xlfn.XLOOKUP(Table1[[#This Row],[Part Number]],Table3[Part number],Table3[Drawing
 Revision]),"")</f>
        <v>0</v>
      </c>
      <c r="H1039" s="118" cm="1">
        <f t="array" ref="H1039">IFERROR(INDEX(PDB!$C:$AT,MATCH(E1039,PDB!$B:$B,0),MATCH(YEAR(K1039),0+PDB!$C$1:$AT$1,0)),"")</f>
        <v>16.420000000000002</v>
      </c>
      <c r="I1039" s="36">
        <v>31</v>
      </c>
      <c r="J1039" s="125">
        <f>IFERROR(Table1[[#This Row],[Quantity]]*Table1[[#This Row],[Price/Unit
EUR]]," ")</f>
        <v>509.02000000000004</v>
      </c>
      <c r="K1039" s="126">
        <v>45534</v>
      </c>
      <c r="L1039" s="36">
        <f>WEEKNUM(Table1[[#This Row],[ETA
As requested
dd.mm.yyyy]])</f>
        <v>35</v>
      </c>
      <c r="M1039" s="36">
        <f>YEAR(Table1[[#This Row],[ETA
As requested
dd.mm.yyyy]])</f>
        <v>2024</v>
      </c>
      <c r="N1039" s="36">
        <f>IFERROR(INDEX(DATABASE_FG!$H$5:$H$367, MATCH(E1039, DATABASE_FG!$C$5:$C$367, 0)), " ")</f>
        <v>0</v>
      </c>
      <c r="O1039" s="129" t="str">
        <f>IF(E1039&lt;&gt;"", _xlfn.XLOOKUP(E1039, DATABASE_FG!C:C, DATABASE_FG!F:F), " ")</f>
        <v>Bolts and washers</v>
      </c>
      <c r="P1039" s="129">
        <f>IFERROR(INDEX(DATABASE_FG!$G$5:$G$367, MATCH(E1039, DATABASE_FG!$C$5:$C$367, 0)), "Not Found")</f>
        <v>0</v>
      </c>
      <c r="Q1039" s="36"/>
      <c r="R1039" s="125"/>
      <c r="S1039" s="123">
        <f>Table1[[#This Row],[Quantity]]/48</f>
        <v>0.64583333333333337</v>
      </c>
      <c r="T1039" s="36" t="s">
        <v>677</v>
      </c>
      <c r="U1039" s="36"/>
      <c r="V1039" s="36"/>
      <c r="W1039" s="129"/>
      <c r="X1039" s="36"/>
      <c r="Y1039" s="36"/>
      <c r="Z1039" s="36"/>
      <c r="AA1039" s="125" t="s">
        <v>121</v>
      </c>
      <c r="AB1039" s="173">
        <v>45644</v>
      </c>
      <c r="AC1039" s="119">
        <v>202401579</v>
      </c>
      <c r="AD1039" s="36">
        <f t="shared" si="120"/>
        <v>37347702</v>
      </c>
      <c r="AE1039" s="36" t="str">
        <f t="shared" si="121"/>
        <v>F-688038.02-0711.BZ.WE</v>
      </c>
      <c r="AF1039" s="36">
        <v>31</v>
      </c>
      <c r="AG1039" s="120">
        <f t="shared" si="118"/>
        <v>509.02000000000004</v>
      </c>
      <c r="AH1039" s="36"/>
      <c r="AI1039" s="124" t="s">
        <v>2190</v>
      </c>
      <c r="AJ1039" s="122" t="s">
        <v>2191</v>
      </c>
      <c r="AK1039" s="129" t="str">
        <f t="shared" ca="1" si="117"/>
        <v>Late</v>
      </c>
      <c r="AL1039" s="268" t="str">
        <f t="shared" si="119"/>
        <v>August</v>
      </c>
      <c r="AM1039" s="133">
        <f>YEAR(Table1[[#This Row],[ETA
As requested
dd.mm.yyyy]])</f>
        <v>2024</v>
      </c>
    </row>
    <row r="1040" spans="1:39" hidden="1">
      <c r="A1040" s="123" t="s">
        <v>82</v>
      </c>
      <c r="B1040" s="36" t="s">
        <v>1170</v>
      </c>
      <c r="C1040" s="117">
        <v>37347702</v>
      </c>
      <c r="D1040" s="165">
        <v>45474</v>
      </c>
      <c r="E1040" s="117" t="s">
        <v>546</v>
      </c>
      <c r="F1040" s="36">
        <f>IFERROR(VLOOKUP(Table1[[#This Row],[Part Number]],DATABASE_FG!$C$6:D11029,2,FALSE)," ")</f>
        <v>0</v>
      </c>
      <c r="G1040" s="117">
        <f>IFERROR(_xlfn.XLOOKUP(Table1[[#This Row],[Part Number]],Table3[Part number],Table3[Drawing
 Revision]),"")</f>
        <v>0</v>
      </c>
      <c r="H1040" s="118" cm="1">
        <f t="array" ref="H1040">IFERROR(INDEX(PDB!$C:$AT,MATCH(E1040,PDB!$B:$B,0),MATCH(YEAR(K1040),0+PDB!$C$1:$AT$1,0)),"")</f>
        <v>16.420000000000002</v>
      </c>
      <c r="I1040" s="36">
        <v>74</v>
      </c>
      <c r="J1040" s="125">
        <f>IFERROR(Table1[[#This Row],[Quantity]]*Table1[[#This Row],[Price/Unit
EUR]]," ")</f>
        <v>1215.0800000000002</v>
      </c>
      <c r="K1040" s="126">
        <v>45534</v>
      </c>
      <c r="L1040" s="36">
        <f>WEEKNUM(Table1[[#This Row],[ETA
As requested
dd.mm.yyyy]])</f>
        <v>35</v>
      </c>
      <c r="M1040" s="36">
        <f>YEAR(Table1[[#This Row],[ETA
As requested
dd.mm.yyyy]])</f>
        <v>2024</v>
      </c>
      <c r="N1040" s="36">
        <f>IFERROR(INDEX(DATABASE_FG!$H$5:$H$367, MATCH(E1040, DATABASE_FG!$C$5:$C$367, 0)), " ")</f>
        <v>0</v>
      </c>
      <c r="O1040" s="129" t="str">
        <f>IF(E1040&lt;&gt;"", _xlfn.XLOOKUP(E1040, DATABASE_FG!C:C, DATABASE_FG!F:F), " ")</f>
        <v>Bolts and washers</v>
      </c>
      <c r="P1040" s="129">
        <f>IFERROR(INDEX(DATABASE_FG!$G$5:$G$367, MATCH(E1040, DATABASE_FG!$C$5:$C$367, 0)), "Not Found")</f>
        <v>0</v>
      </c>
      <c r="Q1040" s="36"/>
      <c r="R1040" s="125"/>
      <c r="S1040" s="123">
        <f>Table1[[#This Row],[Quantity]]/48</f>
        <v>1.5416666666666667</v>
      </c>
      <c r="T1040" s="36" t="s">
        <v>677</v>
      </c>
      <c r="U1040" s="36"/>
      <c r="V1040" s="36"/>
      <c r="W1040" s="129"/>
      <c r="X1040" s="36"/>
      <c r="Y1040" s="36"/>
      <c r="Z1040" s="36"/>
      <c r="AA1040" s="125" t="s">
        <v>121</v>
      </c>
      <c r="AB1040" s="173">
        <v>45660</v>
      </c>
      <c r="AC1040" s="119" t="s">
        <v>2200</v>
      </c>
      <c r="AD1040" s="36">
        <f t="shared" si="120"/>
        <v>37347702</v>
      </c>
      <c r="AE1040" s="36" t="str">
        <f t="shared" si="121"/>
        <v>F-688038.02-0711.BZ.WE</v>
      </c>
      <c r="AF1040" s="36">
        <v>74</v>
      </c>
      <c r="AG1040" s="120">
        <f t="shared" si="118"/>
        <v>1215.0800000000002</v>
      </c>
      <c r="AH1040" s="36"/>
      <c r="AI1040" s="124" t="s">
        <v>2201</v>
      </c>
      <c r="AJ1040" s="122" t="s">
        <v>2202</v>
      </c>
      <c r="AK1040" s="129" t="str">
        <f t="shared" ca="1" si="117"/>
        <v>Late</v>
      </c>
      <c r="AL1040" s="268" t="str">
        <f t="shared" si="119"/>
        <v>August</v>
      </c>
      <c r="AM1040" s="133">
        <f>YEAR(Table1[[#This Row],[ETA
As requested
dd.mm.yyyy]])</f>
        <v>2024</v>
      </c>
    </row>
    <row r="1041" spans="1:39" hidden="1">
      <c r="A1041" s="123" t="s">
        <v>82</v>
      </c>
      <c r="B1041" s="36" t="s">
        <v>1170</v>
      </c>
      <c r="C1041" s="117">
        <v>37347702</v>
      </c>
      <c r="D1041" s="165">
        <v>45474</v>
      </c>
      <c r="E1041" s="117" t="s">
        <v>546</v>
      </c>
      <c r="F1041" s="36">
        <f>IFERROR(VLOOKUP(Table1[[#This Row],[Part Number]],DATABASE_FG!$C$6:D11030,2,FALSE)," ")</f>
        <v>0</v>
      </c>
      <c r="G1041" s="117">
        <f>IFERROR(_xlfn.XLOOKUP(Table1[[#This Row],[Part Number]],Table3[Part number],Table3[Drawing
 Revision]),"")</f>
        <v>0</v>
      </c>
      <c r="H1041" s="118" cm="1">
        <f t="array" ref="H1041">IFERROR(INDEX(PDB!$C:$AT,MATCH(E1041,PDB!$B:$B,0),MATCH(YEAR(K1041),0+PDB!$C$1:$AT$1,0)),"")</f>
        <v>16.420000000000002</v>
      </c>
      <c r="I1041" s="36">
        <v>41</v>
      </c>
      <c r="J1041" s="125">
        <f>IFERROR(Table1[[#This Row],[Quantity]]*Table1[[#This Row],[Price/Unit
EUR]]," ")</f>
        <v>673.22</v>
      </c>
      <c r="K1041" s="126">
        <v>45534</v>
      </c>
      <c r="L1041" s="36">
        <f>WEEKNUM(Table1[[#This Row],[ETA
As requested
dd.mm.yyyy]])</f>
        <v>35</v>
      </c>
      <c r="M1041" s="36">
        <f>YEAR(Table1[[#This Row],[ETA
As requested
dd.mm.yyyy]])</f>
        <v>2024</v>
      </c>
      <c r="N1041" s="36">
        <f>IFERROR(INDEX(DATABASE_FG!$H$5:$H$367, MATCH(E1041, DATABASE_FG!$C$5:$C$367, 0)), " ")</f>
        <v>0</v>
      </c>
      <c r="O1041" s="129" t="str">
        <f>IF(E1041&lt;&gt;"", _xlfn.XLOOKUP(E1041, DATABASE_FG!C:C, DATABASE_FG!F:F), " ")</f>
        <v>Bolts and washers</v>
      </c>
      <c r="P1041" s="129">
        <f>IFERROR(INDEX(DATABASE_FG!$G$5:$G$367, MATCH(E1041, DATABASE_FG!$C$5:$C$367, 0)), "Not Found")</f>
        <v>0</v>
      </c>
      <c r="Q1041" s="36"/>
      <c r="R1041" s="125"/>
      <c r="S1041" s="123">
        <f>Table1[[#This Row],[Quantity]]/48</f>
        <v>0.85416666666666663</v>
      </c>
      <c r="T1041" s="36" t="s">
        <v>677</v>
      </c>
      <c r="U1041" s="36"/>
      <c r="V1041" s="36"/>
      <c r="W1041" s="129"/>
      <c r="X1041" s="36"/>
      <c r="Y1041" s="36"/>
      <c r="Z1041" s="36"/>
      <c r="AA1041" s="125" t="s">
        <v>121</v>
      </c>
      <c r="AB1041" s="173">
        <v>45675</v>
      </c>
      <c r="AC1041" s="119" t="s">
        <v>2203</v>
      </c>
      <c r="AD1041" s="36">
        <f t="shared" si="120"/>
        <v>37347702</v>
      </c>
      <c r="AE1041" s="36" t="str">
        <f t="shared" si="121"/>
        <v>F-688038.02-0711.BZ.WE</v>
      </c>
      <c r="AF1041" s="36">
        <v>41</v>
      </c>
      <c r="AG1041" s="120">
        <f t="shared" si="118"/>
        <v>673.22</v>
      </c>
      <c r="AH1041" s="36"/>
      <c r="AI1041" s="124" t="s">
        <v>2204</v>
      </c>
      <c r="AJ1041" s="122" t="s">
        <v>2205</v>
      </c>
      <c r="AK1041" s="129" t="str">
        <f t="shared" ca="1" si="117"/>
        <v>Late</v>
      </c>
      <c r="AL1041" s="268" t="str">
        <f t="shared" si="119"/>
        <v>August</v>
      </c>
      <c r="AM1041" s="133">
        <f>YEAR(Table1[[#This Row],[ETA
As requested
dd.mm.yyyy]])</f>
        <v>2024</v>
      </c>
    </row>
    <row r="1042" spans="1:39" hidden="1">
      <c r="A1042" s="123" t="s">
        <v>82</v>
      </c>
      <c r="B1042" s="36" t="s">
        <v>1170</v>
      </c>
      <c r="C1042" s="117">
        <v>37347702</v>
      </c>
      <c r="D1042" s="165">
        <v>45474</v>
      </c>
      <c r="E1042" s="117" t="s">
        <v>546</v>
      </c>
      <c r="F1042" s="36">
        <f>IFERROR(VLOOKUP(Table1[[#This Row],[Part Number]],DATABASE_FG!$C$6:D11031,2,FALSE)," ")</f>
        <v>0</v>
      </c>
      <c r="G1042" s="117">
        <f>IFERROR(_xlfn.XLOOKUP(Table1[[#This Row],[Part Number]],Table3[Part number],Table3[Drawing
 Revision]),"")</f>
        <v>0</v>
      </c>
      <c r="H1042" s="118" cm="1">
        <f t="array" ref="H1042">IFERROR(INDEX(PDB!$C:$AT,MATCH(E1042,PDB!$B:$B,0),MATCH(YEAR(K1042),0+PDB!$C$1:$AT$1,0)),"")</f>
        <v>16.420000000000002</v>
      </c>
      <c r="I1042" s="36">
        <v>24</v>
      </c>
      <c r="J1042" s="125">
        <f>IFERROR(Table1[[#This Row],[Quantity]]*Table1[[#This Row],[Price/Unit
EUR]]," ")</f>
        <v>394.08000000000004</v>
      </c>
      <c r="K1042" s="126">
        <v>45534</v>
      </c>
      <c r="L1042" s="36">
        <f>WEEKNUM(Table1[[#This Row],[ETA
As requested
dd.mm.yyyy]])</f>
        <v>35</v>
      </c>
      <c r="M1042" s="36">
        <f>YEAR(Table1[[#This Row],[ETA
As requested
dd.mm.yyyy]])</f>
        <v>2024</v>
      </c>
      <c r="N1042" s="36">
        <f>IFERROR(INDEX(DATABASE_FG!$H$5:$H$367, MATCH(E1042, DATABASE_FG!$C$5:$C$367, 0)), " ")</f>
        <v>0</v>
      </c>
      <c r="O1042" s="129" t="str">
        <f>IF(E1042&lt;&gt;"", _xlfn.XLOOKUP(E1042, DATABASE_FG!C:C, DATABASE_FG!F:F), " ")</f>
        <v>Bolts and washers</v>
      </c>
      <c r="P1042" s="129">
        <f>IFERROR(INDEX(DATABASE_FG!$G$5:$G$367, MATCH(E1042, DATABASE_FG!$C$5:$C$367, 0)), "Not Found")</f>
        <v>0</v>
      </c>
      <c r="Q1042" s="36"/>
      <c r="R1042" s="125"/>
      <c r="S1042" s="123">
        <f>Table1[[#This Row],[Quantity]]/48</f>
        <v>0.5</v>
      </c>
      <c r="T1042" s="36" t="s">
        <v>677</v>
      </c>
      <c r="U1042" s="36"/>
      <c r="V1042" s="36"/>
      <c r="W1042" s="129"/>
      <c r="X1042" s="36"/>
      <c r="Y1042" s="36"/>
      <c r="Z1042" s="36"/>
      <c r="AA1042" s="125" t="s">
        <v>121</v>
      </c>
      <c r="AB1042" s="173">
        <v>45695</v>
      </c>
      <c r="AC1042" s="119">
        <v>25163</v>
      </c>
      <c r="AD1042" s="36">
        <f t="shared" si="120"/>
        <v>37347702</v>
      </c>
      <c r="AE1042" s="36" t="str">
        <f t="shared" si="121"/>
        <v>F-688038.02-0711.BZ.WE</v>
      </c>
      <c r="AF1042" s="36">
        <v>24</v>
      </c>
      <c r="AG1042" s="120">
        <f t="shared" si="118"/>
        <v>394.08000000000004</v>
      </c>
      <c r="AH1042" s="36"/>
      <c r="AI1042" s="124" t="s">
        <v>2229</v>
      </c>
      <c r="AJ1042" s="122" t="s">
        <v>2230</v>
      </c>
      <c r="AK1042" s="129" t="str">
        <f t="shared" ref="AK1042:AK1105" ca="1" si="122">IF(AB1042="", IF(K1042 &lt; TODAY(), "Late", ""), IF(AB1042 &lt;= K1042 + 2, "On Time", "Late"))</f>
        <v>Late</v>
      </c>
      <c r="AL1042" s="268" t="str">
        <f t="shared" si="119"/>
        <v>August</v>
      </c>
      <c r="AM1042" s="133">
        <f>YEAR(Table1[[#This Row],[ETA
As requested
dd.mm.yyyy]])</f>
        <v>2024</v>
      </c>
    </row>
    <row r="1043" spans="1:39" hidden="1">
      <c r="A1043" s="123" t="s">
        <v>82</v>
      </c>
      <c r="B1043" s="36" t="s">
        <v>1170</v>
      </c>
      <c r="C1043" s="117">
        <v>37347702</v>
      </c>
      <c r="D1043" s="165">
        <v>45474</v>
      </c>
      <c r="E1043" s="117" t="s">
        <v>546</v>
      </c>
      <c r="F1043" s="36">
        <f>IFERROR(VLOOKUP(Table1[[#This Row],[Part Number]],DATABASE_FG!$C$6:D11032,2,FALSE)," ")</f>
        <v>0</v>
      </c>
      <c r="G1043" s="117">
        <f>IFERROR(_xlfn.XLOOKUP(Table1[[#This Row],[Part Number]],Table3[Part number],Table3[Drawing
 Revision]),"")</f>
        <v>0</v>
      </c>
      <c r="H1043" s="118" cm="1">
        <f t="array" ref="H1043">IFERROR(INDEX(PDB!$C:$AT,MATCH(E1043,PDB!$B:$B,0),MATCH(YEAR(K1043),0+PDB!$C$1:$AT$1,0)),"")</f>
        <v>16.420000000000002</v>
      </c>
      <c r="I1043" s="36">
        <v>119</v>
      </c>
      <c r="J1043" s="125">
        <f>IFERROR(Table1[[#This Row],[Quantity]]*Table1[[#This Row],[Price/Unit
EUR]]," ")</f>
        <v>1953.9800000000002</v>
      </c>
      <c r="K1043" s="126">
        <v>45534</v>
      </c>
      <c r="L1043" s="36">
        <f>WEEKNUM(Table1[[#This Row],[ETA
As requested
dd.mm.yyyy]])</f>
        <v>35</v>
      </c>
      <c r="M1043" s="36">
        <f>YEAR(Table1[[#This Row],[ETA
As requested
dd.mm.yyyy]])</f>
        <v>2024</v>
      </c>
      <c r="N1043" s="36">
        <f>IFERROR(INDEX(DATABASE_FG!$H$5:$H$367, MATCH(E1043, DATABASE_FG!$C$5:$C$367, 0)), " ")</f>
        <v>0</v>
      </c>
      <c r="O1043" s="129" t="str">
        <f>IF(E1043&lt;&gt;"", _xlfn.XLOOKUP(E1043, DATABASE_FG!C:C, DATABASE_FG!F:F), " ")</f>
        <v>Bolts and washers</v>
      </c>
      <c r="P1043" s="129">
        <f>IFERROR(INDEX(DATABASE_FG!$G$5:$G$367, MATCH(E1043, DATABASE_FG!$C$5:$C$367, 0)), "Not Found")</f>
        <v>0</v>
      </c>
      <c r="Q1043" s="36"/>
      <c r="R1043" s="125"/>
      <c r="S1043" s="123">
        <f>Table1[[#This Row],[Quantity]]/48</f>
        <v>2.4791666666666665</v>
      </c>
      <c r="T1043" s="36" t="s">
        <v>677</v>
      </c>
      <c r="U1043" s="36"/>
      <c r="V1043" s="36"/>
      <c r="W1043" s="129"/>
      <c r="X1043" s="36"/>
      <c r="Y1043" s="36"/>
      <c r="Z1043" s="36"/>
      <c r="AA1043" s="125" t="s">
        <v>121</v>
      </c>
      <c r="AB1043" s="173">
        <v>45703</v>
      </c>
      <c r="AC1043" s="119" t="s">
        <v>2234</v>
      </c>
      <c r="AD1043" s="36">
        <f t="shared" si="120"/>
        <v>37347702</v>
      </c>
      <c r="AE1043" s="36" t="str">
        <f t="shared" si="121"/>
        <v>F-688038.02-0711.BZ.WE</v>
      </c>
      <c r="AF1043" s="36">
        <v>119</v>
      </c>
      <c r="AG1043" s="120">
        <f t="shared" si="118"/>
        <v>1953.9800000000002</v>
      </c>
      <c r="AH1043" s="36"/>
      <c r="AI1043" s="124" t="s">
        <v>2235</v>
      </c>
      <c r="AJ1043" s="122" t="s">
        <v>2236</v>
      </c>
      <c r="AK1043" s="129" t="str">
        <f t="shared" ca="1" si="122"/>
        <v>Late</v>
      </c>
      <c r="AL1043" s="268" t="str">
        <f t="shared" si="119"/>
        <v>August</v>
      </c>
      <c r="AM1043" s="133">
        <f>YEAR(Table1[[#This Row],[ETA
As requested
dd.mm.yyyy]])</f>
        <v>2024</v>
      </c>
    </row>
    <row r="1044" spans="1:39" hidden="1">
      <c r="A1044" s="123" t="s">
        <v>82</v>
      </c>
      <c r="B1044" s="36" t="s">
        <v>1170</v>
      </c>
      <c r="C1044" s="117">
        <v>37347702</v>
      </c>
      <c r="D1044" s="165">
        <v>45474</v>
      </c>
      <c r="E1044" s="117" t="s">
        <v>546</v>
      </c>
      <c r="F1044" s="36">
        <f>IFERROR(VLOOKUP(Table1[[#This Row],[Part Number]],DATABASE_FG!$C$6:D11033,2,FALSE)," ")</f>
        <v>0</v>
      </c>
      <c r="G1044" s="117">
        <f>IFERROR(_xlfn.XLOOKUP(Table1[[#This Row],[Part Number]],Table3[Part number],Table3[Drawing
 Revision]),"")</f>
        <v>0</v>
      </c>
      <c r="H1044" s="118" cm="1">
        <f t="array" ref="H1044">IFERROR(INDEX(PDB!$C:$AT,MATCH(E1044,PDB!$B:$B,0),MATCH(YEAR(K1044),0+PDB!$C$1:$AT$1,0)),"")</f>
        <v>16.420000000000002</v>
      </c>
      <c r="I1044" s="36">
        <v>131</v>
      </c>
      <c r="J1044" s="125">
        <f>IFERROR(Table1[[#This Row],[Quantity]]*Table1[[#This Row],[Price/Unit
EUR]]," ")</f>
        <v>2151.0200000000004</v>
      </c>
      <c r="K1044" s="126">
        <v>45534</v>
      </c>
      <c r="L1044" s="36">
        <f>WEEKNUM(Table1[[#This Row],[ETA
As requested
dd.mm.yyyy]])</f>
        <v>35</v>
      </c>
      <c r="M1044" s="36">
        <f>YEAR(Table1[[#This Row],[ETA
As requested
dd.mm.yyyy]])</f>
        <v>2024</v>
      </c>
      <c r="N1044" s="36">
        <f>IFERROR(INDEX(DATABASE_FG!$H$5:$H$367, MATCH(E1044, DATABASE_FG!$C$5:$C$367, 0)), " ")</f>
        <v>0</v>
      </c>
      <c r="O1044" s="129" t="str">
        <f>IF(E1044&lt;&gt;"", _xlfn.XLOOKUP(E1044, DATABASE_FG!C:C, DATABASE_FG!F:F), " ")</f>
        <v>Bolts and washers</v>
      </c>
      <c r="P1044" s="129">
        <f>IFERROR(INDEX(DATABASE_FG!$G$5:$G$367, MATCH(E1044, DATABASE_FG!$C$5:$C$367, 0)), "Not Found")</f>
        <v>0</v>
      </c>
      <c r="Q1044" s="36"/>
      <c r="R1044" s="125"/>
      <c r="S1044" s="123">
        <f>Table1[[#This Row],[Quantity]]/48</f>
        <v>2.7291666666666665</v>
      </c>
      <c r="T1044" s="36" t="s">
        <v>677</v>
      </c>
      <c r="U1044" s="36"/>
      <c r="V1044" s="36"/>
      <c r="W1044" s="129"/>
      <c r="X1044" s="36"/>
      <c r="Y1044" s="36"/>
      <c r="Z1044" s="36"/>
      <c r="AA1044" s="125" t="s">
        <v>121</v>
      </c>
      <c r="AB1044" s="173">
        <v>45717</v>
      </c>
      <c r="AC1044" s="119" t="s">
        <v>2239</v>
      </c>
      <c r="AD1044" s="36">
        <f t="shared" si="120"/>
        <v>37347702</v>
      </c>
      <c r="AE1044" s="36" t="str">
        <f t="shared" si="121"/>
        <v>F-688038.02-0711.BZ.WE</v>
      </c>
      <c r="AF1044" s="36">
        <v>131</v>
      </c>
      <c r="AG1044" s="120">
        <f t="shared" si="118"/>
        <v>2151.0200000000004</v>
      </c>
      <c r="AH1044" s="36"/>
      <c r="AI1044" s="124" t="s">
        <v>2240</v>
      </c>
      <c r="AJ1044" s="122" t="s">
        <v>2241</v>
      </c>
      <c r="AK1044" s="129" t="str">
        <f t="shared" ca="1" si="122"/>
        <v>Late</v>
      </c>
      <c r="AL1044" s="268" t="str">
        <f t="shared" si="119"/>
        <v>August</v>
      </c>
      <c r="AM1044" s="133">
        <f>YEAR(Table1[[#This Row],[ETA
As requested
dd.mm.yyyy]])</f>
        <v>2024</v>
      </c>
    </row>
    <row r="1045" spans="1:39" hidden="1">
      <c r="A1045" s="123" t="s">
        <v>82</v>
      </c>
      <c r="B1045" s="36" t="s">
        <v>1170</v>
      </c>
      <c r="C1045" s="117">
        <v>37347702</v>
      </c>
      <c r="D1045" s="165">
        <v>45474</v>
      </c>
      <c r="E1045" s="117" t="s">
        <v>546</v>
      </c>
      <c r="F1045" s="36">
        <f>IFERROR(VLOOKUP(Table1[[#This Row],[Part Number]],DATABASE_FG!$C$6:D11034,2,FALSE)," ")</f>
        <v>0</v>
      </c>
      <c r="G1045" s="117">
        <f>IFERROR(_xlfn.XLOOKUP(Table1[[#This Row],[Part Number]],Table3[Part number],Table3[Drawing
 Revision]),"")</f>
        <v>0</v>
      </c>
      <c r="H1045" s="118" cm="1">
        <f t="array" ref="H1045">IFERROR(INDEX(PDB!$C:$AT,MATCH(E1045,PDB!$B:$B,0),MATCH(YEAR(K1045),0+PDB!$C$1:$AT$1,0)),"")</f>
        <v>16.420000000000002</v>
      </c>
      <c r="I1045" s="36">
        <v>5</v>
      </c>
      <c r="J1045" s="125">
        <f>IFERROR(Table1[[#This Row],[Quantity]]*Table1[[#This Row],[Price/Unit
EUR]]," ")</f>
        <v>82.100000000000009</v>
      </c>
      <c r="K1045" s="126">
        <v>45534</v>
      </c>
      <c r="L1045" s="36">
        <f>WEEKNUM(Table1[[#This Row],[ETA
As requested
dd.mm.yyyy]])</f>
        <v>35</v>
      </c>
      <c r="M1045" s="36">
        <f>YEAR(Table1[[#This Row],[ETA
As requested
dd.mm.yyyy]])</f>
        <v>2024</v>
      </c>
      <c r="N1045" s="36">
        <f>IFERROR(INDEX(DATABASE_FG!$H$5:$H$367, MATCH(E1045, DATABASE_FG!$C$5:$C$367, 0)), " ")</f>
        <v>0</v>
      </c>
      <c r="O1045" s="129" t="str">
        <f>IF(E1045&lt;&gt;"", _xlfn.XLOOKUP(E1045, DATABASE_FG!C:C, DATABASE_FG!F:F), " ")</f>
        <v>Bolts and washers</v>
      </c>
      <c r="P1045" s="129">
        <f>IFERROR(INDEX(DATABASE_FG!$G$5:$G$367, MATCH(E1045, DATABASE_FG!$C$5:$C$367, 0)), "Not Found")</f>
        <v>0</v>
      </c>
      <c r="Q1045" s="36"/>
      <c r="R1045" s="125"/>
      <c r="S1045" s="123">
        <f>Table1[[#This Row],[Quantity]]/48</f>
        <v>0.10416666666666667</v>
      </c>
      <c r="T1045" s="36" t="s">
        <v>677</v>
      </c>
      <c r="U1045" s="36"/>
      <c r="V1045" s="36"/>
      <c r="W1045" s="129"/>
      <c r="X1045" s="36"/>
      <c r="Y1045" s="36"/>
      <c r="Z1045" s="36"/>
      <c r="AA1045" s="125" t="s">
        <v>121</v>
      </c>
      <c r="AB1045" s="173">
        <v>45724</v>
      </c>
      <c r="AC1045" s="119" t="s">
        <v>2248</v>
      </c>
      <c r="AD1045" s="36">
        <f t="shared" si="120"/>
        <v>37347702</v>
      </c>
      <c r="AE1045" s="36" t="str">
        <f t="shared" si="121"/>
        <v>F-688038.02-0711.BZ.WE</v>
      </c>
      <c r="AF1045" s="36">
        <v>5</v>
      </c>
      <c r="AG1045" s="120">
        <f t="shared" si="118"/>
        <v>82.100000000000009</v>
      </c>
      <c r="AH1045" s="36"/>
      <c r="AI1045" s="124" t="s">
        <v>2249</v>
      </c>
      <c r="AJ1045" s="122" t="s">
        <v>2250</v>
      </c>
      <c r="AK1045" s="129" t="str">
        <f t="shared" ca="1" si="122"/>
        <v>Late</v>
      </c>
      <c r="AL1045" s="268" t="str">
        <f t="shared" si="119"/>
        <v>August</v>
      </c>
      <c r="AM1045" s="133">
        <f>YEAR(Table1[[#This Row],[ETA
As requested
dd.mm.yyyy]])</f>
        <v>2024</v>
      </c>
    </row>
    <row r="1046" spans="1:39" hidden="1">
      <c r="A1046" s="123" t="s">
        <v>82</v>
      </c>
      <c r="B1046" s="36" t="s">
        <v>1170</v>
      </c>
      <c r="C1046" s="117">
        <v>37347702</v>
      </c>
      <c r="D1046" s="165">
        <v>45474</v>
      </c>
      <c r="E1046" s="117" t="s">
        <v>546</v>
      </c>
      <c r="F1046" s="36">
        <f>IFERROR(VLOOKUP(Table1[[#This Row],[Part Number]],DATABASE_FG!$C$6:D11035,2,FALSE)," ")</f>
        <v>0</v>
      </c>
      <c r="G1046" s="117">
        <f>IFERROR(_xlfn.XLOOKUP(Table1[[#This Row],[Part Number]],Table3[Part number],Table3[Drawing
 Revision]),"")</f>
        <v>0</v>
      </c>
      <c r="H1046" s="118" cm="1">
        <f t="array" ref="H1046">IFERROR(INDEX(PDB!$C:$AT,MATCH(E1046,PDB!$B:$B,0),MATCH(YEAR(K1046),0+PDB!$C$1:$AT$1,0)),"")</f>
        <v>16.420000000000002</v>
      </c>
      <c r="I1046" s="36">
        <f>386-24-119-131-5-70</f>
        <v>37</v>
      </c>
      <c r="J1046" s="125">
        <f>IFERROR(Table1[[#This Row],[Quantity]]*Table1[[#This Row],[Price/Unit
EUR]]," ")</f>
        <v>607.54000000000008</v>
      </c>
      <c r="K1046" s="126">
        <v>45534</v>
      </c>
      <c r="L1046" s="36">
        <f>WEEKNUM(Table1[[#This Row],[ETA
As requested
dd.mm.yyyy]])</f>
        <v>35</v>
      </c>
      <c r="M1046" s="36">
        <f>YEAR(Table1[[#This Row],[ETA
As requested
dd.mm.yyyy]])</f>
        <v>2024</v>
      </c>
      <c r="N1046" s="36">
        <f>IFERROR(INDEX(DATABASE_FG!$H$5:$H$367, MATCH(E1046, DATABASE_FG!$C$5:$C$367, 0)), " ")</f>
        <v>0</v>
      </c>
      <c r="O1046" s="129" t="str">
        <f>IF(E1046&lt;&gt;"", _xlfn.XLOOKUP(E1046, DATABASE_FG!C:C, DATABASE_FG!F:F), " ")</f>
        <v>Bolts and washers</v>
      </c>
      <c r="P1046" s="129">
        <f>IFERROR(INDEX(DATABASE_FG!$G$5:$G$367, MATCH(E1046, DATABASE_FG!$C$5:$C$367, 0)), "Not Found")</f>
        <v>0</v>
      </c>
      <c r="Q1046" s="36"/>
      <c r="R1046" s="125"/>
      <c r="S1046" s="128">
        <f>Table1[[#This Row],[Quantity]]/48</f>
        <v>0.77083333333333337</v>
      </c>
      <c r="T1046" s="36" t="s">
        <v>677</v>
      </c>
      <c r="U1046" s="36"/>
      <c r="V1046" s="36"/>
      <c r="W1046" s="129"/>
      <c r="X1046" s="36"/>
      <c r="Y1046" s="36" t="s">
        <v>2276</v>
      </c>
      <c r="Z1046" s="36"/>
      <c r="AA1046" s="125" t="s">
        <v>121</v>
      </c>
      <c r="AB1046" s="173">
        <v>45754</v>
      </c>
      <c r="AC1046" s="119">
        <v>25552</v>
      </c>
      <c r="AD1046" s="36">
        <f t="shared" si="120"/>
        <v>37347702</v>
      </c>
      <c r="AE1046" s="36" t="str">
        <f t="shared" si="121"/>
        <v>F-688038.02-0711.BZ.WE</v>
      </c>
      <c r="AF1046" s="36">
        <v>37</v>
      </c>
      <c r="AG1046" s="120">
        <f t="shared" si="118"/>
        <v>607.54000000000008</v>
      </c>
      <c r="AH1046" s="36"/>
      <c r="AI1046" s="124" t="s">
        <v>2277</v>
      </c>
      <c r="AJ1046" s="122" t="s">
        <v>2278</v>
      </c>
      <c r="AK1046" s="129" t="str">
        <f t="shared" ca="1" si="122"/>
        <v>Late</v>
      </c>
      <c r="AL1046" s="268" t="str">
        <f t="shared" si="119"/>
        <v>August</v>
      </c>
      <c r="AM1046" s="133">
        <f>YEAR(Table1[[#This Row],[ETA
As requested
dd.mm.yyyy]])</f>
        <v>2024</v>
      </c>
    </row>
    <row r="1047" spans="1:39" hidden="1">
      <c r="A1047" s="123" t="s">
        <v>82</v>
      </c>
      <c r="B1047" s="36" t="s">
        <v>1170</v>
      </c>
      <c r="C1047" s="117">
        <v>37347702</v>
      </c>
      <c r="D1047" s="165">
        <v>45474</v>
      </c>
      <c r="E1047" s="117" t="s">
        <v>546</v>
      </c>
      <c r="F1047" s="36">
        <f>IFERROR(VLOOKUP(Table1[[#This Row],[Part Number]],DATABASE_FG!$C$6:D11036,2,FALSE)," ")</f>
        <v>0</v>
      </c>
      <c r="G1047" s="117">
        <f>IFERROR(_xlfn.XLOOKUP(Table1[[#This Row],[Part Number]],Table3[Part number],Table3[Drawing
 Revision]),"")</f>
        <v>0</v>
      </c>
      <c r="H1047" s="118" cm="1">
        <f t="array" ref="H1047">IFERROR(INDEX(PDB!$C:$AT,MATCH(E1047,PDB!$B:$B,0),MATCH(YEAR(K1047),0+PDB!$C$1:$AT$1,0)),"")</f>
        <v>16.420000000000002</v>
      </c>
      <c r="I1047" s="36">
        <v>70</v>
      </c>
      <c r="J1047" s="125">
        <f>IFERROR(Table1[[#This Row],[Quantity]]*Table1[[#This Row],[Price/Unit
EUR]]," ")</f>
        <v>1149.4000000000001</v>
      </c>
      <c r="K1047" s="126">
        <v>45535</v>
      </c>
      <c r="L1047" s="36">
        <f>WEEKNUM(Table1[[#This Row],[ETA
As requested
dd.mm.yyyy]])</f>
        <v>35</v>
      </c>
      <c r="M1047" s="36">
        <f>YEAR(Table1[[#This Row],[ETA
As requested
dd.mm.yyyy]])</f>
        <v>2024</v>
      </c>
      <c r="N1047" s="36">
        <f>IFERROR(INDEX(DATABASE_FG!$H$5:$H$367, MATCH(E1047, DATABASE_FG!$C$5:$C$367, 0)), " ")</f>
        <v>0</v>
      </c>
      <c r="O1047" s="129" t="str">
        <f>IF(E1047&lt;&gt;"", _xlfn.XLOOKUP(E1047, DATABASE_FG!C:C, DATABASE_FG!F:F), " ")</f>
        <v>Bolts and washers</v>
      </c>
      <c r="P1047" s="129">
        <f>IFERROR(INDEX(DATABASE_FG!$G$5:$G$367, MATCH(E1047, DATABASE_FG!$C$5:$C$367, 0)), "Not Found")</f>
        <v>0</v>
      </c>
      <c r="Q1047" s="36"/>
      <c r="R1047" s="125"/>
      <c r="S1047" s="123">
        <f>Table1[[#This Row],[Quantity]]/48</f>
        <v>1.4583333333333333</v>
      </c>
      <c r="T1047" s="36" t="s">
        <v>677</v>
      </c>
      <c r="U1047" s="36"/>
      <c r="V1047" s="36"/>
      <c r="W1047" s="129"/>
      <c r="X1047" s="36"/>
      <c r="Y1047" s="36"/>
      <c r="Z1047" s="36"/>
      <c r="AA1047" s="125" t="s">
        <v>121</v>
      </c>
      <c r="AB1047" s="173">
        <v>45749</v>
      </c>
      <c r="AC1047" s="119" t="s">
        <v>2273</v>
      </c>
      <c r="AD1047" s="36">
        <f t="shared" si="120"/>
        <v>37347702</v>
      </c>
      <c r="AE1047" s="36" t="str">
        <f t="shared" si="121"/>
        <v>F-688038.02-0711.BZ.WE</v>
      </c>
      <c r="AF1047" s="36">
        <v>70</v>
      </c>
      <c r="AG1047" s="120">
        <f t="shared" si="118"/>
        <v>1149.4000000000001</v>
      </c>
      <c r="AH1047" s="36"/>
      <c r="AI1047" s="124" t="s">
        <v>2274</v>
      </c>
      <c r="AJ1047" s="122" t="s">
        <v>2275</v>
      </c>
      <c r="AK1047" s="129" t="str">
        <f t="shared" ca="1" si="122"/>
        <v>Late</v>
      </c>
      <c r="AL1047" s="268" t="str">
        <f t="shared" si="119"/>
        <v>August</v>
      </c>
      <c r="AM1047" s="133">
        <f>YEAR(Table1[[#This Row],[ETA
As requested
dd.mm.yyyy]])</f>
        <v>2024</v>
      </c>
    </row>
    <row r="1048" spans="1:39" hidden="1">
      <c r="A1048" s="123" t="s">
        <v>82</v>
      </c>
      <c r="B1048" s="36" t="s">
        <v>1170</v>
      </c>
      <c r="C1048" s="117">
        <v>37347702</v>
      </c>
      <c r="D1048" s="165">
        <v>45500</v>
      </c>
      <c r="E1048" s="117" t="s">
        <v>443</v>
      </c>
      <c r="F1048" s="36">
        <f>IFERROR(VLOOKUP(Table1[[#This Row],[Part Number]],DATABASE_FG!$C$6:D11037,2,FALSE)," ")</f>
        <v>0</v>
      </c>
      <c r="G1048" s="117">
        <f>IFERROR(_xlfn.XLOOKUP(Table1[[#This Row],[Part Number]],Table3[Part number],Table3[Drawing
 Revision]),"")</f>
        <v>0</v>
      </c>
      <c r="H1048" s="118" cm="1">
        <f t="array" ref="H1048">IFERROR(INDEX(PDB!$C:$AT,MATCH(E1048,PDB!$B:$B,0),MATCH(YEAR(K1048),0+PDB!$C$1:$AT$1,0)),"")</f>
        <v>1.81</v>
      </c>
      <c r="I1048" s="36">
        <v>150</v>
      </c>
      <c r="J1048" s="125">
        <f>IFERROR(Table1[[#This Row],[Quantity]]*Table1[[#This Row],[Price/Unit
EUR]]," ")</f>
        <v>271.5</v>
      </c>
      <c r="K1048" s="126">
        <v>45534</v>
      </c>
      <c r="L1048" s="36">
        <f>WEEKNUM(Table1[[#This Row],[ETA
As requested
dd.mm.yyyy]])</f>
        <v>35</v>
      </c>
      <c r="M1048" s="36">
        <f>YEAR(Table1[[#This Row],[ETA
As requested
dd.mm.yyyy]])</f>
        <v>2024</v>
      </c>
      <c r="N1048" s="36">
        <f>IFERROR(INDEX(DATABASE_FG!$H$5:$H$367, MATCH(E1048, DATABASE_FG!$C$5:$C$367, 0)), " ")</f>
        <v>0</v>
      </c>
      <c r="O1048" s="129" t="str">
        <f>IF(E1048&lt;&gt;"", _xlfn.XLOOKUP(E1048, DATABASE_FG!C:C, DATABASE_FG!F:F), " ")</f>
        <v>Bolts and washers</v>
      </c>
      <c r="P1048" s="129">
        <f>IFERROR(INDEX(DATABASE_FG!$G$5:$G$367, MATCH(E1048, DATABASE_FG!$C$5:$C$367, 0)), "Not Found")</f>
        <v>0</v>
      </c>
      <c r="Q1048" s="36"/>
      <c r="R1048" s="125"/>
      <c r="S1048" s="123">
        <f>Table1[[#This Row],[Quantity]]/48</f>
        <v>3.125</v>
      </c>
      <c r="T1048" s="36"/>
      <c r="U1048" s="36"/>
      <c r="V1048" s="36"/>
      <c r="W1048" s="129"/>
      <c r="X1048" s="36"/>
      <c r="Y1048" s="36"/>
      <c r="Z1048" s="36"/>
      <c r="AA1048" s="125" t="s">
        <v>121</v>
      </c>
      <c r="AB1048" s="173">
        <v>45625</v>
      </c>
      <c r="AC1048" s="119">
        <v>202401448</v>
      </c>
      <c r="AD1048" s="36">
        <f t="shared" si="120"/>
        <v>37347702</v>
      </c>
      <c r="AE1048" s="36" t="str">
        <f t="shared" si="121"/>
        <v>F-688038.02-0721.SHB.WE36</v>
      </c>
      <c r="AF1048" s="36">
        <v>150</v>
      </c>
      <c r="AG1048" s="120">
        <f t="shared" si="118"/>
        <v>271.5</v>
      </c>
      <c r="AH1048" s="36"/>
      <c r="AI1048" s="124"/>
      <c r="AJ1048" s="122" t="s">
        <v>2167</v>
      </c>
      <c r="AK1048" s="129" t="str">
        <f t="shared" ca="1" si="122"/>
        <v>Late</v>
      </c>
      <c r="AL1048" s="268" t="str">
        <f t="shared" si="119"/>
        <v>August</v>
      </c>
      <c r="AM1048" s="133">
        <f>YEAR(Table1[[#This Row],[ETA
As requested
dd.mm.yyyy]])</f>
        <v>2024</v>
      </c>
    </row>
    <row r="1049" spans="1:39" hidden="1">
      <c r="A1049" s="123" t="s">
        <v>82</v>
      </c>
      <c r="B1049" s="36" t="s">
        <v>1170</v>
      </c>
      <c r="C1049" s="117">
        <v>37347702</v>
      </c>
      <c r="D1049" s="165">
        <v>45500</v>
      </c>
      <c r="E1049" s="117" t="s">
        <v>443</v>
      </c>
      <c r="F1049" s="36">
        <f>IFERROR(VLOOKUP(Table1[[#This Row],[Part Number]],DATABASE_FG!$C$6:D11038,2,FALSE)," ")</f>
        <v>0</v>
      </c>
      <c r="G1049" s="117">
        <f>IFERROR(_xlfn.XLOOKUP(Table1[[#This Row],[Part Number]],Table3[Part number],Table3[Drawing
 Revision]),"")</f>
        <v>0</v>
      </c>
      <c r="H1049" s="118" cm="1">
        <f t="array" ref="H1049">IFERROR(INDEX(PDB!$C:$AT,MATCH(E1049,PDB!$B:$B,0),MATCH(YEAR(K1049),0+PDB!$C$1:$AT$1,0)),"")</f>
        <v>1.81</v>
      </c>
      <c r="I1049" s="36">
        <v>499</v>
      </c>
      <c r="J1049" s="125">
        <f>IFERROR(Table1[[#This Row],[Quantity]]*Table1[[#This Row],[Price/Unit
EUR]]," ")</f>
        <v>903.19</v>
      </c>
      <c r="K1049" s="126">
        <v>45534</v>
      </c>
      <c r="L1049" s="36">
        <f>WEEKNUM(Table1[[#This Row],[ETA
As requested
dd.mm.yyyy]])</f>
        <v>35</v>
      </c>
      <c r="M1049" s="36">
        <f>YEAR(Table1[[#This Row],[ETA
As requested
dd.mm.yyyy]])</f>
        <v>2024</v>
      </c>
      <c r="N1049" s="36">
        <f>IFERROR(INDEX(DATABASE_FG!$H$5:$H$367, MATCH(E1049, DATABASE_FG!$C$5:$C$367, 0)), " ")</f>
        <v>0</v>
      </c>
      <c r="O1049" s="129" t="str">
        <f>IF(E1049&lt;&gt;"", _xlfn.XLOOKUP(E1049, DATABASE_FG!C:C, DATABASE_FG!F:F), " ")</f>
        <v>Bolts and washers</v>
      </c>
      <c r="P1049" s="129">
        <f>IFERROR(INDEX(DATABASE_FG!$G$5:$G$367, MATCH(E1049, DATABASE_FG!$C$5:$C$367, 0)), "Not Found")</f>
        <v>0</v>
      </c>
      <c r="Q1049" s="36"/>
      <c r="R1049" s="125"/>
      <c r="S1049" s="123">
        <f>Table1[[#This Row],[Quantity]]/48</f>
        <v>10.395833333333334</v>
      </c>
      <c r="T1049" s="36"/>
      <c r="U1049" s="36"/>
      <c r="V1049" s="36"/>
      <c r="W1049" s="129"/>
      <c r="X1049" s="36" t="s">
        <v>2170</v>
      </c>
      <c r="Y1049" s="36"/>
      <c r="Z1049" s="36"/>
      <c r="AA1049" s="125" t="s">
        <v>121</v>
      </c>
      <c r="AB1049" s="173">
        <v>45629</v>
      </c>
      <c r="AC1049" s="119">
        <v>202401465</v>
      </c>
      <c r="AD1049" s="36">
        <f t="shared" si="120"/>
        <v>37347702</v>
      </c>
      <c r="AE1049" s="36" t="str">
        <f t="shared" si="121"/>
        <v>F-688038.02-0721.SHB.WE36</v>
      </c>
      <c r="AF1049" s="36">
        <v>499</v>
      </c>
      <c r="AG1049" s="120">
        <f t="shared" si="118"/>
        <v>903.19</v>
      </c>
      <c r="AH1049" s="36"/>
      <c r="AI1049" s="124" t="s">
        <v>2171</v>
      </c>
      <c r="AJ1049" s="122" t="s">
        <v>2172</v>
      </c>
      <c r="AK1049" s="129" t="str">
        <f t="shared" ca="1" si="122"/>
        <v>Late</v>
      </c>
      <c r="AL1049" s="268" t="str">
        <f t="shared" si="119"/>
        <v>August</v>
      </c>
      <c r="AM1049" s="133">
        <f>YEAR(Table1[[#This Row],[ETA
As requested
dd.mm.yyyy]])</f>
        <v>2024</v>
      </c>
    </row>
    <row r="1050" spans="1:39" hidden="1">
      <c r="A1050" s="123" t="s">
        <v>82</v>
      </c>
      <c r="B1050" s="36" t="s">
        <v>1170</v>
      </c>
      <c r="C1050" s="117">
        <v>37347702</v>
      </c>
      <c r="D1050" s="165">
        <v>45500</v>
      </c>
      <c r="E1050" s="117" t="s">
        <v>443</v>
      </c>
      <c r="F1050" s="36">
        <f>IFERROR(VLOOKUP(Table1[[#This Row],[Part Number]],DATABASE_FG!$C$6:D11039,2,FALSE)," ")</f>
        <v>0</v>
      </c>
      <c r="G1050" s="117">
        <f>IFERROR(_xlfn.XLOOKUP(Table1[[#This Row],[Part Number]],Table3[Part number],Table3[Drawing
 Revision]),"")</f>
        <v>0</v>
      </c>
      <c r="H1050" s="118" cm="1">
        <f t="array" ref="H1050">IFERROR(INDEX(PDB!$C:$AT,MATCH(E1050,PDB!$B:$B,0),MATCH(YEAR(K1050),0+PDB!$C$1:$AT$1,0)),"")</f>
        <v>1.81</v>
      </c>
      <c r="I1050" s="36">
        <v>1</v>
      </c>
      <c r="J1050" s="125">
        <f>IFERROR(Table1[[#This Row],[Quantity]]*Table1[[#This Row],[Price/Unit
EUR]]," ")</f>
        <v>1.81</v>
      </c>
      <c r="K1050" s="126">
        <v>45534</v>
      </c>
      <c r="L1050" s="36">
        <f>WEEKNUM(Table1[[#This Row],[ETA
As requested
dd.mm.yyyy]])</f>
        <v>35</v>
      </c>
      <c r="M1050" s="36">
        <f>YEAR(Table1[[#This Row],[ETA
As requested
dd.mm.yyyy]])</f>
        <v>2024</v>
      </c>
      <c r="N1050" s="36">
        <f>IFERROR(INDEX(DATABASE_FG!$H$5:$H$367, MATCH(E1050, DATABASE_FG!$C$5:$C$367, 0)), " ")</f>
        <v>0</v>
      </c>
      <c r="O1050" s="129" t="str">
        <f>IF(E1050&lt;&gt;"", _xlfn.XLOOKUP(E1050, DATABASE_FG!C:C, DATABASE_FG!F:F), " ")</f>
        <v>Bolts and washers</v>
      </c>
      <c r="P1050" s="129">
        <f>IFERROR(INDEX(DATABASE_FG!$G$5:$G$367, MATCH(E1050, DATABASE_FG!$C$5:$C$367, 0)), "Not Found")</f>
        <v>0</v>
      </c>
      <c r="Q1050" s="36"/>
      <c r="R1050" s="125"/>
      <c r="S1050" s="123">
        <f>Table1[[#This Row],[Quantity]]/48</f>
        <v>2.0833333333333332E-2</v>
      </c>
      <c r="T1050" s="36"/>
      <c r="U1050" s="36"/>
      <c r="V1050" s="36"/>
      <c r="W1050" s="129"/>
      <c r="X1050" s="36"/>
      <c r="Y1050" s="36"/>
      <c r="Z1050" s="36"/>
      <c r="AA1050" s="125" t="s">
        <v>3</v>
      </c>
      <c r="AB1050" s="172"/>
      <c r="AC1050" s="119"/>
      <c r="AD1050" s="36" t="str">
        <f t="shared" si="120"/>
        <v/>
      </c>
      <c r="AE1050" s="36" t="str">
        <f t="shared" si="121"/>
        <v/>
      </c>
      <c r="AF1050" s="36"/>
      <c r="AG1050" s="120">
        <f t="shared" si="118"/>
        <v>0</v>
      </c>
      <c r="AH1050" s="36"/>
      <c r="AI1050" s="124"/>
      <c r="AJ1050" s="122"/>
      <c r="AK1050" s="129" t="str">
        <f t="shared" ca="1" si="122"/>
        <v>Late</v>
      </c>
      <c r="AL1050" s="268" t="str">
        <f t="shared" si="119"/>
        <v>August</v>
      </c>
      <c r="AM1050" s="133">
        <f>YEAR(Table1[[#This Row],[ETA
As requested
dd.mm.yyyy]])</f>
        <v>2024</v>
      </c>
    </row>
    <row r="1051" spans="1:39" hidden="1">
      <c r="A1051" s="123" t="s">
        <v>82</v>
      </c>
      <c r="B1051" s="36" t="s">
        <v>1170</v>
      </c>
      <c r="C1051" s="117">
        <v>37347702</v>
      </c>
      <c r="D1051" s="165">
        <v>45499</v>
      </c>
      <c r="E1051" s="117" t="s">
        <v>2134</v>
      </c>
      <c r="F1051" s="36">
        <f>IFERROR(VLOOKUP(Table1[[#This Row],[Part Number]],DATABASE_FG!$C$6:D11040,2,FALSE)," ")</f>
        <v>0</v>
      </c>
      <c r="G1051" s="117">
        <f>IFERROR(_xlfn.XLOOKUP(Table1[[#This Row],[Part Number]],Table3[Part number],Table3[Drawing
 Revision]),"")</f>
        <v>0</v>
      </c>
      <c r="H1051" s="118" cm="1">
        <f t="array" ref="H1051">IFERROR(INDEX(PDB!$C:$AT,MATCH(E1051,PDB!$B:$B,0),MATCH(YEAR(K1051),0+PDB!$C$1:$AT$1,0)),"")</f>
        <v>0.68</v>
      </c>
      <c r="I1051" s="36">
        <v>650</v>
      </c>
      <c r="J1051" s="125">
        <f>IFERROR(Table1[[#This Row],[Quantity]]*Table1[[#This Row],[Price/Unit
EUR]]," ")</f>
        <v>442.00000000000006</v>
      </c>
      <c r="K1051" s="126">
        <v>45534</v>
      </c>
      <c r="L1051" s="36">
        <f>WEEKNUM(Table1[[#This Row],[ETA
As requested
dd.mm.yyyy]])</f>
        <v>35</v>
      </c>
      <c r="M1051" s="36">
        <f>YEAR(Table1[[#This Row],[ETA
As requested
dd.mm.yyyy]])</f>
        <v>2024</v>
      </c>
      <c r="N1051" s="36">
        <f>IFERROR(INDEX(DATABASE_FG!$H$5:$H$367, MATCH(E1051, DATABASE_FG!$C$5:$C$367, 0)), " ")</f>
        <v>0</v>
      </c>
      <c r="O1051" s="129" t="str">
        <f>IF(E1051&lt;&gt;"", _xlfn.XLOOKUP(E1051, DATABASE_FG!C:C, DATABASE_FG!F:F), " ")</f>
        <v>Bolts and washers</v>
      </c>
      <c r="P1051" s="129">
        <f>IFERROR(INDEX(DATABASE_FG!$G$5:$G$367, MATCH(E1051, DATABASE_FG!$C$5:$C$367, 0)), "Not Found")</f>
        <v>0</v>
      </c>
      <c r="Q1051" s="36"/>
      <c r="R1051" s="125"/>
      <c r="S1051" s="123">
        <f>Table1[[#This Row],[Quantity]]/48</f>
        <v>13.541666666666666</v>
      </c>
      <c r="T1051" s="36"/>
      <c r="U1051" s="36"/>
      <c r="V1051" s="36"/>
      <c r="W1051" s="129"/>
      <c r="X1051" s="36"/>
      <c r="Y1051" s="36"/>
      <c r="Z1051" s="36">
        <v>244001</v>
      </c>
      <c r="AA1051" s="125" t="s">
        <v>121</v>
      </c>
      <c r="AB1051" s="173">
        <v>45570</v>
      </c>
      <c r="AC1051" s="119">
        <v>20232278</v>
      </c>
      <c r="AD1051" s="36">
        <f t="shared" si="120"/>
        <v>37347702</v>
      </c>
      <c r="AE1051" s="36" t="str">
        <f t="shared" si="121"/>
        <v>F-688038.02-0731.SHB.WE36</v>
      </c>
      <c r="AF1051" s="36">
        <v>98</v>
      </c>
      <c r="AG1051" s="120">
        <f t="shared" si="118"/>
        <v>66.64</v>
      </c>
      <c r="AH1051" s="36"/>
      <c r="AI1051" s="124" t="s">
        <v>1985</v>
      </c>
      <c r="AJ1051" s="122" t="s">
        <v>2135</v>
      </c>
      <c r="AK1051" s="129" t="str">
        <f t="shared" ca="1" si="122"/>
        <v>Late</v>
      </c>
      <c r="AL1051" s="268" t="str">
        <f t="shared" si="119"/>
        <v>August</v>
      </c>
      <c r="AM1051" s="133">
        <f>YEAR(Table1[[#This Row],[ETA
As requested
dd.mm.yyyy]])</f>
        <v>2024</v>
      </c>
    </row>
    <row r="1052" spans="1:39" hidden="1">
      <c r="A1052" s="123" t="s">
        <v>82</v>
      </c>
      <c r="B1052" s="36" t="s">
        <v>1170</v>
      </c>
      <c r="C1052" s="117">
        <v>37347702</v>
      </c>
      <c r="D1052" s="165">
        <v>45499</v>
      </c>
      <c r="E1052" s="117" t="s">
        <v>2134</v>
      </c>
      <c r="F1052" s="36">
        <f>IFERROR(VLOOKUP(Table1[[#This Row],[Part Number]],DATABASE_FG!$C$6:D11041,2,FALSE)," ")</f>
        <v>0</v>
      </c>
      <c r="G1052" s="117">
        <f>IFERROR(_xlfn.XLOOKUP(Table1[[#This Row],[Part Number]],Table3[Part number],Table3[Drawing
 Revision]),"")</f>
        <v>0</v>
      </c>
      <c r="H1052" s="118" cm="1">
        <f t="array" ref="H1052">IFERROR(INDEX(PDB!$C:$AT,MATCH(E1052,PDB!$B:$B,0),MATCH(YEAR(K1052),0+PDB!$C$1:$AT$1,0)),"")</f>
        <v>0.68</v>
      </c>
      <c r="I1052" s="36">
        <v>0</v>
      </c>
      <c r="J1052" s="125">
        <f>IFERROR(Table1[[#This Row],[Quantity]]*Table1[[#This Row],[Price/Unit
EUR]]," ")</f>
        <v>0</v>
      </c>
      <c r="K1052" s="126">
        <v>45534</v>
      </c>
      <c r="L1052" s="36">
        <f>WEEKNUM(Table1[[#This Row],[ETA
As requested
dd.mm.yyyy]])</f>
        <v>35</v>
      </c>
      <c r="M1052" s="36">
        <f>YEAR(Table1[[#This Row],[ETA
As requested
dd.mm.yyyy]])</f>
        <v>2024</v>
      </c>
      <c r="N1052" s="36">
        <f>IFERROR(INDEX(DATABASE_FG!$H$5:$H$367, MATCH(E1052, DATABASE_FG!$C$5:$C$367, 0)), " ")</f>
        <v>0</v>
      </c>
      <c r="O1052" s="129" t="str">
        <f>IF(E1052&lt;&gt;"", _xlfn.XLOOKUP(E1052, DATABASE_FG!C:C, DATABASE_FG!F:F), " ")</f>
        <v>Bolts and washers</v>
      </c>
      <c r="P1052" s="129">
        <f>IFERROR(INDEX(DATABASE_FG!$G$5:$G$367, MATCH(E1052, DATABASE_FG!$C$5:$C$367, 0)), "Not Found")</f>
        <v>0</v>
      </c>
      <c r="Q1052" s="36"/>
      <c r="R1052" s="125"/>
      <c r="S1052" s="123">
        <f>Table1[[#This Row],[Quantity]]/48</f>
        <v>0</v>
      </c>
      <c r="T1052" s="36"/>
      <c r="U1052" s="36"/>
      <c r="V1052" s="36"/>
      <c r="W1052" s="129"/>
      <c r="X1052" s="36"/>
      <c r="Y1052" s="36"/>
      <c r="Z1052" s="36"/>
      <c r="AA1052" s="125" t="s">
        <v>121</v>
      </c>
      <c r="AB1052" s="173">
        <v>45577</v>
      </c>
      <c r="AC1052" s="119">
        <v>20232288</v>
      </c>
      <c r="AD1052" s="36">
        <f t="shared" si="120"/>
        <v>37347702</v>
      </c>
      <c r="AE1052" s="36" t="str">
        <f t="shared" si="121"/>
        <v>F-688038.02-0731.SHB.WE36</v>
      </c>
      <c r="AF1052" s="36">
        <v>450</v>
      </c>
      <c r="AG1052" s="120">
        <f t="shared" si="118"/>
        <v>306</v>
      </c>
      <c r="AH1052" s="36"/>
      <c r="AI1052" s="124"/>
      <c r="AJ1052" s="122" t="s">
        <v>2138</v>
      </c>
      <c r="AK1052" s="129" t="str">
        <f t="shared" ca="1" si="122"/>
        <v>Late</v>
      </c>
      <c r="AL1052" s="268" t="str">
        <f t="shared" si="119"/>
        <v>August</v>
      </c>
      <c r="AM1052" s="133">
        <f>YEAR(Table1[[#This Row],[ETA
As requested
dd.mm.yyyy]])</f>
        <v>2024</v>
      </c>
    </row>
    <row r="1053" spans="1:39" hidden="1">
      <c r="A1053" s="123" t="s">
        <v>82</v>
      </c>
      <c r="B1053" s="36" t="s">
        <v>1170</v>
      </c>
      <c r="C1053" s="117">
        <v>37347702</v>
      </c>
      <c r="D1053" s="165">
        <v>45499</v>
      </c>
      <c r="E1053" s="117" t="s">
        <v>2134</v>
      </c>
      <c r="F1053" s="36">
        <f>IFERROR(VLOOKUP(Table1[[#This Row],[Part Number]],DATABASE_FG!$C$6:D11042,2,FALSE)," ")</f>
        <v>0</v>
      </c>
      <c r="G1053" s="117">
        <f>IFERROR(_xlfn.XLOOKUP(Table1[[#This Row],[Part Number]],Table3[Part number],Table3[Drawing
 Revision]),"")</f>
        <v>0</v>
      </c>
      <c r="H1053" s="118" cm="1">
        <f t="array" ref="H1053">IFERROR(INDEX(PDB!$C:$AT,MATCH(E1053,PDB!$B:$B,0),MATCH(YEAR(K1053),0+PDB!$C$1:$AT$1,0)),"")</f>
        <v>0.68</v>
      </c>
      <c r="I1053" s="36">
        <v>0</v>
      </c>
      <c r="J1053" s="125">
        <f>IFERROR(Table1[[#This Row],[Quantity]]*Table1[[#This Row],[Price/Unit
EUR]]," ")</f>
        <v>0</v>
      </c>
      <c r="K1053" s="126">
        <v>45534</v>
      </c>
      <c r="L1053" s="36">
        <f>WEEKNUM(Table1[[#This Row],[ETA
As requested
dd.mm.yyyy]])</f>
        <v>35</v>
      </c>
      <c r="M1053" s="36">
        <f>YEAR(Table1[[#This Row],[ETA
As requested
dd.mm.yyyy]])</f>
        <v>2024</v>
      </c>
      <c r="N1053" s="36">
        <f>IFERROR(INDEX(DATABASE_FG!$H$5:$H$367, MATCH(E1053, DATABASE_FG!$C$5:$C$367, 0)), " ")</f>
        <v>0</v>
      </c>
      <c r="O1053" s="129" t="str">
        <f>IF(E1053&lt;&gt;"", _xlfn.XLOOKUP(E1053, DATABASE_FG!C:C, DATABASE_FG!F:F), " ")</f>
        <v>Bolts and washers</v>
      </c>
      <c r="P1053" s="129">
        <f>IFERROR(INDEX(DATABASE_FG!$G$5:$G$367, MATCH(E1053, DATABASE_FG!$C$5:$C$367, 0)), "Not Found")</f>
        <v>0</v>
      </c>
      <c r="Q1053" s="36"/>
      <c r="R1053" s="125"/>
      <c r="S1053" s="123">
        <f>Table1[[#This Row],[Quantity]]/48</f>
        <v>0</v>
      </c>
      <c r="T1053" s="36"/>
      <c r="U1053" s="36"/>
      <c r="V1053" s="36"/>
      <c r="W1053" s="129"/>
      <c r="X1053" s="36"/>
      <c r="Y1053" s="36"/>
      <c r="Z1053" s="36">
        <v>244001</v>
      </c>
      <c r="AA1053" s="125" t="s">
        <v>121</v>
      </c>
      <c r="AB1053" s="173">
        <v>45584</v>
      </c>
      <c r="AC1053" s="119">
        <v>20232291</v>
      </c>
      <c r="AD1053" s="36">
        <f t="shared" si="120"/>
        <v>37347702</v>
      </c>
      <c r="AE1053" s="36" t="str">
        <f t="shared" si="121"/>
        <v>F-688038.02-0731.SHB.WE36</v>
      </c>
      <c r="AF1053" s="36">
        <v>102</v>
      </c>
      <c r="AG1053" s="120">
        <f t="shared" si="118"/>
        <v>69.36</v>
      </c>
      <c r="AH1053" s="36"/>
      <c r="AI1053" s="124"/>
      <c r="AJ1053" s="122" t="s">
        <v>2142</v>
      </c>
      <c r="AK1053" s="129" t="str">
        <f t="shared" ca="1" si="122"/>
        <v>Late</v>
      </c>
      <c r="AL1053" s="268" t="str">
        <f t="shared" si="119"/>
        <v>August</v>
      </c>
      <c r="AM1053" s="133">
        <f>YEAR(Table1[[#This Row],[ETA
As requested
dd.mm.yyyy]])</f>
        <v>2024</v>
      </c>
    </row>
    <row r="1054" spans="1:39" hidden="1">
      <c r="A1054" s="123" t="s">
        <v>82</v>
      </c>
      <c r="B1054" s="36" t="s">
        <v>1170</v>
      </c>
      <c r="C1054" s="117">
        <v>37347702</v>
      </c>
      <c r="D1054" s="165">
        <v>45510</v>
      </c>
      <c r="E1054" s="117" t="s">
        <v>2166</v>
      </c>
      <c r="F1054" s="36">
        <f>IFERROR(VLOOKUP(Table1[[#This Row],[Part Number]],DATABASE_FG!$C$6:D11043,2,FALSE)," ")</f>
        <v>0</v>
      </c>
      <c r="G1054" s="117">
        <f>IFERROR(_xlfn.XLOOKUP(Table1[[#This Row],[Part Number]],Table3[Part number],Table3[Drawing
 Revision]),"")</f>
        <v>0</v>
      </c>
      <c r="H1054" s="118" cm="1">
        <f t="array" ref="H1054">IFERROR(INDEX(PDB!$C:$AT,MATCH(E1054,PDB!$B:$B,0),MATCH(YEAR(K1054),0+PDB!$C$1:$AT$1,0)),"")</f>
        <v>12.75</v>
      </c>
      <c r="I1054" s="36">
        <v>23</v>
      </c>
      <c r="J1054" s="125">
        <f>IFERROR(Table1[[#This Row],[Quantity]]*Table1[[#This Row],[Price/Unit
EUR]]," ")</f>
        <v>293.25</v>
      </c>
      <c r="K1054" s="126">
        <v>45534</v>
      </c>
      <c r="L1054" s="36">
        <f>WEEKNUM(Table1[[#This Row],[ETA
As requested
dd.mm.yyyy]])</f>
        <v>35</v>
      </c>
      <c r="M1054" s="36">
        <f>YEAR(Table1[[#This Row],[ETA
As requested
dd.mm.yyyy]])</f>
        <v>2024</v>
      </c>
      <c r="N1054" s="36">
        <f>IFERROR(INDEX(DATABASE_FG!$H$5:$H$367, MATCH(E1054, DATABASE_FG!$C$5:$C$367, 0)), " ")</f>
        <v>0</v>
      </c>
      <c r="O1054" s="129" t="str">
        <f>IF(E1054&lt;&gt;"", _xlfn.XLOOKUP(E1054, DATABASE_FG!C:C, DATABASE_FG!F:F), " ")</f>
        <v>Housings</v>
      </c>
      <c r="P1054" s="129">
        <f>IFERROR(INDEX(DATABASE_FG!$G$5:$G$367, MATCH(E1054, DATABASE_FG!$C$5:$C$367, 0)), "Not Found")</f>
        <v>0</v>
      </c>
      <c r="Q1054" s="36"/>
      <c r="R1054" s="125"/>
      <c r="S1054" s="123">
        <f>Table1[[#This Row],[Quantity]]/48</f>
        <v>0.47916666666666669</v>
      </c>
      <c r="T1054" s="36"/>
      <c r="U1054" s="36"/>
      <c r="V1054" s="36"/>
      <c r="W1054" s="129"/>
      <c r="X1054" s="36"/>
      <c r="Y1054" s="36"/>
      <c r="Z1054" s="36"/>
      <c r="AA1054" s="125" t="s">
        <v>121</v>
      </c>
      <c r="AB1054" s="173">
        <v>45622</v>
      </c>
      <c r="AC1054" s="119">
        <v>202401442</v>
      </c>
      <c r="AD1054" s="36">
        <f t="shared" si="120"/>
        <v>37347702</v>
      </c>
      <c r="AE1054" s="36" t="str">
        <f t="shared" si="121"/>
        <v>F-688038.02-0811.GEH.WE36</v>
      </c>
      <c r="AF1054" s="36">
        <v>23</v>
      </c>
      <c r="AG1054" s="120">
        <f t="shared" si="118"/>
        <v>293.25</v>
      </c>
      <c r="AH1054" s="36"/>
      <c r="AI1054" s="124"/>
      <c r="AJ1054" s="122" t="s">
        <v>2165</v>
      </c>
      <c r="AK1054" s="129" t="str">
        <f t="shared" ca="1" si="122"/>
        <v>Late</v>
      </c>
      <c r="AL1054" s="268" t="str">
        <f t="shared" si="119"/>
        <v>August</v>
      </c>
      <c r="AM1054" s="133">
        <f>YEAR(Table1[[#This Row],[ETA
As requested
dd.mm.yyyy]])</f>
        <v>2024</v>
      </c>
    </row>
    <row r="1055" spans="1:39" hidden="1">
      <c r="A1055" s="123" t="s">
        <v>82</v>
      </c>
      <c r="B1055" s="36" t="s">
        <v>1170</v>
      </c>
      <c r="C1055" s="117">
        <v>37347702</v>
      </c>
      <c r="D1055" s="165">
        <v>45510</v>
      </c>
      <c r="E1055" s="117" t="s">
        <v>2166</v>
      </c>
      <c r="F1055" s="36">
        <f>IFERROR(VLOOKUP(Table1[[#This Row],[Part Number]],DATABASE_FG!$C$6:D11044,2,FALSE)," ")</f>
        <v>0</v>
      </c>
      <c r="G1055" s="117">
        <f>IFERROR(_xlfn.XLOOKUP(Table1[[#This Row],[Part Number]],Table3[Part number],Table3[Drawing
 Revision]),"")</f>
        <v>0</v>
      </c>
      <c r="H1055" s="118" cm="1">
        <f t="array" ref="H1055">IFERROR(INDEX(PDB!$C:$AT,MATCH(E1055,PDB!$B:$B,0),MATCH(YEAR(K1055),0+PDB!$C$1:$AT$1,0)),"")</f>
        <v>12.75</v>
      </c>
      <c r="I1055" s="36">
        <v>40</v>
      </c>
      <c r="J1055" s="125">
        <f>IFERROR(Table1[[#This Row],[Quantity]]*Table1[[#This Row],[Price/Unit
EUR]]," ")</f>
        <v>510</v>
      </c>
      <c r="K1055" s="126">
        <v>45534</v>
      </c>
      <c r="L1055" s="36">
        <f>WEEKNUM(Table1[[#This Row],[ETA
As requested
dd.mm.yyyy]])</f>
        <v>35</v>
      </c>
      <c r="M1055" s="36">
        <f>YEAR(Table1[[#This Row],[ETA
As requested
dd.mm.yyyy]])</f>
        <v>2024</v>
      </c>
      <c r="N1055" s="36">
        <f>IFERROR(INDEX(DATABASE_FG!$H$5:$H$367, MATCH(E1055, DATABASE_FG!$C$5:$C$367, 0)), " ")</f>
        <v>0</v>
      </c>
      <c r="O1055" s="129" t="str">
        <f>IF(E1055&lt;&gt;"", _xlfn.XLOOKUP(E1055, DATABASE_FG!C:C, DATABASE_FG!F:F), " ")</f>
        <v>Housings</v>
      </c>
      <c r="P1055" s="129">
        <f>IFERROR(INDEX(DATABASE_FG!$G$5:$G$367, MATCH(E1055, DATABASE_FG!$C$5:$C$367, 0)), "Not Found")</f>
        <v>0</v>
      </c>
      <c r="Q1055" s="36"/>
      <c r="R1055" s="125"/>
      <c r="S1055" s="123">
        <f>Table1[[#This Row],[Quantity]]/48</f>
        <v>0.83333333333333337</v>
      </c>
      <c r="T1055" s="36"/>
      <c r="U1055" s="36"/>
      <c r="V1055" s="36"/>
      <c r="W1055" s="129"/>
      <c r="X1055" s="36"/>
      <c r="Y1055" s="36"/>
      <c r="Z1055" s="36"/>
      <c r="AA1055" s="125" t="s">
        <v>121</v>
      </c>
      <c r="AB1055" s="173">
        <v>45632</v>
      </c>
      <c r="AC1055" s="119">
        <v>20242020</v>
      </c>
      <c r="AD1055" s="36">
        <f t="shared" si="120"/>
        <v>37347702</v>
      </c>
      <c r="AE1055" s="36" t="str">
        <f t="shared" si="121"/>
        <v>F-688038.02-0811.GEH.WE36</v>
      </c>
      <c r="AF1055" s="36">
        <v>40</v>
      </c>
      <c r="AG1055" s="120">
        <f t="shared" si="118"/>
        <v>510</v>
      </c>
      <c r="AH1055" s="36"/>
      <c r="AI1055" s="124" t="s">
        <v>2178</v>
      </c>
      <c r="AJ1055" s="122" t="s">
        <v>2179</v>
      </c>
      <c r="AK1055" s="129" t="str">
        <f t="shared" ca="1" si="122"/>
        <v>Late</v>
      </c>
      <c r="AL1055" s="268" t="str">
        <f t="shared" si="119"/>
        <v>August</v>
      </c>
      <c r="AM1055" s="133">
        <f>YEAR(Table1[[#This Row],[ETA
As requested
dd.mm.yyyy]])</f>
        <v>2024</v>
      </c>
    </row>
    <row r="1056" spans="1:39" hidden="1">
      <c r="A1056" s="123" t="s">
        <v>82</v>
      </c>
      <c r="B1056" s="36" t="s">
        <v>1170</v>
      </c>
      <c r="C1056" s="117">
        <v>37347702</v>
      </c>
      <c r="D1056" s="165">
        <v>45510</v>
      </c>
      <c r="E1056" s="117" t="s">
        <v>2166</v>
      </c>
      <c r="F1056" s="36">
        <f>IFERROR(VLOOKUP(Table1[[#This Row],[Part Number]],DATABASE_FG!$C$6:D11045,2,FALSE)," ")</f>
        <v>0</v>
      </c>
      <c r="G1056" s="117">
        <f>IFERROR(_xlfn.XLOOKUP(Table1[[#This Row],[Part Number]],Table3[Part number],Table3[Drawing
 Revision]),"")</f>
        <v>0</v>
      </c>
      <c r="H1056" s="118" cm="1">
        <f t="array" ref="H1056">IFERROR(INDEX(PDB!$C:$AT,MATCH(E1056,PDB!$B:$B,0),MATCH(YEAR(K1056),0+PDB!$C$1:$AT$1,0)),"")</f>
        <v>12.75</v>
      </c>
      <c r="I1056" s="36">
        <v>68</v>
      </c>
      <c r="J1056" s="125">
        <f>IFERROR(Table1[[#This Row],[Quantity]]*Table1[[#This Row],[Price/Unit
EUR]]," ")</f>
        <v>867</v>
      </c>
      <c r="K1056" s="126">
        <v>45534</v>
      </c>
      <c r="L1056" s="36">
        <f>WEEKNUM(Table1[[#This Row],[ETA
As requested
dd.mm.yyyy]])</f>
        <v>35</v>
      </c>
      <c r="M1056" s="36">
        <f>YEAR(Table1[[#This Row],[ETA
As requested
dd.mm.yyyy]])</f>
        <v>2024</v>
      </c>
      <c r="N1056" s="36">
        <f>IFERROR(INDEX(DATABASE_FG!$H$5:$H$367, MATCH(E1056, DATABASE_FG!$C$5:$C$367, 0)), " ")</f>
        <v>0</v>
      </c>
      <c r="O1056" s="129" t="str">
        <f>IF(E1056&lt;&gt;"", _xlfn.XLOOKUP(E1056, DATABASE_FG!C:C, DATABASE_FG!F:F), " ")</f>
        <v>Housings</v>
      </c>
      <c r="P1056" s="129">
        <f>IFERROR(INDEX(DATABASE_FG!$G$5:$G$367, MATCH(E1056, DATABASE_FG!$C$5:$C$367, 0)), "Not Found")</f>
        <v>0</v>
      </c>
      <c r="Q1056" s="36"/>
      <c r="R1056" s="125"/>
      <c r="S1056" s="123">
        <f>Table1[[#This Row],[Quantity]]/48</f>
        <v>1.4166666666666667</v>
      </c>
      <c r="T1056" s="36"/>
      <c r="U1056" s="36"/>
      <c r="V1056" s="36"/>
      <c r="W1056" s="129"/>
      <c r="X1056" s="36"/>
      <c r="Y1056" s="36"/>
      <c r="Z1056" s="36"/>
      <c r="AA1056" s="125" t="s">
        <v>121</v>
      </c>
      <c r="AB1056" s="173">
        <v>45640</v>
      </c>
      <c r="AC1056" s="119">
        <v>202401551</v>
      </c>
      <c r="AD1056" s="36">
        <f t="shared" si="120"/>
        <v>37347702</v>
      </c>
      <c r="AE1056" s="36" t="str">
        <f t="shared" si="121"/>
        <v>F-688038.02-0811.GEH.WE36</v>
      </c>
      <c r="AF1056" s="36">
        <v>68</v>
      </c>
      <c r="AG1056" s="120">
        <f t="shared" si="118"/>
        <v>867</v>
      </c>
      <c r="AH1056" s="36"/>
      <c r="AI1056" s="124"/>
      <c r="AJ1056" s="122" t="s">
        <v>2189</v>
      </c>
      <c r="AK1056" s="129" t="str">
        <f t="shared" ca="1" si="122"/>
        <v>Late</v>
      </c>
      <c r="AL1056" s="268" t="str">
        <f t="shared" si="119"/>
        <v>August</v>
      </c>
      <c r="AM1056" s="133">
        <f>YEAR(Table1[[#This Row],[ETA
As requested
dd.mm.yyyy]])</f>
        <v>2024</v>
      </c>
    </row>
    <row r="1057" spans="1:39" hidden="1">
      <c r="A1057" s="123" t="s">
        <v>82</v>
      </c>
      <c r="B1057" s="36" t="s">
        <v>1170</v>
      </c>
      <c r="C1057" s="117">
        <v>37347702</v>
      </c>
      <c r="D1057" s="165">
        <v>45510</v>
      </c>
      <c r="E1057" s="117" t="s">
        <v>2166</v>
      </c>
      <c r="F1057" s="36">
        <f>IFERROR(VLOOKUP(Table1[[#This Row],[Part Number]],DATABASE_FG!$C$6:D11046,2,FALSE)," ")</f>
        <v>0</v>
      </c>
      <c r="G1057" s="117">
        <f>IFERROR(_xlfn.XLOOKUP(Table1[[#This Row],[Part Number]],Table3[Part number],Table3[Drawing
 Revision]),"")</f>
        <v>0</v>
      </c>
      <c r="H1057" s="118" cm="1">
        <f t="array" ref="H1057">IFERROR(INDEX(PDB!$C:$AT,MATCH(E1057,PDB!$B:$B,0),MATCH(YEAR(K1057),0+PDB!$C$1:$AT$1,0)),"")</f>
        <v>12.75</v>
      </c>
      <c r="I1057" s="36">
        <v>128</v>
      </c>
      <c r="J1057" s="125">
        <f>IFERROR(Table1[[#This Row],[Quantity]]*Table1[[#This Row],[Price/Unit
EUR]]," ")</f>
        <v>1632</v>
      </c>
      <c r="K1057" s="126">
        <v>45534</v>
      </c>
      <c r="L1057" s="36">
        <f>WEEKNUM(Table1[[#This Row],[ETA
As requested
dd.mm.yyyy]])</f>
        <v>35</v>
      </c>
      <c r="M1057" s="36">
        <f>YEAR(Table1[[#This Row],[ETA
As requested
dd.mm.yyyy]])</f>
        <v>2024</v>
      </c>
      <c r="N1057" s="36">
        <f>IFERROR(INDEX(DATABASE_FG!$H$5:$H$367, MATCH(E1057, DATABASE_FG!$C$5:$C$367, 0)), " ")</f>
        <v>0</v>
      </c>
      <c r="O1057" s="129" t="str">
        <f>IF(E1057&lt;&gt;"", _xlfn.XLOOKUP(E1057, DATABASE_FG!C:C, DATABASE_FG!F:F), " ")</f>
        <v>Housings</v>
      </c>
      <c r="P1057" s="129">
        <f>IFERROR(INDEX(DATABASE_FG!$G$5:$G$367, MATCH(E1057, DATABASE_FG!$C$5:$C$367, 0)), "Not Found")</f>
        <v>0</v>
      </c>
      <c r="Q1057" s="36"/>
      <c r="R1057" s="125"/>
      <c r="S1057" s="123">
        <f>Table1[[#This Row],[Quantity]]/48</f>
        <v>2.6666666666666665</v>
      </c>
      <c r="T1057" s="36"/>
      <c r="U1057" s="36"/>
      <c r="V1057" s="36"/>
      <c r="W1057" s="129"/>
      <c r="X1057" s="36"/>
      <c r="Y1057" s="36"/>
      <c r="Z1057" s="36"/>
      <c r="AA1057" s="125" t="s">
        <v>121</v>
      </c>
      <c r="AB1057" s="173">
        <v>45640</v>
      </c>
      <c r="AC1057" s="119">
        <v>202401551</v>
      </c>
      <c r="AD1057" s="36">
        <f t="shared" si="120"/>
        <v>37347702</v>
      </c>
      <c r="AE1057" s="36" t="str">
        <f t="shared" si="121"/>
        <v>F-688038.02-0811.GEH.WE36</v>
      </c>
      <c r="AF1057" s="36">
        <v>128</v>
      </c>
      <c r="AG1057" s="120">
        <f t="shared" si="118"/>
        <v>1632</v>
      </c>
      <c r="AH1057" s="36"/>
      <c r="AI1057" s="124"/>
      <c r="AJ1057" s="122" t="s">
        <v>2189</v>
      </c>
      <c r="AK1057" s="129" t="str">
        <f t="shared" ca="1" si="122"/>
        <v>Late</v>
      </c>
      <c r="AL1057" s="268" t="str">
        <f t="shared" si="119"/>
        <v>August</v>
      </c>
      <c r="AM1057" s="133">
        <f>YEAR(Table1[[#This Row],[ETA
As requested
dd.mm.yyyy]])</f>
        <v>2024</v>
      </c>
    </row>
    <row r="1058" spans="1:39" hidden="1">
      <c r="A1058" s="123" t="s">
        <v>82</v>
      </c>
      <c r="B1058" s="36" t="s">
        <v>1170</v>
      </c>
      <c r="C1058" s="117">
        <v>37347702</v>
      </c>
      <c r="D1058" s="165">
        <v>45510</v>
      </c>
      <c r="E1058" s="117" t="s">
        <v>2166</v>
      </c>
      <c r="F1058" s="36">
        <f>IFERROR(VLOOKUP(Table1[[#This Row],[Part Number]],DATABASE_FG!$C$6:D11047,2,FALSE)," ")</f>
        <v>0</v>
      </c>
      <c r="G1058" s="117">
        <f>IFERROR(_xlfn.XLOOKUP(Table1[[#This Row],[Part Number]],Table3[Part number],Table3[Drawing
 Revision]),"")</f>
        <v>0</v>
      </c>
      <c r="H1058" s="118" cm="1">
        <f t="array" ref="H1058">IFERROR(INDEX(PDB!$C:$AT,MATCH(E1058,PDB!$B:$B,0),MATCH(YEAR(K1058),0+PDB!$C$1:$AT$1,0)),"")</f>
        <v>12.75</v>
      </c>
      <c r="I1058" s="36">
        <v>163</v>
      </c>
      <c r="J1058" s="125">
        <f>IFERROR(Table1[[#This Row],[Quantity]]*Table1[[#This Row],[Price/Unit
EUR]]," ")</f>
        <v>2078.25</v>
      </c>
      <c r="K1058" s="126">
        <v>45534</v>
      </c>
      <c r="L1058" s="36">
        <f>WEEKNUM(Table1[[#This Row],[ETA
As requested
dd.mm.yyyy]])</f>
        <v>35</v>
      </c>
      <c r="M1058" s="36">
        <f>YEAR(Table1[[#This Row],[ETA
As requested
dd.mm.yyyy]])</f>
        <v>2024</v>
      </c>
      <c r="N1058" s="36">
        <f>IFERROR(INDEX(DATABASE_FG!$H$5:$H$367, MATCH(E1058, DATABASE_FG!$C$5:$C$367, 0)), " ")</f>
        <v>0</v>
      </c>
      <c r="O1058" s="129" t="str">
        <f>IF(E1058&lt;&gt;"", _xlfn.XLOOKUP(E1058, DATABASE_FG!C:C, DATABASE_FG!F:F), " ")</f>
        <v>Housings</v>
      </c>
      <c r="P1058" s="129">
        <f>IFERROR(INDEX(DATABASE_FG!$G$5:$G$367, MATCH(E1058, DATABASE_FG!$C$5:$C$367, 0)), "Not Found")</f>
        <v>0</v>
      </c>
      <c r="Q1058" s="36"/>
      <c r="R1058" s="125"/>
      <c r="S1058" s="123">
        <f>Table1[[#This Row],[Quantity]]/48</f>
        <v>3.3958333333333335</v>
      </c>
      <c r="T1058" s="36"/>
      <c r="U1058" s="36"/>
      <c r="V1058" s="36"/>
      <c r="W1058" s="129"/>
      <c r="X1058" s="36"/>
      <c r="Y1058" s="36"/>
      <c r="Z1058" s="36"/>
      <c r="AA1058" s="125" t="s">
        <v>121</v>
      </c>
      <c r="AB1058" s="173">
        <v>45647</v>
      </c>
      <c r="AC1058" s="119">
        <v>202401597</v>
      </c>
      <c r="AD1058" s="36">
        <f t="shared" si="120"/>
        <v>37347702</v>
      </c>
      <c r="AE1058" s="36" t="str">
        <f t="shared" si="121"/>
        <v>F-688038.02-0811.GEH.WE36</v>
      </c>
      <c r="AF1058" s="36">
        <v>163</v>
      </c>
      <c r="AG1058" s="120">
        <f t="shared" si="118"/>
        <v>2078.25</v>
      </c>
      <c r="AH1058" s="36"/>
      <c r="AI1058" s="124"/>
      <c r="AJ1058" s="122" t="s">
        <v>2199</v>
      </c>
      <c r="AK1058" s="129" t="str">
        <f t="shared" ca="1" si="122"/>
        <v>Late</v>
      </c>
      <c r="AL1058" s="268" t="str">
        <f t="shared" si="119"/>
        <v>August</v>
      </c>
      <c r="AM1058" s="133">
        <f>YEAR(Table1[[#This Row],[ETA
As requested
dd.mm.yyyy]])</f>
        <v>2024</v>
      </c>
    </row>
    <row r="1059" spans="1:39" hidden="1">
      <c r="A1059" s="123" t="s">
        <v>82</v>
      </c>
      <c r="B1059" s="36" t="s">
        <v>1170</v>
      </c>
      <c r="C1059" s="117">
        <v>37347702</v>
      </c>
      <c r="D1059" s="165">
        <v>45510</v>
      </c>
      <c r="E1059" s="117" t="s">
        <v>2166</v>
      </c>
      <c r="F1059" s="36">
        <f>IFERROR(VLOOKUP(Table1[[#This Row],[Part Number]],DATABASE_FG!$C$6:D11048,2,FALSE)," ")</f>
        <v>0</v>
      </c>
      <c r="G1059" s="117">
        <f>IFERROR(_xlfn.XLOOKUP(Table1[[#This Row],[Part Number]],Table3[Part number],Table3[Drawing
 Revision]),"")</f>
        <v>0</v>
      </c>
      <c r="H1059" s="118" cm="1">
        <f t="array" ref="H1059">IFERROR(INDEX(PDB!$C:$AT,MATCH(E1059,PDB!$B:$B,0),MATCH(YEAR(K1059),0+PDB!$C$1:$AT$1,0)),"")</f>
        <v>12.75</v>
      </c>
      <c r="I1059" s="36">
        <v>63</v>
      </c>
      <c r="J1059" s="125">
        <f>IFERROR(Table1[[#This Row],[Quantity]]*Table1[[#This Row],[Price/Unit
EUR]]," ")</f>
        <v>803.25</v>
      </c>
      <c r="K1059" s="126">
        <v>45534</v>
      </c>
      <c r="L1059" s="36">
        <f>WEEKNUM(Table1[[#This Row],[ETA
As requested
dd.mm.yyyy]])</f>
        <v>35</v>
      </c>
      <c r="M1059" s="36">
        <f>YEAR(Table1[[#This Row],[ETA
As requested
dd.mm.yyyy]])</f>
        <v>2024</v>
      </c>
      <c r="N1059" s="36">
        <f>IFERROR(INDEX(DATABASE_FG!$H$5:$H$367, MATCH(E1059, DATABASE_FG!$C$5:$C$367, 0)), " ")</f>
        <v>0</v>
      </c>
      <c r="O1059" s="129" t="str">
        <f>IF(E1059&lt;&gt;"", _xlfn.XLOOKUP(E1059, DATABASE_FG!C:C, DATABASE_FG!F:F), " ")</f>
        <v>Housings</v>
      </c>
      <c r="P1059" s="129">
        <f>IFERROR(INDEX(DATABASE_FG!$G$5:$G$367, MATCH(E1059, DATABASE_FG!$C$5:$C$367, 0)), "Not Found")</f>
        <v>0</v>
      </c>
      <c r="Q1059" s="36"/>
      <c r="R1059" s="125"/>
      <c r="S1059" s="123">
        <f>Table1[[#This Row],[Quantity]]/48</f>
        <v>1.3125</v>
      </c>
      <c r="T1059" s="36"/>
      <c r="U1059" s="36"/>
      <c r="V1059" s="36"/>
      <c r="W1059" s="129"/>
      <c r="X1059" s="36"/>
      <c r="Y1059" s="36"/>
      <c r="Z1059" s="36"/>
      <c r="AA1059" s="125" t="s">
        <v>121</v>
      </c>
      <c r="AB1059" s="173">
        <v>45689</v>
      </c>
      <c r="AC1059" s="119" t="s">
        <v>2227</v>
      </c>
      <c r="AD1059" s="36">
        <f t="shared" si="120"/>
        <v>37347702</v>
      </c>
      <c r="AE1059" s="36" t="str">
        <f t="shared" si="121"/>
        <v>F-688038.02-0811.GEH.WE36</v>
      </c>
      <c r="AF1059" s="36">
        <v>63</v>
      </c>
      <c r="AG1059" s="120">
        <f t="shared" si="118"/>
        <v>803.25</v>
      </c>
      <c r="AH1059" s="36"/>
      <c r="AI1059" s="124"/>
      <c r="AJ1059" s="122" t="s">
        <v>2228</v>
      </c>
      <c r="AK1059" s="129" t="str">
        <f t="shared" ca="1" si="122"/>
        <v>Late</v>
      </c>
      <c r="AL1059" s="268" t="str">
        <f t="shared" si="119"/>
        <v>August</v>
      </c>
      <c r="AM1059" s="133">
        <f>YEAR(Table1[[#This Row],[ETA
As requested
dd.mm.yyyy]])</f>
        <v>2024</v>
      </c>
    </row>
    <row r="1060" spans="1:39" hidden="1">
      <c r="A1060" s="123" t="s">
        <v>82</v>
      </c>
      <c r="B1060" s="36" t="s">
        <v>1170</v>
      </c>
      <c r="C1060" s="117">
        <v>37347702</v>
      </c>
      <c r="D1060" s="165">
        <v>45510</v>
      </c>
      <c r="E1060" s="117" t="s">
        <v>2166</v>
      </c>
      <c r="F1060" s="36">
        <f>IFERROR(VLOOKUP(Table1[[#This Row],[Part Number]],DATABASE_FG!$C$6:D11049,2,FALSE)," ")</f>
        <v>0</v>
      </c>
      <c r="G1060" s="117">
        <f>IFERROR(_xlfn.XLOOKUP(Table1[[#This Row],[Part Number]],Table3[Part number],Table3[Drawing
 Revision]),"")</f>
        <v>0</v>
      </c>
      <c r="H1060" s="118" cm="1">
        <f t="array" ref="H1060">IFERROR(INDEX(PDB!$C:$AT,MATCH(E1060,PDB!$B:$B,0),MATCH(YEAR(K1060),0+PDB!$C$1:$AT$1,0)),"")</f>
        <v>12.75</v>
      </c>
      <c r="I1060" s="36">
        <v>40</v>
      </c>
      <c r="J1060" s="125">
        <f>IFERROR(Table1[[#This Row],[Quantity]]*Table1[[#This Row],[Price/Unit
EUR]]," ")</f>
        <v>510</v>
      </c>
      <c r="K1060" s="126">
        <v>45534</v>
      </c>
      <c r="L1060" s="36">
        <f>WEEKNUM(Table1[[#This Row],[ETA
As requested
dd.mm.yyyy]])</f>
        <v>35</v>
      </c>
      <c r="M1060" s="36">
        <f>YEAR(Table1[[#This Row],[ETA
As requested
dd.mm.yyyy]])</f>
        <v>2024</v>
      </c>
      <c r="N1060" s="36">
        <f>IFERROR(INDEX(DATABASE_FG!$H$5:$H$367, MATCH(E1060, DATABASE_FG!$C$5:$C$367, 0)), " ")</f>
        <v>0</v>
      </c>
      <c r="O1060" s="129" t="str">
        <f>IF(E1060&lt;&gt;"", _xlfn.XLOOKUP(E1060, DATABASE_FG!C:C, DATABASE_FG!F:F), " ")</f>
        <v>Housings</v>
      </c>
      <c r="P1060" s="129">
        <f>IFERROR(INDEX(DATABASE_FG!$G$5:$G$367, MATCH(E1060, DATABASE_FG!$C$5:$C$367, 0)), "Not Found")</f>
        <v>0</v>
      </c>
      <c r="Q1060" s="36"/>
      <c r="R1060" s="125"/>
      <c r="S1060" s="123">
        <f>Table1[[#This Row],[Quantity]]/48</f>
        <v>0.83333333333333337</v>
      </c>
      <c r="T1060" s="36"/>
      <c r="U1060" s="36"/>
      <c r="V1060" s="36"/>
      <c r="W1060" s="129"/>
      <c r="X1060" s="36"/>
      <c r="Y1060" s="36" t="s">
        <v>2258</v>
      </c>
      <c r="Z1060" s="36"/>
      <c r="AA1060" s="125" t="s">
        <v>121</v>
      </c>
      <c r="AB1060" s="173">
        <v>45728</v>
      </c>
      <c r="AC1060" s="119">
        <v>25367</v>
      </c>
      <c r="AD1060" s="36">
        <f t="shared" si="120"/>
        <v>37347702</v>
      </c>
      <c r="AE1060" s="36" t="str">
        <f t="shared" si="121"/>
        <v>F-688038.02-0811.GEH.WE36</v>
      </c>
      <c r="AF1060" s="36">
        <v>40</v>
      </c>
      <c r="AG1060" s="120">
        <f t="shared" ref="AG1060:AG1123" si="123">AF1060*H1060</f>
        <v>510</v>
      </c>
      <c r="AH1060" s="36"/>
      <c r="AI1060" s="124"/>
      <c r="AJ1060" s="122" t="s">
        <v>2259</v>
      </c>
      <c r="AK1060" s="129" t="str">
        <f t="shared" ca="1" si="122"/>
        <v>Late</v>
      </c>
      <c r="AL1060" s="268" t="str">
        <f t="shared" si="119"/>
        <v>August</v>
      </c>
      <c r="AM1060" s="133">
        <f>YEAR(Table1[[#This Row],[ETA
As requested
dd.mm.yyyy]])</f>
        <v>2024</v>
      </c>
    </row>
    <row r="1061" spans="1:39" hidden="1">
      <c r="A1061" s="123" t="s">
        <v>82</v>
      </c>
      <c r="B1061" s="36" t="s">
        <v>1170</v>
      </c>
      <c r="C1061" s="117">
        <v>37347702</v>
      </c>
      <c r="D1061" s="165">
        <v>45510</v>
      </c>
      <c r="E1061" s="117" t="s">
        <v>2166</v>
      </c>
      <c r="F1061" s="36">
        <f>IFERROR(VLOOKUP(Table1[[#This Row],[Part Number]],DATABASE_FG!$C$6:D11050,2,FALSE)," ")</f>
        <v>0</v>
      </c>
      <c r="G1061" s="117">
        <f>IFERROR(_xlfn.XLOOKUP(Table1[[#This Row],[Part Number]],Table3[Part number],Table3[Drawing
 Revision]),"")</f>
        <v>0</v>
      </c>
      <c r="H1061" s="118" cm="1">
        <f t="array" ref="H1061">IFERROR(INDEX(PDB!$C:$AT,MATCH(E1061,PDB!$B:$B,0),MATCH(YEAR(K1061),0+PDB!$C$1:$AT$1,0)),"")</f>
        <v>12.75</v>
      </c>
      <c r="I1061" s="36">
        <v>101</v>
      </c>
      <c r="J1061" s="125">
        <f>IFERROR(Table1[[#This Row],[Quantity]]*Table1[[#This Row],[Price/Unit
EUR]]," ")</f>
        <v>1287.75</v>
      </c>
      <c r="K1061" s="126">
        <v>45534</v>
      </c>
      <c r="L1061" s="36">
        <f>WEEKNUM(Table1[[#This Row],[ETA
As requested
dd.mm.yyyy]])</f>
        <v>35</v>
      </c>
      <c r="M1061" s="36">
        <f>YEAR(Table1[[#This Row],[ETA
As requested
dd.mm.yyyy]])</f>
        <v>2024</v>
      </c>
      <c r="N1061" s="36">
        <f>IFERROR(INDEX(DATABASE_FG!$H$5:$H$367, MATCH(E1061, DATABASE_FG!$C$5:$C$367, 0)), " ")</f>
        <v>0</v>
      </c>
      <c r="O1061" s="129" t="str">
        <f>IF(E1061&lt;&gt;"", _xlfn.XLOOKUP(E1061, DATABASE_FG!C:C, DATABASE_FG!F:F), " ")</f>
        <v>Housings</v>
      </c>
      <c r="P1061" s="129">
        <f>IFERROR(INDEX(DATABASE_FG!$G$5:$G$367, MATCH(E1061, DATABASE_FG!$C$5:$C$367, 0)), "Not Found")</f>
        <v>0</v>
      </c>
      <c r="Q1061" s="36"/>
      <c r="R1061" s="125"/>
      <c r="S1061" s="123">
        <f>Table1[[#This Row],[Quantity]]/48</f>
        <v>2.1041666666666665</v>
      </c>
      <c r="T1061" s="36"/>
      <c r="U1061" s="36"/>
      <c r="V1061" s="36"/>
      <c r="W1061" s="129"/>
      <c r="X1061" s="36"/>
      <c r="Y1061" s="36" t="s">
        <v>2258</v>
      </c>
      <c r="Z1061" s="36"/>
      <c r="AA1061" s="125" t="s">
        <v>121</v>
      </c>
      <c r="AB1061" s="173">
        <v>45742</v>
      </c>
      <c r="AC1061" s="119">
        <v>25462</v>
      </c>
      <c r="AD1061" s="36">
        <f t="shared" si="120"/>
        <v>37347702</v>
      </c>
      <c r="AE1061" s="36" t="str">
        <f t="shared" si="121"/>
        <v>F-688038.02-0811.GEH.WE36</v>
      </c>
      <c r="AF1061" s="36">
        <v>101</v>
      </c>
      <c r="AG1061" s="120">
        <f t="shared" si="123"/>
        <v>1287.75</v>
      </c>
      <c r="AH1061" s="36"/>
      <c r="AI1061" s="124"/>
      <c r="AJ1061" s="122" t="s">
        <v>2271</v>
      </c>
      <c r="AK1061" s="129" t="str">
        <f t="shared" ca="1" si="122"/>
        <v>Late</v>
      </c>
      <c r="AL1061" s="268" t="str">
        <f t="shared" si="119"/>
        <v>August</v>
      </c>
      <c r="AM1061" s="133">
        <f>YEAR(Table1[[#This Row],[ETA
As requested
dd.mm.yyyy]])</f>
        <v>2024</v>
      </c>
    </row>
    <row r="1062" spans="1:39" hidden="1">
      <c r="A1062" s="123" t="s">
        <v>82</v>
      </c>
      <c r="B1062" s="36" t="s">
        <v>1170</v>
      </c>
      <c r="C1062" s="117">
        <v>37347702</v>
      </c>
      <c r="D1062" s="165">
        <v>45510</v>
      </c>
      <c r="E1062" s="117" t="s">
        <v>2166</v>
      </c>
      <c r="F1062" s="36">
        <f>IFERROR(VLOOKUP(Table1[[#This Row],[Part Number]],DATABASE_FG!$C$6:D11051,2,FALSE)," ")</f>
        <v>0</v>
      </c>
      <c r="G1062" s="117">
        <f>IFERROR(_xlfn.XLOOKUP(Table1[[#This Row],[Part Number]],Table3[Part number],Table3[Drawing
 Revision]),"")</f>
        <v>0</v>
      </c>
      <c r="H1062" s="118" cm="1">
        <f t="array" ref="H1062">IFERROR(INDEX(PDB!$C:$AT,MATCH(E1062,PDB!$B:$B,0),MATCH(YEAR(K1062),0+PDB!$C$1:$AT$1,0)),"")</f>
        <v>12.75</v>
      </c>
      <c r="I1062" s="36">
        <v>8</v>
      </c>
      <c r="J1062" s="125">
        <f>IFERROR(Table1[[#This Row],[Quantity]]*Table1[[#This Row],[Price/Unit
EUR]]," ")</f>
        <v>102</v>
      </c>
      <c r="K1062" s="126">
        <v>45534</v>
      </c>
      <c r="L1062" s="36">
        <f>WEEKNUM(Table1[[#This Row],[ETA
As requested
dd.mm.yyyy]])</f>
        <v>35</v>
      </c>
      <c r="M1062" s="36">
        <f>YEAR(Table1[[#This Row],[ETA
As requested
dd.mm.yyyy]])</f>
        <v>2024</v>
      </c>
      <c r="N1062" s="36">
        <f>IFERROR(INDEX(DATABASE_FG!$H$5:$H$367, MATCH(E1062, DATABASE_FG!$C$5:$C$367, 0)), " ")</f>
        <v>0</v>
      </c>
      <c r="O1062" s="129" t="str">
        <f>IF(E1062&lt;&gt;"", _xlfn.XLOOKUP(E1062, DATABASE_FG!C:C, DATABASE_FG!F:F), " ")</f>
        <v>Housings</v>
      </c>
      <c r="P1062" s="129">
        <f>IFERROR(INDEX(DATABASE_FG!$G$5:$G$367, MATCH(E1062, DATABASE_FG!$C$5:$C$367, 0)), "Not Found")</f>
        <v>0</v>
      </c>
      <c r="Q1062" s="36"/>
      <c r="R1062" s="125"/>
      <c r="S1062" s="123">
        <f>Table1[[#This Row],[Quantity]]/48</f>
        <v>0.16666666666666666</v>
      </c>
      <c r="T1062" s="36"/>
      <c r="U1062" s="36"/>
      <c r="V1062" s="36"/>
      <c r="W1062" s="129"/>
      <c r="X1062" s="36"/>
      <c r="Y1062" s="36" t="s">
        <v>2258</v>
      </c>
      <c r="Z1062" s="36"/>
      <c r="AA1062" s="125" t="s">
        <v>121</v>
      </c>
      <c r="AB1062" s="173">
        <v>45742</v>
      </c>
      <c r="AC1062" s="119">
        <v>25463</v>
      </c>
      <c r="AD1062" s="36">
        <f t="shared" si="120"/>
        <v>37347702</v>
      </c>
      <c r="AE1062" s="36" t="str">
        <f t="shared" si="121"/>
        <v>F-688038.02-0811.GEH.WE36</v>
      </c>
      <c r="AF1062" s="36">
        <v>8</v>
      </c>
      <c r="AG1062" s="120">
        <f t="shared" si="123"/>
        <v>102</v>
      </c>
      <c r="AH1062" s="36"/>
      <c r="AI1062" s="124"/>
      <c r="AJ1062" s="122" t="s">
        <v>2272</v>
      </c>
      <c r="AK1062" s="129" t="str">
        <f t="shared" ca="1" si="122"/>
        <v>Late</v>
      </c>
      <c r="AL1062" s="268" t="str">
        <f t="shared" si="119"/>
        <v>August</v>
      </c>
      <c r="AM1062" s="133">
        <f>YEAR(Table1[[#This Row],[ETA
As requested
dd.mm.yyyy]])</f>
        <v>2024</v>
      </c>
    </row>
    <row r="1063" spans="1:39" hidden="1">
      <c r="A1063" s="123" t="s">
        <v>82</v>
      </c>
      <c r="B1063" s="36" t="s">
        <v>1170</v>
      </c>
      <c r="C1063" s="117">
        <v>37347702</v>
      </c>
      <c r="D1063" s="165">
        <v>45510</v>
      </c>
      <c r="E1063" s="117" t="s">
        <v>2166</v>
      </c>
      <c r="F1063" s="36">
        <f>IFERROR(VLOOKUP(Table1[[#This Row],[Part Number]],DATABASE_FG!$C$6:D11052,2,FALSE)," ")</f>
        <v>0</v>
      </c>
      <c r="G1063" s="117">
        <f>IFERROR(_xlfn.XLOOKUP(Table1[[#This Row],[Part Number]],Table3[Part number],Table3[Drawing
 Revision]),"")</f>
        <v>0</v>
      </c>
      <c r="H1063" s="118" cm="1">
        <f t="array" ref="H1063">IFERROR(INDEX(PDB!$C:$AT,MATCH(E1063,PDB!$B:$B,0),MATCH(YEAR(K1063),0+PDB!$C$1:$AT$1,0)),"")</f>
        <v>12.75</v>
      </c>
      <c r="I1063" s="36">
        <f>268-63-40-40-101-8</f>
        <v>16</v>
      </c>
      <c r="J1063" s="125">
        <f>IFERROR(Table1[[#This Row],[Quantity]]*Table1[[#This Row],[Price/Unit
EUR]]," ")</f>
        <v>204</v>
      </c>
      <c r="K1063" s="126">
        <v>45534</v>
      </c>
      <c r="L1063" s="36">
        <f>WEEKNUM(Table1[[#This Row],[ETA
As requested
dd.mm.yyyy]])</f>
        <v>35</v>
      </c>
      <c r="M1063" s="36">
        <f>YEAR(Table1[[#This Row],[ETA
As requested
dd.mm.yyyy]])</f>
        <v>2024</v>
      </c>
      <c r="N1063" s="36">
        <f>IFERROR(INDEX(DATABASE_FG!$H$5:$H$367, MATCH(E1063, DATABASE_FG!$C$5:$C$367, 0)), " ")</f>
        <v>0</v>
      </c>
      <c r="O1063" s="129" t="str">
        <f>IF(E1063&lt;&gt;"", _xlfn.XLOOKUP(E1063, DATABASE_FG!C:C, DATABASE_FG!F:F), " ")</f>
        <v>Housings</v>
      </c>
      <c r="P1063" s="129">
        <f>IFERROR(INDEX(DATABASE_FG!$G$5:$G$367, MATCH(E1063, DATABASE_FG!$C$5:$C$367, 0)), "Not Found")</f>
        <v>0</v>
      </c>
      <c r="Q1063" s="36"/>
      <c r="R1063" s="125"/>
      <c r="S1063" s="123">
        <f>Table1[[#This Row],[Quantity]]/48</f>
        <v>0.33333333333333331</v>
      </c>
      <c r="T1063" s="36"/>
      <c r="U1063" s="36"/>
      <c r="V1063" s="36"/>
      <c r="W1063" s="129"/>
      <c r="X1063" s="36"/>
      <c r="Y1063" s="36" t="s">
        <v>2258</v>
      </c>
      <c r="Z1063" s="36"/>
      <c r="AA1063" s="125" t="s">
        <v>121</v>
      </c>
      <c r="AB1063" s="173">
        <v>45758</v>
      </c>
      <c r="AC1063" s="119">
        <v>25592</v>
      </c>
      <c r="AD1063" s="36">
        <f t="shared" si="120"/>
        <v>37347702</v>
      </c>
      <c r="AE1063" s="36" t="str">
        <f t="shared" si="121"/>
        <v>F-688038.02-0811.GEH.WE36</v>
      </c>
      <c r="AF1063" s="36">
        <v>16</v>
      </c>
      <c r="AG1063" s="120">
        <f t="shared" si="123"/>
        <v>204</v>
      </c>
      <c r="AH1063" s="36"/>
      <c r="AI1063" s="124"/>
      <c r="AJ1063" s="122" t="s">
        <v>2283</v>
      </c>
      <c r="AK1063" s="129" t="str">
        <f t="shared" ca="1" si="122"/>
        <v>Late</v>
      </c>
      <c r="AL1063" s="268" t="str">
        <f t="shared" si="119"/>
        <v>August</v>
      </c>
      <c r="AM1063" s="133">
        <f>YEAR(Table1[[#This Row],[ETA
As requested
dd.mm.yyyy]])</f>
        <v>2024</v>
      </c>
    </row>
    <row r="1064" spans="1:39" hidden="1">
      <c r="A1064" s="123" t="s">
        <v>82</v>
      </c>
      <c r="B1064" s="36" t="s">
        <v>1170</v>
      </c>
      <c r="C1064" s="117">
        <v>37347702</v>
      </c>
      <c r="D1064" s="165">
        <v>45474</v>
      </c>
      <c r="E1064" s="117" t="s">
        <v>491</v>
      </c>
      <c r="F1064" s="36">
        <f>IFERROR(VLOOKUP(Table1[[#This Row],[Part Number]],DATABASE_FG!$C$6:D11053,2,FALSE)," ")</f>
        <v>0</v>
      </c>
      <c r="G1064" s="117">
        <f>IFERROR(_xlfn.XLOOKUP(Table1[[#This Row],[Part Number]],Table3[Part number],Table3[Drawing
 Revision]),"")</f>
        <v>0</v>
      </c>
      <c r="H1064" s="118" cm="1">
        <f t="array" ref="H1064">IFERROR(INDEX(PDB!$C:$AT,MATCH(E1064,PDB!$B:$B,0),MATCH(YEAR(K1064),0+PDB!$C$1:$AT$1,0)),"")</f>
        <v>3.8</v>
      </c>
      <c r="I1064" s="36">
        <v>163</v>
      </c>
      <c r="J1064" s="125">
        <f>IFERROR(Table1[[#This Row],[Quantity]]*Table1[[#This Row],[Price/Unit
EUR]]," ")</f>
        <v>619.4</v>
      </c>
      <c r="K1064" s="126">
        <v>45534</v>
      </c>
      <c r="L1064" s="36">
        <f>WEEKNUM(Table1[[#This Row],[ETA
As requested
dd.mm.yyyy]])</f>
        <v>35</v>
      </c>
      <c r="M1064" s="36">
        <f>YEAR(Table1[[#This Row],[ETA
As requested
dd.mm.yyyy]])</f>
        <v>2024</v>
      </c>
      <c r="N1064" s="36">
        <f>IFERROR(INDEX(DATABASE_FG!$H$5:$H$367, MATCH(E1064, DATABASE_FG!$C$5:$C$367, 0)), " ")</f>
        <v>0</v>
      </c>
      <c r="O1064" s="129" t="str">
        <f>IF(E1064&lt;&gt;"", _xlfn.XLOOKUP(E1064, DATABASE_FG!C:C, DATABASE_FG!F:F), " ")</f>
        <v>Housings</v>
      </c>
      <c r="P1064" s="129">
        <f>IFERROR(INDEX(DATABASE_FG!$G$5:$G$367, MATCH(E1064, DATABASE_FG!$C$5:$C$367, 0)), "Not Found")</f>
        <v>0</v>
      </c>
      <c r="Q1064" s="36"/>
      <c r="R1064" s="125"/>
      <c r="S1064" s="123">
        <f>Table1[[#This Row],[Quantity]]/48</f>
        <v>3.3958333333333335</v>
      </c>
      <c r="T1064" s="36"/>
      <c r="U1064" s="36"/>
      <c r="V1064" s="36"/>
      <c r="W1064" s="129"/>
      <c r="X1064" s="36"/>
      <c r="Y1064" s="36"/>
      <c r="Z1064" s="36"/>
      <c r="AA1064" s="125" t="s">
        <v>121</v>
      </c>
      <c r="AB1064" s="173">
        <v>45617</v>
      </c>
      <c r="AC1064" s="119">
        <v>202401415</v>
      </c>
      <c r="AD1064" s="36">
        <f t="shared" si="120"/>
        <v>37347702</v>
      </c>
      <c r="AE1064" s="36" t="str">
        <f t="shared" si="121"/>
        <v>F-688038.02-0821.GEH.WE36</v>
      </c>
      <c r="AF1064" s="36">
        <v>163</v>
      </c>
      <c r="AG1064" s="120">
        <f t="shared" si="123"/>
        <v>619.4</v>
      </c>
      <c r="AH1064" s="36"/>
      <c r="AI1064" s="124"/>
      <c r="AJ1064" s="122" t="s">
        <v>2159</v>
      </c>
      <c r="AK1064" s="129" t="str">
        <f t="shared" ca="1" si="122"/>
        <v>Late</v>
      </c>
      <c r="AL1064" s="268" t="str">
        <f t="shared" ref="AL1064:AL1127" si="124">TEXT(K1064,"mmmm")</f>
        <v>August</v>
      </c>
      <c r="AM1064" s="133">
        <f>YEAR(Table1[[#This Row],[ETA
As requested
dd.mm.yyyy]])</f>
        <v>2024</v>
      </c>
    </row>
    <row r="1065" spans="1:39" hidden="1">
      <c r="A1065" s="123" t="s">
        <v>82</v>
      </c>
      <c r="B1065" s="36" t="s">
        <v>1170</v>
      </c>
      <c r="C1065" s="117">
        <v>37347702</v>
      </c>
      <c r="D1065" s="165">
        <v>45474</v>
      </c>
      <c r="E1065" s="117" t="s">
        <v>491</v>
      </c>
      <c r="F1065" s="36">
        <f>IFERROR(VLOOKUP(Table1[[#This Row],[Part Number]],DATABASE_FG!$C$6:D11054,2,FALSE)," ")</f>
        <v>0</v>
      </c>
      <c r="G1065" s="117">
        <f>IFERROR(_xlfn.XLOOKUP(Table1[[#This Row],[Part Number]],Table3[Part number],Table3[Drawing
 Revision]),"")</f>
        <v>0</v>
      </c>
      <c r="H1065" s="118" cm="1">
        <f t="array" ref="H1065">IFERROR(INDEX(PDB!$C:$AT,MATCH(E1065,PDB!$B:$B,0),MATCH(YEAR(K1065),0+PDB!$C$1:$AT$1,0)),"")</f>
        <v>3.8</v>
      </c>
      <c r="I1065" s="36">
        <v>167</v>
      </c>
      <c r="J1065" s="125">
        <f>IFERROR(Table1[[#This Row],[Quantity]]*Table1[[#This Row],[Price/Unit
EUR]]," ")</f>
        <v>634.6</v>
      </c>
      <c r="K1065" s="126">
        <v>45534</v>
      </c>
      <c r="L1065" s="36">
        <f>WEEKNUM(Table1[[#This Row],[ETA
As requested
dd.mm.yyyy]])</f>
        <v>35</v>
      </c>
      <c r="M1065" s="36">
        <f>YEAR(Table1[[#This Row],[ETA
As requested
dd.mm.yyyy]])</f>
        <v>2024</v>
      </c>
      <c r="N1065" s="36">
        <f>IFERROR(INDEX(DATABASE_FG!$H$5:$H$367, MATCH(E1065, DATABASE_FG!$C$5:$C$367, 0)), " ")</f>
        <v>0</v>
      </c>
      <c r="O1065" s="129" t="str">
        <f>IF(E1065&lt;&gt;"", _xlfn.XLOOKUP(E1065, DATABASE_FG!C:C, DATABASE_FG!F:F), " ")</f>
        <v>Housings</v>
      </c>
      <c r="P1065" s="129">
        <f>IFERROR(INDEX(DATABASE_FG!$G$5:$G$367, MATCH(E1065, DATABASE_FG!$C$5:$C$367, 0)), "Not Found")</f>
        <v>0</v>
      </c>
      <c r="Q1065" s="36"/>
      <c r="R1065" s="125"/>
      <c r="S1065" s="123">
        <f>Table1[[#This Row],[Quantity]]/48</f>
        <v>3.4791666666666665</v>
      </c>
      <c r="T1065" s="36"/>
      <c r="U1065" s="36"/>
      <c r="V1065" s="36"/>
      <c r="W1065" s="129"/>
      <c r="X1065" s="36"/>
      <c r="Y1065" s="36"/>
      <c r="Z1065" s="36"/>
      <c r="AA1065" s="125" t="s">
        <v>121</v>
      </c>
      <c r="AB1065" s="173">
        <v>45622</v>
      </c>
      <c r="AC1065" s="119">
        <v>202401442</v>
      </c>
      <c r="AD1065" s="36">
        <f t="shared" si="120"/>
        <v>37347702</v>
      </c>
      <c r="AE1065" s="36" t="str">
        <f t="shared" si="121"/>
        <v>F-688038.02-0821.GEH.WE36</v>
      </c>
      <c r="AF1065" s="36">
        <v>167</v>
      </c>
      <c r="AG1065" s="120">
        <f t="shared" si="123"/>
        <v>634.6</v>
      </c>
      <c r="AH1065" s="36"/>
      <c r="AI1065" s="124"/>
      <c r="AJ1065" s="122" t="s">
        <v>2165</v>
      </c>
      <c r="AK1065" s="129" t="str">
        <f t="shared" ca="1" si="122"/>
        <v>Late</v>
      </c>
      <c r="AL1065" s="268" t="str">
        <f t="shared" si="124"/>
        <v>August</v>
      </c>
      <c r="AM1065" s="133">
        <f>YEAR(Table1[[#This Row],[ETA
As requested
dd.mm.yyyy]])</f>
        <v>2024</v>
      </c>
    </row>
    <row r="1066" spans="1:39" hidden="1">
      <c r="A1066" s="123" t="s">
        <v>82</v>
      </c>
      <c r="B1066" s="36" t="s">
        <v>1170</v>
      </c>
      <c r="C1066" s="117">
        <v>37347702</v>
      </c>
      <c r="D1066" s="165">
        <v>45474</v>
      </c>
      <c r="E1066" s="117" t="s">
        <v>491</v>
      </c>
      <c r="F1066" s="36">
        <f>IFERROR(VLOOKUP(Table1[[#This Row],[Part Number]],DATABASE_FG!$C$6:D11055,2,FALSE)," ")</f>
        <v>0</v>
      </c>
      <c r="G1066" s="117">
        <f>IFERROR(_xlfn.XLOOKUP(Table1[[#This Row],[Part Number]],Table3[Part number],Table3[Drawing
 Revision]),"")</f>
        <v>0</v>
      </c>
      <c r="H1066" s="118" cm="1">
        <f t="array" ref="H1066">IFERROR(INDEX(PDB!$C:$AT,MATCH(E1066,PDB!$B:$B,0),MATCH(YEAR(K1066),0+PDB!$C$1:$AT$1,0)),"")</f>
        <v>3.8</v>
      </c>
      <c r="I1066" s="36">
        <v>110</v>
      </c>
      <c r="J1066" s="125">
        <f>IFERROR(Table1[[#This Row],[Quantity]]*Table1[[#This Row],[Price/Unit
EUR]]," ")</f>
        <v>418</v>
      </c>
      <c r="K1066" s="126">
        <v>45534</v>
      </c>
      <c r="L1066" s="36">
        <f>WEEKNUM(Table1[[#This Row],[ETA
As requested
dd.mm.yyyy]])</f>
        <v>35</v>
      </c>
      <c r="M1066" s="36">
        <f>YEAR(Table1[[#This Row],[ETA
As requested
dd.mm.yyyy]])</f>
        <v>2024</v>
      </c>
      <c r="N1066" s="36">
        <f>IFERROR(INDEX(DATABASE_FG!$H$5:$H$367, MATCH(E1066, DATABASE_FG!$C$5:$C$367, 0)), " ")</f>
        <v>0</v>
      </c>
      <c r="O1066" s="129" t="str">
        <f>IF(E1066&lt;&gt;"", _xlfn.XLOOKUP(E1066, DATABASE_FG!C:C, DATABASE_FG!F:F), " ")</f>
        <v>Housings</v>
      </c>
      <c r="P1066" s="129">
        <f>IFERROR(INDEX(DATABASE_FG!$G$5:$G$367, MATCH(E1066, DATABASE_FG!$C$5:$C$367, 0)), "Not Found")</f>
        <v>0</v>
      </c>
      <c r="Q1066" s="36"/>
      <c r="R1066" s="125"/>
      <c r="S1066" s="123">
        <f>Table1[[#This Row],[Quantity]]/48</f>
        <v>2.2916666666666665</v>
      </c>
      <c r="T1066" s="36"/>
      <c r="U1066" s="36"/>
      <c r="V1066" s="36"/>
      <c r="W1066" s="129"/>
      <c r="X1066" s="36"/>
      <c r="Y1066" s="36"/>
      <c r="Z1066" s="36"/>
      <c r="AA1066" s="125" t="s">
        <v>121</v>
      </c>
      <c r="AB1066" s="173">
        <v>45632</v>
      </c>
      <c r="AC1066" s="119">
        <v>202401491</v>
      </c>
      <c r="AD1066" s="36">
        <f t="shared" si="120"/>
        <v>37347702</v>
      </c>
      <c r="AE1066" s="36" t="str">
        <f t="shared" si="121"/>
        <v>F-688038.02-0821.GEH.WE36</v>
      </c>
      <c r="AF1066" s="36">
        <v>110</v>
      </c>
      <c r="AG1066" s="120">
        <f t="shared" si="123"/>
        <v>418</v>
      </c>
      <c r="AH1066" s="36"/>
      <c r="AI1066" s="124"/>
      <c r="AJ1066" s="122" t="s">
        <v>2177</v>
      </c>
      <c r="AK1066" s="129" t="str">
        <f t="shared" ca="1" si="122"/>
        <v>Late</v>
      </c>
      <c r="AL1066" s="268" t="str">
        <f t="shared" si="124"/>
        <v>August</v>
      </c>
      <c r="AM1066" s="133">
        <f>YEAR(Table1[[#This Row],[ETA
As requested
dd.mm.yyyy]])</f>
        <v>2024</v>
      </c>
    </row>
    <row r="1067" spans="1:39" hidden="1">
      <c r="A1067" s="123" t="s">
        <v>82</v>
      </c>
      <c r="B1067" s="36" t="s">
        <v>1170</v>
      </c>
      <c r="C1067" s="117">
        <v>37347702</v>
      </c>
      <c r="D1067" s="165">
        <v>45474</v>
      </c>
      <c r="E1067" s="117" t="s">
        <v>491</v>
      </c>
      <c r="F1067" s="36">
        <f>IFERROR(VLOOKUP(Table1[[#This Row],[Part Number]],DATABASE_FG!$C$6:D11056,2,FALSE)," ")</f>
        <v>0</v>
      </c>
      <c r="G1067" s="117">
        <f>IFERROR(_xlfn.XLOOKUP(Table1[[#This Row],[Part Number]],Table3[Part number],Table3[Drawing
 Revision]),"")</f>
        <v>0</v>
      </c>
      <c r="H1067" s="118" cm="1">
        <f t="array" ref="H1067">IFERROR(INDEX(PDB!$C:$AT,MATCH(E1067,PDB!$B:$B,0),MATCH(YEAR(K1067),0+PDB!$C$1:$AT$1,0)),"")</f>
        <v>3.8</v>
      </c>
      <c r="I1067" s="36">
        <v>165</v>
      </c>
      <c r="J1067" s="125">
        <f>IFERROR(Table1[[#This Row],[Quantity]]*Table1[[#This Row],[Price/Unit
EUR]]," ")</f>
        <v>627</v>
      </c>
      <c r="K1067" s="126">
        <v>45534</v>
      </c>
      <c r="L1067" s="36">
        <f>WEEKNUM(Table1[[#This Row],[ETA
As requested
dd.mm.yyyy]])</f>
        <v>35</v>
      </c>
      <c r="M1067" s="36">
        <f>YEAR(Table1[[#This Row],[ETA
As requested
dd.mm.yyyy]])</f>
        <v>2024</v>
      </c>
      <c r="N1067" s="36">
        <f>IFERROR(INDEX(DATABASE_FG!$H$5:$H$367, MATCH(E1067, DATABASE_FG!$C$5:$C$367, 0)), " ")</f>
        <v>0</v>
      </c>
      <c r="O1067" s="129" t="str">
        <f>IF(E1067&lt;&gt;"", _xlfn.XLOOKUP(E1067, DATABASE_FG!C:C, DATABASE_FG!F:F), " ")</f>
        <v>Housings</v>
      </c>
      <c r="P1067" s="129">
        <f>IFERROR(INDEX(DATABASE_FG!$G$5:$G$367, MATCH(E1067, DATABASE_FG!$C$5:$C$367, 0)), "Not Found")</f>
        <v>0</v>
      </c>
      <c r="Q1067" s="36"/>
      <c r="R1067" s="125"/>
      <c r="S1067" s="123">
        <f>Table1[[#This Row],[Quantity]]/48</f>
        <v>3.4375</v>
      </c>
      <c r="T1067" s="36"/>
      <c r="U1067" s="36"/>
      <c r="V1067" s="36"/>
      <c r="W1067" s="129"/>
      <c r="X1067" s="36"/>
      <c r="Y1067" s="36"/>
      <c r="Z1067" s="36"/>
      <c r="AA1067" s="125" t="s">
        <v>121</v>
      </c>
      <c r="AB1067" s="173">
        <v>45689</v>
      </c>
      <c r="AC1067" s="119" t="s">
        <v>2227</v>
      </c>
      <c r="AD1067" s="36">
        <f t="shared" si="120"/>
        <v>37347702</v>
      </c>
      <c r="AE1067" s="36" t="str">
        <f t="shared" si="121"/>
        <v>F-688038.02-0821.GEH.WE36</v>
      </c>
      <c r="AF1067" s="36">
        <v>165</v>
      </c>
      <c r="AG1067" s="120">
        <f t="shared" si="123"/>
        <v>627</v>
      </c>
      <c r="AH1067" s="36"/>
      <c r="AI1067" s="124"/>
      <c r="AJ1067" s="122" t="s">
        <v>2228</v>
      </c>
      <c r="AK1067" s="129" t="str">
        <f t="shared" ca="1" si="122"/>
        <v>Late</v>
      </c>
      <c r="AL1067" s="268" t="str">
        <f t="shared" si="124"/>
        <v>August</v>
      </c>
      <c r="AM1067" s="133">
        <f>YEAR(Table1[[#This Row],[ETA
As requested
dd.mm.yyyy]])</f>
        <v>2024</v>
      </c>
    </row>
    <row r="1068" spans="1:39" hidden="1">
      <c r="A1068" s="123" t="s">
        <v>82</v>
      </c>
      <c r="B1068" s="36" t="s">
        <v>1170</v>
      </c>
      <c r="C1068" s="117">
        <v>37347702</v>
      </c>
      <c r="D1068" s="165">
        <v>45474</v>
      </c>
      <c r="E1068" s="117" t="s">
        <v>491</v>
      </c>
      <c r="F1068" s="36">
        <f>IFERROR(VLOOKUP(Table1[[#This Row],[Part Number]],DATABASE_FG!$C$6:D11057,2,FALSE)," ")</f>
        <v>0</v>
      </c>
      <c r="G1068" s="117">
        <f>IFERROR(_xlfn.XLOOKUP(Table1[[#This Row],[Part Number]],Table3[Part number],Table3[Drawing
 Revision]),"")</f>
        <v>0</v>
      </c>
      <c r="H1068" s="118" cm="1">
        <f t="array" ref="H1068">IFERROR(INDEX(PDB!$C:$AT,MATCH(E1068,PDB!$B:$B,0),MATCH(YEAR(K1068),0+PDB!$C$1:$AT$1,0)),"")</f>
        <v>3.8</v>
      </c>
      <c r="I1068" s="36">
        <f>650-163-167-110-165</f>
        <v>45</v>
      </c>
      <c r="J1068" s="125">
        <f>IFERROR(Table1[[#This Row],[Quantity]]*Table1[[#This Row],[Price/Unit
EUR]]," ")</f>
        <v>171</v>
      </c>
      <c r="K1068" s="126">
        <v>45534</v>
      </c>
      <c r="L1068" s="36">
        <f>WEEKNUM(Table1[[#This Row],[ETA
As requested
dd.mm.yyyy]])</f>
        <v>35</v>
      </c>
      <c r="M1068" s="36">
        <f>YEAR(Table1[[#This Row],[ETA
As requested
dd.mm.yyyy]])</f>
        <v>2024</v>
      </c>
      <c r="N1068" s="36">
        <f>IFERROR(INDEX(DATABASE_FG!$H$5:$H$367, MATCH(E1068, DATABASE_FG!$C$5:$C$367, 0)), " ")</f>
        <v>0</v>
      </c>
      <c r="O1068" s="129" t="str">
        <f>IF(E1068&lt;&gt;"", _xlfn.XLOOKUP(E1068, DATABASE_FG!C:C, DATABASE_FG!F:F), " ")</f>
        <v>Housings</v>
      </c>
      <c r="P1068" s="129">
        <f>IFERROR(INDEX(DATABASE_FG!$G$5:$G$367, MATCH(E1068, DATABASE_FG!$C$5:$C$367, 0)), "Not Found")</f>
        <v>0</v>
      </c>
      <c r="Q1068" s="36"/>
      <c r="R1068" s="125"/>
      <c r="S1068" s="123">
        <f>Table1[[#This Row],[Quantity]]/48</f>
        <v>0.9375</v>
      </c>
      <c r="T1068" s="36"/>
      <c r="U1068" s="36"/>
      <c r="V1068" s="36"/>
      <c r="W1068" s="129"/>
      <c r="X1068" s="36"/>
      <c r="Y1068" s="36" t="s">
        <v>677</v>
      </c>
      <c r="Z1068" s="36"/>
      <c r="AA1068" s="125" t="s">
        <v>121</v>
      </c>
      <c r="AB1068" s="173">
        <v>45717</v>
      </c>
      <c r="AC1068" s="119" t="s">
        <v>2245</v>
      </c>
      <c r="AD1068" s="36">
        <f t="shared" si="120"/>
        <v>37347702</v>
      </c>
      <c r="AE1068" s="36" t="str">
        <f t="shared" si="121"/>
        <v>F-688038.02-0821.GEH.WE36</v>
      </c>
      <c r="AF1068" s="36">
        <v>45</v>
      </c>
      <c r="AG1068" s="120">
        <f t="shared" si="123"/>
        <v>171</v>
      </c>
      <c r="AH1068" s="36"/>
      <c r="AI1068" s="124" t="s">
        <v>2246</v>
      </c>
      <c r="AJ1068" s="122" t="s">
        <v>2247</v>
      </c>
      <c r="AK1068" s="129" t="str">
        <f t="shared" ca="1" si="122"/>
        <v>Late</v>
      </c>
      <c r="AL1068" s="268" t="str">
        <f t="shared" si="124"/>
        <v>August</v>
      </c>
      <c r="AM1068" s="133">
        <f>YEAR(Table1[[#This Row],[ETA
As requested
dd.mm.yyyy]])</f>
        <v>2024</v>
      </c>
    </row>
    <row r="1069" spans="1:39" hidden="1">
      <c r="A1069" s="123" t="s">
        <v>82</v>
      </c>
      <c r="B1069" s="36" t="s">
        <v>1170</v>
      </c>
      <c r="C1069" s="117">
        <v>37347702</v>
      </c>
      <c r="D1069" s="165">
        <v>45474</v>
      </c>
      <c r="E1069" s="117" t="s">
        <v>447</v>
      </c>
      <c r="F1069" s="36">
        <f>IFERROR(VLOOKUP(Table1[[#This Row],[Part Number]],DATABASE_FG!$C$6:D11058,2,FALSE)," ")</f>
        <v>0</v>
      </c>
      <c r="G1069" s="117" t="str">
        <f>IFERROR(_xlfn.XLOOKUP(Table1[[#This Row],[Part Number]],Table3[Part number],Table3[Drawing
 Revision]),"")</f>
        <v>00</v>
      </c>
      <c r="H1069" s="118" cm="1">
        <f t="array" ref="H1069">IFERROR(INDEX(PDB!$C:$AT,MATCH(E1069,PDB!$B:$B,0),MATCH(YEAR(K1069),0+PDB!$C$1:$AT$1,0)),"")</f>
        <v>0.78</v>
      </c>
      <c r="I1069" s="36">
        <v>530</v>
      </c>
      <c r="J1069" s="125">
        <f>IFERROR(Table1[[#This Row],[Quantity]]*Table1[[#This Row],[Price/Unit
EUR]]," ")</f>
        <v>413.40000000000003</v>
      </c>
      <c r="K1069" s="126">
        <v>45534</v>
      </c>
      <c r="L1069" s="36">
        <f>WEEKNUM(Table1[[#This Row],[ETA
As requested
dd.mm.yyyy]])</f>
        <v>35</v>
      </c>
      <c r="M1069" s="36">
        <f>YEAR(Table1[[#This Row],[ETA
As requested
dd.mm.yyyy]])</f>
        <v>2024</v>
      </c>
      <c r="N1069" s="36">
        <f>IFERROR(INDEX(DATABASE_FG!$H$5:$H$367, MATCH(E1069, DATABASE_FG!$C$5:$C$367, 0)), " ")</f>
        <v>0</v>
      </c>
      <c r="O1069" s="129" t="str">
        <f>IF(E1069&lt;&gt;"", _xlfn.XLOOKUP(E1069, DATABASE_FG!C:C, DATABASE_FG!F:F), " ")</f>
        <v>Bolts and washers</v>
      </c>
      <c r="P1069" s="129">
        <f>IFERROR(INDEX(DATABASE_FG!$G$5:$G$367, MATCH(E1069, DATABASE_FG!$C$5:$C$367, 0)), "Not Found")</f>
        <v>0</v>
      </c>
      <c r="Q1069" s="36"/>
      <c r="R1069" s="125" t="s">
        <v>680</v>
      </c>
      <c r="S1069" s="123">
        <f>Table1[[#This Row],[Quantity]]/48</f>
        <v>11.041666666666666</v>
      </c>
      <c r="T1069" s="36"/>
      <c r="U1069" s="36"/>
      <c r="V1069" s="36"/>
      <c r="W1069" s="129"/>
      <c r="X1069" s="36"/>
      <c r="Y1069" s="36"/>
      <c r="Z1069" s="36"/>
      <c r="AA1069" s="125" t="s">
        <v>121</v>
      </c>
      <c r="AB1069" s="173">
        <v>45563</v>
      </c>
      <c r="AC1069" s="119">
        <v>20232275</v>
      </c>
      <c r="AD1069" s="36">
        <f t="shared" si="120"/>
        <v>37347702</v>
      </c>
      <c r="AE1069" s="36" t="str">
        <f t="shared" si="121"/>
        <v>F-688038.02-0831.SHB.WE36</v>
      </c>
      <c r="AF1069" s="36">
        <v>530</v>
      </c>
      <c r="AG1069" s="120">
        <f t="shared" si="123"/>
        <v>413.40000000000003</v>
      </c>
      <c r="AH1069" s="36"/>
      <c r="AI1069" s="124" t="s">
        <v>1985</v>
      </c>
      <c r="AJ1069" s="122" t="s">
        <v>2132</v>
      </c>
      <c r="AK1069" s="129" t="str">
        <f t="shared" ca="1" si="122"/>
        <v>Late</v>
      </c>
      <c r="AL1069" s="268" t="str">
        <f t="shared" si="124"/>
        <v>August</v>
      </c>
      <c r="AM1069" s="133">
        <f>YEAR(Table1[[#This Row],[ETA
As requested
dd.mm.yyyy]])</f>
        <v>2024</v>
      </c>
    </row>
    <row r="1070" spans="1:39" hidden="1">
      <c r="A1070" s="123" t="s">
        <v>82</v>
      </c>
      <c r="B1070" s="36" t="s">
        <v>1170</v>
      </c>
      <c r="C1070" s="117">
        <v>37347702</v>
      </c>
      <c r="D1070" s="165">
        <v>45475</v>
      </c>
      <c r="E1070" s="117" t="s">
        <v>447</v>
      </c>
      <c r="F1070" s="36">
        <f>IFERROR(VLOOKUP(Table1[[#This Row],[Part Number]],DATABASE_FG!$C$6:D11059,2,FALSE)," ")</f>
        <v>0</v>
      </c>
      <c r="G1070" s="117" t="str">
        <f>IFERROR(_xlfn.XLOOKUP(Table1[[#This Row],[Part Number]],Table3[Part number],Table3[Drawing
 Revision]),"")</f>
        <v>00</v>
      </c>
      <c r="H1070" s="118" cm="1">
        <f t="array" ref="H1070">IFERROR(INDEX(PDB!$C:$AT,MATCH(E1070,PDB!$B:$B,0),MATCH(YEAR(K1070),0+PDB!$C$1:$AT$1,0)),"")</f>
        <v>0.78</v>
      </c>
      <c r="I1070" s="36">
        <v>75</v>
      </c>
      <c r="J1070" s="125">
        <f>IFERROR(Table1[[#This Row],[Quantity]]*Table1[[#This Row],[Price/Unit
EUR]]," ")</f>
        <v>58.5</v>
      </c>
      <c r="K1070" s="126">
        <v>45534</v>
      </c>
      <c r="L1070" s="36">
        <f>WEEKNUM(Table1[[#This Row],[ETA
As requested
dd.mm.yyyy]])</f>
        <v>35</v>
      </c>
      <c r="M1070" s="36">
        <f>YEAR(Table1[[#This Row],[ETA
As requested
dd.mm.yyyy]])</f>
        <v>2024</v>
      </c>
      <c r="N1070" s="36">
        <f>IFERROR(INDEX(DATABASE_FG!$H$5:$H$367, MATCH(E1070, DATABASE_FG!$C$5:$C$367, 0)), " ")</f>
        <v>0</v>
      </c>
      <c r="O1070" s="129" t="str">
        <f>IF(E1070&lt;&gt;"", _xlfn.XLOOKUP(E1070, DATABASE_FG!C:C, DATABASE_FG!F:F), " ")</f>
        <v>Bolts and washers</v>
      </c>
      <c r="P1070" s="129">
        <f>IFERROR(INDEX(DATABASE_FG!$G$5:$G$367, MATCH(E1070, DATABASE_FG!$C$5:$C$367, 0)), "Not Found")</f>
        <v>0</v>
      </c>
      <c r="Q1070" s="36"/>
      <c r="R1070" s="125" t="s">
        <v>680</v>
      </c>
      <c r="S1070" s="123">
        <f>Table1[[#This Row],[Quantity]]/48</f>
        <v>1.5625</v>
      </c>
      <c r="T1070" s="36"/>
      <c r="U1070" s="36"/>
      <c r="V1070" s="36"/>
      <c r="W1070" s="129"/>
      <c r="X1070" s="36"/>
      <c r="Y1070" s="36"/>
      <c r="Z1070" s="36"/>
      <c r="AA1070" s="125" t="s">
        <v>121</v>
      </c>
      <c r="AB1070" s="173">
        <v>45570</v>
      </c>
      <c r="AC1070" s="119">
        <v>20232278</v>
      </c>
      <c r="AD1070" s="36">
        <f t="shared" si="120"/>
        <v>37347702</v>
      </c>
      <c r="AE1070" s="36" t="str">
        <f t="shared" si="121"/>
        <v>F-688038.02-0831.SHB.WE36</v>
      </c>
      <c r="AF1070" s="36">
        <v>75</v>
      </c>
      <c r="AG1070" s="120">
        <f t="shared" si="123"/>
        <v>58.5</v>
      </c>
      <c r="AH1070" s="36"/>
      <c r="AI1070" s="124"/>
      <c r="AJ1070" s="122" t="s">
        <v>2135</v>
      </c>
      <c r="AK1070" s="129" t="str">
        <f t="shared" ca="1" si="122"/>
        <v>Late</v>
      </c>
      <c r="AL1070" s="268" t="str">
        <f t="shared" si="124"/>
        <v>August</v>
      </c>
      <c r="AM1070" s="133">
        <f>YEAR(Table1[[#This Row],[ETA
As requested
dd.mm.yyyy]])</f>
        <v>2024</v>
      </c>
    </row>
    <row r="1071" spans="1:39" hidden="1">
      <c r="A1071" s="123" t="s">
        <v>82</v>
      </c>
      <c r="B1071" s="36" t="s">
        <v>1170</v>
      </c>
      <c r="C1071" s="117">
        <v>37347702</v>
      </c>
      <c r="D1071" s="165">
        <v>45475</v>
      </c>
      <c r="E1071" s="117" t="s">
        <v>447</v>
      </c>
      <c r="F1071" s="36">
        <f>IFERROR(VLOOKUP(Table1[[#This Row],[Part Number]],DATABASE_FG!$C$6:D11060,2,FALSE)," ")</f>
        <v>0</v>
      </c>
      <c r="G1071" s="117" t="str">
        <f>IFERROR(_xlfn.XLOOKUP(Table1[[#This Row],[Part Number]],Table3[Part number],Table3[Drawing
 Revision]),"")</f>
        <v>00</v>
      </c>
      <c r="H1071" s="118" cm="1">
        <f t="array" ref="H1071">IFERROR(INDEX(PDB!$C:$AT,MATCH(E1071,PDB!$B:$B,0),MATCH(YEAR(K1071),0+PDB!$C$1:$AT$1,0)),"")</f>
        <v>0.78</v>
      </c>
      <c r="I1071" s="36">
        <v>17</v>
      </c>
      <c r="J1071" s="125">
        <f>IFERROR(Table1[[#This Row],[Quantity]]*Table1[[#This Row],[Price/Unit
EUR]]," ")</f>
        <v>13.26</v>
      </c>
      <c r="K1071" s="126">
        <v>45534</v>
      </c>
      <c r="L1071" s="36">
        <f>WEEKNUM(Table1[[#This Row],[ETA
As requested
dd.mm.yyyy]])</f>
        <v>35</v>
      </c>
      <c r="M1071" s="36">
        <f>YEAR(Table1[[#This Row],[ETA
As requested
dd.mm.yyyy]])</f>
        <v>2024</v>
      </c>
      <c r="N1071" s="36">
        <f>IFERROR(INDEX(DATABASE_FG!$H$5:$H$367, MATCH(E1071, DATABASE_FG!$C$5:$C$367, 0)), " ")</f>
        <v>0</v>
      </c>
      <c r="O1071" s="129" t="str">
        <f>IF(E1071&lt;&gt;"", _xlfn.XLOOKUP(E1071, DATABASE_FG!C:C, DATABASE_FG!F:F), " ")</f>
        <v>Bolts and washers</v>
      </c>
      <c r="P1071" s="129">
        <f>IFERROR(INDEX(DATABASE_FG!$G$5:$G$367, MATCH(E1071, DATABASE_FG!$C$5:$C$367, 0)), "Not Found")</f>
        <v>0</v>
      </c>
      <c r="Q1071" s="36"/>
      <c r="R1071" s="125" t="s">
        <v>680</v>
      </c>
      <c r="S1071" s="123">
        <f>Table1[[#This Row],[Quantity]]/48</f>
        <v>0.35416666666666669</v>
      </c>
      <c r="T1071" s="36"/>
      <c r="U1071" s="36"/>
      <c r="V1071" s="36"/>
      <c r="W1071" s="129"/>
      <c r="X1071" s="36"/>
      <c r="Y1071" s="36"/>
      <c r="Z1071" s="36"/>
      <c r="AA1071" s="125" t="s">
        <v>121</v>
      </c>
      <c r="AB1071" s="173">
        <v>45593</v>
      </c>
      <c r="AC1071" s="119">
        <v>202401291</v>
      </c>
      <c r="AD1071" s="36">
        <f t="shared" si="120"/>
        <v>37347702</v>
      </c>
      <c r="AE1071" s="36" t="str">
        <f t="shared" si="121"/>
        <v>F-688038.02-0831.SHB.WE36</v>
      </c>
      <c r="AF1071" s="36">
        <v>17</v>
      </c>
      <c r="AG1071" s="120">
        <f t="shared" si="123"/>
        <v>13.26</v>
      </c>
      <c r="AH1071" s="36"/>
      <c r="AI1071" s="124"/>
      <c r="AJ1071" s="122" t="s">
        <v>2143</v>
      </c>
      <c r="AK1071" s="129" t="str">
        <f t="shared" ca="1" si="122"/>
        <v>Late</v>
      </c>
      <c r="AL1071" s="268" t="str">
        <f t="shared" si="124"/>
        <v>August</v>
      </c>
      <c r="AM1071" s="133">
        <f>YEAR(Table1[[#This Row],[ETA
As requested
dd.mm.yyyy]])</f>
        <v>2024</v>
      </c>
    </row>
    <row r="1072" spans="1:39" hidden="1">
      <c r="A1072" s="123" t="s">
        <v>82</v>
      </c>
      <c r="B1072" s="36" t="s">
        <v>1170</v>
      </c>
      <c r="C1072" s="117">
        <v>37347702</v>
      </c>
      <c r="D1072" s="165">
        <v>45475</v>
      </c>
      <c r="E1072" s="117" t="s">
        <v>447</v>
      </c>
      <c r="F1072" s="36">
        <f>IFERROR(VLOOKUP(Table1[[#This Row],[Part Number]],DATABASE_FG!$C$6:D11061,2,FALSE)," ")</f>
        <v>0</v>
      </c>
      <c r="G1072" s="117" t="str">
        <f>IFERROR(_xlfn.XLOOKUP(Table1[[#This Row],[Part Number]],Table3[Part number],Table3[Drawing
 Revision]),"")</f>
        <v>00</v>
      </c>
      <c r="H1072" s="118" cm="1">
        <f t="array" ref="H1072">IFERROR(INDEX(PDB!$C:$AT,MATCH(E1072,PDB!$B:$B,0),MATCH(YEAR(K1072),0+PDB!$C$1:$AT$1,0)),"")</f>
        <v>0.78</v>
      </c>
      <c r="I1072" s="36">
        <f>650-SUM(I1069:I1071)</f>
        <v>28</v>
      </c>
      <c r="J1072" s="125">
        <f>IFERROR(Table1[[#This Row],[Quantity]]*Table1[[#This Row],[Price/Unit
EUR]]," ")</f>
        <v>21.84</v>
      </c>
      <c r="K1072" s="126">
        <v>45534</v>
      </c>
      <c r="L1072" s="36">
        <f>WEEKNUM(Table1[[#This Row],[ETA
As requested
dd.mm.yyyy]])</f>
        <v>35</v>
      </c>
      <c r="M1072" s="36">
        <f>YEAR(Table1[[#This Row],[ETA
As requested
dd.mm.yyyy]])</f>
        <v>2024</v>
      </c>
      <c r="N1072" s="36">
        <f>IFERROR(INDEX(DATABASE_FG!$H$5:$H$367, MATCH(E1072, DATABASE_FG!$C$5:$C$367, 0)), " ")</f>
        <v>0</v>
      </c>
      <c r="O1072" s="129" t="str">
        <f>IF(E1072&lt;&gt;"", _xlfn.XLOOKUP(E1072, DATABASE_FG!C:C, DATABASE_FG!F:F), " ")</f>
        <v>Bolts and washers</v>
      </c>
      <c r="P1072" s="129">
        <f>IFERROR(INDEX(DATABASE_FG!$G$5:$G$367, MATCH(E1072, DATABASE_FG!$C$5:$C$367, 0)), "Not Found")</f>
        <v>0</v>
      </c>
      <c r="Q1072" s="36"/>
      <c r="R1072" s="125" t="s">
        <v>680</v>
      </c>
      <c r="S1072" s="123">
        <f>Table1[[#This Row],[Quantity]]/48</f>
        <v>0.58333333333333337</v>
      </c>
      <c r="T1072" s="36"/>
      <c r="U1072" s="36"/>
      <c r="V1072" s="36"/>
      <c r="W1072" s="129"/>
      <c r="X1072" s="36"/>
      <c r="Y1072" s="36"/>
      <c r="Z1072" s="36"/>
      <c r="AA1072" s="125" t="s">
        <v>121</v>
      </c>
      <c r="AB1072" s="173">
        <v>45601</v>
      </c>
      <c r="AC1072" s="119">
        <v>202401331</v>
      </c>
      <c r="AD1072" s="36">
        <f t="shared" si="120"/>
        <v>37347702</v>
      </c>
      <c r="AE1072" s="36" t="str">
        <f t="shared" si="121"/>
        <v>F-688038.02-0831.SHB.WE36</v>
      </c>
      <c r="AF1072" s="36">
        <v>28</v>
      </c>
      <c r="AG1072" s="120">
        <f t="shared" si="123"/>
        <v>21.84</v>
      </c>
      <c r="AH1072" s="36"/>
      <c r="AI1072" s="124"/>
      <c r="AJ1072" s="122" t="s">
        <v>2147</v>
      </c>
      <c r="AK1072" s="129" t="str">
        <f t="shared" ca="1" si="122"/>
        <v>Late</v>
      </c>
      <c r="AL1072" s="268" t="str">
        <f t="shared" si="124"/>
        <v>August</v>
      </c>
      <c r="AM1072" s="133">
        <f>YEAR(Table1[[#This Row],[ETA
As requested
dd.mm.yyyy]])</f>
        <v>2024</v>
      </c>
    </row>
    <row r="1073" spans="1:40" hidden="1">
      <c r="A1073" s="123" t="s">
        <v>82</v>
      </c>
      <c r="B1073" s="36" t="s">
        <v>1170</v>
      </c>
      <c r="C1073" s="117">
        <v>37347702</v>
      </c>
      <c r="D1073" s="165">
        <v>45474</v>
      </c>
      <c r="E1073" s="117" t="s">
        <v>500</v>
      </c>
      <c r="F1073" s="36">
        <f>IFERROR(VLOOKUP(Table1[[#This Row],[Part Number]],DATABASE_FG!$C$6:D11062,2,FALSE)," ")</f>
        <v>0</v>
      </c>
      <c r="G1073" s="117">
        <f>IFERROR(_xlfn.XLOOKUP(Table1[[#This Row],[Part Number]],Table3[Part number],Table3[Drawing
 Revision]),"")</f>
        <v>0</v>
      </c>
      <c r="H1073" s="118" cm="1">
        <f t="array" ref="H1073">IFERROR(INDEX(PDB!$C:$AT,MATCH(E1073,PDB!$B:$B,0),MATCH(YEAR(K1073),0+PDB!$C$1:$AT$1,0)),"")</f>
        <v>11.29</v>
      </c>
      <c r="I1073" s="36">
        <v>26</v>
      </c>
      <c r="J1073" s="125">
        <f>IFERROR(Table1[[#This Row],[Quantity]]*Table1[[#This Row],[Price/Unit
EUR]]," ")</f>
        <v>293.53999999999996</v>
      </c>
      <c r="K1073" s="126">
        <v>45534</v>
      </c>
      <c r="L1073" s="36">
        <f>WEEKNUM(Table1[[#This Row],[ETA
As requested
dd.mm.yyyy]])</f>
        <v>35</v>
      </c>
      <c r="M1073" s="36">
        <f>YEAR(Table1[[#This Row],[ETA
As requested
dd.mm.yyyy]])</f>
        <v>2024</v>
      </c>
      <c r="N1073" s="36">
        <f>IFERROR(INDEX(DATABASE_FG!$H$5:$H$367, MATCH(E1073, DATABASE_FG!$C$5:$C$367, 0)), " ")</f>
        <v>0</v>
      </c>
      <c r="O1073" s="129" t="str">
        <f>IF(E1073&lt;&gt;"", _xlfn.XLOOKUP(E1073, DATABASE_FG!C:C, DATABASE_FG!F:F), " ")</f>
        <v>Bolts and washers</v>
      </c>
      <c r="P1073" s="129">
        <f>IFERROR(INDEX(DATABASE_FG!$G$5:$G$367, MATCH(E1073, DATABASE_FG!$C$5:$C$367, 0)), "Not Found")</f>
        <v>0</v>
      </c>
      <c r="Q1073" s="36"/>
      <c r="R1073" s="125"/>
      <c r="S1073" s="123">
        <f>Table1[[#This Row],[Quantity]]/48</f>
        <v>0.54166666666666663</v>
      </c>
      <c r="T1073" s="36" t="s">
        <v>677</v>
      </c>
      <c r="U1073" s="36"/>
      <c r="V1073" s="36"/>
      <c r="W1073" s="129"/>
      <c r="X1073" s="36"/>
      <c r="Y1073" s="36"/>
      <c r="Z1073" s="36"/>
      <c r="AA1073" s="125" t="s">
        <v>121</v>
      </c>
      <c r="AB1073" s="173">
        <v>45617</v>
      </c>
      <c r="AC1073" s="119">
        <v>202401499</v>
      </c>
      <c r="AD1073" s="36">
        <f t="shared" si="120"/>
        <v>37347702</v>
      </c>
      <c r="AE1073" s="36" t="str">
        <f t="shared" si="121"/>
        <v>F-688038.02-0911.BZ.WE</v>
      </c>
      <c r="AF1073" s="36">
        <v>26</v>
      </c>
      <c r="AG1073" s="120">
        <f t="shared" si="123"/>
        <v>293.53999999999996</v>
      </c>
      <c r="AH1073" s="36"/>
      <c r="AI1073" s="124" t="s">
        <v>2154</v>
      </c>
      <c r="AJ1073" s="122" t="s">
        <v>2155</v>
      </c>
      <c r="AK1073" s="129" t="str">
        <f t="shared" ca="1" si="122"/>
        <v>Late</v>
      </c>
      <c r="AL1073" s="268" t="str">
        <f t="shared" si="124"/>
        <v>August</v>
      </c>
      <c r="AM1073" s="133">
        <f>YEAR(Table1[[#This Row],[ETA
As requested
dd.mm.yyyy]])</f>
        <v>2024</v>
      </c>
    </row>
    <row r="1074" spans="1:40" hidden="1">
      <c r="A1074" s="123" t="s">
        <v>82</v>
      </c>
      <c r="B1074" s="36" t="s">
        <v>1170</v>
      </c>
      <c r="C1074" s="117">
        <v>37347702</v>
      </c>
      <c r="D1074" s="165">
        <v>45474</v>
      </c>
      <c r="E1074" s="117" t="s">
        <v>500</v>
      </c>
      <c r="F1074" s="36">
        <f>IFERROR(VLOOKUP(Table1[[#This Row],[Part Number]],DATABASE_FG!$C$6:D11063,2,FALSE)," ")</f>
        <v>0</v>
      </c>
      <c r="G1074" s="117">
        <f>IFERROR(_xlfn.XLOOKUP(Table1[[#This Row],[Part Number]],Table3[Part number],Table3[Drawing
 Revision]),"")</f>
        <v>0</v>
      </c>
      <c r="H1074" s="118" cm="1">
        <f t="array" ref="H1074">IFERROR(INDEX(PDB!$C:$AT,MATCH(E1074,PDB!$B:$B,0),MATCH(YEAR(K1074),0+PDB!$C$1:$AT$1,0)),"")</f>
        <v>11.29</v>
      </c>
      <c r="I1074" s="36">
        <v>20</v>
      </c>
      <c r="J1074" s="125">
        <f>IFERROR(Table1[[#This Row],[Quantity]]*Table1[[#This Row],[Price/Unit
EUR]]," ")</f>
        <v>225.79999999999998</v>
      </c>
      <c r="K1074" s="126">
        <v>45534</v>
      </c>
      <c r="L1074" s="36">
        <f>WEEKNUM(Table1[[#This Row],[ETA
As requested
dd.mm.yyyy]])</f>
        <v>35</v>
      </c>
      <c r="M1074" s="36">
        <f>YEAR(Table1[[#This Row],[ETA
As requested
dd.mm.yyyy]])</f>
        <v>2024</v>
      </c>
      <c r="N1074" s="36">
        <f>IFERROR(INDEX(DATABASE_FG!$H$5:$H$367, MATCH(E1074, DATABASE_FG!$C$5:$C$367, 0)), " ")</f>
        <v>0</v>
      </c>
      <c r="O1074" s="129" t="str">
        <f>IF(E1074&lt;&gt;"", _xlfn.XLOOKUP(E1074, DATABASE_FG!C:C, DATABASE_FG!F:F), " ")</f>
        <v>Bolts and washers</v>
      </c>
      <c r="P1074" s="129">
        <f>IFERROR(INDEX(DATABASE_FG!$G$5:$G$367, MATCH(E1074, DATABASE_FG!$C$5:$C$367, 0)), "Not Found")</f>
        <v>0</v>
      </c>
      <c r="Q1074" s="36"/>
      <c r="R1074" s="125"/>
      <c r="S1074" s="123">
        <f>Table1[[#This Row],[Quantity]]/48</f>
        <v>0.41666666666666669</v>
      </c>
      <c r="T1074" s="36" t="s">
        <v>677</v>
      </c>
      <c r="U1074" s="36"/>
      <c r="V1074" s="36"/>
      <c r="W1074" s="129"/>
      <c r="X1074" s="36"/>
      <c r="Y1074" s="36"/>
      <c r="Z1074" s="36"/>
      <c r="AA1074" s="125" t="s">
        <v>121</v>
      </c>
      <c r="AB1074" s="173">
        <v>45622</v>
      </c>
      <c r="AC1074" s="119">
        <v>202401500</v>
      </c>
      <c r="AD1074" s="36">
        <f t="shared" si="120"/>
        <v>37347702</v>
      </c>
      <c r="AE1074" s="36" t="str">
        <f t="shared" si="121"/>
        <v>F-688038.02-0911.BZ.WE</v>
      </c>
      <c r="AF1074" s="36">
        <v>20</v>
      </c>
      <c r="AG1074" s="120">
        <f t="shared" si="123"/>
        <v>225.79999999999998</v>
      </c>
      <c r="AH1074" s="36"/>
      <c r="AI1074" s="124" t="s">
        <v>2160</v>
      </c>
      <c r="AJ1074" s="122" t="s">
        <v>2161</v>
      </c>
      <c r="AK1074" s="129" t="str">
        <f t="shared" ca="1" si="122"/>
        <v>Late</v>
      </c>
      <c r="AL1074" s="268" t="str">
        <f t="shared" si="124"/>
        <v>August</v>
      </c>
      <c r="AM1074" s="133">
        <f>YEAR(Table1[[#This Row],[ETA
As requested
dd.mm.yyyy]])</f>
        <v>2024</v>
      </c>
    </row>
    <row r="1075" spans="1:40" hidden="1">
      <c r="A1075" s="123" t="s">
        <v>82</v>
      </c>
      <c r="B1075" s="36" t="s">
        <v>1170</v>
      </c>
      <c r="C1075" s="117">
        <v>37347702</v>
      </c>
      <c r="D1075" s="165">
        <v>45474</v>
      </c>
      <c r="E1075" s="117" t="s">
        <v>500</v>
      </c>
      <c r="F1075" s="36">
        <f>IFERROR(VLOOKUP(Table1[[#This Row],[Part Number]],DATABASE_FG!$C$6:D11064,2,FALSE)," ")</f>
        <v>0</v>
      </c>
      <c r="G1075" s="117">
        <f>IFERROR(_xlfn.XLOOKUP(Table1[[#This Row],[Part Number]],Table3[Part number],Table3[Drawing
 Revision]),"")</f>
        <v>0</v>
      </c>
      <c r="H1075" s="118" cm="1">
        <f t="array" ref="H1075">IFERROR(INDEX(PDB!$C:$AT,MATCH(E1075,PDB!$B:$B,0),MATCH(YEAR(K1075),0+PDB!$C$1:$AT$1,0)),"")</f>
        <v>11.29</v>
      </c>
      <c r="I1075" s="36">
        <v>5</v>
      </c>
      <c r="J1075" s="125">
        <f>IFERROR(Table1[[#This Row],[Quantity]]*Table1[[#This Row],[Price/Unit
EUR]]," ")</f>
        <v>56.449999999999996</v>
      </c>
      <c r="K1075" s="126">
        <v>45534</v>
      </c>
      <c r="L1075" s="36">
        <f>WEEKNUM(Table1[[#This Row],[ETA
As requested
dd.mm.yyyy]])</f>
        <v>35</v>
      </c>
      <c r="M1075" s="36">
        <f>YEAR(Table1[[#This Row],[ETA
As requested
dd.mm.yyyy]])</f>
        <v>2024</v>
      </c>
      <c r="N1075" s="36">
        <f>IFERROR(INDEX(DATABASE_FG!$H$5:$H$367, MATCH(E1075, DATABASE_FG!$C$5:$C$367, 0)), " ")</f>
        <v>0</v>
      </c>
      <c r="O1075" s="129" t="str">
        <f>IF(E1075&lt;&gt;"", _xlfn.XLOOKUP(E1075, DATABASE_FG!C:C, DATABASE_FG!F:F), " ")</f>
        <v>Bolts and washers</v>
      </c>
      <c r="P1075" s="129">
        <f>IFERROR(INDEX(DATABASE_FG!$G$5:$G$367, MATCH(E1075, DATABASE_FG!$C$5:$C$367, 0)), "Not Found")</f>
        <v>0</v>
      </c>
      <c r="Q1075" s="36"/>
      <c r="R1075" s="125"/>
      <c r="S1075" s="123">
        <f>Table1[[#This Row],[Quantity]]/48</f>
        <v>0.10416666666666667</v>
      </c>
      <c r="T1075" s="36"/>
      <c r="U1075" s="36"/>
      <c r="V1075" s="36"/>
      <c r="W1075" s="129"/>
      <c r="X1075" s="36"/>
      <c r="Y1075" s="36"/>
      <c r="Z1075" s="36"/>
      <c r="AA1075" s="125" t="s">
        <v>121</v>
      </c>
      <c r="AB1075" s="173">
        <v>45632</v>
      </c>
      <c r="AC1075" s="119">
        <v>202401516</v>
      </c>
      <c r="AD1075" s="36">
        <f t="shared" ref="AD1075:AD1143" si="125">IF(NOT(ISBLANK(AC1075)), C1075, "")</f>
        <v>37347702</v>
      </c>
      <c r="AE1075" s="36" t="str">
        <f t="shared" ref="AE1075:AE1143" si="126">IF(NOT(ISBLANK(AC1075)), E1075, "")</f>
        <v>F-688038.02-0911.BZ.WE</v>
      </c>
      <c r="AF1075" s="36">
        <v>5</v>
      </c>
      <c r="AG1075" s="120">
        <f t="shared" si="123"/>
        <v>56.449999999999996</v>
      </c>
      <c r="AH1075" s="36"/>
      <c r="AI1075" s="124" t="s">
        <v>2176</v>
      </c>
      <c r="AJ1075" s="122" t="s">
        <v>2175</v>
      </c>
      <c r="AK1075" s="129" t="str">
        <f t="shared" ca="1" si="122"/>
        <v>Late</v>
      </c>
      <c r="AL1075" s="268" t="str">
        <f t="shared" si="124"/>
        <v>August</v>
      </c>
      <c r="AM1075" s="133">
        <f>YEAR(Table1[[#This Row],[ETA
As requested
dd.mm.yyyy]])</f>
        <v>2024</v>
      </c>
      <c r="AN1075" s="76"/>
    </row>
    <row r="1076" spans="1:40" hidden="1">
      <c r="A1076" s="123" t="s">
        <v>82</v>
      </c>
      <c r="B1076" s="36" t="s">
        <v>1170</v>
      </c>
      <c r="C1076" s="117">
        <v>37347702</v>
      </c>
      <c r="D1076" s="165">
        <v>45474</v>
      </c>
      <c r="E1076" s="117" t="s">
        <v>500</v>
      </c>
      <c r="F1076" s="36">
        <f>IFERROR(VLOOKUP(Table1[[#This Row],[Part Number]],DATABASE_FG!$C$6:D11065,2,FALSE)," ")</f>
        <v>0</v>
      </c>
      <c r="G1076" s="117">
        <f>IFERROR(_xlfn.XLOOKUP(Table1[[#This Row],[Part Number]],Table3[Part number],Table3[Drawing
 Revision]),"")</f>
        <v>0</v>
      </c>
      <c r="H1076" s="118" cm="1">
        <f t="array" ref="H1076">IFERROR(INDEX(PDB!$C:$AT,MATCH(E1076,PDB!$B:$B,0),MATCH(YEAR(K1076),0+PDB!$C$1:$AT$1,0)),"")</f>
        <v>11.29</v>
      </c>
      <c r="I1076" s="36">
        <v>106</v>
      </c>
      <c r="J1076" s="125">
        <f>IFERROR(Table1[[#This Row],[Quantity]]*Table1[[#This Row],[Price/Unit
EUR]]," ")</f>
        <v>1196.74</v>
      </c>
      <c r="K1076" s="126">
        <v>45534</v>
      </c>
      <c r="L1076" s="36">
        <f>WEEKNUM(Table1[[#This Row],[ETA
As requested
dd.mm.yyyy]])</f>
        <v>35</v>
      </c>
      <c r="M1076" s="36">
        <f>YEAR(Table1[[#This Row],[ETA
As requested
dd.mm.yyyy]])</f>
        <v>2024</v>
      </c>
      <c r="N1076" s="36">
        <f>IFERROR(INDEX(DATABASE_FG!$H$5:$H$367, MATCH(E1076, DATABASE_FG!$C$5:$C$367, 0)), " ")</f>
        <v>0</v>
      </c>
      <c r="O1076" s="129" t="str">
        <f>IF(E1076&lt;&gt;"", _xlfn.XLOOKUP(E1076, DATABASE_FG!C:C, DATABASE_FG!F:F), " ")</f>
        <v>Bolts and washers</v>
      </c>
      <c r="P1076" s="129">
        <f>IFERROR(INDEX(DATABASE_FG!$G$5:$G$367, MATCH(E1076, DATABASE_FG!$C$5:$C$367, 0)), "Not Found")</f>
        <v>0</v>
      </c>
      <c r="Q1076" s="36"/>
      <c r="R1076" s="125"/>
      <c r="S1076" s="123">
        <f>Table1[[#This Row],[Quantity]]/48</f>
        <v>2.2083333333333335</v>
      </c>
      <c r="T1076" s="36" t="s">
        <v>677</v>
      </c>
      <c r="U1076" s="36"/>
      <c r="V1076" s="36"/>
      <c r="W1076" s="129"/>
      <c r="X1076" s="36"/>
      <c r="Y1076" s="36"/>
      <c r="Z1076" s="36"/>
      <c r="AA1076" s="125" t="s">
        <v>121</v>
      </c>
      <c r="AB1076" s="173">
        <v>45644</v>
      </c>
      <c r="AC1076" s="119">
        <v>202401577</v>
      </c>
      <c r="AD1076" s="36">
        <f t="shared" si="125"/>
        <v>37347702</v>
      </c>
      <c r="AE1076" s="36" t="str">
        <f t="shared" si="126"/>
        <v>F-688038.02-0911.BZ.WE</v>
      </c>
      <c r="AF1076" s="36">
        <v>106</v>
      </c>
      <c r="AG1076" s="120">
        <f t="shared" si="123"/>
        <v>1196.74</v>
      </c>
      <c r="AH1076" s="36"/>
      <c r="AI1076" s="124" t="s">
        <v>2192</v>
      </c>
      <c r="AJ1076" s="122" t="s">
        <v>2193</v>
      </c>
      <c r="AK1076" s="129" t="str">
        <f t="shared" ca="1" si="122"/>
        <v>Late</v>
      </c>
      <c r="AL1076" s="268" t="str">
        <f t="shared" si="124"/>
        <v>August</v>
      </c>
      <c r="AM1076" s="133">
        <f>YEAR(Table1[[#This Row],[ETA
As requested
dd.mm.yyyy]])</f>
        <v>2024</v>
      </c>
    </row>
    <row r="1077" spans="1:40" hidden="1">
      <c r="A1077" s="123" t="s">
        <v>82</v>
      </c>
      <c r="B1077" s="36" t="s">
        <v>1170</v>
      </c>
      <c r="C1077" s="117">
        <v>37347702</v>
      </c>
      <c r="D1077" s="165">
        <v>45474</v>
      </c>
      <c r="E1077" s="117" t="s">
        <v>500</v>
      </c>
      <c r="F1077" s="36">
        <f>IFERROR(VLOOKUP(Table1[[#This Row],[Part Number]],DATABASE_FG!$C$6:D11066,2,FALSE)," ")</f>
        <v>0</v>
      </c>
      <c r="G1077" s="117">
        <f>IFERROR(_xlfn.XLOOKUP(Table1[[#This Row],[Part Number]],Table3[Part number],Table3[Drawing
 Revision]),"")</f>
        <v>0</v>
      </c>
      <c r="H1077" s="118" cm="1">
        <f t="array" ref="H1077">IFERROR(INDEX(PDB!$C:$AT,MATCH(E1077,PDB!$B:$B,0),MATCH(YEAR(K1077),0+PDB!$C$1:$AT$1,0)),"")</f>
        <v>11.29</v>
      </c>
      <c r="I1077" s="36">
        <v>37</v>
      </c>
      <c r="J1077" s="125">
        <f>IFERROR(Table1[[#This Row],[Quantity]]*Table1[[#This Row],[Price/Unit
EUR]]," ")</f>
        <v>417.72999999999996</v>
      </c>
      <c r="K1077" s="126">
        <v>45534</v>
      </c>
      <c r="L1077" s="36">
        <f>WEEKNUM(Table1[[#This Row],[ETA
As requested
dd.mm.yyyy]])</f>
        <v>35</v>
      </c>
      <c r="M1077" s="36">
        <f>YEAR(Table1[[#This Row],[ETA
As requested
dd.mm.yyyy]])</f>
        <v>2024</v>
      </c>
      <c r="N1077" s="36">
        <f>IFERROR(INDEX(DATABASE_FG!$H$5:$H$367, MATCH(E1077, DATABASE_FG!$C$5:$C$367, 0)), " ")</f>
        <v>0</v>
      </c>
      <c r="O1077" s="129" t="str">
        <f>IF(E1077&lt;&gt;"", _xlfn.XLOOKUP(E1077, DATABASE_FG!C:C, DATABASE_FG!F:F), " ")</f>
        <v>Bolts and washers</v>
      </c>
      <c r="P1077" s="129">
        <f>IFERROR(INDEX(DATABASE_FG!$G$5:$G$367, MATCH(E1077, DATABASE_FG!$C$5:$C$367, 0)), "Not Found")</f>
        <v>0</v>
      </c>
      <c r="Q1077" s="36"/>
      <c r="R1077" s="125"/>
      <c r="S1077" s="123">
        <f>Table1[[#This Row],[Quantity]]/48</f>
        <v>0.77083333333333337</v>
      </c>
      <c r="T1077" s="36" t="s">
        <v>677</v>
      </c>
      <c r="U1077" s="36"/>
      <c r="V1077" s="36"/>
      <c r="W1077" s="129"/>
      <c r="X1077" s="36"/>
      <c r="Y1077" s="36"/>
      <c r="Z1077" s="36"/>
      <c r="AA1077" s="125" t="s">
        <v>121</v>
      </c>
      <c r="AB1077" s="173">
        <v>45660</v>
      </c>
      <c r="AC1077" s="119" t="s">
        <v>2200</v>
      </c>
      <c r="AD1077" s="36">
        <f t="shared" si="125"/>
        <v>37347702</v>
      </c>
      <c r="AE1077" s="36" t="str">
        <f t="shared" si="126"/>
        <v>F-688038.02-0911.BZ.WE</v>
      </c>
      <c r="AF1077" s="36">
        <v>37</v>
      </c>
      <c r="AG1077" s="120">
        <f t="shared" si="123"/>
        <v>417.72999999999996</v>
      </c>
      <c r="AH1077" s="36"/>
      <c r="AI1077" s="124" t="s">
        <v>2201</v>
      </c>
      <c r="AJ1077" s="122" t="s">
        <v>2202</v>
      </c>
      <c r="AK1077" s="129" t="str">
        <f t="shared" ca="1" si="122"/>
        <v>Late</v>
      </c>
      <c r="AL1077" s="268" t="str">
        <f t="shared" si="124"/>
        <v>August</v>
      </c>
      <c r="AM1077" s="133">
        <f>YEAR(Table1[[#This Row],[ETA
As requested
dd.mm.yyyy]])</f>
        <v>2024</v>
      </c>
    </row>
    <row r="1078" spans="1:40" hidden="1">
      <c r="A1078" s="123" t="s">
        <v>82</v>
      </c>
      <c r="B1078" s="36" t="s">
        <v>1170</v>
      </c>
      <c r="C1078" s="117">
        <v>37347702</v>
      </c>
      <c r="D1078" s="165">
        <v>45474</v>
      </c>
      <c r="E1078" s="117" t="s">
        <v>500</v>
      </c>
      <c r="F1078" s="36">
        <f>IFERROR(VLOOKUP(Table1[[#This Row],[Part Number]],DATABASE_FG!$C$6:D11067,2,FALSE)," ")</f>
        <v>0</v>
      </c>
      <c r="G1078" s="117">
        <f>IFERROR(_xlfn.XLOOKUP(Table1[[#This Row],[Part Number]],Table3[Part number],Table3[Drawing
 Revision]),"")</f>
        <v>0</v>
      </c>
      <c r="H1078" s="118" cm="1">
        <f t="array" ref="H1078">IFERROR(INDEX(PDB!$C:$AT,MATCH(E1078,PDB!$B:$B,0),MATCH(YEAR(K1078),0+PDB!$C$1:$AT$1,0)),"")</f>
        <v>11.29</v>
      </c>
      <c r="I1078" s="36">
        <v>13</v>
      </c>
      <c r="J1078" s="125">
        <f>IFERROR(Table1[[#This Row],[Quantity]]*Table1[[#This Row],[Price/Unit
EUR]]," ")</f>
        <v>146.76999999999998</v>
      </c>
      <c r="K1078" s="126">
        <v>45534</v>
      </c>
      <c r="L1078" s="36">
        <f>WEEKNUM(Table1[[#This Row],[ETA
As requested
dd.mm.yyyy]])</f>
        <v>35</v>
      </c>
      <c r="M1078" s="36">
        <f>YEAR(Table1[[#This Row],[ETA
As requested
dd.mm.yyyy]])</f>
        <v>2024</v>
      </c>
      <c r="N1078" s="36">
        <f>IFERROR(INDEX(DATABASE_FG!$H$5:$H$367, MATCH(E1078, DATABASE_FG!$C$5:$C$367, 0)), " ")</f>
        <v>0</v>
      </c>
      <c r="O1078" s="129" t="str">
        <f>IF(E1078&lt;&gt;"", _xlfn.XLOOKUP(E1078, DATABASE_FG!C:C, DATABASE_FG!F:F), " ")</f>
        <v>Bolts and washers</v>
      </c>
      <c r="P1078" s="129">
        <f>IFERROR(INDEX(DATABASE_FG!$G$5:$G$367, MATCH(E1078, DATABASE_FG!$C$5:$C$367, 0)), "Not Found")</f>
        <v>0</v>
      </c>
      <c r="Q1078" s="36"/>
      <c r="R1078" s="125"/>
      <c r="S1078" s="123">
        <f>Table1[[#This Row],[Quantity]]/48</f>
        <v>0.27083333333333331</v>
      </c>
      <c r="T1078" s="36" t="s">
        <v>677</v>
      </c>
      <c r="U1078" s="36"/>
      <c r="V1078" s="36"/>
      <c r="W1078" s="129"/>
      <c r="X1078" s="36"/>
      <c r="Y1078" s="36"/>
      <c r="Z1078" s="36"/>
      <c r="AA1078" s="125" t="s">
        <v>121</v>
      </c>
      <c r="AB1078" s="173">
        <v>45675</v>
      </c>
      <c r="AC1078" s="119" t="s">
        <v>2206</v>
      </c>
      <c r="AD1078" s="36">
        <f t="shared" si="125"/>
        <v>37347702</v>
      </c>
      <c r="AE1078" s="36" t="str">
        <f t="shared" si="126"/>
        <v>F-688038.02-0911.BZ.WE</v>
      </c>
      <c r="AF1078" s="36">
        <v>13</v>
      </c>
      <c r="AG1078" s="120">
        <f t="shared" si="123"/>
        <v>146.76999999999998</v>
      </c>
      <c r="AH1078" s="36"/>
      <c r="AI1078" s="124" t="s">
        <v>2207</v>
      </c>
      <c r="AJ1078" s="122" t="s">
        <v>2208</v>
      </c>
      <c r="AK1078" s="129" t="str">
        <f t="shared" ca="1" si="122"/>
        <v>Late</v>
      </c>
      <c r="AL1078" s="268" t="str">
        <f t="shared" si="124"/>
        <v>August</v>
      </c>
      <c r="AM1078" s="133">
        <f>YEAR(Table1[[#This Row],[ETA
As requested
dd.mm.yyyy]])</f>
        <v>2024</v>
      </c>
    </row>
    <row r="1079" spans="1:40" hidden="1">
      <c r="A1079" s="123" t="s">
        <v>82</v>
      </c>
      <c r="B1079" s="36" t="s">
        <v>1170</v>
      </c>
      <c r="C1079" s="117">
        <v>37347702</v>
      </c>
      <c r="D1079" s="165">
        <v>45474</v>
      </c>
      <c r="E1079" s="117" t="s">
        <v>500</v>
      </c>
      <c r="F1079" s="36">
        <f>IFERROR(VLOOKUP(Table1[[#This Row],[Part Number]],DATABASE_FG!$C$6:D11068,2,FALSE)," ")</f>
        <v>0</v>
      </c>
      <c r="G1079" s="117">
        <f>IFERROR(_xlfn.XLOOKUP(Table1[[#This Row],[Part Number]],Table3[Part number],Table3[Drawing
 Revision]),"")</f>
        <v>0</v>
      </c>
      <c r="H1079" s="118" cm="1">
        <f t="array" ref="H1079">IFERROR(INDEX(PDB!$C:$AT,MATCH(E1079,PDB!$B:$B,0),MATCH(YEAR(K1079),0+PDB!$C$1:$AT$1,0)),"")</f>
        <v>11.29</v>
      </c>
      <c r="I1079" s="36">
        <v>142</v>
      </c>
      <c r="J1079" s="125">
        <f>IFERROR(Table1[[#This Row],[Quantity]]*Table1[[#This Row],[Price/Unit
EUR]]," ")</f>
        <v>1603.1799999999998</v>
      </c>
      <c r="K1079" s="126">
        <v>45534</v>
      </c>
      <c r="L1079" s="36">
        <f>WEEKNUM(Table1[[#This Row],[ETA
As requested
dd.mm.yyyy]])</f>
        <v>35</v>
      </c>
      <c r="M1079" s="36">
        <f>YEAR(Table1[[#This Row],[ETA
As requested
dd.mm.yyyy]])</f>
        <v>2024</v>
      </c>
      <c r="N1079" s="36">
        <f>IFERROR(INDEX(DATABASE_FG!$H$5:$H$367, MATCH(E1079, DATABASE_FG!$C$5:$C$367, 0)), " ")</f>
        <v>0</v>
      </c>
      <c r="O1079" s="129" t="str">
        <f>IF(E1079&lt;&gt;"", _xlfn.XLOOKUP(E1079, DATABASE_FG!C:C, DATABASE_FG!F:F), " ")</f>
        <v>Bolts and washers</v>
      </c>
      <c r="P1079" s="129">
        <f>IFERROR(INDEX(DATABASE_FG!$G$5:$G$367, MATCH(E1079, DATABASE_FG!$C$5:$C$367, 0)), "Not Found")</f>
        <v>0</v>
      </c>
      <c r="Q1079" s="36"/>
      <c r="R1079" s="125"/>
      <c r="S1079" s="123">
        <f>Table1[[#This Row],[Quantity]]/48</f>
        <v>2.9583333333333335</v>
      </c>
      <c r="T1079" s="36" t="s">
        <v>677</v>
      </c>
      <c r="U1079" s="36"/>
      <c r="V1079" s="36"/>
      <c r="W1079" s="129"/>
      <c r="X1079" s="36"/>
      <c r="Y1079" s="36"/>
      <c r="Z1079" s="36"/>
      <c r="AA1079" s="125" t="s">
        <v>121</v>
      </c>
      <c r="AB1079" s="173">
        <v>45689</v>
      </c>
      <c r="AC1079" s="119" t="s">
        <v>2222</v>
      </c>
      <c r="AD1079" s="36">
        <f t="shared" si="125"/>
        <v>37347702</v>
      </c>
      <c r="AE1079" s="36" t="str">
        <f t="shared" si="126"/>
        <v>F-688038.02-0911.BZ.WE</v>
      </c>
      <c r="AF1079" s="36">
        <v>142</v>
      </c>
      <c r="AG1079" s="120">
        <f t="shared" si="123"/>
        <v>1603.1799999999998</v>
      </c>
      <c r="AH1079" s="36"/>
      <c r="AI1079" s="124" t="s">
        <v>2223</v>
      </c>
      <c r="AJ1079" s="122" t="s">
        <v>2224</v>
      </c>
      <c r="AK1079" s="129" t="str">
        <f t="shared" ca="1" si="122"/>
        <v>Late</v>
      </c>
      <c r="AL1079" s="268" t="str">
        <f t="shared" si="124"/>
        <v>August</v>
      </c>
      <c r="AM1079" s="133">
        <f>YEAR(Table1[[#This Row],[ETA
As requested
dd.mm.yyyy]])</f>
        <v>2024</v>
      </c>
    </row>
    <row r="1080" spans="1:40" hidden="1">
      <c r="A1080" s="123" t="s">
        <v>82</v>
      </c>
      <c r="B1080" s="36" t="s">
        <v>1170</v>
      </c>
      <c r="C1080" s="117">
        <v>37347702</v>
      </c>
      <c r="D1080" s="165">
        <v>45474</v>
      </c>
      <c r="E1080" s="117" t="s">
        <v>500</v>
      </c>
      <c r="F1080" s="36">
        <f>IFERROR(VLOOKUP(Table1[[#This Row],[Part Number]],DATABASE_FG!$C$6:D11069,2,FALSE)," ")</f>
        <v>0</v>
      </c>
      <c r="G1080" s="117">
        <f>IFERROR(_xlfn.XLOOKUP(Table1[[#This Row],[Part Number]],Table3[Part number],Table3[Drawing
 Revision]),"")</f>
        <v>0</v>
      </c>
      <c r="H1080" s="118" cm="1">
        <f t="array" ref="H1080">IFERROR(INDEX(PDB!$C:$AT,MATCH(E1080,PDB!$B:$B,0),MATCH(YEAR(K1080),0+PDB!$C$1:$AT$1,0)),"")</f>
        <v>11.29</v>
      </c>
      <c r="I1080" s="36">
        <v>15</v>
      </c>
      <c r="J1080" s="125">
        <f>IFERROR(Table1[[#This Row],[Quantity]]*Table1[[#This Row],[Price/Unit
EUR]]," ")</f>
        <v>169.35</v>
      </c>
      <c r="K1080" s="126">
        <v>45534</v>
      </c>
      <c r="L1080" s="36">
        <f>WEEKNUM(Table1[[#This Row],[ETA
As requested
dd.mm.yyyy]])</f>
        <v>35</v>
      </c>
      <c r="M1080" s="36">
        <f>YEAR(Table1[[#This Row],[ETA
As requested
dd.mm.yyyy]])</f>
        <v>2024</v>
      </c>
      <c r="N1080" s="36">
        <f>IFERROR(INDEX(DATABASE_FG!$H$5:$H$367, MATCH(E1080, DATABASE_FG!$C$5:$C$367, 0)), " ")</f>
        <v>0</v>
      </c>
      <c r="O1080" s="129" t="str">
        <f>IF(E1080&lt;&gt;"", _xlfn.XLOOKUP(E1080, DATABASE_FG!C:C, DATABASE_FG!F:F), " ")</f>
        <v>Bolts and washers</v>
      </c>
      <c r="P1080" s="129">
        <f>IFERROR(INDEX(DATABASE_FG!$G$5:$G$367, MATCH(E1080, DATABASE_FG!$C$5:$C$367, 0)), "Not Found")</f>
        <v>0</v>
      </c>
      <c r="Q1080" s="36"/>
      <c r="R1080" s="125"/>
      <c r="S1080" s="123">
        <f>Table1[[#This Row],[Quantity]]/48</f>
        <v>0.3125</v>
      </c>
      <c r="T1080" s="36" t="s">
        <v>677</v>
      </c>
      <c r="U1080" s="36"/>
      <c r="V1080" s="36"/>
      <c r="W1080" s="129"/>
      <c r="X1080" s="36"/>
      <c r="Y1080" s="36"/>
      <c r="Z1080" s="36"/>
      <c r="AA1080" s="125" t="s">
        <v>121</v>
      </c>
      <c r="AB1080" s="173">
        <v>45695</v>
      </c>
      <c r="AC1080" s="119" t="s">
        <v>2231</v>
      </c>
      <c r="AD1080" s="36">
        <f t="shared" si="125"/>
        <v>37347702</v>
      </c>
      <c r="AE1080" s="36" t="str">
        <f t="shared" si="126"/>
        <v>F-688038.02-0911.BZ.WE</v>
      </c>
      <c r="AF1080" s="36">
        <v>15</v>
      </c>
      <c r="AG1080" s="120">
        <f t="shared" si="123"/>
        <v>169.35</v>
      </c>
      <c r="AH1080" s="36"/>
      <c r="AI1080" s="124" t="s">
        <v>2232</v>
      </c>
      <c r="AJ1080" s="122" t="s">
        <v>2233</v>
      </c>
      <c r="AK1080" s="129" t="str">
        <f t="shared" ca="1" si="122"/>
        <v>Late</v>
      </c>
      <c r="AL1080" s="268" t="str">
        <f t="shared" si="124"/>
        <v>August</v>
      </c>
      <c r="AM1080" s="133">
        <f>YEAR(Table1[[#This Row],[ETA
As requested
dd.mm.yyyy]])</f>
        <v>2024</v>
      </c>
    </row>
    <row r="1081" spans="1:40" hidden="1">
      <c r="A1081" s="123" t="s">
        <v>82</v>
      </c>
      <c r="B1081" s="36" t="s">
        <v>1170</v>
      </c>
      <c r="C1081" s="117">
        <v>37347702</v>
      </c>
      <c r="D1081" s="165">
        <v>45474</v>
      </c>
      <c r="E1081" s="117" t="s">
        <v>500</v>
      </c>
      <c r="F1081" s="36">
        <f>IFERROR(VLOOKUP(Table1[[#This Row],[Part Number]],DATABASE_FG!$C$6:D11070,2,FALSE)," ")</f>
        <v>0</v>
      </c>
      <c r="G1081" s="117">
        <f>IFERROR(_xlfn.XLOOKUP(Table1[[#This Row],[Part Number]],Table3[Part number],Table3[Drawing
 Revision]),"")</f>
        <v>0</v>
      </c>
      <c r="H1081" s="118" cm="1">
        <f t="array" ref="H1081">IFERROR(INDEX(PDB!$C:$AT,MATCH(E1081,PDB!$B:$B,0),MATCH(YEAR(K1081),0+PDB!$C$1:$AT$1,0)),"")</f>
        <v>11.29</v>
      </c>
      <c r="I1081" s="36">
        <v>58</v>
      </c>
      <c r="J1081" s="125">
        <f>IFERROR(Table1[[#This Row],[Quantity]]*Table1[[#This Row],[Price/Unit
EUR]]," ")</f>
        <v>654.81999999999994</v>
      </c>
      <c r="K1081" s="126">
        <v>45534</v>
      </c>
      <c r="L1081" s="36">
        <f>WEEKNUM(Table1[[#This Row],[ETA
As requested
dd.mm.yyyy]])</f>
        <v>35</v>
      </c>
      <c r="M1081" s="36">
        <f>YEAR(Table1[[#This Row],[ETA
As requested
dd.mm.yyyy]])</f>
        <v>2024</v>
      </c>
      <c r="N1081" s="36">
        <f>IFERROR(INDEX(DATABASE_FG!$H$5:$H$367, MATCH(E1081, DATABASE_FG!$C$5:$C$367, 0)), " ")</f>
        <v>0</v>
      </c>
      <c r="O1081" s="129" t="str">
        <f>IF(E1081&lt;&gt;"", _xlfn.XLOOKUP(E1081, DATABASE_FG!C:C, DATABASE_FG!F:F), " ")</f>
        <v>Bolts and washers</v>
      </c>
      <c r="P1081" s="129">
        <f>IFERROR(INDEX(DATABASE_FG!$G$5:$G$367, MATCH(E1081, DATABASE_FG!$C$5:$C$367, 0)), "Not Found")</f>
        <v>0</v>
      </c>
      <c r="Q1081" s="36"/>
      <c r="R1081" s="125"/>
      <c r="S1081" s="123">
        <f>Table1[[#This Row],[Quantity]]/48</f>
        <v>1.2083333333333333</v>
      </c>
      <c r="T1081" s="36" t="s">
        <v>677</v>
      </c>
      <c r="U1081" s="36"/>
      <c r="V1081" s="36"/>
      <c r="W1081" s="129"/>
      <c r="X1081" s="36"/>
      <c r="Y1081" s="36" t="s">
        <v>677</v>
      </c>
      <c r="Z1081" s="36"/>
      <c r="AA1081" s="125" t="s">
        <v>121</v>
      </c>
      <c r="AB1081" s="173">
        <v>45735</v>
      </c>
      <c r="AC1081" s="119">
        <v>25410</v>
      </c>
      <c r="AD1081" s="36">
        <f t="shared" si="125"/>
        <v>37347702</v>
      </c>
      <c r="AE1081" s="36" t="str">
        <f t="shared" si="126"/>
        <v>F-688038.02-0911.BZ.WE</v>
      </c>
      <c r="AF1081" s="36">
        <v>58</v>
      </c>
      <c r="AG1081" s="120">
        <f t="shared" si="123"/>
        <v>654.81999999999994</v>
      </c>
      <c r="AH1081" s="36"/>
      <c r="AI1081" s="124" t="s">
        <v>2265</v>
      </c>
      <c r="AJ1081" s="122" t="s">
        <v>2266</v>
      </c>
      <c r="AK1081" s="129" t="str">
        <f t="shared" ca="1" si="122"/>
        <v>Late</v>
      </c>
      <c r="AL1081" s="268" t="str">
        <f t="shared" si="124"/>
        <v>August</v>
      </c>
      <c r="AM1081" s="133">
        <f>YEAR(Table1[[#This Row],[ETA
As requested
dd.mm.yyyy]])</f>
        <v>2024</v>
      </c>
    </row>
    <row r="1082" spans="1:40" hidden="1">
      <c r="A1082" s="123" t="s">
        <v>82</v>
      </c>
      <c r="B1082" s="36" t="s">
        <v>1170</v>
      </c>
      <c r="C1082" s="117">
        <v>37347702</v>
      </c>
      <c r="D1082" s="165">
        <v>45474</v>
      </c>
      <c r="E1082" s="117" t="s">
        <v>500</v>
      </c>
      <c r="F1082" s="36">
        <f>IFERROR(VLOOKUP(Table1[[#This Row],[Part Number]],DATABASE_FG!$C$6:D11071,2,FALSE)," ")</f>
        <v>0</v>
      </c>
      <c r="G1082" s="117">
        <f>IFERROR(_xlfn.XLOOKUP(Table1[[#This Row],[Part Number]],Table3[Part number],Table3[Drawing
 Revision]),"")</f>
        <v>0</v>
      </c>
      <c r="H1082" s="118" cm="1">
        <f t="array" ref="H1082">IFERROR(INDEX(PDB!$C:$AT,MATCH(E1082,PDB!$B:$B,0),MATCH(YEAR(K1082),0+PDB!$C$1:$AT$1,0)),"")</f>
        <v>11.29</v>
      </c>
      <c r="I1082" s="36">
        <v>5</v>
      </c>
      <c r="J1082" s="125">
        <f>IFERROR(Table1[[#This Row],[Quantity]]*Table1[[#This Row],[Price/Unit
EUR]]," ")</f>
        <v>56.449999999999996</v>
      </c>
      <c r="K1082" s="126">
        <v>45534</v>
      </c>
      <c r="L1082" s="36">
        <f>WEEKNUM(Table1[[#This Row],[ETA
As requested
dd.mm.yyyy]])</f>
        <v>35</v>
      </c>
      <c r="M1082" s="36">
        <f>YEAR(Table1[[#This Row],[ETA
As requested
dd.mm.yyyy]])</f>
        <v>2024</v>
      </c>
      <c r="N1082" s="36">
        <f>IFERROR(INDEX(DATABASE_FG!$H$5:$H$367, MATCH(E1082, DATABASE_FG!$C$5:$C$367, 0)), " ")</f>
        <v>0</v>
      </c>
      <c r="O1082" s="129" t="str">
        <f>IF(E1082&lt;&gt;"", _xlfn.XLOOKUP(E1082, DATABASE_FG!C:C, DATABASE_FG!F:F), " ")</f>
        <v>Bolts and washers</v>
      </c>
      <c r="P1082" s="129">
        <f>IFERROR(INDEX(DATABASE_FG!$G$5:$G$367, MATCH(E1082, DATABASE_FG!$C$5:$C$367, 0)), "Not Found")</f>
        <v>0</v>
      </c>
      <c r="Q1082" s="36"/>
      <c r="R1082" s="125"/>
      <c r="S1082" s="123">
        <f>Table1[[#This Row],[Quantity]]/48</f>
        <v>0.10416666666666667</v>
      </c>
      <c r="T1082" s="36" t="s">
        <v>677</v>
      </c>
      <c r="U1082" s="36"/>
      <c r="V1082" s="36"/>
      <c r="W1082" s="129"/>
      <c r="X1082" s="36"/>
      <c r="Y1082" s="36" t="s">
        <v>677</v>
      </c>
      <c r="Z1082" s="36"/>
      <c r="AA1082" s="125" t="s">
        <v>121</v>
      </c>
      <c r="AB1082" s="173">
        <v>45737</v>
      </c>
      <c r="AC1082" s="119">
        <v>25437</v>
      </c>
      <c r="AD1082" s="36">
        <f t="shared" si="125"/>
        <v>37347702</v>
      </c>
      <c r="AE1082" s="36" t="str">
        <f t="shared" si="126"/>
        <v>F-688038.02-0911.BZ.WE</v>
      </c>
      <c r="AF1082" s="36">
        <v>5</v>
      </c>
      <c r="AG1082" s="120">
        <f t="shared" si="123"/>
        <v>56.449999999999996</v>
      </c>
      <c r="AH1082" s="36"/>
      <c r="AI1082" s="124" t="s">
        <v>2267</v>
      </c>
      <c r="AJ1082" s="122" t="s">
        <v>2268</v>
      </c>
      <c r="AK1082" s="129" t="str">
        <f t="shared" ca="1" si="122"/>
        <v>Late</v>
      </c>
      <c r="AL1082" s="268" t="str">
        <f t="shared" si="124"/>
        <v>August</v>
      </c>
      <c r="AM1082" s="133">
        <f>YEAR(Table1[[#This Row],[ETA
As requested
dd.mm.yyyy]])</f>
        <v>2024</v>
      </c>
    </row>
    <row r="1083" spans="1:40" hidden="1">
      <c r="A1083" s="123" t="s">
        <v>82</v>
      </c>
      <c r="B1083" s="36" t="s">
        <v>1170</v>
      </c>
      <c r="C1083" s="117">
        <v>37347702</v>
      </c>
      <c r="D1083" s="165">
        <v>45474</v>
      </c>
      <c r="E1083" s="117" t="s">
        <v>500</v>
      </c>
      <c r="F1083" s="36">
        <f>IFERROR(VLOOKUP(Table1[[#This Row],[Part Number]],DATABASE_FG!$C$6:D11072,2,FALSE)," ")</f>
        <v>0</v>
      </c>
      <c r="G1083" s="117">
        <f>IFERROR(_xlfn.XLOOKUP(Table1[[#This Row],[Part Number]],Table3[Part number],Table3[Drawing
 Revision]),"")</f>
        <v>0</v>
      </c>
      <c r="H1083" s="118" cm="1">
        <f t="array" ref="H1083">IFERROR(INDEX(PDB!$C:$AT,MATCH(E1083,PDB!$B:$B,0),MATCH(YEAR(K1083),0+PDB!$C$1:$AT$1,0)),"")</f>
        <v>11.29</v>
      </c>
      <c r="I1083" s="36">
        <v>65</v>
      </c>
      <c r="J1083" s="125">
        <f>IFERROR(Table1[[#This Row],[Quantity]]*Table1[[#This Row],[Price/Unit
EUR]]," ")</f>
        <v>733.84999999999991</v>
      </c>
      <c r="K1083" s="126">
        <v>45534</v>
      </c>
      <c r="L1083" s="36">
        <f>WEEKNUM(Table1[[#This Row],[ETA
As requested
dd.mm.yyyy]])</f>
        <v>35</v>
      </c>
      <c r="M1083" s="36">
        <f>YEAR(Table1[[#This Row],[ETA
As requested
dd.mm.yyyy]])</f>
        <v>2024</v>
      </c>
      <c r="N1083" s="36">
        <f>IFERROR(INDEX(DATABASE_FG!$H$5:$H$367, MATCH(E1083, DATABASE_FG!$C$5:$C$367, 0)), " ")</f>
        <v>0</v>
      </c>
      <c r="O1083" s="129" t="str">
        <f>IF(E1083&lt;&gt;"", _xlfn.XLOOKUP(E1083, DATABASE_FG!C:C, DATABASE_FG!F:F), " ")</f>
        <v>Bolts and washers</v>
      </c>
      <c r="P1083" s="129">
        <f>IFERROR(INDEX(DATABASE_FG!$G$5:$G$367, MATCH(E1083, DATABASE_FG!$C$5:$C$367, 0)), "Not Found")</f>
        <v>0</v>
      </c>
      <c r="Q1083" s="36"/>
      <c r="R1083" s="125"/>
      <c r="S1083" s="123">
        <f>Table1[[#This Row],[Quantity]]/48</f>
        <v>1.3541666666666667</v>
      </c>
      <c r="T1083" s="36" t="s">
        <v>677</v>
      </c>
      <c r="U1083" s="36"/>
      <c r="V1083" s="36"/>
      <c r="W1083" s="129"/>
      <c r="X1083" s="36"/>
      <c r="Y1083" s="36" t="s">
        <v>677</v>
      </c>
      <c r="Z1083" s="36"/>
      <c r="AA1083" s="125" t="s">
        <v>121</v>
      </c>
      <c r="AB1083" s="173">
        <v>45737</v>
      </c>
      <c r="AC1083" s="119">
        <v>25438</v>
      </c>
      <c r="AD1083" s="36">
        <f t="shared" si="125"/>
        <v>37347702</v>
      </c>
      <c r="AE1083" s="36" t="str">
        <f t="shared" si="126"/>
        <v>F-688038.02-0911.BZ.WE</v>
      </c>
      <c r="AF1083" s="36">
        <v>65</v>
      </c>
      <c r="AG1083" s="120">
        <f t="shared" si="123"/>
        <v>733.84999999999991</v>
      </c>
      <c r="AH1083" s="36"/>
      <c r="AI1083" s="124" t="s">
        <v>2269</v>
      </c>
      <c r="AJ1083" s="122" t="s">
        <v>2270</v>
      </c>
      <c r="AK1083" s="129" t="str">
        <f t="shared" ca="1" si="122"/>
        <v>Late</v>
      </c>
      <c r="AL1083" s="268" t="str">
        <f t="shared" si="124"/>
        <v>August</v>
      </c>
      <c r="AM1083" s="133">
        <f>YEAR(Table1[[#This Row],[ETA
As requested
dd.mm.yyyy]])</f>
        <v>2024</v>
      </c>
    </row>
    <row r="1084" spans="1:40" hidden="1">
      <c r="A1084" s="123" t="s">
        <v>82</v>
      </c>
      <c r="B1084" s="36" t="s">
        <v>1170</v>
      </c>
      <c r="C1084" s="117">
        <v>37347702</v>
      </c>
      <c r="D1084" s="165">
        <v>45474</v>
      </c>
      <c r="E1084" s="117" t="s">
        <v>500</v>
      </c>
      <c r="F1084" s="36">
        <f>IFERROR(VLOOKUP(Table1[[#This Row],[Part Number]],DATABASE_FG!$C$6:D11073,2,FALSE)," ")</f>
        <v>0</v>
      </c>
      <c r="G1084" s="117">
        <f>IFERROR(_xlfn.XLOOKUP(Table1[[#This Row],[Part Number]],Table3[Part number],Table3[Drawing
 Revision]),"")</f>
        <v>0</v>
      </c>
      <c r="H1084" s="118" cm="1">
        <f t="array" ref="H1084">IFERROR(INDEX(PDB!$C:$AT,MATCH(E1084,PDB!$B:$B,0),MATCH(YEAR(K1084),0+PDB!$C$1:$AT$1,0)),"")</f>
        <v>11.29</v>
      </c>
      <c r="I1084" s="36">
        <v>85</v>
      </c>
      <c r="J1084" s="125">
        <f>IFERROR(Table1[[#This Row],[Quantity]]*Table1[[#This Row],[Price/Unit
EUR]]," ")</f>
        <v>959.65</v>
      </c>
      <c r="K1084" s="126">
        <v>45534</v>
      </c>
      <c r="L1084" s="36">
        <f>WEEKNUM(Table1[[#This Row],[ETA
As requested
dd.mm.yyyy]])</f>
        <v>35</v>
      </c>
      <c r="M1084" s="36">
        <f>YEAR(Table1[[#This Row],[ETA
As requested
dd.mm.yyyy]])</f>
        <v>2024</v>
      </c>
      <c r="N1084" s="36">
        <f>IFERROR(INDEX(DATABASE_FG!$H$5:$H$367, MATCH(E1084, DATABASE_FG!$C$5:$C$367, 0)), " ")</f>
        <v>0</v>
      </c>
      <c r="O1084" s="129" t="str">
        <f>IF(E1084&lt;&gt;"", _xlfn.XLOOKUP(E1084, DATABASE_FG!C:C, DATABASE_FG!F:F), " ")</f>
        <v>Bolts and washers</v>
      </c>
      <c r="P1084" s="129">
        <f>IFERROR(INDEX(DATABASE_FG!$G$5:$G$367, MATCH(E1084, DATABASE_FG!$C$5:$C$367, 0)), "Not Found")</f>
        <v>0</v>
      </c>
      <c r="Q1084" s="36"/>
      <c r="R1084" s="125"/>
      <c r="S1084" s="123">
        <f>Table1[[#This Row],[Quantity]]/48</f>
        <v>1.7708333333333333</v>
      </c>
      <c r="T1084" s="36" t="s">
        <v>677</v>
      </c>
      <c r="U1084" s="36"/>
      <c r="V1084" s="36"/>
      <c r="W1084" s="129"/>
      <c r="X1084" s="36"/>
      <c r="Y1084" s="36"/>
      <c r="Z1084" s="36"/>
      <c r="AA1084" s="125" t="s">
        <v>121</v>
      </c>
      <c r="AB1084" s="173">
        <v>45749</v>
      </c>
      <c r="AC1084" s="119" t="s">
        <v>2273</v>
      </c>
      <c r="AD1084" s="36">
        <f t="shared" si="125"/>
        <v>37347702</v>
      </c>
      <c r="AE1084" s="36" t="str">
        <f t="shared" si="126"/>
        <v>F-688038.02-0911.BZ.WE</v>
      </c>
      <c r="AF1084" s="36">
        <v>85</v>
      </c>
      <c r="AG1084" s="120">
        <f t="shared" si="123"/>
        <v>959.65</v>
      </c>
      <c r="AH1084" s="36"/>
      <c r="AI1084" s="124" t="s">
        <v>2274</v>
      </c>
      <c r="AJ1084" s="122" t="s">
        <v>2275</v>
      </c>
      <c r="AK1084" s="129" t="str">
        <f t="shared" ca="1" si="122"/>
        <v>Late</v>
      </c>
      <c r="AL1084" s="268" t="str">
        <f t="shared" si="124"/>
        <v>August</v>
      </c>
      <c r="AM1084" s="133">
        <f>YEAR(Table1[[#This Row],[ETA
As requested
dd.mm.yyyy]])</f>
        <v>2024</v>
      </c>
    </row>
    <row r="1085" spans="1:40" hidden="1">
      <c r="A1085" s="123" t="s">
        <v>82</v>
      </c>
      <c r="B1085" s="36" t="s">
        <v>1170</v>
      </c>
      <c r="C1085" s="117">
        <v>37347702</v>
      </c>
      <c r="D1085" s="165">
        <v>45474</v>
      </c>
      <c r="E1085" s="117" t="s">
        <v>500</v>
      </c>
      <c r="F1085" s="36">
        <f>IFERROR(VLOOKUP(Table1[[#This Row],[Part Number]],DATABASE_FG!$C$6:D11074,2,FALSE)," ")</f>
        <v>0</v>
      </c>
      <c r="G1085" s="117">
        <f>IFERROR(_xlfn.XLOOKUP(Table1[[#This Row],[Part Number]],Table3[Part number],Table3[Drawing
 Revision]),"")</f>
        <v>0</v>
      </c>
      <c r="H1085" s="118" cm="1">
        <f t="array" ref="H1085">IFERROR(INDEX(PDB!$C:$AT,MATCH(E1085,PDB!$B:$B,0),MATCH(YEAR(K1085),0+PDB!$C$1:$AT$1,0)),"")</f>
        <v>11.29</v>
      </c>
      <c r="I1085" s="36">
        <f>493-37-13-60-142-15-58-70-85</f>
        <v>13</v>
      </c>
      <c r="J1085" s="125">
        <f>IFERROR(Table1[[#This Row],[Quantity]]*Table1[[#This Row],[Price/Unit
EUR]]," ")</f>
        <v>146.76999999999998</v>
      </c>
      <c r="K1085" s="126">
        <v>45534</v>
      </c>
      <c r="L1085" s="36">
        <f>WEEKNUM(Table1[[#This Row],[ETA
As requested
dd.mm.yyyy]])</f>
        <v>35</v>
      </c>
      <c r="M1085" s="36">
        <f>YEAR(Table1[[#This Row],[ETA
As requested
dd.mm.yyyy]])</f>
        <v>2024</v>
      </c>
      <c r="N1085" s="36">
        <f>IFERROR(INDEX(DATABASE_FG!$H$5:$H$367, MATCH(E1085, DATABASE_FG!$C$5:$C$367, 0)), " ")</f>
        <v>0</v>
      </c>
      <c r="O1085" s="129" t="str">
        <f>IF(E1085&lt;&gt;"", _xlfn.XLOOKUP(E1085, DATABASE_FG!C:C, DATABASE_FG!F:F), " ")</f>
        <v>Bolts and washers</v>
      </c>
      <c r="P1085" s="129">
        <f>IFERROR(INDEX(DATABASE_FG!$G$5:$G$367, MATCH(E1085, DATABASE_FG!$C$5:$C$367, 0)), "Not Found")</f>
        <v>0</v>
      </c>
      <c r="Q1085" s="36"/>
      <c r="R1085" s="125"/>
      <c r="S1085" s="123">
        <f>Table1[[#This Row],[Quantity]]/48</f>
        <v>0.27083333333333331</v>
      </c>
      <c r="T1085" s="36" t="s">
        <v>677</v>
      </c>
      <c r="U1085" s="36"/>
      <c r="V1085" s="36"/>
      <c r="W1085" s="129"/>
      <c r="X1085" s="36"/>
      <c r="Y1085" s="36" t="s">
        <v>677</v>
      </c>
      <c r="Z1085" s="36"/>
      <c r="AA1085" s="125" t="s">
        <v>3</v>
      </c>
      <c r="AB1085" s="173"/>
      <c r="AC1085" s="119"/>
      <c r="AD1085" s="36" t="str">
        <f t="shared" si="125"/>
        <v/>
      </c>
      <c r="AE1085" s="36" t="str">
        <f t="shared" si="126"/>
        <v/>
      </c>
      <c r="AF1085" s="36"/>
      <c r="AG1085" s="120">
        <f t="shared" si="123"/>
        <v>0</v>
      </c>
      <c r="AH1085" s="36"/>
      <c r="AI1085" s="124"/>
      <c r="AJ1085" s="122"/>
      <c r="AK1085" s="129" t="str">
        <f t="shared" ca="1" si="122"/>
        <v>Late</v>
      </c>
      <c r="AL1085" s="268" t="str">
        <f t="shared" si="124"/>
        <v>August</v>
      </c>
      <c r="AM1085" s="133">
        <f>YEAR(Table1[[#This Row],[ETA
As requested
dd.mm.yyyy]])</f>
        <v>2024</v>
      </c>
    </row>
    <row r="1086" spans="1:40" hidden="1">
      <c r="A1086" s="123" t="s">
        <v>82</v>
      </c>
      <c r="B1086" s="36" t="s">
        <v>1170</v>
      </c>
      <c r="C1086" s="117">
        <v>37347702</v>
      </c>
      <c r="D1086" s="165">
        <v>45474</v>
      </c>
      <c r="E1086" s="117" t="s">
        <v>500</v>
      </c>
      <c r="F1086" s="36">
        <f>IFERROR(VLOOKUP(Table1[[#This Row],[Part Number]],DATABASE_FG!$C$6:D11075,2,FALSE)," ")</f>
        <v>0</v>
      </c>
      <c r="G1086" s="117">
        <f>IFERROR(_xlfn.XLOOKUP(Table1[[#This Row],[Part Number]],Table3[Part number],Table3[Drawing
 Revision]),"")</f>
        <v>0</v>
      </c>
      <c r="H1086" s="118" cm="1">
        <f t="array" ref="H1086">IFERROR(INDEX(PDB!$C:$AT,MATCH(E1086,PDB!$B:$B,0),MATCH(YEAR(K1086),0+PDB!$C$1:$AT$1,0)),"")</f>
        <v>11.29</v>
      </c>
      <c r="I1086" s="36">
        <v>60</v>
      </c>
      <c r="J1086" s="125">
        <f>IFERROR(Table1[[#This Row],[Quantity]]*Table1[[#This Row],[Price/Unit
EUR]]," ")</f>
        <v>677.4</v>
      </c>
      <c r="K1086" s="126">
        <v>45535</v>
      </c>
      <c r="L1086" s="36">
        <f>WEEKNUM(Table1[[#This Row],[ETA
As requested
dd.mm.yyyy]])</f>
        <v>35</v>
      </c>
      <c r="M1086" s="36">
        <f>YEAR(Table1[[#This Row],[ETA
As requested
dd.mm.yyyy]])</f>
        <v>2024</v>
      </c>
      <c r="N1086" s="36">
        <f>IFERROR(INDEX(DATABASE_FG!$H$5:$H$367, MATCH(E1086, DATABASE_FG!$C$5:$C$367, 0)), " ")</f>
        <v>0</v>
      </c>
      <c r="O1086" s="129" t="str">
        <f>IF(E1086&lt;&gt;"", _xlfn.XLOOKUP(E1086, DATABASE_FG!C:C, DATABASE_FG!F:F), " ")</f>
        <v>Bolts and washers</v>
      </c>
      <c r="P1086" s="129">
        <f>IFERROR(INDEX(DATABASE_FG!$G$5:$G$367, MATCH(E1086, DATABASE_FG!$C$5:$C$367, 0)), "Not Found")</f>
        <v>0</v>
      </c>
      <c r="Q1086" s="36"/>
      <c r="R1086" s="125"/>
      <c r="S1086" s="123">
        <f>Table1[[#This Row],[Quantity]]/48</f>
        <v>1.25</v>
      </c>
      <c r="T1086" s="36" t="s">
        <v>677</v>
      </c>
      <c r="U1086" s="36"/>
      <c r="V1086" s="36"/>
      <c r="W1086" s="129"/>
      <c r="X1086" s="36"/>
      <c r="Y1086" s="36"/>
      <c r="Z1086" s="36"/>
      <c r="AA1086" s="125" t="s">
        <v>121</v>
      </c>
      <c r="AB1086" s="173">
        <v>45681</v>
      </c>
      <c r="AC1086" s="119">
        <v>25101</v>
      </c>
      <c r="AD1086" s="36">
        <f t="shared" si="125"/>
        <v>37347702</v>
      </c>
      <c r="AE1086" s="36" t="str">
        <f t="shared" si="126"/>
        <v>F-688038.02-0911.BZ.WE</v>
      </c>
      <c r="AF1086" s="36">
        <v>60</v>
      </c>
      <c r="AG1086" s="120">
        <f t="shared" si="123"/>
        <v>677.4</v>
      </c>
      <c r="AH1086" s="36"/>
      <c r="AI1086" s="124" t="s">
        <v>2219</v>
      </c>
      <c r="AJ1086" s="122" t="s">
        <v>2297</v>
      </c>
      <c r="AK1086" s="129" t="str">
        <f t="shared" ca="1" si="122"/>
        <v>Late</v>
      </c>
      <c r="AL1086" s="268" t="str">
        <f t="shared" si="124"/>
        <v>August</v>
      </c>
      <c r="AM1086" s="133">
        <f>YEAR(Table1[[#This Row],[ETA
As requested
dd.mm.yyyy]])</f>
        <v>2024</v>
      </c>
    </row>
    <row r="1087" spans="1:40" ht="15.75" hidden="1">
      <c r="A1087" s="123" t="s">
        <v>82</v>
      </c>
      <c r="B1087" s="36" t="s">
        <v>1170</v>
      </c>
      <c r="C1087" s="117">
        <v>37347702</v>
      </c>
      <c r="D1087" s="165">
        <v>45474</v>
      </c>
      <c r="E1087" s="117" t="s">
        <v>2129</v>
      </c>
      <c r="F1087" s="36">
        <f>IFERROR(VLOOKUP(Table1[[#This Row],[Part Number]],DATABASE_FG!$C$6:D11076,2,FALSE)," ")</f>
        <v>0</v>
      </c>
      <c r="G1087" s="117">
        <f>IFERROR(_xlfn.XLOOKUP(Table1[[#This Row],[Part Number]],Table3[Part number],Table3[Drawing
 Revision]),"")</f>
        <v>0</v>
      </c>
      <c r="H1087" s="118" cm="1">
        <f t="array" ref="H1087">IFERROR(INDEX(PDB!$C:$AT,MATCH(E1087,PDB!$B:$B,0),MATCH(YEAR(K1087),0+PDB!$C$1:$AT$1,0)),"")</f>
        <v>1.77</v>
      </c>
      <c r="I1087" s="36">
        <v>650</v>
      </c>
      <c r="J1087" s="125">
        <f>IFERROR(Table1[[#This Row],[Quantity]]*Table1[[#This Row],[Price/Unit
EUR]]," ")</f>
        <v>1150.5</v>
      </c>
      <c r="K1087" s="126">
        <v>45534</v>
      </c>
      <c r="L1087" s="36">
        <f>WEEKNUM(Table1[[#This Row],[ETA
As requested
dd.mm.yyyy]])</f>
        <v>35</v>
      </c>
      <c r="M1087" s="36">
        <f>YEAR(Table1[[#This Row],[ETA
As requested
dd.mm.yyyy]])</f>
        <v>2024</v>
      </c>
      <c r="N1087" s="36">
        <f>IFERROR(INDEX(DATABASE_FG!$H$5:$H$367, MATCH(E1087, DATABASE_FG!$C$5:$C$367, 0)), " ")</f>
        <v>0</v>
      </c>
      <c r="O1087" s="129" t="str">
        <f>IF(E1087&lt;&gt;"", _xlfn.XLOOKUP(E1087, DATABASE_FG!C:C, DATABASE_FG!F:F), " ")</f>
        <v>Bolts and washers</v>
      </c>
      <c r="P1087" s="129">
        <f>IFERROR(INDEX(DATABASE_FG!$G$5:$G$367, MATCH(E1087, DATABASE_FG!$C$5:$C$367, 0)), "Not Found")</f>
        <v>0</v>
      </c>
      <c r="Q1087" s="36"/>
      <c r="R1087" s="125" t="s">
        <v>680</v>
      </c>
      <c r="S1087" s="123">
        <f>Table1[[#This Row],[Quantity]]/48</f>
        <v>13.541666666666666</v>
      </c>
      <c r="T1087" s="36"/>
      <c r="U1087" s="36"/>
      <c r="V1087" s="36"/>
      <c r="W1087" s="129"/>
      <c r="X1087" s="36"/>
      <c r="Y1087" s="36"/>
      <c r="Z1087" s="36"/>
      <c r="AA1087" s="125" t="s">
        <v>121</v>
      </c>
      <c r="AB1087" s="173">
        <v>45556</v>
      </c>
      <c r="AC1087" s="119">
        <v>20232269</v>
      </c>
      <c r="AD1087" s="36">
        <f t="shared" si="125"/>
        <v>37347702</v>
      </c>
      <c r="AE1087" s="36" t="str">
        <f t="shared" si="126"/>
        <v>F-688038-0711.SHB.WE36</v>
      </c>
      <c r="AF1087" s="36">
        <v>30</v>
      </c>
      <c r="AG1087" s="120">
        <f t="shared" si="123"/>
        <v>53.1</v>
      </c>
      <c r="AH1087" s="36"/>
      <c r="AI1087" s="124" t="s">
        <v>1985</v>
      </c>
      <c r="AJ1087" s="122" t="s">
        <v>2130</v>
      </c>
      <c r="AK1087" s="129" t="str">
        <f t="shared" ca="1" si="122"/>
        <v>Late</v>
      </c>
      <c r="AL1087" s="268" t="str">
        <f t="shared" si="124"/>
        <v>August</v>
      </c>
      <c r="AM1087" s="133">
        <f>YEAR(Table1[[#This Row],[ETA
As requested
dd.mm.yyyy]])</f>
        <v>2024</v>
      </c>
    </row>
    <row r="1088" spans="1:40" ht="15.75" hidden="1">
      <c r="A1088" s="123" t="s">
        <v>82</v>
      </c>
      <c r="B1088" s="36" t="s">
        <v>1170</v>
      </c>
      <c r="C1088" s="117">
        <v>37347702</v>
      </c>
      <c r="D1088" s="165">
        <v>45474</v>
      </c>
      <c r="E1088" s="117" t="s">
        <v>2129</v>
      </c>
      <c r="F1088" s="36">
        <f>IFERROR(VLOOKUP(Table1[[#This Row],[Part Number]],DATABASE_FG!$C$6:D11077,2,FALSE)," ")</f>
        <v>0</v>
      </c>
      <c r="G1088" s="117">
        <f>IFERROR(_xlfn.XLOOKUP(Table1[[#This Row],[Part Number]],Table3[Part number],Table3[Drawing
 Revision]),"")</f>
        <v>0</v>
      </c>
      <c r="H1088" s="118" cm="1">
        <f t="array" ref="H1088">IFERROR(INDEX(PDB!$C:$AT,MATCH(E1088,PDB!$B:$B,0),MATCH(YEAR(K1088),0+PDB!$C$1:$AT$1,0)),"")</f>
        <v>1.77</v>
      </c>
      <c r="I1088" s="36">
        <v>0</v>
      </c>
      <c r="J1088" s="125">
        <f>IFERROR(Table1[[#This Row],[Quantity]]*Table1[[#This Row],[Price/Unit
EUR]]," ")</f>
        <v>0</v>
      </c>
      <c r="K1088" s="126">
        <v>45534</v>
      </c>
      <c r="L1088" s="36">
        <f>WEEKNUM(Table1[[#This Row],[ETA
As requested
dd.mm.yyyy]])</f>
        <v>35</v>
      </c>
      <c r="M1088" s="36">
        <f>YEAR(Table1[[#This Row],[ETA
As requested
dd.mm.yyyy]])</f>
        <v>2024</v>
      </c>
      <c r="N1088" s="36">
        <f>IFERROR(INDEX(DATABASE_FG!$H$5:$H$367, MATCH(E1088, DATABASE_FG!$C$5:$C$367, 0)), " ")</f>
        <v>0</v>
      </c>
      <c r="O1088" s="129" t="str">
        <f>IF(E1088&lt;&gt;"", _xlfn.XLOOKUP(E1088, DATABASE_FG!C:C, DATABASE_FG!F:F), " ")</f>
        <v>Bolts and washers</v>
      </c>
      <c r="P1088" s="129">
        <f>IFERROR(INDEX(DATABASE_FG!$G$5:$G$367, MATCH(E1088, DATABASE_FG!$C$5:$C$367, 0)), "Not Found")</f>
        <v>0</v>
      </c>
      <c r="Q1088" s="36"/>
      <c r="R1088" s="125"/>
      <c r="S1088" s="123">
        <f>Table1[[#This Row],[Quantity]]/48</f>
        <v>0</v>
      </c>
      <c r="T1088" s="36"/>
      <c r="U1088" s="36"/>
      <c r="V1088" s="36"/>
      <c r="W1088" s="129"/>
      <c r="X1088" s="36"/>
      <c r="Y1088" s="36"/>
      <c r="Z1088" s="36"/>
      <c r="AA1088" s="125" t="s">
        <v>121</v>
      </c>
      <c r="AB1088" s="173">
        <v>45556</v>
      </c>
      <c r="AC1088" s="119">
        <v>202401158</v>
      </c>
      <c r="AD1088" s="36">
        <f t="shared" si="125"/>
        <v>37347702</v>
      </c>
      <c r="AE1088" s="36" t="str">
        <f t="shared" si="126"/>
        <v>F-688038-0711.SHB.WE36</v>
      </c>
      <c r="AF1088" s="36">
        <v>620</v>
      </c>
      <c r="AG1088" s="120">
        <f t="shared" si="123"/>
        <v>1097.4000000000001</v>
      </c>
      <c r="AH1088" s="36"/>
      <c r="AI1088" s="124"/>
      <c r="AJ1088" s="122" t="s">
        <v>2130</v>
      </c>
      <c r="AK1088" s="129" t="str">
        <f t="shared" ca="1" si="122"/>
        <v>Late</v>
      </c>
      <c r="AL1088" s="268" t="str">
        <f t="shared" si="124"/>
        <v>August</v>
      </c>
      <c r="AM1088" s="133">
        <f>YEAR(Table1[[#This Row],[ETA
As requested
dd.mm.yyyy]])</f>
        <v>2024</v>
      </c>
    </row>
    <row r="1089" spans="1:39" hidden="1">
      <c r="A1089" s="123" t="s">
        <v>82</v>
      </c>
      <c r="B1089" s="36" t="s">
        <v>1170</v>
      </c>
      <c r="C1089" s="117">
        <v>37349251</v>
      </c>
      <c r="D1089" s="165">
        <v>45474</v>
      </c>
      <c r="E1089" s="117" t="s">
        <v>528</v>
      </c>
      <c r="F1089" s="36">
        <f>IFERROR(VLOOKUP(Table1[[#This Row],[Part Number]],DATABASE_FG!$C$6:D11078,2,FALSE)," ")</f>
        <v>0</v>
      </c>
      <c r="G1089" s="117">
        <f>IFERROR(_xlfn.XLOOKUP(Table1[[#This Row],[Part Number]],Table3[Part number],Table3[Drawing
 Revision]),"")</f>
        <v>0</v>
      </c>
      <c r="H1089" s="118" cm="1">
        <f t="array" ref="H1089">IFERROR(INDEX(PDB!$C:$AT,MATCH(E1089,PDB!$B:$B,0),MATCH(YEAR(K1089),0+PDB!$C$1:$AT$1,0)),"")</f>
        <v>6.94</v>
      </c>
      <c r="I1089" s="36">
        <v>54</v>
      </c>
      <c r="J1089" s="125">
        <f>IFERROR(Table1[[#This Row],[Quantity]]*Table1[[#This Row],[Price/Unit
EUR]]," ")</f>
        <v>374.76000000000005</v>
      </c>
      <c r="K1089" s="126">
        <v>45520</v>
      </c>
      <c r="L1089" s="36">
        <f>WEEKNUM(Table1[[#This Row],[ETA
As requested
dd.mm.yyyy]])</f>
        <v>33</v>
      </c>
      <c r="M1089" s="36">
        <f>YEAR(Table1[[#This Row],[ETA
As requested
dd.mm.yyyy]])</f>
        <v>2024</v>
      </c>
      <c r="N1089" s="36">
        <f>IFERROR(INDEX(DATABASE_FG!$H$5:$H$367, MATCH(E1089, DATABASE_FG!$C$5:$C$367, 0)), " ")</f>
        <v>0</v>
      </c>
      <c r="O1089" s="129" t="str">
        <f>IF(E1089&lt;&gt;"", _xlfn.XLOOKUP(E1089, DATABASE_FG!C:C, DATABASE_FG!F:F), " ")</f>
        <v>shaft</v>
      </c>
      <c r="P1089" s="129">
        <f>IFERROR(INDEX(DATABASE_FG!$G$5:$G$367, MATCH(E1089, DATABASE_FG!$C$5:$C$367, 0)), "Not Found")</f>
        <v>0</v>
      </c>
      <c r="Q1089" s="36"/>
      <c r="R1089" s="125"/>
      <c r="S1089" s="123">
        <f>Table1[[#This Row],[Quantity]]/48</f>
        <v>1.125</v>
      </c>
      <c r="T1089" s="36"/>
      <c r="U1089" s="36"/>
      <c r="V1089" s="36"/>
      <c r="W1089" s="129"/>
      <c r="X1089" s="36"/>
      <c r="Y1089" s="36"/>
      <c r="Z1089" s="36"/>
      <c r="AA1089" s="125" t="s">
        <v>121</v>
      </c>
      <c r="AB1089" s="173">
        <v>45617</v>
      </c>
      <c r="AC1089" s="119">
        <v>202401412</v>
      </c>
      <c r="AD1089" s="36">
        <f t="shared" si="125"/>
        <v>37349251</v>
      </c>
      <c r="AE1089" s="36" t="str">
        <f t="shared" si="126"/>
        <v>F-688040.02-0111.W.WE36</v>
      </c>
      <c r="AF1089" s="36">
        <v>54</v>
      </c>
      <c r="AG1089" s="120">
        <f t="shared" si="123"/>
        <v>374.76000000000005</v>
      </c>
      <c r="AH1089" s="36"/>
      <c r="AI1089" s="124"/>
      <c r="AJ1089" s="122" t="s">
        <v>2005</v>
      </c>
      <c r="AK1089" s="129" t="str">
        <f t="shared" ca="1" si="122"/>
        <v>Late</v>
      </c>
      <c r="AL1089" s="268" t="str">
        <f t="shared" si="124"/>
        <v>August</v>
      </c>
      <c r="AM1089" s="133">
        <f>YEAR(Table1[[#This Row],[ETA
As requested
dd.mm.yyyy]])</f>
        <v>2024</v>
      </c>
    </row>
    <row r="1090" spans="1:39" hidden="1">
      <c r="A1090" s="123" t="s">
        <v>82</v>
      </c>
      <c r="B1090" s="36" t="s">
        <v>1170</v>
      </c>
      <c r="C1090" s="117">
        <v>37349251</v>
      </c>
      <c r="D1090" s="165">
        <v>45474</v>
      </c>
      <c r="E1090" s="117" t="s">
        <v>528</v>
      </c>
      <c r="F1090" s="36">
        <f>IFERROR(VLOOKUP(Table1[[#This Row],[Part Number]],DATABASE_FG!$C$6:D11079,2,FALSE)," ")</f>
        <v>0</v>
      </c>
      <c r="G1090" s="117">
        <f>IFERROR(_xlfn.XLOOKUP(Table1[[#This Row],[Part Number]],Table3[Part number],Table3[Drawing
 Revision]),"")</f>
        <v>0</v>
      </c>
      <c r="H1090" s="118" cm="1">
        <f t="array" ref="H1090">IFERROR(INDEX(PDB!$C:$AT,MATCH(E1090,PDB!$B:$B,0),MATCH(YEAR(K1090),0+PDB!$C$1:$AT$1,0)),"")</f>
        <v>6.94</v>
      </c>
      <c r="I1090" s="36">
        <v>89</v>
      </c>
      <c r="J1090" s="125">
        <f>IFERROR(Table1[[#This Row],[Quantity]]*Table1[[#This Row],[Price/Unit
EUR]]," ")</f>
        <v>617.66000000000008</v>
      </c>
      <c r="K1090" s="126">
        <v>45520</v>
      </c>
      <c r="L1090" s="36">
        <f>WEEKNUM(Table1[[#This Row],[ETA
As requested
dd.mm.yyyy]])</f>
        <v>33</v>
      </c>
      <c r="M1090" s="36">
        <f>YEAR(Table1[[#This Row],[ETA
As requested
dd.mm.yyyy]])</f>
        <v>2024</v>
      </c>
      <c r="N1090" s="36">
        <f>IFERROR(INDEX(DATABASE_FG!$H$5:$H$367, MATCH(E1090, DATABASE_FG!$C$5:$C$367, 0)), " ")</f>
        <v>0</v>
      </c>
      <c r="O1090" s="129" t="str">
        <f>IF(E1090&lt;&gt;"", _xlfn.XLOOKUP(E1090, DATABASE_FG!C:C, DATABASE_FG!F:F), " ")</f>
        <v>shaft</v>
      </c>
      <c r="P1090" s="129">
        <f>IFERROR(INDEX(DATABASE_FG!$G$5:$G$367, MATCH(E1090, DATABASE_FG!$C$5:$C$367, 0)), "Not Found")</f>
        <v>0</v>
      </c>
      <c r="Q1090" s="36"/>
      <c r="R1090" s="125"/>
      <c r="S1090" s="123">
        <f>Table1[[#This Row],[Quantity]]/48</f>
        <v>1.8541666666666667</v>
      </c>
      <c r="T1090" s="36"/>
      <c r="U1090" s="36"/>
      <c r="V1090" s="36"/>
      <c r="W1090" s="129"/>
      <c r="X1090" s="36"/>
      <c r="Y1090" s="36"/>
      <c r="Z1090" s="36"/>
      <c r="AA1090" s="125" t="s">
        <v>121</v>
      </c>
      <c r="AB1090" s="173">
        <v>45622</v>
      </c>
      <c r="AC1090" s="119">
        <v>202401440</v>
      </c>
      <c r="AD1090" s="36">
        <f t="shared" si="125"/>
        <v>37349251</v>
      </c>
      <c r="AE1090" s="36" t="str">
        <f t="shared" si="126"/>
        <v>F-688040.02-0111.W.WE36</v>
      </c>
      <c r="AF1090" s="36">
        <v>89</v>
      </c>
      <c r="AG1090" s="120">
        <f t="shared" si="123"/>
        <v>617.66000000000008</v>
      </c>
      <c r="AH1090" s="36"/>
      <c r="AI1090" s="124"/>
      <c r="AJ1090" s="122" t="s">
        <v>2007</v>
      </c>
      <c r="AK1090" s="129" t="str">
        <f t="shared" ca="1" si="122"/>
        <v>Late</v>
      </c>
      <c r="AL1090" s="268" t="str">
        <f t="shared" si="124"/>
        <v>August</v>
      </c>
      <c r="AM1090" s="133">
        <f>YEAR(Table1[[#This Row],[ETA
As requested
dd.mm.yyyy]])</f>
        <v>2024</v>
      </c>
    </row>
    <row r="1091" spans="1:39" hidden="1">
      <c r="A1091" s="123" t="s">
        <v>82</v>
      </c>
      <c r="B1091" s="36" t="s">
        <v>1170</v>
      </c>
      <c r="C1091" s="117">
        <v>37349251</v>
      </c>
      <c r="D1091" s="165">
        <v>45474</v>
      </c>
      <c r="E1091" s="117" t="s">
        <v>528</v>
      </c>
      <c r="F1091" s="36">
        <f>IFERROR(VLOOKUP(Table1[[#This Row],[Part Number]],DATABASE_FG!$C$6:D11080,2,FALSE)," ")</f>
        <v>0</v>
      </c>
      <c r="G1091" s="117">
        <f>IFERROR(_xlfn.XLOOKUP(Table1[[#This Row],[Part Number]],Table3[Part number],Table3[Drawing
 Revision]),"")</f>
        <v>0</v>
      </c>
      <c r="H1091" s="118" cm="1">
        <f t="array" ref="H1091">IFERROR(INDEX(PDB!$C:$AT,MATCH(E1091,PDB!$B:$B,0),MATCH(YEAR(K1091),0+PDB!$C$1:$AT$1,0)),"")</f>
        <v>6.94</v>
      </c>
      <c r="I1091" s="36">
        <v>111</v>
      </c>
      <c r="J1091" s="125">
        <f>IFERROR(Table1[[#This Row],[Quantity]]*Table1[[#This Row],[Price/Unit
EUR]]," ")</f>
        <v>770.34</v>
      </c>
      <c r="K1091" s="126">
        <v>45520</v>
      </c>
      <c r="L1091" s="36">
        <f>WEEKNUM(Table1[[#This Row],[ETA
As requested
dd.mm.yyyy]])</f>
        <v>33</v>
      </c>
      <c r="M1091" s="36">
        <f>YEAR(Table1[[#This Row],[ETA
As requested
dd.mm.yyyy]])</f>
        <v>2024</v>
      </c>
      <c r="N1091" s="36">
        <f>IFERROR(INDEX(DATABASE_FG!$H$5:$H$367, MATCH(E1091, DATABASE_FG!$C$5:$C$367, 0)), " ")</f>
        <v>0</v>
      </c>
      <c r="O1091" s="129" t="str">
        <f>IF(E1091&lt;&gt;"", _xlfn.XLOOKUP(E1091, DATABASE_FG!C:C, DATABASE_FG!F:F), " ")</f>
        <v>shaft</v>
      </c>
      <c r="P1091" s="129">
        <f>IFERROR(INDEX(DATABASE_FG!$G$5:$G$367, MATCH(E1091, DATABASE_FG!$C$5:$C$367, 0)), "Not Found")</f>
        <v>0</v>
      </c>
      <c r="Q1091" s="36"/>
      <c r="R1091" s="125"/>
      <c r="S1091" s="123">
        <f>Table1[[#This Row],[Quantity]]/48</f>
        <v>2.3125</v>
      </c>
      <c r="T1091" s="36"/>
      <c r="U1091" s="36"/>
      <c r="V1091" s="36"/>
      <c r="W1091" s="129"/>
      <c r="X1091" s="36"/>
      <c r="Y1091" s="36"/>
      <c r="Z1091" s="36"/>
      <c r="AA1091" s="125" t="s">
        <v>121</v>
      </c>
      <c r="AB1091" s="173">
        <v>45629</v>
      </c>
      <c r="AC1091" s="119">
        <v>202401466</v>
      </c>
      <c r="AD1091" s="36">
        <f t="shared" si="125"/>
        <v>37349251</v>
      </c>
      <c r="AE1091" s="36" t="str">
        <f t="shared" si="126"/>
        <v>F-688040.02-0111.W.WE36</v>
      </c>
      <c r="AF1091" s="36">
        <v>111</v>
      </c>
      <c r="AG1091" s="120">
        <f t="shared" si="123"/>
        <v>770.34</v>
      </c>
      <c r="AH1091" s="36"/>
      <c r="AI1091" s="124"/>
      <c r="AJ1091" s="122" t="s">
        <v>2009</v>
      </c>
      <c r="AK1091" s="129" t="str">
        <f t="shared" ca="1" si="122"/>
        <v>Late</v>
      </c>
      <c r="AL1091" s="268" t="str">
        <f t="shared" si="124"/>
        <v>August</v>
      </c>
      <c r="AM1091" s="133">
        <f>YEAR(Table1[[#This Row],[ETA
As requested
dd.mm.yyyy]])</f>
        <v>2024</v>
      </c>
    </row>
    <row r="1092" spans="1:39" hidden="1">
      <c r="A1092" s="123" t="s">
        <v>82</v>
      </c>
      <c r="B1092" s="36" t="s">
        <v>1170</v>
      </c>
      <c r="C1092" s="117">
        <v>37349251</v>
      </c>
      <c r="D1092" s="165">
        <v>45474</v>
      </c>
      <c r="E1092" s="117" t="s">
        <v>528</v>
      </c>
      <c r="F1092" s="36">
        <f>IFERROR(VLOOKUP(Table1[[#This Row],[Part Number]],DATABASE_FG!$C$6:D11081,2,FALSE)," ")</f>
        <v>0</v>
      </c>
      <c r="G1092" s="117">
        <f>IFERROR(_xlfn.XLOOKUP(Table1[[#This Row],[Part Number]],Table3[Part number],Table3[Drawing
 Revision]),"")</f>
        <v>0</v>
      </c>
      <c r="H1092" s="118" cm="1">
        <f t="array" ref="H1092">IFERROR(INDEX(PDB!$C:$AT,MATCH(E1092,PDB!$B:$B,0),MATCH(YEAR(K1092),0+PDB!$C$1:$AT$1,0)),"")</f>
        <v>6.94</v>
      </c>
      <c r="I1092" s="36">
        <v>118</v>
      </c>
      <c r="J1092" s="125">
        <f>IFERROR(Table1[[#This Row],[Quantity]]*Table1[[#This Row],[Price/Unit
EUR]]," ")</f>
        <v>818.92000000000007</v>
      </c>
      <c r="K1092" s="126">
        <v>45520</v>
      </c>
      <c r="L1092" s="36">
        <f>WEEKNUM(Table1[[#This Row],[ETA
As requested
dd.mm.yyyy]])</f>
        <v>33</v>
      </c>
      <c r="M1092" s="36">
        <f>YEAR(Table1[[#This Row],[ETA
As requested
dd.mm.yyyy]])</f>
        <v>2024</v>
      </c>
      <c r="N1092" s="36">
        <f>IFERROR(INDEX(DATABASE_FG!$H$5:$H$367, MATCH(E1092, DATABASE_FG!$C$5:$C$367, 0)), " ")</f>
        <v>0</v>
      </c>
      <c r="O1092" s="129" t="str">
        <f>IF(E1092&lt;&gt;"", _xlfn.XLOOKUP(E1092, DATABASE_FG!C:C, DATABASE_FG!F:F), " ")</f>
        <v>shaft</v>
      </c>
      <c r="P1092" s="129">
        <f>IFERROR(INDEX(DATABASE_FG!$G$5:$G$367, MATCH(E1092, DATABASE_FG!$C$5:$C$367, 0)), "Not Found")</f>
        <v>0</v>
      </c>
      <c r="Q1092" s="36"/>
      <c r="R1092" s="125"/>
      <c r="S1092" s="123">
        <f>Table1[[#This Row],[Quantity]]/48</f>
        <v>2.4583333333333335</v>
      </c>
      <c r="T1092" s="36"/>
      <c r="U1092" s="36"/>
      <c r="V1092" s="36"/>
      <c r="W1092" s="129"/>
      <c r="X1092" s="36"/>
      <c r="Y1092" s="36"/>
      <c r="Z1092" s="36"/>
      <c r="AA1092" s="125" t="s">
        <v>121</v>
      </c>
      <c r="AB1092" s="173">
        <v>45632</v>
      </c>
      <c r="AC1092" s="119">
        <v>202401493</v>
      </c>
      <c r="AD1092" s="36">
        <f t="shared" si="125"/>
        <v>37349251</v>
      </c>
      <c r="AE1092" s="36" t="str">
        <f t="shared" si="126"/>
        <v>F-688040.02-0111.W.WE36</v>
      </c>
      <c r="AF1092" s="36">
        <v>118</v>
      </c>
      <c r="AG1092" s="120">
        <f t="shared" si="123"/>
        <v>818.92000000000007</v>
      </c>
      <c r="AH1092" s="36"/>
      <c r="AI1092" s="124"/>
      <c r="AJ1092" s="122" t="s">
        <v>2011</v>
      </c>
      <c r="AK1092" s="129" t="str">
        <f t="shared" ca="1" si="122"/>
        <v>Late</v>
      </c>
      <c r="AL1092" s="268" t="str">
        <f t="shared" si="124"/>
        <v>August</v>
      </c>
      <c r="AM1092" s="133">
        <f>YEAR(Table1[[#This Row],[ETA
As requested
dd.mm.yyyy]])</f>
        <v>2024</v>
      </c>
    </row>
    <row r="1093" spans="1:39" ht="18.75" hidden="1" customHeight="1">
      <c r="A1093" s="123" t="s">
        <v>82</v>
      </c>
      <c r="B1093" s="36" t="s">
        <v>1170</v>
      </c>
      <c r="C1093" s="117">
        <v>37349251</v>
      </c>
      <c r="D1093" s="165">
        <v>45474</v>
      </c>
      <c r="E1093" s="117" t="s">
        <v>528</v>
      </c>
      <c r="F1093" s="36">
        <f>IFERROR(VLOOKUP(Table1[[#This Row],[Part Number]],DATABASE_FG!$C$6:D11082,2,FALSE)," ")</f>
        <v>0</v>
      </c>
      <c r="G1093" s="117">
        <f>IFERROR(_xlfn.XLOOKUP(Table1[[#This Row],[Part Number]],Table3[Part number],Table3[Drawing
 Revision]),"")</f>
        <v>0</v>
      </c>
      <c r="H1093" s="118" cm="1">
        <f t="array" ref="H1093">IFERROR(INDEX(PDB!$C:$AT,MATCH(E1093,PDB!$B:$B,0),MATCH(YEAR(K1093),0+PDB!$C$1:$AT$1,0)),"")</f>
        <v>6.94</v>
      </c>
      <c r="I1093" s="36">
        <v>82</v>
      </c>
      <c r="J1093" s="125">
        <f>IFERROR(Table1[[#This Row],[Quantity]]*Table1[[#This Row],[Price/Unit
EUR]]," ")</f>
        <v>569.08000000000004</v>
      </c>
      <c r="K1093" s="126">
        <v>45520</v>
      </c>
      <c r="L1093" s="36">
        <f>WEEKNUM(Table1[[#This Row],[ETA
As requested
dd.mm.yyyy]])</f>
        <v>33</v>
      </c>
      <c r="M1093" s="36">
        <f>YEAR(Table1[[#This Row],[ETA
As requested
dd.mm.yyyy]])</f>
        <v>2024</v>
      </c>
      <c r="N1093" s="36">
        <f>IFERROR(INDEX(DATABASE_FG!$H$5:$H$367, MATCH(E1093, DATABASE_FG!$C$5:$C$367, 0)), " ")</f>
        <v>0</v>
      </c>
      <c r="O1093" s="129" t="str">
        <f>IF(E1093&lt;&gt;"", _xlfn.XLOOKUP(E1093, DATABASE_FG!C:C, DATABASE_FG!F:F), " ")</f>
        <v>shaft</v>
      </c>
      <c r="P1093" s="129">
        <f>IFERROR(INDEX(DATABASE_FG!$G$5:$G$367, MATCH(E1093, DATABASE_FG!$C$5:$C$367, 0)), "Not Found")</f>
        <v>0</v>
      </c>
      <c r="Q1093" s="36"/>
      <c r="R1093" s="125"/>
      <c r="S1093" s="123">
        <f>Table1[[#This Row],[Quantity]]/48</f>
        <v>1.7083333333333333</v>
      </c>
      <c r="T1093" s="36"/>
      <c r="U1093" s="36"/>
      <c r="V1093" s="36"/>
      <c r="W1093" s="129"/>
      <c r="X1093" s="36"/>
      <c r="Y1093" s="36"/>
      <c r="Z1093" s="36"/>
      <c r="AA1093" s="125" t="s">
        <v>121</v>
      </c>
      <c r="AB1093" s="173">
        <v>45640</v>
      </c>
      <c r="AC1093" s="119">
        <v>202401552</v>
      </c>
      <c r="AD1093" s="36">
        <f t="shared" si="125"/>
        <v>37349251</v>
      </c>
      <c r="AE1093" s="36" t="str">
        <f t="shared" si="126"/>
        <v>F-688040.02-0111.W.WE36</v>
      </c>
      <c r="AF1093" s="36">
        <v>82</v>
      </c>
      <c r="AG1093" s="120">
        <f t="shared" si="123"/>
        <v>569.08000000000004</v>
      </c>
      <c r="AH1093" s="36"/>
      <c r="AI1093" s="124"/>
      <c r="AJ1093" s="122" t="s">
        <v>2014</v>
      </c>
      <c r="AK1093" s="129" t="str">
        <f t="shared" ca="1" si="122"/>
        <v>Late</v>
      </c>
      <c r="AL1093" s="268" t="str">
        <f t="shared" si="124"/>
        <v>August</v>
      </c>
      <c r="AM1093" s="133">
        <f>YEAR(Table1[[#This Row],[ETA
As requested
dd.mm.yyyy]])</f>
        <v>2024</v>
      </c>
    </row>
    <row r="1094" spans="1:39" hidden="1">
      <c r="A1094" s="123" t="s">
        <v>82</v>
      </c>
      <c r="B1094" s="36" t="s">
        <v>1170</v>
      </c>
      <c r="C1094" s="117">
        <v>37349251</v>
      </c>
      <c r="D1094" s="165">
        <v>45474</v>
      </c>
      <c r="E1094" s="117" t="s">
        <v>528</v>
      </c>
      <c r="F1094" s="36">
        <f>IFERROR(VLOOKUP(Table1[[#This Row],[Part Number]],DATABASE_FG!$C$6:D11083,2,FALSE)," ")</f>
        <v>0</v>
      </c>
      <c r="G1094" s="117">
        <f>IFERROR(_xlfn.XLOOKUP(Table1[[#This Row],[Part Number]],Table3[Part number],Table3[Drawing
 Revision]),"")</f>
        <v>0</v>
      </c>
      <c r="H1094" s="118" cm="1">
        <f t="array" ref="H1094">IFERROR(INDEX(PDB!$C:$AT,MATCH(E1094,PDB!$B:$B,0),MATCH(YEAR(K1094),0+PDB!$C$1:$AT$1,0)),"")</f>
        <v>6.94</v>
      </c>
      <c r="I1094" s="36">
        <v>20</v>
      </c>
      <c r="J1094" s="125">
        <f>IFERROR(Table1[[#This Row],[Quantity]]*Table1[[#This Row],[Price/Unit
EUR]]," ")</f>
        <v>138.80000000000001</v>
      </c>
      <c r="K1094" s="126">
        <v>45520</v>
      </c>
      <c r="L1094" s="36">
        <f>WEEKNUM(Table1[[#This Row],[ETA
As requested
dd.mm.yyyy]])</f>
        <v>33</v>
      </c>
      <c r="M1094" s="36">
        <f>YEAR(Table1[[#This Row],[ETA
As requested
dd.mm.yyyy]])</f>
        <v>2024</v>
      </c>
      <c r="N1094" s="36">
        <f>IFERROR(INDEX(DATABASE_FG!$H$5:$H$367, MATCH(E1094, DATABASE_FG!$C$5:$C$367, 0)), " ")</f>
        <v>0</v>
      </c>
      <c r="O1094" s="129" t="str">
        <f>IF(E1094&lt;&gt;"", _xlfn.XLOOKUP(E1094, DATABASE_FG!C:C, DATABASE_FG!F:F), " ")</f>
        <v>shaft</v>
      </c>
      <c r="P1094" s="129">
        <f>IFERROR(INDEX(DATABASE_FG!$G$5:$G$367, MATCH(E1094, DATABASE_FG!$C$5:$C$367, 0)), "Not Found")</f>
        <v>0</v>
      </c>
      <c r="Q1094" s="36"/>
      <c r="R1094" s="125"/>
      <c r="S1094" s="123">
        <f>Table1[[#This Row],[Quantity]]/48</f>
        <v>0.41666666666666669</v>
      </c>
      <c r="T1094" s="36"/>
      <c r="U1094" s="36"/>
      <c r="V1094" s="36"/>
      <c r="W1094" s="129"/>
      <c r="X1094" s="36"/>
      <c r="Y1094" s="36"/>
      <c r="Z1094" s="36"/>
      <c r="AA1094" s="125" t="s">
        <v>121</v>
      </c>
      <c r="AB1094" s="173">
        <v>45640</v>
      </c>
      <c r="AC1094" s="119">
        <v>202401564</v>
      </c>
      <c r="AD1094" s="36">
        <f t="shared" si="125"/>
        <v>37349251</v>
      </c>
      <c r="AE1094" s="36" t="str">
        <f t="shared" si="126"/>
        <v>F-688040.02-0111.W.WE36</v>
      </c>
      <c r="AF1094" s="36">
        <v>20</v>
      </c>
      <c r="AG1094" s="120">
        <f t="shared" si="123"/>
        <v>138.80000000000001</v>
      </c>
      <c r="AH1094" s="36"/>
      <c r="AI1094" s="124"/>
      <c r="AJ1094" s="122" t="s">
        <v>2014</v>
      </c>
      <c r="AK1094" s="129" t="str">
        <f t="shared" ca="1" si="122"/>
        <v>Late</v>
      </c>
      <c r="AL1094" s="268" t="str">
        <f t="shared" si="124"/>
        <v>August</v>
      </c>
      <c r="AM1094" s="133">
        <f>YEAR(Table1[[#This Row],[ETA
As requested
dd.mm.yyyy]])</f>
        <v>2024</v>
      </c>
    </row>
    <row r="1095" spans="1:39" ht="15.75" hidden="1">
      <c r="A1095" s="123" t="s">
        <v>82</v>
      </c>
      <c r="B1095" s="36" t="s">
        <v>1170</v>
      </c>
      <c r="C1095" s="117">
        <v>37349251</v>
      </c>
      <c r="D1095" s="165">
        <v>45474</v>
      </c>
      <c r="E1095" s="117" t="s">
        <v>528</v>
      </c>
      <c r="F1095" s="36">
        <f>IFERROR(VLOOKUP(Table1[[#This Row],[Part Number]],DATABASE_FG!$C$6:D11084,2,FALSE)," ")</f>
        <v>0</v>
      </c>
      <c r="G1095" s="117">
        <f>IFERROR(_xlfn.XLOOKUP(Table1[[#This Row],[Part Number]],Table3[Part number],Table3[Drawing
 Revision]),"")</f>
        <v>0</v>
      </c>
      <c r="H1095" s="118" cm="1">
        <f t="array" ref="H1095">IFERROR(INDEX(PDB!$C:$AT,MATCH(E1095,PDB!$B:$B,0),MATCH(YEAR(K1095),0+PDB!$C$1:$AT$1,0)),"")</f>
        <v>6.94</v>
      </c>
      <c r="I1095" s="36">
        <v>140</v>
      </c>
      <c r="J1095" s="125">
        <f>IFERROR(Table1[[#This Row],[Quantity]]*Table1[[#This Row],[Price/Unit
EUR]]," ")</f>
        <v>971.6</v>
      </c>
      <c r="K1095" s="126">
        <v>45520</v>
      </c>
      <c r="L1095" s="36">
        <f>WEEKNUM(Table1[[#This Row],[ETA
As requested
dd.mm.yyyy]])</f>
        <v>33</v>
      </c>
      <c r="M1095" s="36">
        <f>YEAR(Table1[[#This Row],[ETA
As requested
dd.mm.yyyy]])</f>
        <v>2024</v>
      </c>
      <c r="N1095" s="36">
        <f>IFERROR(INDEX(DATABASE_FG!$H$5:$H$367, MATCH(E1095, DATABASE_FG!$C$5:$C$367, 0)), " ")</f>
        <v>0</v>
      </c>
      <c r="O1095" s="129" t="str">
        <f>IF(E1095&lt;&gt;"", _xlfn.XLOOKUP(E1095, DATABASE_FG!C:C, DATABASE_FG!F:F), " ")</f>
        <v>shaft</v>
      </c>
      <c r="P1095" s="129">
        <f>IFERROR(INDEX(DATABASE_FG!$G$5:$G$367, MATCH(E1095, DATABASE_FG!$C$5:$C$367, 0)), "Not Found")</f>
        <v>0</v>
      </c>
      <c r="Q1095" s="36"/>
      <c r="R1095" s="125"/>
      <c r="S1095" s="123">
        <f>Table1[[#This Row],[Quantity]]/48</f>
        <v>2.9166666666666665</v>
      </c>
      <c r="T1095" s="36"/>
      <c r="U1095" s="36"/>
      <c r="V1095" s="36"/>
      <c r="W1095" s="129"/>
      <c r="X1095" s="36"/>
      <c r="Y1095" s="36"/>
      <c r="Z1095" s="36"/>
      <c r="AA1095" s="125" t="s">
        <v>121</v>
      </c>
      <c r="AB1095" s="173">
        <v>45647</v>
      </c>
      <c r="AC1095" s="119">
        <v>202401595</v>
      </c>
      <c r="AD1095" s="36">
        <f t="shared" si="125"/>
        <v>37349251</v>
      </c>
      <c r="AE1095" s="36" t="str">
        <f t="shared" si="126"/>
        <v>F-688040.02-0111.W.WE36</v>
      </c>
      <c r="AF1095" s="36">
        <v>140</v>
      </c>
      <c r="AG1095" s="120">
        <f t="shared" si="123"/>
        <v>971.6</v>
      </c>
      <c r="AH1095" s="36"/>
      <c r="AI1095" s="124" t="s">
        <v>2022</v>
      </c>
      <c r="AJ1095" s="122" t="s">
        <v>2023</v>
      </c>
      <c r="AK1095" s="129" t="str">
        <f t="shared" ca="1" si="122"/>
        <v>Late</v>
      </c>
      <c r="AL1095" s="268" t="str">
        <f t="shared" si="124"/>
        <v>August</v>
      </c>
      <c r="AM1095" s="133">
        <f>YEAR(Table1[[#This Row],[ETA
As requested
dd.mm.yyyy]])</f>
        <v>2024</v>
      </c>
    </row>
    <row r="1096" spans="1:39" hidden="1">
      <c r="A1096" s="123" t="s">
        <v>82</v>
      </c>
      <c r="B1096" s="36" t="s">
        <v>1170</v>
      </c>
      <c r="C1096" s="117">
        <v>37349251</v>
      </c>
      <c r="D1096" s="165">
        <v>45474</v>
      </c>
      <c r="E1096" s="117" t="s">
        <v>528</v>
      </c>
      <c r="F1096" s="36">
        <f>IFERROR(VLOOKUP(Table1[[#This Row],[Part Number]],DATABASE_FG!$C$6:D11085,2,FALSE)," ")</f>
        <v>0</v>
      </c>
      <c r="G1096" s="117">
        <f>IFERROR(_xlfn.XLOOKUP(Table1[[#This Row],[Part Number]],Table3[Part number],Table3[Drawing
 Revision]),"")</f>
        <v>0</v>
      </c>
      <c r="H1096" s="118" cm="1">
        <f t="array" ref="H1096">IFERROR(INDEX(PDB!$C:$AT,MATCH(E1096,PDB!$B:$B,0),MATCH(YEAR(K1096),0+PDB!$C$1:$AT$1,0)),"")</f>
        <v>6.94</v>
      </c>
      <c r="I1096" s="36">
        <v>188</v>
      </c>
      <c r="J1096" s="125">
        <f>IFERROR(Table1[[#This Row],[Quantity]]*Table1[[#This Row],[Price/Unit
EUR]]," ")</f>
        <v>1304.72</v>
      </c>
      <c r="K1096" s="126">
        <v>45520</v>
      </c>
      <c r="L1096" s="36">
        <f>WEEKNUM(Table1[[#This Row],[ETA
As requested
dd.mm.yyyy]])</f>
        <v>33</v>
      </c>
      <c r="M1096" s="36">
        <f>YEAR(Table1[[#This Row],[ETA
As requested
dd.mm.yyyy]])</f>
        <v>2024</v>
      </c>
      <c r="N1096" s="36">
        <f>IFERROR(INDEX(DATABASE_FG!$H$5:$H$367, MATCH(E1096, DATABASE_FG!$C$5:$C$367, 0)), " ")</f>
        <v>0</v>
      </c>
      <c r="O1096" s="129" t="str">
        <f>IF(E1096&lt;&gt;"", _xlfn.XLOOKUP(E1096, DATABASE_FG!C:C, DATABASE_FG!F:F), " ")</f>
        <v>shaft</v>
      </c>
      <c r="P1096" s="129">
        <f>IFERROR(INDEX(DATABASE_FG!$G$5:$G$367, MATCH(E1096, DATABASE_FG!$C$5:$C$367, 0)), "Not Found")</f>
        <v>0</v>
      </c>
      <c r="Q1096" s="36"/>
      <c r="R1096" s="125"/>
      <c r="S1096" s="123">
        <f>Table1[[#This Row],[Quantity]]/48</f>
        <v>3.9166666666666665</v>
      </c>
      <c r="T1096" s="36"/>
      <c r="U1096" s="36"/>
      <c r="V1096" s="36"/>
      <c r="W1096" s="129"/>
      <c r="X1096" s="36"/>
      <c r="Y1096" s="36"/>
      <c r="Z1096" s="36"/>
      <c r="AA1096" s="125" t="s">
        <v>121</v>
      </c>
      <c r="AB1096" s="173">
        <v>45675</v>
      </c>
      <c r="AC1096" s="119" t="s">
        <v>2028</v>
      </c>
      <c r="AD1096" s="36">
        <f t="shared" si="125"/>
        <v>37349251</v>
      </c>
      <c r="AE1096" s="36" t="str">
        <f t="shared" si="126"/>
        <v>F-688040.02-0111.W.WE36</v>
      </c>
      <c r="AF1096" s="36">
        <v>188</v>
      </c>
      <c r="AG1096" s="120">
        <f t="shared" si="123"/>
        <v>1304.72</v>
      </c>
      <c r="AH1096" s="36"/>
      <c r="AI1096" s="124"/>
      <c r="AJ1096" s="122" t="s">
        <v>2029</v>
      </c>
      <c r="AK1096" s="129" t="str">
        <f t="shared" ca="1" si="122"/>
        <v>Late</v>
      </c>
      <c r="AL1096" s="268" t="str">
        <f t="shared" si="124"/>
        <v>August</v>
      </c>
      <c r="AM1096" s="133">
        <f>YEAR(Table1[[#This Row],[ETA
As requested
dd.mm.yyyy]])</f>
        <v>2024</v>
      </c>
    </row>
    <row r="1097" spans="1:39" hidden="1">
      <c r="A1097" s="123" t="s">
        <v>82</v>
      </c>
      <c r="B1097" s="36" t="s">
        <v>1170</v>
      </c>
      <c r="C1097" s="117">
        <v>37349251</v>
      </c>
      <c r="D1097" s="165">
        <v>45474</v>
      </c>
      <c r="E1097" s="117" t="s">
        <v>528</v>
      </c>
      <c r="F1097" s="36">
        <f>IFERROR(VLOOKUP(Table1[[#This Row],[Part Number]],DATABASE_FG!$C$6:D11086,2,FALSE)," ")</f>
        <v>0</v>
      </c>
      <c r="G1097" s="117">
        <f>IFERROR(_xlfn.XLOOKUP(Table1[[#This Row],[Part Number]],Table3[Part number],Table3[Drawing
 Revision]),"")</f>
        <v>0</v>
      </c>
      <c r="H1097" s="118" cm="1">
        <f t="array" ref="H1097">IFERROR(INDEX(PDB!$C:$AT,MATCH(E1097,PDB!$B:$B,0),MATCH(YEAR(K1097),0+PDB!$C$1:$AT$1,0)),"")</f>
        <v>6.94</v>
      </c>
      <c r="I1097" s="36">
        <v>34</v>
      </c>
      <c r="J1097" s="125">
        <f>IFERROR(Table1[[#This Row],[Quantity]]*Table1[[#This Row],[Price/Unit
EUR]]," ")</f>
        <v>235.96</v>
      </c>
      <c r="K1097" s="126">
        <v>45520</v>
      </c>
      <c r="L1097" s="36">
        <f>WEEKNUM(Table1[[#This Row],[ETA
As requested
dd.mm.yyyy]])</f>
        <v>33</v>
      </c>
      <c r="M1097" s="36">
        <f>YEAR(Table1[[#This Row],[ETA
As requested
dd.mm.yyyy]])</f>
        <v>2024</v>
      </c>
      <c r="N1097" s="36">
        <f>IFERROR(INDEX(DATABASE_FG!$H$5:$H$367, MATCH(E1097, DATABASE_FG!$C$5:$C$367, 0)), " ")</f>
        <v>0</v>
      </c>
      <c r="O1097" s="129" t="str">
        <f>IF(E1097&lt;&gt;"", _xlfn.XLOOKUP(E1097, DATABASE_FG!C:C, DATABASE_FG!F:F), " ")</f>
        <v>shaft</v>
      </c>
      <c r="P1097" s="129">
        <f>IFERROR(INDEX(DATABASE_FG!$G$5:$G$367, MATCH(E1097, DATABASE_FG!$C$5:$C$367, 0)), "Not Found")</f>
        <v>0</v>
      </c>
      <c r="Q1097" s="36"/>
      <c r="R1097" s="125"/>
      <c r="S1097" s="123">
        <f>Table1[[#This Row],[Quantity]]/48</f>
        <v>0.70833333333333337</v>
      </c>
      <c r="T1097" s="36"/>
      <c r="U1097" s="36"/>
      <c r="V1097" s="36"/>
      <c r="W1097" s="129"/>
      <c r="X1097" s="36"/>
      <c r="Y1097" s="36"/>
      <c r="Z1097" s="36"/>
      <c r="AA1097" s="125" t="s">
        <v>121</v>
      </c>
      <c r="AB1097" s="173">
        <v>45689</v>
      </c>
      <c r="AC1097" s="119" t="s">
        <v>2037</v>
      </c>
      <c r="AD1097" s="36">
        <f t="shared" si="125"/>
        <v>37349251</v>
      </c>
      <c r="AE1097" s="36" t="str">
        <f t="shared" si="126"/>
        <v>F-688040.02-0111.W.WE36</v>
      </c>
      <c r="AF1097" s="36">
        <v>34</v>
      </c>
      <c r="AG1097" s="120">
        <f t="shared" si="123"/>
        <v>235.96</v>
      </c>
      <c r="AH1097" s="36"/>
      <c r="AI1097" s="124"/>
      <c r="AJ1097" s="122" t="s">
        <v>2038</v>
      </c>
      <c r="AK1097" s="129" t="str">
        <f t="shared" ca="1" si="122"/>
        <v>Late</v>
      </c>
      <c r="AL1097" s="268" t="str">
        <f t="shared" si="124"/>
        <v>August</v>
      </c>
      <c r="AM1097" s="133">
        <f>YEAR(Table1[[#This Row],[ETA
As requested
dd.mm.yyyy]])</f>
        <v>2024</v>
      </c>
    </row>
    <row r="1098" spans="1:39" hidden="1">
      <c r="A1098" s="123" t="s">
        <v>82</v>
      </c>
      <c r="B1098" s="36" t="s">
        <v>1170</v>
      </c>
      <c r="C1098" s="117">
        <v>37349251</v>
      </c>
      <c r="D1098" s="165">
        <v>45474</v>
      </c>
      <c r="E1098" s="117" t="s">
        <v>528</v>
      </c>
      <c r="F1098" s="36">
        <f>IFERROR(VLOOKUP(Table1[[#This Row],[Part Number]],DATABASE_FG!$C$6:D11087,2,FALSE)," ")</f>
        <v>0</v>
      </c>
      <c r="G1098" s="117">
        <f>IFERROR(_xlfn.XLOOKUP(Table1[[#This Row],[Part Number]],Table3[Part number],Table3[Drawing
 Revision]),"")</f>
        <v>0</v>
      </c>
      <c r="H1098" s="118" cm="1">
        <f t="array" ref="H1098">IFERROR(INDEX(PDB!$C:$AT,MATCH(E1098,PDB!$B:$B,0),MATCH(YEAR(K1098),0+PDB!$C$1:$AT$1,0)),"")</f>
        <v>6.94</v>
      </c>
      <c r="I1098" s="36">
        <v>143</v>
      </c>
      <c r="J1098" s="125">
        <f>IFERROR(Table1[[#This Row],[Quantity]]*Table1[[#This Row],[Price/Unit
EUR]]," ")</f>
        <v>992.42000000000007</v>
      </c>
      <c r="K1098" s="126">
        <v>45520</v>
      </c>
      <c r="L1098" s="36">
        <f>WEEKNUM(Table1[[#This Row],[ETA
As requested
dd.mm.yyyy]])</f>
        <v>33</v>
      </c>
      <c r="M1098" s="36">
        <f>YEAR(Table1[[#This Row],[ETA
As requested
dd.mm.yyyy]])</f>
        <v>2024</v>
      </c>
      <c r="N1098" s="36">
        <f>IFERROR(INDEX(DATABASE_FG!$H$5:$H$367, MATCH(E1098, DATABASE_FG!$C$5:$C$367, 0)), " ")</f>
        <v>0</v>
      </c>
      <c r="O1098" s="129" t="str">
        <f>IF(E1098&lt;&gt;"", _xlfn.XLOOKUP(E1098, DATABASE_FG!C:C, DATABASE_FG!F:F), " ")</f>
        <v>shaft</v>
      </c>
      <c r="P1098" s="129">
        <f>IFERROR(INDEX(DATABASE_FG!$G$5:$G$367, MATCH(E1098, DATABASE_FG!$C$5:$C$367, 0)), "Not Found")</f>
        <v>0</v>
      </c>
      <c r="Q1098" s="36"/>
      <c r="R1098" s="125"/>
      <c r="S1098" s="123">
        <f>Table1[[#This Row],[Quantity]]/48</f>
        <v>2.9791666666666665</v>
      </c>
      <c r="T1098" s="36"/>
      <c r="U1098" s="36"/>
      <c r="V1098" s="36"/>
      <c r="W1098" s="129"/>
      <c r="X1098" s="36"/>
      <c r="Y1098" s="36"/>
      <c r="Z1098" s="36"/>
      <c r="AA1098" s="125" t="s">
        <v>121</v>
      </c>
      <c r="AB1098" s="173">
        <v>45717</v>
      </c>
      <c r="AC1098" s="119" t="s">
        <v>2046</v>
      </c>
      <c r="AD1098" s="36">
        <f t="shared" si="125"/>
        <v>37349251</v>
      </c>
      <c r="AE1098" s="36" t="str">
        <f t="shared" si="126"/>
        <v>F-688040.02-0111.W.WE36</v>
      </c>
      <c r="AF1098" s="36">
        <v>143</v>
      </c>
      <c r="AG1098" s="120">
        <f t="shared" si="123"/>
        <v>992.42000000000007</v>
      </c>
      <c r="AH1098" s="36"/>
      <c r="AI1098" s="124"/>
      <c r="AJ1098" s="122" t="s">
        <v>2047</v>
      </c>
      <c r="AK1098" s="129" t="str">
        <f t="shared" ca="1" si="122"/>
        <v>Late</v>
      </c>
      <c r="AL1098" s="268" t="str">
        <f t="shared" si="124"/>
        <v>August</v>
      </c>
      <c r="AM1098" s="133">
        <f>YEAR(Table1[[#This Row],[ETA
As requested
dd.mm.yyyy]])</f>
        <v>2024</v>
      </c>
    </row>
    <row r="1099" spans="1:39" hidden="1">
      <c r="A1099" s="123" t="s">
        <v>82</v>
      </c>
      <c r="B1099" s="36" t="s">
        <v>1170</v>
      </c>
      <c r="C1099" s="117">
        <v>37349251</v>
      </c>
      <c r="D1099" s="165">
        <v>45474</v>
      </c>
      <c r="E1099" s="117" t="s">
        <v>528</v>
      </c>
      <c r="F1099" s="36">
        <f>IFERROR(VLOOKUP(Table1[[#This Row],[Part Number]],DATABASE_FG!$C$6:D11088,2,FALSE)," ")</f>
        <v>0</v>
      </c>
      <c r="G1099" s="117">
        <f>IFERROR(_xlfn.XLOOKUP(Table1[[#This Row],[Part Number]],Table3[Part number],Table3[Drawing
 Revision]),"")</f>
        <v>0</v>
      </c>
      <c r="H1099" s="118" cm="1">
        <f t="array" ref="H1099">IFERROR(INDEX(PDB!$C:$AT,MATCH(E1099,PDB!$B:$B,0),MATCH(YEAR(K1099),0+PDB!$C$1:$AT$1,0)),"")</f>
        <v>6.94</v>
      </c>
      <c r="I1099" s="36">
        <v>76</v>
      </c>
      <c r="J1099" s="125">
        <f>IFERROR(Table1[[#This Row],[Quantity]]*Table1[[#This Row],[Price/Unit
EUR]]," ")</f>
        <v>527.44000000000005</v>
      </c>
      <c r="K1099" s="126">
        <v>45520</v>
      </c>
      <c r="L1099" s="36">
        <f>WEEKNUM(Table1[[#This Row],[ETA
As requested
dd.mm.yyyy]])</f>
        <v>33</v>
      </c>
      <c r="M1099" s="36">
        <f>YEAR(Table1[[#This Row],[ETA
As requested
dd.mm.yyyy]])</f>
        <v>2024</v>
      </c>
      <c r="N1099" s="36">
        <f>IFERROR(INDEX(DATABASE_FG!$H$5:$H$367, MATCH(E1099, DATABASE_FG!$C$5:$C$367, 0)), " ")</f>
        <v>0</v>
      </c>
      <c r="O1099" s="129" t="str">
        <f>IF(E1099&lt;&gt;"", _xlfn.XLOOKUP(E1099, DATABASE_FG!C:C, DATABASE_FG!F:F), " ")</f>
        <v>shaft</v>
      </c>
      <c r="P1099" s="129">
        <f>IFERROR(INDEX(DATABASE_FG!$G$5:$G$367, MATCH(E1099, DATABASE_FG!$C$5:$C$367, 0)), "Not Found")</f>
        <v>0</v>
      </c>
      <c r="Q1099" s="36"/>
      <c r="R1099" s="125"/>
      <c r="S1099" s="123">
        <f>Table1[[#This Row],[Quantity]]/48</f>
        <v>1.5833333333333333</v>
      </c>
      <c r="T1099" s="36"/>
      <c r="U1099" s="36"/>
      <c r="V1099" s="36"/>
      <c r="W1099" s="129"/>
      <c r="X1099" s="36"/>
      <c r="Y1099" s="36" t="s">
        <v>677</v>
      </c>
      <c r="Z1099" s="36"/>
      <c r="AA1099" s="125" t="s">
        <v>121</v>
      </c>
      <c r="AB1099" s="173">
        <v>45721</v>
      </c>
      <c r="AC1099" s="119">
        <v>25325</v>
      </c>
      <c r="AD1099" s="36">
        <f t="shared" si="125"/>
        <v>37349251</v>
      </c>
      <c r="AE1099" s="36" t="str">
        <f t="shared" si="126"/>
        <v>F-688040.02-0111.W.WE36</v>
      </c>
      <c r="AF1099" s="36">
        <v>76</v>
      </c>
      <c r="AG1099" s="120">
        <f t="shared" si="123"/>
        <v>527.44000000000005</v>
      </c>
      <c r="AH1099" s="36"/>
      <c r="AI1099" s="124"/>
      <c r="AJ1099" s="122" t="s">
        <v>2049</v>
      </c>
      <c r="AK1099" s="129" t="str">
        <f t="shared" ca="1" si="122"/>
        <v>Late</v>
      </c>
      <c r="AL1099" s="268" t="str">
        <f t="shared" si="124"/>
        <v>August</v>
      </c>
      <c r="AM1099" s="133">
        <f>YEAR(Table1[[#This Row],[ETA
As requested
dd.mm.yyyy]])</f>
        <v>2024</v>
      </c>
    </row>
    <row r="1100" spans="1:39" hidden="1">
      <c r="A1100" s="123" t="s">
        <v>82</v>
      </c>
      <c r="B1100" s="36" t="s">
        <v>1170</v>
      </c>
      <c r="C1100" s="117">
        <v>37349251</v>
      </c>
      <c r="D1100" s="165">
        <v>45474</v>
      </c>
      <c r="E1100" s="117" t="s">
        <v>528</v>
      </c>
      <c r="F1100" s="36">
        <f>IFERROR(VLOOKUP(Table1[[#This Row],[Part Number]],DATABASE_FG!$C$6:D11089,2,FALSE)," ")</f>
        <v>0</v>
      </c>
      <c r="G1100" s="117">
        <f>IFERROR(_xlfn.XLOOKUP(Table1[[#This Row],[Part Number]],Table3[Part number],Table3[Drawing
 Revision]),"")</f>
        <v>0</v>
      </c>
      <c r="H1100" s="118" cm="1">
        <f t="array" ref="H1100">IFERROR(INDEX(PDB!$C:$AT,MATCH(E1100,PDB!$B:$B,0),MATCH(YEAR(K1100),0+PDB!$C$1:$AT$1,0)),"")</f>
        <v>6.94</v>
      </c>
      <c r="I1100" s="36">
        <v>36</v>
      </c>
      <c r="J1100" s="125">
        <f>IFERROR(Table1[[#This Row],[Quantity]]*Table1[[#This Row],[Price/Unit
EUR]]," ")</f>
        <v>249.84</v>
      </c>
      <c r="K1100" s="126">
        <v>45520</v>
      </c>
      <c r="L1100" s="36">
        <f>WEEKNUM(Table1[[#This Row],[ETA
As requested
dd.mm.yyyy]])</f>
        <v>33</v>
      </c>
      <c r="M1100" s="36">
        <f>YEAR(Table1[[#This Row],[ETA
As requested
dd.mm.yyyy]])</f>
        <v>2024</v>
      </c>
      <c r="N1100" s="36">
        <f>IFERROR(INDEX(DATABASE_FG!$H$5:$H$367, MATCH(E1100, DATABASE_FG!$C$5:$C$367, 0)), " ")</f>
        <v>0</v>
      </c>
      <c r="O1100" s="129" t="str">
        <f>IF(E1100&lt;&gt;"", _xlfn.XLOOKUP(E1100, DATABASE_FG!C:C, DATABASE_FG!F:F), " ")</f>
        <v>shaft</v>
      </c>
      <c r="P1100" s="129">
        <f>IFERROR(INDEX(DATABASE_FG!$G$5:$G$367, MATCH(E1100, DATABASE_FG!$C$5:$C$367, 0)), "Not Found")</f>
        <v>0</v>
      </c>
      <c r="Q1100" s="36"/>
      <c r="R1100" s="125"/>
      <c r="S1100" s="128">
        <f>Table1[[#This Row],[Quantity]]/48</f>
        <v>0.75</v>
      </c>
      <c r="T1100" s="36"/>
      <c r="U1100" s="36"/>
      <c r="V1100" s="36"/>
      <c r="W1100" s="129"/>
      <c r="X1100" s="36"/>
      <c r="Y1100" s="36"/>
      <c r="Z1100" s="36"/>
      <c r="AA1100" s="125" t="s">
        <v>121</v>
      </c>
      <c r="AB1100" s="173">
        <v>45724</v>
      </c>
      <c r="AC1100" s="119" t="s">
        <v>2056</v>
      </c>
      <c r="AD1100" s="36">
        <f t="shared" si="125"/>
        <v>37349251</v>
      </c>
      <c r="AE1100" s="36" t="str">
        <f t="shared" si="126"/>
        <v>F-688040.02-0111.W.WE36</v>
      </c>
      <c r="AF1100" s="36">
        <v>36</v>
      </c>
      <c r="AG1100" s="120">
        <f t="shared" si="123"/>
        <v>249.84</v>
      </c>
      <c r="AH1100" s="36"/>
      <c r="AI1100" s="124"/>
      <c r="AJ1100" s="122" t="s">
        <v>2057</v>
      </c>
      <c r="AK1100" s="129" t="str">
        <f t="shared" ca="1" si="122"/>
        <v>Late</v>
      </c>
      <c r="AL1100" s="268" t="str">
        <f t="shared" si="124"/>
        <v>August</v>
      </c>
      <c r="AM1100" s="133">
        <f>YEAR(Table1[[#This Row],[ETA
As requested
dd.mm.yyyy]])</f>
        <v>2024</v>
      </c>
    </row>
    <row r="1101" spans="1:39" hidden="1">
      <c r="A1101" s="123" t="s">
        <v>82</v>
      </c>
      <c r="B1101" s="36" t="s">
        <v>1170</v>
      </c>
      <c r="C1101" s="117">
        <v>37349251</v>
      </c>
      <c r="D1101" s="165">
        <v>45474</v>
      </c>
      <c r="E1101" s="117" t="s">
        <v>528</v>
      </c>
      <c r="F1101" s="36">
        <f>IFERROR(VLOOKUP(Table1[[#This Row],[Part Number]],DATABASE_FG!$C$6:D11090,2,FALSE)," ")</f>
        <v>0</v>
      </c>
      <c r="G1101" s="117">
        <f>IFERROR(_xlfn.XLOOKUP(Table1[[#This Row],[Part Number]],Table3[Part number],Table3[Drawing
 Revision]),"")</f>
        <v>0</v>
      </c>
      <c r="H1101" s="118" cm="1">
        <f t="array" ref="H1101">IFERROR(INDEX(PDB!$C:$AT,MATCH(E1101,PDB!$B:$B,0),MATCH(YEAR(K1101),0+PDB!$C$1:$AT$1,0)),"")</f>
        <v>6.94</v>
      </c>
      <c r="I1101" s="36">
        <v>50</v>
      </c>
      <c r="J1101" s="125">
        <f>IFERROR(Table1[[#This Row],[Quantity]]*Table1[[#This Row],[Price/Unit
EUR]]," ")</f>
        <v>347</v>
      </c>
      <c r="K1101" s="126">
        <v>45520</v>
      </c>
      <c r="L1101" s="36">
        <f>WEEKNUM(Table1[[#This Row],[ETA
As requested
dd.mm.yyyy]])</f>
        <v>33</v>
      </c>
      <c r="M1101" s="36">
        <f>YEAR(Table1[[#This Row],[ETA
As requested
dd.mm.yyyy]])</f>
        <v>2024</v>
      </c>
      <c r="N1101" s="36">
        <f>IFERROR(INDEX(DATABASE_FG!$H$5:$H$367, MATCH(E1101, DATABASE_FG!$C$5:$C$367, 0)), " ")</f>
        <v>0</v>
      </c>
      <c r="O1101" s="129" t="str">
        <f>IF(E1101&lt;&gt;"", _xlfn.XLOOKUP(E1101, DATABASE_FG!C:C, DATABASE_FG!F:F), " ")</f>
        <v>shaft</v>
      </c>
      <c r="P1101" s="129">
        <f>IFERROR(INDEX(DATABASE_FG!$G$5:$G$367, MATCH(E1101, DATABASE_FG!$C$5:$C$367, 0)), "Not Found")</f>
        <v>0</v>
      </c>
      <c r="Q1101" s="36"/>
      <c r="R1101" s="125"/>
      <c r="S1101" s="128">
        <f>Table1[[#This Row],[Quantity]]/48</f>
        <v>1.0416666666666667</v>
      </c>
      <c r="T1101" s="36"/>
      <c r="U1101" s="36"/>
      <c r="V1101" s="36"/>
      <c r="W1101" s="129"/>
      <c r="X1101" s="36"/>
      <c r="Y1101" s="36"/>
      <c r="Z1101" s="36"/>
      <c r="AA1101" s="125" t="s">
        <v>121</v>
      </c>
      <c r="AB1101" s="173">
        <v>45731</v>
      </c>
      <c r="AC1101" s="119" t="s">
        <v>2063</v>
      </c>
      <c r="AD1101" s="36">
        <f t="shared" si="125"/>
        <v>37349251</v>
      </c>
      <c r="AE1101" s="36" t="str">
        <f t="shared" si="126"/>
        <v>F-688040.02-0111.W.WE36</v>
      </c>
      <c r="AF1101" s="36">
        <v>50</v>
      </c>
      <c r="AG1101" s="120">
        <f t="shared" si="123"/>
        <v>347</v>
      </c>
      <c r="AH1101" s="36"/>
      <c r="AI1101" s="124" t="s">
        <v>2064</v>
      </c>
      <c r="AJ1101" s="122" t="s">
        <v>2065</v>
      </c>
      <c r="AK1101" s="129" t="str">
        <f t="shared" ca="1" si="122"/>
        <v>Late</v>
      </c>
      <c r="AL1101" s="268" t="str">
        <f t="shared" si="124"/>
        <v>August</v>
      </c>
      <c r="AM1101" s="133">
        <f>YEAR(Table1[[#This Row],[ETA
As requested
dd.mm.yyyy]])</f>
        <v>2024</v>
      </c>
    </row>
    <row r="1102" spans="1:39" hidden="1">
      <c r="A1102" s="123" t="s">
        <v>82</v>
      </c>
      <c r="B1102" s="36" t="s">
        <v>1170</v>
      </c>
      <c r="C1102" s="117">
        <v>37349251</v>
      </c>
      <c r="D1102" s="165">
        <v>45474</v>
      </c>
      <c r="E1102" s="117" t="s">
        <v>528</v>
      </c>
      <c r="F1102" s="36">
        <f>IFERROR(VLOOKUP(Table1[[#This Row],[Part Number]],DATABASE_FG!$C$6:D11091,2,FALSE)," ")</f>
        <v>0</v>
      </c>
      <c r="G1102" s="117">
        <f>IFERROR(_xlfn.XLOOKUP(Table1[[#This Row],[Part Number]],Table3[Part number],Table3[Drawing
 Revision]),"")</f>
        <v>0</v>
      </c>
      <c r="H1102" s="118" cm="1">
        <f t="array" ref="H1102">IFERROR(INDEX(PDB!$C:$AT,MATCH(E1102,PDB!$B:$B,0),MATCH(YEAR(K1102),0+PDB!$C$1:$AT$1,0)),"")</f>
        <v>6.94</v>
      </c>
      <c r="I1102" s="36">
        <v>51</v>
      </c>
      <c r="J1102" s="125">
        <f>IFERROR(Table1[[#This Row],[Quantity]]*Table1[[#This Row],[Price/Unit
EUR]]," ")</f>
        <v>353.94</v>
      </c>
      <c r="K1102" s="126">
        <v>45520</v>
      </c>
      <c r="L1102" s="36">
        <f>WEEKNUM(Table1[[#This Row],[ETA
As requested
dd.mm.yyyy]])</f>
        <v>33</v>
      </c>
      <c r="M1102" s="36">
        <f>YEAR(Table1[[#This Row],[ETA
As requested
dd.mm.yyyy]])</f>
        <v>2024</v>
      </c>
      <c r="N1102" s="36">
        <f>IFERROR(INDEX(DATABASE_FG!$H$5:$H$367, MATCH(E1102, DATABASE_FG!$C$5:$C$367, 0)), " ")</f>
        <v>0</v>
      </c>
      <c r="O1102" s="129" t="str">
        <f>IF(E1102&lt;&gt;"", _xlfn.XLOOKUP(E1102, DATABASE_FG!C:C, DATABASE_FG!F:F), " ")</f>
        <v>shaft</v>
      </c>
      <c r="P1102" s="129">
        <f>IFERROR(INDEX(DATABASE_FG!$G$5:$G$367, MATCH(E1102, DATABASE_FG!$C$5:$C$367, 0)), "Not Found")</f>
        <v>0</v>
      </c>
      <c r="Q1102" s="36"/>
      <c r="R1102" s="125"/>
      <c r="S1102" s="128">
        <f>Table1[[#This Row],[Quantity]]/48</f>
        <v>1.0625</v>
      </c>
      <c r="T1102" s="36"/>
      <c r="U1102" s="36"/>
      <c r="V1102" s="36"/>
      <c r="W1102" s="129"/>
      <c r="X1102" s="36"/>
      <c r="Y1102" s="36" t="s">
        <v>677</v>
      </c>
      <c r="Z1102" s="36"/>
      <c r="AA1102" s="125" t="s">
        <v>121</v>
      </c>
      <c r="AB1102" s="173">
        <v>45735</v>
      </c>
      <c r="AC1102" s="119">
        <v>25402</v>
      </c>
      <c r="AD1102" s="36">
        <f t="shared" si="125"/>
        <v>37349251</v>
      </c>
      <c r="AE1102" s="36" t="str">
        <f t="shared" si="126"/>
        <v>F-688040.02-0111.W.WE36</v>
      </c>
      <c r="AF1102" s="36">
        <v>51</v>
      </c>
      <c r="AG1102" s="120">
        <f t="shared" si="123"/>
        <v>353.94</v>
      </c>
      <c r="AH1102" s="36"/>
      <c r="AI1102" s="124"/>
      <c r="AJ1102" s="122" t="s">
        <v>2072</v>
      </c>
      <c r="AK1102" s="129" t="str">
        <f t="shared" ca="1" si="122"/>
        <v>Late</v>
      </c>
      <c r="AL1102" s="268" t="str">
        <f t="shared" si="124"/>
        <v>August</v>
      </c>
      <c r="AM1102" s="133">
        <f>YEAR(Table1[[#This Row],[ETA
As requested
dd.mm.yyyy]])</f>
        <v>2024</v>
      </c>
    </row>
    <row r="1103" spans="1:39" hidden="1">
      <c r="A1103" s="123" t="s">
        <v>82</v>
      </c>
      <c r="B1103" s="36" t="s">
        <v>1170</v>
      </c>
      <c r="C1103" s="117">
        <v>37349251</v>
      </c>
      <c r="D1103" s="165">
        <v>45474</v>
      </c>
      <c r="E1103" s="117" t="s">
        <v>528</v>
      </c>
      <c r="F1103" s="36">
        <f>IFERROR(VLOOKUP(Table1[[#This Row],[Part Number]],DATABASE_FG!$C$6:D11092,2,FALSE)," ")</f>
        <v>0</v>
      </c>
      <c r="G1103" s="117">
        <f>IFERROR(_xlfn.XLOOKUP(Table1[[#This Row],[Part Number]],Table3[Part number],Table3[Drawing
 Revision]),"")</f>
        <v>0</v>
      </c>
      <c r="H1103" s="118" cm="1">
        <f t="array" ref="H1103">IFERROR(INDEX(PDB!$C:$AT,MATCH(E1103,PDB!$B:$B,0),MATCH(YEAR(K1103),0+PDB!$C$1:$AT$1,0)),"")</f>
        <v>6.94</v>
      </c>
      <c r="I1103" s="36">
        <v>8</v>
      </c>
      <c r="J1103" s="125">
        <f>IFERROR(Table1[[#This Row],[Quantity]]*Table1[[#This Row],[Price/Unit
EUR]]," ")</f>
        <v>55.52</v>
      </c>
      <c r="K1103" s="126">
        <v>45520</v>
      </c>
      <c r="L1103" s="36">
        <f>WEEKNUM(Table1[[#This Row],[ETA
As requested
dd.mm.yyyy]])</f>
        <v>33</v>
      </c>
      <c r="M1103" s="36">
        <f>YEAR(Table1[[#This Row],[ETA
As requested
dd.mm.yyyy]])</f>
        <v>2024</v>
      </c>
      <c r="N1103" s="36">
        <f>IFERROR(INDEX(DATABASE_FG!$H$5:$H$367, MATCH(E1103, DATABASE_FG!$C$5:$C$367, 0)), " ")</f>
        <v>0</v>
      </c>
      <c r="O1103" s="129" t="str">
        <f>IF(E1103&lt;&gt;"", _xlfn.XLOOKUP(E1103, DATABASE_FG!C:C, DATABASE_FG!F:F), " ")</f>
        <v>shaft</v>
      </c>
      <c r="P1103" s="129">
        <f>IFERROR(INDEX(DATABASE_FG!$G$5:$G$367, MATCH(E1103, DATABASE_FG!$C$5:$C$367, 0)), "Not Found")</f>
        <v>0</v>
      </c>
      <c r="Q1103" s="36"/>
      <c r="R1103" s="125"/>
      <c r="S1103" s="128">
        <f>Table1[[#This Row],[Quantity]]/48</f>
        <v>0.16666666666666666</v>
      </c>
      <c r="T1103" s="36"/>
      <c r="U1103" s="36"/>
      <c r="V1103" s="36"/>
      <c r="W1103" s="129"/>
      <c r="X1103" s="36"/>
      <c r="Y1103" s="36" t="s">
        <v>677</v>
      </c>
      <c r="Z1103" s="36"/>
      <c r="AA1103" s="125" t="s">
        <v>121</v>
      </c>
      <c r="AB1103" s="173">
        <v>45735</v>
      </c>
      <c r="AC1103" s="119">
        <v>25409</v>
      </c>
      <c r="AD1103" s="36">
        <f t="shared" si="125"/>
        <v>37349251</v>
      </c>
      <c r="AE1103" s="36" t="str">
        <f t="shared" si="126"/>
        <v>F-688040.02-0111.W.WE36</v>
      </c>
      <c r="AF1103" s="36">
        <v>8</v>
      </c>
      <c r="AG1103" s="120">
        <f t="shared" si="123"/>
        <v>55.52</v>
      </c>
      <c r="AH1103" s="36"/>
      <c r="AI1103" s="124"/>
      <c r="AJ1103" s="122" t="s">
        <v>2073</v>
      </c>
      <c r="AK1103" s="129" t="str">
        <f t="shared" ca="1" si="122"/>
        <v>Late</v>
      </c>
      <c r="AL1103" s="268" t="str">
        <f t="shared" si="124"/>
        <v>August</v>
      </c>
      <c r="AM1103" s="133">
        <f>YEAR(Table1[[#This Row],[ETA
As requested
dd.mm.yyyy]])</f>
        <v>2024</v>
      </c>
    </row>
    <row r="1104" spans="1:39" hidden="1">
      <c r="A1104" s="123" t="s">
        <v>82</v>
      </c>
      <c r="B1104" s="36" t="s">
        <v>1170</v>
      </c>
      <c r="C1104" s="117">
        <v>37349251</v>
      </c>
      <c r="D1104" s="165">
        <v>45474</v>
      </c>
      <c r="E1104" s="117" t="s">
        <v>528</v>
      </c>
      <c r="F1104" s="36">
        <f>IFERROR(VLOOKUP(Table1[[#This Row],[Part Number]],DATABASE_FG!$C$6:D11093,2,FALSE)," ")</f>
        <v>0</v>
      </c>
      <c r="G1104" s="117">
        <f>IFERROR(_xlfn.XLOOKUP(Table1[[#This Row],[Part Number]],Table3[Part number],Table3[Drawing
 Revision]),"")</f>
        <v>0</v>
      </c>
      <c r="H1104" s="118" cm="1">
        <f t="array" ref="H1104">IFERROR(INDEX(PDB!$C:$AT,MATCH(E1104,PDB!$B:$B,0),MATCH(YEAR(K1104),0+PDB!$C$1:$AT$1,0)),"")</f>
        <v>6.94</v>
      </c>
      <c r="I1104" s="36">
        <v>131</v>
      </c>
      <c r="J1104" s="125">
        <f>IFERROR(Table1[[#This Row],[Quantity]]*Table1[[#This Row],[Price/Unit
EUR]]," ")</f>
        <v>909.1400000000001</v>
      </c>
      <c r="K1104" s="126">
        <v>45520</v>
      </c>
      <c r="L1104" s="36">
        <f>WEEKNUM(Table1[[#This Row],[ETA
As requested
dd.mm.yyyy]])</f>
        <v>33</v>
      </c>
      <c r="M1104" s="36">
        <f>YEAR(Table1[[#This Row],[ETA
As requested
dd.mm.yyyy]])</f>
        <v>2024</v>
      </c>
      <c r="N1104" s="36">
        <f>IFERROR(INDEX(DATABASE_FG!$H$5:$H$367, MATCH(E1104, DATABASE_FG!$C$5:$C$367, 0)), " ")</f>
        <v>0</v>
      </c>
      <c r="O1104" s="129" t="str">
        <f>IF(E1104&lt;&gt;"", _xlfn.XLOOKUP(E1104, DATABASE_FG!C:C, DATABASE_FG!F:F), " ")</f>
        <v>shaft</v>
      </c>
      <c r="P1104" s="129">
        <f>IFERROR(INDEX(DATABASE_FG!$G$5:$G$367, MATCH(E1104, DATABASE_FG!$C$5:$C$367, 0)), "Not Found")</f>
        <v>0</v>
      </c>
      <c r="Q1104" s="36"/>
      <c r="R1104" s="125"/>
      <c r="S1104" s="128">
        <f>Table1[[#This Row],[Quantity]]/48</f>
        <v>2.7291666666666665</v>
      </c>
      <c r="T1104" s="36"/>
      <c r="U1104" s="36"/>
      <c r="V1104" s="36"/>
      <c r="W1104" s="129"/>
      <c r="X1104" s="36"/>
      <c r="Y1104" s="36" t="s">
        <v>677</v>
      </c>
      <c r="Z1104" s="36"/>
      <c r="AA1104" s="125" t="s">
        <v>121</v>
      </c>
      <c r="AB1104" s="173">
        <v>45737</v>
      </c>
      <c r="AC1104" s="119">
        <v>25436</v>
      </c>
      <c r="AD1104" s="36">
        <f t="shared" si="125"/>
        <v>37349251</v>
      </c>
      <c r="AE1104" s="36" t="str">
        <f t="shared" si="126"/>
        <v>F-688040.02-0111.W.WE36</v>
      </c>
      <c r="AF1104" s="36">
        <v>131</v>
      </c>
      <c r="AG1104" s="120">
        <f t="shared" si="123"/>
        <v>909.1400000000001</v>
      </c>
      <c r="AH1104" s="36"/>
      <c r="AI1104" s="124"/>
      <c r="AJ1104" s="122" t="s">
        <v>2076</v>
      </c>
      <c r="AK1104" s="129" t="str">
        <f t="shared" ca="1" si="122"/>
        <v>Late</v>
      </c>
      <c r="AL1104" s="268" t="str">
        <f t="shared" si="124"/>
        <v>August</v>
      </c>
      <c r="AM1104" s="133">
        <f>YEAR(Table1[[#This Row],[ETA
As requested
dd.mm.yyyy]])</f>
        <v>2024</v>
      </c>
    </row>
    <row r="1105" spans="1:39" hidden="1">
      <c r="A1105" s="123" t="s">
        <v>82</v>
      </c>
      <c r="B1105" s="36" t="s">
        <v>1170</v>
      </c>
      <c r="C1105" s="117">
        <v>37349251</v>
      </c>
      <c r="D1105" s="165">
        <v>45474</v>
      </c>
      <c r="E1105" s="117" t="s">
        <v>528</v>
      </c>
      <c r="F1105" s="36">
        <f>IFERROR(VLOOKUP(Table1[[#This Row],[Part Number]],DATABASE_FG!$C$6:D11094,2,FALSE)," ")</f>
        <v>0</v>
      </c>
      <c r="G1105" s="117">
        <f>IFERROR(_xlfn.XLOOKUP(Table1[[#This Row],[Part Number]],Table3[Part number],Table3[Drawing
 Revision]),"")</f>
        <v>0</v>
      </c>
      <c r="H1105" s="118" cm="1">
        <f t="array" ref="H1105">IFERROR(INDEX(PDB!$C:$AT,MATCH(E1105,PDB!$B:$B,0),MATCH(YEAR(K1105),0+PDB!$C$1:$AT$1,0)),"")</f>
        <v>6.94</v>
      </c>
      <c r="I1105" s="36">
        <v>101</v>
      </c>
      <c r="J1105" s="125">
        <f>IFERROR(Table1[[#This Row],[Quantity]]*Table1[[#This Row],[Price/Unit
EUR]]," ")</f>
        <v>700.94</v>
      </c>
      <c r="K1105" s="126">
        <v>45520</v>
      </c>
      <c r="L1105" s="36">
        <f>WEEKNUM(Table1[[#This Row],[ETA
As requested
dd.mm.yyyy]])</f>
        <v>33</v>
      </c>
      <c r="M1105" s="36">
        <f>YEAR(Table1[[#This Row],[ETA
As requested
dd.mm.yyyy]])</f>
        <v>2024</v>
      </c>
      <c r="N1105" s="36">
        <f>IFERROR(INDEX(DATABASE_FG!$H$5:$H$367, MATCH(E1105, DATABASE_FG!$C$5:$C$367, 0)), " ")</f>
        <v>0</v>
      </c>
      <c r="O1105" s="129" t="str">
        <f>IF(E1105&lt;&gt;"", _xlfn.XLOOKUP(E1105, DATABASE_FG!C:C, DATABASE_FG!F:F), " ")</f>
        <v>shaft</v>
      </c>
      <c r="P1105" s="129">
        <f>IFERROR(INDEX(DATABASE_FG!$G$5:$G$367, MATCH(E1105, DATABASE_FG!$C$5:$C$367, 0)), "Not Found")</f>
        <v>0</v>
      </c>
      <c r="Q1105" s="36"/>
      <c r="R1105" s="125"/>
      <c r="S1105" s="128">
        <f>Table1[[#This Row],[Quantity]]/48</f>
        <v>2.1041666666666665</v>
      </c>
      <c r="T1105" s="36"/>
      <c r="U1105" s="36"/>
      <c r="V1105" s="36"/>
      <c r="W1105" s="129"/>
      <c r="X1105" s="36"/>
      <c r="Y1105" s="36" t="s">
        <v>677</v>
      </c>
      <c r="Z1105" s="36"/>
      <c r="AA1105" s="125" t="s">
        <v>121</v>
      </c>
      <c r="AB1105" s="173">
        <v>45742</v>
      </c>
      <c r="AC1105" s="119">
        <v>25460</v>
      </c>
      <c r="AD1105" s="36">
        <f t="shared" si="125"/>
        <v>37349251</v>
      </c>
      <c r="AE1105" s="36" t="str">
        <f t="shared" si="126"/>
        <v>F-688040.02-0111.W.WE36</v>
      </c>
      <c r="AF1105" s="36">
        <v>101</v>
      </c>
      <c r="AG1105" s="120">
        <f t="shared" si="123"/>
        <v>700.94</v>
      </c>
      <c r="AH1105" s="36"/>
      <c r="AI1105" s="124"/>
      <c r="AJ1105" s="122" t="s">
        <v>2079</v>
      </c>
      <c r="AK1105" s="129" t="str">
        <f t="shared" ca="1" si="122"/>
        <v>Late</v>
      </c>
      <c r="AL1105" s="268" t="str">
        <f t="shared" si="124"/>
        <v>August</v>
      </c>
      <c r="AM1105" s="133">
        <f>YEAR(Table1[[#This Row],[ETA
As requested
dd.mm.yyyy]])</f>
        <v>2024</v>
      </c>
    </row>
    <row r="1106" spans="1:39" hidden="1">
      <c r="A1106" s="123" t="s">
        <v>82</v>
      </c>
      <c r="B1106" s="36" t="s">
        <v>1170</v>
      </c>
      <c r="C1106" s="117">
        <v>37349251</v>
      </c>
      <c r="D1106" s="165">
        <v>45474</v>
      </c>
      <c r="E1106" s="117" t="s">
        <v>528</v>
      </c>
      <c r="F1106" s="36">
        <f>IFERROR(VLOOKUP(Table1[[#This Row],[Part Number]],DATABASE_FG!$C$6:D11095,2,FALSE)," ")</f>
        <v>0</v>
      </c>
      <c r="G1106" s="117">
        <f>IFERROR(_xlfn.XLOOKUP(Table1[[#This Row],[Part Number]],Table3[Part number],Table3[Drawing
 Revision]),"")</f>
        <v>0</v>
      </c>
      <c r="H1106" s="118" cm="1">
        <f t="array" ref="H1106">IFERROR(INDEX(PDB!$C:$AT,MATCH(E1106,PDB!$B:$B,0),MATCH(YEAR(K1106),0+PDB!$C$1:$AT$1,0)),"")</f>
        <v>6.94</v>
      </c>
      <c r="I1106" s="36">
        <v>239</v>
      </c>
      <c r="J1106" s="125">
        <f>IFERROR(Table1[[#This Row],[Quantity]]*Table1[[#This Row],[Price/Unit
EUR]]," ")</f>
        <v>1658.66</v>
      </c>
      <c r="K1106" s="126">
        <v>45520</v>
      </c>
      <c r="L1106" s="36">
        <f>WEEKNUM(Table1[[#This Row],[ETA
As requested
dd.mm.yyyy]])</f>
        <v>33</v>
      </c>
      <c r="M1106" s="36">
        <f>YEAR(Table1[[#This Row],[ETA
As requested
dd.mm.yyyy]])</f>
        <v>2024</v>
      </c>
      <c r="N1106" s="36">
        <f>IFERROR(INDEX(DATABASE_FG!$H$5:$H$367, MATCH(E1106, DATABASE_FG!$C$5:$C$367, 0)), " ")</f>
        <v>0</v>
      </c>
      <c r="O1106" s="129" t="str">
        <f>IF(E1106&lt;&gt;"", _xlfn.XLOOKUP(E1106, DATABASE_FG!C:C, DATABASE_FG!F:F), " ")</f>
        <v>shaft</v>
      </c>
      <c r="P1106" s="129">
        <f>IFERROR(INDEX(DATABASE_FG!$G$5:$G$367, MATCH(E1106, DATABASE_FG!$C$5:$C$367, 0)), "Not Found")</f>
        <v>0</v>
      </c>
      <c r="Q1106" s="36"/>
      <c r="R1106" s="125"/>
      <c r="S1106" s="128">
        <f>Table1[[#This Row],[Quantity]]/48</f>
        <v>4.979166666666667</v>
      </c>
      <c r="T1106" s="36"/>
      <c r="U1106" s="36"/>
      <c r="V1106" s="36"/>
      <c r="W1106" s="129"/>
      <c r="X1106" s="36"/>
      <c r="Y1106" s="36"/>
      <c r="Z1106" s="36"/>
      <c r="AA1106" s="125" t="s">
        <v>121</v>
      </c>
      <c r="AB1106" s="173">
        <v>45749</v>
      </c>
      <c r="AC1106" s="119" t="s">
        <v>2083</v>
      </c>
      <c r="AD1106" s="36">
        <f t="shared" si="125"/>
        <v>37349251</v>
      </c>
      <c r="AE1106" s="36" t="str">
        <f t="shared" si="126"/>
        <v>F-688040.02-0111.W.WE36</v>
      </c>
      <c r="AF1106" s="36">
        <v>239</v>
      </c>
      <c r="AG1106" s="120">
        <f t="shared" si="123"/>
        <v>1658.66</v>
      </c>
      <c r="AH1106" s="36"/>
      <c r="AI1106" s="124"/>
      <c r="AJ1106" s="122" t="s">
        <v>2084</v>
      </c>
      <c r="AK1106" s="129" t="str">
        <f t="shared" ref="AK1106:AK1174" ca="1" si="127">IF(AB1106="", IF(K1106 &lt; TODAY(), "Late", ""), IF(AB1106 &lt;= K1106 + 2, "On Time", "Late"))</f>
        <v>Late</v>
      </c>
      <c r="AL1106" s="268" t="str">
        <f t="shared" si="124"/>
        <v>August</v>
      </c>
      <c r="AM1106" s="133">
        <f>YEAR(Table1[[#This Row],[ETA
As requested
dd.mm.yyyy]])</f>
        <v>2024</v>
      </c>
    </row>
    <row r="1107" spans="1:39" hidden="1">
      <c r="A1107" s="123" t="s">
        <v>82</v>
      </c>
      <c r="B1107" s="36" t="s">
        <v>1170</v>
      </c>
      <c r="C1107" s="117">
        <v>37349251</v>
      </c>
      <c r="D1107" s="165">
        <v>45474</v>
      </c>
      <c r="E1107" s="117" t="s">
        <v>528</v>
      </c>
      <c r="F1107" s="36">
        <f>IFERROR(VLOOKUP(Table1[[#This Row],[Part Number]],DATABASE_FG!$C$6:D11096,2,FALSE)," ")</f>
        <v>0</v>
      </c>
      <c r="G1107" s="117">
        <f>IFERROR(_xlfn.XLOOKUP(Table1[[#This Row],[Part Number]],Table3[Part number],Table3[Drawing
 Revision]),"")</f>
        <v>0</v>
      </c>
      <c r="H1107" s="118" cm="1">
        <f t="array" ref="H1107">IFERROR(INDEX(PDB!$C:$AT,MATCH(E1107,PDB!$B:$B,0),MATCH(YEAR(K1107),0+PDB!$C$1:$AT$1,0)),"")</f>
        <v>6.94</v>
      </c>
      <c r="I1107" s="36">
        <v>416</v>
      </c>
      <c r="J1107" s="125">
        <f>IFERROR(Table1[[#This Row],[Quantity]]*Table1[[#This Row],[Price/Unit
EUR]]," ")</f>
        <v>2887.04</v>
      </c>
      <c r="K1107" s="126">
        <v>45520</v>
      </c>
      <c r="L1107" s="36">
        <f>WEEKNUM(Table1[[#This Row],[ETA
As requested
dd.mm.yyyy]])</f>
        <v>33</v>
      </c>
      <c r="M1107" s="36">
        <f>YEAR(Table1[[#This Row],[ETA
As requested
dd.mm.yyyy]])</f>
        <v>2024</v>
      </c>
      <c r="N1107" s="36">
        <f>IFERROR(INDEX(DATABASE_FG!$H$5:$H$367, MATCH(E1107, DATABASE_FG!$C$5:$C$367, 0)), " ")</f>
        <v>0</v>
      </c>
      <c r="O1107" s="129" t="str">
        <f>IF(E1107&lt;&gt;"", _xlfn.XLOOKUP(E1107, DATABASE_FG!C:C, DATABASE_FG!F:F), " ")</f>
        <v>shaft</v>
      </c>
      <c r="P1107" s="129">
        <f>IFERROR(INDEX(DATABASE_FG!$G$5:$G$367, MATCH(E1107, DATABASE_FG!$C$5:$C$367, 0)), "Not Found")</f>
        <v>0</v>
      </c>
      <c r="Q1107" s="36"/>
      <c r="R1107" s="125"/>
      <c r="S1107" s="128">
        <f>Table1[[#This Row],[Quantity]]/48</f>
        <v>8.6666666666666661</v>
      </c>
      <c r="T1107" s="36"/>
      <c r="U1107" s="36"/>
      <c r="V1107" s="36"/>
      <c r="W1107" s="129"/>
      <c r="X1107" s="36"/>
      <c r="Y1107" s="36" t="s">
        <v>677</v>
      </c>
      <c r="Z1107" s="36"/>
      <c r="AA1107" s="125" t="s">
        <v>121</v>
      </c>
      <c r="AB1107" s="173">
        <v>45754</v>
      </c>
      <c r="AC1107" s="119">
        <v>25554</v>
      </c>
      <c r="AD1107" s="36">
        <f t="shared" si="125"/>
        <v>37349251</v>
      </c>
      <c r="AE1107" s="36" t="str">
        <f t="shared" si="126"/>
        <v>F-688040.02-0111.W.WE36</v>
      </c>
      <c r="AF1107" s="36">
        <v>416</v>
      </c>
      <c r="AG1107" s="120">
        <f t="shared" si="123"/>
        <v>2887.04</v>
      </c>
      <c r="AH1107" s="36"/>
      <c r="AI1107" s="124"/>
      <c r="AJ1107" s="122" t="s">
        <v>2087</v>
      </c>
      <c r="AK1107" s="129" t="str">
        <f t="shared" ca="1" si="127"/>
        <v>Late</v>
      </c>
      <c r="AL1107" s="268" t="str">
        <f t="shared" si="124"/>
        <v>August</v>
      </c>
      <c r="AM1107" s="133">
        <f>YEAR(Table1[[#This Row],[ETA
As requested
dd.mm.yyyy]])</f>
        <v>2024</v>
      </c>
    </row>
    <row r="1108" spans="1:39" hidden="1">
      <c r="A1108" s="123" t="s">
        <v>82</v>
      </c>
      <c r="B1108" s="36" t="s">
        <v>1170</v>
      </c>
      <c r="C1108" s="117">
        <v>37349251</v>
      </c>
      <c r="D1108" s="165">
        <v>45474</v>
      </c>
      <c r="E1108" s="117" t="s">
        <v>528</v>
      </c>
      <c r="F1108" s="36">
        <f>IFERROR(VLOOKUP(Table1[[#This Row],[Part Number]],DATABASE_FG!$C$6:D11097,2,FALSE)," ")</f>
        <v>0</v>
      </c>
      <c r="G1108" s="117">
        <f>IFERROR(_xlfn.XLOOKUP(Table1[[#This Row],[Part Number]],Table3[Part number],Table3[Drawing
 Revision]),"")</f>
        <v>0</v>
      </c>
      <c r="H1108" s="118" cm="1">
        <f t="array" ref="H1108">IFERROR(INDEX(PDB!$C:$AT,MATCH(E1108,PDB!$B:$B,0),MATCH(YEAR(K1108),0+PDB!$C$1:$AT$1,0)),"")</f>
        <v>6.94</v>
      </c>
      <c r="I1108" s="36">
        <v>18</v>
      </c>
      <c r="J1108" s="125">
        <f>IFERROR(Table1[[#This Row],[Quantity]]*Table1[[#This Row],[Price/Unit
EUR]]," ")</f>
        <v>124.92</v>
      </c>
      <c r="K1108" s="126">
        <v>45520</v>
      </c>
      <c r="L1108" s="36">
        <f>WEEKNUM(Table1[[#This Row],[ETA
As requested
dd.mm.yyyy]])</f>
        <v>33</v>
      </c>
      <c r="M1108" s="36">
        <f>YEAR(Table1[[#This Row],[ETA
As requested
dd.mm.yyyy]])</f>
        <v>2024</v>
      </c>
      <c r="N1108" s="36">
        <f>IFERROR(INDEX(DATABASE_FG!$H$5:$H$367, MATCH(E1108, DATABASE_FG!$C$5:$C$367, 0)), " ")</f>
        <v>0</v>
      </c>
      <c r="O1108" s="129" t="str">
        <f>IF(E1108&lt;&gt;"", _xlfn.XLOOKUP(E1108, DATABASE_FG!C:C, DATABASE_FG!F:F), " ")</f>
        <v>shaft</v>
      </c>
      <c r="P1108" s="129">
        <f>IFERROR(INDEX(DATABASE_FG!$G$5:$G$367, MATCH(E1108, DATABASE_FG!$C$5:$C$367, 0)), "Not Found")</f>
        <v>0</v>
      </c>
      <c r="Q1108" s="36"/>
      <c r="R1108" s="125"/>
      <c r="S1108" s="128">
        <f>Table1[[#This Row],[Quantity]]/48</f>
        <v>0.375</v>
      </c>
      <c r="T1108" s="36"/>
      <c r="U1108" s="36"/>
      <c r="V1108" s="36"/>
      <c r="W1108" s="129"/>
      <c r="X1108" s="36"/>
      <c r="Y1108" s="36" t="s">
        <v>677</v>
      </c>
      <c r="Z1108" s="36"/>
      <c r="AA1108" s="125" t="s">
        <v>121</v>
      </c>
      <c r="AB1108" s="173">
        <v>45754</v>
      </c>
      <c r="AC1108" s="119">
        <v>25558</v>
      </c>
      <c r="AD1108" s="36">
        <f t="shared" si="125"/>
        <v>37349251</v>
      </c>
      <c r="AE1108" s="36" t="str">
        <f t="shared" si="126"/>
        <v>F-688040.02-0111.W.WE36</v>
      </c>
      <c r="AF1108" s="36">
        <v>18</v>
      </c>
      <c r="AG1108" s="120">
        <f t="shared" si="123"/>
        <v>124.92</v>
      </c>
      <c r="AH1108" s="36"/>
      <c r="AI1108" s="124"/>
      <c r="AJ1108" s="122" t="s">
        <v>2088</v>
      </c>
      <c r="AK1108" s="129" t="str">
        <f t="shared" ca="1" si="127"/>
        <v>Late</v>
      </c>
      <c r="AL1108" s="268" t="str">
        <f t="shared" si="124"/>
        <v>August</v>
      </c>
      <c r="AM1108" s="133">
        <f>YEAR(Table1[[#This Row],[ETA
As requested
dd.mm.yyyy]])</f>
        <v>2024</v>
      </c>
    </row>
    <row r="1109" spans="1:39" hidden="1">
      <c r="A1109" s="123" t="s">
        <v>82</v>
      </c>
      <c r="B1109" s="36" t="s">
        <v>1170</v>
      </c>
      <c r="C1109" s="117">
        <v>37349251</v>
      </c>
      <c r="D1109" s="165">
        <v>45474</v>
      </c>
      <c r="E1109" s="117" t="s">
        <v>528</v>
      </c>
      <c r="F1109" s="36">
        <f>IFERROR(VLOOKUP(Table1[[#This Row],[Part Number]],DATABASE_FG!$C$6:D11098,2,FALSE)," ")</f>
        <v>0</v>
      </c>
      <c r="G1109" s="117">
        <f>IFERROR(_xlfn.XLOOKUP(Table1[[#This Row],[Part Number]],Table3[Part number],Table3[Drawing
 Revision]),"")</f>
        <v>0</v>
      </c>
      <c r="H1109" s="118" cm="1">
        <f t="array" ref="H1109">IFERROR(INDEX(PDB!$C:$AT,MATCH(E1109,PDB!$B:$B,0),MATCH(YEAR(K1109),0+PDB!$C$1:$AT$1,0)),"")</f>
        <v>6.94</v>
      </c>
      <c r="I1109" s="36">
        <v>9</v>
      </c>
      <c r="J1109" s="125">
        <f>IFERROR(Table1[[#This Row],[Quantity]]*Table1[[#This Row],[Price/Unit
EUR]]," ")</f>
        <v>62.46</v>
      </c>
      <c r="K1109" s="126">
        <v>45520</v>
      </c>
      <c r="L1109" s="36">
        <f>WEEKNUM(Table1[[#This Row],[ETA
As requested
dd.mm.yyyy]])</f>
        <v>33</v>
      </c>
      <c r="M1109" s="36">
        <f>YEAR(Table1[[#This Row],[ETA
As requested
dd.mm.yyyy]])</f>
        <v>2024</v>
      </c>
      <c r="N1109" s="36">
        <f>IFERROR(INDEX(DATABASE_FG!$H$5:$H$367, MATCH(E1109, DATABASE_FG!$C$5:$C$367, 0)), " ")</f>
        <v>0</v>
      </c>
      <c r="O1109" s="129" t="str">
        <f>IF(E1109&lt;&gt;"", _xlfn.XLOOKUP(E1109, DATABASE_FG!C:C, DATABASE_FG!F:F), " ")</f>
        <v>shaft</v>
      </c>
      <c r="P1109" s="129">
        <f>IFERROR(INDEX(DATABASE_FG!$G$5:$G$367, MATCH(E1109, DATABASE_FG!$C$5:$C$367, 0)), "Not Found")</f>
        <v>0</v>
      </c>
      <c r="Q1109" s="36"/>
      <c r="R1109" s="125"/>
      <c r="S1109" s="128">
        <f>Table1[[#This Row],[Quantity]]/48</f>
        <v>0.1875</v>
      </c>
      <c r="T1109" s="36"/>
      <c r="U1109" s="36"/>
      <c r="V1109" s="36"/>
      <c r="W1109" s="129"/>
      <c r="X1109" s="36"/>
      <c r="Y1109" s="36"/>
      <c r="Z1109" s="36"/>
      <c r="AA1109" s="125" t="s">
        <v>121</v>
      </c>
      <c r="AB1109" s="173">
        <v>45758</v>
      </c>
      <c r="AC1109" s="119">
        <v>25606</v>
      </c>
      <c r="AD1109" s="36">
        <f t="shared" si="125"/>
        <v>37349251</v>
      </c>
      <c r="AE1109" s="36" t="str">
        <f t="shared" si="126"/>
        <v>F-688040.02-0111.W.WE36</v>
      </c>
      <c r="AF1109" s="36">
        <v>9</v>
      </c>
      <c r="AG1109" s="120">
        <f t="shared" si="123"/>
        <v>62.46</v>
      </c>
      <c r="AH1109" s="36"/>
      <c r="AI1109" s="124"/>
      <c r="AJ1109" s="122" t="s">
        <v>2091</v>
      </c>
      <c r="AK1109" s="129" t="str">
        <f t="shared" ca="1" si="127"/>
        <v>Late</v>
      </c>
      <c r="AL1109" s="268" t="str">
        <f t="shared" si="124"/>
        <v>August</v>
      </c>
      <c r="AM1109" s="133">
        <f>YEAR(Table1[[#This Row],[ETA
As requested
dd.mm.yyyy]])</f>
        <v>2024</v>
      </c>
    </row>
    <row r="1110" spans="1:39" hidden="1">
      <c r="A1110" s="123" t="s">
        <v>82</v>
      </c>
      <c r="B1110" s="36" t="s">
        <v>1170</v>
      </c>
      <c r="C1110" s="117">
        <v>37349251</v>
      </c>
      <c r="D1110" s="165">
        <v>45474</v>
      </c>
      <c r="E1110" s="117" t="s">
        <v>528</v>
      </c>
      <c r="F1110" s="36">
        <f>IFERROR(VLOOKUP(Table1[[#This Row],[Part Number]],DATABASE_FG!$C$6:D11099,2,FALSE)," ")</f>
        <v>0</v>
      </c>
      <c r="G1110" s="117">
        <f>IFERROR(_xlfn.XLOOKUP(Table1[[#This Row],[Part Number]],Table3[Part number],Table3[Drawing
 Revision]),"")</f>
        <v>0</v>
      </c>
      <c r="H1110" s="118" cm="1">
        <f t="array" ref="H1110">IFERROR(INDEX(PDB!$C:$AT,MATCH(E1110,PDB!$B:$B,0),MATCH(YEAR(K1110),0+PDB!$C$1:$AT$1,0)),"")</f>
        <v>6.94</v>
      </c>
      <c r="I1110" s="36">
        <f>456-416-18-9</f>
        <v>13</v>
      </c>
      <c r="J1110" s="125">
        <f>IFERROR(Table1[[#This Row],[Quantity]]*Table1[[#This Row],[Price/Unit
EUR]]," ")</f>
        <v>90.22</v>
      </c>
      <c r="K1110" s="126">
        <v>45520</v>
      </c>
      <c r="L1110" s="36">
        <f>WEEKNUM(Table1[[#This Row],[ETA
As requested
dd.mm.yyyy]])</f>
        <v>33</v>
      </c>
      <c r="M1110" s="36">
        <f>YEAR(Table1[[#This Row],[ETA
As requested
dd.mm.yyyy]])</f>
        <v>2024</v>
      </c>
      <c r="N1110" s="36">
        <f>IFERROR(INDEX(DATABASE_FG!$H$5:$H$367, MATCH(E1110, DATABASE_FG!$C$5:$C$367, 0)), " ")</f>
        <v>0</v>
      </c>
      <c r="O1110" s="129" t="str">
        <f>IF(E1110&lt;&gt;"", _xlfn.XLOOKUP(E1110, DATABASE_FG!C:C, DATABASE_FG!F:F), " ")</f>
        <v>shaft</v>
      </c>
      <c r="P1110" s="129">
        <f>IFERROR(INDEX(DATABASE_FG!$G$5:$G$367, MATCH(E1110, DATABASE_FG!$C$5:$C$367, 0)), "Not Found")</f>
        <v>0</v>
      </c>
      <c r="Q1110" s="36"/>
      <c r="R1110" s="125"/>
      <c r="S1110" s="128">
        <f>Table1[[#This Row],[Quantity]]/48</f>
        <v>0.27083333333333331</v>
      </c>
      <c r="T1110" s="36"/>
      <c r="U1110" s="36"/>
      <c r="V1110" s="36"/>
      <c r="W1110" s="129"/>
      <c r="X1110" s="36"/>
      <c r="Y1110" s="36" t="s">
        <v>677</v>
      </c>
      <c r="Z1110" s="36"/>
      <c r="AA1110" s="125" t="s">
        <v>121</v>
      </c>
      <c r="AB1110" s="173">
        <v>45764</v>
      </c>
      <c r="AC1110" s="119">
        <v>25627</v>
      </c>
      <c r="AD1110" s="36">
        <f t="shared" si="125"/>
        <v>37349251</v>
      </c>
      <c r="AE1110" s="36" t="str">
        <f t="shared" si="126"/>
        <v>F-688040.02-0111.W.WE36</v>
      </c>
      <c r="AF1110" s="36">
        <v>13</v>
      </c>
      <c r="AG1110" s="120">
        <f t="shared" si="123"/>
        <v>90.22</v>
      </c>
      <c r="AH1110" s="36"/>
      <c r="AI1110" s="124"/>
      <c r="AJ1110" s="122" t="s">
        <v>2094</v>
      </c>
      <c r="AK1110" s="129" t="str">
        <f t="shared" ca="1" si="127"/>
        <v>Late</v>
      </c>
      <c r="AL1110" s="268" t="str">
        <f t="shared" si="124"/>
        <v>August</v>
      </c>
      <c r="AM1110" s="133">
        <f>YEAR(Table1[[#This Row],[ETA
As requested
dd.mm.yyyy]])</f>
        <v>2024</v>
      </c>
    </row>
    <row r="1111" spans="1:39" hidden="1">
      <c r="A1111" s="123" t="s">
        <v>82</v>
      </c>
      <c r="B1111" s="36" t="s">
        <v>1170</v>
      </c>
      <c r="C1111" s="117">
        <v>37349251</v>
      </c>
      <c r="D1111" s="165">
        <v>45474</v>
      </c>
      <c r="E1111" s="117" t="s">
        <v>528</v>
      </c>
      <c r="F1111" s="36">
        <f>IFERROR(VLOOKUP(Table1[[#This Row],[Part Number]],DATABASE_FG!$C$6:D11100,2,FALSE)," ")</f>
        <v>0</v>
      </c>
      <c r="G1111" s="117">
        <f>IFERROR(_xlfn.XLOOKUP(Table1[[#This Row],[Part Number]],Table3[Part number],Table3[Drawing
 Revision]),"")</f>
        <v>0</v>
      </c>
      <c r="H1111" s="118" cm="1">
        <f t="array" ref="H1111">IFERROR(INDEX(PDB!$C:$AT,MATCH(E1111,PDB!$B:$B,0),MATCH(YEAR(K1111),0+PDB!$C$1:$AT$1,0)),"")</f>
        <v>6.94</v>
      </c>
      <c r="I1111" s="36">
        <v>173</v>
      </c>
      <c r="J1111" s="125">
        <f>IFERROR(Table1[[#This Row],[Quantity]]*Table1[[#This Row],[Price/Unit
EUR]]," ")</f>
        <v>1200.6200000000001</v>
      </c>
      <c r="K1111" s="126">
        <v>45521</v>
      </c>
      <c r="L1111" s="36">
        <f>WEEKNUM(Table1[[#This Row],[ETA
As requested
dd.mm.yyyy]])</f>
        <v>33</v>
      </c>
      <c r="M1111" s="36">
        <f>YEAR(Table1[[#This Row],[ETA
As requested
dd.mm.yyyy]])</f>
        <v>2024</v>
      </c>
      <c r="N1111" s="36">
        <f>IFERROR(INDEX(DATABASE_FG!$H$5:$H$367, MATCH(E1111, DATABASE_FG!$C$5:$C$367, 0)), " ")</f>
        <v>0</v>
      </c>
      <c r="O1111" s="129" t="str">
        <f>IF(E1111&lt;&gt;"", _xlfn.XLOOKUP(E1111, DATABASE_FG!C:C, DATABASE_FG!F:F), " ")</f>
        <v>shaft</v>
      </c>
      <c r="P1111" s="129">
        <f>IFERROR(INDEX(DATABASE_FG!$G$5:$G$367, MATCH(E1111, DATABASE_FG!$C$5:$C$367, 0)), "Not Found")</f>
        <v>0</v>
      </c>
      <c r="Q1111" s="36"/>
      <c r="R1111" s="125"/>
      <c r="S1111" s="123">
        <f>Table1[[#This Row],[Quantity]]/48</f>
        <v>3.6041666666666665</v>
      </c>
      <c r="T1111" s="36"/>
      <c r="U1111" s="36"/>
      <c r="V1111" s="36"/>
      <c r="W1111" s="129"/>
      <c r="X1111" s="36"/>
      <c r="Y1111" s="36"/>
      <c r="Z1111" s="36"/>
      <c r="AA1111" s="125" t="s">
        <v>121</v>
      </c>
      <c r="AB1111" s="173">
        <v>45681</v>
      </c>
      <c r="AC1111" s="119">
        <v>2597</v>
      </c>
      <c r="AD1111" s="36">
        <f t="shared" si="125"/>
        <v>37349251</v>
      </c>
      <c r="AE1111" s="36" t="str">
        <f t="shared" si="126"/>
        <v>F-688040.02-0111.W.WE36</v>
      </c>
      <c r="AF1111" s="36">
        <v>173</v>
      </c>
      <c r="AG1111" s="120">
        <f t="shared" si="123"/>
        <v>1200.6200000000001</v>
      </c>
      <c r="AH1111" s="36"/>
      <c r="AI1111" s="124"/>
      <c r="AJ1111" s="122" t="s">
        <v>2101</v>
      </c>
      <c r="AK1111" s="129" t="str">
        <f t="shared" ca="1" si="127"/>
        <v>Late</v>
      </c>
      <c r="AL1111" s="268" t="str">
        <f t="shared" si="124"/>
        <v>August</v>
      </c>
      <c r="AM1111" s="133">
        <f>YEAR(Table1[[#This Row],[ETA
As requested
dd.mm.yyyy]])</f>
        <v>2024</v>
      </c>
    </row>
    <row r="1112" spans="1:39" hidden="1">
      <c r="A1112" s="123" t="s">
        <v>82</v>
      </c>
      <c r="B1112" s="36" t="s">
        <v>1170</v>
      </c>
      <c r="C1112" s="117">
        <v>36654144</v>
      </c>
      <c r="D1112" s="165">
        <v>45405</v>
      </c>
      <c r="E1112" s="117" t="s">
        <v>1473</v>
      </c>
      <c r="F1112" s="36" t="str">
        <f>IFERROR(VLOOKUP(Table1[[#This Row],[Part Number]],DATABASE_FG!$C$6:D11101,2,FALSE)," ")</f>
        <v>shaft</v>
      </c>
      <c r="G1112" s="117">
        <f>IFERROR(_xlfn.XLOOKUP(Table1[[#This Row],[Part Number]],Table3[Part number],Table3[Drawing
 Revision]),"")</f>
        <v>0</v>
      </c>
      <c r="H1112" s="118" cm="1">
        <f t="array" ref="H1112">IFERROR(INDEX(PDB!$C:$AT,MATCH(E1112,PDB!$B:$B,0),MATCH(YEAR(K1112),0+PDB!$C$1:$AT$1,0)),"")</f>
        <v>6.94</v>
      </c>
      <c r="I1112" s="36">
        <v>5</v>
      </c>
      <c r="J1112" s="125">
        <f>IFERROR(Table1[[#This Row],[Quantity]]*Table1[[#This Row],[Price/Unit
EUR]]," ")</f>
        <v>34.700000000000003</v>
      </c>
      <c r="K1112" s="126">
        <v>45419</v>
      </c>
      <c r="L1112" s="36">
        <f>WEEKNUM(Table1[[#This Row],[ETA
As requested
dd.mm.yyyy]])</f>
        <v>19</v>
      </c>
      <c r="M1112" s="36">
        <f>YEAR(Table1[[#This Row],[ETA
As requested
dd.mm.yyyy]])</f>
        <v>2024</v>
      </c>
      <c r="N1112" s="36">
        <f>IFERROR(INDEX(DATABASE_FG!$H$5:$H$367, MATCH(E1112, DATABASE_FG!$C$5:$C$367, 0)), " ")</f>
        <v>0</v>
      </c>
      <c r="O1112" s="129" t="str">
        <f>IF(E1112&lt;&gt;"", _xlfn.XLOOKUP(E1112, DATABASE_FG!C:C, DATABASE_FG!F:F), " ")</f>
        <v>shaft</v>
      </c>
      <c r="P1112" s="129">
        <f>IFERROR(INDEX(DATABASE_FG!$G$5:$G$367, MATCH(E1112, DATABASE_FG!$C$5:$C$367, 0)), "Not Found")</f>
        <v>50</v>
      </c>
      <c r="Q1112" s="36"/>
      <c r="R1112" s="125" t="s">
        <v>680</v>
      </c>
      <c r="S1112" s="123">
        <f>IFERROR(INDEX(DATABASE_FG!$L$5:$L$367, MATCH(E1112, DATABASE_FG!$C$5:$C$367, 0)), " ")</f>
        <v>56</v>
      </c>
      <c r="T1112" s="36" t="s">
        <v>679</v>
      </c>
      <c r="U1112" s="36"/>
      <c r="V1112" s="36"/>
      <c r="W1112" s="129"/>
      <c r="X1112" s="36"/>
      <c r="Y1112" s="36"/>
      <c r="Z1112" s="36">
        <v>242217</v>
      </c>
      <c r="AA1112" s="125" t="s">
        <v>121</v>
      </c>
      <c r="AB1112" s="173">
        <v>45499</v>
      </c>
      <c r="AC1112" s="119">
        <v>2024924</v>
      </c>
      <c r="AD1112" s="36">
        <f t="shared" si="125"/>
        <v>36654144</v>
      </c>
      <c r="AE1112" s="36" t="str">
        <f t="shared" si="126"/>
        <v>F-688040.02-0211.W.WE36</v>
      </c>
      <c r="AF1112" s="36">
        <v>5</v>
      </c>
      <c r="AG1112" s="120">
        <f t="shared" si="123"/>
        <v>34.700000000000003</v>
      </c>
      <c r="AH1112" s="36"/>
      <c r="AI1112" s="124" t="s">
        <v>1474</v>
      </c>
      <c r="AJ1112" s="122" t="s">
        <v>1475</v>
      </c>
      <c r="AK1112" s="129" t="str">
        <f t="shared" ca="1" si="127"/>
        <v>Late</v>
      </c>
      <c r="AL1112" s="268" t="str">
        <f t="shared" si="124"/>
        <v>May</v>
      </c>
      <c r="AM1112" s="133">
        <f>YEAR(Table1[[#This Row],[ETA
As requested
dd.mm.yyyy]])</f>
        <v>2024</v>
      </c>
    </row>
    <row r="1113" spans="1:39" hidden="1">
      <c r="A1113" s="123" t="s">
        <v>82</v>
      </c>
      <c r="B1113" s="36" t="s">
        <v>1170</v>
      </c>
      <c r="C1113" s="117">
        <v>37349251</v>
      </c>
      <c r="D1113" s="165">
        <v>45474</v>
      </c>
      <c r="E1113" s="117" t="s">
        <v>1473</v>
      </c>
      <c r="F1113" s="36" t="str">
        <f>IFERROR(VLOOKUP(Table1[[#This Row],[Part Number]],DATABASE_FG!$C$6:D11102,2,FALSE)," ")</f>
        <v>shaft</v>
      </c>
      <c r="G1113" s="117">
        <f>IFERROR(_xlfn.XLOOKUP(Table1[[#This Row],[Part Number]],Table3[Part number],Table3[Drawing
 Revision]),"")</f>
        <v>0</v>
      </c>
      <c r="H1113" s="118" cm="1">
        <f t="array" ref="H1113">IFERROR(INDEX(PDB!$C:$AT,MATCH(E1113,PDB!$B:$B,0),MATCH(YEAR(K1113),0+PDB!$C$1:$AT$1,0)),"")</f>
        <v>6.94</v>
      </c>
      <c r="I1113" s="36">
        <v>128</v>
      </c>
      <c r="J1113" s="125">
        <f>IFERROR(Table1[[#This Row],[Quantity]]*Table1[[#This Row],[Price/Unit
EUR]]," ")</f>
        <v>888.32</v>
      </c>
      <c r="K1113" s="126">
        <v>45520</v>
      </c>
      <c r="L1113" s="36">
        <f>WEEKNUM(Table1[[#This Row],[ETA
As requested
dd.mm.yyyy]])</f>
        <v>33</v>
      </c>
      <c r="M1113" s="36">
        <f>YEAR(Table1[[#This Row],[ETA
As requested
dd.mm.yyyy]])</f>
        <v>2024</v>
      </c>
      <c r="N1113" s="36">
        <f>IFERROR(INDEX(DATABASE_FG!$H$5:$H$367, MATCH(E1113, DATABASE_FG!$C$5:$C$367, 0)), " ")</f>
        <v>0</v>
      </c>
      <c r="O1113" s="129" t="str">
        <f>IF(E1113&lt;&gt;"", _xlfn.XLOOKUP(E1113, DATABASE_FG!C:C, DATABASE_FG!F:F), " ")</f>
        <v>shaft</v>
      </c>
      <c r="P1113" s="129">
        <f>IFERROR(INDEX(DATABASE_FG!$G$5:$G$367, MATCH(E1113, DATABASE_FG!$C$5:$C$367, 0)), "Not Found")</f>
        <v>50</v>
      </c>
      <c r="Q1113" s="36"/>
      <c r="R1113" s="125" t="s">
        <v>680</v>
      </c>
      <c r="S1113" s="123">
        <f>IFERROR(INDEX(DATABASE_FG!$L$5:$L$367, MATCH(E1113, DATABASE_FG!$C$5:$C$367, 0)), " ")</f>
        <v>56</v>
      </c>
      <c r="T1113" s="36" t="s">
        <v>679</v>
      </c>
      <c r="U1113" s="36"/>
      <c r="V1113" s="36"/>
      <c r="W1113" s="129"/>
      <c r="X1113" s="36"/>
      <c r="Y1113" s="36"/>
      <c r="Z1113" s="36"/>
      <c r="AA1113" s="125" t="s">
        <v>121</v>
      </c>
      <c r="AB1113" s="173">
        <v>45617</v>
      </c>
      <c r="AC1113" s="119">
        <v>202401412</v>
      </c>
      <c r="AD1113" s="36">
        <f t="shared" si="125"/>
        <v>37349251</v>
      </c>
      <c r="AE1113" s="36" t="str">
        <f t="shared" si="126"/>
        <v>F-688040.02-0211.W.WE36</v>
      </c>
      <c r="AF1113" s="36">
        <v>128</v>
      </c>
      <c r="AG1113" s="120">
        <f t="shared" si="123"/>
        <v>888.32</v>
      </c>
      <c r="AH1113" s="36"/>
      <c r="AI1113" s="124"/>
      <c r="AJ1113" s="122" t="s">
        <v>2005</v>
      </c>
      <c r="AK1113" s="129" t="str">
        <f t="shared" ca="1" si="127"/>
        <v>Late</v>
      </c>
      <c r="AL1113" s="268" t="str">
        <f t="shared" si="124"/>
        <v>August</v>
      </c>
      <c r="AM1113" s="133">
        <f>YEAR(Table1[[#This Row],[ETA
As requested
dd.mm.yyyy]])</f>
        <v>2024</v>
      </c>
    </row>
    <row r="1114" spans="1:39" hidden="1">
      <c r="A1114" s="123" t="s">
        <v>82</v>
      </c>
      <c r="B1114" s="36" t="s">
        <v>1170</v>
      </c>
      <c r="C1114" s="117">
        <v>37349251</v>
      </c>
      <c r="D1114" s="165">
        <v>45474</v>
      </c>
      <c r="E1114" s="117" t="s">
        <v>1473</v>
      </c>
      <c r="F1114" s="36" t="str">
        <f>IFERROR(VLOOKUP(Table1[[#This Row],[Part Number]],DATABASE_FG!$C$6:D11103,2,FALSE)," ")</f>
        <v>shaft</v>
      </c>
      <c r="G1114" s="117">
        <f>IFERROR(_xlfn.XLOOKUP(Table1[[#This Row],[Part Number]],Table3[Part number],Table3[Drawing
 Revision]),"")</f>
        <v>0</v>
      </c>
      <c r="H1114" s="118" cm="1">
        <f t="array" ref="H1114">IFERROR(INDEX(PDB!$C:$AT,MATCH(E1114,PDB!$B:$B,0),MATCH(YEAR(K1114),0+PDB!$C$1:$AT$1,0)),"")</f>
        <v>6.94</v>
      </c>
      <c r="I1114" s="36">
        <v>82</v>
      </c>
      <c r="J1114" s="125">
        <f>IFERROR(Table1[[#This Row],[Quantity]]*Table1[[#This Row],[Price/Unit
EUR]]," ")</f>
        <v>569.08000000000004</v>
      </c>
      <c r="K1114" s="126">
        <v>45520</v>
      </c>
      <c r="L1114" s="36">
        <f>WEEKNUM(Table1[[#This Row],[ETA
As requested
dd.mm.yyyy]])</f>
        <v>33</v>
      </c>
      <c r="M1114" s="36">
        <f>YEAR(Table1[[#This Row],[ETA
As requested
dd.mm.yyyy]])</f>
        <v>2024</v>
      </c>
      <c r="N1114" s="36">
        <f>IFERROR(INDEX(DATABASE_FG!$H$5:$H$367, MATCH(E1114, DATABASE_FG!$C$5:$C$367, 0)), " ")</f>
        <v>0</v>
      </c>
      <c r="O1114" s="129" t="str">
        <f>IF(E1114&lt;&gt;"", _xlfn.XLOOKUP(E1114, DATABASE_FG!C:C, DATABASE_FG!F:F), " ")</f>
        <v>shaft</v>
      </c>
      <c r="P1114" s="129">
        <f>IFERROR(INDEX(DATABASE_FG!$G$5:$G$367, MATCH(E1114, DATABASE_FG!$C$5:$C$367, 0)), "Not Found")</f>
        <v>50</v>
      </c>
      <c r="Q1114" s="36"/>
      <c r="R1114" s="125" t="s">
        <v>680</v>
      </c>
      <c r="S1114" s="123">
        <f>IFERROR(INDEX(DATABASE_FG!$L$5:$L$367, MATCH(E1114, DATABASE_FG!$C$5:$C$367, 0)), " ")</f>
        <v>56</v>
      </c>
      <c r="T1114" s="36" t="s">
        <v>679</v>
      </c>
      <c r="U1114" s="36"/>
      <c r="V1114" s="36"/>
      <c r="W1114" s="129"/>
      <c r="X1114" s="36"/>
      <c r="Y1114" s="36"/>
      <c r="Z1114" s="36"/>
      <c r="AA1114" s="125" t="s">
        <v>121</v>
      </c>
      <c r="AB1114" s="173">
        <v>45640</v>
      </c>
      <c r="AC1114" s="119">
        <v>202401553</v>
      </c>
      <c r="AD1114" s="36">
        <f t="shared" si="125"/>
        <v>37349251</v>
      </c>
      <c r="AE1114" s="36" t="str">
        <f t="shared" si="126"/>
        <v>F-688040.02-0211.W.WE36</v>
      </c>
      <c r="AF1114" s="36">
        <v>82</v>
      </c>
      <c r="AG1114" s="120">
        <f t="shared" si="123"/>
        <v>569.08000000000004</v>
      </c>
      <c r="AH1114" s="36"/>
      <c r="AI1114" s="124"/>
      <c r="AJ1114" s="122" t="s">
        <v>2015</v>
      </c>
      <c r="AK1114" s="129" t="str">
        <f t="shared" ca="1" si="127"/>
        <v>Late</v>
      </c>
      <c r="AL1114" s="268" t="str">
        <f t="shared" si="124"/>
        <v>August</v>
      </c>
      <c r="AM1114" s="133">
        <f>YEAR(Table1[[#This Row],[ETA
As requested
dd.mm.yyyy]])</f>
        <v>2024</v>
      </c>
    </row>
    <row r="1115" spans="1:39" hidden="1">
      <c r="A1115" s="123" t="s">
        <v>82</v>
      </c>
      <c r="B1115" s="36" t="s">
        <v>1170</v>
      </c>
      <c r="C1115" s="117">
        <v>37349251</v>
      </c>
      <c r="D1115" s="165">
        <v>45474</v>
      </c>
      <c r="E1115" s="117" t="s">
        <v>1473</v>
      </c>
      <c r="F1115" s="36" t="str">
        <f>IFERROR(VLOOKUP(Table1[[#This Row],[Part Number]],DATABASE_FG!$C$6:D11104,2,FALSE)," ")</f>
        <v>shaft</v>
      </c>
      <c r="G1115" s="117">
        <f>IFERROR(_xlfn.XLOOKUP(Table1[[#This Row],[Part Number]],Table3[Part number],Table3[Drawing
 Revision]),"")</f>
        <v>0</v>
      </c>
      <c r="H1115" s="118" cm="1">
        <f t="array" ref="H1115">IFERROR(INDEX(PDB!$C:$AT,MATCH(E1115,PDB!$B:$B,0),MATCH(YEAR(K1115),0+PDB!$C$1:$AT$1,0)),"")</f>
        <v>6.94</v>
      </c>
      <c r="I1115" s="36">
        <v>59</v>
      </c>
      <c r="J1115" s="125">
        <f>IFERROR(Table1[[#This Row],[Quantity]]*Table1[[#This Row],[Price/Unit
EUR]]," ")</f>
        <v>409.46000000000004</v>
      </c>
      <c r="K1115" s="126">
        <v>45520</v>
      </c>
      <c r="L1115" s="36">
        <f>WEEKNUM(Table1[[#This Row],[ETA
As requested
dd.mm.yyyy]])</f>
        <v>33</v>
      </c>
      <c r="M1115" s="36">
        <f>YEAR(Table1[[#This Row],[ETA
As requested
dd.mm.yyyy]])</f>
        <v>2024</v>
      </c>
      <c r="N1115" s="36">
        <f>IFERROR(INDEX(DATABASE_FG!$H$5:$H$367, MATCH(E1115, DATABASE_FG!$C$5:$C$367, 0)), " ")</f>
        <v>0</v>
      </c>
      <c r="O1115" s="129" t="str">
        <f>IF(E1115&lt;&gt;"", _xlfn.XLOOKUP(E1115, DATABASE_FG!C:C, DATABASE_FG!F:F), " ")</f>
        <v>shaft</v>
      </c>
      <c r="P1115" s="129">
        <f>IFERROR(INDEX(DATABASE_FG!$G$5:$G$367, MATCH(E1115, DATABASE_FG!$C$5:$C$367, 0)), "Not Found")</f>
        <v>50</v>
      </c>
      <c r="Q1115" s="36"/>
      <c r="R1115" s="125" t="s">
        <v>680</v>
      </c>
      <c r="S1115" s="123">
        <f>IFERROR(INDEX(DATABASE_FG!$L$5:$L$367, MATCH(E1115, DATABASE_FG!$C$5:$C$367, 0)), " ")</f>
        <v>56</v>
      </c>
      <c r="T1115" s="36" t="s">
        <v>679</v>
      </c>
      <c r="U1115" s="36"/>
      <c r="V1115" s="36"/>
      <c r="W1115" s="129"/>
      <c r="X1115" s="36"/>
      <c r="Y1115" s="36"/>
      <c r="Z1115" s="36"/>
      <c r="AA1115" s="125" t="s">
        <v>121</v>
      </c>
      <c r="AB1115" s="173">
        <v>45675</v>
      </c>
      <c r="AC1115" s="119" t="s">
        <v>2030</v>
      </c>
      <c r="AD1115" s="36">
        <f t="shared" si="125"/>
        <v>37349251</v>
      </c>
      <c r="AE1115" s="36" t="str">
        <f t="shared" si="126"/>
        <v>F-688040.02-0211.W.WE36</v>
      </c>
      <c r="AF1115" s="36">
        <v>59</v>
      </c>
      <c r="AG1115" s="120">
        <f t="shared" si="123"/>
        <v>409.46000000000004</v>
      </c>
      <c r="AH1115" s="36"/>
      <c r="AI1115" s="124"/>
      <c r="AJ1115" s="122" t="s">
        <v>2031</v>
      </c>
      <c r="AK1115" s="129" t="str">
        <f t="shared" ca="1" si="127"/>
        <v>Late</v>
      </c>
      <c r="AL1115" s="268" t="str">
        <f t="shared" si="124"/>
        <v>August</v>
      </c>
      <c r="AM1115" s="133">
        <f>YEAR(Table1[[#This Row],[ETA
As requested
dd.mm.yyyy]])</f>
        <v>2024</v>
      </c>
    </row>
    <row r="1116" spans="1:39" hidden="1">
      <c r="A1116" s="123" t="s">
        <v>82</v>
      </c>
      <c r="B1116" s="36" t="s">
        <v>1170</v>
      </c>
      <c r="C1116" s="117">
        <v>37349251</v>
      </c>
      <c r="D1116" s="165">
        <v>45474</v>
      </c>
      <c r="E1116" s="117" t="s">
        <v>1473</v>
      </c>
      <c r="F1116" s="36" t="str">
        <f>IFERROR(VLOOKUP(Table1[[#This Row],[Part Number]],DATABASE_FG!$C$6:D11105,2,FALSE)," ")</f>
        <v>shaft</v>
      </c>
      <c r="G1116" s="117">
        <f>IFERROR(_xlfn.XLOOKUP(Table1[[#This Row],[Part Number]],Table3[Part number],Table3[Drawing
 Revision]),"")</f>
        <v>0</v>
      </c>
      <c r="H1116" s="118" cm="1">
        <f t="array" ref="H1116">IFERROR(INDEX(PDB!$C:$AT,MATCH(E1116,PDB!$B:$B,0),MATCH(YEAR(K1116),0+PDB!$C$1:$AT$1,0)),"")</f>
        <v>6.94</v>
      </c>
      <c r="I1116" s="36">
        <v>30</v>
      </c>
      <c r="J1116" s="125">
        <f>IFERROR(Table1[[#This Row],[Quantity]]*Table1[[#This Row],[Price/Unit
EUR]]," ")</f>
        <v>208.20000000000002</v>
      </c>
      <c r="K1116" s="126">
        <v>45520</v>
      </c>
      <c r="L1116" s="36">
        <f>WEEKNUM(Table1[[#This Row],[ETA
As requested
dd.mm.yyyy]])</f>
        <v>33</v>
      </c>
      <c r="M1116" s="36">
        <f>YEAR(Table1[[#This Row],[ETA
As requested
dd.mm.yyyy]])</f>
        <v>2024</v>
      </c>
      <c r="N1116" s="36">
        <f>IFERROR(INDEX(DATABASE_FG!$H$5:$H$367, MATCH(E1116, DATABASE_FG!$C$5:$C$367, 0)), " ")</f>
        <v>0</v>
      </c>
      <c r="O1116" s="129" t="str">
        <f>IF(E1116&lt;&gt;"", _xlfn.XLOOKUP(E1116, DATABASE_FG!C:C, DATABASE_FG!F:F), " ")</f>
        <v>shaft</v>
      </c>
      <c r="P1116" s="129">
        <f>IFERROR(INDEX(DATABASE_FG!$G$5:$G$367, MATCH(E1116, DATABASE_FG!$C$5:$C$367, 0)), "Not Found")</f>
        <v>50</v>
      </c>
      <c r="Q1116" s="36"/>
      <c r="R1116" s="125" t="s">
        <v>680</v>
      </c>
      <c r="S1116" s="123">
        <f>IFERROR(INDEX(DATABASE_FG!$L$5:$L$367, MATCH(E1116, DATABASE_FG!$C$5:$C$367, 0)), " ")</f>
        <v>56</v>
      </c>
      <c r="T1116" s="36"/>
      <c r="U1116" s="36"/>
      <c r="V1116" s="36"/>
      <c r="W1116" s="129"/>
      <c r="X1116" s="36"/>
      <c r="Y1116" s="36"/>
      <c r="Z1116" s="36"/>
      <c r="AA1116" s="125" t="s">
        <v>121</v>
      </c>
      <c r="AB1116" s="173">
        <v>45717</v>
      </c>
      <c r="AC1116" s="119" t="s">
        <v>2046</v>
      </c>
      <c r="AD1116" s="36">
        <f t="shared" si="125"/>
        <v>37349251</v>
      </c>
      <c r="AE1116" s="36" t="str">
        <f t="shared" si="126"/>
        <v>F-688040.02-0211.W.WE36</v>
      </c>
      <c r="AF1116" s="36">
        <v>30</v>
      </c>
      <c r="AG1116" s="120">
        <f t="shared" si="123"/>
        <v>208.20000000000002</v>
      </c>
      <c r="AH1116" s="36"/>
      <c r="AI1116" s="124"/>
      <c r="AJ1116" s="122" t="s">
        <v>2047</v>
      </c>
      <c r="AK1116" s="129" t="str">
        <f t="shared" ca="1" si="127"/>
        <v>Late</v>
      </c>
      <c r="AL1116" s="268" t="str">
        <f t="shared" si="124"/>
        <v>August</v>
      </c>
      <c r="AM1116" s="133">
        <f>YEAR(Table1[[#This Row],[ETA
As requested
dd.mm.yyyy]])</f>
        <v>2024</v>
      </c>
    </row>
    <row r="1117" spans="1:39" hidden="1">
      <c r="A1117" s="123" t="s">
        <v>82</v>
      </c>
      <c r="B1117" s="36" t="s">
        <v>1170</v>
      </c>
      <c r="C1117" s="117">
        <v>37349251</v>
      </c>
      <c r="D1117" s="165">
        <v>45474</v>
      </c>
      <c r="E1117" s="117" t="s">
        <v>1473</v>
      </c>
      <c r="F1117" s="36" t="str">
        <f>IFERROR(VLOOKUP(Table1[[#This Row],[Part Number]],DATABASE_FG!$C$6:D11106,2,FALSE)," ")</f>
        <v>shaft</v>
      </c>
      <c r="G1117" s="117">
        <f>IFERROR(_xlfn.XLOOKUP(Table1[[#This Row],[Part Number]],Table3[Part number],Table3[Drawing
 Revision]),"")</f>
        <v>0</v>
      </c>
      <c r="H1117" s="118" cm="1">
        <f t="array" ref="H1117">IFERROR(INDEX(PDB!$C:$AT,MATCH(E1117,PDB!$B:$B,0),MATCH(YEAR(K1117),0+PDB!$C$1:$AT$1,0)),"")</f>
        <v>6.94</v>
      </c>
      <c r="I1117" s="36">
        <v>8</v>
      </c>
      <c r="J1117" s="125">
        <f>IFERROR(Table1[[#This Row],[Quantity]]*Table1[[#This Row],[Price/Unit
EUR]]," ")</f>
        <v>55.52</v>
      </c>
      <c r="K1117" s="126">
        <v>45520</v>
      </c>
      <c r="L1117" s="36">
        <f>WEEKNUM(Table1[[#This Row],[ETA
As requested
dd.mm.yyyy]])</f>
        <v>33</v>
      </c>
      <c r="M1117" s="36">
        <f>YEAR(Table1[[#This Row],[ETA
As requested
dd.mm.yyyy]])</f>
        <v>2024</v>
      </c>
      <c r="N1117" s="36">
        <f>IFERROR(INDEX(DATABASE_FG!$H$5:$H$367, MATCH(E1117, DATABASE_FG!$C$5:$C$367, 0)), " ")</f>
        <v>0</v>
      </c>
      <c r="O1117" s="129" t="str">
        <f>IF(E1117&lt;&gt;"", _xlfn.XLOOKUP(E1117, DATABASE_FG!C:C, DATABASE_FG!F:F), " ")</f>
        <v>shaft</v>
      </c>
      <c r="P1117" s="129">
        <f>IFERROR(INDEX(DATABASE_FG!$G$5:$G$367, MATCH(E1117, DATABASE_FG!$C$5:$C$367, 0)), "Not Found")</f>
        <v>50</v>
      </c>
      <c r="Q1117" s="36"/>
      <c r="R1117" s="125" t="s">
        <v>680</v>
      </c>
      <c r="S1117" s="123">
        <f>IFERROR(INDEX(DATABASE_FG!$L$5:$L$367, MATCH(E1117, DATABASE_FG!$C$5:$C$367, 0)), " ")</f>
        <v>56</v>
      </c>
      <c r="T1117" s="36" t="s">
        <v>679</v>
      </c>
      <c r="U1117" s="36"/>
      <c r="V1117" s="36"/>
      <c r="W1117" s="129"/>
      <c r="X1117" s="36"/>
      <c r="Y1117" s="36" t="s">
        <v>677</v>
      </c>
      <c r="Z1117" s="36"/>
      <c r="AA1117" s="125" t="s">
        <v>121</v>
      </c>
      <c r="AB1117" s="173">
        <v>45721</v>
      </c>
      <c r="AC1117" s="119">
        <v>25327</v>
      </c>
      <c r="AD1117" s="36">
        <f t="shared" si="125"/>
        <v>37349251</v>
      </c>
      <c r="AE1117" s="36" t="str">
        <f t="shared" si="126"/>
        <v>F-688040.02-0211.W.WE36</v>
      </c>
      <c r="AF1117" s="36">
        <v>8</v>
      </c>
      <c r="AG1117" s="120">
        <f t="shared" si="123"/>
        <v>55.52</v>
      </c>
      <c r="AH1117" s="36"/>
      <c r="AI1117" s="124"/>
      <c r="AJ1117" s="122" t="s">
        <v>2050</v>
      </c>
      <c r="AK1117" s="129" t="str">
        <f t="shared" ca="1" si="127"/>
        <v>Late</v>
      </c>
      <c r="AL1117" s="268" t="str">
        <f t="shared" si="124"/>
        <v>August</v>
      </c>
      <c r="AM1117" s="133">
        <f>YEAR(Table1[[#This Row],[ETA
As requested
dd.mm.yyyy]])</f>
        <v>2024</v>
      </c>
    </row>
    <row r="1118" spans="1:39" hidden="1">
      <c r="A1118" s="123" t="s">
        <v>82</v>
      </c>
      <c r="B1118" s="36" t="s">
        <v>1170</v>
      </c>
      <c r="C1118" s="117">
        <v>37349251</v>
      </c>
      <c r="D1118" s="165">
        <v>45474</v>
      </c>
      <c r="E1118" s="117" t="s">
        <v>1473</v>
      </c>
      <c r="F1118" s="36" t="str">
        <f>IFERROR(VLOOKUP(Table1[[#This Row],[Part Number]],DATABASE_FG!$C$6:D11107,2,FALSE)," ")</f>
        <v>shaft</v>
      </c>
      <c r="G1118" s="117">
        <f>IFERROR(_xlfn.XLOOKUP(Table1[[#This Row],[Part Number]],Table3[Part number],Table3[Drawing
 Revision]),"")</f>
        <v>0</v>
      </c>
      <c r="H1118" s="118" cm="1">
        <f t="array" ref="H1118">IFERROR(INDEX(PDB!$C:$AT,MATCH(E1118,PDB!$B:$B,0),MATCH(YEAR(K1118),0+PDB!$C$1:$AT$1,0)),"")</f>
        <v>6.94</v>
      </c>
      <c r="I1118" s="36">
        <v>162</v>
      </c>
      <c r="J1118" s="125">
        <f>IFERROR(Table1[[#This Row],[Quantity]]*Table1[[#This Row],[Price/Unit
EUR]]," ")</f>
        <v>1124.28</v>
      </c>
      <c r="K1118" s="126">
        <v>45520</v>
      </c>
      <c r="L1118" s="36">
        <f>WEEKNUM(Table1[[#This Row],[ETA
As requested
dd.mm.yyyy]])</f>
        <v>33</v>
      </c>
      <c r="M1118" s="36">
        <f>YEAR(Table1[[#This Row],[ETA
As requested
dd.mm.yyyy]])</f>
        <v>2024</v>
      </c>
      <c r="N1118" s="36">
        <f>IFERROR(INDEX(DATABASE_FG!$H$5:$H$367, MATCH(E1118, DATABASE_FG!$C$5:$C$367, 0)), " ")</f>
        <v>0</v>
      </c>
      <c r="O1118" s="129" t="str">
        <f>IF(E1118&lt;&gt;"", _xlfn.XLOOKUP(E1118, DATABASE_FG!C:C, DATABASE_FG!F:F), " ")</f>
        <v>shaft</v>
      </c>
      <c r="P1118" s="129">
        <f>IFERROR(INDEX(DATABASE_FG!$G$5:$G$367, MATCH(E1118, DATABASE_FG!$C$5:$C$367, 0)), "Not Found")</f>
        <v>50</v>
      </c>
      <c r="Q1118" s="36"/>
      <c r="R1118" s="125" t="s">
        <v>680</v>
      </c>
      <c r="S1118" s="123">
        <f>IFERROR(INDEX(DATABASE_FG!$L$5:$L$367, MATCH(E1118, DATABASE_FG!$C$5:$C$367, 0)), " ")</f>
        <v>56</v>
      </c>
      <c r="T1118" s="36" t="s">
        <v>679</v>
      </c>
      <c r="U1118" s="36"/>
      <c r="V1118" s="36"/>
      <c r="W1118" s="129"/>
      <c r="X1118" s="36"/>
      <c r="Y1118" s="36"/>
      <c r="Z1118" s="36"/>
      <c r="AA1118" s="125" t="s">
        <v>121</v>
      </c>
      <c r="AB1118" s="173">
        <v>45731</v>
      </c>
      <c r="AC1118" s="119" t="s">
        <v>2066</v>
      </c>
      <c r="AD1118" s="36">
        <f t="shared" si="125"/>
        <v>37349251</v>
      </c>
      <c r="AE1118" s="36" t="str">
        <f t="shared" si="126"/>
        <v>F-688040.02-0211.W.WE36</v>
      </c>
      <c r="AF1118" s="36">
        <v>162</v>
      </c>
      <c r="AG1118" s="120">
        <f t="shared" si="123"/>
        <v>1124.28</v>
      </c>
      <c r="AH1118" s="36"/>
      <c r="AI1118" s="124" t="s">
        <v>2064</v>
      </c>
      <c r="AJ1118" s="122" t="s">
        <v>2067</v>
      </c>
      <c r="AK1118" s="129" t="str">
        <f t="shared" ca="1" si="127"/>
        <v>Late</v>
      </c>
      <c r="AL1118" s="268" t="str">
        <f t="shared" si="124"/>
        <v>August</v>
      </c>
      <c r="AM1118" s="133">
        <f>YEAR(Table1[[#This Row],[ETA
As requested
dd.mm.yyyy]])</f>
        <v>2024</v>
      </c>
    </row>
    <row r="1119" spans="1:39" hidden="1">
      <c r="A1119" s="123" t="s">
        <v>82</v>
      </c>
      <c r="B1119" s="36" t="s">
        <v>1170</v>
      </c>
      <c r="C1119" s="117">
        <v>37349251</v>
      </c>
      <c r="D1119" s="165">
        <v>45474</v>
      </c>
      <c r="E1119" s="117" t="s">
        <v>1473</v>
      </c>
      <c r="F1119" s="36" t="str">
        <f>IFERROR(VLOOKUP(Table1[[#This Row],[Part Number]],DATABASE_FG!$C$6:D11108,2,FALSE)," ")</f>
        <v>shaft</v>
      </c>
      <c r="G1119" s="117">
        <f>IFERROR(_xlfn.XLOOKUP(Table1[[#This Row],[Part Number]],Table3[Part number],Table3[Drawing
 Revision]),"")</f>
        <v>0</v>
      </c>
      <c r="H1119" s="118" cm="1">
        <f t="array" ref="H1119">IFERROR(INDEX(PDB!$C:$AT,MATCH(E1119,PDB!$B:$B,0),MATCH(YEAR(K1119),0+PDB!$C$1:$AT$1,0)),"")</f>
        <v>6.94</v>
      </c>
      <c r="I1119" s="36">
        <v>53</v>
      </c>
      <c r="J1119" s="125">
        <f>IFERROR(Table1[[#This Row],[Quantity]]*Table1[[#This Row],[Price/Unit
EUR]]," ")</f>
        <v>367.82</v>
      </c>
      <c r="K1119" s="126">
        <v>45520</v>
      </c>
      <c r="L1119" s="36">
        <f>WEEKNUM(Table1[[#This Row],[ETA
As requested
dd.mm.yyyy]])</f>
        <v>33</v>
      </c>
      <c r="M1119" s="36">
        <f>YEAR(Table1[[#This Row],[ETA
As requested
dd.mm.yyyy]])</f>
        <v>2024</v>
      </c>
      <c r="N1119" s="36">
        <f>IFERROR(INDEX(DATABASE_FG!$H$5:$H$367, MATCH(E1119, DATABASE_FG!$C$5:$C$367, 0)), " ")</f>
        <v>0</v>
      </c>
      <c r="O1119" s="129" t="str">
        <f>IF(E1119&lt;&gt;"", _xlfn.XLOOKUP(E1119, DATABASE_FG!C:C, DATABASE_FG!F:F), " ")</f>
        <v>shaft</v>
      </c>
      <c r="P1119" s="129">
        <f>IFERROR(INDEX(DATABASE_FG!$G$5:$G$367, MATCH(E1119, DATABASE_FG!$C$5:$C$367, 0)), "Not Found")</f>
        <v>50</v>
      </c>
      <c r="Q1119" s="36"/>
      <c r="R1119" s="125" t="s">
        <v>680</v>
      </c>
      <c r="S1119" s="123">
        <f>IFERROR(INDEX(DATABASE_FG!$L$5:$L$367, MATCH(E1119, DATABASE_FG!$C$5:$C$367, 0)), " ")</f>
        <v>56</v>
      </c>
      <c r="T1119" s="36" t="s">
        <v>679</v>
      </c>
      <c r="U1119" s="36"/>
      <c r="V1119" s="36"/>
      <c r="W1119" s="129"/>
      <c r="X1119" s="36"/>
      <c r="Y1119" s="36" t="s">
        <v>677</v>
      </c>
      <c r="Z1119" s="36"/>
      <c r="AA1119" s="125" t="s">
        <v>121</v>
      </c>
      <c r="AB1119" s="173">
        <v>45735</v>
      </c>
      <c r="AC1119" s="119">
        <v>25403</v>
      </c>
      <c r="AD1119" s="36">
        <f t="shared" si="125"/>
        <v>37349251</v>
      </c>
      <c r="AE1119" s="36" t="str">
        <f t="shared" si="126"/>
        <v>F-688040.02-0211.W.WE36</v>
      </c>
      <c r="AF1119" s="36">
        <v>53</v>
      </c>
      <c r="AG1119" s="120">
        <f t="shared" si="123"/>
        <v>367.82</v>
      </c>
      <c r="AH1119" s="36"/>
      <c r="AI1119" s="124"/>
      <c r="AJ1119" s="122" t="s">
        <v>2074</v>
      </c>
      <c r="AK1119" s="129" t="str">
        <f t="shared" ca="1" si="127"/>
        <v>Late</v>
      </c>
      <c r="AL1119" s="268" t="str">
        <f t="shared" si="124"/>
        <v>August</v>
      </c>
      <c r="AM1119" s="133">
        <f>YEAR(Table1[[#This Row],[ETA
As requested
dd.mm.yyyy]])</f>
        <v>2024</v>
      </c>
    </row>
    <row r="1120" spans="1:39" hidden="1">
      <c r="A1120" s="123" t="s">
        <v>82</v>
      </c>
      <c r="B1120" s="36" t="s">
        <v>1170</v>
      </c>
      <c r="C1120" s="117">
        <v>37349251</v>
      </c>
      <c r="D1120" s="165">
        <v>45474</v>
      </c>
      <c r="E1120" s="117" t="s">
        <v>1473</v>
      </c>
      <c r="F1120" s="36" t="str">
        <f>IFERROR(VLOOKUP(Table1[[#This Row],[Part Number]],DATABASE_FG!$C$6:D11109,2,FALSE)," ")</f>
        <v>shaft</v>
      </c>
      <c r="G1120" s="117">
        <f>IFERROR(_xlfn.XLOOKUP(Table1[[#This Row],[Part Number]],Table3[Part number],Table3[Drawing
 Revision]),"")</f>
        <v>0</v>
      </c>
      <c r="H1120" s="118" cm="1">
        <f t="array" ref="H1120">IFERROR(INDEX(PDB!$C:$AT,MATCH(E1120,PDB!$B:$B,0),MATCH(YEAR(K1120),0+PDB!$C$1:$AT$1,0)),"")</f>
        <v>6.94</v>
      </c>
      <c r="I1120" s="36">
        <f>340-59-30-8-162-53</f>
        <v>28</v>
      </c>
      <c r="J1120" s="125">
        <f>IFERROR(Table1[[#This Row],[Quantity]]*Table1[[#This Row],[Price/Unit
EUR]]," ")</f>
        <v>194.32000000000002</v>
      </c>
      <c r="K1120" s="126">
        <v>45520</v>
      </c>
      <c r="L1120" s="36">
        <f>WEEKNUM(Table1[[#This Row],[ETA
As requested
dd.mm.yyyy]])</f>
        <v>33</v>
      </c>
      <c r="M1120" s="36">
        <f>YEAR(Table1[[#This Row],[ETA
As requested
dd.mm.yyyy]])</f>
        <v>2024</v>
      </c>
      <c r="N1120" s="36">
        <f>IFERROR(INDEX(DATABASE_FG!$H$5:$H$367, MATCH(E1120, DATABASE_FG!$C$5:$C$367, 0)), " ")</f>
        <v>0</v>
      </c>
      <c r="O1120" s="129" t="str">
        <f>IF(E1120&lt;&gt;"", _xlfn.XLOOKUP(E1120, DATABASE_FG!C:C, DATABASE_FG!F:F), " ")</f>
        <v>shaft</v>
      </c>
      <c r="P1120" s="129">
        <f>IFERROR(INDEX(DATABASE_FG!$G$5:$G$367, MATCH(E1120, DATABASE_FG!$C$5:$C$367, 0)), "Not Found")</f>
        <v>50</v>
      </c>
      <c r="Q1120" s="36"/>
      <c r="R1120" s="125" t="s">
        <v>680</v>
      </c>
      <c r="S1120" s="123">
        <f>IFERROR(INDEX(DATABASE_FG!$L$5:$L$367, MATCH(E1120, DATABASE_FG!$C$5:$C$367, 0)), " ")</f>
        <v>56</v>
      </c>
      <c r="T1120" s="36" t="s">
        <v>679</v>
      </c>
      <c r="U1120" s="36"/>
      <c r="V1120" s="36"/>
      <c r="W1120" s="129"/>
      <c r="X1120" s="36"/>
      <c r="Y1120" s="36" t="s">
        <v>677</v>
      </c>
      <c r="Z1120" s="36"/>
      <c r="AA1120" s="125" t="s">
        <v>121</v>
      </c>
      <c r="AB1120" s="173">
        <v>45739</v>
      </c>
      <c r="AC1120" s="119">
        <v>25433</v>
      </c>
      <c r="AD1120" s="36">
        <f t="shared" si="125"/>
        <v>37349251</v>
      </c>
      <c r="AE1120" s="36" t="str">
        <f t="shared" si="126"/>
        <v>F-688040.02-0211.W.WE36</v>
      </c>
      <c r="AF1120" s="36">
        <v>28</v>
      </c>
      <c r="AG1120" s="120">
        <f t="shared" si="123"/>
        <v>194.32000000000002</v>
      </c>
      <c r="AH1120" s="36"/>
      <c r="AI1120" s="124"/>
      <c r="AJ1120" s="122" t="s">
        <v>2077</v>
      </c>
      <c r="AK1120" s="129" t="str">
        <f t="shared" ca="1" si="127"/>
        <v>Late</v>
      </c>
      <c r="AL1120" s="268" t="str">
        <f t="shared" si="124"/>
        <v>August</v>
      </c>
      <c r="AM1120" s="133">
        <f>YEAR(Table1[[#This Row],[ETA
As requested
dd.mm.yyyy]])</f>
        <v>2024</v>
      </c>
    </row>
    <row r="1121" spans="1:40" hidden="1">
      <c r="A1121" s="123" t="s">
        <v>82</v>
      </c>
      <c r="B1121" s="36" t="s">
        <v>1170</v>
      </c>
      <c r="C1121" s="117">
        <v>37357865</v>
      </c>
      <c r="D1121" s="165">
        <v>45474</v>
      </c>
      <c r="E1121" s="117" t="s">
        <v>1746</v>
      </c>
      <c r="F1121" s="36">
        <f>IFERROR(VLOOKUP(Table1[[#This Row],[Part Number]],DATABASE_FG!$C$6:D11110,2,FALSE)," ")</f>
        <v>0</v>
      </c>
      <c r="G1121" s="117">
        <f>IFERROR(_xlfn.XLOOKUP(Table1[[#This Row],[Part Number]],Table3[Part number],Table3[Drawing
 Revision]),"")</f>
        <v>0</v>
      </c>
      <c r="H1121" s="118" cm="1">
        <f t="array" ref="H1121">IFERROR(INDEX(PDB!$C:$AT,MATCH(E1121,PDB!$B:$B,0),MATCH(YEAR(K1121),0+PDB!$C$1:$AT$1,0)),"")</f>
        <v>11.75</v>
      </c>
      <c r="I1121" s="36">
        <v>147</v>
      </c>
      <c r="J1121" s="125">
        <f>IFERROR(Table1[[#This Row],[Quantity]]*Table1[[#This Row],[Price/Unit
EUR]]," ")</f>
        <v>1727.25</v>
      </c>
      <c r="K1121" s="173">
        <v>45473</v>
      </c>
      <c r="L1121" s="36">
        <f>WEEKNUM(Table1[[#This Row],[ETA
As requested
dd.mm.yyyy]])</f>
        <v>27</v>
      </c>
      <c r="M1121" s="36">
        <f>YEAR(Table1[[#This Row],[ETA
As requested
dd.mm.yyyy]])</f>
        <v>2024</v>
      </c>
      <c r="N1121" s="36">
        <f>IFERROR(INDEX(DATABASE_FG!$H$5:$H$367, MATCH(E1121, DATABASE_FG!$C$5:$C$367, 0)), " ")</f>
        <v>0</v>
      </c>
      <c r="O1121" s="129" t="str">
        <f>IF(E1121&lt;&gt;"", _xlfn.XLOOKUP(E1121, DATABASE_FG!C:C, DATABASE_FG!F:F), " ")</f>
        <v>shaft</v>
      </c>
      <c r="P1121" s="129">
        <f>IFERROR(INDEX(DATABASE_FG!$G$5:$G$367, MATCH(E1121, DATABASE_FG!$C$5:$C$367, 0)), "Not Found")</f>
        <v>0</v>
      </c>
      <c r="Q1121" s="36"/>
      <c r="R1121" s="125"/>
      <c r="S1121" s="123">
        <f>Table1[[#This Row],[Quantity]]/48</f>
        <v>3.0625</v>
      </c>
      <c r="T1121" s="36"/>
      <c r="U1121" s="36"/>
      <c r="V1121" s="36"/>
      <c r="W1121" s="129"/>
      <c r="X1121" s="36"/>
      <c r="Y1121" s="36"/>
      <c r="Z1121" s="36"/>
      <c r="AA1121" s="125" t="s">
        <v>121</v>
      </c>
      <c r="AB1121" s="173">
        <v>45838</v>
      </c>
      <c r="AC1121" s="119">
        <v>260025</v>
      </c>
      <c r="AD1121" s="36">
        <f t="shared" si="125"/>
        <v>37357865</v>
      </c>
      <c r="AE1121" s="36" t="str">
        <f t="shared" si="126"/>
        <v>F-688040.02-0321.WH.WE</v>
      </c>
      <c r="AF1121" s="36">
        <v>147</v>
      </c>
      <c r="AG1121" s="120">
        <f t="shared" si="123"/>
        <v>1727.25</v>
      </c>
      <c r="AH1121" s="36"/>
      <c r="AI1121" s="124" t="s">
        <v>1747</v>
      </c>
      <c r="AJ1121" s="122" t="s">
        <v>1745</v>
      </c>
      <c r="AK1121" s="129" t="str">
        <f t="shared" ca="1" si="127"/>
        <v>Late</v>
      </c>
      <c r="AL1121" s="268" t="str">
        <f t="shared" si="124"/>
        <v>June</v>
      </c>
      <c r="AM1121" s="133">
        <f>YEAR(Table1[[#This Row],[ETA
As requested
dd.mm.yyyy]])</f>
        <v>2024</v>
      </c>
      <c r="AN1121" s="191"/>
    </row>
    <row r="1122" spans="1:40" hidden="1">
      <c r="A1122" s="123" t="s">
        <v>82</v>
      </c>
      <c r="B1122" s="36" t="s">
        <v>1170</v>
      </c>
      <c r="C1122" s="117">
        <v>37357865</v>
      </c>
      <c r="D1122" s="165">
        <v>45502</v>
      </c>
      <c r="E1122" s="117" t="s">
        <v>1746</v>
      </c>
      <c r="F1122" s="36">
        <f>IFERROR(VLOOKUP(Table1[[#This Row],[Part Number]],DATABASE_FG!$C$6:D11111,2,FALSE)," ")</f>
        <v>0</v>
      </c>
      <c r="G1122" s="117">
        <f>IFERROR(_xlfn.XLOOKUP(Table1[[#This Row],[Part Number]],Table3[Part number],Table3[Drawing
 Revision]),"")</f>
        <v>0</v>
      </c>
      <c r="H1122" s="118" cm="1">
        <f t="array" ref="H1122">IFERROR(INDEX(PDB!$C:$AT,MATCH(E1122,PDB!$B:$B,0),MATCH(YEAR(K1122),0+PDB!$C$1:$AT$1,0)),"")</f>
        <v>11.75</v>
      </c>
      <c r="I1122" s="36">
        <v>156</v>
      </c>
      <c r="J1122" s="125">
        <f>IFERROR(Table1[[#This Row],[Quantity]]*Table1[[#This Row],[Price/Unit
EUR]]," ")</f>
        <v>1833</v>
      </c>
      <c r="K1122" s="126">
        <v>45534</v>
      </c>
      <c r="L1122" s="36">
        <f>WEEKNUM(Table1[[#This Row],[ETA
As requested
dd.mm.yyyy]])</f>
        <v>35</v>
      </c>
      <c r="M1122" s="36">
        <f>YEAR(Table1[[#This Row],[ETA
As requested
dd.mm.yyyy]])</f>
        <v>2024</v>
      </c>
      <c r="N1122" s="36">
        <f>IFERROR(INDEX(DATABASE_FG!$H$5:$H$367, MATCH(E1122, DATABASE_FG!$C$5:$C$367, 0)), " ")</f>
        <v>0</v>
      </c>
      <c r="O1122" s="129" t="str">
        <f>IF(E1122&lt;&gt;"", _xlfn.XLOOKUP(E1122, DATABASE_FG!C:C, DATABASE_FG!F:F), " ")</f>
        <v>shaft</v>
      </c>
      <c r="P1122" s="129">
        <f>IFERROR(INDEX(DATABASE_FG!$G$5:$G$367, MATCH(E1122, DATABASE_FG!$C$5:$C$367, 0)), "Not Found")</f>
        <v>0</v>
      </c>
      <c r="Q1122" s="36"/>
      <c r="R1122" s="125"/>
      <c r="S1122" s="123">
        <f>Table1[[#This Row],[Quantity]]/48</f>
        <v>3.25</v>
      </c>
      <c r="T1122" s="36"/>
      <c r="U1122" s="36"/>
      <c r="V1122" s="36"/>
      <c r="W1122" s="129"/>
      <c r="X1122" s="36"/>
      <c r="Y1122" s="36"/>
      <c r="Z1122" s="36"/>
      <c r="AA1122" s="125" t="s">
        <v>121</v>
      </c>
      <c r="AB1122" s="173">
        <v>45622</v>
      </c>
      <c r="AC1122" s="119">
        <v>202401501</v>
      </c>
      <c r="AD1122" s="36">
        <f t="shared" si="125"/>
        <v>37357865</v>
      </c>
      <c r="AE1122" s="36" t="str">
        <f t="shared" si="126"/>
        <v>F-688040.02-0321.WH.WE</v>
      </c>
      <c r="AF1122" s="36">
        <v>156</v>
      </c>
      <c r="AG1122" s="120">
        <f t="shared" si="123"/>
        <v>1833</v>
      </c>
      <c r="AH1122" s="36"/>
      <c r="AI1122" s="124" t="s">
        <v>2162</v>
      </c>
      <c r="AJ1122" s="122" t="s">
        <v>2164</v>
      </c>
      <c r="AK1122" s="129" t="str">
        <f t="shared" ca="1" si="127"/>
        <v>Late</v>
      </c>
      <c r="AL1122" s="268" t="str">
        <f t="shared" si="124"/>
        <v>August</v>
      </c>
      <c r="AM1122" s="133">
        <f>YEAR(Table1[[#This Row],[ETA
As requested
dd.mm.yyyy]])</f>
        <v>2024</v>
      </c>
    </row>
    <row r="1123" spans="1:40" hidden="1">
      <c r="A1123" s="123" t="s">
        <v>82</v>
      </c>
      <c r="B1123" s="36" t="s">
        <v>1170</v>
      </c>
      <c r="C1123" s="117">
        <v>37357865</v>
      </c>
      <c r="D1123" s="165">
        <v>45502</v>
      </c>
      <c r="E1123" s="117" t="s">
        <v>1746</v>
      </c>
      <c r="F1123" s="36">
        <f>IFERROR(VLOOKUP(Table1[[#This Row],[Part Number]],DATABASE_FG!$C$6:D11112,2,FALSE)," ")</f>
        <v>0</v>
      </c>
      <c r="G1123" s="117">
        <f>IFERROR(_xlfn.XLOOKUP(Table1[[#This Row],[Part Number]],Table3[Part number],Table3[Drawing
 Revision]),"")</f>
        <v>0</v>
      </c>
      <c r="H1123" s="118" cm="1">
        <f t="array" ref="H1123">IFERROR(INDEX(PDB!$C:$AT,MATCH(E1123,PDB!$B:$B,0),MATCH(YEAR(K1123),0+PDB!$C$1:$AT$1,0)),"")</f>
        <v>11.75</v>
      </c>
      <c r="I1123" s="36">
        <v>5</v>
      </c>
      <c r="J1123" s="125">
        <f>IFERROR(Table1[[#This Row],[Quantity]]*Table1[[#This Row],[Price/Unit
EUR]]," ")</f>
        <v>58.75</v>
      </c>
      <c r="K1123" s="126">
        <v>45534</v>
      </c>
      <c r="L1123" s="36">
        <f>WEEKNUM(Table1[[#This Row],[ETA
As requested
dd.mm.yyyy]])</f>
        <v>35</v>
      </c>
      <c r="M1123" s="36">
        <f>YEAR(Table1[[#This Row],[ETA
As requested
dd.mm.yyyy]])</f>
        <v>2024</v>
      </c>
      <c r="N1123" s="36">
        <f>IFERROR(INDEX(DATABASE_FG!$H$5:$H$367, MATCH(E1123, DATABASE_FG!$C$5:$C$367, 0)), " ")</f>
        <v>0</v>
      </c>
      <c r="O1123" s="129" t="str">
        <f>IF(E1123&lt;&gt;"", _xlfn.XLOOKUP(E1123, DATABASE_FG!C:C, DATABASE_FG!F:F), " ")</f>
        <v>shaft</v>
      </c>
      <c r="P1123" s="129">
        <f>IFERROR(INDEX(DATABASE_FG!$G$5:$G$367, MATCH(E1123, DATABASE_FG!$C$5:$C$367, 0)), "Not Found")</f>
        <v>0</v>
      </c>
      <c r="Q1123" s="36"/>
      <c r="R1123" s="125"/>
      <c r="S1123" s="123">
        <f>Table1[[#This Row],[Quantity]]/48</f>
        <v>0.10416666666666667</v>
      </c>
      <c r="T1123" s="36"/>
      <c r="U1123" s="36"/>
      <c r="V1123" s="36"/>
      <c r="W1123" s="129"/>
      <c r="X1123" s="36"/>
      <c r="Y1123" s="36"/>
      <c r="Z1123" s="36"/>
      <c r="AA1123" s="125" t="s">
        <v>121</v>
      </c>
      <c r="AB1123" s="173">
        <v>45640</v>
      </c>
      <c r="AC1123" s="119">
        <v>202401544</v>
      </c>
      <c r="AD1123" s="36">
        <f t="shared" si="125"/>
        <v>37357865</v>
      </c>
      <c r="AE1123" s="36" t="str">
        <f t="shared" si="126"/>
        <v>F-688040.02-0321.WH.WE</v>
      </c>
      <c r="AF1123" s="36">
        <v>5</v>
      </c>
      <c r="AG1123" s="120">
        <f t="shared" si="123"/>
        <v>58.75</v>
      </c>
      <c r="AH1123" s="36"/>
      <c r="AI1123" s="124" t="s">
        <v>2184</v>
      </c>
      <c r="AJ1123" s="122" t="s">
        <v>2185</v>
      </c>
      <c r="AK1123" s="129" t="str">
        <f t="shared" ca="1" si="127"/>
        <v>Late</v>
      </c>
      <c r="AL1123" s="268" t="str">
        <f t="shared" si="124"/>
        <v>August</v>
      </c>
      <c r="AM1123" s="133">
        <f>YEAR(Table1[[#This Row],[ETA
As requested
dd.mm.yyyy]])</f>
        <v>2024</v>
      </c>
    </row>
    <row r="1124" spans="1:40" hidden="1">
      <c r="A1124" s="123" t="s">
        <v>82</v>
      </c>
      <c r="B1124" s="36" t="s">
        <v>1170</v>
      </c>
      <c r="C1124" s="117">
        <v>37357865</v>
      </c>
      <c r="D1124" s="165">
        <v>45502</v>
      </c>
      <c r="E1124" s="117" t="s">
        <v>1746</v>
      </c>
      <c r="F1124" s="36">
        <f>IFERROR(VLOOKUP(Table1[[#This Row],[Part Number]],DATABASE_FG!$C$6:D11113,2,FALSE)," ")</f>
        <v>0</v>
      </c>
      <c r="G1124" s="117">
        <f>IFERROR(_xlfn.XLOOKUP(Table1[[#This Row],[Part Number]],Table3[Part number],Table3[Drawing
 Revision]),"")</f>
        <v>0</v>
      </c>
      <c r="H1124" s="118" cm="1">
        <f t="array" ref="H1124">IFERROR(INDEX(PDB!$C:$AT,MATCH(E1124,PDB!$B:$B,0),MATCH(YEAR(K1124),0+PDB!$C$1:$AT$1,0)),"")</f>
        <v>11.75</v>
      </c>
      <c r="I1124" s="36">
        <v>275</v>
      </c>
      <c r="J1124" s="125">
        <f>IFERROR(Table1[[#This Row],[Quantity]]*Table1[[#This Row],[Price/Unit
EUR]]," ")</f>
        <v>3231.25</v>
      </c>
      <c r="K1124" s="126">
        <v>45534</v>
      </c>
      <c r="L1124" s="36">
        <f>WEEKNUM(Table1[[#This Row],[ETA
As requested
dd.mm.yyyy]])</f>
        <v>35</v>
      </c>
      <c r="M1124" s="36">
        <f>YEAR(Table1[[#This Row],[ETA
As requested
dd.mm.yyyy]])</f>
        <v>2024</v>
      </c>
      <c r="N1124" s="36">
        <f>IFERROR(INDEX(DATABASE_FG!$H$5:$H$367, MATCH(E1124, DATABASE_FG!$C$5:$C$367, 0)), " ")</f>
        <v>0</v>
      </c>
      <c r="O1124" s="129" t="str">
        <f>IF(E1124&lt;&gt;"", _xlfn.XLOOKUP(E1124, DATABASE_FG!C:C, DATABASE_FG!F:F), " ")</f>
        <v>shaft</v>
      </c>
      <c r="P1124" s="129">
        <f>IFERROR(INDEX(DATABASE_FG!$G$5:$G$367, MATCH(E1124, DATABASE_FG!$C$5:$C$367, 0)), "Not Found")</f>
        <v>0</v>
      </c>
      <c r="Q1124" s="36"/>
      <c r="R1124" s="125"/>
      <c r="S1124" s="123">
        <f>Table1[[#This Row],[Quantity]]/48</f>
        <v>5.729166666666667</v>
      </c>
      <c r="T1124" s="36"/>
      <c r="U1124" s="36"/>
      <c r="V1124" s="36"/>
      <c r="W1124" s="129"/>
      <c r="X1124" s="36"/>
      <c r="Y1124" s="36"/>
      <c r="Z1124" s="36"/>
      <c r="AA1124" s="125" t="s">
        <v>121</v>
      </c>
      <c r="AB1124" s="173">
        <v>45640</v>
      </c>
      <c r="AC1124" s="119">
        <v>202401546</v>
      </c>
      <c r="AD1124" s="36">
        <f t="shared" si="125"/>
        <v>37357865</v>
      </c>
      <c r="AE1124" s="36" t="str">
        <f t="shared" si="126"/>
        <v>F-688040.02-0321.WH.WE</v>
      </c>
      <c r="AF1124" s="36">
        <v>275</v>
      </c>
      <c r="AG1124" s="120">
        <f t="shared" ref="AG1124:AG1192" si="128">AF1124*H1124</f>
        <v>3231.25</v>
      </c>
      <c r="AH1124" s="36"/>
      <c r="AI1124" s="124" t="s">
        <v>2186</v>
      </c>
      <c r="AJ1124" s="122" t="s">
        <v>2187</v>
      </c>
      <c r="AK1124" s="129" t="str">
        <f t="shared" ca="1" si="127"/>
        <v>Late</v>
      </c>
      <c r="AL1124" s="268" t="str">
        <f t="shared" si="124"/>
        <v>August</v>
      </c>
      <c r="AM1124" s="133">
        <f>YEAR(Table1[[#This Row],[ETA
As requested
dd.mm.yyyy]])</f>
        <v>2024</v>
      </c>
    </row>
    <row r="1125" spans="1:40" hidden="1">
      <c r="A1125" s="123" t="s">
        <v>82</v>
      </c>
      <c r="B1125" s="36" t="s">
        <v>1170</v>
      </c>
      <c r="C1125" s="117">
        <v>37357865</v>
      </c>
      <c r="D1125" s="165">
        <v>45502</v>
      </c>
      <c r="E1125" s="117" t="s">
        <v>1746</v>
      </c>
      <c r="F1125" s="36">
        <f>IFERROR(VLOOKUP(Table1[[#This Row],[Part Number]],DATABASE_FG!$C$6:D11114,2,FALSE)," ")</f>
        <v>0</v>
      </c>
      <c r="G1125" s="117">
        <f>IFERROR(_xlfn.XLOOKUP(Table1[[#This Row],[Part Number]],Table3[Part number],Table3[Drawing
 Revision]),"")</f>
        <v>0</v>
      </c>
      <c r="H1125" s="118" cm="1">
        <f t="array" ref="H1125">IFERROR(INDEX(PDB!$C:$AT,MATCH(E1125,PDB!$B:$B,0),MATCH(YEAR(K1125),0+PDB!$C$1:$AT$1,0)),"")</f>
        <v>11.75</v>
      </c>
      <c r="I1125" s="36">
        <v>196</v>
      </c>
      <c r="J1125" s="125">
        <f>IFERROR(Table1[[#This Row],[Quantity]]*Table1[[#This Row],[Price/Unit
EUR]]," ")</f>
        <v>2303</v>
      </c>
      <c r="K1125" s="126">
        <v>45534</v>
      </c>
      <c r="L1125" s="36">
        <f>WEEKNUM(Table1[[#This Row],[ETA
As requested
dd.mm.yyyy]])</f>
        <v>35</v>
      </c>
      <c r="M1125" s="36">
        <f>YEAR(Table1[[#This Row],[ETA
As requested
dd.mm.yyyy]])</f>
        <v>2024</v>
      </c>
      <c r="N1125" s="36">
        <f>IFERROR(INDEX(DATABASE_FG!$H$5:$H$367, MATCH(E1125, DATABASE_FG!$C$5:$C$367, 0)), " ")</f>
        <v>0</v>
      </c>
      <c r="O1125" s="129" t="str">
        <f>IF(E1125&lt;&gt;"", _xlfn.XLOOKUP(E1125, DATABASE_FG!C:C, DATABASE_FG!F:F), " ")</f>
        <v>shaft</v>
      </c>
      <c r="P1125" s="129">
        <f>IFERROR(INDEX(DATABASE_FG!$G$5:$G$367, MATCH(E1125, DATABASE_FG!$C$5:$C$367, 0)), "Not Found")</f>
        <v>0</v>
      </c>
      <c r="Q1125" s="36"/>
      <c r="R1125" s="125"/>
      <c r="S1125" s="123">
        <f>Table1[[#This Row],[Quantity]]/48</f>
        <v>4.083333333333333</v>
      </c>
      <c r="T1125" s="36"/>
      <c r="U1125" s="36"/>
      <c r="V1125" s="36"/>
      <c r="W1125" s="129"/>
      <c r="X1125" s="36"/>
      <c r="Y1125" s="36"/>
      <c r="Z1125" s="36"/>
      <c r="AA1125" s="125" t="s">
        <v>121</v>
      </c>
      <c r="AB1125" s="173">
        <v>45644</v>
      </c>
      <c r="AC1125" s="119">
        <v>202401574</v>
      </c>
      <c r="AD1125" s="36">
        <f t="shared" si="125"/>
        <v>37357865</v>
      </c>
      <c r="AE1125" s="36" t="str">
        <f t="shared" si="126"/>
        <v>F-688040.02-0321.WH.WE</v>
      </c>
      <c r="AF1125" s="36">
        <v>196</v>
      </c>
      <c r="AG1125" s="120">
        <f t="shared" si="128"/>
        <v>2303</v>
      </c>
      <c r="AH1125" s="36"/>
      <c r="AI1125" s="124" t="s">
        <v>2196</v>
      </c>
      <c r="AJ1125" s="122" t="s">
        <v>2197</v>
      </c>
      <c r="AK1125" s="129" t="str">
        <f t="shared" ca="1" si="127"/>
        <v>Late</v>
      </c>
      <c r="AL1125" s="268" t="str">
        <f t="shared" si="124"/>
        <v>August</v>
      </c>
      <c r="AM1125" s="133">
        <f>YEAR(Table1[[#This Row],[ETA
As requested
dd.mm.yyyy]])</f>
        <v>2024</v>
      </c>
    </row>
    <row r="1126" spans="1:40" hidden="1">
      <c r="A1126" s="123" t="s">
        <v>82</v>
      </c>
      <c r="B1126" s="36" t="s">
        <v>1170</v>
      </c>
      <c r="C1126" s="117">
        <v>37357865</v>
      </c>
      <c r="D1126" s="165">
        <v>45502</v>
      </c>
      <c r="E1126" s="117" t="s">
        <v>1746</v>
      </c>
      <c r="F1126" s="36">
        <f>IFERROR(VLOOKUP(Table1[[#This Row],[Part Number]],DATABASE_FG!$C$6:D11115,2,FALSE)," ")</f>
        <v>0</v>
      </c>
      <c r="G1126" s="117">
        <f>IFERROR(_xlfn.XLOOKUP(Table1[[#This Row],[Part Number]],Table3[Part number],Table3[Drawing
 Revision]),"")</f>
        <v>0</v>
      </c>
      <c r="H1126" s="118" cm="1">
        <f t="array" ref="H1126">IFERROR(INDEX(PDB!$C:$AT,MATCH(E1126,PDB!$B:$B,0),MATCH(YEAR(K1126),0+PDB!$C$1:$AT$1,0)),"")</f>
        <v>11.75</v>
      </c>
      <c r="I1126" s="36">
        <v>168</v>
      </c>
      <c r="J1126" s="125">
        <f>IFERROR(Table1[[#This Row],[Quantity]]*Table1[[#This Row],[Price/Unit
EUR]]," ")</f>
        <v>1974</v>
      </c>
      <c r="K1126" s="126">
        <v>45534</v>
      </c>
      <c r="L1126" s="36">
        <f>WEEKNUM(Table1[[#This Row],[ETA
As requested
dd.mm.yyyy]])</f>
        <v>35</v>
      </c>
      <c r="M1126" s="36">
        <f>YEAR(Table1[[#This Row],[ETA
As requested
dd.mm.yyyy]])</f>
        <v>2024</v>
      </c>
      <c r="N1126" s="36">
        <f>IFERROR(INDEX(DATABASE_FG!$H$5:$H$367, MATCH(E1126, DATABASE_FG!$C$5:$C$367, 0)), " ")</f>
        <v>0</v>
      </c>
      <c r="O1126" s="129" t="str">
        <f>IF(E1126&lt;&gt;"", _xlfn.XLOOKUP(E1126, DATABASE_FG!C:C, DATABASE_FG!F:F), " ")</f>
        <v>shaft</v>
      </c>
      <c r="P1126" s="129">
        <f>IFERROR(INDEX(DATABASE_FG!$G$5:$G$367, MATCH(E1126, DATABASE_FG!$C$5:$C$367, 0)), "Not Found")</f>
        <v>0</v>
      </c>
      <c r="Q1126" s="36"/>
      <c r="R1126" s="125"/>
      <c r="S1126" s="123">
        <f>Table1[[#This Row],[Quantity]]/48</f>
        <v>3.5</v>
      </c>
      <c r="T1126" s="36"/>
      <c r="U1126" s="36"/>
      <c r="V1126" s="36"/>
      <c r="W1126" s="129"/>
      <c r="X1126" s="36"/>
      <c r="Y1126" s="36"/>
      <c r="Z1126" s="36"/>
      <c r="AA1126" s="125" t="s">
        <v>121</v>
      </c>
      <c r="AB1126" s="173">
        <v>45675</v>
      </c>
      <c r="AC1126" s="119" t="s">
        <v>2212</v>
      </c>
      <c r="AD1126" s="36">
        <f t="shared" si="125"/>
        <v>37357865</v>
      </c>
      <c r="AE1126" s="36" t="str">
        <f t="shared" si="126"/>
        <v>F-688040.02-0321.WH.WE</v>
      </c>
      <c r="AF1126" s="36">
        <v>168</v>
      </c>
      <c r="AG1126" s="120">
        <f t="shared" si="128"/>
        <v>1974</v>
      </c>
      <c r="AH1126" s="36"/>
      <c r="AI1126" s="124" t="s">
        <v>2213</v>
      </c>
      <c r="AJ1126" s="122" t="s">
        <v>2214</v>
      </c>
      <c r="AK1126" s="129" t="str">
        <f t="shared" ca="1" si="127"/>
        <v>Late</v>
      </c>
      <c r="AL1126" s="268" t="str">
        <f t="shared" si="124"/>
        <v>August</v>
      </c>
      <c r="AM1126" s="133">
        <f>YEAR(Table1[[#This Row],[ETA
As requested
dd.mm.yyyy]])</f>
        <v>2024</v>
      </c>
    </row>
    <row r="1127" spans="1:40" hidden="1">
      <c r="A1127" s="123" t="s">
        <v>82</v>
      </c>
      <c r="B1127" s="36" t="s">
        <v>1170</v>
      </c>
      <c r="C1127" s="117">
        <v>37357865</v>
      </c>
      <c r="D1127" s="165">
        <v>45502</v>
      </c>
      <c r="E1127" s="117" t="s">
        <v>1746</v>
      </c>
      <c r="F1127" s="36">
        <f>IFERROR(VLOOKUP(Table1[[#This Row],[Part Number]],DATABASE_FG!$C$6:D11116,2,FALSE)," ")</f>
        <v>0</v>
      </c>
      <c r="G1127" s="117">
        <f>IFERROR(_xlfn.XLOOKUP(Table1[[#This Row],[Part Number]],Table3[Part number],Table3[Drawing
 Revision]),"")</f>
        <v>0</v>
      </c>
      <c r="H1127" s="118" cm="1">
        <f t="array" ref="H1127">IFERROR(INDEX(PDB!$C:$AT,MATCH(E1127,PDB!$B:$B,0),MATCH(YEAR(K1127),0+PDB!$C$1:$AT$1,0)),"")</f>
        <v>11.75</v>
      </c>
      <c r="I1127" s="36">
        <v>47</v>
      </c>
      <c r="J1127" s="125">
        <f>IFERROR(Table1[[#This Row],[Quantity]]*Table1[[#This Row],[Price/Unit
EUR]]," ")</f>
        <v>552.25</v>
      </c>
      <c r="K1127" s="126">
        <v>45534</v>
      </c>
      <c r="L1127" s="36">
        <f>WEEKNUM(Table1[[#This Row],[ETA
As requested
dd.mm.yyyy]])</f>
        <v>35</v>
      </c>
      <c r="M1127" s="36">
        <f>YEAR(Table1[[#This Row],[ETA
As requested
dd.mm.yyyy]])</f>
        <v>2024</v>
      </c>
      <c r="N1127" s="36">
        <f>IFERROR(INDEX(DATABASE_FG!$H$5:$H$367, MATCH(E1127, DATABASE_FG!$C$5:$C$367, 0)), " ")</f>
        <v>0</v>
      </c>
      <c r="O1127" s="129" t="str">
        <f>IF(E1127&lt;&gt;"", _xlfn.XLOOKUP(E1127, DATABASE_FG!C:C, DATABASE_FG!F:F), " ")</f>
        <v>shaft</v>
      </c>
      <c r="P1127" s="129">
        <f>IFERROR(INDEX(DATABASE_FG!$G$5:$G$367, MATCH(E1127, DATABASE_FG!$C$5:$C$367, 0)), "Not Found")</f>
        <v>0</v>
      </c>
      <c r="Q1127" s="36"/>
      <c r="R1127" s="125"/>
      <c r="S1127" s="123">
        <f>Table1[[#This Row],[Quantity]]/48</f>
        <v>0.97916666666666663</v>
      </c>
      <c r="T1127" s="36"/>
      <c r="U1127" s="36"/>
      <c r="V1127" s="36"/>
      <c r="W1127" s="129"/>
      <c r="X1127" s="36"/>
      <c r="Y1127" s="36"/>
      <c r="Z1127" s="36"/>
      <c r="AA1127" s="125" t="s">
        <v>121</v>
      </c>
      <c r="AB1127" s="173">
        <v>45675</v>
      </c>
      <c r="AC1127" s="119" t="s">
        <v>2212</v>
      </c>
      <c r="AD1127" s="36">
        <f t="shared" si="125"/>
        <v>37357865</v>
      </c>
      <c r="AE1127" s="36" t="str">
        <f t="shared" si="126"/>
        <v>F-688040.02-0321.WH.WE</v>
      </c>
      <c r="AF1127" s="36">
        <v>47</v>
      </c>
      <c r="AG1127" s="120">
        <f t="shared" si="128"/>
        <v>552.25</v>
      </c>
      <c r="AH1127" s="36"/>
      <c r="AI1127" s="124" t="s">
        <v>2213</v>
      </c>
      <c r="AJ1127" s="122" t="s">
        <v>2214</v>
      </c>
      <c r="AK1127" s="129" t="str">
        <f t="shared" ca="1" si="127"/>
        <v>Late</v>
      </c>
      <c r="AL1127" s="268" t="str">
        <f t="shared" si="124"/>
        <v>August</v>
      </c>
      <c r="AM1127" s="133">
        <f>YEAR(Table1[[#This Row],[ETA
As requested
dd.mm.yyyy]])</f>
        <v>2024</v>
      </c>
    </row>
    <row r="1128" spans="1:40" hidden="1">
      <c r="A1128" s="123" t="s">
        <v>82</v>
      </c>
      <c r="B1128" s="36" t="s">
        <v>1170</v>
      </c>
      <c r="C1128" s="117">
        <v>37357865</v>
      </c>
      <c r="D1128" s="165">
        <v>45502</v>
      </c>
      <c r="E1128" s="117" t="s">
        <v>1746</v>
      </c>
      <c r="F1128" s="36">
        <f>IFERROR(VLOOKUP(Table1[[#This Row],[Part Number]],DATABASE_FG!$C$6:D11117,2,FALSE)," ")</f>
        <v>0</v>
      </c>
      <c r="G1128" s="117">
        <f>IFERROR(_xlfn.XLOOKUP(Table1[[#This Row],[Part Number]],Table3[Part number],Table3[Drawing
 Revision]),"")</f>
        <v>0</v>
      </c>
      <c r="H1128" s="118" cm="1">
        <f t="array" ref="H1128">IFERROR(INDEX(PDB!$C:$AT,MATCH(E1128,PDB!$B:$B,0),MATCH(YEAR(K1128),0+PDB!$C$1:$AT$1,0)),"")</f>
        <v>11.75</v>
      </c>
      <c r="I1128" s="36">
        <v>89</v>
      </c>
      <c r="J1128" s="125">
        <f>IFERROR(Table1[[#This Row],[Quantity]]*Table1[[#This Row],[Price/Unit
EUR]]," ")</f>
        <v>1045.75</v>
      </c>
      <c r="K1128" s="126">
        <v>45534</v>
      </c>
      <c r="L1128" s="36">
        <f>WEEKNUM(Table1[[#This Row],[ETA
As requested
dd.mm.yyyy]])</f>
        <v>35</v>
      </c>
      <c r="M1128" s="36">
        <f>YEAR(Table1[[#This Row],[ETA
As requested
dd.mm.yyyy]])</f>
        <v>2024</v>
      </c>
      <c r="N1128" s="36">
        <f>IFERROR(INDEX(DATABASE_FG!$H$5:$H$367, MATCH(E1128, DATABASE_FG!$C$5:$C$367, 0)), " ")</f>
        <v>0</v>
      </c>
      <c r="O1128" s="129" t="str">
        <f>IF(E1128&lt;&gt;"", _xlfn.XLOOKUP(E1128, DATABASE_FG!C:C, DATABASE_FG!F:F), " ")</f>
        <v>shaft</v>
      </c>
      <c r="P1128" s="129">
        <f>IFERROR(INDEX(DATABASE_FG!$G$5:$G$367, MATCH(E1128, DATABASE_FG!$C$5:$C$367, 0)), "Not Found")</f>
        <v>0</v>
      </c>
      <c r="Q1128" s="36"/>
      <c r="R1128" s="125"/>
      <c r="S1128" s="123">
        <f>Table1[[#This Row],[Quantity]]/48</f>
        <v>1.8541666666666667</v>
      </c>
      <c r="T1128" s="36"/>
      <c r="U1128" s="36"/>
      <c r="V1128" s="36"/>
      <c r="W1128" s="129"/>
      <c r="X1128" s="36"/>
      <c r="Y1128" s="36"/>
      <c r="Z1128" s="36"/>
      <c r="AA1128" s="125" t="s">
        <v>121</v>
      </c>
      <c r="AB1128" s="173">
        <v>45689</v>
      </c>
      <c r="AC1128" s="119" t="s">
        <v>2225</v>
      </c>
      <c r="AD1128" s="36">
        <f t="shared" si="125"/>
        <v>37357865</v>
      </c>
      <c r="AE1128" s="36" t="str">
        <f t="shared" si="126"/>
        <v>F-688040.02-0321.WH.WE</v>
      </c>
      <c r="AF1128" s="36">
        <v>89</v>
      </c>
      <c r="AG1128" s="120">
        <f t="shared" si="128"/>
        <v>1045.75</v>
      </c>
      <c r="AH1128" s="36"/>
      <c r="AI1128" s="124" t="s">
        <v>2223</v>
      </c>
      <c r="AJ1128" s="122" t="s">
        <v>2226</v>
      </c>
      <c r="AK1128" s="129" t="str">
        <f t="shared" ca="1" si="127"/>
        <v>Late</v>
      </c>
      <c r="AL1128" s="268" t="str">
        <f t="shared" ref="AL1128:AL1186" si="129">TEXT(K1128,"mmmm")</f>
        <v>August</v>
      </c>
      <c r="AM1128" s="133">
        <f>YEAR(Table1[[#This Row],[ETA
As requested
dd.mm.yyyy]])</f>
        <v>2024</v>
      </c>
    </row>
    <row r="1129" spans="1:40" hidden="1">
      <c r="A1129" s="123" t="s">
        <v>82</v>
      </c>
      <c r="B1129" s="36" t="s">
        <v>1170</v>
      </c>
      <c r="C1129" s="117">
        <v>37357865</v>
      </c>
      <c r="D1129" s="165">
        <v>45502</v>
      </c>
      <c r="E1129" s="117" t="s">
        <v>1746</v>
      </c>
      <c r="F1129" s="36">
        <f>IFERROR(VLOOKUP(Table1[[#This Row],[Part Number]],DATABASE_FG!$C$6:D11118,2,FALSE)," ")</f>
        <v>0</v>
      </c>
      <c r="G1129" s="117">
        <f>IFERROR(_xlfn.XLOOKUP(Table1[[#This Row],[Part Number]],Table3[Part number],Table3[Drawing
 Revision]),"")</f>
        <v>0</v>
      </c>
      <c r="H1129" s="118" cm="1">
        <f t="array" ref="H1129">IFERROR(INDEX(PDB!$C:$AT,MATCH(E1129,PDB!$B:$B,0),MATCH(YEAR(K1129),0+PDB!$C$1:$AT$1,0)),"")</f>
        <v>11.75</v>
      </c>
      <c r="I1129" s="36">
        <v>202</v>
      </c>
      <c r="J1129" s="125">
        <f>IFERROR(Table1[[#This Row],[Quantity]]*Table1[[#This Row],[Price/Unit
EUR]]," ")</f>
        <v>2373.5</v>
      </c>
      <c r="K1129" s="126">
        <v>45534</v>
      </c>
      <c r="L1129" s="36">
        <f>WEEKNUM(Table1[[#This Row],[ETA
As requested
dd.mm.yyyy]])</f>
        <v>35</v>
      </c>
      <c r="M1129" s="36">
        <f>YEAR(Table1[[#This Row],[ETA
As requested
dd.mm.yyyy]])</f>
        <v>2024</v>
      </c>
      <c r="N1129" s="36">
        <f>IFERROR(INDEX(DATABASE_FG!$H$5:$H$367, MATCH(E1129, DATABASE_FG!$C$5:$C$367, 0)), " ")</f>
        <v>0</v>
      </c>
      <c r="O1129" s="129" t="str">
        <f>IF(E1129&lt;&gt;"", _xlfn.XLOOKUP(E1129, DATABASE_FG!C:C, DATABASE_FG!F:F), " ")</f>
        <v>shaft</v>
      </c>
      <c r="P1129" s="129">
        <f>IFERROR(INDEX(DATABASE_FG!$G$5:$G$367, MATCH(E1129, DATABASE_FG!$C$5:$C$367, 0)), "Not Found")</f>
        <v>0</v>
      </c>
      <c r="Q1129" s="36"/>
      <c r="R1129" s="125"/>
      <c r="S1129" s="123">
        <f>Table1[[#This Row],[Quantity]]/48</f>
        <v>4.208333333333333</v>
      </c>
      <c r="T1129" s="36"/>
      <c r="U1129" s="36"/>
      <c r="V1129" s="36"/>
      <c r="W1129" s="129"/>
      <c r="X1129" s="36"/>
      <c r="Y1129" s="36"/>
      <c r="Z1129" s="36"/>
      <c r="AA1129" s="125" t="s">
        <v>121</v>
      </c>
      <c r="AB1129" s="173">
        <v>45717</v>
      </c>
      <c r="AC1129" s="119" t="s">
        <v>2242</v>
      </c>
      <c r="AD1129" s="36">
        <f t="shared" si="125"/>
        <v>37357865</v>
      </c>
      <c r="AE1129" s="36" t="str">
        <f t="shared" si="126"/>
        <v>F-688040.02-0321.WH.WE</v>
      </c>
      <c r="AF1129" s="36">
        <v>202</v>
      </c>
      <c r="AG1129" s="120">
        <f t="shared" si="128"/>
        <v>2373.5</v>
      </c>
      <c r="AH1129" s="36"/>
      <c r="AI1129" s="124" t="s">
        <v>2243</v>
      </c>
      <c r="AJ1129" s="122" t="s">
        <v>2244</v>
      </c>
      <c r="AK1129" s="129" t="str">
        <f t="shared" ca="1" si="127"/>
        <v>Late</v>
      </c>
      <c r="AL1129" s="268" t="str">
        <f t="shared" si="129"/>
        <v>August</v>
      </c>
      <c r="AM1129" s="133">
        <f>YEAR(Table1[[#This Row],[ETA
As requested
dd.mm.yyyy]])</f>
        <v>2024</v>
      </c>
    </row>
    <row r="1130" spans="1:40" hidden="1">
      <c r="A1130" s="123" t="s">
        <v>82</v>
      </c>
      <c r="B1130" s="36" t="s">
        <v>1170</v>
      </c>
      <c r="C1130" s="117">
        <v>37357865</v>
      </c>
      <c r="D1130" s="165">
        <v>45502</v>
      </c>
      <c r="E1130" s="117" t="s">
        <v>1746</v>
      </c>
      <c r="F1130" s="36">
        <f>IFERROR(VLOOKUP(Table1[[#This Row],[Part Number]],DATABASE_FG!$C$6:D11119,2,FALSE)," ")</f>
        <v>0</v>
      </c>
      <c r="G1130" s="117">
        <f>IFERROR(_xlfn.XLOOKUP(Table1[[#This Row],[Part Number]],Table3[Part number],Table3[Drawing
 Revision]),"")</f>
        <v>0</v>
      </c>
      <c r="H1130" s="118" cm="1">
        <f t="array" ref="H1130">IFERROR(INDEX(PDB!$C:$AT,MATCH(E1130,PDB!$B:$B,0),MATCH(YEAR(K1130),0+PDB!$C$1:$AT$1,0)),"")</f>
        <v>11.75</v>
      </c>
      <c r="I1130" s="36">
        <v>171</v>
      </c>
      <c r="J1130" s="125">
        <f>IFERROR(Table1[[#This Row],[Quantity]]*Table1[[#This Row],[Price/Unit
EUR]]," ")</f>
        <v>2009.25</v>
      </c>
      <c r="K1130" s="126">
        <v>45534</v>
      </c>
      <c r="L1130" s="36">
        <f>WEEKNUM(Table1[[#This Row],[ETA
As requested
dd.mm.yyyy]])</f>
        <v>35</v>
      </c>
      <c r="M1130" s="36">
        <f>YEAR(Table1[[#This Row],[ETA
As requested
dd.mm.yyyy]])</f>
        <v>2024</v>
      </c>
      <c r="N1130" s="36">
        <f>IFERROR(INDEX(DATABASE_FG!$H$5:$H$367, MATCH(E1130, DATABASE_FG!$C$5:$C$367, 0)), " ")</f>
        <v>0</v>
      </c>
      <c r="O1130" s="129" t="str">
        <f>IF(E1130&lt;&gt;"", _xlfn.XLOOKUP(E1130, DATABASE_FG!C:C, DATABASE_FG!F:F), " ")</f>
        <v>shaft</v>
      </c>
      <c r="P1130" s="129">
        <f>IFERROR(INDEX(DATABASE_FG!$G$5:$G$367, MATCH(E1130, DATABASE_FG!$C$5:$C$367, 0)), "Not Found")</f>
        <v>0</v>
      </c>
      <c r="Q1130" s="36"/>
      <c r="R1130" s="125"/>
      <c r="S1130" s="123">
        <f>Table1[[#This Row],[Quantity]]/48</f>
        <v>3.5625</v>
      </c>
      <c r="T1130" s="36"/>
      <c r="U1130" s="36"/>
      <c r="V1130" s="36"/>
      <c r="W1130" s="129"/>
      <c r="X1130" s="36"/>
      <c r="Y1130" s="36"/>
      <c r="Z1130" s="36"/>
      <c r="AA1130" s="125" t="s">
        <v>121</v>
      </c>
      <c r="AB1130" s="173">
        <v>45724</v>
      </c>
      <c r="AC1130" s="119" t="s">
        <v>2251</v>
      </c>
      <c r="AD1130" s="36">
        <f t="shared" si="125"/>
        <v>37357865</v>
      </c>
      <c r="AE1130" s="36" t="str">
        <f t="shared" si="126"/>
        <v>F-688040.02-0321.WH.WE</v>
      </c>
      <c r="AF1130" s="36">
        <v>171</v>
      </c>
      <c r="AG1130" s="120">
        <f t="shared" si="128"/>
        <v>2009.25</v>
      </c>
      <c r="AH1130" s="36"/>
      <c r="AI1130" s="124" t="s">
        <v>2254</v>
      </c>
      <c r="AJ1130" s="122" t="s">
        <v>2253</v>
      </c>
      <c r="AK1130" s="129" t="str">
        <f t="shared" ca="1" si="127"/>
        <v>Late</v>
      </c>
      <c r="AL1130" s="268" t="str">
        <f t="shared" si="129"/>
        <v>August</v>
      </c>
      <c r="AM1130" s="133">
        <f>YEAR(Table1[[#This Row],[ETA
As requested
dd.mm.yyyy]])</f>
        <v>2024</v>
      </c>
    </row>
    <row r="1131" spans="1:40" hidden="1">
      <c r="A1131" s="123" t="s">
        <v>82</v>
      </c>
      <c r="B1131" s="36" t="s">
        <v>1170</v>
      </c>
      <c r="C1131" s="117">
        <v>37357865</v>
      </c>
      <c r="D1131" s="165">
        <v>45502</v>
      </c>
      <c r="E1131" s="117" t="s">
        <v>1746</v>
      </c>
      <c r="F1131" s="36">
        <f>IFERROR(VLOOKUP(Table1[[#This Row],[Part Number]],DATABASE_FG!$C$6:D11120,2,FALSE)," ")</f>
        <v>0</v>
      </c>
      <c r="G1131" s="117">
        <f>IFERROR(_xlfn.XLOOKUP(Table1[[#This Row],[Part Number]],Table3[Part number],Table3[Drawing
 Revision]),"")</f>
        <v>0</v>
      </c>
      <c r="H1131" s="118" cm="1">
        <f t="array" ref="H1131">IFERROR(INDEX(PDB!$C:$AT,MATCH(E1131,PDB!$B:$B,0),MATCH(YEAR(K1131),0+PDB!$C$1:$AT$1,0)),"")</f>
        <v>11.75</v>
      </c>
      <c r="I1131" s="36">
        <v>122</v>
      </c>
      <c r="J1131" s="125">
        <f>IFERROR(Table1[[#This Row],[Quantity]]*Table1[[#This Row],[Price/Unit
EUR]]," ")</f>
        <v>1433.5</v>
      </c>
      <c r="K1131" s="126">
        <v>45534</v>
      </c>
      <c r="L1131" s="36">
        <f>WEEKNUM(Table1[[#This Row],[ETA
As requested
dd.mm.yyyy]])</f>
        <v>35</v>
      </c>
      <c r="M1131" s="36">
        <f>YEAR(Table1[[#This Row],[ETA
As requested
dd.mm.yyyy]])</f>
        <v>2024</v>
      </c>
      <c r="N1131" s="36">
        <f>IFERROR(INDEX(DATABASE_FG!$H$5:$H$367, MATCH(E1131, DATABASE_FG!$C$5:$C$367, 0)), " ")</f>
        <v>0</v>
      </c>
      <c r="O1131" s="129" t="str">
        <f>IF(E1131&lt;&gt;"", _xlfn.XLOOKUP(E1131, DATABASE_FG!C:C, DATABASE_FG!F:F), " ")</f>
        <v>shaft</v>
      </c>
      <c r="P1131" s="129">
        <f>IFERROR(INDEX(DATABASE_FG!$G$5:$G$367, MATCH(E1131, DATABASE_FG!$C$5:$C$367, 0)), "Not Found")</f>
        <v>0</v>
      </c>
      <c r="Q1131" s="36"/>
      <c r="R1131" s="125"/>
      <c r="S1131" s="123">
        <f>Table1[[#This Row],[Quantity]]/48</f>
        <v>2.5416666666666665</v>
      </c>
      <c r="T1131" s="36"/>
      <c r="U1131" s="36"/>
      <c r="V1131" s="36"/>
      <c r="W1131" s="129"/>
      <c r="X1131" s="36"/>
      <c r="Y1131" s="36"/>
      <c r="Z1131" s="36"/>
      <c r="AA1131" s="125" t="s">
        <v>121</v>
      </c>
      <c r="AB1131" s="173">
        <v>45792</v>
      </c>
      <c r="AC1131" s="119">
        <v>25775</v>
      </c>
      <c r="AD1131" s="36">
        <f t="shared" si="125"/>
        <v>37357865</v>
      </c>
      <c r="AE1131" s="36" t="str">
        <f t="shared" si="126"/>
        <v>F-688040.02-0321.WH.WE</v>
      </c>
      <c r="AF1131" s="36">
        <v>122</v>
      </c>
      <c r="AG1131" s="120">
        <f t="shared" si="128"/>
        <v>1433.5</v>
      </c>
      <c r="AH1131" s="36"/>
      <c r="AI1131" s="124" t="s">
        <v>2291</v>
      </c>
      <c r="AJ1131" s="122" t="s">
        <v>2292</v>
      </c>
      <c r="AK1131" s="129" t="str">
        <f t="shared" ca="1" si="127"/>
        <v>Late</v>
      </c>
      <c r="AL1131" s="268" t="str">
        <f t="shared" si="129"/>
        <v>August</v>
      </c>
      <c r="AM1131" s="133">
        <f>YEAR(Table1[[#This Row],[ETA
As requested
dd.mm.yyyy]])</f>
        <v>2024</v>
      </c>
    </row>
    <row r="1132" spans="1:40" hidden="1">
      <c r="A1132" s="123" t="s">
        <v>82</v>
      </c>
      <c r="B1132" s="36" t="s">
        <v>1170</v>
      </c>
      <c r="C1132" s="117">
        <v>37357865</v>
      </c>
      <c r="D1132" s="165">
        <v>45502</v>
      </c>
      <c r="E1132" s="117" t="s">
        <v>1746</v>
      </c>
      <c r="F1132" s="36">
        <f>IFERROR(VLOOKUP(Table1[[#This Row],[Part Number]],DATABASE_FG!$C$6:D11121,2,FALSE)," ")</f>
        <v>0</v>
      </c>
      <c r="G1132" s="117">
        <f>IFERROR(_xlfn.XLOOKUP(Table1[[#This Row],[Part Number]],Table3[Part number],Table3[Drawing
 Revision]),"")</f>
        <v>0</v>
      </c>
      <c r="H1132" s="118" cm="1">
        <f t="array" ref="H1132">IFERROR(INDEX(PDB!$C:$AT,MATCH(E1132,PDB!$B:$B,0),MATCH(YEAR(K1132),0+PDB!$C$1:$AT$1,0)),"")</f>
        <v>11.75</v>
      </c>
      <c r="I1132" s="36">
        <v>44</v>
      </c>
      <c r="J1132" s="125">
        <f>IFERROR(Table1[[#This Row],[Quantity]]*Table1[[#This Row],[Price/Unit
EUR]]," ")</f>
        <v>517</v>
      </c>
      <c r="K1132" s="126">
        <v>45534</v>
      </c>
      <c r="L1132" s="36">
        <f>WEEKNUM(Table1[[#This Row],[ETA
As requested
dd.mm.yyyy]])</f>
        <v>35</v>
      </c>
      <c r="M1132" s="36">
        <f>YEAR(Table1[[#This Row],[ETA
As requested
dd.mm.yyyy]])</f>
        <v>2024</v>
      </c>
      <c r="N1132" s="36">
        <f>IFERROR(INDEX(DATABASE_FG!$H$5:$H$367, MATCH(E1132, DATABASE_FG!$C$5:$C$367, 0)), " ")</f>
        <v>0</v>
      </c>
      <c r="O1132" s="129" t="str">
        <f>IF(E1132&lt;&gt;"", _xlfn.XLOOKUP(E1132, DATABASE_FG!C:C, DATABASE_FG!F:F), " ")</f>
        <v>shaft</v>
      </c>
      <c r="P1132" s="129">
        <f>IFERROR(INDEX(DATABASE_FG!$G$5:$G$367, MATCH(E1132, DATABASE_FG!$C$5:$C$367, 0)), "Not Found")</f>
        <v>0</v>
      </c>
      <c r="Q1132" s="36"/>
      <c r="R1132" s="125"/>
      <c r="S1132" s="123">
        <f>Table1[[#This Row],[Quantity]]/48</f>
        <v>0.91666666666666663</v>
      </c>
      <c r="T1132" s="36"/>
      <c r="U1132" s="36"/>
      <c r="V1132" s="36"/>
      <c r="W1132" s="129"/>
      <c r="X1132" s="36"/>
      <c r="Y1132" s="36"/>
      <c r="Z1132" s="36"/>
      <c r="AA1132" s="125" t="s">
        <v>121</v>
      </c>
      <c r="AB1132" s="173">
        <v>45798</v>
      </c>
      <c r="AC1132" s="119">
        <v>25796</v>
      </c>
      <c r="AD1132" s="36">
        <f t="shared" si="125"/>
        <v>37357865</v>
      </c>
      <c r="AE1132" s="36" t="str">
        <f t="shared" si="126"/>
        <v>F-688040.02-0321.WH.WE</v>
      </c>
      <c r="AF1132" s="36">
        <v>44</v>
      </c>
      <c r="AG1132" s="120">
        <f t="shared" si="128"/>
        <v>517</v>
      </c>
      <c r="AH1132" s="36"/>
      <c r="AI1132" s="124" t="s">
        <v>2293</v>
      </c>
      <c r="AJ1132" s="122" t="s">
        <v>2294</v>
      </c>
      <c r="AK1132" s="129" t="str">
        <f t="shared" ca="1" si="127"/>
        <v>Late</v>
      </c>
      <c r="AL1132" s="268" t="str">
        <f t="shared" si="129"/>
        <v>August</v>
      </c>
      <c r="AM1132" s="133">
        <f>YEAR(Table1[[#This Row],[ETA
As requested
dd.mm.yyyy]])</f>
        <v>2024</v>
      </c>
    </row>
    <row r="1133" spans="1:40" hidden="1">
      <c r="A1133" s="123" t="s">
        <v>82</v>
      </c>
      <c r="B1133" s="36" t="s">
        <v>1170</v>
      </c>
      <c r="C1133" s="117">
        <v>37357865</v>
      </c>
      <c r="D1133" s="165">
        <v>45502</v>
      </c>
      <c r="E1133" s="117" t="s">
        <v>1746</v>
      </c>
      <c r="F1133" s="36">
        <f>IFERROR(VLOOKUP(Table1[[#This Row],[Part Number]],DATABASE_FG!$C$6:D11122,2,FALSE)," ")</f>
        <v>0</v>
      </c>
      <c r="G1133" s="117">
        <f>IFERROR(_xlfn.XLOOKUP(Table1[[#This Row],[Part Number]],Table3[Part number],Table3[Drawing
 Revision]),"")</f>
        <v>0</v>
      </c>
      <c r="H1133" s="118" cm="1">
        <f t="array" ref="H1133">IFERROR(INDEX(PDB!$C:$AT,MATCH(E1133,PDB!$B:$B,0),MATCH(YEAR(K1133),0+PDB!$C$1:$AT$1,0)),"")</f>
        <v>11.75</v>
      </c>
      <c r="I1133" s="36">
        <v>10</v>
      </c>
      <c r="J1133" s="125">
        <f>IFERROR(Table1[[#This Row],[Quantity]]*Table1[[#This Row],[Price/Unit
EUR]]," ")</f>
        <v>117.5</v>
      </c>
      <c r="K1133" s="126">
        <v>45534</v>
      </c>
      <c r="L1133" s="36">
        <f>WEEKNUM(Table1[[#This Row],[ETA
As requested
dd.mm.yyyy]])</f>
        <v>35</v>
      </c>
      <c r="M1133" s="36">
        <f>YEAR(Table1[[#This Row],[ETA
As requested
dd.mm.yyyy]])</f>
        <v>2024</v>
      </c>
      <c r="N1133" s="36">
        <f>IFERROR(INDEX(DATABASE_FG!$H$5:$H$367, MATCH(E1133, DATABASE_FG!$C$5:$C$367, 0)), " ")</f>
        <v>0</v>
      </c>
      <c r="O1133" s="129" t="str">
        <f>IF(E1133&lt;&gt;"", _xlfn.XLOOKUP(E1133, DATABASE_FG!C:C, DATABASE_FG!F:F), " ")</f>
        <v>shaft</v>
      </c>
      <c r="P1133" s="129">
        <f>IFERROR(INDEX(DATABASE_FG!$G$5:$G$367, MATCH(E1133, DATABASE_FG!$C$5:$C$367, 0)), "Not Found")</f>
        <v>0</v>
      </c>
      <c r="Q1133" s="36"/>
      <c r="R1133" s="125"/>
      <c r="S1133" s="123">
        <f>Table1[[#This Row],[Quantity]]/48</f>
        <v>0.20833333333333334</v>
      </c>
      <c r="T1133" s="36"/>
      <c r="U1133" s="36"/>
      <c r="V1133" s="36"/>
      <c r="W1133" s="129"/>
      <c r="X1133" s="36"/>
      <c r="Y1133" s="36"/>
      <c r="Z1133" s="36"/>
      <c r="AA1133" s="125" t="s">
        <v>121</v>
      </c>
      <c r="AB1133" s="173">
        <v>45799</v>
      </c>
      <c r="AC1133" s="119">
        <v>25802</v>
      </c>
      <c r="AD1133" s="36">
        <f t="shared" si="125"/>
        <v>37357865</v>
      </c>
      <c r="AE1133" s="36" t="str">
        <f t="shared" si="126"/>
        <v>F-688040.02-0321.WH.WE</v>
      </c>
      <c r="AF1133" s="36">
        <v>10</v>
      </c>
      <c r="AG1133" s="120">
        <f t="shared" si="128"/>
        <v>117.5</v>
      </c>
      <c r="AH1133" s="36"/>
      <c r="AI1133" s="124" t="s">
        <v>2295</v>
      </c>
      <c r="AJ1133" s="122" t="s">
        <v>2296</v>
      </c>
      <c r="AK1133" s="129" t="str">
        <f t="shared" ca="1" si="127"/>
        <v>Late</v>
      </c>
      <c r="AL1133" s="268" t="str">
        <f t="shared" si="129"/>
        <v>August</v>
      </c>
      <c r="AM1133" s="133">
        <f>YEAR(Table1[[#This Row],[ETA
As requested
dd.mm.yyyy]])</f>
        <v>2024</v>
      </c>
    </row>
    <row r="1134" spans="1:40" s="397" customFormat="1" hidden="1">
      <c r="A1134" s="386" t="s">
        <v>82</v>
      </c>
      <c r="B1134" s="387" t="s">
        <v>1170</v>
      </c>
      <c r="C1134" s="388">
        <v>50483858</v>
      </c>
      <c r="D1134" s="389">
        <v>45953</v>
      </c>
      <c r="E1134" s="390" t="s">
        <v>1437</v>
      </c>
      <c r="F1134" s="36" t="str">
        <f>IFERROR(VLOOKUP(Table1[[#This Row],[Part Number]],DATABASE_FG!$C$6:D11123,2,FALSE)," ")</f>
        <v>096999438-0000</v>
      </c>
      <c r="G1134" s="117" t="str">
        <f>IFERROR(_xlfn.XLOOKUP(Table1[[#This Row],[Part Number]],Table3[Part number],Table3[Drawing
 Revision]),"")</f>
        <v>AD</v>
      </c>
      <c r="H1134" s="392" cm="1">
        <f t="array" ref="H1134">IFERROR(INDEX(PDB!$C:$AT,MATCH(E1134,PDB!$B:$B,0),MATCH(YEAR(K1134),0+PDB!$C$1:$AT$1,0)),"")</f>
        <v>15.38</v>
      </c>
      <c r="I1134" s="387">
        <v>143</v>
      </c>
      <c r="J1134" s="393">
        <f>IFERROR(Table1[[#This Row],[Quantity]]*Table1[[#This Row],[Price/Unit
EUR]]," ")</f>
        <v>2199.34</v>
      </c>
      <c r="K1134" s="394">
        <v>46020</v>
      </c>
      <c r="L1134" s="387">
        <f>WEEKNUM(Table1[[#This Row],[ETA
As requested
dd.mm.yyyy]])</f>
        <v>53</v>
      </c>
      <c r="M1134" s="387">
        <f>YEAR(Table1[[#This Row],[ETA
As requested
dd.mm.yyyy]])</f>
        <v>2025</v>
      </c>
      <c r="N1134" s="387">
        <f>IFERROR(INDEX(DATABASE_FG!$H$5:$H$367, MATCH(E1134, DATABASE_FG!$C$5:$C$367, 0)), " ")</f>
        <v>0</v>
      </c>
      <c r="O1134" s="395" t="str">
        <f>IF(E1134&lt;&gt;"", _xlfn.XLOOKUP(E1134, DATABASE_FG!C:C, DATABASE_FG!F:F), " ")</f>
        <v>Druckstuck</v>
      </c>
      <c r="P1134" s="395">
        <f>IFERROR(INDEX(DATABASE_FG!$G$5:$G$367, MATCH(E1134, DATABASE_FG!$C$5:$C$367, 0)), "Not Found")</f>
        <v>65</v>
      </c>
      <c r="Q1134" s="387"/>
      <c r="R1134" s="393"/>
      <c r="S1134" s="123">
        <f>Table1[[#This Row],[Quantity]]/48</f>
        <v>2.9791666666666665</v>
      </c>
      <c r="T1134" s="36"/>
      <c r="U1134" s="36"/>
      <c r="V1134" s="36"/>
      <c r="W1134" s="129"/>
      <c r="X1134" s="36"/>
      <c r="Y1134" s="36"/>
      <c r="Z1134" s="36"/>
      <c r="AA1134" s="393" t="s">
        <v>3</v>
      </c>
      <c r="AB1134" s="394"/>
      <c r="AC1134" s="398"/>
      <c r="AD1134" s="387" t="str">
        <f t="shared" si="125"/>
        <v/>
      </c>
      <c r="AE1134" s="387" t="str">
        <f t="shared" si="126"/>
        <v/>
      </c>
      <c r="AF1134" s="387"/>
      <c r="AG1134" s="399">
        <f t="shared" si="128"/>
        <v>0</v>
      </c>
      <c r="AH1134" s="387"/>
      <c r="AI1134" s="400"/>
      <c r="AJ1134" s="391"/>
      <c r="AK1134" s="395" t="str">
        <f t="shared" ca="1" si="127"/>
        <v/>
      </c>
      <c r="AL1134" s="401" t="str">
        <f t="shared" si="129"/>
        <v>December</v>
      </c>
      <c r="AM1134" s="402">
        <f>YEAR(Table1[[#This Row],[ETA
As requested
dd.mm.yyyy]])</f>
        <v>2025</v>
      </c>
    </row>
    <row r="1135" spans="1:40" s="397" customFormat="1" hidden="1">
      <c r="A1135" s="386" t="s">
        <v>82</v>
      </c>
      <c r="B1135" s="387" t="s">
        <v>1170</v>
      </c>
      <c r="C1135" s="388">
        <v>50483888</v>
      </c>
      <c r="D1135" s="389">
        <v>45953</v>
      </c>
      <c r="E1135" s="390" t="s">
        <v>1429</v>
      </c>
      <c r="F1135" s="36" t="str">
        <f>IFERROR(VLOOKUP(Table1[[#This Row],[Part Number]],DATABASE_FG!$C$6:D11124,2,FALSE)," ")</f>
        <v>096999527-0000</v>
      </c>
      <c r="G1135" s="117" t="str">
        <f>IFERROR(_xlfn.XLOOKUP(Table1[[#This Row],[Part Number]],Table3[Part number],Table3[Drawing
 Revision]),"")</f>
        <v>AB</v>
      </c>
      <c r="H1135" s="392" cm="1">
        <f t="array" ref="H1135">IFERROR(INDEX(PDB!$C:$AT,MATCH(E1135,PDB!$B:$B,0),MATCH(YEAR(K1135),0+PDB!$C$1:$AT$1,0)),"")</f>
        <v>18.38</v>
      </c>
      <c r="I1135" s="387">
        <v>148</v>
      </c>
      <c r="J1135" s="393">
        <f>IFERROR(Table1[[#This Row],[Quantity]]*Table1[[#This Row],[Price/Unit
EUR]]," ")</f>
        <v>2720.24</v>
      </c>
      <c r="K1135" s="396">
        <v>46027</v>
      </c>
      <c r="L1135" s="387">
        <f>WEEKNUM(Table1[[#This Row],[ETA
As requested
dd.mm.yyyy]])</f>
        <v>2</v>
      </c>
      <c r="M1135" s="387">
        <f>YEAR(Table1[[#This Row],[ETA
As requested
dd.mm.yyyy]])</f>
        <v>2026</v>
      </c>
      <c r="N1135" s="387">
        <f>IFERROR(INDEX(DATABASE_FG!$H$5:$H$367, MATCH(E1135, DATABASE_FG!$C$5:$C$367, 0)), " ")</f>
        <v>0</v>
      </c>
      <c r="O1135" s="395" t="str">
        <f>IF(E1135&lt;&gt;"", _xlfn.XLOOKUP(E1135, DATABASE_FG!C:C, DATABASE_FG!F:F), " ")</f>
        <v>Adapterplatte</v>
      </c>
      <c r="P1135" s="395">
        <f>IFERROR(INDEX(DATABASE_FG!$G$5:$G$367, MATCH(E1135, DATABASE_FG!$C$5:$C$367, 0)), "Not Found")</f>
        <v>65</v>
      </c>
      <c r="Q1135" s="387"/>
      <c r="R1135" s="393"/>
      <c r="S1135" s="123">
        <f>Table1[[#This Row],[Quantity]]/48</f>
        <v>3.0833333333333335</v>
      </c>
      <c r="T1135" s="36"/>
      <c r="U1135" s="36"/>
      <c r="V1135" s="36"/>
      <c r="W1135" s="129"/>
      <c r="X1135" s="36"/>
      <c r="Y1135" s="36"/>
      <c r="Z1135" s="36"/>
      <c r="AA1135" s="393" t="s">
        <v>3</v>
      </c>
      <c r="AB1135" s="394"/>
      <c r="AC1135" s="398"/>
      <c r="AD1135" s="387" t="str">
        <f>IF(NOT(ISBLANK(AC1135)), C1135, "")</f>
        <v/>
      </c>
      <c r="AE1135" s="387" t="str">
        <f>IF(NOT(ISBLANK(AC1135)), E1135, "")</f>
        <v/>
      </c>
      <c r="AF1135" s="387"/>
      <c r="AG1135" s="399">
        <f>AF1135*H1135</f>
        <v>0</v>
      </c>
      <c r="AH1135" s="387"/>
      <c r="AI1135" s="400"/>
      <c r="AJ1135" s="391"/>
      <c r="AK1135" s="395" t="str">
        <f ca="1">IF(AB1135="", IF(K1135 &lt; TODAY(), "Late", ""), IF(AB1135 &lt;= K1135 + 2, "On Time", "Late"))</f>
        <v/>
      </c>
      <c r="AL1135" s="401" t="str">
        <f>TEXT(K1135,"mmmm")</f>
        <v>January</v>
      </c>
      <c r="AM1135" s="402">
        <f>YEAR(Table1[[#This Row],[ETA
As requested
dd.mm.yyyy]])</f>
        <v>2026</v>
      </c>
      <c r="AN1135" s="403"/>
    </row>
    <row r="1136" spans="1:40" s="397" customFormat="1" hidden="1">
      <c r="A1136" s="386" t="s">
        <v>82</v>
      </c>
      <c r="B1136" s="387" t="s">
        <v>1170</v>
      </c>
      <c r="C1136" s="388">
        <v>50483896</v>
      </c>
      <c r="D1136" s="389">
        <v>45953</v>
      </c>
      <c r="E1136" s="390" t="s">
        <v>1441</v>
      </c>
      <c r="F1136" s="36" t="str">
        <f>IFERROR(VLOOKUP(Table1[[#This Row],[Part Number]],DATABASE_FG!$C$6:D11125,2,FALSE)," ")</f>
        <v>096999497-0000</v>
      </c>
      <c r="G1136" s="117" t="str">
        <f>IFERROR(_xlfn.XLOOKUP(Table1[[#This Row],[Part Number]],Table3[Part number],Table3[Drawing
 Revision]),"")</f>
        <v>AA</v>
      </c>
      <c r="H1136" s="392" cm="1">
        <f t="array" ref="H1136">IFERROR(INDEX(PDB!$C:$AT,MATCH(E1136,PDB!$B:$B,0),MATCH(YEAR(K1136),0+PDB!$C$1:$AT$1,0)),"")</f>
        <v>23.48</v>
      </c>
      <c r="I1136" s="387">
        <v>146</v>
      </c>
      <c r="J1136" s="393">
        <f>IFERROR(Table1[[#This Row],[Quantity]]*Table1[[#This Row],[Price/Unit
EUR]]," ")</f>
        <v>3428.08</v>
      </c>
      <c r="K1136" s="396">
        <v>46027</v>
      </c>
      <c r="L1136" s="387">
        <f>WEEKNUM(Table1[[#This Row],[ETA
As requested
dd.mm.yyyy]])</f>
        <v>2</v>
      </c>
      <c r="M1136" s="387">
        <f>YEAR(Table1[[#This Row],[ETA
As requested
dd.mm.yyyy]])</f>
        <v>2026</v>
      </c>
      <c r="N1136" s="387">
        <f>IFERROR(INDEX(DATABASE_FG!$H$5:$H$367, MATCH(E1136, DATABASE_FG!$C$5:$C$367, 0)), " ")</f>
        <v>0</v>
      </c>
      <c r="O1136" s="395" t="str">
        <f>IF(E1136&lt;&gt;"", _xlfn.XLOOKUP(E1136, DATABASE_FG!C:C, DATABASE_FG!F:F), " ")</f>
        <v>Cover</v>
      </c>
      <c r="P1136" s="395">
        <f>IFERROR(INDEX(DATABASE_FG!$G$5:$G$367, MATCH(E1136, DATABASE_FG!$C$5:$C$367, 0)), "Not Found")</f>
        <v>65</v>
      </c>
      <c r="Q1136" s="387"/>
      <c r="R1136" s="393"/>
      <c r="S1136" s="123">
        <f>Table1[[#This Row],[Quantity]]/48</f>
        <v>3.0416666666666665</v>
      </c>
      <c r="T1136" s="36"/>
      <c r="U1136" s="36"/>
      <c r="V1136" s="36"/>
      <c r="W1136" s="129"/>
      <c r="X1136" s="36"/>
      <c r="Y1136" s="36"/>
      <c r="Z1136" s="36"/>
      <c r="AA1136" s="393" t="s">
        <v>3</v>
      </c>
      <c r="AB1136" s="394"/>
      <c r="AC1136" s="398"/>
      <c r="AD1136" s="387" t="str">
        <f>IF(NOT(ISBLANK(AC1136)), C1136, "")</f>
        <v/>
      </c>
      <c r="AE1136" s="387" t="str">
        <f>IF(NOT(ISBLANK(AC1136)), E1136, "")</f>
        <v/>
      </c>
      <c r="AF1136" s="387"/>
      <c r="AG1136" s="399">
        <f>AF1136*H1136</f>
        <v>0</v>
      </c>
      <c r="AH1136" s="387"/>
      <c r="AI1136" s="400"/>
      <c r="AJ1136" s="391"/>
      <c r="AK1136" s="395" t="str">
        <f ca="1">IF(AB1136="", IF(K1136 &lt; TODAY(), "Late", ""), IF(AB1136 &lt;= K1136 + 2, "On Time", "Late"))</f>
        <v/>
      </c>
      <c r="AL1136" s="401" t="str">
        <f>TEXT(K1136,"mmmm")</f>
        <v>January</v>
      </c>
      <c r="AM1136" s="402">
        <f>YEAR(Table1[[#This Row],[ETA
As requested
dd.mm.yyyy]])</f>
        <v>2026</v>
      </c>
      <c r="AN1136" s="403"/>
    </row>
    <row r="1137" spans="1:40" s="397" customFormat="1" hidden="1">
      <c r="A1137" s="386" t="s">
        <v>82</v>
      </c>
      <c r="B1137" s="387" t="s">
        <v>1170</v>
      </c>
      <c r="C1137" s="388">
        <v>50483907</v>
      </c>
      <c r="D1137" s="389">
        <v>45953</v>
      </c>
      <c r="E1137" s="390" t="s">
        <v>616</v>
      </c>
      <c r="F1137" s="36" t="str">
        <f>IFERROR(VLOOKUP(Table1[[#This Row],[Part Number]],DATABASE_FG!$C$6:D11126,2,FALSE)," ")</f>
        <v>096999411-0000</v>
      </c>
      <c r="G1137" s="117" t="str">
        <f>IFERROR(_xlfn.XLOOKUP(Table1[[#This Row],[Part Number]],Table3[Part number],Table3[Drawing
 Revision]),"")</f>
        <v>AA</v>
      </c>
      <c r="H1137" s="392" cm="1">
        <f t="array" ref="H1137">IFERROR(INDEX(PDB!$C:$AT,MATCH(E1137,PDB!$B:$B,0),MATCH(YEAR(K1137),0+PDB!$C$1:$AT$1,0)),"")</f>
        <v>15.03</v>
      </c>
      <c r="I1137" s="387">
        <v>143</v>
      </c>
      <c r="J1137" s="393">
        <f>IFERROR(Table1[[#This Row],[Quantity]]*Table1[[#This Row],[Price/Unit
EUR]]," ")</f>
        <v>2149.29</v>
      </c>
      <c r="K1137" s="396">
        <v>46027</v>
      </c>
      <c r="L1137" s="387">
        <f>WEEKNUM(Table1[[#This Row],[ETA
As requested
dd.mm.yyyy]])</f>
        <v>2</v>
      </c>
      <c r="M1137" s="387">
        <f>YEAR(Table1[[#This Row],[ETA
As requested
dd.mm.yyyy]])</f>
        <v>2026</v>
      </c>
      <c r="N1137" s="387">
        <f>IFERROR(INDEX(DATABASE_FG!$H$5:$H$367, MATCH(E1137, DATABASE_FG!$C$5:$C$367, 0)), " ")</f>
        <v>0</v>
      </c>
      <c r="O1137" s="395" t="str">
        <f>IF(E1137&lt;&gt;"", _xlfn.XLOOKUP(E1137, DATABASE_FG!C:C, DATABASE_FG!F:F), " ")</f>
        <v>Sleeve</v>
      </c>
      <c r="P1137" s="395">
        <f>IFERROR(INDEX(DATABASE_FG!$G$5:$G$367, MATCH(E1137, DATABASE_FG!$C$5:$C$367, 0)), "Not Found")</f>
        <v>65</v>
      </c>
      <c r="Q1137" s="387"/>
      <c r="R1137" s="393"/>
      <c r="S1137" s="123" t="s">
        <v>3</v>
      </c>
      <c r="T1137" s="36"/>
      <c r="U1137" s="36"/>
      <c r="V1137" s="36" t="s">
        <v>2720</v>
      </c>
      <c r="W1137" s="129" t="s">
        <v>2720</v>
      </c>
      <c r="X1137" s="36"/>
      <c r="Y1137" s="36">
        <v>0</v>
      </c>
      <c r="Z1137" s="36"/>
      <c r="AA1137" s="393" t="s">
        <v>3</v>
      </c>
      <c r="AB1137" s="394"/>
      <c r="AC1137" s="398" t="s">
        <v>2720</v>
      </c>
      <c r="AD1137" s="387"/>
      <c r="AE1137" s="387"/>
      <c r="AF1137" s="387"/>
      <c r="AG1137" s="399">
        <f t="shared" ref="AG1137:AG1139" si="130">AF1137*H1137</f>
        <v>0</v>
      </c>
      <c r="AH1137" s="387"/>
      <c r="AI1137" s="400"/>
      <c r="AJ1137" s="391"/>
      <c r="AK1137" s="395"/>
      <c r="AL1137" s="401" t="str">
        <f>TEXT(K1137,"mmmm")</f>
        <v>January</v>
      </c>
      <c r="AM1137" s="402">
        <f>YEAR(Table1[[#This Row],[ETA
As requested
dd.mm.yyyy]])</f>
        <v>2026</v>
      </c>
      <c r="AN1137" s="191"/>
    </row>
    <row r="1138" spans="1:40" s="397" customFormat="1" hidden="1">
      <c r="A1138" s="386" t="s">
        <v>82</v>
      </c>
      <c r="B1138" s="387" t="s">
        <v>1170</v>
      </c>
      <c r="C1138" s="388">
        <v>50589962</v>
      </c>
      <c r="D1138" s="389">
        <v>45967</v>
      </c>
      <c r="E1138" s="388" t="s">
        <v>370</v>
      </c>
      <c r="F1138" s="36" t="str">
        <f>IFERROR(VLOOKUP(Table1[[#This Row],[Part Number]],DATABASE_FG!$C$6:D11127,2,FALSE)," ")</f>
        <v>005152879-0000</v>
      </c>
      <c r="G1138" s="117" t="str">
        <f>IFERROR(_xlfn.XLOOKUP(Table1[[#This Row],[Part Number]],Table3[Part number],Table3[Drawing
 Revision]),"")</f>
        <v>AI</v>
      </c>
      <c r="H1138" s="392" cm="1">
        <f t="array" ref="H1138">IFERROR(INDEX(PDB!$C:$AT,MATCH(E1138,PDB!$B:$B,0),MATCH(YEAR(K1138),0+PDB!$C$1:$AT$1,0)),"")</f>
        <v>0</v>
      </c>
      <c r="I1138" s="387">
        <v>30</v>
      </c>
      <c r="J1138" s="393">
        <f>IFERROR(Table1[[#This Row],[Quantity]]*Table1[[#This Row],[Price/Unit
EUR]]," ")</f>
        <v>0</v>
      </c>
      <c r="K1138" s="396">
        <v>46125</v>
      </c>
      <c r="L1138" s="387">
        <f>WEEKNUM(Table1[[#This Row],[ETA
As requested
dd.mm.yyyy]])</f>
        <v>16</v>
      </c>
      <c r="M1138" s="387">
        <f>YEAR(Table1[[#This Row],[ETA
As requested
dd.mm.yyyy]])</f>
        <v>2026</v>
      </c>
      <c r="N1138" s="387">
        <f>IFERROR(INDEX(DATABASE_FG!$H$5:$H$367, MATCH(E1138, DATABASE_FG!$C$5:$C$367, 0)), " ")</f>
        <v>0</v>
      </c>
      <c r="O1138" s="395">
        <f>IF(E1138&lt;&gt;"", _xlfn.XLOOKUP(E1138, DATABASE_FG!C:C, DATABASE_FG!F:F), " ")</f>
        <v>0</v>
      </c>
      <c r="P1138" s="395">
        <f>IFERROR(INDEX(DATABASE_FG!$G$5:$G$367, MATCH(E1138, DATABASE_FG!$C$5:$C$367, 0)), "Not Found")</f>
        <v>50</v>
      </c>
      <c r="Q1138" s="387"/>
      <c r="R1138" s="393"/>
      <c r="S1138" s="123">
        <f>Table1[[#This Row],[Quantity]]/48</f>
        <v>0.625</v>
      </c>
      <c r="T1138" s="36"/>
      <c r="U1138" s="36"/>
      <c r="V1138" s="36"/>
      <c r="W1138" s="129"/>
      <c r="X1138" s="36"/>
      <c r="Y1138" s="36"/>
      <c r="Z1138" s="36"/>
      <c r="AA1138" s="393" t="s">
        <v>3</v>
      </c>
      <c r="AB1138" s="394"/>
      <c r="AC1138" s="398"/>
      <c r="AD1138" s="387" t="str">
        <f>IF(NOT(ISBLANK(AC1138)), C1138, "")</f>
        <v/>
      </c>
      <c r="AE1138" s="387" t="str">
        <f>IF(NOT(ISBLANK(AC1138)), E1138, "")</f>
        <v/>
      </c>
      <c r="AF1138" s="387"/>
      <c r="AG1138" s="399">
        <f t="shared" si="130"/>
        <v>0</v>
      </c>
      <c r="AH1138" s="387"/>
      <c r="AI1138" s="400"/>
      <c r="AJ1138" s="391"/>
      <c r="AK1138" s="395" t="str">
        <f ca="1">IF(AB1138="", IF(K1138 &lt; TODAY(), "Late", ""), IF(AB1138 &lt;= K1138 + 2, "On Time", "Late"))</f>
        <v/>
      </c>
      <c r="AL1138" s="401" t="str">
        <f>TEXT(K1138,"mmmm")</f>
        <v>April</v>
      </c>
      <c r="AM1138" s="402">
        <f>YEAR(Table1[[#This Row],[ETA
As requested
dd.mm.yyyy]])</f>
        <v>2026</v>
      </c>
      <c r="AN1138" s="403"/>
    </row>
    <row r="1139" spans="1:40" hidden="1">
      <c r="A1139" s="123" t="s">
        <v>82</v>
      </c>
      <c r="B1139" s="36" t="s">
        <v>1170</v>
      </c>
      <c r="C1139" s="117">
        <v>37357865</v>
      </c>
      <c r="D1139" s="165">
        <v>45502</v>
      </c>
      <c r="E1139" s="117" t="s">
        <v>1746</v>
      </c>
      <c r="F1139" s="36">
        <f>IFERROR(VLOOKUP(Table1[[#This Row],[Part Number]],DATABASE_FG!$C$6:D11128,2,FALSE)," ")</f>
        <v>0</v>
      </c>
      <c r="G1139" s="117">
        <f>IFERROR(_xlfn.XLOOKUP(Table1[[#This Row],[Part Number]],Table3[Part number],Table3[Drawing
 Revision]),"")</f>
        <v>0</v>
      </c>
      <c r="H1139" s="118" cm="1">
        <f t="array" ref="H1139">IFERROR(INDEX(PDB!$C:$AT,MATCH(E1139,PDB!$B:$B,0),MATCH(YEAR(K1139),0+PDB!$C$1:$AT$1,0)),"")</f>
        <v>11.75</v>
      </c>
      <c r="I1139" s="36">
        <f>1500-47-463-89-202-171-94-122-44-10-248</f>
        <v>10</v>
      </c>
      <c r="J1139" s="125">
        <f>IFERROR(Table1[[#This Row],[Quantity]]*Table1[[#This Row],[Price/Unit
EUR]]," ")</f>
        <v>117.5</v>
      </c>
      <c r="K1139" s="126">
        <v>45534</v>
      </c>
      <c r="L1139" s="36">
        <f>WEEKNUM(Table1[[#This Row],[ETA
As requested
dd.mm.yyyy]])</f>
        <v>35</v>
      </c>
      <c r="M1139" s="36">
        <f>YEAR(Table1[[#This Row],[ETA
As requested
dd.mm.yyyy]])</f>
        <v>2024</v>
      </c>
      <c r="N1139" s="36">
        <f>IFERROR(INDEX(DATABASE_FG!$H$5:$H$367, MATCH(E1139, DATABASE_FG!$C$5:$C$367, 0)), " ")</f>
        <v>0</v>
      </c>
      <c r="O1139" s="129" t="str">
        <f>IF(E1139&lt;&gt;"", _xlfn.XLOOKUP(E1139, DATABASE_FG!C:C, DATABASE_FG!F:F), " ")</f>
        <v>shaft</v>
      </c>
      <c r="P1139" s="129">
        <f>IFERROR(INDEX(DATABASE_FG!$G$5:$G$367, MATCH(E1139, DATABASE_FG!$C$5:$C$367, 0)), "Not Found")</f>
        <v>0</v>
      </c>
      <c r="Q1139" s="36"/>
      <c r="R1139" s="125"/>
      <c r="S1139" s="123">
        <f>Table1[[#This Row],[Quantity]]/48</f>
        <v>0.20833333333333334</v>
      </c>
      <c r="T1139" s="36"/>
      <c r="U1139" s="36"/>
      <c r="V1139" s="36"/>
      <c r="W1139" s="129"/>
      <c r="X1139" s="36"/>
      <c r="Y1139" s="36"/>
      <c r="Z1139" s="36"/>
      <c r="AA1139" s="125" t="s">
        <v>3</v>
      </c>
      <c r="AB1139" s="173"/>
      <c r="AC1139" s="119"/>
      <c r="AD1139" s="36" t="str">
        <f>IF(NOT(ISBLANK(AC1139)), C1139, "")</f>
        <v/>
      </c>
      <c r="AE1139" s="36" t="str">
        <f>IF(NOT(ISBLANK(AC1139)), E1139, "")</f>
        <v/>
      </c>
      <c r="AF1139" s="36"/>
      <c r="AG1139" s="399">
        <f t="shared" si="130"/>
        <v>0</v>
      </c>
      <c r="AH1139" s="36"/>
      <c r="AI1139" s="124"/>
      <c r="AJ1139" s="122"/>
      <c r="AK1139" s="129" t="str">
        <f ca="1">IF(AB1139="", IF(K1139 &lt; TODAY(), "Late", ""), IF(AB1139 &lt;= K1139 + 2, "On Time", "Late"))</f>
        <v>Late</v>
      </c>
      <c r="AL1139" s="268" t="str">
        <f>TEXT(K1139,"mmmm")</f>
        <v>August</v>
      </c>
      <c r="AM1139" s="133">
        <f>YEAR(Table1[[#This Row],[ETA
As requested
dd.mm.yyyy]])</f>
        <v>2024</v>
      </c>
      <c r="AN1139" s="191"/>
    </row>
    <row r="1140" spans="1:40" hidden="1">
      <c r="A1140" s="123" t="s">
        <v>82</v>
      </c>
      <c r="B1140" s="36" t="s">
        <v>1170</v>
      </c>
      <c r="C1140" s="117">
        <v>37357865</v>
      </c>
      <c r="D1140" s="165">
        <v>45501</v>
      </c>
      <c r="E1140" s="117" t="s">
        <v>1746</v>
      </c>
      <c r="F1140" s="36">
        <f>IFERROR(VLOOKUP(Table1[[#This Row],[Part Number]],DATABASE_FG!$C$6:D11129,2,FALSE)," ")</f>
        <v>0</v>
      </c>
      <c r="G1140" s="117">
        <f>IFERROR(_xlfn.XLOOKUP(Table1[[#This Row],[Part Number]],Table3[Part number],Table3[Drawing
 Revision]),"")</f>
        <v>0</v>
      </c>
      <c r="H1140" s="118" cm="1">
        <f t="array" ref="H1140">IFERROR(INDEX(PDB!$C:$AT,MATCH(E1140,PDB!$B:$B,0),MATCH(YEAR(K1140),0+PDB!$C$1:$AT$1,0)),"")</f>
        <v>11.75</v>
      </c>
      <c r="I1140" s="36">
        <v>463</v>
      </c>
      <c r="J1140" s="125">
        <f>IFERROR(Table1[[#This Row],[Quantity]]*Table1[[#This Row],[Price/Unit
EUR]]," ")</f>
        <v>5440.25</v>
      </c>
      <c r="K1140" s="126">
        <v>45535</v>
      </c>
      <c r="L1140" s="36">
        <f>WEEKNUM(Table1[[#This Row],[ETA
As requested
dd.mm.yyyy]])</f>
        <v>35</v>
      </c>
      <c r="M1140" s="36">
        <f>YEAR(Table1[[#This Row],[ETA
As requested
dd.mm.yyyy]])</f>
        <v>2024</v>
      </c>
      <c r="N1140" s="36">
        <f>IFERROR(INDEX(DATABASE_FG!$H$5:$H$367, MATCH(E1140, DATABASE_FG!$C$5:$C$367, 0)), " ")</f>
        <v>0</v>
      </c>
      <c r="O1140" s="129" t="str">
        <f>IF(E1140&lt;&gt;"", _xlfn.XLOOKUP(E1140, DATABASE_FG!C:C, DATABASE_FG!F:F), " ")</f>
        <v>shaft</v>
      </c>
      <c r="P1140" s="129">
        <f>IFERROR(INDEX(DATABASE_FG!$G$5:$G$367, MATCH(E1140, DATABASE_FG!$C$5:$C$367, 0)), "Not Found")</f>
        <v>0</v>
      </c>
      <c r="Q1140" s="36"/>
      <c r="R1140" s="125"/>
      <c r="S1140" s="123">
        <f>Table1[[#This Row],[Quantity]]/48</f>
        <v>9.6458333333333339</v>
      </c>
      <c r="T1140" s="36"/>
      <c r="U1140" s="36"/>
      <c r="V1140" s="36"/>
      <c r="W1140" s="129"/>
      <c r="X1140" s="36"/>
      <c r="Y1140" s="36"/>
      <c r="Z1140" s="36"/>
      <c r="AA1140" s="125" t="s">
        <v>121</v>
      </c>
      <c r="AB1140" s="173">
        <v>45681</v>
      </c>
      <c r="AC1140" s="119">
        <v>25100</v>
      </c>
      <c r="AD1140" s="36">
        <f t="shared" si="125"/>
        <v>37357865</v>
      </c>
      <c r="AE1140" s="36" t="str">
        <f t="shared" si="126"/>
        <v>F-688040.02-0321.WH.WE</v>
      </c>
      <c r="AF1140" s="36">
        <v>463</v>
      </c>
      <c r="AG1140" s="120">
        <f t="shared" si="128"/>
        <v>5440.25</v>
      </c>
      <c r="AH1140" s="36"/>
      <c r="AI1140" s="124" t="s">
        <v>2219</v>
      </c>
      <c r="AJ1140" s="122" t="s">
        <v>2298</v>
      </c>
      <c r="AK1140" s="129" t="str">
        <f t="shared" ca="1" si="127"/>
        <v>Late</v>
      </c>
      <c r="AL1140" s="268" t="str">
        <f t="shared" si="129"/>
        <v>August</v>
      </c>
      <c r="AM1140" s="133">
        <f>YEAR(Table1[[#This Row],[ETA
As requested
dd.mm.yyyy]])</f>
        <v>2024</v>
      </c>
    </row>
    <row r="1141" spans="1:40" hidden="1">
      <c r="A1141" s="123" t="s">
        <v>82</v>
      </c>
      <c r="B1141" s="36" t="s">
        <v>1170</v>
      </c>
      <c r="C1141" s="117">
        <v>37357865</v>
      </c>
      <c r="D1141" s="165">
        <v>45502</v>
      </c>
      <c r="E1141" s="117" t="s">
        <v>1746</v>
      </c>
      <c r="F1141" s="36">
        <f>IFERROR(VLOOKUP(Table1[[#This Row],[Part Number]],DATABASE_FG!$C$6:D11130,2,FALSE)," ")</f>
        <v>0</v>
      </c>
      <c r="G1141" s="117">
        <f>IFERROR(_xlfn.XLOOKUP(Table1[[#This Row],[Part Number]],Table3[Part number],Table3[Drawing
 Revision]),"")</f>
        <v>0</v>
      </c>
      <c r="H1141" s="118" cm="1">
        <f t="array" ref="H1141">IFERROR(INDEX(PDB!$C:$AT,MATCH(E1141,PDB!$B:$B,0),MATCH(YEAR(K1141),0+PDB!$C$1:$AT$1,0)),"")</f>
        <v>11.75</v>
      </c>
      <c r="I1141" s="36">
        <v>94</v>
      </c>
      <c r="J1141" s="125">
        <f>IFERROR(Table1[[#This Row],[Quantity]]*Table1[[#This Row],[Price/Unit
EUR]]," ")</f>
        <v>1104.5</v>
      </c>
      <c r="K1141" s="126">
        <v>45535</v>
      </c>
      <c r="L1141" s="36">
        <f>WEEKNUM(Table1[[#This Row],[ETA
As requested
dd.mm.yyyy]])</f>
        <v>35</v>
      </c>
      <c r="M1141" s="36">
        <f>YEAR(Table1[[#This Row],[ETA
As requested
dd.mm.yyyy]])</f>
        <v>2024</v>
      </c>
      <c r="N1141" s="36">
        <f>IFERROR(INDEX(DATABASE_FG!$H$5:$H$367, MATCH(E1141, DATABASE_FG!$C$5:$C$367, 0)), " ")</f>
        <v>0</v>
      </c>
      <c r="O1141" s="129" t="str">
        <f>IF(E1141&lt;&gt;"", _xlfn.XLOOKUP(E1141, DATABASE_FG!C:C, DATABASE_FG!F:F), " ")</f>
        <v>shaft</v>
      </c>
      <c r="P1141" s="129">
        <f>IFERROR(INDEX(DATABASE_FG!$G$5:$G$367, MATCH(E1141, DATABASE_FG!$C$5:$C$367, 0)), "Not Found")</f>
        <v>0</v>
      </c>
      <c r="Q1141" s="36"/>
      <c r="R1141" s="125"/>
      <c r="S1141" s="123">
        <f>Table1[[#This Row],[Quantity]]/48</f>
        <v>1.9583333333333333</v>
      </c>
      <c r="T1141" s="36"/>
      <c r="U1141" s="36"/>
      <c r="V1141" s="36"/>
      <c r="W1141" s="129"/>
      <c r="X1141" s="36"/>
      <c r="Y1141" s="36"/>
      <c r="Z1141" s="36"/>
      <c r="AA1141" s="125" t="s">
        <v>121</v>
      </c>
      <c r="AB1141" s="173">
        <v>45731</v>
      </c>
      <c r="AC1141" s="119" t="s">
        <v>2260</v>
      </c>
      <c r="AD1141" s="36">
        <f t="shared" si="125"/>
        <v>37357865</v>
      </c>
      <c r="AE1141" s="36" t="str">
        <f t="shared" si="126"/>
        <v>F-688040.02-0321.WH.WE</v>
      </c>
      <c r="AF1141" s="36">
        <v>94</v>
      </c>
      <c r="AG1141" s="120">
        <f t="shared" si="128"/>
        <v>1104.5</v>
      </c>
      <c r="AH1141" s="36"/>
      <c r="AI1141" s="124" t="s">
        <v>2261</v>
      </c>
      <c r="AJ1141" s="122" t="s">
        <v>2262</v>
      </c>
      <c r="AK1141" s="129" t="str">
        <f t="shared" ca="1" si="127"/>
        <v>Late</v>
      </c>
      <c r="AL1141" s="268" t="str">
        <f t="shared" si="129"/>
        <v>August</v>
      </c>
      <c r="AM1141" s="133">
        <f>YEAR(Table1[[#This Row],[ETA
As requested
dd.mm.yyyy]])</f>
        <v>2024</v>
      </c>
    </row>
    <row r="1142" spans="1:40" hidden="1">
      <c r="A1142" s="123" t="s">
        <v>83</v>
      </c>
      <c r="B1142" s="36" t="s">
        <v>1170</v>
      </c>
      <c r="C1142" s="117">
        <v>36658831</v>
      </c>
      <c r="D1142" s="165">
        <v>45405</v>
      </c>
      <c r="E1142" s="117" t="s">
        <v>608</v>
      </c>
      <c r="F1142" s="36" t="str">
        <f>IFERROR(VLOOKUP(Table1[[#This Row],[Part Number]],DATABASE_FG!$C$6:D11131,2,FALSE)," ")</f>
        <v xml:space="preserve">300786298-0000 </v>
      </c>
      <c r="G1142" s="117" t="str">
        <f>IFERROR(_xlfn.XLOOKUP(Table1[[#This Row],[Part Number]],Table3[Part number],Table3[Drawing
 Revision]),"")</f>
        <v>AB</v>
      </c>
      <c r="H1142" s="118" cm="1">
        <f t="array" ref="H1142">IFERROR(INDEX(PDB!$C:$AT,MATCH(E1142,PDB!$B:$B,0),MATCH(YEAR(K1142),0+PDB!$C$1:$AT$1,0)),"")</f>
        <v>0.78</v>
      </c>
      <c r="I1142" s="36">
        <v>2213</v>
      </c>
      <c r="J1142" s="125">
        <f>IFERROR(Table1[[#This Row],[Quantity]]*Table1[[#This Row],[Price/Unit
EUR]]," ")</f>
        <v>1726.14</v>
      </c>
      <c r="K1142" s="126">
        <v>45420</v>
      </c>
      <c r="L1142" s="36">
        <f>WEEKNUM(Table1[[#This Row],[ETA
As requested
dd.mm.yyyy]])</f>
        <v>19</v>
      </c>
      <c r="M1142" s="36">
        <f>YEAR(Table1[[#This Row],[ETA
As requested
dd.mm.yyyy]])</f>
        <v>2024</v>
      </c>
      <c r="N1142" s="36">
        <f>IFERROR(INDEX(DATABASE_FG!$H$5:$H$367, MATCH(E1142, DATABASE_FG!$C$5:$C$367, 0)), " ")</f>
        <v>0</v>
      </c>
      <c r="O1142" s="129" t="str">
        <f>IF(E1142&lt;&gt;"", _xlfn.XLOOKUP(E1142, DATABASE_FG!C:C, DATABASE_FG!F:F), " ")</f>
        <v>Alama</v>
      </c>
      <c r="P1142" s="129">
        <f>IFERROR(INDEX(DATABASE_FG!$G$5:$G$367, MATCH(E1142, DATABASE_FG!$C$5:$C$367, 0)), "Not Found")</f>
        <v>0</v>
      </c>
      <c r="Q1142" s="36"/>
      <c r="R1142" s="125" t="s">
        <v>678</v>
      </c>
      <c r="S1142" s="123">
        <f>IFERROR(INDEX(DATABASE_FG!$L$5:$L$367, MATCH(E1142, DATABASE_FG!$C$5:$C$367, 0)), " ")</f>
        <v>42</v>
      </c>
      <c r="T1142" s="36" t="s">
        <v>679</v>
      </c>
      <c r="U1142" s="36"/>
      <c r="V1142" s="36"/>
      <c r="W1142" s="129"/>
      <c r="X1142" s="36"/>
      <c r="Y1142" s="36"/>
      <c r="Z1142" s="36" t="s">
        <v>1478</v>
      </c>
      <c r="AA1142" s="125" t="s">
        <v>121</v>
      </c>
      <c r="AB1142" s="173">
        <v>45419</v>
      </c>
      <c r="AC1142" s="119">
        <v>2024425</v>
      </c>
      <c r="AD1142" s="36">
        <f t="shared" si="125"/>
        <v>36658831</v>
      </c>
      <c r="AE1142" s="36" t="str">
        <f t="shared" si="126"/>
        <v>F-801632-1042.D140.RKDK.ZL-M3AA</v>
      </c>
      <c r="AF1142" s="36">
        <v>834</v>
      </c>
      <c r="AG1142" s="120">
        <f t="shared" si="128"/>
        <v>650.52</v>
      </c>
      <c r="AH1142" s="36"/>
      <c r="AI1142" s="124"/>
      <c r="AJ1142" s="122" t="s">
        <v>1479</v>
      </c>
      <c r="AK1142" s="129" t="str">
        <f t="shared" ca="1" si="127"/>
        <v>On Time</v>
      </c>
      <c r="AL1142" s="268" t="str">
        <f t="shared" si="129"/>
        <v>May</v>
      </c>
      <c r="AM1142" s="133">
        <f>YEAR(Table1[[#This Row],[ETA
As requested
dd.mm.yyyy]])</f>
        <v>2024</v>
      </c>
    </row>
    <row r="1143" spans="1:40" hidden="1">
      <c r="A1143" s="123" t="s">
        <v>83</v>
      </c>
      <c r="B1143" s="36" t="s">
        <v>1170</v>
      </c>
      <c r="C1143" s="117">
        <v>36658831</v>
      </c>
      <c r="D1143" s="165">
        <v>45405</v>
      </c>
      <c r="E1143" s="117" t="s">
        <v>608</v>
      </c>
      <c r="F1143" s="36" t="str">
        <f>IFERROR(VLOOKUP(Table1[[#This Row],[Part Number]],DATABASE_FG!$C$6:D11132,2,FALSE)," ")</f>
        <v xml:space="preserve">300786298-0000 </v>
      </c>
      <c r="G1143" s="117" t="str">
        <f>IFERROR(_xlfn.XLOOKUP(Table1[[#This Row],[Part Number]],Table3[Part number],Table3[Drawing
 Revision]),"")</f>
        <v>AB</v>
      </c>
      <c r="H1143" s="118" cm="1">
        <f t="array" ref="H1143">IFERROR(INDEX(PDB!$C:$AT,MATCH(E1143,PDB!$B:$B,0),MATCH(YEAR(K1143),0+PDB!$C$1:$AT$1,0)),"")</f>
        <v>0.78</v>
      </c>
      <c r="I1143" s="36"/>
      <c r="J1143" s="125">
        <f>IFERROR(Table1[[#This Row],[Quantity]]*Table1[[#This Row],[Price/Unit
EUR]]," ")</f>
        <v>0</v>
      </c>
      <c r="K1143" s="126">
        <v>45420</v>
      </c>
      <c r="L1143" s="36">
        <f>WEEKNUM(Table1[[#This Row],[ETA
As requested
dd.mm.yyyy]])</f>
        <v>19</v>
      </c>
      <c r="M1143" s="36">
        <f>YEAR(Table1[[#This Row],[ETA
As requested
dd.mm.yyyy]])</f>
        <v>2024</v>
      </c>
      <c r="N1143" s="36">
        <f>IFERROR(INDEX(DATABASE_FG!$H$5:$H$367, MATCH(E1143, DATABASE_FG!$C$5:$C$367, 0)), " ")</f>
        <v>0</v>
      </c>
      <c r="O1143" s="129" t="str">
        <f>IF(E1143&lt;&gt;"", _xlfn.XLOOKUP(E1143, DATABASE_FG!C:C, DATABASE_FG!F:F), " ")</f>
        <v>Alama</v>
      </c>
      <c r="P1143" s="129">
        <f>IFERROR(INDEX(DATABASE_FG!$G$5:$G$367, MATCH(E1143, DATABASE_FG!$C$5:$C$367, 0)), "Not Found")</f>
        <v>0</v>
      </c>
      <c r="Q1143" s="36"/>
      <c r="R1143" s="125"/>
      <c r="S1143" s="123">
        <f>IFERROR(INDEX(DATABASE_FG!$L$5:$L$367, MATCH(E1143, DATABASE_FG!$C$5:$C$367, 0)), " ")</f>
        <v>42</v>
      </c>
      <c r="T1143" s="36"/>
      <c r="U1143" s="36"/>
      <c r="V1143" s="36"/>
      <c r="W1143" s="129"/>
      <c r="X1143" s="36"/>
      <c r="Y1143" s="36"/>
      <c r="Z1143" s="36"/>
      <c r="AA1143" s="125" t="s">
        <v>121</v>
      </c>
      <c r="AB1143" s="173">
        <v>45420</v>
      </c>
      <c r="AC1143" s="119">
        <v>2024439</v>
      </c>
      <c r="AD1143" s="36">
        <f t="shared" si="125"/>
        <v>36658831</v>
      </c>
      <c r="AE1143" s="36" t="str">
        <f t="shared" si="126"/>
        <v>F-801632-1042.D140.RKDK.ZL-M3AA</v>
      </c>
      <c r="AF1143" s="36">
        <v>864</v>
      </c>
      <c r="AG1143" s="120">
        <f t="shared" si="128"/>
        <v>673.92000000000007</v>
      </c>
      <c r="AH1143" s="36"/>
      <c r="AI1143" s="124"/>
      <c r="AJ1143" s="122" t="s">
        <v>1480</v>
      </c>
      <c r="AK1143" s="129" t="str">
        <f t="shared" ca="1" si="127"/>
        <v>On Time</v>
      </c>
      <c r="AL1143" s="268" t="str">
        <f t="shared" si="129"/>
        <v>May</v>
      </c>
      <c r="AM1143" s="133">
        <f>YEAR(Table1[[#This Row],[ETA
As requested
dd.mm.yyyy]])</f>
        <v>2024</v>
      </c>
    </row>
    <row r="1144" spans="1:40" hidden="1">
      <c r="A1144" s="123" t="s">
        <v>83</v>
      </c>
      <c r="B1144" s="36" t="s">
        <v>1170</v>
      </c>
      <c r="C1144" s="117">
        <v>36658831</v>
      </c>
      <c r="D1144" s="165">
        <v>45405</v>
      </c>
      <c r="E1144" s="117" t="s">
        <v>608</v>
      </c>
      <c r="F1144" s="36" t="str">
        <f>IFERROR(VLOOKUP(Table1[[#This Row],[Part Number]],DATABASE_FG!$C$6:D11133,2,FALSE)," ")</f>
        <v xml:space="preserve">300786298-0000 </v>
      </c>
      <c r="G1144" s="117" t="str">
        <f>IFERROR(_xlfn.XLOOKUP(Table1[[#This Row],[Part Number]],Table3[Part number],Table3[Drawing
 Revision]),"")</f>
        <v>AB</v>
      </c>
      <c r="H1144" s="118" cm="1">
        <f t="array" ref="H1144">IFERROR(INDEX(PDB!$C:$AT,MATCH(E1144,PDB!$B:$B,0),MATCH(YEAR(K1144),0+PDB!$C$1:$AT$1,0)),"")</f>
        <v>0.78</v>
      </c>
      <c r="I1144" s="36"/>
      <c r="J1144" s="125">
        <f>IFERROR(Table1[[#This Row],[Quantity]]*Table1[[#This Row],[Price/Unit
EUR]]," ")</f>
        <v>0</v>
      </c>
      <c r="K1144" s="126">
        <v>45420</v>
      </c>
      <c r="L1144" s="36">
        <f>WEEKNUM(Table1[[#This Row],[ETA
As requested
dd.mm.yyyy]])</f>
        <v>19</v>
      </c>
      <c r="M1144" s="36">
        <f>YEAR(Table1[[#This Row],[ETA
As requested
dd.mm.yyyy]])</f>
        <v>2024</v>
      </c>
      <c r="N1144" s="36">
        <f>IFERROR(INDEX(DATABASE_FG!$H$5:$H$367, MATCH(E1144, DATABASE_FG!$C$5:$C$367, 0)), " ")</f>
        <v>0</v>
      </c>
      <c r="O1144" s="129" t="str">
        <f>IF(E1144&lt;&gt;"", _xlfn.XLOOKUP(E1144, DATABASE_FG!C:C, DATABASE_FG!F:F), " ")</f>
        <v>Alama</v>
      </c>
      <c r="P1144" s="129">
        <f>IFERROR(INDEX(DATABASE_FG!$G$5:$G$367, MATCH(E1144, DATABASE_FG!$C$5:$C$367, 0)), "Not Found")</f>
        <v>0</v>
      </c>
      <c r="Q1144" s="36"/>
      <c r="R1144" s="125"/>
      <c r="S1144" s="123">
        <f>IFERROR(INDEX(DATABASE_FG!$L$5:$L$367, MATCH(E1144, DATABASE_FG!$C$5:$C$367, 0)), " ")</f>
        <v>42</v>
      </c>
      <c r="T1144" s="36"/>
      <c r="U1144" s="36"/>
      <c r="V1144" s="36"/>
      <c r="W1144" s="129"/>
      <c r="X1144" s="36"/>
      <c r="Y1144" s="36"/>
      <c r="Z1144" s="36"/>
      <c r="AA1144" s="125" t="s">
        <v>121</v>
      </c>
      <c r="AB1144" s="173">
        <v>45421</v>
      </c>
      <c r="AC1144" s="119">
        <v>2024446</v>
      </c>
      <c r="AD1144" s="36">
        <f t="shared" ref="AD1144:AD1207" si="131">IF(NOT(ISBLANK(AC1144)), C1144, "")</f>
        <v>36658831</v>
      </c>
      <c r="AE1144" s="36" t="str">
        <f t="shared" ref="AE1144:AE1207" si="132">IF(NOT(ISBLANK(AC1144)), E1144, "")</f>
        <v>F-801632-1042.D140.RKDK.ZL-M3AA</v>
      </c>
      <c r="AF1144" s="36">
        <v>326</v>
      </c>
      <c r="AG1144" s="120">
        <f t="shared" si="128"/>
        <v>254.28</v>
      </c>
      <c r="AH1144" s="36"/>
      <c r="AI1144" s="124"/>
      <c r="AJ1144" s="122" t="s">
        <v>1481</v>
      </c>
      <c r="AK1144" s="129" t="str">
        <f t="shared" ca="1" si="127"/>
        <v>On Time</v>
      </c>
      <c r="AL1144" s="268" t="str">
        <f t="shared" si="129"/>
        <v>May</v>
      </c>
      <c r="AM1144" s="133">
        <f>YEAR(Table1[[#This Row],[ETA
As requested
dd.mm.yyyy]])</f>
        <v>2024</v>
      </c>
    </row>
    <row r="1145" spans="1:40" hidden="1">
      <c r="A1145" s="123" t="s">
        <v>83</v>
      </c>
      <c r="B1145" s="36" t="s">
        <v>1170</v>
      </c>
      <c r="C1145" s="117">
        <v>36658831</v>
      </c>
      <c r="D1145" s="165">
        <v>45405</v>
      </c>
      <c r="E1145" s="117" t="s">
        <v>608</v>
      </c>
      <c r="F1145" s="36" t="str">
        <f>IFERROR(VLOOKUP(Table1[[#This Row],[Part Number]],DATABASE_FG!$C$6:D11134,2,FALSE)," ")</f>
        <v xml:space="preserve">300786298-0000 </v>
      </c>
      <c r="G1145" s="117" t="str">
        <f>IFERROR(_xlfn.XLOOKUP(Table1[[#This Row],[Part Number]],Table3[Part number],Table3[Drawing
 Revision]),"")</f>
        <v>AB</v>
      </c>
      <c r="H1145" s="118" cm="1">
        <f t="array" ref="H1145">IFERROR(INDEX(PDB!$C:$AT,MATCH(E1145,PDB!$B:$B,0),MATCH(YEAR(K1145),0+PDB!$C$1:$AT$1,0)),"")</f>
        <v>0.78</v>
      </c>
      <c r="I1145" s="36"/>
      <c r="J1145" s="125">
        <f>IFERROR(Table1[[#This Row],[Quantity]]*Table1[[#This Row],[Price/Unit
EUR]]," ")</f>
        <v>0</v>
      </c>
      <c r="K1145" s="126">
        <v>45420</v>
      </c>
      <c r="L1145" s="36">
        <f>WEEKNUM(Table1[[#This Row],[ETA
As requested
dd.mm.yyyy]])</f>
        <v>19</v>
      </c>
      <c r="M1145" s="36">
        <f>YEAR(Table1[[#This Row],[ETA
As requested
dd.mm.yyyy]])</f>
        <v>2024</v>
      </c>
      <c r="N1145" s="36">
        <f>IFERROR(INDEX(DATABASE_FG!$H$5:$H$367, MATCH(E1145, DATABASE_FG!$C$5:$C$367, 0)), " ")</f>
        <v>0</v>
      </c>
      <c r="O1145" s="129" t="str">
        <f>IF(E1145&lt;&gt;"", _xlfn.XLOOKUP(E1145, DATABASE_FG!C:C, DATABASE_FG!F:F), " ")</f>
        <v>Alama</v>
      </c>
      <c r="P1145" s="129">
        <f>IFERROR(INDEX(DATABASE_FG!$G$5:$G$367, MATCH(E1145, DATABASE_FG!$C$5:$C$367, 0)), "Not Found")</f>
        <v>0</v>
      </c>
      <c r="Q1145" s="36"/>
      <c r="R1145" s="125"/>
      <c r="S1145" s="123">
        <f>IFERROR(INDEX(DATABASE_FG!$L$5:$L$367, MATCH(E1145, DATABASE_FG!$C$5:$C$367, 0)), " ")</f>
        <v>42</v>
      </c>
      <c r="T1145" s="36"/>
      <c r="U1145" s="36"/>
      <c r="V1145" s="36"/>
      <c r="W1145" s="129"/>
      <c r="X1145" s="36"/>
      <c r="Y1145" s="36"/>
      <c r="Z1145" s="36"/>
      <c r="AA1145" s="125" t="s">
        <v>121</v>
      </c>
      <c r="AB1145" s="173">
        <v>45422</v>
      </c>
      <c r="AC1145" s="119">
        <v>2024459</v>
      </c>
      <c r="AD1145" s="36">
        <f t="shared" si="131"/>
        <v>36658831</v>
      </c>
      <c r="AE1145" s="36" t="str">
        <f t="shared" si="132"/>
        <v>F-801632-1042.D140.RKDK.ZL-M3AA</v>
      </c>
      <c r="AF1145" s="36">
        <v>189</v>
      </c>
      <c r="AG1145" s="120">
        <f t="shared" si="128"/>
        <v>147.42000000000002</v>
      </c>
      <c r="AH1145" s="36"/>
      <c r="AI1145" s="124"/>
      <c r="AJ1145" s="122" t="s">
        <v>1482</v>
      </c>
      <c r="AK1145" s="129" t="str">
        <f t="shared" ca="1" si="127"/>
        <v>On Time</v>
      </c>
      <c r="AL1145" s="268" t="str">
        <f t="shared" si="129"/>
        <v>May</v>
      </c>
      <c r="AM1145" s="133">
        <f>YEAR(Table1[[#This Row],[ETA
As requested
dd.mm.yyyy]])</f>
        <v>2024</v>
      </c>
    </row>
    <row r="1146" spans="1:40" hidden="1">
      <c r="A1146" s="123" t="s">
        <v>83</v>
      </c>
      <c r="B1146" s="36" t="s">
        <v>1170</v>
      </c>
      <c r="C1146" s="117">
        <v>36771280</v>
      </c>
      <c r="D1146" s="165">
        <v>45425</v>
      </c>
      <c r="E1146" s="117" t="s">
        <v>608</v>
      </c>
      <c r="F1146" s="36" t="str">
        <f>IFERROR(VLOOKUP(Table1[[#This Row],[Part Number]],DATABASE_FG!$C$6:D11135,2,FALSE)," ")</f>
        <v xml:space="preserve">300786298-0000 </v>
      </c>
      <c r="G1146" s="117" t="str">
        <f>IFERROR(_xlfn.XLOOKUP(Table1[[#This Row],[Part Number]],Table3[Part number],Table3[Drawing
 Revision]),"")</f>
        <v>AB</v>
      </c>
      <c r="H1146" s="118" cm="1">
        <f t="array" ref="H1146">IFERROR(INDEX(PDB!$C:$AT,MATCH(E1146,PDB!$B:$B,0),MATCH(YEAR(K1146),0+PDB!$C$1:$AT$1,0)),"")</f>
        <v>0.78</v>
      </c>
      <c r="I1146" s="36">
        <v>840</v>
      </c>
      <c r="J1146" s="125">
        <f>IFERROR(Table1[[#This Row],[Quantity]]*Table1[[#This Row],[Price/Unit
EUR]]," ")</f>
        <v>655.20000000000005</v>
      </c>
      <c r="K1146" s="126">
        <v>45436</v>
      </c>
      <c r="L1146" s="36">
        <f>WEEKNUM(Table1[[#This Row],[ETA
As requested
dd.mm.yyyy]])</f>
        <v>21</v>
      </c>
      <c r="M1146" s="36">
        <f>YEAR(Table1[[#This Row],[ETA
As requested
dd.mm.yyyy]])</f>
        <v>2024</v>
      </c>
      <c r="N1146" s="36">
        <f>IFERROR(INDEX(DATABASE_FG!$H$5:$H$367, MATCH(E1146, DATABASE_FG!$C$5:$C$367, 0)), " ")</f>
        <v>0</v>
      </c>
      <c r="O1146" s="129" t="str">
        <f>IF(E1146&lt;&gt;"", _xlfn.XLOOKUP(E1146, DATABASE_FG!C:C, DATABASE_FG!F:F), " ")</f>
        <v>Alama</v>
      </c>
      <c r="P1146" s="129">
        <f>IFERROR(INDEX(DATABASE_FG!$G$5:$G$367, MATCH(E1146, DATABASE_FG!$C$5:$C$367, 0)), "Not Found")</f>
        <v>0</v>
      </c>
      <c r="Q1146" s="36"/>
      <c r="R1146" s="125" t="s">
        <v>678</v>
      </c>
      <c r="S1146" s="123">
        <f>IFERROR(INDEX(DATABASE_FG!$L$5:$L$367, MATCH(E1146, DATABASE_FG!$C$5:$C$367, 0)), " ")</f>
        <v>42</v>
      </c>
      <c r="T1146" s="36" t="s">
        <v>679</v>
      </c>
      <c r="U1146" s="36"/>
      <c r="V1146" s="36"/>
      <c r="W1146" s="129"/>
      <c r="X1146" s="36"/>
      <c r="Y1146" s="36"/>
      <c r="Z1146" s="36">
        <v>241906</v>
      </c>
      <c r="AA1146" s="125" t="s">
        <v>121</v>
      </c>
      <c r="AB1146" s="173">
        <v>45427</v>
      </c>
      <c r="AC1146" s="119">
        <v>2024487</v>
      </c>
      <c r="AD1146" s="36">
        <f t="shared" si="131"/>
        <v>36771280</v>
      </c>
      <c r="AE1146" s="36" t="str">
        <f t="shared" si="132"/>
        <v>F-801632-1042.D140.RKDK.ZL-M3AA</v>
      </c>
      <c r="AF1146" s="36">
        <v>545</v>
      </c>
      <c r="AG1146" s="120">
        <f t="shared" si="128"/>
        <v>425.1</v>
      </c>
      <c r="AH1146" s="36"/>
      <c r="AI1146" s="124"/>
      <c r="AJ1146" s="122" t="s">
        <v>1552</v>
      </c>
      <c r="AK1146" s="129" t="str">
        <f t="shared" ca="1" si="127"/>
        <v>On Time</v>
      </c>
      <c r="AL1146" s="268" t="str">
        <f t="shared" si="129"/>
        <v>May</v>
      </c>
      <c r="AM1146" s="133">
        <f>YEAR(Table1[[#This Row],[ETA
As requested
dd.mm.yyyy]])</f>
        <v>2024</v>
      </c>
    </row>
    <row r="1147" spans="1:40" hidden="1">
      <c r="A1147" s="123" t="s">
        <v>83</v>
      </c>
      <c r="B1147" s="36" t="s">
        <v>1170</v>
      </c>
      <c r="C1147" s="117">
        <v>36771280</v>
      </c>
      <c r="D1147" s="165">
        <v>45425</v>
      </c>
      <c r="E1147" s="117" t="s">
        <v>608</v>
      </c>
      <c r="F1147" s="36" t="str">
        <f>IFERROR(VLOOKUP(Table1[[#This Row],[Part Number]],DATABASE_FG!$C$6:D11136,2,FALSE)," ")</f>
        <v xml:space="preserve">300786298-0000 </v>
      </c>
      <c r="G1147" s="117" t="str">
        <f>IFERROR(_xlfn.XLOOKUP(Table1[[#This Row],[Part Number]],Table3[Part number],Table3[Drawing
 Revision]),"")</f>
        <v>AB</v>
      </c>
      <c r="H1147" s="118" cm="1">
        <f t="array" ref="H1147">IFERROR(INDEX(PDB!$C:$AT,MATCH(E1147,PDB!$B:$B,0),MATCH(YEAR(K1147),0+PDB!$C$1:$AT$1,0)),"")</f>
        <v>0.78</v>
      </c>
      <c r="I1147" s="36"/>
      <c r="J1147" s="125">
        <f>IFERROR(Table1[[#This Row],[Quantity]]*Table1[[#This Row],[Price/Unit
EUR]]," ")</f>
        <v>0</v>
      </c>
      <c r="K1147" s="126">
        <v>45436</v>
      </c>
      <c r="L1147" s="36">
        <f>WEEKNUM(Table1[[#This Row],[ETA
As requested
dd.mm.yyyy]])</f>
        <v>21</v>
      </c>
      <c r="M1147" s="36">
        <f>YEAR(Table1[[#This Row],[ETA
As requested
dd.mm.yyyy]])</f>
        <v>2024</v>
      </c>
      <c r="N1147" s="36">
        <f>IFERROR(INDEX(DATABASE_FG!$H$5:$H$367, MATCH(E1147, DATABASE_FG!$C$5:$C$367, 0)), " ")</f>
        <v>0</v>
      </c>
      <c r="O1147" s="129" t="str">
        <f>IF(E1147&lt;&gt;"", _xlfn.XLOOKUP(E1147, DATABASE_FG!C:C, DATABASE_FG!F:F), " ")</f>
        <v>Alama</v>
      </c>
      <c r="P1147" s="129">
        <f>IFERROR(INDEX(DATABASE_FG!$G$5:$G$367, MATCH(E1147, DATABASE_FG!$C$5:$C$367, 0)), "Not Found")</f>
        <v>0</v>
      </c>
      <c r="Q1147" s="36"/>
      <c r="R1147" s="125"/>
      <c r="S1147" s="123">
        <f>IFERROR(INDEX(DATABASE_FG!$L$5:$L$367, MATCH(E1147, DATABASE_FG!$C$5:$C$367, 0)), " ")</f>
        <v>42</v>
      </c>
      <c r="T1147" s="36"/>
      <c r="U1147" s="36"/>
      <c r="V1147" s="36"/>
      <c r="W1147" s="129"/>
      <c r="X1147" s="36"/>
      <c r="Y1147" s="36"/>
      <c r="Z1147" s="36"/>
      <c r="AA1147" s="125" t="s">
        <v>121</v>
      </c>
      <c r="AB1147" s="173">
        <v>45428</v>
      </c>
      <c r="AC1147" s="119">
        <v>2024494</v>
      </c>
      <c r="AD1147" s="36">
        <f t="shared" si="131"/>
        <v>36771280</v>
      </c>
      <c r="AE1147" s="36" t="str">
        <f t="shared" si="132"/>
        <v>F-801632-1042.D140.RKDK.ZL-M3AA</v>
      </c>
      <c r="AF1147" s="36">
        <v>295</v>
      </c>
      <c r="AG1147" s="120">
        <f t="shared" si="128"/>
        <v>230.1</v>
      </c>
      <c r="AH1147" s="36"/>
      <c r="AI1147" s="124"/>
      <c r="AJ1147" s="122" t="s">
        <v>1553</v>
      </c>
      <c r="AK1147" s="129" t="str">
        <f t="shared" ca="1" si="127"/>
        <v>On Time</v>
      </c>
      <c r="AL1147" s="268" t="str">
        <f t="shared" si="129"/>
        <v>May</v>
      </c>
      <c r="AM1147" s="133">
        <f>YEAR(Table1[[#This Row],[ETA
As requested
dd.mm.yyyy]])</f>
        <v>2024</v>
      </c>
    </row>
    <row r="1148" spans="1:40" hidden="1">
      <c r="A1148" s="123" t="s">
        <v>83</v>
      </c>
      <c r="B1148" s="36" t="s">
        <v>1170</v>
      </c>
      <c r="C1148" s="117">
        <v>36936401</v>
      </c>
      <c r="D1148" s="165">
        <v>45439</v>
      </c>
      <c r="E1148" s="117" t="s">
        <v>608</v>
      </c>
      <c r="F1148" s="36" t="str">
        <f>IFERROR(VLOOKUP(Table1[[#This Row],[Part Number]],DATABASE_FG!$C$6:D11137,2,FALSE)," ")</f>
        <v xml:space="preserve">300786298-0000 </v>
      </c>
      <c r="G1148" s="117" t="str">
        <f>IFERROR(_xlfn.XLOOKUP(Table1[[#This Row],[Part Number]],Table3[Part number],Table3[Drawing
 Revision]),"")</f>
        <v>AB</v>
      </c>
      <c r="H1148" s="118" cm="1">
        <f t="array" ref="H1148">IFERROR(INDEX(PDB!$C:$AT,MATCH(E1148,PDB!$B:$B,0),MATCH(YEAR(K1148),0+PDB!$C$1:$AT$1,0)),"")</f>
        <v>0.78</v>
      </c>
      <c r="I1148" s="36"/>
      <c r="J1148" s="125">
        <f>IFERROR(Table1[[#This Row],[Quantity]]*Table1[[#This Row],[Price/Unit
EUR]]," ")</f>
        <v>0</v>
      </c>
      <c r="K1148" s="126">
        <v>45437</v>
      </c>
      <c r="L1148" s="36">
        <f>WEEKNUM(Table1[[#This Row],[ETA
As requested
dd.mm.yyyy]])</f>
        <v>21</v>
      </c>
      <c r="M1148" s="36">
        <f>YEAR(Table1[[#This Row],[ETA
As requested
dd.mm.yyyy]])</f>
        <v>2024</v>
      </c>
      <c r="N1148" s="36">
        <f>IFERROR(INDEX(DATABASE_FG!$H$5:$H$367, MATCH(E1148, DATABASE_FG!$C$5:$C$367, 0)), " ")</f>
        <v>0</v>
      </c>
      <c r="O1148" s="129" t="str">
        <f>IF(E1148&lt;&gt;"", _xlfn.XLOOKUP(E1148, DATABASE_FG!C:C, DATABASE_FG!F:F), " ")</f>
        <v>Alama</v>
      </c>
      <c r="P1148" s="129">
        <f>IFERROR(INDEX(DATABASE_FG!$G$5:$G$367, MATCH(E1148, DATABASE_FG!$C$5:$C$367, 0)), "Not Found")</f>
        <v>0</v>
      </c>
      <c r="Q1148" s="36"/>
      <c r="R1148" s="125"/>
      <c r="S1148" s="123">
        <f>Table1[[#This Row],[Quantity]]/48</f>
        <v>0</v>
      </c>
      <c r="T1148" s="36"/>
      <c r="U1148" s="36"/>
      <c r="V1148" s="36"/>
      <c r="W1148" s="129"/>
      <c r="X1148" s="36"/>
      <c r="Y1148" s="36"/>
      <c r="Z1148" s="36"/>
      <c r="AA1148" s="125" t="s">
        <v>121</v>
      </c>
      <c r="AB1148" s="173">
        <v>45470</v>
      </c>
      <c r="AC1148" s="119">
        <v>2024735</v>
      </c>
      <c r="AD1148" s="36">
        <f t="shared" si="131"/>
        <v>36936401</v>
      </c>
      <c r="AE1148" s="36" t="str">
        <f t="shared" si="132"/>
        <v>F-801632-1042.D140.RKDK.ZL-M3AA</v>
      </c>
      <c r="AF1148" s="36">
        <v>186</v>
      </c>
      <c r="AG1148" s="120">
        <f t="shared" si="128"/>
        <v>145.08000000000001</v>
      </c>
      <c r="AH1148" s="36"/>
      <c r="AI1148" s="124"/>
      <c r="AJ1148" s="122" t="s">
        <v>1558</v>
      </c>
      <c r="AK1148" s="129" t="str">
        <f t="shared" ca="1" si="127"/>
        <v>Late</v>
      </c>
      <c r="AL1148" s="268" t="str">
        <f t="shared" si="129"/>
        <v>May</v>
      </c>
      <c r="AM1148" s="133">
        <f>YEAR(Table1[[#This Row],[ETA
As requested
dd.mm.yyyy]])</f>
        <v>2024</v>
      </c>
    </row>
    <row r="1149" spans="1:40" hidden="1">
      <c r="A1149" s="123" t="s">
        <v>83</v>
      </c>
      <c r="B1149" s="36" t="s">
        <v>1170</v>
      </c>
      <c r="C1149" s="117">
        <v>36936401</v>
      </c>
      <c r="D1149" s="165">
        <v>45439</v>
      </c>
      <c r="E1149" s="117" t="s">
        <v>608</v>
      </c>
      <c r="F1149" s="36" t="str">
        <f>IFERROR(VLOOKUP(Table1[[#This Row],[Part Number]],DATABASE_FG!$C$6:D11138,2,FALSE)," ")</f>
        <v xml:space="preserve">300786298-0000 </v>
      </c>
      <c r="G1149" s="117" t="str">
        <f>IFERROR(_xlfn.XLOOKUP(Table1[[#This Row],[Part Number]],Table3[Part number],Table3[Drawing
 Revision]),"")</f>
        <v>AB</v>
      </c>
      <c r="H1149" s="118" cm="1">
        <f t="array" ref="H1149">IFERROR(INDEX(PDB!$C:$AT,MATCH(E1149,PDB!$B:$B,0),MATCH(YEAR(K1149),0+PDB!$C$1:$AT$1,0)),"")</f>
        <v>0.78</v>
      </c>
      <c r="I1149" s="36"/>
      <c r="J1149" s="125">
        <f>IFERROR(Table1[[#This Row],[Quantity]]*Table1[[#This Row],[Price/Unit
EUR]]," ")</f>
        <v>0</v>
      </c>
      <c r="K1149" s="126">
        <v>45437</v>
      </c>
      <c r="L1149" s="36">
        <f>WEEKNUM(Table1[[#This Row],[ETA
As requested
dd.mm.yyyy]])</f>
        <v>21</v>
      </c>
      <c r="M1149" s="36">
        <f>YEAR(Table1[[#This Row],[ETA
As requested
dd.mm.yyyy]])</f>
        <v>2024</v>
      </c>
      <c r="N1149" s="36">
        <f>IFERROR(INDEX(DATABASE_FG!$H$5:$H$367, MATCH(E1149, DATABASE_FG!$C$5:$C$367, 0)), " ")</f>
        <v>0</v>
      </c>
      <c r="O1149" s="129" t="str">
        <f>IF(E1149&lt;&gt;"", _xlfn.XLOOKUP(E1149, DATABASE_FG!C:C, DATABASE_FG!F:F), " ")</f>
        <v>Alama</v>
      </c>
      <c r="P1149" s="129">
        <f>IFERROR(INDEX(DATABASE_FG!$G$5:$G$367, MATCH(E1149, DATABASE_FG!$C$5:$C$367, 0)), "Not Found")</f>
        <v>0</v>
      </c>
      <c r="Q1149" s="36"/>
      <c r="R1149" s="125"/>
      <c r="S1149" s="123">
        <f>Table1[[#This Row],[Quantity]]/48</f>
        <v>0</v>
      </c>
      <c r="T1149" s="36"/>
      <c r="U1149" s="36"/>
      <c r="V1149" s="36"/>
      <c r="W1149" s="129"/>
      <c r="X1149" s="36"/>
      <c r="Y1149" s="36"/>
      <c r="Z1149" s="36"/>
      <c r="AA1149" s="125" t="s">
        <v>121</v>
      </c>
      <c r="AB1149" s="173">
        <v>45471</v>
      </c>
      <c r="AC1149" s="119">
        <v>2024742</v>
      </c>
      <c r="AD1149" s="36">
        <f t="shared" si="131"/>
        <v>36936401</v>
      </c>
      <c r="AE1149" s="36" t="str">
        <f t="shared" si="132"/>
        <v>F-801632-1042.D140.RKDK.ZL-M3AA</v>
      </c>
      <c r="AF1149" s="36">
        <v>580</v>
      </c>
      <c r="AG1149" s="120">
        <f t="shared" si="128"/>
        <v>452.40000000000003</v>
      </c>
      <c r="AH1149" s="36"/>
      <c r="AI1149" s="124"/>
      <c r="AJ1149" s="122" t="s">
        <v>1559</v>
      </c>
      <c r="AK1149" s="129" t="str">
        <f t="shared" ca="1" si="127"/>
        <v>Late</v>
      </c>
      <c r="AL1149" s="268" t="str">
        <f t="shared" si="129"/>
        <v>May</v>
      </c>
      <c r="AM1149" s="133">
        <f>YEAR(Table1[[#This Row],[ETA
As requested
dd.mm.yyyy]])</f>
        <v>2024</v>
      </c>
    </row>
    <row r="1150" spans="1:40" hidden="1">
      <c r="A1150" s="123" t="s">
        <v>83</v>
      </c>
      <c r="B1150" s="36" t="s">
        <v>1170</v>
      </c>
      <c r="C1150" s="117">
        <v>36936401</v>
      </c>
      <c r="D1150" s="165">
        <v>45439</v>
      </c>
      <c r="E1150" s="117" t="s">
        <v>608</v>
      </c>
      <c r="F1150" s="36" t="str">
        <f>IFERROR(VLOOKUP(Table1[[#This Row],[Part Number]],DATABASE_FG!$C$6:D11139,2,FALSE)," ")</f>
        <v xml:space="preserve">300786298-0000 </v>
      </c>
      <c r="G1150" s="117" t="str">
        <f>IFERROR(_xlfn.XLOOKUP(Table1[[#This Row],[Part Number]],Table3[Part number],Table3[Drawing
 Revision]),"")</f>
        <v>AB</v>
      </c>
      <c r="H1150" s="118" cm="1">
        <f t="array" ref="H1150">IFERROR(INDEX(PDB!$C:$AT,MATCH(E1150,PDB!$B:$B,0),MATCH(YEAR(K1150),0+PDB!$C$1:$AT$1,0)),"")</f>
        <v>0.78</v>
      </c>
      <c r="I1150" s="36"/>
      <c r="J1150" s="125">
        <f>IFERROR(Table1[[#This Row],[Quantity]]*Table1[[#This Row],[Price/Unit
EUR]]," ")</f>
        <v>0</v>
      </c>
      <c r="K1150" s="126">
        <v>45437</v>
      </c>
      <c r="L1150" s="36">
        <f>WEEKNUM(Table1[[#This Row],[ETA
As requested
dd.mm.yyyy]])</f>
        <v>21</v>
      </c>
      <c r="M1150" s="36">
        <f>YEAR(Table1[[#This Row],[ETA
As requested
dd.mm.yyyy]])</f>
        <v>2024</v>
      </c>
      <c r="N1150" s="36">
        <f>IFERROR(INDEX(DATABASE_FG!$H$5:$H$367, MATCH(E1150, DATABASE_FG!$C$5:$C$367, 0)), " ")</f>
        <v>0</v>
      </c>
      <c r="O1150" s="129" t="str">
        <f>IF(E1150&lt;&gt;"", _xlfn.XLOOKUP(E1150, DATABASE_FG!C:C, DATABASE_FG!F:F), " ")</f>
        <v>Alama</v>
      </c>
      <c r="P1150" s="129">
        <f>IFERROR(INDEX(DATABASE_FG!$G$5:$G$367, MATCH(E1150, DATABASE_FG!$C$5:$C$367, 0)), "Not Found")</f>
        <v>0</v>
      </c>
      <c r="Q1150" s="36"/>
      <c r="R1150" s="125"/>
      <c r="S1150" s="123">
        <f>Table1[[#This Row],[Quantity]]/48</f>
        <v>0</v>
      </c>
      <c r="T1150" s="36"/>
      <c r="U1150" s="36"/>
      <c r="V1150" s="36"/>
      <c r="W1150" s="129"/>
      <c r="X1150" s="36"/>
      <c r="Y1150" s="36"/>
      <c r="Z1150" s="36"/>
      <c r="AA1150" s="125" t="s">
        <v>121</v>
      </c>
      <c r="AB1150" s="173">
        <v>45474</v>
      </c>
      <c r="AC1150" s="119">
        <v>2024760</v>
      </c>
      <c r="AD1150" s="36">
        <f t="shared" si="131"/>
        <v>36936401</v>
      </c>
      <c r="AE1150" s="36" t="str">
        <f t="shared" si="132"/>
        <v>F-801632-1042.D140.RKDK.ZL-M3AA</v>
      </c>
      <c r="AF1150" s="36">
        <v>159</v>
      </c>
      <c r="AG1150" s="120">
        <f t="shared" si="128"/>
        <v>124.02000000000001</v>
      </c>
      <c r="AH1150" s="36"/>
      <c r="AI1150" s="124"/>
      <c r="AJ1150" s="122" t="s">
        <v>1560</v>
      </c>
      <c r="AK1150" s="129" t="str">
        <f t="shared" ca="1" si="127"/>
        <v>Late</v>
      </c>
      <c r="AL1150" s="268" t="str">
        <f t="shared" si="129"/>
        <v>May</v>
      </c>
      <c r="AM1150" s="133">
        <f>YEAR(Table1[[#This Row],[ETA
As requested
dd.mm.yyyy]])</f>
        <v>2024</v>
      </c>
    </row>
    <row r="1151" spans="1:40" hidden="1">
      <c r="A1151" s="123" t="s">
        <v>83</v>
      </c>
      <c r="B1151" s="36" t="s">
        <v>1170</v>
      </c>
      <c r="C1151" s="117">
        <v>36936401</v>
      </c>
      <c r="D1151" s="165">
        <v>45439</v>
      </c>
      <c r="E1151" s="117" t="s">
        <v>608</v>
      </c>
      <c r="F1151" s="36" t="str">
        <f>IFERROR(VLOOKUP(Table1[[#This Row],[Part Number]],DATABASE_FG!$C$6:D11140,2,FALSE)," ")</f>
        <v xml:space="preserve">300786298-0000 </v>
      </c>
      <c r="G1151" s="117" t="str">
        <f>IFERROR(_xlfn.XLOOKUP(Table1[[#This Row],[Part Number]],Table3[Part number],Table3[Drawing
 Revision]),"")</f>
        <v>AB</v>
      </c>
      <c r="H1151" s="118" cm="1">
        <f t="array" ref="H1151">IFERROR(INDEX(PDB!$C:$AT,MATCH(E1151,PDB!$B:$B,0),MATCH(YEAR(K1151),0+PDB!$C$1:$AT$1,0)),"")</f>
        <v>0.78</v>
      </c>
      <c r="I1151" s="36">
        <v>1876</v>
      </c>
      <c r="J1151" s="125">
        <f>IFERROR(Table1[[#This Row],[Quantity]]*Table1[[#This Row],[Price/Unit
EUR]]," ")</f>
        <v>1463.28</v>
      </c>
      <c r="K1151" s="126">
        <v>45467</v>
      </c>
      <c r="L1151" s="36">
        <f>WEEKNUM(Table1[[#This Row],[ETA
As requested
dd.mm.yyyy]])</f>
        <v>26</v>
      </c>
      <c r="M1151" s="36">
        <f>YEAR(Table1[[#This Row],[ETA
As requested
dd.mm.yyyy]])</f>
        <v>2024</v>
      </c>
      <c r="N1151" s="36">
        <f>IFERROR(INDEX(DATABASE_FG!$H$5:$H$367, MATCH(E1151, DATABASE_FG!$C$5:$C$367, 0)), " ")</f>
        <v>0</v>
      </c>
      <c r="O1151" s="129" t="str">
        <f>IF(E1151&lt;&gt;"", _xlfn.XLOOKUP(E1151, DATABASE_FG!C:C, DATABASE_FG!F:F), " ")</f>
        <v>Alama</v>
      </c>
      <c r="P1151" s="129">
        <f>IFERROR(INDEX(DATABASE_FG!$G$5:$G$367, MATCH(E1151, DATABASE_FG!$C$5:$C$367, 0)), "Not Found")</f>
        <v>0</v>
      </c>
      <c r="Q1151" s="36"/>
      <c r="R1151" s="125" t="s">
        <v>678</v>
      </c>
      <c r="S1151" s="123">
        <f>IFERROR(INDEX(DATABASE_FG!$L$5:$L$367, MATCH(E1151, DATABASE_FG!$C$5:$C$367, 0)), " ")</f>
        <v>42</v>
      </c>
      <c r="T1151" s="36" t="s">
        <v>679</v>
      </c>
      <c r="U1151" s="36"/>
      <c r="V1151" s="36"/>
      <c r="W1151" s="129"/>
      <c r="X1151" s="36"/>
      <c r="Y1151" s="36"/>
      <c r="Z1151" s="36">
        <v>242204</v>
      </c>
      <c r="AA1151" s="125" t="s">
        <v>121</v>
      </c>
      <c r="AB1151" s="173">
        <v>45457</v>
      </c>
      <c r="AC1151" s="119">
        <v>2024660</v>
      </c>
      <c r="AD1151" s="36">
        <f t="shared" si="131"/>
        <v>36936401</v>
      </c>
      <c r="AE1151" s="36" t="str">
        <f t="shared" si="132"/>
        <v>F-801632-1042.D140.RKDK.ZL-M3AA</v>
      </c>
      <c r="AF1151" s="36">
        <v>951</v>
      </c>
      <c r="AG1151" s="120">
        <f t="shared" si="128"/>
        <v>741.78</v>
      </c>
      <c r="AH1151" s="36"/>
      <c r="AI1151" s="124"/>
      <c r="AJ1151" s="122" t="s">
        <v>1714</v>
      </c>
      <c r="AK1151" s="129" t="str">
        <f t="shared" ca="1" si="127"/>
        <v>On Time</v>
      </c>
      <c r="AL1151" s="268" t="str">
        <f t="shared" si="129"/>
        <v>June</v>
      </c>
      <c r="AM1151" s="133">
        <f>YEAR(Table1[[#This Row],[ETA
As requested
dd.mm.yyyy]])</f>
        <v>2024</v>
      </c>
    </row>
    <row r="1152" spans="1:40" hidden="1">
      <c r="A1152" s="123" t="s">
        <v>83</v>
      </c>
      <c r="B1152" s="36" t="s">
        <v>1170</v>
      </c>
      <c r="C1152" s="117">
        <v>36927110</v>
      </c>
      <c r="D1152" s="165">
        <v>45450</v>
      </c>
      <c r="E1152" s="117" t="s">
        <v>608</v>
      </c>
      <c r="F1152" s="36" t="str">
        <f>IFERROR(VLOOKUP(Table1[[#This Row],[Part Number]],DATABASE_FG!$C$6:D11141,2,FALSE)," ")</f>
        <v xml:space="preserve">300786298-0000 </v>
      </c>
      <c r="G1152" s="117" t="str">
        <f>IFERROR(_xlfn.XLOOKUP(Table1[[#This Row],[Part Number]],Table3[Part number],Table3[Drawing
 Revision]),"")</f>
        <v>AB</v>
      </c>
      <c r="H1152" s="118" cm="1">
        <f t="array" ref="H1152">IFERROR(INDEX(PDB!$C:$AT,MATCH(E1152,PDB!$B:$B,0),MATCH(YEAR(K1152),0+PDB!$C$1:$AT$1,0)),"")</f>
        <v>0.78</v>
      </c>
      <c r="I1152" s="36">
        <v>1120</v>
      </c>
      <c r="J1152" s="125">
        <f>IFERROR(Table1[[#This Row],[Quantity]]*Table1[[#This Row],[Price/Unit
EUR]]," ")</f>
        <v>873.6</v>
      </c>
      <c r="K1152" s="126">
        <v>45467</v>
      </c>
      <c r="L1152" s="36">
        <f>WEEKNUM(Table1[[#This Row],[ETA
As requested
dd.mm.yyyy]])</f>
        <v>26</v>
      </c>
      <c r="M1152" s="36">
        <f>YEAR(Table1[[#This Row],[ETA
As requested
dd.mm.yyyy]])</f>
        <v>2024</v>
      </c>
      <c r="N1152" s="36">
        <f>IFERROR(INDEX(DATABASE_FG!$H$5:$H$367, MATCH(E1152, DATABASE_FG!$C$5:$C$367, 0)), " ")</f>
        <v>0</v>
      </c>
      <c r="O1152" s="129" t="str">
        <f>IF(E1152&lt;&gt;"", _xlfn.XLOOKUP(E1152, DATABASE_FG!C:C, DATABASE_FG!F:F), " ")</f>
        <v>Alama</v>
      </c>
      <c r="P1152" s="129">
        <f>IFERROR(INDEX(DATABASE_FG!$G$5:$G$367, MATCH(E1152, DATABASE_FG!$C$5:$C$367, 0)), "Not Found")</f>
        <v>0</v>
      </c>
      <c r="Q1152" s="36"/>
      <c r="R1152" s="125" t="s">
        <v>678</v>
      </c>
      <c r="S1152" s="123">
        <f>IFERROR(INDEX(DATABASE_FG!$L$5:$L$367, MATCH(E1152, DATABASE_FG!$C$5:$C$367, 0)), " ")</f>
        <v>42</v>
      </c>
      <c r="T1152" s="36" t="s">
        <v>679</v>
      </c>
      <c r="U1152" s="36"/>
      <c r="V1152" s="36"/>
      <c r="W1152" s="129"/>
      <c r="X1152" s="36"/>
      <c r="Y1152" s="36"/>
      <c r="Z1152" s="36">
        <v>242509</v>
      </c>
      <c r="AA1152" s="125" t="s">
        <v>121</v>
      </c>
      <c r="AB1152" s="173">
        <v>45474</v>
      </c>
      <c r="AC1152" s="119">
        <v>2024761</v>
      </c>
      <c r="AD1152" s="36">
        <f t="shared" si="131"/>
        <v>36927110</v>
      </c>
      <c r="AE1152" s="36" t="str">
        <f t="shared" si="132"/>
        <v>F-801632-1042.D140.RKDK.ZL-M3AA</v>
      </c>
      <c r="AF1152" s="36">
        <v>105</v>
      </c>
      <c r="AG1152" s="120">
        <f t="shared" si="128"/>
        <v>81.900000000000006</v>
      </c>
      <c r="AH1152" s="36"/>
      <c r="AI1152" s="124"/>
      <c r="AJ1152" s="122" t="s">
        <v>1720</v>
      </c>
      <c r="AK1152" s="129" t="str">
        <f t="shared" ca="1" si="127"/>
        <v>Late</v>
      </c>
      <c r="AL1152" s="268" t="str">
        <f t="shared" si="129"/>
        <v>June</v>
      </c>
      <c r="AM1152" s="133">
        <f>YEAR(Table1[[#This Row],[ETA
As requested
dd.mm.yyyy]])</f>
        <v>2024</v>
      </c>
    </row>
    <row r="1153" spans="1:40" hidden="1">
      <c r="A1153" s="123" t="s">
        <v>83</v>
      </c>
      <c r="B1153" s="36" t="s">
        <v>1170</v>
      </c>
      <c r="C1153" s="117">
        <v>36927110</v>
      </c>
      <c r="D1153" s="165">
        <v>45450</v>
      </c>
      <c r="E1153" s="117" t="s">
        <v>608</v>
      </c>
      <c r="F1153" s="36" t="str">
        <f>IFERROR(VLOOKUP(Table1[[#This Row],[Part Number]],DATABASE_FG!$C$6:D11142,2,FALSE)," ")</f>
        <v xml:space="preserve">300786298-0000 </v>
      </c>
      <c r="G1153" s="117" t="str">
        <f>IFERROR(_xlfn.XLOOKUP(Table1[[#This Row],[Part Number]],Table3[Part number],Table3[Drawing
 Revision]),"")</f>
        <v>AB</v>
      </c>
      <c r="H1153" s="118" cm="1">
        <f t="array" ref="H1153">IFERROR(INDEX(PDB!$C:$AT,MATCH(E1153,PDB!$B:$B,0),MATCH(YEAR(K1153),0+PDB!$C$1:$AT$1,0)),"")</f>
        <v>0.78</v>
      </c>
      <c r="I1153" s="36"/>
      <c r="J1153" s="125">
        <f>IFERROR(Table1[[#This Row],[Quantity]]*Table1[[#This Row],[Price/Unit
EUR]]," ")</f>
        <v>0</v>
      </c>
      <c r="K1153" s="126">
        <v>45467</v>
      </c>
      <c r="L1153" s="36">
        <f>WEEKNUM(Table1[[#This Row],[ETA
As requested
dd.mm.yyyy]])</f>
        <v>26</v>
      </c>
      <c r="M1153" s="36">
        <f>YEAR(Table1[[#This Row],[ETA
As requested
dd.mm.yyyy]])</f>
        <v>2024</v>
      </c>
      <c r="N1153" s="36">
        <f>IFERROR(INDEX(DATABASE_FG!$H$5:$H$367, MATCH(E1153, DATABASE_FG!$C$5:$C$367, 0)), " ")</f>
        <v>0</v>
      </c>
      <c r="O1153" s="129" t="str">
        <f>IF(E1153&lt;&gt;"", _xlfn.XLOOKUP(E1153, DATABASE_FG!C:C, DATABASE_FG!F:F), " ")</f>
        <v>Alama</v>
      </c>
      <c r="P1153" s="129">
        <f>IFERROR(INDEX(DATABASE_FG!$G$5:$G$367, MATCH(E1153, DATABASE_FG!$C$5:$C$367, 0)), "Not Found")</f>
        <v>0</v>
      </c>
      <c r="Q1153" s="36"/>
      <c r="R1153" s="125"/>
      <c r="S1153" s="123">
        <f>Table1[[#This Row],[Quantity]]/48</f>
        <v>0</v>
      </c>
      <c r="T1153" s="36"/>
      <c r="U1153" s="36"/>
      <c r="V1153" s="36"/>
      <c r="W1153" s="129"/>
      <c r="X1153" s="36"/>
      <c r="Y1153" s="36"/>
      <c r="Z1153" s="36"/>
      <c r="AA1153" s="125" t="s">
        <v>121</v>
      </c>
      <c r="AB1153" s="173">
        <v>45476</v>
      </c>
      <c r="AC1153" s="119">
        <v>2024780</v>
      </c>
      <c r="AD1153" s="36">
        <f t="shared" si="131"/>
        <v>36927110</v>
      </c>
      <c r="AE1153" s="36" t="str">
        <f t="shared" si="132"/>
        <v>F-801632-1042.D140.RKDK.ZL-M3AA</v>
      </c>
      <c r="AF1153" s="36">
        <v>325</v>
      </c>
      <c r="AG1153" s="120">
        <f t="shared" si="128"/>
        <v>253.5</v>
      </c>
      <c r="AH1153" s="36"/>
      <c r="AI1153" s="124"/>
      <c r="AJ1153" s="122" t="s">
        <v>1721</v>
      </c>
      <c r="AK1153" s="129" t="str">
        <f t="shared" ca="1" si="127"/>
        <v>Late</v>
      </c>
      <c r="AL1153" s="268" t="str">
        <f t="shared" si="129"/>
        <v>June</v>
      </c>
      <c r="AM1153" s="133">
        <f>YEAR(Table1[[#This Row],[ETA
As requested
dd.mm.yyyy]])</f>
        <v>2024</v>
      </c>
    </row>
    <row r="1154" spans="1:40" hidden="1">
      <c r="A1154" s="123" t="s">
        <v>83</v>
      </c>
      <c r="B1154" s="36" t="s">
        <v>1170</v>
      </c>
      <c r="C1154" s="117">
        <v>36927110</v>
      </c>
      <c r="D1154" s="165">
        <v>45450</v>
      </c>
      <c r="E1154" s="117" t="s">
        <v>608</v>
      </c>
      <c r="F1154" s="36" t="str">
        <f>IFERROR(VLOOKUP(Table1[[#This Row],[Part Number]],DATABASE_FG!$C$6:D11143,2,FALSE)," ")</f>
        <v xml:space="preserve">300786298-0000 </v>
      </c>
      <c r="G1154" s="117" t="str">
        <f>IFERROR(_xlfn.XLOOKUP(Table1[[#This Row],[Part Number]],Table3[Part number],Table3[Drawing
 Revision]),"")</f>
        <v>AB</v>
      </c>
      <c r="H1154" s="118" cm="1">
        <f t="array" ref="H1154">IFERROR(INDEX(PDB!$C:$AT,MATCH(E1154,PDB!$B:$B,0),MATCH(YEAR(K1154),0+PDB!$C$1:$AT$1,0)),"")</f>
        <v>0.78</v>
      </c>
      <c r="I1154" s="36"/>
      <c r="J1154" s="125">
        <f>IFERROR(Table1[[#This Row],[Quantity]]*Table1[[#This Row],[Price/Unit
EUR]]," ")</f>
        <v>0</v>
      </c>
      <c r="K1154" s="126">
        <v>45467</v>
      </c>
      <c r="L1154" s="36">
        <f>WEEKNUM(Table1[[#This Row],[ETA
As requested
dd.mm.yyyy]])</f>
        <v>26</v>
      </c>
      <c r="M1154" s="36">
        <f>YEAR(Table1[[#This Row],[ETA
As requested
dd.mm.yyyy]])</f>
        <v>2024</v>
      </c>
      <c r="N1154" s="36">
        <f>IFERROR(INDEX(DATABASE_FG!$H$5:$H$367, MATCH(E1154, DATABASE_FG!$C$5:$C$367, 0)), " ")</f>
        <v>0</v>
      </c>
      <c r="O1154" s="129" t="str">
        <f>IF(E1154&lt;&gt;"", _xlfn.XLOOKUP(E1154, DATABASE_FG!C:C, DATABASE_FG!F:F), " ")</f>
        <v>Alama</v>
      </c>
      <c r="P1154" s="129">
        <f>IFERROR(INDEX(DATABASE_FG!$G$5:$G$367, MATCH(E1154, DATABASE_FG!$C$5:$C$367, 0)), "Not Found")</f>
        <v>0</v>
      </c>
      <c r="Q1154" s="36"/>
      <c r="R1154" s="125"/>
      <c r="S1154" s="123">
        <f>Table1[[#This Row],[Quantity]]/48</f>
        <v>0</v>
      </c>
      <c r="T1154" s="36"/>
      <c r="U1154" s="36"/>
      <c r="V1154" s="36"/>
      <c r="W1154" s="129"/>
      <c r="X1154" s="36"/>
      <c r="Y1154" s="36"/>
      <c r="Z1154" s="36"/>
      <c r="AA1154" s="125" t="s">
        <v>121</v>
      </c>
      <c r="AB1154" s="173">
        <v>45477</v>
      </c>
      <c r="AC1154" s="119">
        <v>2024789</v>
      </c>
      <c r="AD1154" s="36">
        <f t="shared" si="131"/>
        <v>36927110</v>
      </c>
      <c r="AE1154" s="36" t="str">
        <f t="shared" si="132"/>
        <v>F-801632-1042.D140.RKDK.ZL-M3AA</v>
      </c>
      <c r="AF1154" s="36">
        <v>206</v>
      </c>
      <c r="AG1154" s="120">
        <f t="shared" si="128"/>
        <v>160.68</v>
      </c>
      <c r="AH1154" s="36"/>
      <c r="AI1154" s="124"/>
      <c r="AJ1154" s="122" t="s">
        <v>1722</v>
      </c>
      <c r="AK1154" s="129" t="str">
        <f t="shared" ca="1" si="127"/>
        <v>Late</v>
      </c>
      <c r="AL1154" s="268" t="str">
        <f t="shared" si="129"/>
        <v>June</v>
      </c>
      <c r="AM1154" s="133">
        <f>YEAR(Table1[[#This Row],[ETA
As requested
dd.mm.yyyy]])</f>
        <v>2024</v>
      </c>
    </row>
    <row r="1155" spans="1:40" hidden="1">
      <c r="A1155" s="123" t="s">
        <v>83</v>
      </c>
      <c r="B1155" s="36" t="s">
        <v>1170</v>
      </c>
      <c r="C1155" s="117">
        <v>36927110</v>
      </c>
      <c r="D1155" s="165">
        <v>45450</v>
      </c>
      <c r="E1155" s="117" t="s">
        <v>608</v>
      </c>
      <c r="F1155" s="36" t="str">
        <f>IFERROR(VLOOKUP(Table1[[#This Row],[Part Number]],DATABASE_FG!$C$6:D11144,2,FALSE)," ")</f>
        <v xml:space="preserve">300786298-0000 </v>
      </c>
      <c r="G1155" s="117" t="str">
        <f>IFERROR(_xlfn.XLOOKUP(Table1[[#This Row],[Part Number]],Table3[Part number],Table3[Drawing
 Revision]),"")</f>
        <v>AB</v>
      </c>
      <c r="H1155" s="118" cm="1">
        <f t="array" ref="H1155">IFERROR(INDEX(PDB!$C:$AT,MATCH(E1155,PDB!$B:$B,0),MATCH(YEAR(K1155),0+PDB!$C$1:$AT$1,0)),"")</f>
        <v>0.78</v>
      </c>
      <c r="I1155" s="36"/>
      <c r="J1155" s="125">
        <f>IFERROR(Table1[[#This Row],[Quantity]]*Table1[[#This Row],[Price/Unit
EUR]]," ")</f>
        <v>0</v>
      </c>
      <c r="K1155" s="126">
        <v>45467</v>
      </c>
      <c r="L1155" s="36">
        <f>WEEKNUM(Table1[[#This Row],[ETA
As requested
dd.mm.yyyy]])</f>
        <v>26</v>
      </c>
      <c r="M1155" s="36">
        <f>YEAR(Table1[[#This Row],[ETA
As requested
dd.mm.yyyy]])</f>
        <v>2024</v>
      </c>
      <c r="N1155" s="36">
        <f>IFERROR(INDEX(DATABASE_FG!$H$5:$H$367, MATCH(E1155, DATABASE_FG!$C$5:$C$367, 0)), " ")</f>
        <v>0</v>
      </c>
      <c r="O1155" s="129" t="str">
        <f>IF(E1155&lt;&gt;"", _xlfn.XLOOKUP(E1155, DATABASE_FG!C:C, DATABASE_FG!F:F), " ")</f>
        <v>Alama</v>
      </c>
      <c r="P1155" s="129">
        <f>IFERROR(INDEX(DATABASE_FG!$G$5:$G$367, MATCH(E1155, DATABASE_FG!$C$5:$C$367, 0)), "Not Found")</f>
        <v>0</v>
      </c>
      <c r="Q1155" s="36"/>
      <c r="R1155" s="125"/>
      <c r="S1155" s="123">
        <f>Table1[[#This Row],[Quantity]]/48</f>
        <v>0</v>
      </c>
      <c r="T1155" s="36"/>
      <c r="U1155" s="36"/>
      <c r="V1155" s="36"/>
      <c r="W1155" s="129"/>
      <c r="X1155" s="36"/>
      <c r="Y1155" s="36"/>
      <c r="Z1155" s="36"/>
      <c r="AA1155" s="125" t="s">
        <v>121</v>
      </c>
      <c r="AB1155" s="173">
        <v>45478</v>
      </c>
      <c r="AC1155" s="119">
        <v>2024810</v>
      </c>
      <c r="AD1155" s="36">
        <f t="shared" si="131"/>
        <v>36927110</v>
      </c>
      <c r="AE1155" s="36" t="str">
        <f t="shared" si="132"/>
        <v>F-801632-1042.D140.RKDK.ZL-M3AA</v>
      </c>
      <c r="AF1155" s="36">
        <v>240</v>
      </c>
      <c r="AG1155" s="120">
        <f t="shared" si="128"/>
        <v>187.20000000000002</v>
      </c>
      <c r="AH1155" s="36"/>
      <c r="AI1155" s="124"/>
      <c r="AJ1155" s="122" t="s">
        <v>1723</v>
      </c>
      <c r="AK1155" s="129" t="str">
        <f t="shared" ca="1" si="127"/>
        <v>Late</v>
      </c>
      <c r="AL1155" s="268" t="str">
        <f t="shared" si="129"/>
        <v>June</v>
      </c>
      <c r="AM1155" s="133">
        <f>YEAR(Table1[[#This Row],[ETA
As requested
dd.mm.yyyy]])</f>
        <v>2024</v>
      </c>
    </row>
    <row r="1156" spans="1:40" hidden="1">
      <c r="A1156" s="123" t="s">
        <v>83</v>
      </c>
      <c r="B1156" s="36" t="s">
        <v>1170</v>
      </c>
      <c r="C1156" s="117">
        <v>36927110</v>
      </c>
      <c r="D1156" s="165">
        <v>45451</v>
      </c>
      <c r="E1156" s="117" t="s">
        <v>608</v>
      </c>
      <c r="F1156" s="36" t="str">
        <f>IFERROR(VLOOKUP(Table1[[#This Row],[Part Number]],DATABASE_FG!$C$6:D11145,2,FALSE)," ")</f>
        <v xml:space="preserve">300786298-0000 </v>
      </c>
      <c r="G1156" s="117" t="str">
        <f>IFERROR(_xlfn.XLOOKUP(Table1[[#This Row],[Part Number]],Table3[Part number],Table3[Drawing
 Revision]),"")</f>
        <v>AB</v>
      </c>
      <c r="H1156" s="118" cm="1">
        <f t="array" ref="H1156">IFERROR(INDEX(PDB!$C:$AT,MATCH(E1156,PDB!$B:$B,0),MATCH(YEAR(K1156),0+PDB!$C$1:$AT$1,0)),"")</f>
        <v>0.78</v>
      </c>
      <c r="I1156" s="36"/>
      <c r="J1156" s="125">
        <f>IFERROR(Table1[[#This Row],[Quantity]]*Table1[[#This Row],[Price/Unit
EUR]]," ")</f>
        <v>0</v>
      </c>
      <c r="K1156" s="126">
        <v>45467</v>
      </c>
      <c r="L1156" s="36">
        <f>WEEKNUM(Table1[[#This Row],[ETA
As requested
dd.mm.yyyy]])</f>
        <v>26</v>
      </c>
      <c r="M1156" s="36">
        <f>YEAR(Table1[[#This Row],[ETA
As requested
dd.mm.yyyy]])</f>
        <v>2024</v>
      </c>
      <c r="N1156" s="36">
        <f>IFERROR(INDEX(DATABASE_FG!$H$5:$H$367, MATCH(E1156, DATABASE_FG!$C$5:$C$367, 0)), " ")</f>
        <v>0</v>
      </c>
      <c r="O1156" s="129" t="str">
        <f>IF(E1156&lt;&gt;"", _xlfn.XLOOKUP(E1156, DATABASE_FG!C:C, DATABASE_FG!F:F), " ")</f>
        <v>Alama</v>
      </c>
      <c r="P1156" s="129">
        <f>IFERROR(INDEX(DATABASE_FG!$G$5:$G$367, MATCH(E1156, DATABASE_FG!$C$5:$C$367, 0)), "Not Found")</f>
        <v>0</v>
      </c>
      <c r="Q1156" s="36"/>
      <c r="R1156" s="125"/>
      <c r="S1156" s="123">
        <f>Table1[[#This Row],[Quantity]]/48</f>
        <v>0</v>
      </c>
      <c r="T1156" s="36"/>
      <c r="U1156" s="36"/>
      <c r="V1156" s="36"/>
      <c r="W1156" s="129"/>
      <c r="X1156" s="36"/>
      <c r="Y1156" s="36"/>
      <c r="Z1156" s="36"/>
      <c r="AA1156" s="125" t="s">
        <v>121</v>
      </c>
      <c r="AB1156" s="173">
        <v>45481</v>
      </c>
      <c r="AC1156" s="119">
        <v>2024817</v>
      </c>
      <c r="AD1156" s="36">
        <f t="shared" si="131"/>
        <v>36927110</v>
      </c>
      <c r="AE1156" s="36" t="str">
        <f t="shared" si="132"/>
        <v>F-801632-1042.D140.RKDK.ZL-M3AA</v>
      </c>
      <c r="AF1156" s="36">
        <v>244</v>
      </c>
      <c r="AG1156" s="120">
        <f t="shared" si="128"/>
        <v>190.32</v>
      </c>
      <c r="AH1156" s="36"/>
      <c r="AI1156" s="124"/>
      <c r="AJ1156" s="122" t="s">
        <v>1724</v>
      </c>
      <c r="AK1156" s="129" t="str">
        <f t="shared" ca="1" si="127"/>
        <v>Late</v>
      </c>
      <c r="AL1156" s="268" t="str">
        <f t="shared" si="129"/>
        <v>June</v>
      </c>
      <c r="AM1156" s="133">
        <f>YEAR(Table1[[#This Row],[ETA
As requested
dd.mm.yyyy]])</f>
        <v>2024</v>
      </c>
    </row>
    <row r="1157" spans="1:40" hidden="1">
      <c r="A1157" s="123" t="s">
        <v>4382</v>
      </c>
      <c r="B1157" s="36" t="s">
        <v>1170</v>
      </c>
      <c r="C1157" s="117" t="s">
        <v>4386</v>
      </c>
      <c r="D1157" s="165">
        <v>45950</v>
      </c>
      <c r="E1157" s="117" t="s">
        <v>4385</v>
      </c>
      <c r="F1157" s="36">
        <f>IFERROR(VLOOKUP(Table1[[#This Row],[Part Number]],DATABASE_FG!$C$6:D11146,2,FALSE)," ")</f>
        <v>0</v>
      </c>
      <c r="G1157" s="117">
        <f>IFERROR(_xlfn.XLOOKUP(Table1[[#This Row],[Part Number]],Table3[Part number],Table3[Drawing
 Revision]),"")</f>
        <v>0</v>
      </c>
      <c r="H1157" s="118" cm="1">
        <f t="array" ref="H1157">IFERROR(INDEX(PDB!$C:$AT,MATCH(E1157,PDB!$B:$B,0),MATCH(YEAR(K1157),0+PDB!$C$1:$AT$1,0)),"")</f>
        <v>1</v>
      </c>
      <c r="I1157" s="36">
        <v>50</v>
      </c>
      <c r="J1157" s="125">
        <f>IFERROR(Table1[[#This Row],[Quantity]]*Table1[[#This Row],[Price/Unit
EUR]]," ")</f>
        <v>50</v>
      </c>
      <c r="K1157" s="126">
        <v>45973</v>
      </c>
      <c r="L1157" s="36">
        <f>WEEKNUM(Table1[[#This Row],[ETA
As requested
dd.mm.yyyy]])</f>
        <v>46</v>
      </c>
      <c r="M1157" s="36">
        <f>YEAR(Table1[[#This Row],[ETA
As requested
dd.mm.yyyy]])</f>
        <v>2025</v>
      </c>
      <c r="N1157" s="36">
        <f>IFERROR(INDEX(DATABASE_FG!$H$5:$H$367, MATCH(E1157, DATABASE_FG!$C$5:$C$367, 0)), " ")</f>
        <v>0</v>
      </c>
      <c r="O1157" s="129" t="str">
        <f>IF(E1157&lt;&gt;"", _xlfn.XLOOKUP(E1157, DATABASE_FG!C:C, DATABASE_FG!F:F), " ")</f>
        <v>Strunjire moale</v>
      </c>
      <c r="P1157" s="129">
        <f>IFERROR(INDEX(DATABASE_FG!$G$5:$G$367, MATCH(E1157, DATABASE_FG!$C$5:$C$367, 0)), "Not Found")</f>
        <v>0</v>
      </c>
      <c r="Q1157" s="36">
        <v>45</v>
      </c>
      <c r="R1157" s="125"/>
      <c r="S1157" s="123">
        <f>IFERROR(INDEX(DATABASE_FG!$L$5:$L$367, MATCH(E1157, DATABASE_FG!$C$5:$C$367, 0)), " ")</f>
        <v>0</v>
      </c>
      <c r="T1157" s="36" t="s">
        <v>677</v>
      </c>
      <c r="U1157" s="36"/>
      <c r="V1157" s="36"/>
      <c r="W1157" s="129"/>
      <c r="X1157" s="36"/>
      <c r="Y1157" s="36"/>
      <c r="Z1157" s="36"/>
      <c r="AA1157" s="125" t="s">
        <v>3</v>
      </c>
      <c r="AB1157" s="173"/>
      <c r="AC1157" s="119"/>
      <c r="AD1157" s="36" t="str">
        <f t="shared" si="131"/>
        <v/>
      </c>
      <c r="AE1157" s="36" t="str">
        <f t="shared" si="132"/>
        <v/>
      </c>
      <c r="AF1157" s="36"/>
      <c r="AG1157" s="120">
        <f t="shared" si="128"/>
        <v>0</v>
      </c>
      <c r="AH1157" s="36"/>
      <c r="AI1157" s="124"/>
      <c r="AJ1157" s="122"/>
      <c r="AK1157" s="129" t="str">
        <f t="shared" ca="1" si="127"/>
        <v/>
      </c>
      <c r="AL1157" s="268" t="str">
        <f t="shared" si="129"/>
        <v>November</v>
      </c>
      <c r="AM1157" s="133">
        <f>YEAR(Table1[[#This Row],[ETA
As requested
dd.mm.yyyy]])</f>
        <v>2025</v>
      </c>
      <c r="AN1157" s="191"/>
    </row>
    <row r="1158" spans="1:40" hidden="1">
      <c r="A1158" s="123" t="s">
        <v>83</v>
      </c>
      <c r="B1158" s="36" t="s">
        <v>1170</v>
      </c>
      <c r="C1158" s="117">
        <v>38594902</v>
      </c>
      <c r="D1158" s="165">
        <v>45698</v>
      </c>
      <c r="E1158" s="117" t="s">
        <v>2825</v>
      </c>
      <c r="F1158" s="36" t="str">
        <f>IFERROR(VLOOKUP(Table1[[#This Row],[Part Number]],DATABASE_FG!$C$6:D11147,2,FALSE)," ")</f>
        <v>096287861-0000</v>
      </c>
      <c r="G1158" s="117" t="str">
        <f>IFERROR(_xlfn.XLOOKUP(Table1[[#This Row],[Part Number]],Table3[Part number],Table3[Drawing
 Revision]),"")</f>
        <v>AB</v>
      </c>
      <c r="H1158" s="118" cm="1">
        <f t="array" ref="H1158">IFERROR(INDEX(PDB!$C:$AT,MATCH(E1158,PDB!$B:$B,0),MATCH(YEAR(K1158),0+PDB!$C$1:$AT$1,0)),"")</f>
        <v>4.42</v>
      </c>
      <c r="I1158" s="36">
        <v>5</v>
      </c>
      <c r="J1158" s="125">
        <f>IFERROR(Table1[[#This Row],[Quantity]]*Table1[[#This Row],[Price/Unit
EUR]]," ")</f>
        <v>22.1</v>
      </c>
      <c r="K1158" s="126">
        <v>45706</v>
      </c>
      <c r="L1158" s="36">
        <f>WEEKNUM(Table1[[#This Row],[ETA
As requested
dd.mm.yyyy]])</f>
        <v>8</v>
      </c>
      <c r="M1158" s="36">
        <f>YEAR(Table1[[#This Row],[ETA
As requested
dd.mm.yyyy]])</f>
        <v>2025</v>
      </c>
      <c r="N1158" s="36"/>
      <c r="O1158" s="129" t="str">
        <f>IF(E1158&lt;&gt;"", _xlfn.XLOOKUP(E1158, DATABASE_FG!C:C, DATABASE_FG!F:F), " ")</f>
        <v>Alama</v>
      </c>
      <c r="P1158" s="129"/>
      <c r="Q1158" s="36"/>
      <c r="R1158" s="125" t="s">
        <v>680</v>
      </c>
      <c r="S1158" s="123">
        <f>IFERROR(INDEX(DATABASE_FG!$L$5:$L$367, MATCH(E1158, DATABASE_FG!$C$5:$C$367, 0)), " ")</f>
        <v>42</v>
      </c>
      <c r="T1158" s="36" t="s">
        <v>679</v>
      </c>
      <c r="U1158" s="36"/>
      <c r="V1158" s="36"/>
      <c r="W1158" s="129"/>
      <c r="X1158" s="36"/>
      <c r="Y1158" s="36" t="s">
        <v>121</v>
      </c>
      <c r="Z1158" s="36"/>
      <c r="AA1158" s="125" t="s">
        <v>121</v>
      </c>
      <c r="AB1158" s="173">
        <v>45716</v>
      </c>
      <c r="AC1158" s="119">
        <v>25279</v>
      </c>
      <c r="AD1158" s="36">
        <f t="shared" si="131"/>
        <v>38594902</v>
      </c>
      <c r="AE1158" s="36" t="str">
        <f t="shared" si="132"/>
        <v>FAG KUH.6215-A-M-3001</v>
      </c>
      <c r="AF1158" s="36">
        <v>5</v>
      </c>
      <c r="AG1158" s="120">
        <f t="shared" si="128"/>
        <v>22.1</v>
      </c>
      <c r="AH1158" s="36"/>
      <c r="AI1158" s="124" t="s">
        <v>2827</v>
      </c>
      <c r="AJ1158" s="122" t="s">
        <v>2828</v>
      </c>
      <c r="AK1158" s="129" t="str">
        <f t="shared" ca="1" si="127"/>
        <v>Late</v>
      </c>
      <c r="AL1158" s="268" t="str">
        <f t="shared" si="129"/>
        <v>February</v>
      </c>
      <c r="AM1158" s="133">
        <f>YEAR(Table1[[#This Row],[ETA
As requested
dd.mm.yyyy]])</f>
        <v>2025</v>
      </c>
    </row>
    <row r="1159" spans="1:40" hidden="1">
      <c r="A1159" s="123" t="s">
        <v>83</v>
      </c>
      <c r="B1159" s="36" t="s">
        <v>1170</v>
      </c>
      <c r="C1159" s="117">
        <v>38594902</v>
      </c>
      <c r="D1159" s="165">
        <v>45698</v>
      </c>
      <c r="E1159" s="117" t="s">
        <v>2825</v>
      </c>
      <c r="F1159" s="36" t="str">
        <f>IFERROR(VLOOKUP(Table1[[#This Row],[Part Number]],DATABASE_FG!$C$6:D11148,2,FALSE)," ")</f>
        <v>096287861-0000</v>
      </c>
      <c r="G1159" s="117" t="str">
        <f>IFERROR(_xlfn.XLOOKUP(Table1[[#This Row],[Part Number]],Table3[Part number],Table3[Drawing
 Revision]),"")</f>
        <v>AB</v>
      </c>
      <c r="H1159" s="118" cm="1">
        <f t="array" ref="H1159">IFERROR(INDEX(PDB!$C:$AT,MATCH(E1159,PDB!$B:$B,0),MATCH(YEAR(K1159),0+PDB!$C$1:$AT$1,0)),"")</f>
        <v>4.42</v>
      </c>
      <c r="I1159" s="36">
        <v>132</v>
      </c>
      <c r="J1159" s="125">
        <f>IFERROR(Table1[[#This Row],[Quantity]]*Table1[[#This Row],[Price/Unit
EUR]]," ")</f>
        <v>583.43999999999994</v>
      </c>
      <c r="K1159" s="126">
        <v>45706</v>
      </c>
      <c r="L1159" s="36">
        <f>WEEKNUM(Table1[[#This Row],[ETA
As requested
dd.mm.yyyy]])</f>
        <v>8</v>
      </c>
      <c r="M1159" s="36">
        <f>YEAR(Table1[[#This Row],[ETA
As requested
dd.mm.yyyy]])</f>
        <v>2025</v>
      </c>
      <c r="N1159" s="36"/>
      <c r="O1159" s="129" t="str">
        <f>IF(E1159&lt;&gt;"", _xlfn.XLOOKUP(E1159, DATABASE_FG!C:C, DATABASE_FG!F:F), " ")</f>
        <v>Alama</v>
      </c>
      <c r="P1159" s="129">
        <f>IFERROR(INDEX(DATABASE_FG!$G$5:$G$367, MATCH(E1159, DATABASE_FG!$C$5:$C$367, 0)), "Not Found")</f>
        <v>0</v>
      </c>
      <c r="Q1159" s="36"/>
      <c r="R1159" s="125" t="s">
        <v>678</v>
      </c>
      <c r="S1159" s="123">
        <f>IFERROR(INDEX(DATABASE_FG!$L$5:$L$367, MATCH(E1159, DATABASE_FG!$C$5:$C$367, 0)), " ")</f>
        <v>42</v>
      </c>
      <c r="T1159" s="36" t="s">
        <v>679</v>
      </c>
      <c r="U1159" s="36"/>
      <c r="V1159" s="36"/>
      <c r="W1159" s="129"/>
      <c r="X1159" s="36"/>
      <c r="Y1159" s="36" t="s">
        <v>121</v>
      </c>
      <c r="Z1159" s="36"/>
      <c r="AA1159" s="125" t="s">
        <v>121</v>
      </c>
      <c r="AB1159" s="173">
        <v>45742</v>
      </c>
      <c r="AC1159" s="119">
        <v>25469</v>
      </c>
      <c r="AD1159" s="36">
        <f t="shared" si="131"/>
        <v>38594902</v>
      </c>
      <c r="AE1159" s="36" t="str">
        <f t="shared" si="132"/>
        <v>FAG KUH.6215-A-M-3001</v>
      </c>
      <c r="AF1159" s="36">
        <v>132</v>
      </c>
      <c r="AG1159" s="120">
        <f t="shared" si="128"/>
        <v>583.43999999999994</v>
      </c>
      <c r="AH1159" s="36"/>
      <c r="AI1159" s="124"/>
      <c r="AJ1159" s="122" t="s">
        <v>2829</v>
      </c>
      <c r="AK1159" s="129" t="str">
        <f t="shared" ca="1" si="127"/>
        <v>Late</v>
      </c>
      <c r="AL1159" s="268" t="str">
        <f t="shared" si="129"/>
        <v>February</v>
      </c>
      <c r="AM1159" s="133">
        <f>YEAR(Table1[[#This Row],[ETA
As requested
dd.mm.yyyy]])</f>
        <v>2025</v>
      </c>
    </row>
    <row r="1160" spans="1:40" hidden="1">
      <c r="A1160" s="123" t="s">
        <v>83</v>
      </c>
      <c r="B1160" s="36" t="s">
        <v>1170</v>
      </c>
      <c r="C1160" s="117">
        <v>38594902</v>
      </c>
      <c r="D1160" s="165">
        <v>45698</v>
      </c>
      <c r="E1160" s="117" t="s">
        <v>2825</v>
      </c>
      <c r="F1160" s="36" t="str">
        <f>IFERROR(VLOOKUP(Table1[[#This Row],[Part Number]],DATABASE_FG!$C$6:D11149,2,FALSE)," ")</f>
        <v>096287861-0000</v>
      </c>
      <c r="G1160" s="117" t="str">
        <f>IFERROR(_xlfn.XLOOKUP(Table1[[#This Row],[Part Number]],Table3[Part number],Table3[Drawing
 Revision]),"")</f>
        <v>AB</v>
      </c>
      <c r="H1160" s="118" cm="1">
        <f t="array" ref="H1160">IFERROR(INDEX(PDB!$C:$AT,MATCH(E1160,PDB!$B:$B,0),MATCH(YEAR(K1160),0+PDB!$C$1:$AT$1,0)),"")</f>
        <v>4.42</v>
      </c>
      <c r="I1160" s="36">
        <v>123</v>
      </c>
      <c r="J1160" s="125">
        <f>IFERROR(Table1[[#This Row],[Quantity]]*Table1[[#This Row],[Price/Unit
EUR]]," ")</f>
        <v>543.66</v>
      </c>
      <c r="K1160" s="126">
        <v>45706</v>
      </c>
      <c r="L1160" s="36">
        <f>WEEKNUM(Table1[[#This Row],[ETA
As requested
dd.mm.yyyy]])</f>
        <v>8</v>
      </c>
      <c r="M1160" s="36">
        <f>YEAR(Table1[[#This Row],[ETA
As requested
dd.mm.yyyy]])</f>
        <v>2025</v>
      </c>
      <c r="N1160" s="36"/>
      <c r="O1160" s="129" t="str">
        <f>IF(E1160&lt;&gt;"", _xlfn.XLOOKUP(E1160, DATABASE_FG!C:C, DATABASE_FG!F:F), " ")</f>
        <v>Alama</v>
      </c>
      <c r="P1160" s="129">
        <f>IFERROR(INDEX(DATABASE_FG!$G$5:$G$367, MATCH(E1160, DATABASE_FG!$C$5:$C$367, 0)), "Not Found")</f>
        <v>0</v>
      </c>
      <c r="Q1160" s="36"/>
      <c r="R1160" s="125" t="s">
        <v>678</v>
      </c>
      <c r="S1160" s="123">
        <f>IFERROR(INDEX(DATABASE_FG!$L$5:$L$367, MATCH(E1160, DATABASE_FG!$C$5:$C$367, 0)), " ")</f>
        <v>42</v>
      </c>
      <c r="T1160" s="36" t="s">
        <v>679</v>
      </c>
      <c r="U1160" s="36"/>
      <c r="V1160" s="36"/>
      <c r="W1160" s="129"/>
      <c r="X1160" s="36"/>
      <c r="Y1160" s="36" t="s">
        <v>121</v>
      </c>
      <c r="Z1160" s="36"/>
      <c r="AA1160" s="125" t="s">
        <v>121</v>
      </c>
      <c r="AB1160" s="173">
        <v>45743</v>
      </c>
      <c r="AC1160" s="119">
        <v>25476</v>
      </c>
      <c r="AD1160" s="36">
        <f t="shared" si="131"/>
        <v>38594902</v>
      </c>
      <c r="AE1160" s="36" t="str">
        <f t="shared" si="132"/>
        <v>FAG KUH.6215-A-M-3001</v>
      </c>
      <c r="AF1160" s="36">
        <v>123</v>
      </c>
      <c r="AG1160" s="120">
        <f t="shared" si="128"/>
        <v>543.66</v>
      </c>
      <c r="AH1160" s="36"/>
      <c r="AI1160" s="124"/>
      <c r="AJ1160" s="122" t="s">
        <v>2830</v>
      </c>
      <c r="AK1160" s="129" t="str">
        <f t="shared" ca="1" si="127"/>
        <v>Late</v>
      </c>
      <c r="AL1160" s="268" t="str">
        <f t="shared" si="129"/>
        <v>February</v>
      </c>
      <c r="AM1160" s="133">
        <f>YEAR(Table1[[#This Row],[ETA
As requested
dd.mm.yyyy]])</f>
        <v>2025</v>
      </c>
    </row>
    <row r="1161" spans="1:40" ht="15.75" hidden="1">
      <c r="A1161" s="123" t="s">
        <v>83</v>
      </c>
      <c r="B1161" s="36" t="s">
        <v>1170</v>
      </c>
      <c r="C1161" s="117">
        <v>38623818</v>
      </c>
      <c r="D1161" s="165">
        <v>45698</v>
      </c>
      <c r="E1161" s="117" t="s">
        <v>2825</v>
      </c>
      <c r="F1161" s="36" t="str">
        <f>IFERROR(VLOOKUP(Table1[[#This Row],[Part Number]],DATABASE_FG!$C$6:D11150,2,FALSE)," ")</f>
        <v>096287861-0000</v>
      </c>
      <c r="G1161" s="117" t="str">
        <f>IFERROR(_xlfn.XLOOKUP(Table1[[#This Row],[Part Number]],Table3[Part number],Table3[Drawing
 Revision]),"")</f>
        <v>AB</v>
      </c>
      <c r="H1161" s="118" cm="1">
        <f t="array" ref="H1161">IFERROR(INDEX(PDB!$C:$AT,MATCH(E1161,PDB!$B:$B,0),MATCH(YEAR(K1161),0+PDB!$C$1:$AT$1,0)),"")</f>
        <v>4.42</v>
      </c>
      <c r="I1161" s="36">
        <v>5</v>
      </c>
      <c r="J1161" s="125">
        <f>IFERROR(Table1[[#This Row],[Quantity]]*Table1[[#This Row],[Price/Unit
EUR]]," ")</f>
        <v>22.1</v>
      </c>
      <c r="K1161" s="126">
        <v>45706</v>
      </c>
      <c r="L1161" s="36">
        <f>WEEKNUM(Table1[[#This Row],[ETA
As requested
dd.mm.yyyy]])</f>
        <v>8</v>
      </c>
      <c r="M1161" s="36">
        <f>YEAR(Table1[[#This Row],[ETA
As requested
dd.mm.yyyy]])</f>
        <v>2025</v>
      </c>
      <c r="N1161" s="36"/>
      <c r="O1161" s="129" t="str">
        <f>IF(E1161&lt;&gt;"", _xlfn.XLOOKUP(E1161, DATABASE_FG!C:C, DATABASE_FG!F:F), " ")</f>
        <v>Alama</v>
      </c>
      <c r="P1161" s="129">
        <f>IFERROR(INDEX(DATABASE_FG!$G$5:$G$367, MATCH(E1161, DATABASE_FG!$C$5:$C$367, 0)), "Not Found")</f>
        <v>0</v>
      </c>
      <c r="Q1161" s="36"/>
      <c r="R1161" s="125" t="s">
        <v>678</v>
      </c>
      <c r="S1161" s="123">
        <f>IFERROR(INDEX(DATABASE_FG!$L$5:$L$367, MATCH(E1161, DATABASE_FG!$C$5:$C$367, 0)), " ")</f>
        <v>42</v>
      </c>
      <c r="T1161" s="36" t="s">
        <v>679</v>
      </c>
      <c r="U1161" s="36"/>
      <c r="V1161" s="36"/>
      <c r="W1161" s="129"/>
      <c r="X1161" s="36"/>
      <c r="Y1161" s="36" t="s">
        <v>121</v>
      </c>
      <c r="Z1161" s="36"/>
      <c r="AA1161" s="125" t="s">
        <v>121</v>
      </c>
      <c r="AB1161" s="173">
        <v>45744</v>
      </c>
      <c r="AC1161" s="119">
        <v>25493</v>
      </c>
      <c r="AD1161" s="36">
        <f t="shared" si="131"/>
        <v>38623818</v>
      </c>
      <c r="AE1161" s="36" t="str">
        <f t="shared" si="132"/>
        <v>FAG KUH.6215-A-M-3001</v>
      </c>
      <c r="AF1161" s="36">
        <v>5</v>
      </c>
      <c r="AG1161" s="120">
        <f t="shared" si="128"/>
        <v>22.1</v>
      </c>
      <c r="AH1161" s="36"/>
      <c r="AI1161" s="124" t="s">
        <v>2831</v>
      </c>
      <c r="AJ1161" s="122" t="s">
        <v>2832</v>
      </c>
      <c r="AK1161" s="129" t="str">
        <f t="shared" ca="1" si="127"/>
        <v>Late</v>
      </c>
      <c r="AL1161" s="268" t="str">
        <f t="shared" si="129"/>
        <v>February</v>
      </c>
      <c r="AM1161" s="133">
        <f>YEAR(Table1[[#This Row],[ETA
As requested
dd.mm.yyyy]])</f>
        <v>2025</v>
      </c>
    </row>
    <row r="1162" spans="1:40" hidden="1">
      <c r="A1162" s="123" t="s">
        <v>83</v>
      </c>
      <c r="B1162" s="36" t="s">
        <v>1170</v>
      </c>
      <c r="C1162" s="117">
        <v>38594902</v>
      </c>
      <c r="D1162" s="165">
        <v>45698</v>
      </c>
      <c r="E1162" s="117" t="s">
        <v>2825</v>
      </c>
      <c r="F1162" s="36" t="str">
        <f>IFERROR(VLOOKUP(Table1[[#This Row],[Part Number]],DATABASE_FG!$C$6:D11151,2,FALSE)," ")</f>
        <v>096287861-0000</v>
      </c>
      <c r="G1162" s="117" t="str">
        <f>IFERROR(_xlfn.XLOOKUP(Table1[[#This Row],[Part Number]],Table3[Part number],Table3[Drawing
 Revision]),"")</f>
        <v>AB</v>
      </c>
      <c r="H1162" s="118" cm="1">
        <f t="array" ref="H1162">IFERROR(INDEX(PDB!$C:$AT,MATCH(E1162,PDB!$B:$B,0),MATCH(YEAR(K1162),0+PDB!$C$1:$AT$1,0)),"")</f>
        <v>4.42</v>
      </c>
      <c r="I1162" s="36">
        <v>102</v>
      </c>
      <c r="J1162" s="125">
        <f>IFERROR(Table1[[#This Row],[Quantity]]*Table1[[#This Row],[Price/Unit
EUR]]," ")</f>
        <v>450.84</v>
      </c>
      <c r="K1162" s="126">
        <v>45706</v>
      </c>
      <c r="L1162" s="36">
        <f>WEEKNUM(Table1[[#This Row],[ETA
As requested
dd.mm.yyyy]])</f>
        <v>8</v>
      </c>
      <c r="M1162" s="36">
        <f>YEAR(Table1[[#This Row],[ETA
As requested
dd.mm.yyyy]])</f>
        <v>2025</v>
      </c>
      <c r="N1162" s="36"/>
      <c r="O1162" s="129" t="str">
        <f>IF(E1162&lt;&gt;"", _xlfn.XLOOKUP(E1162, DATABASE_FG!C:C, DATABASE_FG!F:F), " ")</f>
        <v>Alama</v>
      </c>
      <c r="P1162" s="129">
        <f>IFERROR(INDEX(DATABASE_FG!$G$5:$G$367, MATCH(E1162, DATABASE_FG!$C$5:$C$367, 0)), "Not Found")</f>
        <v>0</v>
      </c>
      <c r="Q1162" s="36"/>
      <c r="R1162" s="125" t="s">
        <v>678</v>
      </c>
      <c r="S1162" s="123">
        <f>IFERROR(INDEX(DATABASE_FG!$L$5:$L$367, MATCH(E1162, DATABASE_FG!$C$5:$C$367, 0)), " ")</f>
        <v>42</v>
      </c>
      <c r="T1162" s="36" t="s">
        <v>679</v>
      </c>
      <c r="U1162" s="36"/>
      <c r="V1162" s="36"/>
      <c r="W1162" s="129"/>
      <c r="X1162" s="36"/>
      <c r="Y1162" s="36" t="s">
        <v>121</v>
      </c>
      <c r="Z1162" s="36"/>
      <c r="AA1162" s="125" t="s">
        <v>121</v>
      </c>
      <c r="AB1162" s="173">
        <v>45744</v>
      </c>
      <c r="AC1162" s="119">
        <v>25492</v>
      </c>
      <c r="AD1162" s="36">
        <f t="shared" si="131"/>
        <v>38594902</v>
      </c>
      <c r="AE1162" s="36" t="str">
        <f t="shared" si="132"/>
        <v>FAG KUH.6215-A-M-3001</v>
      </c>
      <c r="AF1162" s="36">
        <v>102</v>
      </c>
      <c r="AG1162" s="120">
        <f t="shared" si="128"/>
        <v>450.84</v>
      </c>
      <c r="AH1162" s="36"/>
      <c r="AI1162" s="124"/>
      <c r="AJ1162" s="122" t="s">
        <v>2833</v>
      </c>
      <c r="AK1162" s="129" t="str">
        <f t="shared" ca="1" si="127"/>
        <v>Late</v>
      </c>
      <c r="AL1162" s="268" t="str">
        <f t="shared" si="129"/>
        <v>February</v>
      </c>
      <c r="AM1162" s="133">
        <f>YEAR(Table1[[#This Row],[ETA
As requested
dd.mm.yyyy]])</f>
        <v>2025</v>
      </c>
    </row>
    <row r="1163" spans="1:40" hidden="1">
      <c r="A1163" s="123" t="s">
        <v>83</v>
      </c>
      <c r="B1163" s="36" t="s">
        <v>1170</v>
      </c>
      <c r="C1163" s="117">
        <v>38594902</v>
      </c>
      <c r="D1163" s="165">
        <v>45698</v>
      </c>
      <c r="E1163" s="117" t="s">
        <v>2825</v>
      </c>
      <c r="F1163" s="36" t="str">
        <f>IFERROR(VLOOKUP(Table1[[#This Row],[Part Number]],DATABASE_FG!$C$6:D11152,2,FALSE)," ")</f>
        <v>096287861-0000</v>
      </c>
      <c r="G1163" s="117" t="str">
        <f>IFERROR(_xlfn.XLOOKUP(Table1[[#This Row],[Part Number]],Table3[Part number],Table3[Drawing
 Revision]),"")</f>
        <v>AB</v>
      </c>
      <c r="H1163" s="118" cm="1">
        <f t="array" ref="H1163">IFERROR(INDEX(PDB!$C:$AT,MATCH(E1163,PDB!$B:$B,0),MATCH(YEAR(K1163),0+PDB!$C$1:$AT$1,0)),"")</f>
        <v>4.42</v>
      </c>
      <c r="I1163" s="36">
        <v>169</v>
      </c>
      <c r="J1163" s="125">
        <f>IFERROR(Table1[[#This Row],[Quantity]]*Table1[[#This Row],[Price/Unit
EUR]]," ")</f>
        <v>746.98</v>
      </c>
      <c r="K1163" s="126">
        <v>45706</v>
      </c>
      <c r="L1163" s="36">
        <f>WEEKNUM(Table1[[#This Row],[ETA
As requested
dd.mm.yyyy]])</f>
        <v>8</v>
      </c>
      <c r="M1163" s="36">
        <f>YEAR(Table1[[#This Row],[ETA
As requested
dd.mm.yyyy]])</f>
        <v>2025</v>
      </c>
      <c r="N1163" s="36">
        <f>IFERROR(INDEX(DATABASE_FG!$H$5:$H$367, MATCH(E1163, DATABASE_FG!$C$5:$C$367, 0)), " ")</f>
        <v>0</v>
      </c>
      <c r="O1163" s="129" t="str">
        <f>IF(E1163&lt;&gt;"", _xlfn.XLOOKUP(E1163, DATABASE_FG!C:C, DATABASE_FG!F:F), " ")</f>
        <v>Alama</v>
      </c>
      <c r="P1163" s="129">
        <f>IFERROR(INDEX(DATABASE_FG!$G$5:$G$367, MATCH(E1163, DATABASE_FG!$C$5:$C$367, 0)), "Not Found")</f>
        <v>0</v>
      </c>
      <c r="Q1163" s="36"/>
      <c r="R1163" s="125" t="s">
        <v>678</v>
      </c>
      <c r="S1163" s="123">
        <f>IFERROR(INDEX(DATABASE_FG!$L$5:$L$367, MATCH(E1163, DATABASE_FG!$C$5:$C$367, 0)), " ")</f>
        <v>42</v>
      </c>
      <c r="T1163" s="36" t="s">
        <v>679</v>
      </c>
      <c r="U1163" s="36"/>
      <c r="V1163" s="36"/>
      <c r="W1163" s="129"/>
      <c r="X1163" s="36"/>
      <c r="Y1163" s="36"/>
      <c r="Z1163" s="36"/>
      <c r="AA1163" s="125" t="s">
        <v>121</v>
      </c>
      <c r="AB1163" s="172">
        <v>45747</v>
      </c>
      <c r="AC1163" s="119">
        <v>25497</v>
      </c>
      <c r="AD1163" s="36">
        <f t="shared" si="131"/>
        <v>38594902</v>
      </c>
      <c r="AE1163" s="36" t="str">
        <f t="shared" si="132"/>
        <v>FAG KUH.6215-A-M-3001</v>
      </c>
      <c r="AF1163" s="36">
        <v>169</v>
      </c>
      <c r="AG1163" s="120">
        <f t="shared" si="128"/>
        <v>746.98</v>
      </c>
      <c r="AH1163" s="36"/>
      <c r="AI1163" s="124"/>
      <c r="AJ1163" s="122" t="s">
        <v>2834</v>
      </c>
      <c r="AK1163" s="129" t="str">
        <f t="shared" ca="1" si="127"/>
        <v>Late</v>
      </c>
      <c r="AL1163" s="268" t="str">
        <f t="shared" si="129"/>
        <v>February</v>
      </c>
      <c r="AM1163" s="133">
        <f>YEAR(Table1[[#This Row],[ETA
As requested
dd.mm.yyyy]])</f>
        <v>2025</v>
      </c>
    </row>
    <row r="1164" spans="1:40" hidden="1">
      <c r="A1164" s="123" t="s">
        <v>83</v>
      </c>
      <c r="B1164" s="36" t="s">
        <v>1170</v>
      </c>
      <c r="C1164" s="117">
        <v>38594902</v>
      </c>
      <c r="D1164" s="165">
        <v>45698</v>
      </c>
      <c r="E1164" s="117" t="s">
        <v>2825</v>
      </c>
      <c r="F1164" s="36" t="str">
        <f>IFERROR(VLOOKUP(Table1[[#This Row],[Part Number]],DATABASE_FG!$C$6:D11153,2,FALSE)," ")</f>
        <v>096287861-0000</v>
      </c>
      <c r="G1164" s="117" t="str">
        <f>IFERROR(_xlfn.XLOOKUP(Table1[[#This Row],[Part Number]],Table3[Part number],Table3[Drawing
 Revision]),"")</f>
        <v>AB</v>
      </c>
      <c r="H1164" s="118" cm="1">
        <f t="array" ref="H1164">IFERROR(INDEX(PDB!$C:$AT,MATCH(E1164,PDB!$B:$B,0),MATCH(YEAR(K1164),0+PDB!$C$1:$AT$1,0)),"")</f>
        <v>4.42</v>
      </c>
      <c r="I1164" s="36">
        <v>154</v>
      </c>
      <c r="J1164" s="125">
        <f>IFERROR(Table1[[#This Row],[Quantity]]*Table1[[#This Row],[Price/Unit
EUR]]," ")</f>
        <v>680.68</v>
      </c>
      <c r="K1164" s="126">
        <v>45706</v>
      </c>
      <c r="L1164" s="36">
        <f>WEEKNUM(Table1[[#This Row],[ETA
As requested
dd.mm.yyyy]])</f>
        <v>8</v>
      </c>
      <c r="M1164" s="36">
        <f>YEAR(Table1[[#This Row],[ETA
As requested
dd.mm.yyyy]])</f>
        <v>2025</v>
      </c>
      <c r="N1164" s="36">
        <f>IFERROR(INDEX(DATABASE_FG!$H$5:$H$367, MATCH(E1164, DATABASE_FG!$C$5:$C$367, 0)), " ")</f>
        <v>0</v>
      </c>
      <c r="O1164" s="129" t="str">
        <f>IF(E1164&lt;&gt;"", _xlfn.XLOOKUP(E1164, DATABASE_FG!C:C, DATABASE_FG!F:F), " ")</f>
        <v>Alama</v>
      </c>
      <c r="P1164" s="129">
        <f>IFERROR(INDEX(DATABASE_FG!$G$5:$G$367, MATCH(E1164, DATABASE_FG!$C$5:$C$367, 0)), "Not Found")</f>
        <v>0</v>
      </c>
      <c r="Q1164" s="36"/>
      <c r="R1164" s="125" t="s">
        <v>678</v>
      </c>
      <c r="S1164" s="123">
        <f>IFERROR(INDEX(DATABASE_FG!$L$5:$L$367, MATCH(E1164, DATABASE_FG!$C$5:$C$367, 0)), " ")</f>
        <v>42</v>
      </c>
      <c r="T1164" s="36" t="s">
        <v>679</v>
      </c>
      <c r="U1164" s="36"/>
      <c r="V1164" s="36"/>
      <c r="W1164" s="129"/>
      <c r="X1164" s="36"/>
      <c r="Y1164" s="36"/>
      <c r="Z1164" s="36"/>
      <c r="AA1164" s="125" t="s">
        <v>121</v>
      </c>
      <c r="AB1164" s="172">
        <v>45748</v>
      </c>
      <c r="AC1164" s="119">
        <v>25515</v>
      </c>
      <c r="AD1164" s="36">
        <f t="shared" si="131"/>
        <v>38594902</v>
      </c>
      <c r="AE1164" s="36" t="str">
        <f t="shared" si="132"/>
        <v>FAG KUH.6215-A-M-3001</v>
      </c>
      <c r="AF1164" s="36">
        <v>154</v>
      </c>
      <c r="AG1164" s="120">
        <f t="shared" si="128"/>
        <v>680.68</v>
      </c>
      <c r="AH1164" s="36"/>
      <c r="AI1164" s="124"/>
      <c r="AJ1164" s="122" t="s">
        <v>2835</v>
      </c>
      <c r="AK1164" s="129" t="str">
        <f t="shared" ca="1" si="127"/>
        <v>Late</v>
      </c>
      <c r="AL1164" s="268" t="str">
        <f t="shared" si="129"/>
        <v>February</v>
      </c>
      <c r="AM1164" s="133">
        <f>YEAR(Table1[[#This Row],[ETA
As requested
dd.mm.yyyy]])</f>
        <v>2025</v>
      </c>
    </row>
    <row r="1165" spans="1:40" hidden="1">
      <c r="A1165" s="123" t="s">
        <v>83</v>
      </c>
      <c r="B1165" s="36" t="s">
        <v>1170</v>
      </c>
      <c r="C1165" s="117">
        <v>38594902</v>
      </c>
      <c r="D1165" s="165">
        <v>45698</v>
      </c>
      <c r="E1165" s="117" t="s">
        <v>2825</v>
      </c>
      <c r="F1165" s="36" t="str">
        <f>IFERROR(VLOOKUP(Table1[[#This Row],[Part Number]],DATABASE_FG!$C$6:D11154,2,FALSE)," ")</f>
        <v>096287861-0000</v>
      </c>
      <c r="G1165" s="117" t="str">
        <f>IFERROR(_xlfn.XLOOKUP(Table1[[#This Row],[Part Number]],Table3[Part number],Table3[Drawing
 Revision]),"")</f>
        <v>AB</v>
      </c>
      <c r="H1165" s="118" cm="1">
        <f t="array" ref="H1165">IFERROR(INDEX(PDB!$C:$AT,MATCH(E1165,PDB!$B:$B,0),MATCH(YEAR(K1165),0+PDB!$C$1:$AT$1,0)),"")</f>
        <v>4.42</v>
      </c>
      <c r="I1165" s="36">
        <v>118</v>
      </c>
      <c r="J1165" s="125">
        <f>IFERROR(Table1[[#This Row],[Quantity]]*Table1[[#This Row],[Price/Unit
EUR]]," ")</f>
        <v>521.55999999999995</v>
      </c>
      <c r="K1165" s="126">
        <v>45706</v>
      </c>
      <c r="L1165" s="36">
        <f>WEEKNUM(Table1[[#This Row],[ETA
As requested
dd.mm.yyyy]])</f>
        <v>8</v>
      </c>
      <c r="M1165" s="36">
        <f>YEAR(Table1[[#This Row],[ETA
As requested
dd.mm.yyyy]])</f>
        <v>2025</v>
      </c>
      <c r="N1165" s="36">
        <f>IFERROR(INDEX(DATABASE_FG!$H$5:$H$367, MATCH(E1165, DATABASE_FG!$C$5:$C$367, 0)), " ")</f>
        <v>0</v>
      </c>
      <c r="O1165" s="129" t="str">
        <f>IF(E1165&lt;&gt;"", _xlfn.XLOOKUP(E1165, DATABASE_FG!C:C, DATABASE_FG!F:F), " ")</f>
        <v>Alama</v>
      </c>
      <c r="P1165" s="129">
        <f>IFERROR(INDEX(DATABASE_FG!$G$5:$G$367, MATCH(E1165, DATABASE_FG!$C$5:$C$367, 0)), "Not Found")</f>
        <v>0</v>
      </c>
      <c r="Q1165" s="36"/>
      <c r="R1165" s="125" t="s">
        <v>678</v>
      </c>
      <c r="S1165" s="123">
        <f>IFERROR(INDEX(DATABASE_FG!$L$5:$L$367, MATCH(E1165, DATABASE_FG!$C$5:$C$367, 0)), " ")</f>
        <v>42</v>
      </c>
      <c r="T1165" s="36" t="s">
        <v>679</v>
      </c>
      <c r="U1165" s="36"/>
      <c r="V1165" s="36"/>
      <c r="W1165" s="129"/>
      <c r="X1165" s="36"/>
      <c r="Y1165" s="36"/>
      <c r="Z1165" s="36"/>
      <c r="AA1165" s="125" t="s">
        <v>121</v>
      </c>
      <c r="AB1165" s="172">
        <v>45749</v>
      </c>
      <c r="AC1165" s="119">
        <v>25523</v>
      </c>
      <c r="AD1165" s="36">
        <f t="shared" si="131"/>
        <v>38594902</v>
      </c>
      <c r="AE1165" s="36" t="str">
        <f t="shared" si="132"/>
        <v>FAG KUH.6215-A-M-3001</v>
      </c>
      <c r="AF1165" s="36">
        <v>118</v>
      </c>
      <c r="AG1165" s="120">
        <f t="shared" si="128"/>
        <v>521.55999999999995</v>
      </c>
      <c r="AH1165" s="36"/>
      <c r="AI1165" s="124"/>
      <c r="AJ1165" s="122" t="s">
        <v>2836</v>
      </c>
      <c r="AK1165" s="129" t="str">
        <f t="shared" ca="1" si="127"/>
        <v>Late</v>
      </c>
      <c r="AL1165" s="268" t="str">
        <f t="shared" si="129"/>
        <v>February</v>
      </c>
      <c r="AM1165" s="133">
        <f>YEAR(Table1[[#This Row],[ETA
As requested
dd.mm.yyyy]])</f>
        <v>2025</v>
      </c>
    </row>
    <row r="1166" spans="1:40" hidden="1">
      <c r="A1166" s="123" t="s">
        <v>83</v>
      </c>
      <c r="B1166" s="36" t="s">
        <v>1170</v>
      </c>
      <c r="C1166" s="117">
        <v>38594902</v>
      </c>
      <c r="D1166" s="165">
        <v>45698</v>
      </c>
      <c r="E1166" s="117" t="s">
        <v>2825</v>
      </c>
      <c r="F1166" s="36" t="str">
        <f>IFERROR(VLOOKUP(Table1[[#This Row],[Part Number]],DATABASE_FG!$C$6:D11155,2,FALSE)," ")</f>
        <v>096287861-0000</v>
      </c>
      <c r="G1166" s="117" t="str">
        <f>IFERROR(_xlfn.XLOOKUP(Table1[[#This Row],[Part Number]],Table3[Part number],Table3[Drawing
 Revision]),"")</f>
        <v>AB</v>
      </c>
      <c r="H1166" s="118" cm="1">
        <f t="array" ref="H1166">IFERROR(INDEX(PDB!$C:$AT,MATCH(E1166,PDB!$B:$B,0),MATCH(YEAR(K1166),0+PDB!$C$1:$AT$1,0)),"")</f>
        <v>4.42</v>
      </c>
      <c r="I1166" s="36">
        <v>392</v>
      </c>
      <c r="J1166" s="125">
        <f>IFERROR(Table1[[#This Row],[Quantity]]*Table1[[#This Row],[Price/Unit
EUR]]," ")</f>
        <v>1732.6399999999999</v>
      </c>
      <c r="K1166" s="126">
        <v>45706</v>
      </c>
      <c r="L1166" s="36">
        <f>WEEKNUM(Table1[[#This Row],[ETA
As requested
dd.mm.yyyy]])</f>
        <v>8</v>
      </c>
      <c r="M1166" s="36">
        <f>YEAR(Table1[[#This Row],[ETA
As requested
dd.mm.yyyy]])</f>
        <v>2025</v>
      </c>
      <c r="N1166" s="36"/>
      <c r="O1166" s="129" t="str">
        <f>IF(E1166&lt;&gt;"", _xlfn.XLOOKUP(E1166, DATABASE_FG!C:C, DATABASE_FG!F:F), " ")</f>
        <v>Alama</v>
      </c>
      <c r="P1166" s="129">
        <f>IFERROR(INDEX(DATABASE_FG!$G$5:$G$367, MATCH(E1166, DATABASE_FG!$C$5:$C$367, 0)), "Not Found")</f>
        <v>0</v>
      </c>
      <c r="Q1166" s="36"/>
      <c r="R1166" s="125" t="s">
        <v>678</v>
      </c>
      <c r="S1166" s="123">
        <f>IFERROR(INDEX(DATABASE_FG!$L$5:$L$367, MATCH(E1166, DATABASE_FG!$C$5:$C$367, 0)), " ")</f>
        <v>42</v>
      </c>
      <c r="T1166" s="36" t="s">
        <v>679</v>
      </c>
      <c r="U1166" s="36"/>
      <c r="V1166" s="36"/>
      <c r="W1166" s="129"/>
      <c r="X1166" s="36"/>
      <c r="Y1166" s="36" t="s">
        <v>121</v>
      </c>
      <c r="Z1166" s="36"/>
      <c r="AA1166" s="125" t="s">
        <v>121</v>
      </c>
      <c r="AB1166" s="172">
        <v>45750</v>
      </c>
      <c r="AC1166" s="119">
        <v>25533</v>
      </c>
      <c r="AD1166" s="36">
        <f t="shared" si="131"/>
        <v>38594902</v>
      </c>
      <c r="AE1166" s="36" t="str">
        <f t="shared" si="132"/>
        <v>FAG KUH.6215-A-M-3001</v>
      </c>
      <c r="AF1166" s="36">
        <v>392</v>
      </c>
      <c r="AG1166" s="120">
        <f t="shared" si="128"/>
        <v>1732.6399999999999</v>
      </c>
      <c r="AH1166" s="36"/>
      <c r="AI1166" s="124"/>
      <c r="AJ1166" s="122" t="s">
        <v>2837</v>
      </c>
      <c r="AK1166" s="129" t="str">
        <f t="shared" ca="1" si="127"/>
        <v>Late</v>
      </c>
      <c r="AL1166" s="268" t="str">
        <f t="shared" si="129"/>
        <v>February</v>
      </c>
      <c r="AM1166" s="133">
        <f>YEAR(Table1[[#This Row],[ETA
As requested
dd.mm.yyyy]])</f>
        <v>2025</v>
      </c>
    </row>
    <row r="1167" spans="1:40" hidden="1">
      <c r="A1167" s="123" t="s">
        <v>83</v>
      </c>
      <c r="B1167" s="36" t="s">
        <v>1170</v>
      </c>
      <c r="C1167" s="117">
        <v>38594902</v>
      </c>
      <c r="D1167" s="165">
        <v>45698</v>
      </c>
      <c r="E1167" s="117" t="s">
        <v>2825</v>
      </c>
      <c r="F1167" s="36" t="str">
        <f>IFERROR(VLOOKUP(Table1[[#This Row],[Part Number]],DATABASE_FG!$C$6:D11156,2,FALSE)," ")</f>
        <v>096287861-0000</v>
      </c>
      <c r="G1167" s="117" t="str">
        <f>IFERROR(_xlfn.XLOOKUP(Table1[[#This Row],[Part Number]],Table3[Part number],Table3[Drawing
 Revision]),"")</f>
        <v>AB</v>
      </c>
      <c r="H1167" s="118" cm="1">
        <f t="array" ref="H1167">IFERROR(INDEX(PDB!$C:$AT,MATCH(E1167,PDB!$B:$B,0),MATCH(YEAR(K1167),0+PDB!$C$1:$AT$1,0)),"")</f>
        <v>4.42</v>
      </c>
      <c r="I1167" s="36">
        <v>198</v>
      </c>
      <c r="J1167" s="125">
        <f>IFERROR(Table1[[#This Row],[Quantity]]*Table1[[#This Row],[Price/Unit
EUR]]," ")</f>
        <v>875.16</v>
      </c>
      <c r="K1167" s="126">
        <v>45706</v>
      </c>
      <c r="L1167" s="36">
        <f>WEEKNUM(Table1[[#This Row],[ETA
As requested
dd.mm.yyyy]])</f>
        <v>8</v>
      </c>
      <c r="M1167" s="36">
        <f>YEAR(Table1[[#This Row],[ETA
As requested
dd.mm.yyyy]])</f>
        <v>2025</v>
      </c>
      <c r="N1167" s="36"/>
      <c r="O1167" s="129" t="str">
        <f>IF(E1167&lt;&gt;"", _xlfn.XLOOKUP(E1167, DATABASE_FG!C:C, DATABASE_FG!F:F), " ")</f>
        <v>Alama</v>
      </c>
      <c r="P1167" s="129">
        <f>IFERROR(INDEX(DATABASE_FG!$G$5:$G$367, MATCH(E1167, DATABASE_FG!$C$5:$C$367, 0)), "Not Found")</f>
        <v>0</v>
      </c>
      <c r="Q1167" s="36"/>
      <c r="R1167" s="125" t="s">
        <v>678</v>
      </c>
      <c r="S1167" s="123">
        <f>IFERROR(INDEX(DATABASE_FG!$L$5:$L$367, MATCH(E1167, DATABASE_FG!$C$5:$C$367, 0)), " ")</f>
        <v>42</v>
      </c>
      <c r="T1167" s="36" t="s">
        <v>679</v>
      </c>
      <c r="U1167" s="36"/>
      <c r="V1167" s="36"/>
      <c r="W1167" s="129"/>
      <c r="X1167" s="36"/>
      <c r="Y1167" s="36" t="s">
        <v>121</v>
      </c>
      <c r="Z1167" s="36"/>
      <c r="AA1167" s="125" t="s">
        <v>121</v>
      </c>
      <c r="AB1167" s="173">
        <v>45751</v>
      </c>
      <c r="AC1167" s="119">
        <v>25538</v>
      </c>
      <c r="AD1167" s="36">
        <f t="shared" si="131"/>
        <v>38594902</v>
      </c>
      <c r="AE1167" s="36" t="str">
        <f t="shared" si="132"/>
        <v>FAG KUH.6215-A-M-3001</v>
      </c>
      <c r="AF1167" s="36">
        <v>198</v>
      </c>
      <c r="AG1167" s="120">
        <f t="shared" si="128"/>
        <v>875.16</v>
      </c>
      <c r="AH1167" s="36"/>
      <c r="AI1167" s="124"/>
      <c r="AJ1167" s="122" t="s">
        <v>2838</v>
      </c>
      <c r="AK1167" s="129" t="str">
        <f t="shared" ca="1" si="127"/>
        <v>Late</v>
      </c>
      <c r="AL1167" s="268" t="str">
        <f t="shared" si="129"/>
        <v>February</v>
      </c>
      <c r="AM1167" s="133">
        <f>YEAR(Table1[[#This Row],[ETA
As requested
dd.mm.yyyy]])</f>
        <v>2025</v>
      </c>
    </row>
    <row r="1168" spans="1:40" hidden="1">
      <c r="A1168" s="123" t="s">
        <v>83</v>
      </c>
      <c r="B1168" s="36" t="s">
        <v>1170</v>
      </c>
      <c r="C1168" s="117">
        <v>38594902</v>
      </c>
      <c r="D1168" s="165">
        <v>45698</v>
      </c>
      <c r="E1168" s="117" t="s">
        <v>2825</v>
      </c>
      <c r="F1168" s="36" t="str">
        <f>IFERROR(VLOOKUP(Table1[[#This Row],[Part Number]],DATABASE_FG!$C$6:D11157,2,FALSE)," ")</f>
        <v>096287861-0000</v>
      </c>
      <c r="G1168" s="117" t="str">
        <f>IFERROR(_xlfn.XLOOKUP(Table1[[#This Row],[Part Number]],Table3[Part number],Table3[Drawing
 Revision]),"")</f>
        <v>AB</v>
      </c>
      <c r="H1168" s="118" cm="1">
        <f t="array" ref="H1168">IFERROR(INDEX(PDB!$C:$AT,MATCH(E1168,PDB!$B:$B,0),MATCH(YEAR(K1168),0+PDB!$C$1:$AT$1,0)),"")</f>
        <v>4.42</v>
      </c>
      <c r="I1168" s="36">
        <f>1515-132-123-102-169-154-118-392-198</f>
        <v>127</v>
      </c>
      <c r="J1168" s="125">
        <f>IFERROR(Table1[[#This Row],[Quantity]]*Table1[[#This Row],[Price/Unit
EUR]]," ")</f>
        <v>561.34</v>
      </c>
      <c r="K1168" s="126">
        <v>45706</v>
      </c>
      <c r="L1168" s="36">
        <f>WEEKNUM(Table1[[#This Row],[ETA
As requested
dd.mm.yyyy]])</f>
        <v>8</v>
      </c>
      <c r="M1168" s="36">
        <f>YEAR(Table1[[#This Row],[ETA
As requested
dd.mm.yyyy]])</f>
        <v>2025</v>
      </c>
      <c r="N1168" s="36"/>
      <c r="O1168" s="129" t="str">
        <f>IF(E1168&lt;&gt;"", _xlfn.XLOOKUP(E1168, DATABASE_FG!C:C, DATABASE_FG!F:F), " ")</f>
        <v>Alama</v>
      </c>
      <c r="P1168" s="129">
        <f>IFERROR(INDEX(DATABASE_FG!$G$5:$G$367, MATCH(E1168, DATABASE_FG!$C$5:$C$367, 0)), "Not Found")</f>
        <v>0</v>
      </c>
      <c r="Q1168" s="36"/>
      <c r="R1168" s="125" t="s">
        <v>678</v>
      </c>
      <c r="S1168" s="123">
        <f>IFERROR(INDEX(DATABASE_FG!$L$5:$L$367, MATCH(E1168, DATABASE_FG!$C$5:$C$367, 0)), " ")</f>
        <v>42</v>
      </c>
      <c r="T1168" s="36" t="s">
        <v>679</v>
      </c>
      <c r="U1168" s="36"/>
      <c r="V1168" s="36"/>
      <c r="W1168" s="129"/>
      <c r="X1168" s="36"/>
      <c r="Y1168" s="36" t="s">
        <v>121</v>
      </c>
      <c r="Z1168" s="36"/>
      <c r="AA1168" s="125" t="s">
        <v>121</v>
      </c>
      <c r="AB1168" s="173">
        <v>45754</v>
      </c>
      <c r="AC1168" s="119">
        <v>25544</v>
      </c>
      <c r="AD1168" s="36">
        <f t="shared" si="131"/>
        <v>38594902</v>
      </c>
      <c r="AE1168" s="36" t="str">
        <f t="shared" si="132"/>
        <v>FAG KUH.6215-A-M-3001</v>
      </c>
      <c r="AF1168" s="36">
        <v>127</v>
      </c>
      <c r="AG1168" s="120">
        <f t="shared" si="128"/>
        <v>561.34</v>
      </c>
      <c r="AH1168" s="36"/>
      <c r="AI1168" s="124"/>
      <c r="AJ1168" s="122" t="s">
        <v>2839</v>
      </c>
      <c r="AK1168" s="129" t="str">
        <f t="shared" ca="1" si="127"/>
        <v>Late</v>
      </c>
      <c r="AL1168" s="268" t="str">
        <f t="shared" si="129"/>
        <v>February</v>
      </c>
      <c r="AM1168" s="133">
        <f>YEAR(Table1[[#This Row],[ETA
As requested
dd.mm.yyyy]])</f>
        <v>2025</v>
      </c>
    </row>
    <row r="1169" spans="1:40" hidden="1">
      <c r="A1169" s="123" t="s">
        <v>83</v>
      </c>
      <c r="B1169" s="36" t="s">
        <v>1170</v>
      </c>
      <c r="C1169" s="117">
        <v>38623818</v>
      </c>
      <c r="D1169" s="165">
        <v>45701</v>
      </c>
      <c r="E1169" s="117" t="s">
        <v>2825</v>
      </c>
      <c r="F1169" s="36" t="str">
        <f>IFERROR(VLOOKUP(Table1[[#This Row],[Part Number]],DATABASE_FG!$C$6:D11158,2,FALSE)," ")</f>
        <v>096287861-0000</v>
      </c>
      <c r="G1169" s="117" t="str">
        <f>IFERROR(_xlfn.XLOOKUP(Table1[[#This Row],[Part Number]],Table3[Part number],Table3[Drawing
 Revision]),"")</f>
        <v>AB</v>
      </c>
      <c r="H1169" s="118" cm="1">
        <f t="array" ref="H1169">IFERROR(INDEX(PDB!$C:$AT,MATCH(E1169,PDB!$B:$B,0),MATCH(YEAR(K1169),0+PDB!$C$1:$AT$1,0)),"")</f>
        <v>4.42</v>
      </c>
      <c r="I1169" s="36">
        <v>269</v>
      </c>
      <c r="J1169" s="125">
        <f>IFERROR(Table1[[#This Row],[Quantity]]*Table1[[#This Row],[Price/Unit
EUR]]," ")</f>
        <v>1188.98</v>
      </c>
      <c r="K1169" s="126">
        <v>45712</v>
      </c>
      <c r="L1169" s="36">
        <f>WEEKNUM(Table1[[#This Row],[ETA
As requested
dd.mm.yyyy]])</f>
        <v>9</v>
      </c>
      <c r="M1169" s="36">
        <f>YEAR(Table1[[#This Row],[ETA
As requested
dd.mm.yyyy]])</f>
        <v>2025</v>
      </c>
      <c r="N1169" s="36"/>
      <c r="O1169" s="129" t="str">
        <f>IF(E1169&lt;&gt;"", _xlfn.XLOOKUP(E1169, DATABASE_FG!C:C, DATABASE_FG!F:F), " ")</f>
        <v>Alama</v>
      </c>
      <c r="P1169" s="129">
        <f>IFERROR(INDEX(DATABASE_FG!$G$5:$G$367, MATCH(E1169, DATABASE_FG!$C$5:$C$367, 0)), "Not Found")</f>
        <v>0</v>
      </c>
      <c r="Q1169" s="36"/>
      <c r="R1169" s="125" t="s">
        <v>678</v>
      </c>
      <c r="S1169" s="123">
        <f>IFERROR(INDEX(DATABASE_FG!$L$5:$L$367, MATCH(E1169, DATABASE_FG!$C$5:$C$367, 0)), " ")</f>
        <v>42</v>
      </c>
      <c r="T1169" s="36" t="s">
        <v>679</v>
      </c>
      <c r="U1169" s="36"/>
      <c r="V1169" s="36"/>
      <c r="W1169" s="129"/>
      <c r="X1169" s="36"/>
      <c r="Y1169" s="36" t="s">
        <v>121</v>
      </c>
      <c r="Z1169" s="36"/>
      <c r="AA1169" s="125" t="s">
        <v>121</v>
      </c>
      <c r="AB1169" s="173">
        <v>45754</v>
      </c>
      <c r="AC1169" s="119">
        <v>25545</v>
      </c>
      <c r="AD1169" s="36">
        <f t="shared" si="131"/>
        <v>38623818</v>
      </c>
      <c r="AE1169" s="36" t="str">
        <f t="shared" si="132"/>
        <v>FAG KUH.6215-A-M-3001</v>
      </c>
      <c r="AF1169" s="36">
        <v>269</v>
      </c>
      <c r="AG1169" s="120">
        <f t="shared" si="128"/>
        <v>1188.98</v>
      </c>
      <c r="AH1169" s="36"/>
      <c r="AI1169" s="124"/>
      <c r="AJ1169" s="122" t="s">
        <v>2871</v>
      </c>
      <c r="AK1169" s="129" t="str">
        <f t="shared" ca="1" si="127"/>
        <v>Late</v>
      </c>
      <c r="AL1169" s="268" t="str">
        <f t="shared" si="129"/>
        <v>February</v>
      </c>
      <c r="AM1169" s="133">
        <f>YEAR(Table1[[#This Row],[ETA
As requested
dd.mm.yyyy]])</f>
        <v>2025</v>
      </c>
    </row>
    <row r="1170" spans="1:40" hidden="1">
      <c r="A1170" s="123" t="s">
        <v>83</v>
      </c>
      <c r="B1170" s="36" t="s">
        <v>1170</v>
      </c>
      <c r="C1170" s="117">
        <v>38623818</v>
      </c>
      <c r="D1170" s="165">
        <v>45701</v>
      </c>
      <c r="E1170" s="117" t="s">
        <v>2825</v>
      </c>
      <c r="F1170" s="36" t="str">
        <f>IFERROR(VLOOKUP(Table1[[#This Row],[Part Number]],DATABASE_FG!$C$6:D11159,2,FALSE)," ")</f>
        <v>096287861-0000</v>
      </c>
      <c r="G1170" s="117" t="str">
        <f>IFERROR(_xlfn.XLOOKUP(Table1[[#This Row],[Part Number]],Table3[Part number],Table3[Drawing
 Revision]),"")</f>
        <v>AB</v>
      </c>
      <c r="H1170" s="118" cm="1">
        <f t="array" ref="H1170">IFERROR(INDEX(PDB!$C:$AT,MATCH(E1170,PDB!$B:$B,0),MATCH(YEAR(K1170),0+PDB!$C$1:$AT$1,0)),"")</f>
        <v>4.42</v>
      </c>
      <c r="I1170" s="36">
        <v>198</v>
      </c>
      <c r="J1170" s="125">
        <f>IFERROR(Table1[[#This Row],[Quantity]]*Table1[[#This Row],[Price/Unit
EUR]]," ")</f>
        <v>875.16</v>
      </c>
      <c r="K1170" s="126">
        <v>45712</v>
      </c>
      <c r="L1170" s="36">
        <f>WEEKNUM(Table1[[#This Row],[ETA
As requested
dd.mm.yyyy]])</f>
        <v>9</v>
      </c>
      <c r="M1170" s="36">
        <f>YEAR(Table1[[#This Row],[ETA
As requested
dd.mm.yyyy]])</f>
        <v>2025</v>
      </c>
      <c r="N1170" s="36">
        <f>IFERROR(INDEX(DATABASE_FG!$H$5:$H$367, MATCH(E1170, DATABASE_FG!$C$5:$C$367, 0)), " ")</f>
        <v>0</v>
      </c>
      <c r="O1170" s="129" t="str">
        <f>IF(E1170&lt;&gt;"", _xlfn.XLOOKUP(E1170, DATABASE_FG!C:C, DATABASE_FG!F:F), " ")</f>
        <v>Alama</v>
      </c>
      <c r="P1170" s="129">
        <f>IFERROR(INDEX(DATABASE_FG!$G$5:$G$367, MATCH(E1170, DATABASE_FG!$C$5:$C$367, 0)), "Not Found")</f>
        <v>0</v>
      </c>
      <c r="Q1170" s="36"/>
      <c r="R1170" s="125" t="s">
        <v>678</v>
      </c>
      <c r="S1170" s="123">
        <f>IFERROR(INDEX(DATABASE_FG!$L$5:$L$367, MATCH(E1170, DATABASE_FG!$C$5:$C$367, 0)), " ")</f>
        <v>42</v>
      </c>
      <c r="T1170" s="36" t="s">
        <v>679</v>
      </c>
      <c r="U1170" s="36"/>
      <c r="V1170" s="36"/>
      <c r="W1170" s="129"/>
      <c r="X1170" s="36"/>
      <c r="Y1170" s="36" t="s">
        <v>121</v>
      </c>
      <c r="Z1170" s="36"/>
      <c r="AA1170" s="125" t="s">
        <v>121</v>
      </c>
      <c r="AB1170" s="173">
        <v>45755</v>
      </c>
      <c r="AC1170" s="119">
        <v>25565</v>
      </c>
      <c r="AD1170" s="36">
        <f t="shared" si="131"/>
        <v>38623818</v>
      </c>
      <c r="AE1170" s="36" t="str">
        <f t="shared" si="132"/>
        <v>FAG KUH.6215-A-M-3001</v>
      </c>
      <c r="AF1170" s="36">
        <v>198</v>
      </c>
      <c r="AG1170" s="120">
        <f t="shared" si="128"/>
        <v>875.16</v>
      </c>
      <c r="AH1170" s="36"/>
      <c r="AI1170" s="124"/>
      <c r="AJ1170" s="122" t="s">
        <v>2872</v>
      </c>
      <c r="AK1170" s="129" t="str">
        <f t="shared" ca="1" si="127"/>
        <v>Late</v>
      </c>
      <c r="AL1170" s="268" t="str">
        <f t="shared" si="129"/>
        <v>February</v>
      </c>
      <c r="AM1170" s="133">
        <f>YEAR(Table1[[#This Row],[ETA
As requested
dd.mm.yyyy]])</f>
        <v>2025</v>
      </c>
    </row>
    <row r="1171" spans="1:40" hidden="1">
      <c r="A1171" s="123" t="s">
        <v>83</v>
      </c>
      <c r="B1171" s="36" t="s">
        <v>1170</v>
      </c>
      <c r="C1171" s="117">
        <v>38623818</v>
      </c>
      <c r="D1171" s="165">
        <v>45701</v>
      </c>
      <c r="E1171" s="117" t="s">
        <v>2825</v>
      </c>
      <c r="F1171" s="36" t="str">
        <f>IFERROR(VLOOKUP(Table1[[#This Row],[Part Number]],DATABASE_FG!$C$6:D11160,2,FALSE)," ")</f>
        <v>096287861-0000</v>
      </c>
      <c r="G1171" s="117" t="str">
        <f>IFERROR(_xlfn.XLOOKUP(Table1[[#This Row],[Part Number]],Table3[Part number],Table3[Drawing
 Revision]),"")</f>
        <v>AB</v>
      </c>
      <c r="H1171" s="118" cm="1">
        <f t="array" ref="H1171">IFERROR(INDEX(PDB!$C:$AT,MATCH(E1171,PDB!$B:$B,0),MATCH(YEAR(K1171),0+PDB!$C$1:$AT$1,0)),"")</f>
        <v>4.42</v>
      </c>
      <c r="I1171" s="36">
        <v>594</v>
      </c>
      <c r="J1171" s="125">
        <f>IFERROR(Table1[[#This Row],[Quantity]]*Table1[[#This Row],[Price/Unit
EUR]]," ")</f>
        <v>2625.48</v>
      </c>
      <c r="K1171" s="126">
        <v>45712</v>
      </c>
      <c r="L1171" s="36">
        <f>WEEKNUM(Table1[[#This Row],[ETA
As requested
dd.mm.yyyy]])</f>
        <v>9</v>
      </c>
      <c r="M1171" s="36">
        <f>YEAR(Table1[[#This Row],[ETA
As requested
dd.mm.yyyy]])</f>
        <v>2025</v>
      </c>
      <c r="N1171" s="36">
        <f>IFERROR(INDEX(DATABASE_FG!$H$5:$H$367, MATCH(E1171, DATABASE_FG!$C$5:$C$367, 0)), " ")</f>
        <v>0</v>
      </c>
      <c r="O1171" s="129" t="str">
        <f>IF(E1171&lt;&gt;"", _xlfn.XLOOKUP(E1171, DATABASE_FG!C:C, DATABASE_FG!F:F), " ")</f>
        <v>Alama</v>
      </c>
      <c r="P1171" s="129">
        <f>IFERROR(INDEX(DATABASE_FG!$G$5:$G$367, MATCH(E1171, DATABASE_FG!$C$5:$C$367, 0)), "Not Found")</f>
        <v>0</v>
      </c>
      <c r="Q1171" s="36"/>
      <c r="R1171" s="125"/>
      <c r="S1171" s="123">
        <f>Table1[[#This Row],[Quantity]]/48</f>
        <v>12.375</v>
      </c>
      <c r="T1171" s="36"/>
      <c r="U1171" s="36"/>
      <c r="V1171" s="36"/>
      <c r="W1171" s="129"/>
      <c r="X1171" s="36"/>
      <c r="Y1171" s="36"/>
      <c r="Z1171" s="36"/>
      <c r="AA1171" s="125" t="s">
        <v>121</v>
      </c>
      <c r="AB1171" s="173">
        <v>45756</v>
      </c>
      <c r="AC1171" s="119">
        <v>25573</v>
      </c>
      <c r="AD1171" s="36">
        <f t="shared" si="131"/>
        <v>38623818</v>
      </c>
      <c r="AE1171" s="36" t="str">
        <f t="shared" si="132"/>
        <v>FAG KUH.6215-A-M-3001</v>
      </c>
      <c r="AF1171" s="36">
        <v>594</v>
      </c>
      <c r="AG1171" s="120">
        <f t="shared" si="128"/>
        <v>2625.48</v>
      </c>
      <c r="AH1171" s="36"/>
      <c r="AI1171" s="124"/>
      <c r="AJ1171" s="122" t="s">
        <v>2873</v>
      </c>
      <c r="AK1171" s="129" t="str">
        <f t="shared" ca="1" si="127"/>
        <v>Late</v>
      </c>
      <c r="AL1171" s="268" t="str">
        <f t="shared" si="129"/>
        <v>February</v>
      </c>
      <c r="AM1171" s="133">
        <f>YEAR(Table1[[#This Row],[ETA
As requested
dd.mm.yyyy]])</f>
        <v>2025</v>
      </c>
    </row>
    <row r="1172" spans="1:40" hidden="1">
      <c r="A1172" s="123" t="s">
        <v>83</v>
      </c>
      <c r="B1172" s="36" t="s">
        <v>1170</v>
      </c>
      <c r="C1172" s="117">
        <v>38623818</v>
      </c>
      <c r="D1172" s="165">
        <v>45701</v>
      </c>
      <c r="E1172" s="117" t="s">
        <v>2825</v>
      </c>
      <c r="F1172" s="36" t="str">
        <f>IFERROR(VLOOKUP(Table1[[#This Row],[Part Number]],DATABASE_FG!$C$6:D11161,2,FALSE)," ")</f>
        <v>096287861-0000</v>
      </c>
      <c r="G1172" s="117" t="str">
        <f>IFERROR(_xlfn.XLOOKUP(Table1[[#This Row],[Part Number]],Table3[Part number],Table3[Drawing
 Revision]),"")</f>
        <v>AB</v>
      </c>
      <c r="H1172" s="118" cm="1">
        <f t="array" ref="H1172">IFERROR(INDEX(PDB!$C:$AT,MATCH(E1172,PDB!$B:$B,0),MATCH(YEAR(K1172),0+PDB!$C$1:$AT$1,0)),"")</f>
        <v>4.42</v>
      </c>
      <c r="I1172" s="36">
        <v>174</v>
      </c>
      <c r="J1172" s="125">
        <f>IFERROR(Table1[[#This Row],[Quantity]]*Table1[[#This Row],[Price/Unit
EUR]]," ")</f>
        <v>769.08</v>
      </c>
      <c r="K1172" s="126">
        <v>45712</v>
      </c>
      <c r="L1172" s="36">
        <f>WEEKNUM(Table1[[#This Row],[ETA
As requested
dd.mm.yyyy]])</f>
        <v>9</v>
      </c>
      <c r="M1172" s="36">
        <f>YEAR(Table1[[#This Row],[ETA
As requested
dd.mm.yyyy]])</f>
        <v>2025</v>
      </c>
      <c r="N1172" s="36">
        <f>IFERROR(INDEX(DATABASE_FG!$H$5:$H$367, MATCH(E1172, DATABASE_FG!$C$5:$C$367, 0)), " ")</f>
        <v>0</v>
      </c>
      <c r="O1172" s="129" t="str">
        <f>IF(E1172&lt;&gt;"", _xlfn.XLOOKUP(E1172, DATABASE_FG!C:C, DATABASE_FG!F:F), " ")</f>
        <v>Alama</v>
      </c>
      <c r="P1172" s="129">
        <f>IFERROR(INDEX(DATABASE_FG!$G$5:$G$367, MATCH(E1172, DATABASE_FG!$C$5:$C$367, 0)), "Not Found")</f>
        <v>0</v>
      </c>
      <c r="Q1172" s="36"/>
      <c r="R1172" s="125" t="s">
        <v>678</v>
      </c>
      <c r="S1172" s="123">
        <f>IFERROR(INDEX(DATABASE_FG!$L$5:$L$367, MATCH(E1172, DATABASE_FG!$C$5:$C$367, 0)), " ")</f>
        <v>42</v>
      </c>
      <c r="T1172" s="36" t="s">
        <v>679</v>
      </c>
      <c r="U1172" s="36"/>
      <c r="V1172" s="36"/>
      <c r="W1172" s="129"/>
      <c r="X1172" s="36"/>
      <c r="Y1172" s="36" t="s">
        <v>121</v>
      </c>
      <c r="Z1172" s="36"/>
      <c r="AA1172" s="125" t="s">
        <v>121</v>
      </c>
      <c r="AB1172" s="173">
        <v>45757</v>
      </c>
      <c r="AC1172" s="119">
        <v>25576</v>
      </c>
      <c r="AD1172" s="36">
        <f t="shared" si="131"/>
        <v>38623818</v>
      </c>
      <c r="AE1172" s="36" t="str">
        <f t="shared" si="132"/>
        <v>FAG KUH.6215-A-M-3001</v>
      </c>
      <c r="AF1172" s="36">
        <v>174</v>
      </c>
      <c r="AG1172" s="120">
        <f t="shared" si="128"/>
        <v>769.08</v>
      </c>
      <c r="AH1172" s="36"/>
      <c r="AI1172" s="124"/>
      <c r="AJ1172" s="122" t="s">
        <v>2874</v>
      </c>
      <c r="AK1172" s="129" t="str">
        <f t="shared" ca="1" si="127"/>
        <v>Late</v>
      </c>
      <c r="AL1172" s="268" t="str">
        <f t="shared" si="129"/>
        <v>February</v>
      </c>
      <c r="AM1172" s="133">
        <f>YEAR(Table1[[#This Row],[ETA
As requested
dd.mm.yyyy]])</f>
        <v>2025</v>
      </c>
      <c r="AN1172" s="76"/>
    </row>
    <row r="1173" spans="1:40" hidden="1">
      <c r="A1173" s="123" t="s">
        <v>83</v>
      </c>
      <c r="B1173" s="36" t="s">
        <v>1170</v>
      </c>
      <c r="C1173" s="117">
        <v>38623818</v>
      </c>
      <c r="D1173" s="165">
        <v>45701</v>
      </c>
      <c r="E1173" s="117" t="s">
        <v>2825</v>
      </c>
      <c r="F1173" s="36" t="str">
        <f>IFERROR(VLOOKUP(Table1[[#This Row],[Part Number]],DATABASE_FG!$C$6:D11162,2,FALSE)," ")</f>
        <v>096287861-0000</v>
      </c>
      <c r="G1173" s="117" t="str">
        <f>IFERROR(_xlfn.XLOOKUP(Table1[[#This Row],[Part Number]],Table3[Part number],Table3[Drawing
 Revision]),"")</f>
        <v>AB</v>
      </c>
      <c r="H1173" s="118" cm="1">
        <f t="array" ref="H1173">IFERROR(INDEX(PDB!$C:$AT,MATCH(E1173,PDB!$B:$B,0),MATCH(YEAR(K1173),0+PDB!$C$1:$AT$1,0)),"")</f>
        <v>4.42</v>
      </c>
      <c r="I1173" s="36">
        <v>110</v>
      </c>
      <c r="J1173" s="125">
        <f>IFERROR(Table1[[#This Row],[Quantity]]*Table1[[#This Row],[Price/Unit
EUR]]," ")</f>
        <v>486.2</v>
      </c>
      <c r="K1173" s="126">
        <v>45712</v>
      </c>
      <c r="L1173" s="36">
        <f>WEEKNUM(Table1[[#This Row],[ETA
As requested
dd.mm.yyyy]])</f>
        <v>9</v>
      </c>
      <c r="M1173" s="36">
        <f>YEAR(Table1[[#This Row],[ETA
As requested
dd.mm.yyyy]])</f>
        <v>2025</v>
      </c>
      <c r="N1173" s="36">
        <f>IFERROR(INDEX(DATABASE_FG!$H$5:$H$367, MATCH(E1173, DATABASE_FG!$C$5:$C$367, 0)), " ")</f>
        <v>0</v>
      </c>
      <c r="O1173" s="129" t="str">
        <f>IF(E1173&lt;&gt;"", _xlfn.XLOOKUP(E1173, DATABASE_FG!C:C, DATABASE_FG!F:F), " ")</f>
        <v>Alama</v>
      </c>
      <c r="P1173" s="129">
        <f>IFERROR(INDEX(DATABASE_FG!$G$5:$G$367, MATCH(E1173, DATABASE_FG!$C$5:$C$367, 0)), "Not Found")</f>
        <v>0</v>
      </c>
      <c r="Q1173" s="36"/>
      <c r="R1173" s="125" t="s">
        <v>678</v>
      </c>
      <c r="S1173" s="123">
        <f>IFERROR(INDEX(DATABASE_FG!$L$5:$L$367, MATCH(E1173, DATABASE_FG!$C$5:$C$367, 0)), " ")</f>
        <v>42</v>
      </c>
      <c r="T1173" s="36" t="s">
        <v>679</v>
      </c>
      <c r="U1173" s="36"/>
      <c r="V1173" s="36"/>
      <c r="W1173" s="129"/>
      <c r="X1173" s="36"/>
      <c r="Y1173" s="36" t="s">
        <v>121</v>
      </c>
      <c r="Z1173" s="36"/>
      <c r="AA1173" s="125" t="s">
        <v>121</v>
      </c>
      <c r="AB1173" s="173">
        <v>45758</v>
      </c>
      <c r="AC1173" s="119">
        <v>25581</v>
      </c>
      <c r="AD1173" s="36">
        <f t="shared" si="131"/>
        <v>38623818</v>
      </c>
      <c r="AE1173" s="36" t="str">
        <f t="shared" si="132"/>
        <v>FAG KUH.6215-A-M-3001</v>
      </c>
      <c r="AF1173" s="36">
        <v>110</v>
      </c>
      <c r="AG1173" s="120">
        <f t="shared" si="128"/>
        <v>486.2</v>
      </c>
      <c r="AH1173" s="36"/>
      <c r="AI1173" s="124"/>
      <c r="AJ1173" s="122" t="s">
        <v>2875</v>
      </c>
      <c r="AK1173" s="129" t="str">
        <f t="shared" ca="1" si="127"/>
        <v>Late</v>
      </c>
      <c r="AL1173" s="268" t="str">
        <f t="shared" si="129"/>
        <v>February</v>
      </c>
      <c r="AM1173" s="133">
        <f>YEAR(Table1[[#This Row],[ETA
As requested
dd.mm.yyyy]])</f>
        <v>2025</v>
      </c>
      <c r="AN1173" s="76"/>
    </row>
    <row r="1174" spans="1:40" hidden="1">
      <c r="A1174" s="123" t="s">
        <v>83</v>
      </c>
      <c r="B1174" s="36" t="s">
        <v>1170</v>
      </c>
      <c r="C1174" s="117">
        <v>38623818</v>
      </c>
      <c r="D1174" s="165">
        <v>45701</v>
      </c>
      <c r="E1174" s="117" t="s">
        <v>2825</v>
      </c>
      <c r="F1174" s="36" t="str">
        <f>IFERROR(VLOOKUP(Table1[[#This Row],[Part Number]],DATABASE_FG!$C$6:D11163,2,FALSE)," ")</f>
        <v>096287861-0000</v>
      </c>
      <c r="G1174" s="117" t="str">
        <f>IFERROR(_xlfn.XLOOKUP(Table1[[#This Row],[Part Number]],Table3[Part number],Table3[Drawing
 Revision]),"")</f>
        <v>AB</v>
      </c>
      <c r="H1174" s="118" cm="1">
        <f t="array" ref="H1174">IFERROR(INDEX(PDB!$C:$AT,MATCH(E1174,PDB!$B:$B,0),MATCH(YEAR(K1174),0+PDB!$C$1:$AT$1,0)),"")</f>
        <v>4.42</v>
      </c>
      <c r="I1174" s="36">
        <f>1496-5-269-198-594-174-110</f>
        <v>146</v>
      </c>
      <c r="J1174" s="125">
        <f>IFERROR(Table1[[#This Row],[Quantity]]*Table1[[#This Row],[Price/Unit
EUR]]," ")</f>
        <v>645.31999999999994</v>
      </c>
      <c r="K1174" s="126">
        <v>45712</v>
      </c>
      <c r="L1174" s="36">
        <f>WEEKNUM(Table1[[#This Row],[ETA
As requested
dd.mm.yyyy]])</f>
        <v>9</v>
      </c>
      <c r="M1174" s="36">
        <f>YEAR(Table1[[#This Row],[ETA
As requested
dd.mm.yyyy]])</f>
        <v>2025</v>
      </c>
      <c r="N1174" s="36">
        <f>IFERROR(INDEX(DATABASE_FG!$H$5:$H$367, MATCH(E1174, DATABASE_FG!$C$5:$C$367, 0)), " ")</f>
        <v>0</v>
      </c>
      <c r="O1174" s="129" t="str">
        <f>IF(E1174&lt;&gt;"", _xlfn.XLOOKUP(E1174, DATABASE_FG!C:C, DATABASE_FG!F:F), " ")</f>
        <v>Alama</v>
      </c>
      <c r="P1174" s="129">
        <f>IFERROR(INDEX(DATABASE_FG!$G$5:$G$367, MATCH(E1174, DATABASE_FG!$C$5:$C$367, 0)), "Not Found")</f>
        <v>0</v>
      </c>
      <c r="Q1174" s="36"/>
      <c r="R1174" s="125" t="s">
        <v>678</v>
      </c>
      <c r="S1174" s="123">
        <f>IFERROR(INDEX(DATABASE_FG!$L$5:$L$367, MATCH(E1174, DATABASE_FG!$C$5:$C$367, 0)), " ")</f>
        <v>42</v>
      </c>
      <c r="T1174" s="36" t="s">
        <v>679</v>
      </c>
      <c r="U1174" s="36"/>
      <c r="V1174" s="36"/>
      <c r="W1174" s="129"/>
      <c r="X1174" s="36"/>
      <c r="Y1174" s="36" t="s">
        <v>121</v>
      </c>
      <c r="Z1174" s="36"/>
      <c r="AA1174" s="125" t="s">
        <v>121</v>
      </c>
      <c r="AB1174" s="173">
        <v>45761</v>
      </c>
      <c r="AC1174" s="119" t="s">
        <v>2876</v>
      </c>
      <c r="AD1174" s="36">
        <f t="shared" si="131"/>
        <v>38623818</v>
      </c>
      <c r="AE1174" s="36" t="str">
        <f t="shared" si="132"/>
        <v>FAG KUH.6215-A-M-3001</v>
      </c>
      <c r="AF1174" s="36">
        <v>146</v>
      </c>
      <c r="AG1174" s="120">
        <f t="shared" si="128"/>
        <v>645.31999999999994</v>
      </c>
      <c r="AH1174" s="36"/>
      <c r="AI1174" s="124"/>
      <c r="AJ1174" s="122" t="s">
        <v>2877</v>
      </c>
      <c r="AK1174" s="129" t="str">
        <f t="shared" ca="1" si="127"/>
        <v>Late</v>
      </c>
      <c r="AL1174" s="268" t="str">
        <f t="shared" si="129"/>
        <v>February</v>
      </c>
      <c r="AM1174" s="133">
        <f>YEAR(Table1[[#This Row],[ETA
As requested
dd.mm.yyyy]])</f>
        <v>2025</v>
      </c>
      <c r="AN1174" s="76"/>
    </row>
    <row r="1175" spans="1:40" hidden="1">
      <c r="A1175" s="123" t="s">
        <v>83</v>
      </c>
      <c r="B1175" s="36" t="s">
        <v>1170</v>
      </c>
      <c r="C1175" s="117">
        <v>50167129</v>
      </c>
      <c r="D1175" s="165">
        <v>45909</v>
      </c>
      <c r="E1175" s="117" t="s">
        <v>2825</v>
      </c>
      <c r="F1175" s="36" t="str">
        <f>IFERROR(VLOOKUP(Table1[[#This Row],[Part Number]],DATABASE_FG!$C$6:D11164,2,FALSE)," ")</f>
        <v>096287861-0000</v>
      </c>
      <c r="G1175" s="117" t="str">
        <f>IFERROR(_xlfn.XLOOKUP(Table1[[#This Row],[Part Number]],Table3[Part number],Table3[Drawing
 Revision]),"")</f>
        <v>AB</v>
      </c>
      <c r="H1175" s="118" cm="1">
        <f t="array" ref="H1175">IFERROR(INDEX(PDB!$C:$AT,MATCH(E1175,PDB!$B:$B,0),MATCH(YEAR(K1175),0+PDB!$C$1:$AT$1,0)),"")</f>
        <v>4.42</v>
      </c>
      <c r="I1175" s="36">
        <v>5</v>
      </c>
      <c r="J1175" s="125">
        <f>IFERROR(Table1[[#This Row],[Quantity]]*Table1[[#This Row],[Price/Unit
EUR]]," ")</f>
        <v>22.1</v>
      </c>
      <c r="K1175" s="126">
        <v>45911</v>
      </c>
      <c r="L1175" s="36">
        <f>WEEKNUM(Table1[[#This Row],[ETA
As requested
dd.mm.yyyy]])</f>
        <v>37</v>
      </c>
      <c r="M1175" s="36">
        <f>YEAR(Table1[[#This Row],[ETA
As requested
dd.mm.yyyy]])</f>
        <v>2025</v>
      </c>
      <c r="N1175" s="36">
        <f>IFERROR(INDEX(DATABASE_FG!$H$5:$H$367, MATCH(E1175, DATABASE_FG!$C$5:$C$367, 0)), " ")</f>
        <v>0</v>
      </c>
      <c r="O1175" s="129" t="str">
        <f>IF(E1175&lt;&gt;"", _xlfn.XLOOKUP(E1175, DATABASE_FG!C:C, DATABASE_FG!F:F), " ")</f>
        <v>Alama</v>
      </c>
      <c r="P1175" s="129">
        <f>IFERROR(INDEX(DATABASE_FG!$G$5:$G$367, MATCH(E1175, DATABASE_FG!$C$5:$C$367, 0)), "Not Found")</f>
        <v>0</v>
      </c>
      <c r="Q1175" s="36"/>
      <c r="R1175" s="125" t="s">
        <v>678</v>
      </c>
      <c r="S1175" s="123">
        <f>IFERROR(INDEX(DATABASE_FG!$L$5:$L$367, MATCH(E1175, DATABASE_FG!$C$5:$C$367, 0)), " ")</f>
        <v>42</v>
      </c>
      <c r="T1175" s="36" t="s">
        <v>679</v>
      </c>
      <c r="U1175" s="36"/>
      <c r="V1175" s="36"/>
      <c r="W1175" s="129"/>
      <c r="X1175" s="36"/>
      <c r="Y1175" s="36" t="s">
        <v>121</v>
      </c>
      <c r="Z1175" s="36"/>
      <c r="AA1175" s="125" t="s">
        <v>121</v>
      </c>
      <c r="AB1175" s="173">
        <v>45915</v>
      </c>
      <c r="AC1175" s="119" t="s">
        <v>3673</v>
      </c>
      <c r="AD1175" s="36">
        <f t="shared" si="131"/>
        <v>50167129</v>
      </c>
      <c r="AE1175" s="36" t="str">
        <f t="shared" si="132"/>
        <v>FAG KUH.6215-A-M-3001</v>
      </c>
      <c r="AF1175" s="36">
        <v>5</v>
      </c>
      <c r="AG1175" s="120">
        <f t="shared" si="128"/>
        <v>22.1</v>
      </c>
      <c r="AH1175" s="36"/>
      <c r="AI1175" s="124"/>
      <c r="AJ1175" s="122" t="s">
        <v>3674</v>
      </c>
      <c r="AK1175" s="129" t="str">
        <f t="shared" ref="AK1175:AK1184" ca="1" si="133">IF(AB1175="", IF(K1175 &lt; TODAY(), "Late", ""), IF(AB1175 &lt;= K1175 + 2, "On Time", "Late"))</f>
        <v>Late</v>
      </c>
      <c r="AL1175" s="268" t="str">
        <f t="shared" si="129"/>
        <v>September</v>
      </c>
      <c r="AM1175" s="133">
        <f>YEAR(Table1[[#This Row],[ETA
As requested
dd.mm.yyyy]])</f>
        <v>2025</v>
      </c>
    </row>
    <row r="1176" spans="1:40" hidden="1">
      <c r="A1176" s="123" t="s">
        <v>83</v>
      </c>
      <c r="B1176" s="36" t="s">
        <v>1170</v>
      </c>
      <c r="C1176" s="117">
        <v>50167129</v>
      </c>
      <c r="D1176" s="165">
        <v>45908</v>
      </c>
      <c r="E1176" s="117" t="s">
        <v>2825</v>
      </c>
      <c r="F1176" s="36" t="str">
        <f>IFERROR(VLOOKUP(Table1[[#This Row],[Part Number]],DATABASE_FG!$C$6:D11165,2,FALSE)," ")</f>
        <v>096287861-0000</v>
      </c>
      <c r="G1176" s="117" t="str">
        <f>IFERROR(_xlfn.XLOOKUP(Table1[[#This Row],[Part Number]],Table3[Part number],Table3[Drawing
 Revision]),"")</f>
        <v>AB</v>
      </c>
      <c r="H1176" s="118" cm="1">
        <f t="array" ref="H1176">IFERROR(INDEX(PDB!$C:$AT,MATCH(E1176,PDB!$B:$B,0),MATCH(YEAR(K1176),0+PDB!$C$1:$AT$1,0)),"")</f>
        <v>4.42</v>
      </c>
      <c r="I1176" s="36">
        <v>19</v>
      </c>
      <c r="J1176" s="125">
        <f>IFERROR(Table1[[#This Row],[Quantity]]*Table1[[#This Row],[Price/Unit
EUR]]," ")</f>
        <v>83.98</v>
      </c>
      <c r="K1176" s="126">
        <v>45929</v>
      </c>
      <c r="L1176" s="36">
        <f>WEEKNUM(Table1[[#This Row],[ETA
As requested
dd.mm.yyyy]])</f>
        <v>40</v>
      </c>
      <c r="M1176" s="36">
        <f>YEAR(Table1[[#This Row],[ETA
As requested
dd.mm.yyyy]])</f>
        <v>2025</v>
      </c>
      <c r="N1176" s="36">
        <f>IFERROR(INDEX(DATABASE_FG!$H$5:$H$367, MATCH(E1176, DATABASE_FG!$C$5:$C$367, 0)), " ")</f>
        <v>0</v>
      </c>
      <c r="O1176" s="129" t="str">
        <f>IF(E1176&lt;&gt;"", _xlfn.XLOOKUP(E1176, DATABASE_FG!C:C, DATABASE_FG!F:F), " ")</f>
        <v>Alama</v>
      </c>
      <c r="P1176" s="129">
        <f>IFERROR(INDEX(DATABASE_FG!$G$5:$G$367, MATCH(E1176, DATABASE_FG!$C$5:$C$367, 0)), "Not Found")</f>
        <v>0</v>
      </c>
      <c r="Q1176" s="36"/>
      <c r="R1176" s="125" t="s">
        <v>678</v>
      </c>
      <c r="S1176" s="123">
        <f>Table1[[#This Row],[Quantity]]/48</f>
        <v>0.39583333333333331</v>
      </c>
      <c r="T1176" s="36"/>
      <c r="U1176" s="36"/>
      <c r="V1176" s="36"/>
      <c r="W1176" s="129"/>
      <c r="X1176" s="36"/>
      <c r="Y1176" s="36"/>
      <c r="Z1176" s="36"/>
      <c r="AA1176" s="125" t="s">
        <v>121</v>
      </c>
      <c r="AB1176" s="173">
        <v>45923</v>
      </c>
      <c r="AC1176" s="119" t="s">
        <v>3723</v>
      </c>
      <c r="AD1176" s="36">
        <f t="shared" si="131"/>
        <v>50167129</v>
      </c>
      <c r="AE1176" s="36" t="str">
        <f t="shared" si="132"/>
        <v>FAG KUH.6215-A-M-3001</v>
      </c>
      <c r="AF1176" s="36">
        <v>19</v>
      </c>
      <c r="AG1176" s="120">
        <f t="shared" si="128"/>
        <v>83.98</v>
      </c>
      <c r="AH1176" s="36"/>
      <c r="AI1176" s="124"/>
      <c r="AJ1176" s="122" t="s">
        <v>3724</v>
      </c>
      <c r="AK1176" s="129" t="str">
        <f t="shared" ca="1" si="133"/>
        <v>On Time</v>
      </c>
      <c r="AL1176" s="268" t="str">
        <f t="shared" si="129"/>
        <v>September</v>
      </c>
      <c r="AM1176" s="133">
        <f>YEAR(Table1[[#This Row],[ETA
As requested
dd.mm.yyyy]])</f>
        <v>2025</v>
      </c>
      <c r="AN1176" s="191"/>
    </row>
    <row r="1177" spans="1:40" hidden="1">
      <c r="A1177" s="123" t="s">
        <v>83</v>
      </c>
      <c r="B1177" s="36" t="s">
        <v>1170</v>
      </c>
      <c r="C1177" s="117">
        <v>50209828</v>
      </c>
      <c r="D1177" s="165">
        <v>45909</v>
      </c>
      <c r="E1177" s="117" t="s">
        <v>2825</v>
      </c>
      <c r="F1177" s="36" t="str">
        <f>IFERROR(VLOOKUP(Table1[[#This Row],[Part Number]],DATABASE_FG!$C$6:D11166,2,FALSE)," ")</f>
        <v>096287861-0000</v>
      </c>
      <c r="G1177" s="117" t="str">
        <f>IFERROR(_xlfn.XLOOKUP(Table1[[#This Row],[Part Number]],Table3[Part number],Table3[Drawing
 Revision]),"")</f>
        <v>AB</v>
      </c>
      <c r="H1177" s="118" cm="1">
        <f t="array" ref="H1177">IFERROR(INDEX(PDB!$C:$AT,MATCH(E1177,PDB!$B:$B,0),MATCH(YEAR(K1177),0+PDB!$C$1:$AT$1,0)),"")</f>
        <v>4.42</v>
      </c>
      <c r="I1177" s="36">
        <v>331</v>
      </c>
      <c r="J1177" s="125">
        <f>IFERROR(Table1[[#This Row],[Quantity]]*Table1[[#This Row],[Price/Unit
EUR]]," ")</f>
        <v>1463.02</v>
      </c>
      <c r="K1177" s="126">
        <v>45930</v>
      </c>
      <c r="L1177" s="36">
        <f>WEEKNUM(Table1[[#This Row],[ETA
As requested
dd.mm.yyyy]])</f>
        <v>40</v>
      </c>
      <c r="M1177" s="36">
        <f>YEAR(Table1[[#This Row],[ETA
As requested
dd.mm.yyyy]])</f>
        <v>2025</v>
      </c>
      <c r="N1177" s="36">
        <f>IFERROR(INDEX(DATABASE_FG!$H$5:$H$367, MATCH(E1177, DATABASE_FG!$C$5:$C$367, 0)), " ")</f>
        <v>0</v>
      </c>
      <c r="O1177" s="129" t="str">
        <f>IF(E1177&lt;&gt;"", _xlfn.XLOOKUP(E1177, DATABASE_FG!C:C, DATABASE_FG!F:F), " ")</f>
        <v>Alama</v>
      </c>
      <c r="P1177" s="129">
        <f>IFERROR(INDEX(DATABASE_FG!$G$5:$G$367, MATCH(E1177, DATABASE_FG!$C$5:$C$367, 0)), "Not Found")</f>
        <v>0</v>
      </c>
      <c r="Q1177" s="36"/>
      <c r="R1177" s="125" t="s">
        <v>678</v>
      </c>
      <c r="S1177" s="123">
        <f>Table1[[#This Row],[Quantity]]/48</f>
        <v>6.895833333333333</v>
      </c>
      <c r="T1177" s="36"/>
      <c r="U1177" s="36"/>
      <c r="V1177" s="36"/>
      <c r="W1177" s="129"/>
      <c r="X1177" s="36"/>
      <c r="Y1177" s="36"/>
      <c r="Z1177" s="36"/>
      <c r="AA1177" s="125" t="s">
        <v>121</v>
      </c>
      <c r="AB1177" s="173">
        <v>45918</v>
      </c>
      <c r="AC1177" s="119" t="s">
        <v>3739</v>
      </c>
      <c r="AD1177" s="36">
        <f t="shared" si="131"/>
        <v>50209828</v>
      </c>
      <c r="AE1177" s="36" t="str">
        <f t="shared" si="132"/>
        <v>FAG KUH.6215-A-M-3001</v>
      </c>
      <c r="AF1177" s="36">
        <v>331</v>
      </c>
      <c r="AG1177" s="120">
        <f t="shared" si="128"/>
        <v>1463.02</v>
      </c>
      <c r="AH1177" s="36"/>
      <c r="AI1177" s="124"/>
      <c r="AJ1177" s="122" t="s">
        <v>3740</v>
      </c>
      <c r="AK1177" s="129" t="str">
        <f t="shared" ca="1" si="133"/>
        <v>On Time</v>
      </c>
      <c r="AL1177" s="268" t="str">
        <f t="shared" si="129"/>
        <v>September</v>
      </c>
      <c r="AM1177" s="133">
        <f>YEAR(Table1[[#This Row],[ETA
As requested
dd.mm.yyyy]])</f>
        <v>2025</v>
      </c>
      <c r="AN1177" s="191"/>
    </row>
    <row r="1178" spans="1:40" hidden="1">
      <c r="A1178" s="123" t="s">
        <v>83</v>
      </c>
      <c r="B1178" s="36" t="s">
        <v>1170</v>
      </c>
      <c r="C1178" s="117">
        <v>50209828</v>
      </c>
      <c r="D1178" s="165">
        <v>45909</v>
      </c>
      <c r="E1178" s="117" t="s">
        <v>2825</v>
      </c>
      <c r="F1178" s="36" t="str">
        <f>IFERROR(VLOOKUP(Table1[[#This Row],[Part Number]],DATABASE_FG!$C$6:D11167,2,FALSE)," ")</f>
        <v>096287861-0000</v>
      </c>
      <c r="G1178" s="117" t="str">
        <f>IFERROR(_xlfn.XLOOKUP(Table1[[#This Row],[Part Number]],Table3[Part number],Table3[Drawing
 Revision]),"")</f>
        <v>AB</v>
      </c>
      <c r="H1178" s="118" cm="1">
        <f t="array" ref="H1178">IFERROR(INDEX(PDB!$C:$AT,MATCH(E1178,PDB!$B:$B,0),MATCH(YEAR(K1178),0+PDB!$C$1:$AT$1,0)),"")</f>
        <v>4.42</v>
      </c>
      <c r="I1178" s="36">
        <v>286</v>
      </c>
      <c r="J1178" s="125">
        <f>IFERROR(Table1[[#This Row],[Quantity]]*Table1[[#This Row],[Price/Unit
EUR]]," ")</f>
        <v>1264.1199999999999</v>
      </c>
      <c r="K1178" s="126">
        <v>45930</v>
      </c>
      <c r="L1178" s="36">
        <f>WEEKNUM(Table1[[#This Row],[ETA
As requested
dd.mm.yyyy]])</f>
        <v>40</v>
      </c>
      <c r="M1178" s="36">
        <f>YEAR(Table1[[#This Row],[ETA
As requested
dd.mm.yyyy]])</f>
        <v>2025</v>
      </c>
      <c r="N1178" s="36">
        <f>IFERROR(INDEX(DATABASE_FG!$H$5:$H$367, MATCH(E1178, DATABASE_FG!$C$5:$C$367, 0)), " ")</f>
        <v>0</v>
      </c>
      <c r="O1178" s="129" t="str">
        <f>IF(E1178&lt;&gt;"", _xlfn.XLOOKUP(E1178, DATABASE_FG!C:C, DATABASE_FG!F:F), " ")</f>
        <v>Alama</v>
      </c>
      <c r="P1178" s="129">
        <f>IFERROR(INDEX(DATABASE_FG!$G$5:$G$367, MATCH(E1178, DATABASE_FG!$C$5:$C$367, 0)), "Not Found")</f>
        <v>0</v>
      </c>
      <c r="Q1178" s="36"/>
      <c r="R1178" s="125" t="s">
        <v>678</v>
      </c>
      <c r="S1178" s="123">
        <f>Table1[[#This Row],[Quantity]]/48</f>
        <v>5.958333333333333</v>
      </c>
      <c r="T1178" s="36"/>
      <c r="U1178" s="36"/>
      <c r="V1178" s="36"/>
      <c r="W1178" s="129"/>
      <c r="X1178" s="36"/>
      <c r="Y1178" s="36"/>
      <c r="Z1178" s="36"/>
      <c r="AA1178" s="125" t="s">
        <v>121</v>
      </c>
      <c r="AB1178" s="173">
        <v>45919</v>
      </c>
      <c r="AC1178" s="119" t="s">
        <v>3743</v>
      </c>
      <c r="AD1178" s="36">
        <f t="shared" si="131"/>
        <v>50209828</v>
      </c>
      <c r="AE1178" s="36" t="str">
        <f t="shared" si="132"/>
        <v>FAG KUH.6215-A-M-3001</v>
      </c>
      <c r="AF1178" s="36">
        <v>286</v>
      </c>
      <c r="AG1178" s="120">
        <f t="shared" si="128"/>
        <v>1264.1199999999999</v>
      </c>
      <c r="AH1178" s="36"/>
      <c r="AI1178" s="124"/>
      <c r="AJ1178" s="122" t="s">
        <v>3744</v>
      </c>
      <c r="AK1178" s="129" t="str">
        <f t="shared" ca="1" si="133"/>
        <v>On Time</v>
      </c>
      <c r="AL1178" s="268" t="str">
        <f t="shared" si="129"/>
        <v>September</v>
      </c>
      <c r="AM1178" s="133">
        <f>YEAR(Table1[[#This Row],[ETA
As requested
dd.mm.yyyy]])</f>
        <v>2025</v>
      </c>
      <c r="AN1178" s="191"/>
    </row>
    <row r="1179" spans="1:40" hidden="1">
      <c r="A1179" s="123" t="s">
        <v>83</v>
      </c>
      <c r="B1179" s="36" t="s">
        <v>1170</v>
      </c>
      <c r="C1179" s="117">
        <v>50209828</v>
      </c>
      <c r="D1179" s="165">
        <v>45909</v>
      </c>
      <c r="E1179" s="117" t="s">
        <v>2825</v>
      </c>
      <c r="F1179" s="36" t="str">
        <f>IFERROR(VLOOKUP(Table1[[#This Row],[Part Number]],DATABASE_FG!$C$6:D11168,2,FALSE)," ")</f>
        <v>096287861-0000</v>
      </c>
      <c r="G1179" s="117" t="str">
        <f>IFERROR(_xlfn.XLOOKUP(Table1[[#This Row],[Part Number]],Table3[Part number],Table3[Drawing
 Revision]),"")</f>
        <v>AB</v>
      </c>
      <c r="H1179" s="118" cm="1">
        <f t="array" ref="H1179">IFERROR(INDEX(PDB!$C:$AT,MATCH(E1179,PDB!$B:$B,0),MATCH(YEAR(K1179),0+PDB!$C$1:$AT$1,0)),"")</f>
        <v>4.42</v>
      </c>
      <c r="I1179" s="36">
        <v>198</v>
      </c>
      <c r="J1179" s="125">
        <f>IFERROR(Table1[[#This Row],[Quantity]]*Table1[[#This Row],[Price/Unit
EUR]]," ")</f>
        <v>875.16</v>
      </c>
      <c r="K1179" s="126">
        <v>45930</v>
      </c>
      <c r="L1179" s="36">
        <f>WEEKNUM(Table1[[#This Row],[ETA
As requested
dd.mm.yyyy]])</f>
        <v>40</v>
      </c>
      <c r="M1179" s="36">
        <f>YEAR(Table1[[#This Row],[ETA
As requested
dd.mm.yyyy]])</f>
        <v>2025</v>
      </c>
      <c r="N1179" s="36">
        <f>IFERROR(INDEX(DATABASE_FG!$H$5:$H$367, MATCH(E1179, DATABASE_FG!$C$5:$C$367, 0)), " ")</f>
        <v>0</v>
      </c>
      <c r="O1179" s="129" t="str">
        <f>IF(E1179&lt;&gt;"", _xlfn.XLOOKUP(E1179, DATABASE_FG!C:C, DATABASE_FG!F:F), " ")</f>
        <v>Alama</v>
      </c>
      <c r="P1179" s="129">
        <f>IFERROR(INDEX(DATABASE_FG!$G$5:$G$367, MATCH(E1179, DATABASE_FG!$C$5:$C$367, 0)), "Not Found")</f>
        <v>0</v>
      </c>
      <c r="Q1179" s="36"/>
      <c r="R1179" s="125" t="s">
        <v>678</v>
      </c>
      <c r="S1179" s="123">
        <f>Table1[[#This Row],[Quantity]]/48</f>
        <v>4.125</v>
      </c>
      <c r="T1179" s="36"/>
      <c r="U1179" s="36"/>
      <c r="V1179" s="36"/>
      <c r="W1179" s="129"/>
      <c r="X1179" s="36"/>
      <c r="Y1179" s="36"/>
      <c r="Z1179" s="36"/>
      <c r="AA1179" s="125" t="s">
        <v>121</v>
      </c>
      <c r="AB1179" s="173">
        <v>45923</v>
      </c>
      <c r="AC1179" s="119" t="s">
        <v>3747</v>
      </c>
      <c r="AD1179" s="36">
        <f t="shared" si="131"/>
        <v>50209828</v>
      </c>
      <c r="AE1179" s="36" t="str">
        <f t="shared" si="132"/>
        <v>FAG KUH.6215-A-M-3001</v>
      </c>
      <c r="AF1179" s="36">
        <v>198</v>
      </c>
      <c r="AG1179" s="120">
        <f t="shared" si="128"/>
        <v>875.16</v>
      </c>
      <c r="AH1179" s="36"/>
      <c r="AI1179" s="124"/>
      <c r="AJ1179" s="122" t="s">
        <v>3748</v>
      </c>
      <c r="AK1179" s="129" t="str">
        <f t="shared" ca="1" si="133"/>
        <v>On Time</v>
      </c>
      <c r="AL1179" s="268" t="str">
        <f t="shared" si="129"/>
        <v>September</v>
      </c>
      <c r="AM1179" s="133">
        <f>YEAR(Table1[[#This Row],[ETA
As requested
dd.mm.yyyy]])</f>
        <v>2025</v>
      </c>
      <c r="AN1179" s="191"/>
    </row>
    <row r="1180" spans="1:40" hidden="1">
      <c r="A1180" s="123" t="s">
        <v>83</v>
      </c>
      <c r="B1180" s="36" t="s">
        <v>1170</v>
      </c>
      <c r="C1180" s="117">
        <v>50209828</v>
      </c>
      <c r="D1180" s="165">
        <v>45909</v>
      </c>
      <c r="E1180" s="117" t="s">
        <v>2825</v>
      </c>
      <c r="F1180" s="36" t="str">
        <f>IFERROR(VLOOKUP(Table1[[#This Row],[Part Number]],DATABASE_FG!$C$6:D11169,2,FALSE)," ")</f>
        <v>096287861-0000</v>
      </c>
      <c r="G1180" s="117" t="str">
        <f>IFERROR(_xlfn.XLOOKUP(Table1[[#This Row],[Part Number]],Table3[Part number],Table3[Drawing
 Revision]),"")</f>
        <v>AB</v>
      </c>
      <c r="H1180" s="118" cm="1">
        <f t="array" ref="H1180">IFERROR(INDEX(PDB!$C:$AT,MATCH(E1180,PDB!$B:$B,0),MATCH(YEAR(K1180),0+PDB!$C$1:$AT$1,0)),"")</f>
        <v>4.42</v>
      </c>
      <c r="I1180" s="36">
        <v>198</v>
      </c>
      <c r="J1180" s="125">
        <f>IFERROR(Table1[[#This Row],[Quantity]]*Table1[[#This Row],[Price/Unit
EUR]]," ")</f>
        <v>875.16</v>
      </c>
      <c r="K1180" s="126">
        <v>45930</v>
      </c>
      <c r="L1180" s="36">
        <f>WEEKNUM(Table1[[#This Row],[ETA
As requested
dd.mm.yyyy]])</f>
        <v>40</v>
      </c>
      <c r="M1180" s="36">
        <f>YEAR(Table1[[#This Row],[ETA
As requested
dd.mm.yyyy]])</f>
        <v>2025</v>
      </c>
      <c r="N1180" s="36">
        <f>IFERROR(INDEX(DATABASE_FG!$H$5:$H$367, MATCH(E1180, DATABASE_FG!$C$5:$C$367, 0)), " ")</f>
        <v>0</v>
      </c>
      <c r="O1180" s="129" t="str">
        <f>IF(E1180&lt;&gt;"", _xlfn.XLOOKUP(E1180, DATABASE_FG!C:C, DATABASE_FG!F:F), " ")</f>
        <v>Alama</v>
      </c>
      <c r="P1180" s="129">
        <f>IFERROR(INDEX(DATABASE_FG!$G$5:$G$367, MATCH(E1180, DATABASE_FG!$C$5:$C$367, 0)), "Not Found")</f>
        <v>0</v>
      </c>
      <c r="Q1180" s="36"/>
      <c r="R1180" s="125" t="s">
        <v>678</v>
      </c>
      <c r="S1180" s="123">
        <f>Table1[[#This Row],[Quantity]]/48</f>
        <v>4.125</v>
      </c>
      <c r="T1180" s="36"/>
      <c r="U1180" s="36"/>
      <c r="V1180" s="36"/>
      <c r="W1180" s="129"/>
      <c r="X1180" s="36"/>
      <c r="Y1180" s="36"/>
      <c r="Z1180" s="36"/>
      <c r="AA1180" s="125" t="s">
        <v>121</v>
      </c>
      <c r="AB1180" s="173">
        <v>45923</v>
      </c>
      <c r="AC1180" s="119" t="s">
        <v>3749</v>
      </c>
      <c r="AD1180" s="36">
        <f t="shared" si="131"/>
        <v>50209828</v>
      </c>
      <c r="AE1180" s="36" t="str">
        <f t="shared" si="132"/>
        <v>FAG KUH.6215-A-M-3001</v>
      </c>
      <c r="AF1180" s="36">
        <v>198</v>
      </c>
      <c r="AG1180" s="120">
        <f t="shared" si="128"/>
        <v>875.16</v>
      </c>
      <c r="AH1180" s="36"/>
      <c r="AI1180" s="124"/>
      <c r="AJ1180" s="122" t="s">
        <v>3750</v>
      </c>
      <c r="AK1180" s="129" t="str">
        <f t="shared" ca="1" si="133"/>
        <v>On Time</v>
      </c>
      <c r="AL1180" s="268" t="str">
        <f t="shared" si="129"/>
        <v>September</v>
      </c>
      <c r="AM1180" s="133">
        <f>YEAR(Table1[[#This Row],[ETA
As requested
dd.mm.yyyy]])</f>
        <v>2025</v>
      </c>
      <c r="AN1180" s="191"/>
    </row>
    <row r="1181" spans="1:40" hidden="1">
      <c r="A1181" s="123" t="s">
        <v>83</v>
      </c>
      <c r="B1181" s="36" t="s">
        <v>1170</v>
      </c>
      <c r="C1181" s="117">
        <v>50209828</v>
      </c>
      <c r="D1181" s="165">
        <v>45908</v>
      </c>
      <c r="E1181" s="117" t="s">
        <v>2825</v>
      </c>
      <c r="F1181" s="36" t="str">
        <f>IFERROR(VLOOKUP(Table1[[#This Row],[Part Number]],DATABASE_FG!$C$6:D11170,2,FALSE)," ")</f>
        <v>096287861-0000</v>
      </c>
      <c r="G1181" s="117" t="str">
        <f>IFERROR(_xlfn.XLOOKUP(Table1[[#This Row],[Part Number]],Table3[Part number],Table3[Drawing
 Revision]),"")</f>
        <v>AB</v>
      </c>
      <c r="H1181" s="118" cm="1">
        <f t="array" ref="H1181">IFERROR(INDEX(PDB!$C:$AT,MATCH(E1181,PDB!$B:$B,0),MATCH(YEAR(K1181),0+PDB!$C$1:$AT$1,0)),"")</f>
        <v>4.42</v>
      </c>
      <c r="I1181" s="36">
        <f>1192-286-331-198-198</f>
        <v>179</v>
      </c>
      <c r="J1181" s="125">
        <f>IFERROR(Table1[[#This Row],[Quantity]]*Table1[[#This Row],[Price/Unit
EUR]]," ")</f>
        <v>791.18</v>
      </c>
      <c r="K1181" s="126">
        <v>45930</v>
      </c>
      <c r="L1181" s="36">
        <f>WEEKNUM(Table1[[#This Row],[ETA
As requested
dd.mm.yyyy]])</f>
        <v>40</v>
      </c>
      <c r="M1181" s="36">
        <f>YEAR(Table1[[#This Row],[ETA
As requested
dd.mm.yyyy]])</f>
        <v>2025</v>
      </c>
      <c r="N1181" s="36">
        <f>IFERROR(INDEX(DATABASE_FG!$H$5:$H$367, MATCH(E1181, DATABASE_FG!$C$5:$C$367, 0)), " ")</f>
        <v>0</v>
      </c>
      <c r="O1181" s="129" t="str">
        <f>IF(E1181&lt;&gt;"", _xlfn.XLOOKUP(E1181, DATABASE_FG!C:C, DATABASE_FG!F:F), " ")</f>
        <v>Alama</v>
      </c>
      <c r="P1181" s="129">
        <f>IFERROR(INDEX(DATABASE_FG!$G$5:$G$367, MATCH(E1181, DATABASE_FG!$C$5:$C$367, 0)), "Not Found")</f>
        <v>0</v>
      </c>
      <c r="Q1181" s="36"/>
      <c r="R1181" s="125" t="s">
        <v>678</v>
      </c>
      <c r="S1181" s="123">
        <f>IFERROR(INDEX(DATABASE_FG!$L$5:$L$367, MATCH(E1181, DATABASE_FG!$C$5:$C$367, 0)), " ")</f>
        <v>42</v>
      </c>
      <c r="T1181" s="36" t="s">
        <v>679</v>
      </c>
      <c r="U1181" s="36"/>
      <c r="V1181" s="36"/>
      <c r="W1181" s="129"/>
      <c r="X1181" s="36"/>
      <c r="Y1181" s="36" t="s">
        <v>121</v>
      </c>
      <c r="Z1181" s="36"/>
      <c r="AA1181" s="125" t="s">
        <v>121</v>
      </c>
      <c r="AB1181" s="173">
        <v>45923</v>
      </c>
      <c r="AC1181" s="119" t="s">
        <v>3751</v>
      </c>
      <c r="AD1181" s="36">
        <f t="shared" si="131"/>
        <v>50209828</v>
      </c>
      <c r="AE1181" s="36" t="str">
        <f t="shared" si="132"/>
        <v>FAG KUH.6215-A-M-3001</v>
      </c>
      <c r="AF1181" s="36">
        <v>179</v>
      </c>
      <c r="AG1181" s="120">
        <f t="shared" si="128"/>
        <v>791.18</v>
      </c>
      <c r="AH1181" s="36"/>
      <c r="AI1181" s="124"/>
      <c r="AJ1181" s="122" t="s">
        <v>3752</v>
      </c>
      <c r="AK1181" s="129" t="str">
        <f t="shared" ca="1" si="133"/>
        <v>On Time</v>
      </c>
      <c r="AL1181" s="268" t="str">
        <f t="shared" si="129"/>
        <v>September</v>
      </c>
      <c r="AM1181" s="133">
        <f>YEAR(Table1[[#This Row],[ETA
As requested
dd.mm.yyyy]])</f>
        <v>2025</v>
      </c>
      <c r="AN1181" s="191"/>
    </row>
    <row r="1182" spans="1:40" hidden="1">
      <c r="A1182" s="123" t="s">
        <v>83</v>
      </c>
      <c r="B1182" s="36" t="s">
        <v>1170</v>
      </c>
      <c r="C1182" s="117">
        <v>50167129</v>
      </c>
      <c r="D1182" s="165">
        <v>45909</v>
      </c>
      <c r="E1182" s="117" t="s">
        <v>2825</v>
      </c>
      <c r="F1182" s="36" t="str">
        <f>IFERROR(VLOOKUP(Table1[[#This Row],[Part Number]],DATABASE_FG!$C$6:D11171,2,FALSE)," ")</f>
        <v>096287861-0000</v>
      </c>
      <c r="G1182" s="117" t="str">
        <f>IFERROR(_xlfn.XLOOKUP(Table1[[#This Row],[Part Number]],Table3[Part number],Table3[Drawing
 Revision]),"")</f>
        <v>AB</v>
      </c>
      <c r="H1182" s="118" cm="1">
        <f t="array" ref="H1182">IFERROR(INDEX(PDB!$C:$AT,MATCH(E1182,PDB!$B:$B,0),MATCH(YEAR(K1182),0+PDB!$C$1:$AT$1,0)),"")</f>
        <v>4.42</v>
      </c>
      <c r="I1182" s="36">
        <v>308</v>
      </c>
      <c r="J1182" s="125">
        <v>11456.64</v>
      </c>
      <c r="K1182" s="126">
        <v>45930</v>
      </c>
      <c r="L1182" s="36">
        <v>40</v>
      </c>
      <c r="M1182" s="36">
        <v>2025</v>
      </c>
      <c r="N1182" s="36">
        <v>0</v>
      </c>
      <c r="O1182" s="129" t="s">
        <v>84</v>
      </c>
      <c r="P1182" s="129">
        <v>0</v>
      </c>
      <c r="Q1182" s="36"/>
      <c r="R1182" s="125" t="s">
        <v>678</v>
      </c>
      <c r="S1182" s="123" t="s">
        <v>3</v>
      </c>
      <c r="T1182" s="36"/>
      <c r="U1182" s="36"/>
      <c r="V1182" s="36" t="s">
        <v>2720</v>
      </c>
      <c r="W1182" s="129" t="s">
        <v>2720</v>
      </c>
      <c r="X1182" s="36"/>
      <c r="Y1182" s="36">
        <v>0</v>
      </c>
      <c r="Z1182" s="36"/>
      <c r="AA1182" s="125" t="s">
        <v>121</v>
      </c>
      <c r="AB1182" s="172">
        <v>45924</v>
      </c>
      <c r="AC1182" s="119">
        <v>2025195</v>
      </c>
      <c r="AD1182" s="36">
        <f t="shared" si="131"/>
        <v>50167129</v>
      </c>
      <c r="AE1182" s="36" t="str">
        <f t="shared" si="132"/>
        <v>FAG KUH.6215-A-M-3001</v>
      </c>
      <c r="AF1182" s="36">
        <v>308</v>
      </c>
      <c r="AG1182" s="120">
        <f t="shared" si="128"/>
        <v>1361.36</v>
      </c>
      <c r="AH1182" s="36"/>
      <c r="AI1182" s="124"/>
      <c r="AJ1182" s="122" t="s">
        <v>3753</v>
      </c>
      <c r="AK1182" s="129" t="str">
        <f t="shared" ca="1" si="133"/>
        <v>On Time</v>
      </c>
      <c r="AL1182" s="268" t="str">
        <f t="shared" si="129"/>
        <v>September</v>
      </c>
      <c r="AM1182" s="133">
        <f>YEAR(Table1[[#This Row],[ETA
As requested
dd.mm.yyyy]])</f>
        <v>2025</v>
      </c>
      <c r="AN1182" s="191"/>
    </row>
    <row r="1183" spans="1:40" hidden="1">
      <c r="A1183" s="123" t="s">
        <v>83</v>
      </c>
      <c r="B1183" s="36" t="s">
        <v>1170</v>
      </c>
      <c r="C1183" s="117">
        <v>50167129</v>
      </c>
      <c r="D1183" s="165">
        <v>45909</v>
      </c>
      <c r="E1183" s="117" t="s">
        <v>2825</v>
      </c>
      <c r="F1183" s="36" t="str">
        <f>IFERROR(VLOOKUP(Table1[[#This Row],[Part Number]],DATABASE_FG!$C$6:D11172,2,FALSE)," ")</f>
        <v>096287861-0000</v>
      </c>
      <c r="G1183" s="117" t="str">
        <f>IFERROR(_xlfn.XLOOKUP(Table1[[#This Row],[Part Number]],Table3[Part number],Table3[Drawing
 Revision]),"")</f>
        <v>AB</v>
      </c>
      <c r="H1183" s="118" cm="1">
        <f t="array" ref="H1183">IFERROR(INDEX(PDB!$C:$AT,MATCH(E1183,PDB!$B:$B,0),MATCH(YEAR(K1183),0+PDB!$C$1:$AT$1,0)),"")</f>
        <v>4.42</v>
      </c>
      <c r="I1183" s="36">
        <v>352</v>
      </c>
      <c r="J1183" s="125">
        <v>10095.280000000001</v>
      </c>
      <c r="K1183" s="126">
        <v>45930</v>
      </c>
      <c r="L1183" s="36">
        <v>40</v>
      </c>
      <c r="M1183" s="36">
        <v>2025</v>
      </c>
      <c r="N1183" s="36">
        <v>0</v>
      </c>
      <c r="O1183" s="129" t="s">
        <v>84</v>
      </c>
      <c r="P1183" s="129">
        <v>0</v>
      </c>
      <c r="Q1183" s="36"/>
      <c r="R1183" s="125" t="s">
        <v>678</v>
      </c>
      <c r="S1183" s="123" t="s">
        <v>3</v>
      </c>
      <c r="T1183" s="36"/>
      <c r="U1183" s="36"/>
      <c r="V1183" s="36" t="s">
        <v>2720</v>
      </c>
      <c r="W1183" s="129" t="s">
        <v>2720</v>
      </c>
      <c r="X1183" s="36"/>
      <c r="Y1183" s="36">
        <v>0</v>
      </c>
      <c r="Z1183" s="36"/>
      <c r="AA1183" s="125" t="s">
        <v>121</v>
      </c>
      <c r="AB1183" s="173">
        <v>45925</v>
      </c>
      <c r="AC1183" s="119">
        <v>2025198</v>
      </c>
      <c r="AD1183" s="36">
        <f t="shared" si="131"/>
        <v>50167129</v>
      </c>
      <c r="AE1183" s="36" t="str">
        <f t="shared" si="132"/>
        <v>FAG KUH.6215-A-M-3001</v>
      </c>
      <c r="AF1183" s="36">
        <v>352</v>
      </c>
      <c r="AG1183" s="120">
        <f t="shared" si="128"/>
        <v>1555.84</v>
      </c>
      <c r="AH1183" s="36"/>
      <c r="AI1183" s="124"/>
      <c r="AJ1183" s="122" t="s">
        <v>3754</v>
      </c>
      <c r="AK1183" s="129" t="str">
        <f t="shared" ca="1" si="133"/>
        <v>On Time</v>
      </c>
      <c r="AL1183" s="268" t="str">
        <f t="shared" si="129"/>
        <v>September</v>
      </c>
      <c r="AM1183" s="133">
        <f>YEAR(Table1[[#This Row],[ETA
As requested
dd.mm.yyyy]])</f>
        <v>2025</v>
      </c>
      <c r="AN1183" s="191"/>
    </row>
    <row r="1184" spans="1:40" hidden="1">
      <c r="A1184" s="123" t="s">
        <v>83</v>
      </c>
      <c r="B1184" s="36" t="s">
        <v>1170</v>
      </c>
      <c r="C1184" s="117">
        <v>50167129</v>
      </c>
      <c r="D1184" s="165">
        <v>45909</v>
      </c>
      <c r="E1184" s="117" t="s">
        <v>2825</v>
      </c>
      <c r="F1184" s="36" t="str">
        <f>IFERROR(VLOOKUP(Table1[[#This Row],[Part Number]],DATABASE_FG!$C$6:D11173,2,FALSE)," ")</f>
        <v>096287861-0000</v>
      </c>
      <c r="G1184" s="117" t="str">
        <f>IFERROR(_xlfn.XLOOKUP(Table1[[#This Row],[Part Number]],Table3[Part number],Table3[Drawing
 Revision]),"")</f>
        <v>AB</v>
      </c>
      <c r="H1184" s="118" cm="1">
        <f t="array" ref="H1184">IFERROR(INDEX(PDB!$C:$AT,MATCH(E1184,PDB!$B:$B,0),MATCH(YEAR(K1184),0+PDB!$C$1:$AT$1,0)),"")</f>
        <v>4.42</v>
      </c>
      <c r="I1184" s="36">
        <v>308</v>
      </c>
      <c r="J1184" s="125">
        <f>IFERROR(Table1[[#This Row],[Quantity]]*Table1[[#This Row],[Price/Unit
EUR]]," ")</f>
        <v>1361.36</v>
      </c>
      <c r="K1184" s="126">
        <v>45930</v>
      </c>
      <c r="L1184" s="36">
        <f>WEEKNUM(Table1[[#This Row],[ETA
As requested
dd.mm.yyyy]])</f>
        <v>40</v>
      </c>
      <c r="M1184" s="36">
        <f>YEAR(Table1[[#This Row],[ETA
As requested
dd.mm.yyyy]])</f>
        <v>2025</v>
      </c>
      <c r="N1184" s="36">
        <f>IFERROR(INDEX(DATABASE_FG!$H$5:$H$367, MATCH(E1184, DATABASE_FG!$C$5:$C$367, 0)), " ")</f>
        <v>0</v>
      </c>
      <c r="O1184" s="129" t="str">
        <f>IF(E1184&lt;&gt;"", _xlfn.XLOOKUP(E1184, DATABASE_FG!C:C, DATABASE_FG!F:F), " ")</f>
        <v>Alama</v>
      </c>
      <c r="P1184" s="129">
        <f>IFERROR(INDEX(DATABASE_FG!$G$5:$G$367, MATCH(E1184, DATABASE_FG!$C$5:$C$367, 0)), "Not Found")</f>
        <v>0</v>
      </c>
      <c r="Q1184" s="36"/>
      <c r="R1184" s="125" t="s">
        <v>678</v>
      </c>
      <c r="S1184" s="123">
        <f>Table1[[#This Row],[Quantity]]/48</f>
        <v>6.416666666666667</v>
      </c>
      <c r="T1184" s="36"/>
      <c r="U1184" s="36"/>
      <c r="V1184" s="36"/>
      <c r="W1184" s="129"/>
      <c r="X1184" s="36"/>
      <c r="Y1184" s="36"/>
      <c r="Z1184" s="36"/>
      <c r="AA1184" s="125" t="s">
        <v>121</v>
      </c>
      <c r="AB1184" s="172">
        <v>45926</v>
      </c>
      <c r="AC1184" s="119" t="s">
        <v>3755</v>
      </c>
      <c r="AD1184" s="36">
        <f t="shared" si="131"/>
        <v>50167129</v>
      </c>
      <c r="AE1184" s="36" t="str">
        <f t="shared" si="132"/>
        <v>FAG KUH.6215-A-M-3001</v>
      </c>
      <c r="AF1184" s="36">
        <v>308</v>
      </c>
      <c r="AG1184" s="120">
        <f t="shared" si="128"/>
        <v>1361.36</v>
      </c>
      <c r="AH1184" s="36"/>
      <c r="AI1184" s="124"/>
      <c r="AJ1184" s="122" t="s">
        <v>3756</v>
      </c>
      <c r="AK1184" s="129" t="str">
        <f t="shared" ca="1" si="133"/>
        <v>On Time</v>
      </c>
      <c r="AL1184" s="268" t="str">
        <f t="shared" si="129"/>
        <v>September</v>
      </c>
      <c r="AM1184" s="133">
        <f>YEAR(Table1[[#This Row],[ETA
As requested
dd.mm.yyyy]])</f>
        <v>2025</v>
      </c>
      <c r="AN1184" s="191"/>
    </row>
    <row r="1185" spans="1:40" hidden="1">
      <c r="A1185" s="319" t="s">
        <v>83</v>
      </c>
      <c r="B1185" s="320" t="s">
        <v>1170</v>
      </c>
      <c r="C1185" s="321">
        <v>50167129</v>
      </c>
      <c r="D1185" s="322">
        <v>45909</v>
      </c>
      <c r="E1185" s="321" t="s">
        <v>2825</v>
      </c>
      <c r="F1185" s="36" t="str">
        <f>IFERROR(VLOOKUP(Table1[[#This Row],[Part Number]],DATABASE_FG!$C$6:D11174,2,FALSE)," ")</f>
        <v>096287861-0000</v>
      </c>
      <c r="G1185" s="117" t="str">
        <f>IFERROR(_xlfn.XLOOKUP(Table1[[#This Row],[Part Number]],Table3[Part number],Table3[Drawing
 Revision]),"")</f>
        <v>AB</v>
      </c>
      <c r="H1185" s="118" cm="1">
        <f t="array" ref="H1185">IFERROR(INDEX(PDB!$C:$AT,MATCH(E1185,PDB!$B:$B,0),MATCH(YEAR(K1185),0+PDB!$C$1:$AT$1,0)),"")</f>
        <v>4.42</v>
      </c>
      <c r="I1185" s="320">
        <v>317</v>
      </c>
      <c r="J1185" s="323">
        <v>6793.54</v>
      </c>
      <c r="K1185" s="324">
        <v>45930</v>
      </c>
      <c r="L1185" s="320">
        <v>40</v>
      </c>
      <c r="M1185" s="320">
        <v>2025</v>
      </c>
      <c r="N1185" s="320">
        <v>0</v>
      </c>
      <c r="O1185" s="325" t="s">
        <v>84</v>
      </c>
      <c r="P1185" s="325">
        <v>0</v>
      </c>
      <c r="Q1185" s="320"/>
      <c r="R1185" s="323" t="s">
        <v>678</v>
      </c>
      <c r="S1185" s="123" t="s">
        <v>3</v>
      </c>
      <c r="T1185" s="36"/>
      <c r="U1185" s="36"/>
      <c r="V1185" s="36" t="s">
        <v>2720</v>
      </c>
      <c r="W1185" s="129" t="s">
        <v>2720</v>
      </c>
      <c r="X1185" s="36"/>
      <c r="Y1185" s="36">
        <v>0</v>
      </c>
      <c r="Z1185" s="36"/>
      <c r="AA1185" s="323" t="s">
        <v>121</v>
      </c>
      <c r="AB1185" s="360">
        <v>45929</v>
      </c>
      <c r="AC1185" s="326" t="s">
        <v>3757</v>
      </c>
      <c r="AD1185" s="320">
        <f t="shared" si="131"/>
        <v>50167129</v>
      </c>
      <c r="AE1185" s="320" t="str">
        <f t="shared" si="132"/>
        <v>FAG KUH.6215-A-M-3001</v>
      </c>
      <c r="AF1185" s="320">
        <v>317</v>
      </c>
      <c r="AG1185" s="327">
        <f t="shared" si="128"/>
        <v>1401.1399999999999</v>
      </c>
      <c r="AH1185" s="320"/>
      <c r="AI1185" s="328"/>
      <c r="AJ1185" s="329" t="s">
        <v>3758</v>
      </c>
      <c r="AK1185" s="325"/>
      <c r="AL1185" s="330" t="str">
        <f t="shared" si="129"/>
        <v>September</v>
      </c>
      <c r="AM1185" s="331">
        <f>YEAR(Table1[[#This Row],[ETA
As requested
dd.mm.yyyy]])</f>
        <v>2025</v>
      </c>
      <c r="AN1185" s="332"/>
    </row>
    <row r="1186" spans="1:40" hidden="1">
      <c r="A1186" s="319" t="s">
        <v>83</v>
      </c>
      <c r="B1186" s="320" t="s">
        <v>1170</v>
      </c>
      <c r="C1186" s="321">
        <v>50167129</v>
      </c>
      <c r="D1186" s="322">
        <v>45909</v>
      </c>
      <c r="E1186" s="321" t="s">
        <v>2825</v>
      </c>
      <c r="F1186" s="36" t="str">
        <f>IFERROR(VLOOKUP(Table1[[#This Row],[Part Number]],DATABASE_FG!$C$6:D11175,2,FALSE)," ")</f>
        <v>096287861-0000</v>
      </c>
      <c r="G1186" s="117" t="str">
        <f>IFERROR(_xlfn.XLOOKUP(Table1[[#This Row],[Part Number]],Table3[Part number],Table3[Drawing
 Revision]),"")</f>
        <v>AB</v>
      </c>
      <c r="H1186" s="118" cm="1">
        <f t="array" ref="H1186">IFERROR(INDEX(PDB!$C:$AT,MATCH(E1186,PDB!$B:$B,0),MATCH(YEAR(K1186),0+PDB!$C$1:$AT$1,0)),"")</f>
        <v>4.42</v>
      </c>
      <c r="I1186" s="320">
        <v>319</v>
      </c>
      <c r="J1186" s="323">
        <f>IFERROR(Table1[[#This Row],[Quantity]]*Table1[[#This Row],[Price/Unit
EUR]]," ")</f>
        <v>1409.98</v>
      </c>
      <c r="K1186" s="324">
        <v>45930</v>
      </c>
      <c r="L1186" s="320">
        <f>WEEKNUM(Table1[[#This Row],[ETA
As requested
dd.mm.yyyy]])</f>
        <v>40</v>
      </c>
      <c r="M1186" s="320">
        <f>YEAR(Table1[[#This Row],[ETA
As requested
dd.mm.yyyy]])</f>
        <v>2025</v>
      </c>
      <c r="N1186" s="36">
        <f>IFERROR(INDEX(DATABASE_FG!$H$5:$H$367, MATCH(E1186, DATABASE_FG!$C$5:$C$367, 0)), " ")</f>
        <v>0</v>
      </c>
      <c r="O1186" s="325" t="str">
        <f>IF(E1186&lt;&gt;"", _xlfn.XLOOKUP(E1186, DATABASE_FG!C:C, DATABASE_FG!F:F), " ")</f>
        <v>Alama</v>
      </c>
      <c r="P1186" s="129">
        <f>IFERROR(INDEX(DATABASE_FG!$G$5:$G$367, MATCH(E1186, DATABASE_FG!$C$5:$C$367, 0)), "Not Found")</f>
        <v>0</v>
      </c>
      <c r="Q1186" s="320"/>
      <c r="R1186" s="323" t="s">
        <v>678</v>
      </c>
      <c r="S1186" s="123">
        <f>Table1[[#This Row],[Quantity]]/48</f>
        <v>6.645833333333333</v>
      </c>
      <c r="T1186" s="36"/>
      <c r="U1186" s="36"/>
      <c r="V1186" s="36"/>
      <c r="W1186" s="129"/>
      <c r="X1186" s="36"/>
      <c r="Y1186" s="36"/>
      <c r="Z1186" s="36"/>
      <c r="AA1186" s="323" t="s">
        <v>121</v>
      </c>
      <c r="AB1186" s="360">
        <v>45930</v>
      </c>
      <c r="AC1186" s="326" t="s">
        <v>3759</v>
      </c>
      <c r="AD1186" s="320">
        <f t="shared" si="131"/>
        <v>50167129</v>
      </c>
      <c r="AE1186" s="320" t="str">
        <f t="shared" si="132"/>
        <v>FAG KUH.6215-A-M-3001</v>
      </c>
      <c r="AF1186" s="320">
        <v>319</v>
      </c>
      <c r="AG1186" s="327">
        <f t="shared" si="128"/>
        <v>1409.98</v>
      </c>
      <c r="AH1186" s="320"/>
      <c r="AI1186" s="328"/>
      <c r="AJ1186" s="329" t="s">
        <v>3760</v>
      </c>
      <c r="AK1186" s="325" t="str">
        <f t="shared" ref="AK1186:AK1249" ca="1" si="134">IF(AB1186="", IF(K1186 &lt; TODAY(), "Late", ""), IF(AB1186 &lt;= K1186 + 2, "On Time", "Late"))</f>
        <v>On Time</v>
      </c>
      <c r="AL1186" s="268" t="str">
        <f t="shared" si="129"/>
        <v>September</v>
      </c>
      <c r="AM1186" s="133">
        <f>YEAR(Table1[[#This Row],[ETA
As requested
dd.mm.yyyy]])</f>
        <v>2025</v>
      </c>
      <c r="AN1186" s="332"/>
    </row>
    <row r="1187" spans="1:40" hidden="1">
      <c r="A1187" s="319" t="s">
        <v>83</v>
      </c>
      <c r="B1187" s="320" t="s">
        <v>1170</v>
      </c>
      <c r="C1187" s="321">
        <v>50167129</v>
      </c>
      <c r="D1187" s="322">
        <v>45909</v>
      </c>
      <c r="E1187" s="321" t="s">
        <v>2825</v>
      </c>
      <c r="F1187" s="36" t="str">
        <f>IFERROR(VLOOKUP(Table1[[#This Row],[Part Number]],DATABASE_FG!$C$6:D11176,2,FALSE)," ")</f>
        <v>096287861-0000</v>
      </c>
      <c r="G1187" s="117" t="str">
        <f>IFERROR(_xlfn.XLOOKUP(Table1[[#This Row],[Part Number]],Table3[Part number],Table3[Drawing
 Revision]),"")</f>
        <v>AB</v>
      </c>
      <c r="H1187" s="118" cm="1">
        <f t="array" ref="H1187">IFERROR(INDEX(PDB!$C:$AT,MATCH(E1187,PDB!$B:$B,0),MATCH(YEAR(K1187),0+PDB!$C$1:$AT$1,0)),"")</f>
        <v>4.42</v>
      </c>
      <c r="I1187" s="320">
        <v>308</v>
      </c>
      <c r="J1187" s="323">
        <f>IFERROR(Table1[[#This Row],[Quantity]]*Table1[[#This Row],[Price/Unit
EUR]]," ")</f>
        <v>1361.36</v>
      </c>
      <c r="K1187" s="324">
        <v>45930</v>
      </c>
      <c r="L1187" s="320">
        <f>WEEKNUM(Table1[[#This Row],[ETA
As requested
dd.mm.yyyy]])</f>
        <v>40</v>
      </c>
      <c r="M1187" s="320">
        <f>YEAR(Table1[[#This Row],[ETA
As requested
dd.mm.yyyy]])</f>
        <v>2025</v>
      </c>
      <c r="N1187" s="36">
        <f>IFERROR(INDEX(DATABASE_FG!$H$5:$H$367, MATCH(E1187, DATABASE_FG!$C$5:$C$367, 0)), " ")</f>
        <v>0</v>
      </c>
      <c r="O1187" s="325" t="str">
        <f>IF(E1187&lt;&gt;"", _xlfn.XLOOKUP(E1187, DATABASE_FG!C:C, DATABASE_FG!F:F), " ")</f>
        <v>Alama</v>
      </c>
      <c r="P1187" s="129">
        <f>IFERROR(INDEX(DATABASE_FG!$G$5:$G$367, MATCH(E1187, DATABASE_FG!$C$5:$C$367, 0)), "Not Found")</f>
        <v>0</v>
      </c>
      <c r="Q1187" s="320"/>
      <c r="R1187" s="323" t="s">
        <v>678</v>
      </c>
      <c r="S1187" s="123">
        <f>Table1[[#This Row],[Quantity]]/48</f>
        <v>6.416666666666667</v>
      </c>
      <c r="T1187" s="36"/>
      <c r="U1187" s="36"/>
      <c r="V1187" s="36"/>
      <c r="W1187" s="129"/>
      <c r="X1187" s="36"/>
      <c r="Y1187" s="36"/>
      <c r="Z1187" s="36"/>
      <c r="AA1187" s="323" t="s">
        <v>121</v>
      </c>
      <c r="AB1187" s="340">
        <v>45930</v>
      </c>
      <c r="AC1187" s="326" t="s">
        <v>3761</v>
      </c>
      <c r="AD1187" s="320">
        <f t="shared" si="131"/>
        <v>50167129</v>
      </c>
      <c r="AE1187" s="320" t="str">
        <f t="shared" si="132"/>
        <v>FAG KUH.6215-A-M-3001</v>
      </c>
      <c r="AF1187" s="320">
        <v>308</v>
      </c>
      <c r="AG1187" s="327">
        <f t="shared" si="128"/>
        <v>1361.36</v>
      </c>
      <c r="AH1187" s="320"/>
      <c r="AI1187" s="328"/>
      <c r="AJ1187" s="329" t="s">
        <v>3762</v>
      </c>
      <c r="AK1187" s="325" t="str">
        <f t="shared" ca="1" si="134"/>
        <v>On Time</v>
      </c>
      <c r="AL1187" s="330" t="str">
        <f t="shared" ref="AL1187:AL1218" si="135">TEXT(K1187,"mmmm")</f>
        <v>September</v>
      </c>
      <c r="AM1187" s="331">
        <f>YEAR(Table1[[#This Row],[ETA
As requested
dd.mm.yyyy]])</f>
        <v>2025</v>
      </c>
      <c r="AN1187" s="332"/>
    </row>
    <row r="1188" spans="1:40" hidden="1">
      <c r="A1188" s="319" t="s">
        <v>83</v>
      </c>
      <c r="B1188" s="320" t="s">
        <v>1170</v>
      </c>
      <c r="C1188" s="321">
        <v>50167129</v>
      </c>
      <c r="D1188" s="322">
        <v>45909</v>
      </c>
      <c r="E1188" s="321" t="s">
        <v>2825</v>
      </c>
      <c r="F1188" s="36" t="str">
        <f>IFERROR(VLOOKUP(Table1[[#This Row],[Part Number]],DATABASE_FG!$C$6:D11177,2,FALSE)," ")</f>
        <v>096287861-0000</v>
      </c>
      <c r="G1188" s="117" t="str">
        <f>IFERROR(_xlfn.XLOOKUP(Table1[[#This Row],[Part Number]],Table3[Part number],Table3[Drawing
 Revision]),"")</f>
        <v>AB</v>
      </c>
      <c r="H1188" s="118" cm="1">
        <f t="array" ref="H1188">IFERROR(INDEX(PDB!$C:$AT,MATCH(E1188,PDB!$B:$B,0),MATCH(YEAR(K1188),0+PDB!$C$1:$AT$1,0)),"")</f>
        <v>4.42</v>
      </c>
      <c r="I1188" s="320">
        <v>363</v>
      </c>
      <c r="J1188" s="323">
        <f>IFERROR(Table1[[#This Row],[Quantity]]*Table1[[#This Row],[Price/Unit
EUR]]," ")</f>
        <v>1604.46</v>
      </c>
      <c r="K1188" s="324">
        <v>45930</v>
      </c>
      <c r="L1188" s="320">
        <f>WEEKNUM(Table1[[#This Row],[ETA
As requested
dd.mm.yyyy]])</f>
        <v>40</v>
      </c>
      <c r="M1188" s="320">
        <f>YEAR(Table1[[#This Row],[ETA
As requested
dd.mm.yyyy]])</f>
        <v>2025</v>
      </c>
      <c r="N1188" s="36">
        <f>IFERROR(INDEX(DATABASE_FG!$H$5:$H$367, MATCH(E1188, DATABASE_FG!$C$5:$C$367, 0)), " ")</f>
        <v>0</v>
      </c>
      <c r="O1188" s="325" t="str">
        <f>IF(E1188&lt;&gt;"", _xlfn.XLOOKUP(E1188, DATABASE_FG!C:C, DATABASE_FG!F:F), " ")</f>
        <v>Alama</v>
      </c>
      <c r="P1188" s="129">
        <f>IFERROR(INDEX(DATABASE_FG!$G$5:$G$367, MATCH(E1188, DATABASE_FG!$C$5:$C$367, 0)), "Not Found")</f>
        <v>0</v>
      </c>
      <c r="Q1188" s="320"/>
      <c r="R1188" s="323" t="s">
        <v>678</v>
      </c>
      <c r="S1188" s="123">
        <f>Table1[[#This Row],[Quantity]]/48</f>
        <v>7.5625</v>
      </c>
      <c r="T1188" s="36"/>
      <c r="U1188" s="36"/>
      <c r="V1188" s="36"/>
      <c r="W1188" s="129"/>
      <c r="X1188" s="36"/>
      <c r="Y1188" s="36"/>
      <c r="Z1188" s="36"/>
      <c r="AA1188" s="323" t="s">
        <v>121</v>
      </c>
      <c r="AB1188" s="340">
        <v>45930</v>
      </c>
      <c r="AC1188" s="326" t="s">
        <v>3763</v>
      </c>
      <c r="AD1188" s="320">
        <f t="shared" si="131"/>
        <v>50167129</v>
      </c>
      <c r="AE1188" s="320" t="str">
        <f t="shared" si="132"/>
        <v>FAG KUH.6215-A-M-3001</v>
      </c>
      <c r="AF1188" s="320">
        <v>363</v>
      </c>
      <c r="AG1188" s="327">
        <f t="shared" si="128"/>
        <v>1604.46</v>
      </c>
      <c r="AH1188" s="320"/>
      <c r="AI1188" s="328"/>
      <c r="AJ1188" s="329" t="s">
        <v>3764</v>
      </c>
      <c r="AK1188" s="325" t="str">
        <f t="shared" ca="1" si="134"/>
        <v>On Time</v>
      </c>
      <c r="AL1188" s="330" t="str">
        <f t="shared" si="135"/>
        <v>September</v>
      </c>
      <c r="AM1188" s="331">
        <f>YEAR(Table1[[#This Row],[ETA
As requested
dd.mm.yyyy]])</f>
        <v>2025</v>
      </c>
      <c r="AN1188" s="191"/>
    </row>
    <row r="1189" spans="1:40" hidden="1">
      <c r="A1189" s="319" t="s">
        <v>83</v>
      </c>
      <c r="B1189" s="320" t="s">
        <v>1170</v>
      </c>
      <c r="C1189" s="321">
        <v>50167129</v>
      </c>
      <c r="D1189" s="322">
        <v>45909</v>
      </c>
      <c r="E1189" s="321" t="s">
        <v>2825</v>
      </c>
      <c r="F1189" s="36" t="str">
        <f>IFERROR(VLOOKUP(Table1[[#This Row],[Part Number]],DATABASE_FG!$C$6:D11178,2,FALSE)," ")</f>
        <v>096287861-0000</v>
      </c>
      <c r="G1189" s="117" t="str">
        <f>IFERROR(_xlfn.XLOOKUP(Table1[[#This Row],[Part Number]],Table3[Part number],Table3[Drawing
 Revision]),"")</f>
        <v>AB</v>
      </c>
      <c r="H1189" s="118" cm="1">
        <f t="array" ref="H1189">IFERROR(INDEX(PDB!$C:$AT,MATCH(E1189,PDB!$B:$B,0),MATCH(YEAR(K1189),0+PDB!$C$1:$AT$1,0)),"")</f>
        <v>4.42</v>
      </c>
      <c r="I1189" s="320">
        <f>2611-19-308-352-308-317-319-308-363</f>
        <v>317</v>
      </c>
      <c r="J1189" s="323">
        <f>IFERROR(Table1[[#This Row],[Quantity]]*Table1[[#This Row],[Price/Unit
EUR]]," ")</f>
        <v>1401.1399999999999</v>
      </c>
      <c r="K1189" s="324">
        <v>45930</v>
      </c>
      <c r="L1189" s="320">
        <f>WEEKNUM(Table1[[#This Row],[ETA
As requested
dd.mm.yyyy]])</f>
        <v>40</v>
      </c>
      <c r="M1189" s="320">
        <f>YEAR(Table1[[#This Row],[ETA
As requested
dd.mm.yyyy]])</f>
        <v>2025</v>
      </c>
      <c r="N1189" s="36">
        <f>IFERROR(INDEX(DATABASE_FG!$H$5:$H$367, MATCH(E1189, DATABASE_FG!$C$5:$C$367, 0)), " ")</f>
        <v>0</v>
      </c>
      <c r="O1189" s="325" t="str">
        <f>IF(E1189&lt;&gt;"", _xlfn.XLOOKUP(E1189, DATABASE_FG!C:C, DATABASE_FG!F:F), " ")</f>
        <v>Alama</v>
      </c>
      <c r="P1189" s="129">
        <f>IFERROR(INDEX(DATABASE_FG!$G$5:$G$367, MATCH(E1189, DATABASE_FG!$C$5:$C$367, 0)), "Not Found")</f>
        <v>0</v>
      </c>
      <c r="Q1189" s="320"/>
      <c r="R1189" s="323" t="s">
        <v>678</v>
      </c>
      <c r="S1189" s="123">
        <f>IFERROR(INDEX(DATABASE_FG!$L$5:$L$367, MATCH(E1189, DATABASE_FG!$C$5:$C$367, 0)), " ")</f>
        <v>42</v>
      </c>
      <c r="T1189" s="36" t="s">
        <v>679</v>
      </c>
      <c r="U1189" s="36"/>
      <c r="V1189" s="36"/>
      <c r="W1189" s="129"/>
      <c r="X1189" s="36"/>
      <c r="Y1189" s="36" t="s">
        <v>121</v>
      </c>
      <c r="Z1189" s="36"/>
      <c r="AA1189" s="323" t="s">
        <v>121</v>
      </c>
      <c r="AB1189" s="340">
        <v>45930</v>
      </c>
      <c r="AC1189" s="326" t="s">
        <v>3765</v>
      </c>
      <c r="AD1189" s="320">
        <f t="shared" si="131"/>
        <v>50167129</v>
      </c>
      <c r="AE1189" s="320" t="str">
        <f t="shared" si="132"/>
        <v>FAG KUH.6215-A-M-3001</v>
      </c>
      <c r="AF1189" s="320">
        <v>317</v>
      </c>
      <c r="AG1189" s="327">
        <f t="shared" si="128"/>
        <v>1401.1399999999999</v>
      </c>
      <c r="AH1189" s="320"/>
      <c r="AI1189" s="328"/>
      <c r="AJ1189" s="329" t="s">
        <v>3766</v>
      </c>
      <c r="AK1189" s="325" t="str">
        <f t="shared" ca="1" si="134"/>
        <v>On Time</v>
      </c>
      <c r="AL1189" s="330" t="str">
        <f t="shared" si="135"/>
        <v>September</v>
      </c>
      <c r="AM1189" s="331">
        <f>YEAR(Table1[[#This Row],[ETA
As requested
dd.mm.yyyy]])</f>
        <v>2025</v>
      </c>
      <c r="AN1189" s="333"/>
    </row>
    <row r="1190" spans="1:40" hidden="1">
      <c r="A1190" s="123" t="s">
        <v>83</v>
      </c>
      <c r="B1190" s="36" t="s">
        <v>1170</v>
      </c>
      <c r="C1190" s="117">
        <v>38582629</v>
      </c>
      <c r="D1190" s="165">
        <v>45695</v>
      </c>
      <c r="E1190" s="117" t="s">
        <v>85</v>
      </c>
      <c r="F1190" s="36" t="str">
        <f>IFERROR(VLOOKUP(Table1[[#This Row],[Part Number]],DATABASE_FG!$C$6:D11179,2,FALSE)," ")</f>
        <v>300387164-0000</v>
      </c>
      <c r="G1190" s="117" t="str">
        <f>IFERROR(_xlfn.XLOOKUP(Table1[[#This Row],[Part Number]],Table3[Part number],Table3[Drawing
 Revision]),"")</f>
        <v>AA</v>
      </c>
      <c r="H1190" s="118" cm="1">
        <f t="array" ref="H1190">IFERROR(INDEX(PDB!$C:$AT,MATCH(E1190,PDB!$B:$B,0),MATCH(YEAR(K1190),0+PDB!$C$1:$AT$1,0)),"")</f>
        <v>4.5</v>
      </c>
      <c r="I1190" s="36">
        <v>5</v>
      </c>
      <c r="J1190" s="125">
        <f>IFERROR(Table1[[#This Row],[Quantity]]*Table1[[#This Row],[Price/Unit
EUR]]," ")</f>
        <v>22.5</v>
      </c>
      <c r="K1190" s="126">
        <v>45701</v>
      </c>
      <c r="L1190" s="36">
        <f>WEEKNUM(Table1[[#This Row],[ETA
As requested
dd.mm.yyyy]])</f>
        <v>7</v>
      </c>
      <c r="M1190" s="36">
        <f>YEAR(Table1[[#This Row],[ETA
As requested
dd.mm.yyyy]])</f>
        <v>2025</v>
      </c>
      <c r="N1190" s="36"/>
      <c r="O1190" s="129" t="str">
        <f>IF(E1190&lt;&gt;"", _xlfn.XLOOKUP(E1190, DATABASE_FG!C:C, DATABASE_FG!F:F), " ")</f>
        <v>Alama</v>
      </c>
      <c r="P1190" s="129">
        <f>IFERROR(INDEX(DATABASE_FG!$G$5:$G$367, MATCH(E1190, DATABASE_FG!$C$5:$C$367, 0)), "Not Found")</f>
        <v>0</v>
      </c>
      <c r="Q1190" s="36"/>
      <c r="R1190" s="125" t="s">
        <v>680</v>
      </c>
      <c r="S1190" s="123">
        <f>IFERROR(INDEX(DATABASE_FG!$L$5:$L$367, MATCH(E1190, DATABASE_FG!$C$5:$C$367, 0)), " ")</f>
        <v>42</v>
      </c>
      <c r="T1190" s="36" t="s">
        <v>679</v>
      </c>
      <c r="U1190" s="36"/>
      <c r="V1190" s="36"/>
      <c r="W1190" s="129"/>
      <c r="X1190" s="36"/>
      <c r="Y1190" s="36" t="s">
        <v>121</v>
      </c>
      <c r="Z1190" s="36"/>
      <c r="AA1190" s="125" t="s">
        <v>121</v>
      </c>
      <c r="AB1190" s="173">
        <v>45707</v>
      </c>
      <c r="AC1190" s="119">
        <v>25232</v>
      </c>
      <c r="AD1190" s="36">
        <f t="shared" si="131"/>
        <v>38582629</v>
      </c>
      <c r="AE1190" s="36" t="str">
        <f t="shared" si="132"/>
        <v>FAG KUH.6312-M-3001</v>
      </c>
      <c r="AF1190" s="36">
        <v>5</v>
      </c>
      <c r="AG1190" s="120">
        <f t="shared" si="128"/>
        <v>22.5</v>
      </c>
      <c r="AH1190" s="36"/>
      <c r="AI1190" s="124"/>
      <c r="AJ1190" s="122" t="s">
        <v>2807</v>
      </c>
      <c r="AK1190" s="129" t="str">
        <f t="shared" ca="1" si="134"/>
        <v>Late</v>
      </c>
      <c r="AL1190" s="268" t="str">
        <f t="shared" si="135"/>
        <v>February</v>
      </c>
      <c r="AM1190" s="133">
        <f>YEAR(Table1[[#This Row],[ETA
As requested
dd.mm.yyyy]])</f>
        <v>2025</v>
      </c>
    </row>
    <row r="1191" spans="1:40" hidden="1">
      <c r="A1191" s="123" t="s">
        <v>83</v>
      </c>
      <c r="B1191" s="36" t="s">
        <v>1170</v>
      </c>
      <c r="C1191" s="117">
        <v>38582629</v>
      </c>
      <c r="D1191" s="165">
        <v>45695</v>
      </c>
      <c r="E1191" s="117" t="s">
        <v>85</v>
      </c>
      <c r="F1191" s="36" t="str">
        <f>IFERROR(VLOOKUP(Table1[[#This Row],[Part Number]],DATABASE_FG!$C$6:D11180,2,FALSE)," ")</f>
        <v>300387164-0000</v>
      </c>
      <c r="G1191" s="117" t="str">
        <f>IFERROR(_xlfn.XLOOKUP(Table1[[#This Row],[Part Number]],Table3[Part number],Table3[Drawing
 Revision]),"")</f>
        <v>AA</v>
      </c>
      <c r="H1191" s="118" cm="1">
        <f t="array" ref="H1191">IFERROR(INDEX(PDB!$C:$AT,MATCH(E1191,PDB!$B:$B,0),MATCH(YEAR(K1191),0+PDB!$C$1:$AT$1,0)),"")</f>
        <v>4.5</v>
      </c>
      <c r="I1191" s="36">
        <v>303</v>
      </c>
      <c r="J1191" s="125">
        <f>IFERROR(Table1[[#This Row],[Quantity]]*Table1[[#This Row],[Price/Unit
EUR]]," ")</f>
        <v>1363.5</v>
      </c>
      <c r="K1191" s="126">
        <v>45701</v>
      </c>
      <c r="L1191" s="36">
        <f>WEEKNUM(Table1[[#This Row],[ETA
As requested
dd.mm.yyyy]])</f>
        <v>7</v>
      </c>
      <c r="M1191" s="36">
        <f>YEAR(Table1[[#This Row],[ETA
As requested
dd.mm.yyyy]])</f>
        <v>2025</v>
      </c>
      <c r="N1191" s="36"/>
      <c r="O1191" s="129" t="str">
        <f>IF(E1191&lt;&gt;"", _xlfn.XLOOKUP(E1191, DATABASE_FG!C:C, DATABASE_FG!F:F), " ")</f>
        <v>Alama</v>
      </c>
      <c r="P1191" s="129">
        <f>IFERROR(INDEX(DATABASE_FG!$G$5:$G$367, MATCH(E1191, DATABASE_FG!$C$5:$C$367, 0)), "Not Found")</f>
        <v>0</v>
      </c>
      <c r="Q1191" s="36"/>
      <c r="R1191" s="125" t="s">
        <v>678</v>
      </c>
      <c r="S1191" s="123">
        <f>IFERROR(INDEX(DATABASE_FG!$L$5:$L$367, MATCH(E1191, DATABASE_FG!$C$5:$C$367, 0)), " ")</f>
        <v>42</v>
      </c>
      <c r="T1191" s="36" t="s">
        <v>679</v>
      </c>
      <c r="U1191" s="36"/>
      <c r="V1191" s="36"/>
      <c r="W1191" s="129"/>
      <c r="X1191" s="36"/>
      <c r="Y1191" s="36" t="s">
        <v>121</v>
      </c>
      <c r="Z1191" s="36"/>
      <c r="AA1191" s="125" t="s">
        <v>121</v>
      </c>
      <c r="AB1191" s="173">
        <v>45712</v>
      </c>
      <c r="AC1191" s="119">
        <v>25259</v>
      </c>
      <c r="AD1191" s="36">
        <f t="shared" si="131"/>
        <v>38582629</v>
      </c>
      <c r="AE1191" s="36" t="str">
        <f t="shared" si="132"/>
        <v>FAG KUH.6312-M-3001</v>
      </c>
      <c r="AF1191" s="36">
        <v>303</v>
      </c>
      <c r="AG1191" s="120">
        <f t="shared" si="128"/>
        <v>1363.5</v>
      </c>
      <c r="AH1191" s="36"/>
      <c r="AI1191" s="124"/>
      <c r="AJ1191" s="122" t="s">
        <v>2812</v>
      </c>
      <c r="AK1191" s="129" t="str">
        <f t="shared" ca="1" si="134"/>
        <v>Late</v>
      </c>
      <c r="AL1191" s="268" t="str">
        <f t="shared" si="135"/>
        <v>February</v>
      </c>
      <c r="AM1191" s="133">
        <f>YEAR(Table1[[#This Row],[ETA
As requested
dd.mm.yyyy]])</f>
        <v>2025</v>
      </c>
    </row>
    <row r="1192" spans="1:40" hidden="1">
      <c r="A1192" s="123" t="s">
        <v>83</v>
      </c>
      <c r="B1192" s="36" t="s">
        <v>1170</v>
      </c>
      <c r="C1192" s="117">
        <v>38623808</v>
      </c>
      <c r="D1192" s="165">
        <v>45701</v>
      </c>
      <c r="E1192" s="117" t="s">
        <v>85</v>
      </c>
      <c r="F1192" s="36" t="str">
        <f>IFERROR(VLOOKUP(Table1[[#This Row],[Part Number]],DATABASE_FG!$C$6:D11181,2,FALSE)," ")</f>
        <v>300387164-0000</v>
      </c>
      <c r="G1192" s="117" t="str">
        <f>IFERROR(_xlfn.XLOOKUP(Table1[[#This Row],[Part Number]],Table3[Part number],Table3[Drawing
 Revision]),"")</f>
        <v>AA</v>
      </c>
      <c r="H1192" s="118" cm="1">
        <f t="array" ref="H1192">IFERROR(INDEX(PDB!$C:$AT,MATCH(E1192,PDB!$B:$B,0),MATCH(YEAR(K1192),0+PDB!$C$1:$AT$1,0)),"")</f>
        <v>4.5</v>
      </c>
      <c r="I1192" s="36">
        <v>49</v>
      </c>
      <c r="J1192" s="125">
        <f>IFERROR(Table1[[#This Row],[Quantity]]*Table1[[#This Row],[Price/Unit
EUR]]," ")</f>
        <v>220.5</v>
      </c>
      <c r="K1192" s="126">
        <v>45709</v>
      </c>
      <c r="L1192" s="36">
        <f>WEEKNUM(Table1[[#This Row],[ETA
As requested
dd.mm.yyyy]])</f>
        <v>8</v>
      </c>
      <c r="M1192" s="36">
        <f>YEAR(Table1[[#This Row],[ETA
As requested
dd.mm.yyyy]])</f>
        <v>2025</v>
      </c>
      <c r="N1192" s="36"/>
      <c r="O1192" s="129" t="str">
        <f>IF(E1192&lt;&gt;"", _xlfn.XLOOKUP(E1192, DATABASE_FG!C:C, DATABASE_FG!F:F), " ")</f>
        <v>Alama</v>
      </c>
      <c r="P1192" s="129">
        <f>IFERROR(INDEX(DATABASE_FG!$G$5:$G$367, MATCH(E1192, DATABASE_FG!$C$5:$C$367, 0)), "Not Found")</f>
        <v>0</v>
      </c>
      <c r="Q1192" s="36"/>
      <c r="R1192" s="125" t="s">
        <v>678</v>
      </c>
      <c r="S1192" s="123">
        <f>IFERROR(INDEX(DATABASE_FG!$L$5:$L$367, MATCH(E1192, DATABASE_FG!$C$5:$C$367, 0)), " ")</f>
        <v>42</v>
      </c>
      <c r="T1192" s="36" t="s">
        <v>679</v>
      </c>
      <c r="U1192" s="36"/>
      <c r="V1192" s="36"/>
      <c r="W1192" s="129"/>
      <c r="X1192" s="36"/>
      <c r="Y1192" s="36"/>
      <c r="Z1192" s="36"/>
      <c r="AA1192" s="125" t="s">
        <v>121</v>
      </c>
      <c r="AB1192" s="173">
        <v>45712</v>
      </c>
      <c r="AC1192" s="119">
        <v>25260</v>
      </c>
      <c r="AD1192" s="36">
        <f t="shared" si="131"/>
        <v>38623808</v>
      </c>
      <c r="AE1192" s="36" t="str">
        <f t="shared" si="132"/>
        <v>FAG KUH.6312-M-3001</v>
      </c>
      <c r="AF1192" s="36">
        <v>49</v>
      </c>
      <c r="AG1192" s="120">
        <f t="shared" si="128"/>
        <v>220.5</v>
      </c>
      <c r="AH1192" s="36"/>
      <c r="AI1192" s="124"/>
      <c r="AJ1192" s="122" t="s">
        <v>2856</v>
      </c>
      <c r="AK1192" s="129" t="str">
        <f t="shared" ca="1" si="134"/>
        <v>Late</v>
      </c>
      <c r="AL1192" s="268" t="str">
        <f t="shared" si="135"/>
        <v>February</v>
      </c>
      <c r="AM1192" s="133">
        <f>YEAR(Table1[[#This Row],[ETA
As requested
dd.mm.yyyy]])</f>
        <v>2025</v>
      </c>
    </row>
    <row r="1193" spans="1:40" hidden="1">
      <c r="A1193" s="123" t="s">
        <v>83</v>
      </c>
      <c r="B1193" s="36" t="s">
        <v>1170</v>
      </c>
      <c r="C1193" s="117">
        <v>38623808</v>
      </c>
      <c r="D1193" s="165">
        <v>45701</v>
      </c>
      <c r="E1193" s="117" t="s">
        <v>85</v>
      </c>
      <c r="F1193" s="36" t="str">
        <f>IFERROR(VLOOKUP(Table1[[#This Row],[Part Number]],DATABASE_FG!$C$6:D11182,2,FALSE)," ")</f>
        <v>300387164-0000</v>
      </c>
      <c r="G1193" s="117" t="str">
        <f>IFERROR(_xlfn.XLOOKUP(Table1[[#This Row],[Part Number]],Table3[Part number],Table3[Drawing
 Revision]),"")</f>
        <v>AA</v>
      </c>
      <c r="H1193" s="118" cm="1">
        <f t="array" ref="H1193">IFERROR(INDEX(PDB!$C:$AT,MATCH(E1193,PDB!$B:$B,0),MATCH(YEAR(K1193),0+PDB!$C$1:$AT$1,0)),"")</f>
        <v>4.5</v>
      </c>
      <c r="I1193" s="36">
        <f>77-49</f>
        <v>28</v>
      </c>
      <c r="J1193" s="125">
        <f>IFERROR(Table1[[#This Row],[Quantity]]*Table1[[#This Row],[Price/Unit
EUR]]," ")</f>
        <v>126</v>
      </c>
      <c r="K1193" s="126">
        <v>45709</v>
      </c>
      <c r="L1193" s="36">
        <f>WEEKNUM(Table1[[#This Row],[ETA
As requested
dd.mm.yyyy]])</f>
        <v>8</v>
      </c>
      <c r="M1193" s="36">
        <f>YEAR(Table1[[#This Row],[ETA
As requested
dd.mm.yyyy]])</f>
        <v>2025</v>
      </c>
      <c r="N1193" s="36"/>
      <c r="O1193" s="129" t="str">
        <f>IF(E1193&lt;&gt;"", _xlfn.XLOOKUP(E1193, DATABASE_FG!C:C, DATABASE_FG!F:F), " ")</f>
        <v>Alama</v>
      </c>
      <c r="P1193" s="129">
        <f>IFERROR(INDEX(DATABASE_FG!$G$5:$G$367, MATCH(E1193, DATABASE_FG!$C$5:$C$367, 0)), "Not Found")</f>
        <v>0</v>
      </c>
      <c r="Q1193" s="36"/>
      <c r="R1193" s="125" t="s">
        <v>678</v>
      </c>
      <c r="S1193" s="123">
        <f>IFERROR(INDEX(DATABASE_FG!$L$5:$L$367, MATCH(E1193, DATABASE_FG!$C$5:$C$367, 0)), " ")</f>
        <v>42</v>
      </c>
      <c r="T1193" s="36" t="s">
        <v>679</v>
      </c>
      <c r="U1193" s="36"/>
      <c r="V1193" s="36"/>
      <c r="W1193" s="129"/>
      <c r="X1193" s="36"/>
      <c r="Y1193" s="36" t="s">
        <v>121</v>
      </c>
      <c r="Z1193" s="36"/>
      <c r="AA1193" s="125" t="s">
        <v>121</v>
      </c>
      <c r="AB1193" s="173">
        <v>45713</v>
      </c>
      <c r="AC1193" s="119">
        <v>25264</v>
      </c>
      <c r="AD1193" s="36">
        <f t="shared" si="131"/>
        <v>38623808</v>
      </c>
      <c r="AE1193" s="36" t="str">
        <f t="shared" si="132"/>
        <v>FAG KUH.6312-M-3001</v>
      </c>
      <c r="AF1193" s="36">
        <v>28</v>
      </c>
      <c r="AG1193" s="120">
        <f t="shared" ref="AG1193:AG1256" si="136">AF1193*H1193</f>
        <v>126</v>
      </c>
      <c r="AH1193" s="36"/>
      <c r="AI1193" s="124"/>
      <c r="AJ1193" s="122" t="s">
        <v>2857</v>
      </c>
      <c r="AK1193" s="129" t="str">
        <f t="shared" ca="1" si="134"/>
        <v>Late</v>
      </c>
      <c r="AL1193" s="268" t="str">
        <f t="shared" si="135"/>
        <v>February</v>
      </c>
      <c r="AM1193" s="133">
        <f>YEAR(Table1[[#This Row],[ETA
As requested
dd.mm.yyyy]])</f>
        <v>2025</v>
      </c>
    </row>
    <row r="1194" spans="1:40" hidden="1">
      <c r="A1194" s="123" t="s">
        <v>83</v>
      </c>
      <c r="B1194" s="36" t="s">
        <v>1170</v>
      </c>
      <c r="C1194" s="117">
        <v>38782986</v>
      </c>
      <c r="D1194" s="165">
        <v>45722</v>
      </c>
      <c r="E1194" s="117" t="s">
        <v>85</v>
      </c>
      <c r="F1194" s="36" t="str">
        <f>IFERROR(VLOOKUP(Table1[[#This Row],[Part Number]],DATABASE_FG!$C$6:D11183,2,FALSE)," ")</f>
        <v>300387164-0000</v>
      </c>
      <c r="G1194" s="117" t="str">
        <f>IFERROR(_xlfn.XLOOKUP(Table1[[#This Row],[Part Number]],Table3[Part number],Table3[Drawing
 Revision]),"")</f>
        <v>AA</v>
      </c>
      <c r="H1194" s="118" cm="1">
        <f t="array" ref="H1194">IFERROR(INDEX(PDB!$C:$AT,MATCH(E1194,PDB!$B:$B,0),MATCH(YEAR(K1194),0+PDB!$C$1:$AT$1,0)),"")</f>
        <v>4.5</v>
      </c>
      <c r="I1194" s="36">
        <v>57</v>
      </c>
      <c r="J1194" s="125">
        <f>IFERROR(Table1[[#This Row],[Quantity]]*Table1[[#This Row],[Price/Unit
EUR]]," ")</f>
        <v>256.5</v>
      </c>
      <c r="K1194" s="126">
        <v>45736</v>
      </c>
      <c r="L1194" s="36">
        <f>WEEKNUM(Table1[[#This Row],[ETA
As requested
dd.mm.yyyy]])</f>
        <v>12</v>
      </c>
      <c r="M1194" s="36">
        <f>YEAR(Table1[[#This Row],[ETA
As requested
dd.mm.yyyy]])</f>
        <v>2025</v>
      </c>
      <c r="N1194" s="36"/>
      <c r="O1194" s="129" t="str">
        <f>IF(E1194&lt;&gt;"", _xlfn.XLOOKUP(E1194, DATABASE_FG!C:C, DATABASE_FG!F:F), " ")</f>
        <v>Alama</v>
      </c>
      <c r="P1194" s="129">
        <f>IFERROR(INDEX(DATABASE_FG!$G$5:$G$367, MATCH(E1194, DATABASE_FG!$C$5:$C$367, 0)), "Not Found")</f>
        <v>0</v>
      </c>
      <c r="Q1194" s="36"/>
      <c r="R1194" s="125" t="s">
        <v>678</v>
      </c>
      <c r="S1194" s="123">
        <f>IFERROR(INDEX(DATABASE_FG!$L$5:$L$367, MATCH(E1194, DATABASE_FG!$C$5:$C$367, 0)), " ")</f>
        <v>42</v>
      </c>
      <c r="T1194" s="36" t="s">
        <v>679</v>
      </c>
      <c r="U1194" s="36"/>
      <c r="V1194" s="36"/>
      <c r="W1194" s="129"/>
      <c r="X1194" s="36"/>
      <c r="Y1194" s="36"/>
      <c r="Z1194" s="36"/>
      <c r="AA1194" s="125" t="s">
        <v>121</v>
      </c>
      <c r="AB1194" s="173">
        <v>45742</v>
      </c>
      <c r="AC1194" s="119">
        <v>25470</v>
      </c>
      <c r="AD1194" s="36">
        <f t="shared" si="131"/>
        <v>38782986</v>
      </c>
      <c r="AE1194" s="36" t="str">
        <f t="shared" si="132"/>
        <v>FAG KUH.6312-M-3001</v>
      </c>
      <c r="AF1194" s="36">
        <v>57</v>
      </c>
      <c r="AG1194" s="120">
        <f t="shared" si="136"/>
        <v>256.5</v>
      </c>
      <c r="AH1194" s="36"/>
      <c r="AI1194" s="124"/>
      <c r="AJ1194" s="122" t="s">
        <v>2985</v>
      </c>
      <c r="AK1194" s="129" t="str">
        <f t="shared" ca="1" si="134"/>
        <v>Late</v>
      </c>
      <c r="AL1194" s="268" t="str">
        <f t="shared" si="135"/>
        <v>March</v>
      </c>
      <c r="AM1194" s="133">
        <f>YEAR(Table1[[#This Row],[ETA
As requested
dd.mm.yyyy]])</f>
        <v>2025</v>
      </c>
    </row>
    <row r="1195" spans="1:40" hidden="1">
      <c r="A1195" s="123" t="s">
        <v>83</v>
      </c>
      <c r="B1195" s="36" t="s">
        <v>1170</v>
      </c>
      <c r="C1195" s="117">
        <v>38782986</v>
      </c>
      <c r="D1195" s="165">
        <v>45722</v>
      </c>
      <c r="E1195" s="117" t="s">
        <v>85</v>
      </c>
      <c r="F1195" s="36" t="str">
        <f>IFERROR(VLOOKUP(Table1[[#This Row],[Part Number]],DATABASE_FG!$C$6:D11184,2,FALSE)," ")</f>
        <v>300387164-0000</v>
      </c>
      <c r="G1195" s="117" t="str">
        <f>IFERROR(_xlfn.XLOOKUP(Table1[[#This Row],[Part Number]],Table3[Part number],Table3[Drawing
 Revision]),"")</f>
        <v>AA</v>
      </c>
      <c r="H1195" s="118" cm="1">
        <f t="array" ref="H1195">IFERROR(INDEX(PDB!$C:$AT,MATCH(E1195,PDB!$B:$B,0),MATCH(YEAR(K1195),0+PDB!$C$1:$AT$1,0)),"")</f>
        <v>4.5</v>
      </c>
      <c r="I1195" s="36">
        <v>5</v>
      </c>
      <c r="J1195" s="125">
        <f>IFERROR(Table1[[#This Row],[Quantity]]*Table1[[#This Row],[Price/Unit
EUR]]," ")</f>
        <v>22.5</v>
      </c>
      <c r="K1195" s="126">
        <v>45736</v>
      </c>
      <c r="L1195" s="36">
        <f>WEEKNUM(Table1[[#This Row],[ETA
As requested
dd.mm.yyyy]])</f>
        <v>12</v>
      </c>
      <c r="M1195" s="36">
        <f>YEAR(Table1[[#This Row],[ETA
As requested
dd.mm.yyyy]])</f>
        <v>2025</v>
      </c>
      <c r="N1195" s="36"/>
      <c r="O1195" s="129" t="str">
        <f>IF(E1195&lt;&gt;"", _xlfn.XLOOKUP(E1195, DATABASE_FG!C:C, DATABASE_FG!F:F), " ")</f>
        <v>Alama</v>
      </c>
      <c r="P1195" s="129">
        <f>IFERROR(INDEX(DATABASE_FG!$G$5:$G$367, MATCH(E1195, DATABASE_FG!$C$5:$C$367, 0)), "Not Found")</f>
        <v>0</v>
      </c>
      <c r="Q1195" s="36"/>
      <c r="R1195" s="125" t="s">
        <v>678</v>
      </c>
      <c r="S1195" s="123">
        <f>IFERROR(INDEX(DATABASE_FG!$L$5:$L$367, MATCH(E1195, DATABASE_FG!$C$5:$C$367, 0)), " ")</f>
        <v>42</v>
      </c>
      <c r="T1195" s="36" t="s">
        <v>679</v>
      </c>
      <c r="U1195" s="36"/>
      <c r="V1195" s="36"/>
      <c r="W1195" s="129"/>
      <c r="X1195" s="36"/>
      <c r="Y1195" s="36"/>
      <c r="Z1195" s="36"/>
      <c r="AA1195" s="125" t="s">
        <v>121</v>
      </c>
      <c r="AB1195" s="173">
        <v>45743</v>
      </c>
      <c r="AC1195" s="119">
        <v>25473</v>
      </c>
      <c r="AD1195" s="36">
        <f t="shared" si="131"/>
        <v>38782986</v>
      </c>
      <c r="AE1195" s="36" t="str">
        <f t="shared" si="132"/>
        <v>FAG KUH.6312-M-3001</v>
      </c>
      <c r="AF1195" s="36">
        <v>5</v>
      </c>
      <c r="AG1195" s="120">
        <f t="shared" si="136"/>
        <v>22.5</v>
      </c>
      <c r="AH1195" s="36"/>
      <c r="AI1195" s="124" t="s">
        <v>2987</v>
      </c>
      <c r="AJ1195" s="122" t="s">
        <v>2988</v>
      </c>
      <c r="AK1195" s="129" t="str">
        <f t="shared" ca="1" si="134"/>
        <v>Late</v>
      </c>
      <c r="AL1195" s="268" t="str">
        <f t="shared" si="135"/>
        <v>March</v>
      </c>
      <c r="AM1195" s="133">
        <f>YEAR(Table1[[#This Row],[ETA
As requested
dd.mm.yyyy]])</f>
        <v>2025</v>
      </c>
    </row>
    <row r="1196" spans="1:40" hidden="1">
      <c r="A1196" s="123" t="s">
        <v>83</v>
      </c>
      <c r="B1196" s="36" t="s">
        <v>1170</v>
      </c>
      <c r="C1196" s="117">
        <v>38782986</v>
      </c>
      <c r="D1196" s="165">
        <v>45722</v>
      </c>
      <c r="E1196" s="117" t="s">
        <v>85</v>
      </c>
      <c r="F1196" s="36" t="str">
        <f>IFERROR(VLOOKUP(Table1[[#This Row],[Part Number]],DATABASE_FG!$C$6:D11185,2,FALSE)," ")</f>
        <v>300387164-0000</v>
      </c>
      <c r="G1196" s="117" t="str">
        <f>IFERROR(_xlfn.XLOOKUP(Table1[[#This Row],[Part Number]],Table3[Part number],Table3[Drawing
 Revision]),"")</f>
        <v>AA</v>
      </c>
      <c r="H1196" s="118" cm="1">
        <f t="array" ref="H1196">IFERROR(INDEX(PDB!$C:$AT,MATCH(E1196,PDB!$B:$B,0),MATCH(YEAR(K1196),0+PDB!$C$1:$AT$1,0)),"")</f>
        <v>4.5</v>
      </c>
      <c r="I1196" s="36">
        <v>128</v>
      </c>
      <c r="J1196" s="125">
        <f>IFERROR(Table1[[#This Row],[Quantity]]*Table1[[#This Row],[Price/Unit
EUR]]," ")</f>
        <v>576</v>
      </c>
      <c r="K1196" s="126">
        <v>45736</v>
      </c>
      <c r="L1196" s="36">
        <f>WEEKNUM(Table1[[#This Row],[ETA
As requested
dd.mm.yyyy]])</f>
        <v>12</v>
      </c>
      <c r="M1196" s="36">
        <f>YEAR(Table1[[#This Row],[ETA
As requested
dd.mm.yyyy]])</f>
        <v>2025</v>
      </c>
      <c r="N1196" s="36"/>
      <c r="O1196" s="129" t="str">
        <f>IF(E1196&lt;&gt;"", _xlfn.XLOOKUP(E1196, DATABASE_FG!C:C, DATABASE_FG!F:F), " ")</f>
        <v>Alama</v>
      </c>
      <c r="P1196" s="129">
        <f>IFERROR(INDEX(DATABASE_FG!$G$5:$G$367, MATCH(E1196, DATABASE_FG!$C$5:$C$367, 0)), "Not Found")</f>
        <v>0</v>
      </c>
      <c r="Q1196" s="36"/>
      <c r="R1196" s="125" t="s">
        <v>678</v>
      </c>
      <c r="S1196" s="123">
        <f>IFERROR(INDEX(DATABASE_FG!$L$5:$L$367, MATCH(E1196, DATABASE_FG!$C$5:$C$367, 0)), " ")</f>
        <v>42</v>
      </c>
      <c r="T1196" s="36" t="s">
        <v>679</v>
      </c>
      <c r="U1196" s="36"/>
      <c r="V1196" s="36"/>
      <c r="W1196" s="129"/>
      <c r="X1196" s="36"/>
      <c r="Y1196" s="36"/>
      <c r="Z1196" s="36"/>
      <c r="AA1196" s="125" t="s">
        <v>121</v>
      </c>
      <c r="AB1196" s="173">
        <v>45743</v>
      </c>
      <c r="AC1196" s="119">
        <v>25474</v>
      </c>
      <c r="AD1196" s="36">
        <f t="shared" si="131"/>
        <v>38782986</v>
      </c>
      <c r="AE1196" s="36" t="str">
        <f t="shared" si="132"/>
        <v>FAG KUH.6312-M-3001</v>
      </c>
      <c r="AF1196" s="36">
        <v>128</v>
      </c>
      <c r="AG1196" s="120">
        <f t="shared" si="136"/>
        <v>576</v>
      </c>
      <c r="AH1196" s="36"/>
      <c r="AI1196" s="124"/>
      <c r="AJ1196" s="122" t="s">
        <v>2989</v>
      </c>
      <c r="AK1196" s="129" t="str">
        <f t="shared" ca="1" si="134"/>
        <v>Late</v>
      </c>
      <c r="AL1196" s="268" t="str">
        <f t="shared" si="135"/>
        <v>March</v>
      </c>
      <c r="AM1196" s="133">
        <f>YEAR(Table1[[#This Row],[ETA
As requested
dd.mm.yyyy]])</f>
        <v>2025</v>
      </c>
    </row>
    <row r="1197" spans="1:40" hidden="1">
      <c r="A1197" s="123" t="s">
        <v>83</v>
      </c>
      <c r="B1197" s="36" t="s">
        <v>1170</v>
      </c>
      <c r="C1197" s="117">
        <v>38782986</v>
      </c>
      <c r="D1197" s="165">
        <v>45722</v>
      </c>
      <c r="E1197" s="117" t="s">
        <v>85</v>
      </c>
      <c r="F1197" s="36" t="str">
        <f>IFERROR(VLOOKUP(Table1[[#This Row],[Part Number]],DATABASE_FG!$C$6:D11186,2,FALSE)," ")</f>
        <v>300387164-0000</v>
      </c>
      <c r="G1197" s="117" t="str">
        <f>IFERROR(_xlfn.XLOOKUP(Table1[[#This Row],[Part Number]],Table3[Part number],Table3[Drawing
 Revision]),"")</f>
        <v>AA</v>
      </c>
      <c r="H1197" s="118" cm="1">
        <f t="array" ref="H1197">IFERROR(INDEX(PDB!$C:$AT,MATCH(E1197,PDB!$B:$B,0),MATCH(YEAR(K1197),0+PDB!$C$1:$AT$1,0)),"")</f>
        <v>4.5</v>
      </c>
      <c r="I1197" s="36">
        <v>256</v>
      </c>
      <c r="J1197" s="125">
        <f>IFERROR(Table1[[#This Row],[Quantity]]*Table1[[#This Row],[Price/Unit
EUR]]," ")</f>
        <v>1152</v>
      </c>
      <c r="K1197" s="126">
        <v>45736</v>
      </c>
      <c r="L1197" s="36">
        <f>WEEKNUM(Table1[[#This Row],[ETA
As requested
dd.mm.yyyy]])</f>
        <v>12</v>
      </c>
      <c r="M1197" s="36">
        <f>YEAR(Table1[[#This Row],[ETA
As requested
dd.mm.yyyy]])</f>
        <v>2025</v>
      </c>
      <c r="N1197" s="36"/>
      <c r="O1197" s="129" t="str">
        <f>IF(E1197&lt;&gt;"", _xlfn.XLOOKUP(E1197, DATABASE_FG!C:C, DATABASE_FG!F:F), " ")</f>
        <v>Alama</v>
      </c>
      <c r="P1197" s="129">
        <f>IFERROR(INDEX(DATABASE_FG!$G$5:$G$367, MATCH(E1197, DATABASE_FG!$C$5:$C$367, 0)), "Not Found")</f>
        <v>0</v>
      </c>
      <c r="Q1197" s="36"/>
      <c r="R1197" s="125" t="s">
        <v>678</v>
      </c>
      <c r="S1197" s="123">
        <f>IFERROR(INDEX(DATABASE_FG!$L$5:$L$367, MATCH(E1197, DATABASE_FG!$C$5:$C$367, 0)), " ")</f>
        <v>42</v>
      </c>
      <c r="T1197" s="36" t="s">
        <v>679</v>
      </c>
      <c r="U1197" s="36"/>
      <c r="V1197" s="36"/>
      <c r="W1197" s="129"/>
      <c r="X1197" s="36"/>
      <c r="Y1197" s="36"/>
      <c r="Z1197" s="36"/>
      <c r="AA1197" s="125" t="s">
        <v>121</v>
      </c>
      <c r="AB1197" s="173">
        <v>45744</v>
      </c>
      <c r="AC1197" s="119">
        <v>25491</v>
      </c>
      <c r="AD1197" s="36">
        <f t="shared" si="131"/>
        <v>38782986</v>
      </c>
      <c r="AE1197" s="36" t="str">
        <f t="shared" si="132"/>
        <v>FAG KUH.6312-M-3001</v>
      </c>
      <c r="AF1197" s="36">
        <v>256</v>
      </c>
      <c r="AG1197" s="120">
        <f t="shared" si="136"/>
        <v>1152</v>
      </c>
      <c r="AH1197" s="36"/>
      <c r="AI1197" s="124"/>
      <c r="AJ1197" s="122" t="s">
        <v>2992</v>
      </c>
      <c r="AK1197" s="129" t="str">
        <f t="shared" ca="1" si="134"/>
        <v>Late</v>
      </c>
      <c r="AL1197" s="268" t="str">
        <f t="shared" si="135"/>
        <v>March</v>
      </c>
      <c r="AM1197" s="133">
        <f>YEAR(Table1[[#This Row],[ETA
As requested
dd.mm.yyyy]])</f>
        <v>2025</v>
      </c>
    </row>
    <row r="1198" spans="1:40" hidden="1">
      <c r="A1198" s="123" t="s">
        <v>83</v>
      </c>
      <c r="B1198" s="36" t="s">
        <v>1170</v>
      </c>
      <c r="C1198" s="117">
        <v>38782986</v>
      </c>
      <c r="D1198" s="165">
        <v>45722</v>
      </c>
      <c r="E1198" s="117" t="s">
        <v>85</v>
      </c>
      <c r="F1198" s="36" t="str">
        <f>IFERROR(VLOOKUP(Table1[[#This Row],[Part Number]],DATABASE_FG!$C$6:D11187,2,FALSE)," ")</f>
        <v>300387164-0000</v>
      </c>
      <c r="G1198" s="117" t="str">
        <f>IFERROR(_xlfn.XLOOKUP(Table1[[#This Row],[Part Number]],Table3[Part number],Table3[Drawing
 Revision]),"")</f>
        <v>AA</v>
      </c>
      <c r="H1198" s="118" cm="1">
        <f t="array" ref="H1198">IFERROR(INDEX(PDB!$C:$AT,MATCH(E1198,PDB!$B:$B,0),MATCH(YEAR(K1198),0+PDB!$C$1:$AT$1,0)),"")</f>
        <v>4.5</v>
      </c>
      <c r="I1198" s="36">
        <f>707-57-128-256</f>
        <v>266</v>
      </c>
      <c r="J1198" s="125">
        <f>IFERROR(Table1[[#This Row],[Quantity]]*Table1[[#This Row],[Price/Unit
EUR]]," ")</f>
        <v>1197</v>
      </c>
      <c r="K1198" s="126">
        <v>45736</v>
      </c>
      <c r="L1198" s="36">
        <f>WEEKNUM(Table1[[#This Row],[ETA
As requested
dd.mm.yyyy]])</f>
        <v>12</v>
      </c>
      <c r="M1198" s="36">
        <f>YEAR(Table1[[#This Row],[ETA
As requested
dd.mm.yyyy]])</f>
        <v>2025</v>
      </c>
      <c r="N1198" s="36"/>
      <c r="O1198" s="129" t="str">
        <f>IF(E1198&lt;&gt;"", _xlfn.XLOOKUP(E1198, DATABASE_FG!C:C, DATABASE_FG!F:F), " ")</f>
        <v>Alama</v>
      </c>
      <c r="P1198" s="129">
        <f>IFERROR(INDEX(DATABASE_FG!$G$5:$G$367, MATCH(E1198, DATABASE_FG!$C$5:$C$367, 0)), "Not Found")</f>
        <v>0</v>
      </c>
      <c r="Q1198" s="36"/>
      <c r="R1198" s="125" t="s">
        <v>678</v>
      </c>
      <c r="S1198" s="123">
        <f>IFERROR(INDEX(DATABASE_FG!$L$5:$L$367, MATCH(E1198, DATABASE_FG!$C$5:$C$367, 0)), " ")</f>
        <v>42</v>
      </c>
      <c r="T1198" s="36" t="s">
        <v>679</v>
      </c>
      <c r="U1198" s="36"/>
      <c r="V1198" s="36"/>
      <c r="W1198" s="129"/>
      <c r="X1198" s="36"/>
      <c r="Y1198" s="36"/>
      <c r="Z1198" s="36"/>
      <c r="AA1198" s="125" t="s">
        <v>121</v>
      </c>
      <c r="AB1198" s="173">
        <v>45747</v>
      </c>
      <c r="AC1198" s="119">
        <v>25496</v>
      </c>
      <c r="AD1198" s="36">
        <f t="shared" si="131"/>
        <v>38782986</v>
      </c>
      <c r="AE1198" s="36" t="str">
        <f t="shared" si="132"/>
        <v>FAG KUH.6312-M-3001</v>
      </c>
      <c r="AF1198" s="36">
        <v>266</v>
      </c>
      <c r="AG1198" s="120">
        <f t="shared" si="136"/>
        <v>1197</v>
      </c>
      <c r="AH1198" s="36"/>
      <c r="AI1198" s="124"/>
      <c r="AJ1198" s="122" t="s">
        <v>2994</v>
      </c>
      <c r="AK1198" s="129" t="str">
        <f t="shared" ca="1" si="134"/>
        <v>Late</v>
      </c>
      <c r="AL1198" s="268" t="str">
        <f t="shared" si="135"/>
        <v>March</v>
      </c>
      <c r="AM1198" s="133">
        <f>YEAR(Table1[[#This Row],[ETA
As requested
dd.mm.yyyy]])</f>
        <v>2025</v>
      </c>
    </row>
    <row r="1199" spans="1:40" hidden="1">
      <c r="A1199" s="123" t="s">
        <v>83</v>
      </c>
      <c r="B1199" s="36" t="s">
        <v>1170</v>
      </c>
      <c r="C1199" s="117">
        <v>38782986</v>
      </c>
      <c r="D1199" s="165">
        <v>45722</v>
      </c>
      <c r="E1199" s="117" t="s">
        <v>85</v>
      </c>
      <c r="F1199" s="36" t="str">
        <f>IFERROR(VLOOKUP(Table1[[#This Row],[Part Number]],DATABASE_FG!$C$6:D11188,2,FALSE)," ")</f>
        <v>300387164-0000</v>
      </c>
      <c r="G1199" s="117" t="str">
        <f>IFERROR(_xlfn.XLOOKUP(Table1[[#This Row],[Part Number]],Table3[Part number],Table3[Drawing
 Revision]),"")</f>
        <v>AA</v>
      </c>
      <c r="H1199" s="118" cm="1">
        <f t="array" ref="H1199">IFERROR(INDEX(PDB!$C:$AT,MATCH(E1199,PDB!$B:$B,0),MATCH(YEAR(K1199),0+PDB!$C$1:$AT$1,0)),"")</f>
        <v>4.5</v>
      </c>
      <c r="I1199" s="36">
        <v>74</v>
      </c>
      <c r="J1199" s="125">
        <f>IFERROR(Table1[[#This Row],[Quantity]]*Table1[[#This Row],[Price/Unit
EUR]]," ")</f>
        <v>333</v>
      </c>
      <c r="K1199" s="126">
        <v>45736</v>
      </c>
      <c r="L1199" s="36">
        <f>WEEKNUM(Table1[[#This Row],[ETA
As requested
dd.mm.yyyy]])</f>
        <v>12</v>
      </c>
      <c r="M1199" s="36">
        <f>YEAR(Table1[[#This Row],[ETA
As requested
dd.mm.yyyy]])</f>
        <v>2025</v>
      </c>
      <c r="N1199" s="36"/>
      <c r="O1199" s="129" t="str">
        <f>IF(E1199&lt;&gt;"", _xlfn.XLOOKUP(E1199, DATABASE_FG!C:C, DATABASE_FG!F:F), " ")</f>
        <v>Alama</v>
      </c>
      <c r="P1199" s="129">
        <f>IFERROR(INDEX(DATABASE_FG!$G$5:$G$367, MATCH(E1199, DATABASE_FG!$C$5:$C$367, 0)), "Not Found")</f>
        <v>0</v>
      </c>
      <c r="Q1199" s="36"/>
      <c r="R1199" s="125" t="s">
        <v>678</v>
      </c>
      <c r="S1199" s="123">
        <f>IFERROR(INDEX(DATABASE_FG!$L$5:$L$367, MATCH(E1199, DATABASE_FG!$C$5:$C$367, 0)), " ")</f>
        <v>42</v>
      </c>
      <c r="T1199" s="36" t="s">
        <v>679</v>
      </c>
      <c r="U1199" s="36"/>
      <c r="V1199" s="36"/>
      <c r="W1199" s="129"/>
      <c r="X1199" s="36"/>
      <c r="Y1199" s="36"/>
      <c r="Z1199" s="36"/>
      <c r="AA1199" s="125" t="s">
        <v>121</v>
      </c>
      <c r="AB1199" s="173">
        <v>45755</v>
      </c>
      <c r="AC1199" s="119">
        <v>25557</v>
      </c>
      <c r="AD1199" s="36">
        <f t="shared" si="131"/>
        <v>38782986</v>
      </c>
      <c r="AE1199" s="36" t="str">
        <f t="shared" si="132"/>
        <v>FAG KUH.6312-M-3001</v>
      </c>
      <c r="AF1199" s="36">
        <v>74</v>
      </c>
      <c r="AG1199" s="120">
        <f t="shared" si="136"/>
        <v>333</v>
      </c>
      <c r="AH1199" s="36"/>
      <c r="AI1199" s="124"/>
      <c r="AJ1199" s="122" t="s">
        <v>3002</v>
      </c>
      <c r="AK1199" s="129" t="str">
        <f t="shared" ca="1" si="134"/>
        <v>Late</v>
      </c>
      <c r="AL1199" s="268" t="str">
        <f t="shared" si="135"/>
        <v>March</v>
      </c>
      <c r="AM1199" s="133">
        <f>YEAR(Table1[[#This Row],[ETA
As requested
dd.mm.yyyy]])</f>
        <v>2025</v>
      </c>
    </row>
    <row r="1200" spans="1:40" hidden="1">
      <c r="A1200" s="123" t="s">
        <v>83</v>
      </c>
      <c r="B1200" s="36" t="s">
        <v>1170</v>
      </c>
      <c r="C1200" s="117">
        <v>38770114</v>
      </c>
      <c r="D1200" s="165">
        <v>45721</v>
      </c>
      <c r="E1200" s="117" t="s">
        <v>2981</v>
      </c>
      <c r="F1200" s="36" t="str">
        <f>IFERROR(VLOOKUP(Table1[[#This Row],[Part Number]],DATABASE_FG!$C$6:D11189,2,FALSE)," ")</f>
        <v>Colivie</v>
      </c>
      <c r="G1200" s="117">
        <f>IFERROR(_xlfn.XLOOKUP(Table1[[#This Row],[Part Number]],Table3[Part number],Table3[Drawing
 Revision]),"")</f>
        <v>0</v>
      </c>
      <c r="H1200" s="118" cm="1">
        <f t="array" ref="H1200">IFERROR(INDEX(PDB!$C:$AT,MATCH(E1200,PDB!$B:$B,0),MATCH(YEAR(K1200),0+PDB!$C$1:$AT$1,0)),"")</f>
        <v>9.0399999999999991</v>
      </c>
      <c r="I1200" s="36">
        <v>5</v>
      </c>
      <c r="J1200" s="125">
        <f>IFERROR(Table1[[#This Row],[Quantity]]*Table1[[#This Row],[Price/Unit
EUR]]," ")</f>
        <v>45.199999999999996</v>
      </c>
      <c r="K1200" s="126">
        <v>45736</v>
      </c>
      <c r="L1200" s="36">
        <f>WEEKNUM(Table1[[#This Row],[ETA
As requested
dd.mm.yyyy]])</f>
        <v>12</v>
      </c>
      <c r="M1200" s="36">
        <f>YEAR(Table1[[#This Row],[ETA
As requested
dd.mm.yyyy]])</f>
        <v>2025</v>
      </c>
      <c r="N1200" s="36"/>
      <c r="O1200" s="129" t="str">
        <f>IF(E1200&lt;&gt;"", _xlfn.XLOOKUP(E1200, DATABASE_FG!C:C, DATABASE_FG!F:F), " ")</f>
        <v>Alama</v>
      </c>
      <c r="P1200" s="129">
        <f>IFERROR(INDEX(DATABASE_FG!$G$5:$G$367, MATCH(E1200, DATABASE_FG!$C$5:$C$367, 0)), "Not Found")</f>
        <v>0</v>
      </c>
      <c r="Q1200" s="36"/>
      <c r="R1200" s="125" t="s">
        <v>678</v>
      </c>
      <c r="S1200" s="123">
        <f>IFERROR(INDEX(DATABASE_FG!$L$5:$L$367, MATCH(E1200, DATABASE_FG!$C$5:$C$367, 0)), " ")</f>
        <v>0</v>
      </c>
      <c r="T1200" s="36" t="s">
        <v>679</v>
      </c>
      <c r="U1200" s="36"/>
      <c r="V1200" s="36"/>
      <c r="W1200" s="129"/>
      <c r="X1200" s="36"/>
      <c r="Y1200" s="36"/>
      <c r="Z1200" s="36"/>
      <c r="AA1200" s="125" t="s">
        <v>121</v>
      </c>
      <c r="AB1200" s="173">
        <v>45742</v>
      </c>
      <c r="AC1200" s="119">
        <v>25471</v>
      </c>
      <c r="AD1200" s="36">
        <f t="shared" si="131"/>
        <v>38770114</v>
      </c>
      <c r="AE1200" s="36" t="str">
        <f t="shared" si="132"/>
        <v>KUH.6326-M-3001</v>
      </c>
      <c r="AF1200" s="36">
        <v>5</v>
      </c>
      <c r="AG1200" s="120">
        <f t="shared" si="136"/>
        <v>45.199999999999996</v>
      </c>
      <c r="AH1200" s="36"/>
      <c r="AI1200" s="124"/>
      <c r="AJ1200" s="122" t="s">
        <v>2983</v>
      </c>
      <c r="AK1200" s="129" t="str">
        <f t="shared" ca="1" si="134"/>
        <v>Late</v>
      </c>
      <c r="AL1200" s="268" t="str">
        <f t="shared" si="135"/>
        <v>March</v>
      </c>
      <c r="AM1200" s="133">
        <f>YEAR(Table1[[#This Row],[ETA
As requested
dd.mm.yyyy]])</f>
        <v>2025</v>
      </c>
    </row>
    <row r="1201" spans="1:39" hidden="1">
      <c r="A1201" s="123" t="s">
        <v>83</v>
      </c>
      <c r="B1201" s="36" t="s">
        <v>1170</v>
      </c>
      <c r="C1201" s="117">
        <v>38770114</v>
      </c>
      <c r="D1201" s="165">
        <v>45721</v>
      </c>
      <c r="E1201" s="117" t="s">
        <v>2981</v>
      </c>
      <c r="F1201" s="36" t="str">
        <f>IFERROR(VLOOKUP(Table1[[#This Row],[Part Number]],DATABASE_FG!$C$6:D11190,2,FALSE)," ")</f>
        <v>Colivie</v>
      </c>
      <c r="G1201" s="117">
        <f>IFERROR(_xlfn.XLOOKUP(Table1[[#This Row],[Part Number]],Table3[Part number],Table3[Drawing
 Revision]),"")</f>
        <v>0</v>
      </c>
      <c r="H1201" s="118" cm="1">
        <f t="array" ref="H1201">IFERROR(INDEX(PDB!$C:$AT,MATCH(E1201,PDB!$B:$B,0),MATCH(YEAR(K1201),0+PDB!$C$1:$AT$1,0)),"")</f>
        <v>9.0399999999999991</v>
      </c>
      <c r="I1201" s="36">
        <v>48</v>
      </c>
      <c r="J1201" s="125">
        <f>IFERROR(Table1[[#This Row],[Quantity]]*Table1[[#This Row],[Price/Unit
EUR]]," ")</f>
        <v>433.91999999999996</v>
      </c>
      <c r="K1201" s="126">
        <v>45736</v>
      </c>
      <c r="L1201" s="36">
        <f>WEEKNUM(Table1[[#This Row],[ETA
As requested
dd.mm.yyyy]])</f>
        <v>12</v>
      </c>
      <c r="M1201" s="36">
        <f>YEAR(Table1[[#This Row],[ETA
As requested
dd.mm.yyyy]])</f>
        <v>2025</v>
      </c>
      <c r="N1201" s="36"/>
      <c r="O1201" s="129" t="str">
        <f>IF(E1201&lt;&gt;"", _xlfn.XLOOKUP(E1201, DATABASE_FG!C:C, DATABASE_FG!F:F), " ")</f>
        <v>Alama</v>
      </c>
      <c r="P1201" s="129">
        <f>IFERROR(INDEX(DATABASE_FG!$G$5:$G$367, MATCH(E1201, DATABASE_FG!$C$5:$C$367, 0)), "Not Found")</f>
        <v>0</v>
      </c>
      <c r="Q1201" s="36"/>
      <c r="R1201" s="125" t="s">
        <v>678</v>
      </c>
      <c r="S1201" s="123">
        <f>IFERROR(INDEX(DATABASE_FG!$L$5:$L$367, MATCH(E1201, DATABASE_FG!$C$5:$C$367, 0)), " ")</f>
        <v>0</v>
      </c>
      <c r="T1201" s="36" t="s">
        <v>679</v>
      </c>
      <c r="U1201" s="36"/>
      <c r="V1201" s="36"/>
      <c r="W1201" s="129"/>
      <c r="X1201" s="36"/>
      <c r="Y1201" s="36"/>
      <c r="Z1201" s="36"/>
      <c r="AA1201" s="125" t="s">
        <v>121</v>
      </c>
      <c r="AB1201" s="173">
        <v>45742</v>
      </c>
      <c r="AC1201" s="119">
        <v>25472</v>
      </c>
      <c r="AD1201" s="36">
        <f t="shared" si="131"/>
        <v>38770114</v>
      </c>
      <c r="AE1201" s="36" t="str">
        <f t="shared" si="132"/>
        <v>KUH.6326-M-3001</v>
      </c>
      <c r="AF1201" s="36">
        <v>48</v>
      </c>
      <c r="AG1201" s="120">
        <f t="shared" si="136"/>
        <v>433.91999999999996</v>
      </c>
      <c r="AH1201" s="36"/>
      <c r="AI1201" s="124"/>
      <c r="AJ1201" s="122" t="s">
        <v>2984</v>
      </c>
      <c r="AK1201" s="129" t="str">
        <f t="shared" ca="1" si="134"/>
        <v>Late</v>
      </c>
      <c r="AL1201" s="268" t="str">
        <f t="shared" si="135"/>
        <v>March</v>
      </c>
      <c r="AM1201" s="133">
        <f>YEAR(Table1[[#This Row],[ETA
As requested
dd.mm.yyyy]])</f>
        <v>2025</v>
      </c>
    </row>
    <row r="1202" spans="1:39" hidden="1">
      <c r="A1202" s="123" t="s">
        <v>83</v>
      </c>
      <c r="B1202" s="36" t="s">
        <v>1170</v>
      </c>
      <c r="C1202" s="117">
        <v>38770114</v>
      </c>
      <c r="D1202" s="165">
        <v>45721</v>
      </c>
      <c r="E1202" s="117" t="s">
        <v>2981</v>
      </c>
      <c r="F1202" s="36" t="str">
        <f>IFERROR(VLOOKUP(Table1[[#This Row],[Part Number]],DATABASE_FG!$C$6:D11191,2,FALSE)," ")</f>
        <v>Colivie</v>
      </c>
      <c r="G1202" s="117">
        <f>IFERROR(_xlfn.XLOOKUP(Table1[[#This Row],[Part Number]],Table3[Part number],Table3[Drawing
 Revision]),"")</f>
        <v>0</v>
      </c>
      <c r="H1202" s="118" cm="1">
        <f t="array" ref="H1202">IFERROR(INDEX(PDB!$C:$AT,MATCH(E1202,PDB!$B:$B,0),MATCH(YEAR(K1202),0+PDB!$C$1:$AT$1,0)),"")</f>
        <v>9.0399999999999991</v>
      </c>
      <c r="I1202" s="36">
        <v>66</v>
      </c>
      <c r="J1202" s="125">
        <f>IFERROR(Table1[[#This Row],[Quantity]]*Table1[[#This Row],[Price/Unit
EUR]]," ")</f>
        <v>596.64</v>
      </c>
      <c r="K1202" s="126">
        <v>45736</v>
      </c>
      <c r="L1202" s="36">
        <f>WEEKNUM(Table1[[#This Row],[ETA
As requested
dd.mm.yyyy]])</f>
        <v>12</v>
      </c>
      <c r="M1202" s="36">
        <f>YEAR(Table1[[#This Row],[ETA
As requested
dd.mm.yyyy]])</f>
        <v>2025</v>
      </c>
      <c r="N1202" s="36"/>
      <c r="O1202" s="129" t="str">
        <f>IF(E1202&lt;&gt;"", _xlfn.XLOOKUP(E1202, DATABASE_FG!C:C, DATABASE_FG!F:F), " ")</f>
        <v>Alama</v>
      </c>
      <c r="P1202" s="129">
        <f>IFERROR(INDEX(DATABASE_FG!$G$5:$G$367, MATCH(E1202, DATABASE_FG!$C$5:$C$367, 0)), "Not Found")</f>
        <v>0</v>
      </c>
      <c r="Q1202" s="36"/>
      <c r="R1202" s="125" t="s">
        <v>678</v>
      </c>
      <c r="S1202" s="123">
        <f>IFERROR(INDEX(DATABASE_FG!$L$5:$L$367, MATCH(E1202, DATABASE_FG!$C$5:$C$367, 0)), " ")</f>
        <v>0</v>
      </c>
      <c r="T1202" s="36" t="s">
        <v>679</v>
      </c>
      <c r="U1202" s="36"/>
      <c r="V1202" s="36"/>
      <c r="W1202" s="129"/>
      <c r="X1202" s="36"/>
      <c r="Y1202" s="36"/>
      <c r="Z1202" s="36"/>
      <c r="AA1202" s="125" t="s">
        <v>121</v>
      </c>
      <c r="AB1202" s="173">
        <v>45743</v>
      </c>
      <c r="AC1202" s="119">
        <v>25475</v>
      </c>
      <c r="AD1202" s="36">
        <f t="shared" si="131"/>
        <v>38770114</v>
      </c>
      <c r="AE1202" s="36" t="str">
        <f t="shared" si="132"/>
        <v>KUH.6326-M-3001</v>
      </c>
      <c r="AF1202" s="36">
        <v>66</v>
      </c>
      <c r="AG1202" s="120">
        <f t="shared" si="136"/>
        <v>596.64</v>
      </c>
      <c r="AH1202" s="36"/>
      <c r="AI1202" s="124"/>
      <c r="AJ1202" s="122" t="s">
        <v>2986</v>
      </c>
      <c r="AK1202" s="129" t="str">
        <f t="shared" ca="1" si="134"/>
        <v>Late</v>
      </c>
      <c r="AL1202" s="268" t="str">
        <f t="shared" si="135"/>
        <v>March</v>
      </c>
      <c r="AM1202" s="133">
        <f>YEAR(Table1[[#This Row],[ETA
As requested
dd.mm.yyyy]])</f>
        <v>2025</v>
      </c>
    </row>
    <row r="1203" spans="1:39" hidden="1">
      <c r="A1203" s="123" t="s">
        <v>83</v>
      </c>
      <c r="B1203" s="36" t="s">
        <v>1170</v>
      </c>
      <c r="C1203" s="117">
        <v>38770114</v>
      </c>
      <c r="D1203" s="165">
        <v>45721</v>
      </c>
      <c r="E1203" s="117" t="s">
        <v>2981</v>
      </c>
      <c r="F1203" s="36" t="str">
        <f>IFERROR(VLOOKUP(Table1[[#This Row],[Part Number]],DATABASE_FG!$C$6:D11192,2,FALSE)," ")</f>
        <v>Colivie</v>
      </c>
      <c r="G1203" s="117">
        <f>IFERROR(_xlfn.XLOOKUP(Table1[[#This Row],[Part Number]],Table3[Part number],Table3[Drawing
 Revision]),"")</f>
        <v>0</v>
      </c>
      <c r="H1203" s="118" cm="1">
        <f t="array" ref="H1203">IFERROR(INDEX(PDB!$C:$AT,MATCH(E1203,PDB!$B:$B,0),MATCH(YEAR(K1203),0+PDB!$C$1:$AT$1,0)),"")</f>
        <v>9.0399999999999991</v>
      </c>
      <c r="I1203" s="36">
        <v>59</v>
      </c>
      <c r="J1203" s="125">
        <f>IFERROR(Table1[[#This Row],[Quantity]]*Table1[[#This Row],[Price/Unit
EUR]]," ")</f>
        <v>533.3599999999999</v>
      </c>
      <c r="K1203" s="126">
        <v>45736</v>
      </c>
      <c r="L1203" s="36">
        <f>WEEKNUM(Table1[[#This Row],[ETA
As requested
dd.mm.yyyy]])</f>
        <v>12</v>
      </c>
      <c r="M1203" s="36">
        <f>YEAR(Table1[[#This Row],[ETA
As requested
dd.mm.yyyy]])</f>
        <v>2025</v>
      </c>
      <c r="N1203" s="36">
        <f>IFERROR(INDEX(DATABASE_FG!$H$5:$H$367, MATCH(E1203, DATABASE_FG!$C$5:$C$367, 0)), " ")</f>
        <v>0</v>
      </c>
      <c r="O1203" s="129" t="str">
        <f>IF(E1203&lt;&gt;"", _xlfn.XLOOKUP(E1203, DATABASE_FG!C:C, DATABASE_FG!F:F), " ")</f>
        <v>Alama</v>
      </c>
      <c r="P1203" s="129">
        <f>IFERROR(INDEX(DATABASE_FG!$G$5:$G$367, MATCH(E1203, DATABASE_FG!$C$5:$C$367, 0)), "Not Found")</f>
        <v>0</v>
      </c>
      <c r="Q1203" s="36"/>
      <c r="R1203" s="125" t="s">
        <v>678</v>
      </c>
      <c r="S1203" s="123"/>
      <c r="T1203" s="36" t="s">
        <v>679</v>
      </c>
      <c r="U1203" s="36"/>
      <c r="V1203" s="36"/>
      <c r="W1203" s="129"/>
      <c r="X1203" s="36"/>
      <c r="Y1203" s="36"/>
      <c r="Z1203" s="36"/>
      <c r="AA1203" s="125" t="s">
        <v>121</v>
      </c>
      <c r="AB1203" s="173">
        <v>45744</v>
      </c>
      <c r="AC1203" s="119">
        <v>25487</v>
      </c>
      <c r="AD1203" s="36">
        <f t="shared" si="131"/>
        <v>38770114</v>
      </c>
      <c r="AE1203" s="36" t="str">
        <f t="shared" si="132"/>
        <v>KUH.6326-M-3001</v>
      </c>
      <c r="AF1203" s="36">
        <v>59</v>
      </c>
      <c r="AG1203" s="120">
        <f t="shared" si="136"/>
        <v>533.3599999999999</v>
      </c>
      <c r="AH1203" s="36"/>
      <c r="AI1203" s="124"/>
      <c r="AJ1203" s="122" t="s">
        <v>2990</v>
      </c>
      <c r="AK1203" s="129" t="str">
        <f t="shared" ca="1" si="134"/>
        <v>Late</v>
      </c>
      <c r="AL1203" s="268" t="str">
        <f t="shared" si="135"/>
        <v>March</v>
      </c>
      <c r="AM1203" s="133">
        <f>YEAR(Table1[[#This Row],[ETA
As requested
dd.mm.yyyy]])</f>
        <v>2025</v>
      </c>
    </row>
    <row r="1204" spans="1:39" hidden="1">
      <c r="A1204" s="123" t="s">
        <v>83</v>
      </c>
      <c r="B1204" s="36" t="s">
        <v>1170</v>
      </c>
      <c r="C1204" s="117">
        <v>38770114</v>
      </c>
      <c r="D1204" s="165">
        <v>45721</v>
      </c>
      <c r="E1204" s="117" t="s">
        <v>2981</v>
      </c>
      <c r="F1204" s="36" t="str">
        <f>IFERROR(VLOOKUP(Table1[[#This Row],[Part Number]],DATABASE_FG!$C$6:D11193,2,FALSE)," ")</f>
        <v>Colivie</v>
      </c>
      <c r="G1204" s="117">
        <f>IFERROR(_xlfn.XLOOKUP(Table1[[#This Row],[Part Number]],Table3[Part number],Table3[Drawing
 Revision]),"")</f>
        <v>0</v>
      </c>
      <c r="H1204" s="118" cm="1">
        <f t="array" ref="H1204">IFERROR(INDEX(PDB!$C:$AT,MATCH(E1204,PDB!$B:$B,0),MATCH(YEAR(K1204),0+PDB!$C$1:$AT$1,0)),"")</f>
        <v>9.0399999999999991</v>
      </c>
      <c r="I1204" s="36">
        <v>16</v>
      </c>
      <c r="J1204" s="125">
        <f>IFERROR(Table1[[#This Row],[Quantity]]*Table1[[#This Row],[Price/Unit
EUR]]," ")</f>
        <v>144.63999999999999</v>
      </c>
      <c r="K1204" s="126">
        <v>45736</v>
      </c>
      <c r="L1204" s="36">
        <f>WEEKNUM(Table1[[#This Row],[ETA
As requested
dd.mm.yyyy]])</f>
        <v>12</v>
      </c>
      <c r="M1204" s="36">
        <f>YEAR(Table1[[#This Row],[ETA
As requested
dd.mm.yyyy]])</f>
        <v>2025</v>
      </c>
      <c r="N1204" s="36"/>
      <c r="O1204" s="129" t="str">
        <f>IF(E1204&lt;&gt;"", _xlfn.XLOOKUP(E1204, DATABASE_FG!C:C, DATABASE_FG!F:F), " ")</f>
        <v>Alama</v>
      </c>
      <c r="P1204" s="129">
        <f>IFERROR(INDEX(DATABASE_FG!$G$5:$G$367, MATCH(E1204, DATABASE_FG!$C$5:$C$367, 0)), "Not Found")</f>
        <v>0</v>
      </c>
      <c r="Q1204" s="36"/>
      <c r="R1204" s="125" t="s">
        <v>678</v>
      </c>
      <c r="S1204" s="123"/>
      <c r="T1204" s="36" t="s">
        <v>679</v>
      </c>
      <c r="U1204" s="36"/>
      <c r="V1204" s="36"/>
      <c r="W1204" s="129"/>
      <c r="X1204" s="36"/>
      <c r="Y1204" s="36"/>
      <c r="Z1204" s="36"/>
      <c r="AA1204" s="125" t="s">
        <v>121</v>
      </c>
      <c r="AB1204" s="173">
        <v>45744</v>
      </c>
      <c r="AC1204" s="119">
        <v>25490</v>
      </c>
      <c r="AD1204" s="36">
        <f t="shared" si="131"/>
        <v>38770114</v>
      </c>
      <c r="AE1204" s="36" t="str">
        <f t="shared" si="132"/>
        <v>KUH.6326-M-3001</v>
      </c>
      <c r="AF1204" s="36">
        <v>16</v>
      </c>
      <c r="AG1204" s="120">
        <f t="shared" si="136"/>
        <v>144.63999999999999</v>
      </c>
      <c r="AH1204" s="36"/>
      <c r="AI1204" s="124"/>
      <c r="AJ1204" s="122" t="s">
        <v>2991</v>
      </c>
      <c r="AK1204" s="129" t="str">
        <f t="shared" ca="1" si="134"/>
        <v>Late</v>
      </c>
      <c r="AL1204" s="268" t="str">
        <f t="shared" si="135"/>
        <v>March</v>
      </c>
      <c r="AM1204" s="133">
        <f>YEAR(Table1[[#This Row],[ETA
As requested
dd.mm.yyyy]])</f>
        <v>2025</v>
      </c>
    </row>
    <row r="1205" spans="1:39" hidden="1">
      <c r="A1205" s="123" t="s">
        <v>83</v>
      </c>
      <c r="B1205" s="36" t="s">
        <v>1170</v>
      </c>
      <c r="C1205" s="117">
        <v>38770114</v>
      </c>
      <c r="D1205" s="165">
        <v>45721</v>
      </c>
      <c r="E1205" s="117" t="s">
        <v>2981</v>
      </c>
      <c r="F1205" s="36" t="str">
        <f>IFERROR(VLOOKUP(Table1[[#This Row],[Part Number]],DATABASE_FG!$C$6:D11194,2,FALSE)," ")</f>
        <v>Colivie</v>
      </c>
      <c r="G1205" s="117">
        <f>IFERROR(_xlfn.XLOOKUP(Table1[[#This Row],[Part Number]],Table3[Part number],Table3[Drawing
 Revision]),"")</f>
        <v>0</v>
      </c>
      <c r="H1205" s="118" cm="1">
        <f t="array" ref="H1205">IFERROR(INDEX(PDB!$C:$AT,MATCH(E1205,PDB!$B:$B,0),MATCH(YEAR(K1205),0+PDB!$C$1:$AT$1,0)),"")</f>
        <v>9.0399999999999991</v>
      </c>
      <c r="I1205" s="36">
        <v>112</v>
      </c>
      <c r="J1205" s="125">
        <f>IFERROR(Table1[[#This Row],[Quantity]]*Table1[[#This Row],[Price/Unit
EUR]]," ")</f>
        <v>1012.4799999999999</v>
      </c>
      <c r="K1205" s="126">
        <v>45736</v>
      </c>
      <c r="L1205" s="36">
        <f>WEEKNUM(Table1[[#This Row],[ETA
As requested
dd.mm.yyyy]])</f>
        <v>12</v>
      </c>
      <c r="M1205" s="36">
        <f>YEAR(Table1[[#This Row],[ETA
As requested
dd.mm.yyyy]])</f>
        <v>2025</v>
      </c>
      <c r="N1205" s="36">
        <f>IFERROR(INDEX(DATABASE_FG!$H$5:$H$367, MATCH(E1205, DATABASE_FG!$C$5:$C$367, 0)), " ")</f>
        <v>0</v>
      </c>
      <c r="O1205" s="129" t="str">
        <f>IF(E1205&lt;&gt;"", _xlfn.XLOOKUP(E1205, DATABASE_FG!C:C, DATABASE_FG!F:F), " ")</f>
        <v>Alama</v>
      </c>
      <c r="P1205" s="129">
        <f>IFERROR(INDEX(DATABASE_FG!$G$5:$G$367, MATCH(E1205, DATABASE_FG!$C$5:$C$367, 0)), "Not Found")</f>
        <v>0</v>
      </c>
      <c r="Q1205" s="36"/>
      <c r="R1205" s="125" t="s">
        <v>678</v>
      </c>
      <c r="S1205" s="123"/>
      <c r="T1205" s="36" t="s">
        <v>679</v>
      </c>
      <c r="U1205" s="36"/>
      <c r="V1205" s="36"/>
      <c r="W1205" s="129"/>
      <c r="X1205" s="36"/>
      <c r="Y1205" s="36"/>
      <c r="Z1205" s="36"/>
      <c r="AA1205" s="125" t="s">
        <v>121</v>
      </c>
      <c r="AB1205" s="173">
        <v>45747</v>
      </c>
      <c r="AC1205" s="119">
        <v>25498</v>
      </c>
      <c r="AD1205" s="36">
        <f t="shared" si="131"/>
        <v>38770114</v>
      </c>
      <c r="AE1205" s="36" t="str">
        <f t="shared" si="132"/>
        <v>KUH.6326-M-3001</v>
      </c>
      <c r="AF1205" s="36">
        <v>112</v>
      </c>
      <c r="AG1205" s="120">
        <f t="shared" si="136"/>
        <v>1012.4799999999999</v>
      </c>
      <c r="AH1205" s="36"/>
      <c r="AI1205" s="124"/>
      <c r="AJ1205" s="122" t="s">
        <v>2993</v>
      </c>
      <c r="AK1205" s="129" t="str">
        <f t="shared" ca="1" si="134"/>
        <v>Late</v>
      </c>
      <c r="AL1205" s="268" t="str">
        <f t="shared" si="135"/>
        <v>March</v>
      </c>
      <c r="AM1205" s="133">
        <f>YEAR(Table1[[#This Row],[ETA
As requested
dd.mm.yyyy]])</f>
        <v>2025</v>
      </c>
    </row>
    <row r="1206" spans="1:39" hidden="1">
      <c r="A1206" s="123" t="s">
        <v>83</v>
      </c>
      <c r="B1206" s="36" t="s">
        <v>1170</v>
      </c>
      <c r="C1206" s="117">
        <v>38770114</v>
      </c>
      <c r="D1206" s="165">
        <v>45721</v>
      </c>
      <c r="E1206" s="117" t="s">
        <v>2981</v>
      </c>
      <c r="F1206" s="36" t="str">
        <f>IFERROR(VLOOKUP(Table1[[#This Row],[Part Number]],DATABASE_FG!$C$6:D11195,2,FALSE)," ")</f>
        <v>Colivie</v>
      </c>
      <c r="G1206" s="117">
        <f>IFERROR(_xlfn.XLOOKUP(Table1[[#This Row],[Part Number]],Table3[Part number],Table3[Drawing
 Revision]),"")</f>
        <v>0</v>
      </c>
      <c r="H1206" s="118" cm="1">
        <f t="array" ref="H1206">IFERROR(INDEX(PDB!$C:$AT,MATCH(E1206,PDB!$B:$B,0),MATCH(YEAR(K1206),0+PDB!$C$1:$AT$1,0)),"")</f>
        <v>9.0399999999999991</v>
      </c>
      <c r="I1206" s="36">
        <v>58</v>
      </c>
      <c r="J1206" s="125">
        <f>IFERROR(Table1[[#This Row],[Quantity]]*Table1[[#This Row],[Price/Unit
EUR]]," ")</f>
        <v>524.31999999999994</v>
      </c>
      <c r="K1206" s="126">
        <v>45736</v>
      </c>
      <c r="L1206" s="36">
        <f>WEEKNUM(Table1[[#This Row],[ETA
As requested
dd.mm.yyyy]])</f>
        <v>12</v>
      </c>
      <c r="M1206" s="36">
        <f>YEAR(Table1[[#This Row],[ETA
As requested
dd.mm.yyyy]])</f>
        <v>2025</v>
      </c>
      <c r="N1206" s="36">
        <f>IFERROR(INDEX(DATABASE_FG!$H$5:$H$367, MATCH(E1206, DATABASE_FG!$C$5:$C$367, 0)), " ")</f>
        <v>0</v>
      </c>
      <c r="O1206" s="129" t="str">
        <f>IF(E1206&lt;&gt;"", _xlfn.XLOOKUP(E1206, DATABASE_FG!C:C, DATABASE_FG!F:F), " ")</f>
        <v>Alama</v>
      </c>
      <c r="P1206" s="129">
        <f>IFERROR(INDEX(DATABASE_FG!$G$5:$G$367, MATCH(E1206, DATABASE_FG!$C$5:$C$367, 0)), "Not Found")</f>
        <v>0</v>
      </c>
      <c r="Q1206" s="36"/>
      <c r="R1206" s="125" t="s">
        <v>678</v>
      </c>
      <c r="S1206" s="123"/>
      <c r="T1206" s="36" t="s">
        <v>679</v>
      </c>
      <c r="U1206" s="36"/>
      <c r="V1206" s="36"/>
      <c r="W1206" s="129"/>
      <c r="X1206" s="36"/>
      <c r="Y1206" s="36"/>
      <c r="Z1206" s="36"/>
      <c r="AA1206" s="125" t="s">
        <v>121</v>
      </c>
      <c r="AB1206" s="173">
        <v>45748</v>
      </c>
      <c r="AC1206" s="119">
        <v>25514</v>
      </c>
      <c r="AD1206" s="36">
        <f t="shared" si="131"/>
        <v>38770114</v>
      </c>
      <c r="AE1206" s="36" t="str">
        <f t="shared" si="132"/>
        <v>KUH.6326-M-3001</v>
      </c>
      <c r="AF1206" s="36">
        <v>58</v>
      </c>
      <c r="AG1206" s="120">
        <f t="shared" si="136"/>
        <v>524.31999999999994</v>
      </c>
      <c r="AH1206" s="36"/>
      <c r="AI1206" s="124"/>
      <c r="AJ1206" s="122" t="s">
        <v>2995</v>
      </c>
      <c r="AK1206" s="129" t="str">
        <f t="shared" ca="1" si="134"/>
        <v>Late</v>
      </c>
      <c r="AL1206" s="268" t="str">
        <f t="shared" si="135"/>
        <v>March</v>
      </c>
      <c r="AM1206" s="133">
        <f>YEAR(Table1[[#This Row],[ETA
As requested
dd.mm.yyyy]])</f>
        <v>2025</v>
      </c>
    </row>
    <row r="1207" spans="1:39" hidden="1">
      <c r="A1207" s="123" t="s">
        <v>83</v>
      </c>
      <c r="B1207" s="36" t="s">
        <v>1170</v>
      </c>
      <c r="C1207" s="117">
        <v>38770114</v>
      </c>
      <c r="D1207" s="165">
        <v>45721</v>
      </c>
      <c r="E1207" s="117" t="s">
        <v>2981</v>
      </c>
      <c r="F1207" s="36" t="str">
        <f>IFERROR(VLOOKUP(Table1[[#This Row],[Part Number]],DATABASE_FG!$C$6:D11196,2,FALSE)," ")</f>
        <v>Colivie</v>
      </c>
      <c r="G1207" s="117">
        <f>IFERROR(_xlfn.XLOOKUP(Table1[[#This Row],[Part Number]],Table3[Part number],Table3[Drawing
 Revision]),"")</f>
        <v>0</v>
      </c>
      <c r="H1207" s="118" cm="1">
        <f t="array" ref="H1207">IFERROR(INDEX(PDB!$C:$AT,MATCH(E1207,PDB!$B:$B,0),MATCH(YEAR(K1207),0+PDB!$C$1:$AT$1,0)),"")</f>
        <v>9.0399999999999991</v>
      </c>
      <c r="I1207" s="36">
        <v>32</v>
      </c>
      <c r="J1207" s="125">
        <f>IFERROR(Table1[[#This Row],[Quantity]]*Table1[[#This Row],[Price/Unit
EUR]]," ")</f>
        <v>289.27999999999997</v>
      </c>
      <c r="K1207" s="126">
        <v>45736</v>
      </c>
      <c r="L1207" s="36">
        <f>WEEKNUM(Table1[[#This Row],[ETA
As requested
dd.mm.yyyy]])</f>
        <v>12</v>
      </c>
      <c r="M1207" s="36">
        <f>YEAR(Table1[[#This Row],[ETA
As requested
dd.mm.yyyy]])</f>
        <v>2025</v>
      </c>
      <c r="N1207" s="36">
        <f>IFERROR(INDEX(DATABASE_FG!$H$5:$H$367, MATCH(E1207, DATABASE_FG!$C$5:$C$367, 0)), " ")</f>
        <v>0</v>
      </c>
      <c r="O1207" s="129" t="str">
        <f>IF(E1207&lt;&gt;"", _xlfn.XLOOKUP(E1207, DATABASE_FG!C:C, DATABASE_FG!F:F), " ")</f>
        <v>Alama</v>
      </c>
      <c r="P1207" s="129">
        <f>IFERROR(INDEX(DATABASE_FG!$G$5:$G$367, MATCH(E1207, DATABASE_FG!$C$5:$C$367, 0)), "Not Found")</f>
        <v>0</v>
      </c>
      <c r="Q1207" s="36"/>
      <c r="R1207" s="125" t="s">
        <v>678</v>
      </c>
      <c r="S1207" s="123"/>
      <c r="T1207" s="36" t="s">
        <v>679</v>
      </c>
      <c r="U1207" s="36"/>
      <c r="V1207" s="36"/>
      <c r="W1207" s="129"/>
      <c r="X1207" s="36"/>
      <c r="Y1207" s="36"/>
      <c r="Z1207" s="36"/>
      <c r="AA1207" s="125" t="s">
        <v>121</v>
      </c>
      <c r="AB1207" s="173">
        <v>45749</v>
      </c>
      <c r="AC1207" s="119" t="s">
        <v>2996</v>
      </c>
      <c r="AD1207" s="36">
        <f t="shared" si="131"/>
        <v>38770114</v>
      </c>
      <c r="AE1207" s="36" t="str">
        <f t="shared" si="132"/>
        <v>KUH.6326-M-3001</v>
      </c>
      <c r="AF1207" s="36">
        <v>32</v>
      </c>
      <c r="AG1207" s="120">
        <f t="shared" si="136"/>
        <v>289.27999999999997</v>
      </c>
      <c r="AH1207" s="36"/>
      <c r="AI1207" s="124"/>
      <c r="AJ1207" s="122" t="s">
        <v>2997</v>
      </c>
      <c r="AK1207" s="129" t="str">
        <f t="shared" ca="1" si="134"/>
        <v>Late</v>
      </c>
      <c r="AL1207" s="268" t="str">
        <f t="shared" si="135"/>
        <v>March</v>
      </c>
      <c r="AM1207" s="133">
        <f>YEAR(Table1[[#This Row],[ETA
As requested
dd.mm.yyyy]])</f>
        <v>2025</v>
      </c>
    </row>
    <row r="1208" spans="1:39" hidden="1">
      <c r="A1208" s="123" t="s">
        <v>83</v>
      </c>
      <c r="B1208" s="36" t="s">
        <v>1170</v>
      </c>
      <c r="C1208" s="117">
        <v>38770114</v>
      </c>
      <c r="D1208" s="165">
        <v>45721</v>
      </c>
      <c r="E1208" s="117" t="s">
        <v>2981</v>
      </c>
      <c r="F1208" s="36" t="str">
        <f>IFERROR(VLOOKUP(Table1[[#This Row],[Part Number]],DATABASE_FG!$C$6:D11197,2,FALSE)," ")</f>
        <v>Colivie</v>
      </c>
      <c r="G1208" s="117">
        <f>IFERROR(_xlfn.XLOOKUP(Table1[[#This Row],[Part Number]],Table3[Part number],Table3[Drawing
 Revision]),"")</f>
        <v>0</v>
      </c>
      <c r="H1208" s="118" cm="1">
        <f t="array" ref="H1208">IFERROR(INDEX(PDB!$C:$AT,MATCH(E1208,PDB!$B:$B,0),MATCH(YEAR(K1208),0+PDB!$C$1:$AT$1,0)),"")</f>
        <v>9.0399999999999991</v>
      </c>
      <c r="I1208" s="36">
        <v>96</v>
      </c>
      <c r="J1208" s="125">
        <f>IFERROR(Table1[[#This Row],[Quantity]]*Table1[[#This Row],[Price/Unit
EUR]]," ")</f>
        <v>867.83999999999992</v>
      </c>
      <c r="K1208" s="126">
        <v>45736</v>
      </c>
      <c r="L1208" s="36">
        <f>WEEKNUM(Table1[[#This Row],[ETA
As requested
dd.mm.yyyy]])</f>
        <v>12</v>
      </c>
      <c r="M1208" s="36">
        <f>YEAR(Table1[[#This Row],[ETA
As requested
dd.mm.yyyy]])</f>
        <v>2025</v>
      </c>
      <c r="N1208" s="36"/>
      <c r="O1208" s="129" t="str">
        <f>IF(E1208&lt;&gt;"", _xlfn.XLOOKUP(E1208, DATABASE_FG!C:C, DATABASE_FG!F:F), " ")</f>
        <v>Alama</v>
      </c>
      <c r="P1208" s="129">
        <f>IFERROR(INDEX(DATABASE_FG!$G$5:$G$367, MATCH(E1208, DATABASE_FG!$C$5:$C$367, 0)), "Not Found")</f>
        <v>0</v>
      </c>
      <c r="Q1208" s="36"/>
      <c r="R1208" s="125" t="s">
        <v>678</v>
      </c>
      <c r="S1208" s="123"/>
      <c r="T1208" s="36" t="s">
        <v>679</v>
      </c>
      <c r="U1208" s="36"/>
      <c r="V1208" s="36"/>
      <c r="W1208" s="129"/>
      <c r="X1208" s="36"/>
      <c r="Y1208" s="36"/>
      <c r="Z1208" s="36"/>
      <c r="AA1208" s="125" t="s">
        <v>121</v>
      </c>
      <c r="AB1208" s="173">
        <v>45750</v>
      </c>
      <c r="AC1208" s="119">
        <v>25534</v>
      </c>
      <c r="AD1208" s="36">
        <f t="shared" ref="AD1208:AD1271" si="137">IF(NOT(ISBLANK(AC1208)), C1208, "")</f>
        <v>38770114</v>
      </c>
      <c r="AE1208" s="36" t="str">
        <f t="shared" ref="AE1208:AE1271" si="138">IF(NOT(ISBLANK(AC1208)), E1208, "")</f>
        <v>KUH.6326-M-3001</v>
      </c>
      <c r="AF1208" s="36">
        <v>96</v>
      </c>
      <c r="AG1208" s="120">
        <f t="shared" si="136"/>
        <v>867.83999999999992</v>
      </c>
      <c r="AH1208" s="36"/>
      <c r="AI1208" s="124"/>
      <c r="AJ1208" s="122" t="s">
        <v>2998</v>
      </c>
      <c r="AK1208" s="129" t="str">
        <f t="shared" ca="1" si="134"/>
        <v>Late</v>
      </c>
      <c r="AL1208" s="268" t="str">
        <f t="shared" si="135"/>
        <v>March</v>
      </c>
      <c r="AM1208" s="133">
        <f>YEAR(Table1[[#This Row],[ETA
As requested
dd.mm.yyyy]])</f>
        <v>2025</v>
      </c>
    </row>
    <row r="1209" spans="1:39" hidden="1">
      <c r="A1209" s="123" t="s">
        <v>83</v>
      </c>
      <c r="B1209" s="36" t="s">
        <v>1170</v>
      </c>
      <c r="C1209" s="117">
        <v>38770114</v>
      </c>
      <c r="D1209" s="165">
        <v>45721</v>
      </c>
      <c r="E1209" s="117" t="s">
        <v>2981</v>
      </c>
      <c r="F1209" s="36" t="str">
        <f>IFERROR(VLOOKUP(Table1[[#This Row],[Part Number]],DATABASE_FG!$C$6:D11198,2,FALSE)," ")</f>
        <v>Colivie</v>
      </c>
      <c r="G1209" s="117">
        <f>IFERROR(_xlfn.XLOOKUP(Table1[[#This Row],[Part Number]],Table3[Part number],Table3[Drawing
 Revision]),"")</f>
        <v>0</v>
      </c>
      <c r="H1209" s="118" cm="1">
        <f t="array" ref="H1209">IFERROR(INDEX(PDB!$C:$AT,MATCH(E1209,PDB!$B:$B,0),MATCH(YEAR(K1209),0+PDB!$C$1:$AT$1,0)),"")</f>
        <v>9.0399999999999991</v>
      </c>
      <c r="I1209" s="36">
        <v>96</v>
      </c>
      <c r="J1209" s="125">
        <f>IFERROR(Table1[[#This Row],[Quantity]]*Table1[[#This Row],[Price/Unit
EUR]]," ")</f>
        <v>867.83999999999992</v>
      </c>
      <c r="K1209" s="126">
        <v>45736</v>
      </c>
      <c r="L1209" s="36">
        <f>WEEKNUM(Table1[[#This Row],[ETA
As requested
dd.mm.yyyy]])</f>
        <v>12</v>
      </c>
      <c r="M1209" s="36">
        <f>YEAR(Table1[[#This Row],[ETA
As requested
dd.mm.yyyy]])</f>
        <v>2025</v>
      </c>
      <c r="N1209" s="36"/>
      <c r="O1209" s="129" t="str">
        <f>IF(E1209&lt;&gt;"", _xlfn.XLOOKUP(E1209, DATABASE_FG!C:C, DATABASE_FG!F:F), " ")</f>
        <v>Alama</v>
      </c>
      <c r="P1209" s="129">
        <f>IFERROR(INDEX(DATABASE_FG!$G$5:$G$367, MATCH(E1209, DATABASE_FG!$C$5:$C$367, 0)), "Not Found")</f>
        <v>0</v>
      </c>
      <c r="Q1209" s="36"/>
      <c r="R1209" s="125" t="s">
        <v>678</v>
      </c>
      <c r="S1209" s="123"/>
      <c r="T1209" s="36" t="s">
        <v>679</v>
      </c>
      <c r="U1209" s="36"/>
      <c r="V1209" s="36"/>
      <c r="W1209" s="129"/>
      <c r="X1209" s="36"/>
      <c r="Y1209" s="36"/>
      <c r="Z1209" s="36"/>
      <c r="AA1209" s="125" t="s">
        <v>121</v>
      </c>
      <c r="AB1209" s="173">
        <v>45751</v>
      </c>
      <c r="AC1209" s="119">
        <v>25537</v>
      </c>
      <c r="AD1209" s="36">
        <f t="shared" si="137"/>
        <v>38770114</v>
      </c>
      <c r="AE1209" s="36" t="str">
        <f t="shared" si="138"/>
        <v>KUH.6326-M-3001</v>
      </c>
      <c r="AF1209" s="36">
        <v>96</v>
      </c>
      <c r="AG1209" s="120">
        <f t="shared" si="136"/>
        <v>867.83999999999992</v>
      </c>
      <c r="AH1209" s="36"/>
      <c r="AI1209" s="124"/>
      <c r="AJ1209" s="122" t="s">
        <v>2999</v>
      </c>
      <c r="AK1209" s="129" t="str">
        <f t="shared" ca="1" si="134"/>
        <v>Late</v>
      </c>
      <c r="AL1209" s="268" t="str">
        <f t="shared" si="135"/>
        <v>March</v>
      </c>
      <c r="AM1209" s="133">
        <f>YEAR(Table1[[#This Row],[ETA
As requested
dd.mm.yyyy]])</f>
        <v>2025</v>
      </c>
    </row>
    <row r="1210" spans="1:39" hidden="1">
      <c r="A1210" s="123" t="s">
        <v>83</v>
      </c>
      <c r="B1210" s="36" t="s">
        <v>1170</v>
      </c>
      <c r="C1210" s="117">
        <v>38770114</v>
      </c>
      <c r="D1210" s="165">
        <v>45721</v>
      </c>
      <c r="E1210" s="117" t="s">
        <v>2981</v>
      </c>
      <c r="F1210" s="36" t="str">
        <f>IFERROR(VLOOKUP(Table1[[#This Row],[Part Number]],DATABASE_FG!$C$6:D11199,2,FALSE)," ")</f>
        <v>Colivie</v>
      </c>
      <c r="G1210" s="117">
        <f>IFERROR(_xlfn.XLOOKUP(Table1[[#This Row],[Part Number]],Table3[Part number],Table3[Drawing
 Revision]),"")</f>
        <v>0</v>
      </c>
      <c r="H1210" s="118" cm="1">
        <f t="array" ref="H1210">IFERROR(INDEX(PDB!$C:$AT,MATCH(E1210,PDB!$B:$B,0),MATCH(YEAR(K1210),0+PDB!$C$1:$AT$1,0)),"")</f>
        <v>9.0399999999999991</v>
      </c>
      <c r="I1210" s="36">
        <v>128</v>
      </c>
      <c r="J1210" s="125">
        <f>IFERROR(Table1[[#This Row],[Quantity]]*Table1[[#This Row],[Price/Unit
EUR]]," ")</f>
        <v>1157.1199999999999</v>
      </c>
      <c r="K1210" s="126">
        <v>45736</v>
      </c>
      <c r="L1210" s="36">
        <f>WEEKNUM(Table1[[#This Row],[ETA
As requested
dd.mm.yyyy]])</f>
        <v>12</v>
      </c>
      <c r="M1210" s="36">
        <f>YEAR(Table1[[#This Row],[ETA
As requested
dd.mm.yyyy]])</f>
        <v>2025</v>
      </c>
      <c r="N1210" s="36"/>
      <c r="O1210" s="129" t="str">
        <f>IF(E1210&lt;&gt;"", _xlfn.XLOOKUP(E1210, DATABASE_FG!C:C, DATABASE_FG!F:F), " ")</f>
        <v>Alama</v>
      </c>
      <c r="P1210" s="129">
        <f>IFERROR(INDEX(DATABASE_FG!$G$5:$G$367, MATCH(E1210, DATABASE_FG!$C$5:$C$367, 0)), "Not Found")</f>
        <v>0</v>
      </c>
      <c r="Q1210" s="36"/>
      <c r="R1210" s="125" t="s">
        <v>678</v>
      </c>
      <c r="S1210" s="123"/>
      <c r="T1210" s="36" t="s">
        <v>679</v>
      </c>
      <c r="U1210" s="36"/>
      <c r="V1210" s="36"/>
      <c r="W1210" s="129"/>
      <c r="X1210" s="36"/>
      <c r="Y1210" s="36"/>
      <c r="Z1210" s="36"/>
      <c r="AA1210" s="125" t="s">
        <v>121</v>
      </c>
      <c r="AB1210" s="173">
        <v>45754</v>
      </c>
      <c r="AC1210" s="119">
        <v>25546</v>
      </c>
      <c r="AD1210" s="36">
        <f t="shared" si="137"/>
        <v>38770114</v>
      </c>
      <c r="AE1210" s="36" t="str">
        <f t="shared" si="138"/>
        <v>KUH.6326-M-3001</v>
      </c>
      <c r="AF1210" s="36">
        <v>128</v>
      </c>
      <c r="AG1210" s="120">
        <f t="shared" si="136"/>
        <v>1157.1199999999999</v>
      </c>
      <c r="AH1210" s="36"/>
      <c r="AI1210" s="124"/>
      <c r="AJ1210" s="122" t="s">
        <v>3000</v>
      </c>
      <c r="AK1210" s="129" t="str">
        <f t="shared" ca="1" si="134"/>
        <v>Late</v>
      </c>
      <c r="AL1210" s="268" t="str">
        <f t="shared" si="135"/>
        <v>March</v>
      </c>
      <c r="AM1210" s="133">
        <f>YEAR(Table1[[#This Row],[ETA
As requested
dd.mm.yyyy]])</f>
        <v>2025</v>
      </c>
    </row>
    <row r="1211" spans="1:39" hidden="1">
      <c r="A1211" s="123" t="s">
        <v>83</v>
      </c>
      <c r="B1211" s="36" t="s">
        <v>1170</v>
      </c>
      <c r="C1211" s="117">
        <v>38770114</v>
      </c>
      <c r="D1211" s="165">
        <v>45721</v>
      </c>
      <c r="E1211" s="117" t="s">
        <v>2981</v>
      </c>
      <c r="F1211" s="36" t="str">
        <f>IFERROR(VLOOKUP(Table1[[#This Row],[Part Number]],DATABASE_FG!$C$6:D11200,2,FALSE)," ")</f>
        <v>Colivie</v>
      </c>
      <c r="G1211" s="117">
        <f>IFERROR(_xlfn.XLOOKUP(Table1[[#This Row],[Part Number]],Table3[Part number],Table3[Drawing
 Revision]),"")</f>
        <v>0</v>
      </c>
      <c r="H1211" s="118" cm="1">
        <f t="array" ref="H1211">IFERROR(INDEX(PDB!$C:$AT,MATCH(E1211,PDB!$B:$B,0),MATCH(YEAR(K1211),0+PDB!$C$1:$AT$1,0)),"")</f>
        <v>9.0399999999999991</v>
      </c>
      <c r="I1211" s="36">
        <v>107</v>
      </c>
      <c r="J1211" s="125">
        <f>IFERROR(Table1[[#This Row],[Quantity]]*Table1[[#This Row],[Price/Unit
EUR]]," ")</f>
        <v>967.27999999999986</v>
      </c>
      <c r="K1211" s="126">
        <v>45736</v>
      </c>
      <c r="L1211" s="36">
        <f>WEEKNUM(Table1[[#This Row],[ETA
As requested
dd.mm.yyyy]])</f>
        <v>12</v>
      </c>
      <c r="M1211" s="36">
        <f>YEAR(Table1[[#This Row],[ETA
As requested
dd.mm.yyyy]])</f>
        <v>2025</v>
      </c>
      <c r="N1211" s="36">
        <f>IFERROR(INDEX(DATABASE_FG!$H$5:$H$367, MATCH(E1211, DATABASE_FG!$C$5:$C$367, 0)), " ")</f>
        <v>0</v>
      </c>
      <c r="O1211" s="129" t="str">
        <f>IF(E1211&lt;&gt;"", _xlfn.XLOOKUP(E1211, DATABASE_FG!C:C, DATABASE_FG!F:F), " ")</f>
        <v>Alama</v>
      </c>
      <c r="P1211" s="129">
        <f>IFERROR(INDEX(DATABASE_FG!$G$5:$G$367, MATCH(E1211, DATABASE_FG!$C$5:$C$367, 0)), "Not Found")</f>
        <v>0</v>
      </c>
      <c r="Q1211" s="36"/>
      <c r="R1211" s="125" t="s">
        <v>678</v>
      </c>
      <c r="S1211" s="123"/>
      <c r="T1211" s="36" t="s">
        <v>679</v>
      </c>
      <c r="U1211" s="36"/>
      <c r="V1211" s="36"/>
      <c r="W1211" s="129"/>
      <c r="X1211" s="36"/>
      <c r="Y1211" s="36"/>
      <c r="Z1211" s="36"/>
      <c r="AA1211" s="125" t="s">
        <v>121</v>
      </c>
      <c r="AB1211" s="173">
        <v>45755</v>
      </c>
      <c r="AC1211" s="119">
        <v>25566</v>
      </c>
      <c r="AD1211" s="36">
        <f t="shared" si="137"/>
        <v>38770114</v>
      </c>
      <c r="AE1211" s="36" t="str">
        <f t="shared" si="138"/>
        <v>KUH.6326-M-3001</v>
      </c>
      <c r="AF1211" s="36">
        <v>107</v>
      </c>
      <c r="AG1211" s="120">
        <f t="shared" si="136"/>
        <v>967.27999999999986</v>
      </c>
      <c r="AH1211" s="36"/>
      <c r="AI1211" s="124"/>
      <c r="AJ1211" s="122" t="s">
        <v>3001</v>
      </c>
      <c r="AK1211" s="129" t="str">
        <f t="shared" ca="1" si="134"/>
        <v>Late</v>
      </c>
      <c r="AL1211" s="268" t="str">
        <f t="shared" si="135"/>
        <v>March</v>
      </c>
      <c r="AM1211" s="133">
        <f>YEAR(Table1[[#This Row],[ETA
As requested
dd.mm.yyyy]])</f>
        <v>2025</v>
      </c>
    </row>
    <row r="1212" spans="1:39" hidden="1">
      <c r="A1212" s="123" t="s">
        <v>83</v>
      </c>
      <c r="B1212" s="36" t="s">
        <v>1170</v>
      </c>
      <c r="C1212" s="117">
        <v>38770114</v>
      </c>
      <c r="D1212" s="165">
        <v>45721</v>
      </c>
      <c r="E1212" s="117" t="s">
        <v>2981</v>
      </c>
      <c r="F1212" s="36" t="str">
        <f>IFERROR(VLOOKUP(Table1[[#This Row],[Part Number]],DATABASE_FG!$C$6:D11201,2,FALSE)," ")</f>
        <v>Colivie</v>
      </c>
      <c r="G1212" s="117">
        <f>IFERROR(_xlfn.XLOOKUP(Table1[[#This Row],[Part Number]],Table3[Part number],Table3[Drawing
 Revision]),"")</f>
        <v>0</v>
      </c>
      <c r="H1212" s="118" cm="1">
        <f t="array" ref="H1212">IFERROR(INDEX(PDB!$C:$AT,MATCH(E1212,PDB!$B:$B,0),MATCH(YEAR(K1212),0+PDB!$C$1:$AT$1,0)),"")</f>
        <v>9.0399999999999991</v>
      </c>
      <c r="I1212" s="36">
        <f>(835-48-66-59-16-112-58-32-96-96)+20-128-107</f>
        <v>37</v>
      </c>
      <c r="J1212" s="125">
        <f>IFERROR(Table1[[#This Row],[Quantity]]*Table1[[#This Row],[Price/Unit
EUR]]," ")</f>
        <v>334.47999999999996</v>
      </c>
      <c r="K1212" s="126">
        <v>45736</v>
      </c>
      <c r="L1212" s="36">
        <f>WEEKNUM(Table1[[#This Row],[ETA
As requested
dd.mm.yyyy]])</f>
        <v>12</v>
      </c>
      <c r="M1212" s="36">
        <f>YEAR(Table1[[#This Row],[ETA
As requested
dd.mm.yyyy]])</f>
        <v>2025</v>
      </c>
      <c r="N1212" s="36">
        <f>IFERROR(INDEX(DATABASE_FG!$H$5:$H$367, MATCH(E1212, DATABASE_FG!$C$5:$C$367, 0)), " ")</f>
        <v>0</v>
      </c>
      <c r="O1212" s="129" t="str">
        <f>IF(E1212&lt;&gt;"", _xlfn.XLOOKUP(E1212, DATABASE_FG!C:C, DATABASE_FG!F:F), " ")</f>
        <v>Alama</v>
      </c>
      <c r="P1212" s="129">
        <f>IFERROR(INDEX(DATABASE_FG!$G$5:$G$367, MATCH(E1212, DATABASE_FG!$C$5:$C$367, 0)), "Not Found")</f>
        <v>0</v>
      </c>
      <c r="Q1212" s="36"/>
      <c r="R1212" s="125" t="s">
        <v>678</v>
      </c>
      <c r="S1212" s="123"/>
      <c r="T1212" s="36" t="s">
        <v>679</v>
      </c>
      <c r="U1212" s="36"/>
      <c r="V1212" s="36"/>
      <c r="W1212" s="129"/>
      <c r="X1212" s="36"/>
      <c r="Y1212" s="36"/>
      <c r="Z1212" s="36"/>
      <c r="AA1212" s="125" t="s">
        <v>121</v>
      </c>
      <c r="AB1212" s="173">
        <v>45763</v>
      </c>
      <c r="AC1212" s="119" t="s">
        <v>3003</v>
      </c>
      <c r="AD1212" s="36">
        <f t="shared" si="137"/>
        <v>38770114</v>
      </c>
      <c r="AE1212" s="36" t="str">
        <f t="shared" si="138"/>
        <v>KUH.6326-M-3001</v>
      </c>
      <c r="AF1212" s="36">
        <v>0</v>
      </c>
      <c r="AG1212" s="120">
        <f t="shared" si="136"/>
        <v>0</v>
      </c>
      <c r="AH1212" s="36">
        <v>17</v>
      </c>
      <c r="AI1212" s="124" t="s">
        <v>3004</v>
      </c>
      <c r="AJ1212" s="122" t="s">
        <v>3005</v>
      </c>
      <c r="AK1212" s="129" t="str">
        <f t="shared" ca="1" si="134"/>
        <v>Late</v>
      </c>
      <c r="AL1212" s="268" t="str">
        <f t="shared" si="135"/>
        <v>March</v>
      </c>
      <c r="AM1212" s="133">
        <f>YEAR(Table1[[#This Row],[ETA
As requested
dd.mm.yyyy]])</f>
        <v>2025</v>
      </c>
    </row>
    <row r="1213" spans="1:39" hidden="1">
      <c r="A1213" s="123" t="s">
        <v>83</v>
      </c>
      <c r="B1213" s="36" t="s">
        <v>1170</v>
      </c>
      <c r="C1213" s="117">
        <v>38840189</v>
      </c>
      <c r="D1213" s="165">
        <v>45729</v>
      </c>
      <c r="E1213" s="117" t="s">
        <v>95</v>
      </c>
      <c r="F1213" s="36" t="str">
        <f>IFERROR(VLOOKUP(Table1[[#This Row],[Part Number]],DATABASE_FG!$C$6:D11202,2,FALSE)," ")</f>
        <v>081046383-8011</v>
      </c>
      <c r="G1213" s="117" t="str">
        <f>IFERROR(_xlfn.XLOOKUP(Table1[[#This Row],[Part Number]],Table3[Part number],Table3[Drawing
 Revision]),"")</f>
        <v>AA</v>
      </c>
      <c r="H1213" s="118" cm="1">
        <f t="array" ref="H1213">IFERROR(INDEX(PDB!$C:$AT,MATCH(E1213,PDB!$B:$B,0),MATCH(YEAR(K1213),0+PDB!$C$1:$AT$1,0)),"")</f>
        <v>0.63</v>
      </c>
      <c r="I1213" s="36">
        <v>5</v>
      </c>
      <c r="J1213" s="125">
        <f>IFERROR(Table1[[#This Row],[Quantity]]*Table1[[#This Row],[Price/Unit
EUR]]," ")</f>
        <v>3.15</v>
      </c>
      <c r="K1213" s="126">
        <v>45743</v>
      </c>
      <c r="L1213" s="36">
        <f>WEEKNUM(Table1[[#This Row],[ETA
As requested
dd.mm.yyyy]])</f>
        <v>13</v>
      </c>
      <c r="M1213" s="36">
        <f>YEAR(Table1[[#This Row],[ETA
As requested
dd.mm.yyyy]])</f>
        <v>2025</v>
      </c>
      <c r="N1213" s="36"/>
      <c r="O1213" s="129" t="str">
        <f>IF(E1213&lt;&gt;"", _xlfn.XLOOKUP(E1213, DATABASE_FG!C:C, DATABASE_FG!F:F), " ")</f>
        <v>Dummy guideway</v>
      </c>
      <c r="P1213" s="129"/>
      <c r="Q1213" s="36"/>
      <c r="R1213" s="125"/>
      <c r="S1213" s="123"/>
      <c r="T1213" s="36" t="s">
        <v>679</v>
      </c>
      <c r="U1213" s="36"/>
      <c r="V1213" s="36"/>
      <c r="W1213" s="129"/>
      <c r="X1213" s="36"/>
      <c r="Y1213" s="36"/>
      <c r="Z1213" s="36"/>
      <c r="AA1213" s="125" t="s">
        <v>121</v>
      </c>
      <c r="AB1213" s="173">
        <v>45754</v>
      </c>
      <c r="AC1213" s="119">
        <v>25548</v>
      </c>
      <c r="AD1213" s="36">
        <f t="shared" si="137"/>
        <v>38840189</v>
      </c>
      <c r="AE1213" s="36" t="str">
        <f t="shared" si="138"/>
        <v>MSX.RWU25-E-0251-WW1</v>
      </c>
      <c r="AF1213" s="36">
        <v>5</v>
      </c>
      <c r="AG1213" s="120">
        <f t="shared" si="136"/>
        <v>3.15</v>
      </c>
      <c r="AH1213" s="36"/>
      <c r="AI1213" s="124" t="s">
        <v>310</v>
      </c>
      <c r="AJ1213" s="122" t="s">
        <v>3015</v>
      </c>
      <c r="AK1213" s="129" t="str">
        <f t="shared" ca="1" si="134"/>
        <v>Late</v>
      </c>
      <c r="AL1213" s="268" t="str">
        <f t="shared" si="135"/>
        <v>March</v>
      </c>
      <c r="AM1213" s="133">
        <f>YEAR(Table1[[#This Row],[ETA
As requested
dd.mm.yyyy]])</f>
        <v>2025</v>
      </c>
    </row>
    <row r="1214" spans="1:39" hidden="1">
      <c r="A1214" s="123" t="s">
        <v>83</v>
      </c>
      <c r="B1214" s="36" t="s">
        <v>1170</v>
      </c>
      <c r="C1214" s="117">
        <v>38840189</v>
      </c>
      <c r="D1214" s="165">
        <v>45729</v>
      </c>
      <c r="E1214" s="219" t="s">
        <v>95</v>
      </c>
      <c r="F1214" s="36" t="str">
        <f>IFERROR(VLOOKUP(Table1[[#This Row],[Part Number]],DATABASE_FG!$C$6:D11203,2,FALSE)," ")</f>
        <v>081046383-8011</v>
      </c>
      <c r="G1214" s="117" t="str">
        <f>IFERROR(_xlfn.XLOOKUP(Table1[[#This Row],[Part Number]],Table3[Part number],Table3[Drawing
 Revision]),"")</f>
        <v>AA</v>
      </c>
      <c r="H1214" s="118" cm="1">
        <f t="array" ref="H1214">IFERROR(INDEX(PDB!$C:$AT,MATCH(E1214,PDB!$B:$B,0),MATCH(YEAR(K1214),0+PDB!$C$1:$AT$1,0)),"")</f>
        <v>0.63</v>
      </c>
      <c r="I1214" s="36">
        <v>1000</v>
      </c>
      <c r="J1214" s="125">
        <f>IFERROR(Table1[[#This Row],[Quantity]]*Table1[[#This Row],[Price/Unit
EUR]]," ")</f>
        <v>630</v>
      </c>
      <c r="K1214" s="126">
        <v>45743</v>
      </c>
      <c r="L1214" s="36">
        <f>WEEKNUM(Table1[[#This Row],[ETA
As requested
dd.mm.yyyy]])</f>
        <v>13</v>
      </c>
      <c r="M1214" s="36">
        <f>YEAR(Table1[[#This Row],[ETA
As requested
dd.mm.yyyy]])</f>
        <v>2025</v>
      </c>
      <c r="N1214" s="36">
        <f>IFERROR(INDEX(DATABASE_FG!$H$5:$H$367, MATCH(E1214, DATABASE_FG!$C$5:$C$367, 0)), " ")</f>
        <v>0</v>
      </c>
      <c r="O1214" s="129" t="str">
        <f>IF(E1214&lt;&gt;"", _xlfn.XLOOKUP(E1214, DATABASE_FG!C:C, DATABASE_FG!F:F), " ")</f>
        <v>Dummy guideway</v>
      </c>
      <c r="P1214" s="129" t="s">
        <v>3017</v>
      </c>
      <c r="Q1214" s="36"/>
      <c r="R1214" s="125" t="s">
        <v>678</v>
      </c>
      <c r="S1214" s="123">
        <f>IFERROR(INDEX(DATABASE_FG!$L$5:$L$367, MATCH(E1214, DATABASE_FG!$C$5:$C$367, 0)), " ")</f>
        <v>0</v>
      </c>
      <c r="T1214" s="36" t="s">
        <v>679</v>
      </c>
      <c r="U1214" s="36"/>
      <c r="V1214" s="36"/>
      <c r="W1214" s="129"/>
      <c r="X1214" s="36"/>
      <c r="Y1214" s="36"/>
      <c r="Z1214" s="36"/>
      <c r="AA1214" s="125" t="s">
        <v>121</v>
      </c>
      <c r="AB1214" s="173">
        <v>45807</v>
      </c>
      <c r="AC1214" s="119">
        <v>25851</v>
      </c>
      <c r="AD1214" s="36">
        <f t="shared" si="137"/>
        <v>38840189</v>
      </c>
      <c r="AE1214" s="36" t="str">
        <f t="shared" si="138"/>
        <v>MSX.RWU25-E-0251-WW1</v>
      </c>
      <c r="AF1214" s="36">
        <v>1000</v>
      </c>
      <c r="AG1214" s="120">
        <f t="shared" si="136"/>
        <v>630</v>
      </c>
      <c r="AH1214" s="36"/>
      <c r="AI1214" s="124"/>
      <c r="AJ1214" s="122" t="s">
        <v>3018</v>
      </c>
      <c r="AK1214" s="129" t="str">
        <f t="shared" ca="1" si="134"/>
        <v>Late</v>
      </c>
      <c r="AL1214" s="268" t="str">
        <f t="shared" si="135"/>
        <v>March</v>
      </c>
      <c r="AM1214" s="133">
        <f>YEAR(Table1[[#This Row],[ETA
As requested
dd.mm.yyyy]])</f>
        <v>2025</v>
      </c>
    </row>
    <row r="1215" spans="1:39" hidden="1">
      <c r="A1215" s="123" t="s">
        <v>83</v>
      </c>
      <c r="B1215" s="36" t="s">
        <v>1170</v>
      </c>
      <c r="C1215" s="117">
        <v>38840189</v>
      </c>
      <c r="D1215" s="165">
        <v>45729</v>
      </c>
      <c r="E1215" s="117" t="s">
        <v>95</v>
      </c>
      <c r="F1215" s="36" t="str">
        <f>IFERROR(VLOOKUP(Table1[[#This Row],[Part Number]],DATABASE_FG!$C$6:D11204,2,FALSE)," ")</f>
        <v>081046383-8011</v>
      </c>
      <c r="G1215" s="117" t="str">
        <f>IFERROR(_xlfn.XLOOKUP(Table1[[#This Row],[Part Number]],Table3[Part number],Table3[Drawing
 Revision]),"")</f>
        <v>AA</v>
      </c>
      <c r="H1215" s="118" cm="1">
        <f t="array" ref="H1215">IFERROR(INDEX(PDB!$C:$AT,MATCH(E1215,PDB!$B:$B,0),MATCH(YEAR(K1215),0+PDB!$C$1:$AT$1,0)),"")</f>
        <v>0.63</v>
      </c>
      <c r="I1215" s="36">
        <v>906</v>
      </c>
      <c r="J1215" s="125">
        <f>IFERROR(Table1[[#This Row],[Quantity]]*Table1[[#This Row],[Price/Unit
EUR]]," ")</f>
        <v>570.78</v>
      </c>
      <c r="K1215" s="126">
        <v>45743</v>
      </c>
      <c r="L1215" s="36">
        <f>WEEKNUM(Table1[[#This Row],[ETA
As requested
dd.mm.yyyy]])</f>
        <v>13</v>
      </c>
      <c r="M1215" s="36">
        <f>YEAR(Table1[[#This Row],[ETA
As requested
dd.mm.yyyy]])</f>
        <v>2025</v>
      </c>
      <c r="N1215" s="36">
        <f>IFERROR(INDEX(DATABASE_FG!$H$5:$H$367, MATCH(E1215, DATABASE_FG!$C$5:$C$367, 0)), " ")</f>
        <v>0</v>
      </c>
      <c r="O1215" s="129" t="str">
        <f>IF(E1215&lt;&gt;"", _xlfn.XLOOKUP(E1215, DATABASE_FG!C:C, DATABASE_FG!F:F), " ")</f>
        <v>Dummy guideway</v>
      </c>
      <c r="P1215" s="129">
        <f>IFERROR(INDEX(DATABASE_FG!$G$5:$G$367, MATCH(E1215, DATABASE_FG!$C$5:$C$367, 0)), "Not Found")</f>
        <v>0</v>
      </c>
      <c r="Q1215" s="36"/>
      <c r="R1215" s="125"/>
      <c r="S1215" s="123">
        <f>Table1[[#This Row],[Quantity]]/48</f>
        <v>18.875</v>
      </c>
      <c r="T1215" s="36"/>
      <c r="U1215" s="36"/>
      <c r="V1215" s="36"/>
      <c r="W1215" s="129"/>
      <c r="X1215" s="36"/>
      <c r="Y1215" s="36"/>
      <c r="Z1215" s="36"/>
      <c r="AA1215" s="125" t="s">
        <v>121</v>
      </c>
      <c r="AB1215" s="173">
        <v>45811</v>
      </c>
      <c r="AC1215" s="119">
        <v>25872</v>
      </c>
      <c r="AD1215" s="36">
        <f t="shared" si="137"/>
        <v>38840189</v>
      </c>
      <c r="AE1215" s="36" t="str">
        <f t="shared" si="138"/>
        <v>MSX.RWU25-E-0251-WW1</v>
      </c>
      <c r="AF1215" s="36">
        <v>906</v>
      </c>
      <c r="AG1215" s="120">
        <f t="shared" si="136"/>
        <v>570.78</v>
      </c>
      <c r="AH1215" s="36"/>
      <c r="AI1215" s="124"/>
      <c r="AJ1215" s="122" t="s">
        <v>3019</v>
      </c>
      <c r="AK1215" s="129" t="str">
        <f t="shared" ca="1" si="134"/>
        <v>Late</v>
      </c>
      <c r="AL1215" s="268" t="str">
        <f t="shared" si="135"/>
        <v>March</v>
      </c>
      <c r="AM1215" s="133">
        <f>YEAR(Table1[[#This Row],[ETA
As requested
dd.mm.yyyy]])</f>
        <v>2025</v>
      </c>
    </row>
    <row r="1216" spans="1:39" hidden="1">
      <c r="A1216" s="123" t="s">
        <v>83</v>
      </c>
      <c r="B1216" s="36" t="s">
        <v>1170</v>
      </c>
      <c r="C1216" s="117">
        <v>38840189</v>
      </c>
      <c r="D1216" s="165">
        <v>45729</v>
      </c>
      <c r="E1216" s="117" t="s">
        <v>95</v>
      </c>
      <c r="F1216" s="36" t="str">
        <f>IFERROR(VLOOKUP(Table1[[#This Row],[Part Number]],DATABASE_FG!$C$6:D11205,2,FALSE)," ")</f>
        <v>081046383-8011</v>
      </c>
      <c r="G1216" s="117" t="str">
        <f>IFERROR(_xlfn.XLOOKUP(Table1[[#This Row],[Part Number]],Table3[Part number],Table3[Drawing
 Revision]),"")</f>
        <v>AA</v>
      </c>
      <c r="H1216" s="118" cm="1">
        <f t="array" ref="H1216">IFERROR(INDEX(PDB!$C:$AT,MATCH(E1216,PDB!$B:$B,0),MATCH(YEAR(K1216),0+PDB!$C$1:$AT$1,0)),"")</f>
        <v>0.63</v>
      </c>
      <c r="I1216" s="36">
        <f>2995-1000-906</f>
        <v>1089</v>
      </c>
      <c r="J1216" s="125">
        <f>IFERROR(Table1[[#This Row],[Quantity]]*Table1[[#This Row],[Price/Unit
EUR]]," ")</f>
        <v>686.07</v>
      </c>
      <c r="K1216" s="126">
        <v>45743</v>
      </c>
      <c r="L1216" s="36">
        <f>WEEKNUM(Table1[[#This Row],[ETA
As requested
dd.mm.yyyy]])</f>
        <v>13</v>
      </c>
      <c r="M1216" s="36">
        <f>YEAR(Table1[[#This Row],[ETA
As requested
dd.mm.yyyy]])</f>
        <v>2025</v>
      </c>
      <c r="N1216" s="36">
        <f>IFERROR(INDEX(DATABASE_FG!$H$5:$H$367, MATCH(E1216, DATABASE_FG!$C$5:$C$367, 0)), " ")</f>
        <v>0</v>
      </c>
      <c r="O1216" s="129" t="str">
        <f>IF(E1216&lt;&gt;"", _xlfn.XLOOKUP(E1216, DATABASE_FG!C:C, DATABASE_FG!F:F), " ")</f>
        <v>Dummy guideway</v>
      </c>
      <c r="P1216" s="129" t="s">
        <v>3017</v>
      </c>
      <c r="Q1216" s="36"/>
      <c r="R1216" s="125" t="s">
        <v>678</v>
      </c>
      <c r="S1216" s="123">
        <f>IFERROR(INDEX(DATABASE_FG!$L$5:$L$367, MATCH(E1216, DATABASE_FG!$C$5:$C$367, 0)), " ")</f>
        <v>0</v>
      </c>
      <c r="T1216" s="36" t="s">
        <v>679</v>
      </c>
      <c r="U1216" s="36"/>
      <c r="V1216" s="36"/>
      <c r="W1216" s="129"/>
      <c r="X1216" s="36"/>
      <c r="Y1216" s="36"/>
      <c r="Z1216" s="36"/>
      <c r="AA1216" s="125" t="s">
        <v>121</v>
      </c>
      <c r="AB1216" s="173">
        <v>45813</v>
      </c>
      <c r="AC1216" s="119">
        <v>25884</v>
      </c>
      <c r="AD1216" s="36">
        <f t="shared" si="137"/>
        <v>38840189</v>
      </c>
      <c r="AE1216" s="36" t="str">
        <f t="shared" si="138"/>
        <v>MSX.RWU25-E-0251-WW1</v>
      </c>
      <c r="AF1216" s="36">
        <v>951</v>
      </c>
      <c r="AG1216" s="120">
        <f t="shared" si="136"/>
        <v>599.13</v>
      </c>
      <c r="AH1216" s="36">
        <v>143</v>
      </c>
      <c r="AI1216" s="124"/>
      <c r="AJ1216" s="122" t="s">
        <v>3020</v>
      </c>
      <c r="AK1216" s="129" t="str">
        <f t="shared" ca="1" si="134"/>
        <v>Late</v>
      </c>
      <c r="AL1216" s="268" t="str">
        <f t="shared" si="135"/>
        <v>March</v>
      </c>
      <c r="AM1216" s="133">
        <f>YEAR(Table1[[#This Row],[ETA
As requested
dd.mm.yyyy]])</f>
        <v>2025</v>
      </c>
    </row>
    <row r="1217" spans="1:40" hidden="1">
      <c r="A1217" s="195" t="s">
        <v>83</v>
      </c>
      <c r="B1217" s="194" t="s">
        <v>1170</v>
      </c>
      <c r="C1217" s="197">
        <v>39501054</v>
      </c>
      <c r="D1217" s="196">
        <v>45825</v>
      </c>
      <c r="E1217" s="197" t="s">
        <v>95</v>
      </c>
      <c r="F1217" s="36" t="str">
        <f>IFERROR(VLOOKUP(Table1[[#This Row],[Part Number]],DATABASE_FG!$C$6:D11206,2,FALSE)," ")</f>
        <v>081046383-8011</v>
      </c>
      <c r="G1217" s="117" t="str">
        <f>IFERROR(_xlfn.XLOOKUP(Table1[[#This Row],[Part Number]],Table3[Part number],Table3[Drawing
 Revision]),"")</f>
        <v>AA</v>
      </c>
      <c r="H1217" s="118" cm="1">
        <f t="array" ref="H1217">IFERROR(INDEX(PDB!$C:$AT,MATCH(E1217,PDB!$B:$B,0),MATCH(YEAR(K1217),0+PDB!$C$1:$AT$1,0)),"")</f>
        <v>0.63</v>
      </c>
      <c r="I1217" s="194">
        <v>2024</v>
      </c>
      <c r="J1217" s="198">
        <f>IFERROR(Table1[[#This Row],[Quantity]]*Table1[[#This Row],[Price/Unit
EUR]]," ")</f>
        <v>1275.1200000000001</v>
      </c>
      <c r="K1217" s="199">
        <v>45845</v>
      </c>
      <c r="L1217" s="194">
        <f>WEEKNUM(Table1[[#This Row],[ETA
As requested
dd.mm.yyyy]])</f>
        <v>28</v>
      </c>
      <c r="M1217" s="194">
        <f>YEAR(Table1[[#This Row],[ETA
As requested
dd.mm.yyyy]])</f>
        <v>2025</v>
      </c>
      <c r="N1217" s="36">
        <f>IFERROR(INDEX(DATABASE_FG!$H$5:$H$367, MATCH(E1217, DATABASE_FG!$C$5:$C$367, 0)), " ")</f>
        <v>0</v>
      </c>
      <c r="O1217" s="204" t="str">
        <f>IF(E1217&lt;&gt;"", _xlfn.XLOOKUP(E1217, DATABASE_FG!C:C, DATABASE_FG!F:F), " ")</f>
        <v>Dummy guideway</v>
      </c>
      <c r="P1217" s="204" t="s">
        <v>3017</v>
      </c>
      <c r="Q1217" s="194"/>
      <c r="R1217" s="198" t="s">
        <v>678</v>
      </c>
      <c r="S1217" s="123">
        <f>IFERROR(INDEX(DATABASE_FG!$L$5:$L$367, MATCH(E1217, DATABASE_FG!$C$5:$C$367, 0)), " ")</f>
        <v>0</v>
      </c>
      <c r="T1217" s="194" t="s">
        <v>679</v>
      </c>
      <c r="U1217" s="194"/>
      <c r="V1217" s="194"/>
      <c r="W1217" s="204"/>
      <c r="X1217" s="194"/>
      <c r="Y1217" s="194"/>
      <c r="Z1217" s="194"/>
      <c r="AA1217" s="198" t="s">
        <v>121</v>
      </c>
      <c r="AB1217" s="205">
        <v>45812</v>
      </c>
      <c r="AC1217" s="201">
        <v>251040</v>
      </c>
      <c r="AD1217" s="194">
        <f t="shared" si="137"/>
        <v>39501054</v>
      </c>
      <c r="AE1217" s="194" t="str">
        <f t="shared" si="138"/>
        <v>MSX.RWU25-E-0251-WW1</v>
      </c>
      <c r="AF1217" s="194">
        <v>2024</v>
      </c>
      <c r="AG1217" s="120">
        <f t="shared" si="136"/>
        <v>1275.1200000000001</v>
      </c>
      <c r="AH1217" s="194"/>
      <c r="AI1217" s="202"/>
      <c r="AJ1217" s="203" t="s">
        <v>3399</v>
      </c>
      <c r="AK1217" s="129" t="str">
        <f t="shared" ca="1" si="134"/>
        <v>On Time</v>
      </c>
      <c r="AL1217" s="268" t="str">
        <f t="shared" si="135"/>
        <v>July</v>
      </c>
      <c r="AM1217" s="133">
        <f>YEAR(Table1[[#This Row],[ETA
As requested
dd.mm.yyyy]])</f>
        <v>2025</v>
      </c>
    </row>
    <row r="1218" spans="1:40" hidden="1">
      <c r="A1218" s="195" t="s">
        <v>83</v>
      </c>
      <c r="B1218" s="194" t="s">
        <v>1170</v>
      </c>
      <c r="C1218" s="197">
        <v>39501054</v>
      </c>
      <c r="D1218" s="196">
        <v>45825</v>
      </c>
      <c r="E1218" s="197" t="s">
        <v>95</v>
      </c>
      <c r="F1218" s="36" t="str">
        <f>IFERROR(VLOOKUP(Table1[[#This Row],[Part Number]],DATABASE_FG!$C$6:D11207,2,FALSE)," ")</f>
        <v>081046383-8011</v>
      </c>
      <c r="G1218" s="117" t="str">
        <f>IFERROR(_xlfn.XLOOKUP(Table1[[#This Row],[Part Number]],Table3[Part number],Table3[Drawing
 Revision]),"")</f>
        <v>AA</v>
      </c>
      <c r="H1218" s="118" cm="1">
        <f t="array" ref="H1218">IFERROR(INDEX(PDB!$C:$AT,MATCH(E1218,PDB!$B:$B,0),MATCH(YEAR(K1218),0+PDB!$C$1:$AT$1,0)),"")</f>
        <v>0.63</v>
      </c>
      <c r="I1218" s="194">
        <v>785</v>
      </c>
      <c r="J1218" s="198">
        <f>IFERROR(Table1[[#This Row],[Quantity]]*Table1[[#This Row],[Price/Unit
EUR]]," ")</f>
        <v>494.55</v>
      </c>
      <c r="K1218" s="199">
        <v>45845</v>
      </c>
      <c r="L1218" s="194">
        <f>WEEKNUM(Table1[[#This Row],[ETA
As requested
dd.mm.yyyy]])</f>
        <v>28</v>
      </c>
      <c r="M1218" s="194">
        <f>YEAR(Table1[[#This Row],[ETA
As requested
dd.mm.yyyy]])</f>
        <v>2025</v>
      </c>
      <c r="N1218" s="36">
        <f>IFERROR(INDEX(DATABASE_FG!$H$5:$H$367, MATCH(E1218, DATABASE_FG!$C$5:$C$367, 0)), " ")</f>
        <v>0</v>
      </c>
      <c r="O1218" s="204" t="str">
        <f>IF(E1218&lt;&gt;"", _xlfn.XLOOKUP(E1218, DATABASE_FG!C:C, DATABASE_FG!F:F), " ")</f>
        <v>Dummy guideway</v>
      </c>
      <c r="P1218" s="204" t="s">
        <v>3017</v>
      </c>
      <c r="Q1218" s="194"/>
      <c r="R1218" s="198" t="s">
        <v>678</v>
      </c>
      <c r="S1218" s="123">
        <f>IFERROR(INDEX(DATABASE_FG!$L$5:$L$367, MATCH(E1218, DATABASE_FG!$C$5:$C$367, 0)), " ")</f>
        <v>0</v>
      </c>
      <c r="T1218" s="194" t="s">
        <v>679</v>
      </c>
      <c r="U1218" s="194"/>
      <c r="V1218" s="194"/>
      <c r="W1218" s="204"/>
      <c r="X1218" s="194"/>
      <c r="Y1218" s="194"/>
      <c r="Z1218" s="194"/>
      <c r="AA1218" s="198" t="s">
        <v>121</v>
      </c>
      <c r="AB1218" s="205">
        <v>45853</v>
      </c>
      <c r="AC1218" s="201" t="s">
        <v>3401</v>
      </c>
      <c r="AD1218" s="194">
        <f t="shared" si="137"/>
        <v>39501054</v>
      </c>
      <c r="AE1218" s="194" t="str">
        <f t="shared" si="138"/>
        <v>MSX.RWU25-E-0251-WW1</v>
      </c>
      <c r="AF1218" s="194">
        <v>785</v>
      </c>
      <c r="AG1218" s="120">
        <f t="shared" si="136"/>
        <v>494.55</v>
      </c>
      <c r="AH1218" s="194"/>
      <c r="AI1218" s="202"/>
      <c r="AJ1218" s="203" t="s">
        <v>3402</v>
      </c>
      <c r="AK1218" s="129" t="str">
        <f t="shared" ca="1" si="134"/>
        <v>Late</v>
      </c>
      <c r="AL1218" s="268" t="str">
        <f t="shared" si="135"/>
        <v>July</v>
      </c>
      <c r="AM1218" s="133">
        <f>YEAR(Table1[[#This Row],[ETA
As requested
dd.mm.yyyy]])</f>
        <v>2025</v>
      </c>
    </row>
    <row r="1219" spans="1:40" hidden="1">
      <c r="A1219" s="195" t="s">
        <v>83</v>
      </c>
      <c r="B1219" s="194" t="s">
        <v>1170</v>
      </c>
      <c r="C1219" s="197">
        <v>39686913</v>
      </c>
      <c r="D1219" s="196">
        <v>45853</v>
      </c>
      <c r="E1219" s="197" t="s">
        <v>95</v>
      </c>
      <c r="F1219" s="36" t="str">
        <f>IFERROR(VLOOKUP(Table1[[#This Row],[Part Number]],DATABASE_FG!$C$6:D11208,2,FALSE)," ")</f>
        <v>081046383-8011</v>
      </c>
      <c r="G1219" s="117" t="str">
        <f>IFERROR(_xlfn.XLOOKUP(Table1[[#This Row],[Part Number]],Table3[Part number],Table3[Drawing
 Revision]),"")</f>
        <v>AA</v>
      </c>
      <c r="H1219" s="118" cm="1">
        <f t="array" ref="H1219">IFERROR(INDEX(PDB!$C:$AT,MATCH(E1219,PDB!$B:$B,0),MATCH(YEAR(K1219),0+PDB!$C$1:$AT$1,0)),"")</f>
        <v>0.63</v>
      </c>
      <c r="I1219" s="194">
        <v>10</v>
      </c>
      <c r="J1219" s="198">
        <f>IFERROR(Table1[[#This Row],[Quantity]]*Table1[[#This Row],[Price/Unit
EUR]]," ")</f>
        <v>6.3</v>
      </c>
      <c r="K1219" s="199">
        <v>45854</v>
      </c>
      <c r="L1219" s="194">
        <f>WEEKNUM(Table1[[#This Row],[ETA
As requested
dd.mm.yyyy]])</f>
        <v>29</v>
      </c>
      <c r="M1219" s="194">
        <f>YEAR(Table1[[#This Row],[ETA
As requested
dd.mm.yyyy]])</f>
        <v>2025</v>
      </c>
      <c r="N1219" s="36">
        <f>IFERROR(INDEX(DATABASE_FG!$H$5:$H$367, MATCH(E1219, DATABASE_FG!$C$5:$C$367, 0)), " ")</f>
        <v>0</v>
      </c>
      <c r="O1219" s="204" t="str">
        <f>IF(E1219&lt;&gt;"", _xlfn.XLOOKUP(E1219, DATABASE_FG!C:C, DATABASE_FG!F:F), " ")</f>
        <v>Dummy guideway</v>
      </c>
      <c r="P1219" s="204" t="s">
        <v>3017</v>
      </c>
      <c r="Q1219" s="194"/>
      <c r="R1219" s="198" t="s">
        <v>678</v>
      </c>
      <c r="S1219" s="123">
        <f>IFERROR(INDEX(DATABASE_FG!$L$5:$L$367, MATCH(E1219, DATABASE_FG!$C$5:$C$367, 0)), " ")</f>
        <v>0</v>
      </c>
      <c r="T1219" s="194" t="s">
        <v>679</v>
      </c>
      <c r="U1219" s="194"/>
      <c r="V1219" s="194"/>
      <c r="W1219" s="204"/>
      <c r="X1219" s="194"/>
      <c r="Y1219" s="194"/>
      <c r="Z1219" s="194"/>
      <c r="AA1219" s="125" t="s">
        <v>121</v>
      </c>
      <c r="AB1219" s="205">
        <v>45888</v>
      </c>
      <c r="AC1219" s="119" t="s">
        <v>3425</v>
      </c>
      <c r="AD1219" s="36">
        <f t="shared" si="137"/>
        <v>39686913</v>
      </c>
      <c r="AE1219" s="36" t="str">
        <f t="shared" si="138"/>
        <v>MSX.RWU25-E-0251-WW1</v>
      </c>
      <c r="AF1219" s="36"/>
      <c r="AG1219" s="120">
        <f t="shared" si="136"/>
        <v>0</v>
      </c>
      <c r="AH1219" s="36">
        <v>10</v>
      </c>
      <c r="AI1219" s="124"/>
      <c r="AJ1219" s="122" t="s">
        <v>3426</v>
      </c>
      <c r="AK1219" s="129" t="str">
        <f t="shared" ca="1" si="134"/>
        <v>Late</v>
      </c>
      <c r="AL1219" s="268" t="str">
        <f t="shared" ref="AL1219:AL1250" si="139">TEXT(K1219,"mmmm")</f>
        <v>July</v>
      </c>
      <c r="AM1219" s="133">
        <f>YEAR(Table1[[#This Row],[ETA
As requested
dd.mm.yyyy]])</f>
        <v>2025</v>
      </c>
    </row>
    <row r="1220" spans="1:40" hidden="1">
      <c r="A1220" s="195" t="s">
        <v>83</v>
      </c>
      <c r="B1220" s="194" t="s">
        <v>1170</v>
      </c>
      <c r="C1220" s="197">
        <v>39686913</v>
      </c>
      <c r="D1220" s="196">
        <v>45853</v>
      </c>
      <c r="E1220" s="197" t="s">
        <v>95</v>
      </c>
      <c r="F1220" s="36" t="str">
        <f>IFERROR(VLOOKUP(Table1[[#This Row],[Part Number]],DATABASE_FG!$C$6:D11209,2,FALSE)," ")</f>
        <v>081046383-8011</v>
      </c>
      <c r="G1220" s="117" t="str">
        <f>IFERROR(_xlfn.XLOOKUP(Table1[[#This Row],[Part Number]],Table3[Part number],Table3[Drawing
 Revision]),"")</f>
        <v>AA</v>
      </c>
      <c r="H1220" s="118" cm="1">
        <f t="array" ref="H1220">IFERROR(INDEX(PDB!$C:$AT,MATCH(E1220,PDB!$B:$B,0),MATCH(YEAR(K1220),0+PDB!$C$1:$AT$1,0)),"")</f>
        <v>0.63</v>
      </c>
      <c r="I1220" s="194">
        <f>1000-24-785-10</f>
        <v>181</v>
      </c>
      <c r="J1220" s="198">
        <f>IFERROR(Table1[[#This Row],[Quantity]]*Table1[[#This Row],[Price/Unit
EUR]]," ")</f>
        <v>114.03</v>
      </c>
      <c r="K1220" s="199">
        <v>45854</v>
      </c>
      <c r="L1220" s="194">
        <f>WEEKNUM(Table1[[#This Row],[ETA
As requested
dd.mm.yyyy]])</f>
        <v>29</v>
      </c>
      <c r="M1220" s="194">
        <f>YEAR(Table1[[#This Row],[ETA
As requested
dd.mm.yyyy]])</f>
        <v>2025</v>
      </c>
      <c r="N1220" s="36">
        <f>IFERROR(INDEX(DATABASE_FG!$H$5:$H$367, MATCH(E1220, DATABASE_FG!$C$5:$C$367, 0)), " ")</f>
        <v>0</v>
      </c>
      <c r="O1220" s="204" t="str">
        <f>IF(E1220&lt;&gt;"", _xlfn.XLOOKUP(E1220, DATABASE_FG!C:C, DATABASE_FG!F:F), " ")</f>
        <v>Dummy guideway</v>
      </c>
      <c r="P1220" s="204" t="s">
        <v>3017</v>
      </c>
      <c r="Q1220" s="194"/>
      <c r="R1220" s="198" t="s">
        <v>678</v>
      </c>
      <c r="S1220" s="123">
        <f>IFERROR(INDEX(DATABASE_FG!$L$5:$L$367, MATCH(E1220, DATABASE_FG!$C$5:$C$367, 0)), " ")</f>
        <v>0</v>
      </c>
      <c r="T1220" s="194" t="s">
        <v>679</v>
      </c>
      <c r="U1220" s="194"/>
      <c r="V1220" s="194"/>
      <c r="W1220" s="204"/>
      <c r="X1220" s="194"/>
      <c r="Y1220" s="194"/>
      <c r="Z1220" s="194"/>
      <c r="AA1220" s="198" t="s">
        <v>121</v>
      </c>
      <c r="AB1220" s="205">
        <v>45888</v>
      </c>
      <c r="AC1220" s="201"/>
      <c r="AD1220" s="194" t="str">
        <f t="shared" si="137"/>
        <v/>
      </c>
      <c r="AE1220" s="194" t="str">
        <f t="shared" si="138"/>
        <v/>
      </c>
      <c r="AF1220" s="194"/>
      <c r="AG1220" s="120">
        <f t="shared" si="136"/>
        <v>0</v>
      </c>
      <c r="AH1220" s="194">
        <v>0</v>
      </c>
      <c r="AI1220" s="202"/>
      <c r="AJ1220" s="203"/>
      <c r="AK1220" s="129" t="str">
        <f t="shared" ca="1" si="134"/>
        <v>Late</v>
      </c>
      <c r="AL1220" s="268" t="str">
        <f t="shared" si="139"/>
        <v>July</v>
      </c>
      <c r="AM1220" s="133">
        <f>YEAR(Table1[[#This Row],[ETA
As requested
dd.mm.yyyy]])</f>
        <v>2025</v>
      </c>
    </row>
    <row r="1221" spans="1:40" hidden="1">
      <c r="A1221" s="195" t="s">
        <v>83</v>
      </c>
      <c r="B1221" s="194" t="s">
        <v>1170</v>
      </c>
      <c r="C1221" s="197" t="s">
        <v>3537</v>
      </c>
      <c r="D1221" s="196">
        <v>45868</v>
      </c>
      <c r="E1221" s="197" t="s">
        <v>95</v>
      </c>
      <c r="F1221" s="36" t="str">
        <f>IFERROR(VLOOKUP(Table1[[#This Row],[Part Number]],DATABASE_FG!$C$6:D11210,2,FALSE)," ")</f>
        <v>081046383-8011</v>
      </c>
      <c r="G1221" s="117" t="str">
        <f>IFERROR(_xlfn.XLOOKUP(Table1[[#This Row],[Part Number]],Table3[Part number],Table3[Drawing
 Revision]),"")</f>
        <v>AA</v>
      </c>
      <c r="H1221" s="118" cm="1">
        <f t="array" ref="H1221">IFERROR(INDEX(PDB!$C:$AT,MATCH(E1221,PDB!$B:$B,0),MATCH(YEAR(K1221),0+PDB!$C$1:$AT$1,0)),"")</f>
        <v>0.63</v>
      </c>
      <c r="I1221" s="194">
        <v>1195</v>
      </c>
      <c r="J1221" s="198">
        <f>IFERROR(Table1[[#This Row],[Quantity]]*Table1[[#This Row],[Price/Unit
EUR]]," ")</f>
        <v>752.85</v>
      </c>
      <c r="K1221" s="199">
        <v>45881</v>
      </c>
      <c r="L1221" s="194">
        <f>WEEKNUM(Table1[[#This Row],[ETA
As requested
dd.mm.yyyy]])</f>
        <v>33</v>
      </c>
      <c r="M1221" s="194">
        <f>YEAR(Table1[[#This Row],[ETA
As requested
dd.mm.yyyy]])</f>
        <v>2025</v>
      </c>
      <c r="N1221" s="36">
        <f>IFERROR(INDEX(DATABASE_FG!$H$5:$H$367, MATCH(E1221, DATABASE_FG!$C$5:$C$367, 0)), " ")</f>
        <v>0</v>
      </c>
      <c r="O1221" s="204" t="str">
        <f>IF(E1221&lt;&gt;"", _xlfn.XLOOKUP(E1221, DATABASE_FG!C:C, DATABASE_FG!F:F), " ")</f>
        <v>Dummy guideway</v>
      </c>
      <c r="P1221" s="204" t="s">
        <v>3017</v>
      </c>
      <c r="Q1221" s="194"/>
      <c r="R1221" s="198" t="s">
        <v>678</v>
      </c>
      <c r="S1221" s="123">
        <f>IFERROR(INDEX(DATABASE_FG!$L$5:$L$367, MATCH(E1221, DATABASE_FG!$C$5:$C$367, 0)), " ")</f>
        <v>0</v>
      </c>
      <c r="T1221" s="194" t="s">
        <v>679</v>
      </c>
      <c r="U1221" s="194"/>
      <c r="V1221" s="194"/>
      <c r="W1221" s="204"/>
      <c r="X1221" s="194"/>
      <c r="Y1221" s="194"/>
      <c r="Z1221" s="194"/>
      <c r="AA1221" s="125" t="s">
        <v>121</v>
      </c>
      <c r="AB1221" s="173">
        <v>45887</v>
      </c>
      <c r="AC1221" s="119" t="s">
        <v>3538</v>
      </c>
      <c r="AD1221" s="36" t="str">
        <f t="shared" si="137"/>
        <v xml:space="preserve"> </v>
      </c>
      <c r="AE1221" s="36" t="str">
        <f t="shared" si="138"/>
        <v>MSX.RWU25-E-0251-WW1</v>
      </c>
      <c r="AF1221" s="36">
        <v>1195</v>
      </c>
      <c r="AG1221" s="120">
        <f t="shared" si="136"/>
        <v>752.85</v>
      </c>
      <c r="AH1221" s="36"/>
      <c r="AI1221" s="124"/>
      <c r="AJ1221" s="122" t="s">
        <v>3539</v>
      </c>
      <c r="AK1221" s="129" t="str">
        <f t="shared" ca="1" si="134"/>
        <v>Late</v>
      </c>
      <c r="AL1221" s="268" t="str">
        <f t="shared" si="139"/>
        <v>August</v>
      </c>
      <c r="AM1221" s="133">
        <f>YEAR(Table1[[#This Row],[ETA
As requested
dd.mm.yyyy]])</f>
        <v>2025</v>
      </c>
    </row>
    <row r="1222" spans="1:40" hidden="1">
      <c r="A1222" s="195" t="s">
        <v>83</v>
      </c>
      <c r="B1222" s="194" t="s">
        <v>1170</v>
      </c>
      <c r="C1222" s="197">
        <v>39804112</v>
      </c>
      <c r="D1222" s="196">
        <v>45868</v>
      </c>
      <c r="E1222" s="197" t="s">
        <v>95</v>
      </c>
      <c r="F1222" s="36" t="str">
        <f>IFERROR(VLOOKUP(Table1[[#This Row],[Part Number]],DATABASE_FG!$C$6:D11211,2,FALSE)," ")</f>
        <v>081046383-8011</v>
      </c>
      <c r="G1222" s="117" t="str">
        <f>IFERROR(_xlfn.XLOOKUP(Table1[[#This Row],[Part Number]],Table3[Part number],Table3[Drawing
 Revision]),"")</f>
        <v>AA</v>
      </c>
      <c r="H1222" s="118" cm="1">
        <f t="array" ref="H1222">IFERROR(INDEX(PDB!$C:$AT,MATCH(E1222,PDB!$B:$B,0),MATCH(YEAR(K1222),0+PDB!$C$1:$AT$1,0)),"")</f>
        <v>0.63</v>
      </c>
      <c r="I1222" s="194">
        <f>3000-1195</f>
        <v>1805</v>
      </c>
      <c r="J1222" s="198">
        <f>IFERROR(Table1[[#This Row],[Quantity]]*Table1[[#This Row],[Price/Unit
EUR]]," ")</f>
        <v>1137.1500000000001</v>
      </c>
      <c r="K1222" s="199">
        <v>45881</v>
      </c>
      <c r="L1222" s="194">
        <f>WEEKNUM(Table1[[#This Row],[ETA
As requested
dd.mm.yyyy]])</f>
        <v>33</v>
      </c>
      <c r="M1222" s="194">
        <f>YEAR(Table1[[#This Row],[ETA
As requested
dd.mm.yyyy]])</f>
        <v>2025</v>
      </c>
      <c r="N1222" s="36">
        <f>IFERROR(INDEX(DATABASE_FG!$H$5:$H$367, MATCH(E1222, DATABASE_FG!$C$5:$C$367, 0)), " ")</f>
        <v>0</v>
      </c>
      <c r="O1222" s="204" t="str">
        <f>IF(E1222&lt;&gt;"", _xlfn.XLOOKUP(E1222, DATABASE_FG!C:C, DATABASE_FG!F:F), " ")</f>
        <v>Dummy guideway</v>
      </c>
      <c r="P1222" s="204" t="s">
        <v>3017</v>
      </c>
      <c r="Q1222" s="194"/>
      <c r="R1222" s="198" t="s">
        <v>678</v>
      </c>
      <c r="S1222" s="123">
        <f>IFERROR(INDEX(DATABASE_FG!$L$5:$L$367, MATCH(E1222, DATABASE_FG!$C$5:$C$367, 0)), " ")</f>
        <v>0</v>
      </c>
      <c r="T1222" s="194" t="s">
        <v>679</v>
      </c>
      <c r="U1222" s="194"/>
      <c r="V1222" s="194"/>
      <c r="W1222" s="204"/>
      <c r="X1222" s="194"/>
      <c r="Y1222" s="194"/>
      <c r="Z1222" s="194"/>
      <c r="AA1222" s="198" t="s">
        <v>121</v>
      </c>
      <c r="AB1222" s="205">
        <v>45888</v>
      </c>
      <c r="AC1222" s="201" t="s">
        <v>3540</v>
      </c>
      <c r="AD1222" s="194">
        <f t="shared" si="137"/>
        <v>39804112</v>
      </c>
      <c r="AE1222" s="194" t="str">
        <f t="shared" si="138"/>
        <v>MSX.RWU25-E-0251-WW1</v>
      </c>
      <c r="AF1222" s="194">
        <v>1652</v>
      </c>
      <c r="AG1222" s="120">
        <f t="shared" si="136"/>
        <v>1040.76</v>
      </c>
      <c r="AH1222" s="194">
        <v>153</v>
      </c>
      <c r="AI1222" s="202"/>
      <c r="AJ1222" s="203" t="s">
        <v>3541</v>
      </c>
      <c r="AK1222" s="129" t="str">
        <f t="shared" ca="1" si="134"/>
        <v>Late</v>
      </c>
      <c r="AL1222" s="268" t="str">
        <f t="shared" si="139"/>
        <v>August</v>
      </c>
      <c r="AM1222" s="133">
        <f>YEAR(Table1[[#This Row],[ETA
As requested
dd.mm.yyyy]])</f>
        <v>2025</v>
      </c>
    </row>
    <row r="1223" spans="1:40" hidden="1">
      <c r="A1223" s="195" t="s">
        <v>83</v>
      </c>
      <c r="B1223" s="194" t="s">
        <v>1170</v>
      </c>
      <c r="C1223" s="197">
        <v>50034198</v>
      </c>
      <c r="D1223" s="196">
        <v>45889</v>
      </c>
      <c r="E1223" s="197" t="s">
        <v>95</v>
      </c>
      <c r="F1223" s="36" t="str">
        <f>IFERROR(VLOOKUP(Table1[[#This Row],[Part Number]],DATABASE_FG!$C$6:D11212,2,FALSE)," ")</f>
        <v>081046383-8011</v>
      </c>
      <c r="G1223" s="117" t="str">
        <f>IFERROR(_xlfn.XLOOKUP(Table1[[#This Row],[Part Number]],Table3[Part number],Table3[Drawing
 Revision]),"")</f>
        <v>AA</v>
      </c>
      <c r="H1223" s="118" cm="1">
        <f t="array" ref="H1223">IFERROR(INDEX(PDB!$C:$AT,MATCH(E1223,PDB!$B:$B,0),MATCH(YEAR(K1223),0+PDB!$C$1:$AT$1,0)),"")</f>
        <v>0.63</v>
      </c>
      <c r="I1223" s="194">
        <v>3000</v>
      </c>
      <c r="J1223" s="198">
        <f>IFERROR(Table1[[#This Row],[Quantity]]*Table1[[#This Row],[Price/Unit
EUR]]," ")</f>
        <v>1890</v>
      </c>
      <c r="K1223" s="199">
        <v>45918</v>
      </c>
      <c r="L1223" s="194">
        <f>WEEKNUM(Table1[[#This Row],[ETA
As requested
dd.mm.yyyy]])</f>
        <v>38</v>
      </c>
      <c r="M1223" s="194">
        <f>YEAR(Table1[[#This Row],[ETA
As requested
dd.mm.yyyy]])</f>
        <v>2025</v>
      </c>
      <c r="N1223" s="36">
        <f>IFERROR(INDEX(DATABASE_FG!$H$5:$H$367, MATCH(E1223, DATABASE_FG!$C$5:$C$367, 0)), " ")</f>
        <v>0</v>
      </c>
      <c r="O1223" s="204" t="str">
        <f>IF(E1223&lt;&gt;"", _xlfn.XLOOKUP(E1223, DATABASE_FG!C:C, DATABASE_FG!F:F), " ")</f>
        <v>Dummy guideway</v>
      </c>
      <c r="P1223" s="204" t="s">
        <v>3017</v>
      </c>
      <c r="Q1223" s="194"/>
      <c r="R1223" s="198" t="s">
        <v>678</v>
      </c>
      <c r="S1223" s="123">
        <f>IFERROR(INDEX(DATABASE_FG!$L$5:$L$367, MATCH(E1223, DATABASE_FG!$C$5:$C$367, 0)), " ")</f>
        <v>0</v>
      </c>
      <c r="T1223" s="194" t="s">
        <v>679</v>
      </c>
      <c r="U1223" s="194"/>
      <c r="V1223" s="194"/>
      <c r="W1223" s="204"/>
      <c r="X1223" s="194"/>
      <c r="Y1223" s="194"/>
      <c r="Z1223" s="194"/>
      <c r="AA1223" s="125" t="s">
        <v>121</v>
      </c>
      <c r="AB1223" s="173">
        <v>45904</v>
      </c>
      <c r="AC1223" s="119" t="s">
        <v>3699</v>
      </c>
      <c r="AD1223" s="36">
        <f t="shared" si="137"/>
        <v>50034198</v>
      </c>
      <c r="AE1223" s="36" t="str">
        <f t="shared" si="138"/>
        <v>MSX.RWU25-E-0251-WW1</v>
      </c>
      <c r="AF1223" s="36">
        <v>2982</v>
      </c>
      <c r="AG1223" s="120">
        <f t="shared" si="136"/>
        <v>1878.66</v>
      </c>
      <c r="AH1223" s="36">
        <v>15</v>
      </c>
      <c r="AI1223" s="124"/>
      <c r="AJ1223" s="122" t="s">
        <v>3700</v>
      </c>
      <c r="AK1223" s="129" t="str">
        <f t="shared" ca="1" si="134"/>
        <v>On Time</v>
      </c>
      <c r="AL1223" s="268" t="str">
        <f t="shared" si="139"/>
        <v>September</v>
      </c>
      <c r="AM1223" s="133">
        <f>YEAR(Table1[[#This Row],[ETA
As requested
dd.mm.yyyy]])</f>
        <v>2025</v>
      </c>
    </row>
    <row r="1224" spans="1:40" hidden="1">
      <c r="A1224" s="195" t="s">
        <v>83</v>
      </c>
      <c r="B1224" s="194" t="s">
        <v>1170</v>
      </c>
      <c r="C1224" s="197">
        <v>50191523</v>
      </c>
      <c r="D1224" s="196">
        <v>45912</v>
      </c>
      <c r="E1224" s="197" t="s">
        <v>95</v>
      </c>
      <c r="F1224" s="36" t="str">
        <f>IFERROR(VLOOKUP(Table1[[#This Row],[Part Number]],DATABASE_FG!$C$6:D11213,2,FALSE)," ")</f>
        <v>081046383-8011</v>
      </c>
      <c r="G1224" s="117" t="str">
        <f>IFERROR(_xlfn.XLOOKUP(Table1[[#This Row],[Part Number]],Table3[Part number],Table3[Drawing
 Revision]),"")</f>
        <v>AA</v>
      </c>
      <c r="H1224" s="118" cm="1">
        <f t="array" ref="H1224">IFERROR(INDEX(PDB!$C:$AT,MATCH(E1224,PDB!$B:$B,0),MATCH(YEAR(K1224),0+PDB!$C$1:$AT$1,0)),"")</f>
        <v>0.63</v>
      </c>
      <c r="I1224" s="194">
        <v>3000</v>
      </c>
      <c r="J1224" s="198">
        <f>IFERROR(Table1[[#This Row],[Quantity]]*Table1[[#This Row],[Price/Unit
EUR]]," ")</f>
        <v>1890</v>
      </c>
      <c r="K1224" s="199">
        <v>45946</v>
      </c>
      <c r="L1224" s="194">
        <f>WEEKNUM(Table1[[#This Row],[ETA
As requested
dd.mm.yyyy]])</f>
        <v>42</v>
      </c>
      <c r="M1224" s="194">
        <f>YEAR(Table1[[#This Row],[ETA
As requested
dd.mm.yyyy]])</f>
        <v>2025</v>
      </c>
      <c r="N1224" s="36">
        <f>IFERROR(INDEX(DATABASE_FG!$H$5:$H$367, MATCH(E1224, DATABASE_FG!$C$5:$C$367, 0)), " ")</f>
        <v>0</v>
      </c>
      <c r="O1224" s="204" t="str">
        <f>IF(E1224&lt;&gt;"", _xlfn.XLOOKUP(E1224, DATABASE_FG!C:C, DATABASE_FG!F:F), " ")</f>
        <v>Dummy guideway</v>
      </c>
      <c r="P1224" s="204" t="s">
        <v>3017</v>
      </c>
      <c r="Q1224" s="194"/>
      <c r="R1224" s="198" t="s">
        <v>678</v>
      </c>
      <c r="S1224" s="123">
        <f>IFERROR(INDEX(DATABASE_FG!$L$5:$L$367, MATCH(E1224, DATABASE_FG!$C$5:$C$367, 0)), " ")</f>
        <v>0</v>
      </c>
      <c r="T1224" s="194" t="s">
        <v>679</v>
      </c>
      <c r="U1224" s="194"/>
      <c r="V1224" s="194"/>
      <c r="W1224" s="204"/>
      <c r="X1224" s="194"/>
      <c r="Y1224" s="194"/>
      <c r="Z1224" s="194"/>
      <c r="AA1224" s="125" t="s">
        <v>121</v>
      </c>
      <c r="AB1224" s="173">
        <v>45944</v>
      </c>
      <c r="AC1224" s="119" t="s">
        <v>4339</v>
      </c>
      <c r="AD1224" s="36">
        <f t="shared" si="137"/>
        <v>50191523</v>
      </c>
      <c r="AE1224" s="36" t="str">
        <f t="shared" si="138"/>
        <v>MSX.RWU25-E-0251-WW1</v>
      </c>
      <c r="AF1224" s="36">
        <v>2920</v>
      </c>
      <c r="AG1224" s="120">
        <f t="shared" si="136"/>
        <v>1839.6</v>
      </c>
      <c r="AH1224" s="36"/>
      <c r="AI1224" s="124"/>
      <c r="AJ1224" s="122" t="s">
        <v>4342</v>
      </c>
      <c r="AK1224" s="129" t="str">
        <f t="shared" ca="1" si="134"/>
        <v>On Time</v>
      </c>
      <c r="AL1224" s="268" t="str">
        <f t="shared" si="139"/>
        <v>October</v>
      </c>
      <c r="AM1224" s="133">
        <f>YEAR(Table1[[#This Row],[ETA
As requested
dd.mm.yyyy]])</f>
        <v>2025</v>
      </c>
    </row>
    <row r="1225" spans="1:40" hidden="1">
      <c r="A1225" s="123" t="s">
        <v>26</v>
      </c>
      <c r="B1225" s="36" t="s">
        <v>2464</v>
      </c>
      <c r="C1225" s="117">
        <v>5500494575</v>
      </c>
      <c r="D1225" s="165">
        <v>45939</v>
      </c>
      <c r="E1225" s="117" t="s">
        <v>175</v>
      </c>
      <c r="F1225" s="36" t="str">
        <f>IFERROR(VLOOKUP(Table1[[#This Row],[Part Number]],DATABASE_FG!$C$6:D11214,2,FALSE)," ")</f>
        <v>VALVE SPOOL Z2S 16</v>
      </c>
      <c r="G1225" s="117" t="str">
        <f>IFERROR(_xlfn.XLOOKUP(Table1[[#This Row],[Part Number]],Table3[Part number],Table3[Drawing
 Revision]),"")</f>
        <v>e</v>
      </c>
      <c r="H1225" s="118" cm="1">
        <f t="array" ref="H1225">IFERROR(INDEX(PDB!$C:$AT,MATCH(E1225,PDB!$B:$B,0),MATCH(YEAR(K1225),0+PDB!$C$1:$AT$1,0)),"")</f>
        <v>0</v>
      </c>
      <c r="I1225" s="36">
        <v>300</v>
      </c>
      <c r="J1225" s="125">
        <f>IFERROR(Table1[[#This Row],[Quantity]]*Table1[[#This Row],[Price/Unit
EUR]]," ")</f>
        <v>0</v>
      </c>
      <c r="K1225" s="126">
        <v>46279</v>
      </c>
      <c r="L1225" s="36">
        <f>WEEKNUM(Table1[[#This Row],[ETA
As requested
dd.mm.yyyy]])</f>
        <v>38</v>
      </c>
      <c r="M1225" s="36">
        <f>YEAR(Table1[[#This Row],[ETA
As requested
dd.mm.yyyy]])</f>
        <v>2026</v>
      </c>
      <c r="N1225" s="36">
        <f>IFERROR(INDEX(DATABASE_FG!$H$5:$H$367, MATCH(E1225, DATABASE_FG!$C$5:$C$367, 0)), " ")</f>
        <v>0</v>
      </c>
      <c r="O1225" s="129" t="str">
        <f>IF(E1225&lt;&gt;"", _xlfn.XLOOKUP(E1225, DATABASE_FG!C:C, DATABASE_FG!F:F), " ")</f>
        <v>Z2S 16</v>
      </c>
      <c r="P1225" s="129">
        <f>IFERROR(INDEX(DATABASE_FG!$G$5:$G$367, MATCH(E1225, DATABASE_FG!$C$5:$C$367, 0)), "Not Found")</f>
        <v>0</v>
      </c>
      <c r="Q1225" s="36">
        <v>61</v>
      </c>
      <c r="R1225" s="125" t="s">
        <v>678</v>
      </c>
      <c r="S1225" s="123">
        <f>Table1[[#This Row],[Quantity]]/48</f>
        <v>6.25</v>
      </c>
      <c r="T1225" s="36"/>
      <c r="U1225" s="36"/>
      <c r="V1225" s="36"/>
      <c r="W1225" s="129"/>
      <c r="X1225" s="36"/>
      <c r="Y1225" s="36"/>
      <c r="Z1225" s="36"/>
      <c r="AA1225" s="125" t="s">
        <v>3</v>
      </c>
      <c r="AB1225" s="173"/>
      <c r="AC1225" s="119"/>
      <c r="AD1225" s="36" t="str">
        <f t="shared" si="137"/>
        <v/>
      </c>
      <c r="AE1225" s="36" t="str">
        <f t="shared" si="138"/>
        <v/>
      </c>
      <c r="AF1225" s="36"/>
      <c r="AG1225" s="120">
        <f t="shared" si="136"/>
        <v>0</v>
      </c>
      <c r="AH1225" s="36"/>
      <c r="AI1225" s="124"/>
      <c r="AJ1225" s="122"/>
      <c r="AK1225" s="129" t="str">
        <f t="shared" ca="1" si="134"/>
        <v/>
      </c>
      <c r="AL1225" s="268" t="str">
        <f t="shared" si="139"/>
        <v>September</v>
      </c>
      <c r="AM1225" s="133">
        <f>YEAR(Table1[[#This Row],[ETA
As requested
dd.mm.yyyy]])</f>
        <v>2026</v>
      </c>
      <c r="AN1225" s="191"/>
    </row>
    <row r="1226" spans="1:40" hidden="1">
      <c r="A1226" s="123" t="s">
        <v>25</v>
      </c>
      <c r="B1226" s="36" t="s">
        <v>1170</v>
      </c>
      <c r="C1226" s="117">
        <v>4510121125</v>
      </c>
      <c r="D1226" s="165">
        <v>45467</v>
      </c>
      <c r="E1226" s="117" t="s">
        <v>175</v>
      </c>
      <c r="F1226" s="36" t="str">
        <f>IFERROR(VLOOKUP(Table1[[#This Row],[Part Number]],DATABASE_FG!$C$6:D11215,2,FALSE)," ")</f>
        <v>VALVE SPOOL Z2S 16</v>
      </c>
      <c r="G1226" s="117" t="str">
        <f>IFERROR(_xlfn.XLOOKUP(Table1[[#This Row],[Part Number]],Table3[Part number],Table3[Drawing
 Revision]),"")</f>
        <v>e</v>
      </c>
      <c r="H1226" s="118" cm="1">
        <f t="array" ref="H1226">IFERROR(INDEX(PDB!$C:$AT,MATCH(E1226,PDB!$B:$B,0),MATCH(YEAR(K1226),0+PDB!$C$1:$AT$1,0)),"")</f>
        <v>2.88</v>
      </c>
      <c r="I1226" s="36">
        <v>5</v>
      </c>
      <c r="J1226" s="125">
        <f>IFERROR(Table1[[#This Row],[Quantity]]*Table1[[#This Row],[Price/Unit
EUR]]," ")</f>
        <v>14.399999999999999</v>
      </c>
      <c r="K1226" s="126">
        <v>45499</v>
      </c>
      <c r="L1226" s="36">
        <f>WEEKNUM(Table1[[#This Row],[ETA
As requested
dd.mm.yyyy]])</f>
        <v>30</v>
      </c>
      <c r="M1226" s="36">
        <f>YEAR(Table1[[#This Row],[ETA
As requested
dd.mm.yyyy]])</f>
        <v>2024</v>
      </c>
      <c r="N1226" s="36">
        <f>IFERROR(INDEX(DATABASE_FG!$H$5:$H$367, MATCH(E1226, DATABASE_FG!$C$5:$C$367, 0)), " ")</f>
        <v>0</v>
      </c>
      <c r="O1226" s="129" t="str">
        <f>IF(E1226&lt;&gt;"", _xlfn.XLOOKUP(E1226, DATABASE_FG!C:C, DATABASE_FG!F:F), " ")</f>
        <v>Z2S 16</v>
      </c>
      <c r="P1226" s="129">
        <f>IFERROR(INDEX(DATABASE_FG!$G$5:$G$367, MATCH(E1226, DATABASE_FG!$C$5:$C$367, 0)), "Not Found")</f>
        <v>0</v>
      </c>
      <c r="Q1226" s="36"/>
      <c r="R1226" s="125" t="s">
        <v>680</v>
      </c>
      <c r="S1226" s="123">
        <f>IFERROR(INDEX(DATABASE_FG!$L$5:$L$367, MATCH(E1226, DATABASE_FG!$C$5:$C$367, 0)), " ")</f>
        <v>56</v>
      </c>
      <c r="T1226" s="36" t="s">
        <v>677</v>
      </c>
      <c r="U1226" s="36"/>
      <c r="V1226" s="36"/>
      <c r="W1226" s="129"/>
      <c r="X1226" s="36"/>
      <c r="Y1226" s="36"/>
      <c r="Z1226" s="36"/>
      <c r="AA1226" s="125" t="s">
        <v>121</v>
      </c>
      <c r="AB1226" s="173">
        <v>45576</v>
      </c>
      <c r="AC1226" s="119">
        <v>202401237</v>
      </c>
      <c r="AD1226" s="36">
        <f t="shared" si="137"/>
        <v>4510121125</v>
      </c>
      <c r="AE1226" s="36" t="str">
        <f t="shared" si="138"/>
        <v>R900145251</v>
      </c>
      <c r="AF1226" s="36">
        <v>5</v>
      </c>
      <c r="AG1226" s="120">
        <f t="shared" si="136"/>
        <v>14.399999999999999</v>
      </c>
      <c r="AH1226" s="36"/>
      <c r="AI1226" s="124" t="s">
        <v>1201</v>
      </c>
      <c r="AJ1226" s="122" t="s">
        <v>1872</v>
      </c>
      <c r="AK1226" s="129" t="str">
        <f t="shared" ca="1" si="134"/>
        <v>Late</v>
      </c>
      <c r="AL1226" s="268" t="str">
        <f t="shared" si="139"/>
        <v>July</v>
      </c>
      <c r="AM1226" s="133">
        <f>YEAR(Table1[[#This Row],[ETA
As requested
dd.mm.yyyy]])</f>
        <v>2024</v>
      </c>
    </row>
    <row r="1227" spans="1:40" hidden="1">
      <c r="A1227" s="123" t="s">
        <v>25</v>
      </c>
      <c r="B1227" s="36" t="s">
        <v>1170</v>
      </c>
      <c r="C1227" s="117">
        <v>4509720687</v>
      </c>
      <c r="D1227" s="165">
        <v>45217</v>
      </c>
      <c r="E1227" s="117" t="s">
        <v>175</v>
      </c>
      <c r="F1227" s="36" t="str">
        <f>IFERROR(VLOOKUP(Table1[[#This Row],[Part Number]],DATABASE_FG!$C$6:D11216,2,FALSE)," ")</f>
        <v>VALVE SPOOL Z2S 16</v>
      </c>
      <c r="G1227" s="117" t="str">
        <f>IFERROR(_xlfn.XLOOKUP(Table1[[#This Row],[Part Number]],Table3[Part number],Table3[Drawing
 Revision]),"")</f>
        <v>e</v>
      </c>
      <c r="H1227" s="118" cm="1">
        <f t="array" ref="H1227">IFERROR(INDEX(PDB!$C:$AT,MATCH(E1227,PDB!$B:$B,0),MATCH(YEAR(K1227),0+PDB!$C$1:$AT$1,0)),"")</f>
        <v>2.88</v>
      </c>
      <c r="I1227" s="36">
        <v>3</v>
      </c>
      <c r="J1227" s="125">
        <f>IFERROR(Table1[[#This Row],[Quantity]]*Table1[[#This Row],[Price/Unit
EUR]]," ")</f>
        <v>8.64</v>
      </c>
      <c r="K1227" s="126">
        <v>45630</v>
      </c>
      <c r="L1227" s="36">
        <f>WEEKNUM(Table1[[#This Row],[ETA
As requested
dd.mm.yyyy]])</f>
        <v>49</v>
      </c>
      <c r="M1227" s="36">
        <f>YEAR(Table1[[#This Row],[ETA
As requested
dd.mm.yyyy]])</f>
        <v>2024</v>
      </c>
      <c r="N1227" s="36">
        <f>IFERROR(INDEX(DATABASE_FG!$H$5:$H$367, MATCH(E1227, DATABASE_FG!$C$5:$C$367, 0)), " ")</f>
        <v>0</v>
      </c>
      <c r="O1227" s="129" t="str">
        <f>IF(E1227&lt;&gt;"", _xlfn.XLOOKUP(E1227, DATABASE_FG!C:C, DATABASE_FG!F:F), " ")</f>
        <v>Z2S 16</v>
      </c>
      <c r="P1227" s="129">
        <f>IFERROR(INDEX(DATABASE_FG!$G$5:$G$367, MATCH(E1227, DATABASE_FG!$C$5:$C$367, 0)), "Not Found")</f>
        <v>0</v>
      </c>
      <c r="Q1227" s="36">
        <v>42</v>
      </c>
      <c r="R1227" s="125" t="s">
        <v>680</v>
      </c>
      <c r="S1227" s="123">
        <f>IFERROR(INDEX(DATABASE_FG!$L$5:$L$367, MATCH(E1227, DATABASE_FG!$C$5:$C$367, 0)), " ")</f>
        <v>56</v>
      </c>
      <c r="T1227" s="36" t="s">
        <v>679</v>
      </c>
      <c r="U1227" s="36"/>
      <c r="V1227" s="36"/>
      <c r="W1227" s="129"/>
      <c r="X1227" s="36"/>
      <c r="Y1227" s="36"/>
      <c r="Z1227" s="36">
        <v>240502</v>
      </c>
      <c r="AA1227" s="125" t="s">
        <v>677</v>
      </c>
      <c r="AB1227" s="173">
        <v>45392</v>
      </c>
      <c r="AC1227" s="119">
        <v>2024326</v>
      </c>
      <c r="AD1227" s="36">
        <f t="shared" si="137"/>
        <v>4509720687</v>
      </c>
      <c r="AE1227" s="36" t="str">
        <f t="shared" si="138"/>
        <v>R900145251</v>
      </c>
      <c r="AF1227" s="36">
        <v>3</v>
      </c>
      <c r="AG1227" s="120">
        <f t="shared" si="136"/>
        <v>8.64</v>
      </c>
      <c r="AH1227" s="36"/>
      <c r="AI1227" s="124" t="s">
        <v>1201</v>
      </c>
      <c r="AJ1227" s="122" t="s">
        <v>2647</v>
      </c>
      <c r="AK1227" s="129" t="str">
        <f t="shared" ca="1" si="134"/>
        <v>On Time</v>
      </c>
      <c r="AL1227" s="268" t="str">
        <f t="shared" si="139"/>
        <v>December</v>
      </c>
      <c r="AM1227" s="133">
        <f>YEAR(Table1[[#This Row],[ETA
As requested
dd.mm.yyyy]])</f>
        <v>2024</v>
      </c>
    </row>
    <row r="1228" spans="1:40" hidden="1">
      <c r="A1228" s="123" t="s">
        <v>25</v>
      </c>
      <c r="B1228" s="36" t="s">
        <v>1170</v>
      </c>
      <c r="C1228" s="117">
        <v>4510121125</v>
      </c>
      <c r="D1228" s="165">
        <v>45467</v>
      </c>
      <c r="E1228" s="117" t="s">
        <v>220</v>
      </c>
      <c r="F1228" s="36" t="str">
        <f>IFERROR(VLOOKUP(Table1[[#This Row],[Part Number]],DATABASE_FG!$C$6:D11217,2,FALSE)," ")</f>
        <v>VALVE SPOOL Z2S 22</v>
      </c>
      <c r="G1228" s="117" t="str">
        <f>IFERROR(_xlfn.XLOOKUP(Table1[[#This Row],[Part Number]],Table3[Part number],Table3[Drawing
 Revision]),"")</f>
        <v>d</v>
      </c>
      <c r="H1228" s="118" cm="1">
        <f t="array" ref="H1228">IFERROR(INDEX(PDB!$C:$AT,MATCH(E1228,PDB!$B:$B,0),MATCH(YEAR(K1228),0+PDB!$C$1:$AT$1,0)),"")</f>
        <v>4.13</v>
      </c>
      <c r="I1228" s="36">
        <v>5</v>
      </c>
      <c r="J1228" s="125">
        <f>IFERROR(Table1[[#This Row],[Quantity]]*Table1[[#This Row],[Price/Unit
EUR]]," ")</f>
        <v>20.65</v>
      </c>
      <c r="K1228" s="126">
        <v>45499</v>
      </c>
      <c r="L1228" s="36">
        <f>WEEKNUM(Table1[[#This Row],[ETA
As requested
dd.mm.yyyy]])</f>
        <v>30</v>
      </c>
      <c r="M1228" s="36">
        <f>YEAR(Table1[[#This Row],[ETA
As requested
dd.mm.yyyy]])</f>
        <v>2024</v>
      </c>
      <c r="N1228" s="36">
        <f>IFERROR(INDEX(DATABASE_FG!$H$5:$H$367, MATCH(E1228, DATABASE_FG!$C$5:$C$367, 0)), " ")</f>
        <v>0</v>
      </c>
      <c r="O1228" s="129" t="str">
        <f>IF(E1228&lt;&gt;"", _xlfn.XLOOKUP(E1228, DATABASE_FG!C:C, DATABASE_FG!F:F), " ")</f>
        <v>Z2S 22</v>
      </c>
      <c r="P1228" s="129">
        <f>IFERROR(INDEX(DATABASE_FG!$G$5:$G$367, MATCH(E1228, DATABASE_FG!$C$5:$C$367, 0)), "Not Found")</f>
        <v>0</v>
      </c>
      <c r="Q1228" s="36"/>
      <c r="R1228" s="125" t="s">
        <v>680</v>
      </c>
      <c r="S1228" s="123">
        <f>IFERROR(INDEX(DATABASE_FG!$L$5:$L$367, MATCH(E1228, DATABASE_FG!$C$5:$C$367, 0)), " ")</f>
        <v>56</v>
      </c>
      <c r="T1228" s="36" t="s">
        <v>677</v>
      </c>
      <c r="U1228" s="36"/>
      <c r="V1228" s="36"/>
      <c r="W1228" s="129"/>
      <c r="X1228" s="36"/>
      <c r="Y1228" s="36"/>
      <c r="Z1228" s="36"/>
      <c r="AA1228" s="125" t="s">
        <v>121</v>
      </c>
      <c r="AB1228" s="173">
        <v>45576</v>
      </c>
      <c r="AC1228" s="119">
        <v>202401237</v>
      </c>
      <c r="AD1228" s="36">
        <f t="shared" si="137"/>
        <v>4510121125</v>
      </c>
      <c r="AE1228" s="36" t="str">
        <f t="shared" si="138"/>
        <v>R900147181</v>
      </c>
      <c r="AF1228" s="36">
        <v>5</v>
      </c>
      <c r="AG1228" s="120">
        <f t="shared" si="136"/>
        <v>20.65</v>
      </c>
      <c r="AH1228" s="36"/>
      <c r="AI1228" s="124" t="s">
        <v>1201</v>
      </c>
      <c r="AJ1228" s="122" t="s">
        <v>1872</v>
      </c>
      <c r="AK1228" s="129" t="str">
        <f t="shared" ca="1" si="134"/>
        <v>Late</v>
      </c>
      <c r="AL1228" s="268" t="str">
        <f t="shared" si="139"/>
        <v>July</v>
      </c>
      <c r="AM1228" s="133">
        <f>YEAR(Table1[[#This Row],[ETA
As requested
dd.mm.yyyy]])</f>
        <v>2024</v>
      </c>
    </row>
    <row r="1229" spans="1:40" hidden="1">
      <c r="A1229" s="123" t="s">
        <v>25</v>
      </c>
      <c r="B1229" s="36" t="s">
        <v>1170</v>
      </c>
      <c r="C1229" s="117">
        <v>4509720687</v>
      </c>
      <c r="D1229" s="165">
        <v>45217</v>
      </c>
      <c r="E1229" s="117" t="s">
        <v>220</v>
      </c>
      <c r="F1229" s="36" t="str">
        <f>IFERROR(VLOOKUP(Table1[[#This Row],[Part Number]],DATABASE_FG!$C$6:D11218,2,FALSE)," ")</f>
        <v>VALVE SPOOL Z2S 22</v>
      </c>
      <c r="G1229" s="117" t="str">
        <f>IFERROR(_xlfn.XLOOKUP(Table1[[#This Row],[Part Number]],Table3[Part number],Table3[Drawing
 Revision]),"")</f>
        <v>d</v>
      </c>
      <c r="H1229" s="118" cm="1">
        <f t="array" ref="H1229">IFERROR(INDEX(PDB!$C:$AT,MATCH(E1229,PDB!$B:$B,0),MATCH(YEAR(K1229),0+PDB!$C$1:$AT$1,0)),"")</f>
        <v>4.13</v>
      </c>
      <c r="I1229" s="36">
        <v>3</v>
      </c>
      <c r="J1229" s="125">
        <f>IFERROR(Table1[[#This Row],[Quantity]]*Table1[[#This Row],[Price/Unit
EUR]]," ")</f>
        <v>12.39</v>
      </c>
      <c r="K1229" s="126">
        <v>45630</v>
      </c>
      <c r="L1229" s="36">
        <f>WEEKNUM(Table1[[#This Row],[ETA
As requested
dd.mm.yyyy]])</f>
        <v>49</v>
      </c>
      <c r="M1229" s="36">
        <f>YEAR(Table1[[#This Row],[ETA
As requested
dd.mm.yyyy]])</f>
        <v>2024</v>
      </c>
      <c r="N1229" s="36">
        <f>IFERROR(INDEX(DATABASE_FG!$H$5:$H$367, MATCH(E1229, DATABASE_FG!$C$5:$C$367, 0)), " ")</f>
        <v>0</v>
      </c>
      <c r="O1229" s="129" t="str">
        <f>IF(E1229&lt;&gt;"", _xlfn.XLOOKUP(E1229, DATABASE_FG!C:C, DATABASE_FG!F:F), " ")</f>
        <v>Z2S 22</v>
      </c>
      <c r="P1229" s="129">
        <f>IFERROR(INDEX(DATABASE_FG!$G$5:$G$367, MATCH(E1229, DATABASE_FG!$C$5:$C$367, 0)), "Not Found")</f>
        <v>0</v>
      </c>
      <c r="Q1229" s="36">
        <v>42</v>
      </c>
      <c r="R1229" s="125" t="s">
        <v>680</v>
      </c>
      <c r="S1229" s="123">
        <f>IFERROR(INDEX(DATABASE_FG!$L$5:$L$367, MATCH(E1229, DATABASE_FG!$C$5:$C$367, 0)), " ")</f>
        <v>56</v>
      </c>
      <c r="T1229" s="36" t="s">
        <v>679</v>
      </c>
      <c r="U1229" s="36"/>
      <c r="V1229" s="36"/>
      <c r="W1229" s="129"/>
      <c r="X1229" s="36"/>
      <c r="Y1229" s="36"/>
      <c r="Z1229" s="36">
        <v>240614</v>
      </c>
      <c r="AA1229" s="125" t="s">
        <v>677</v>
      </c>
      <c r="AB1229" s="173">
        <v>45392</v>
      </c>
      <c r="AC1229" s="119">
        <v>2024326</v>
      </c>
      <c r="AD1229" s="36">
        <f t="shared" si="137"/>
        <v>4509720687</v>
      </c>
      <c r="AE1229" s="36" t="str">
        <f t="shared" si="138"/>
        <v>R900147181</v>
      </c>
      <c r="AF1229" s="36">
        <v>3</v>
      </c>
      <c r="AG1229" s="120">
        <f t="shared" si="136"/>
        <v>12.39</v>
      </c>
      <c r="AH1229" s="36"/>
      <c r="AI1229" s="124" t="s">
        <v>1201</v>
      </c>
      <c r="AJ1229" s="122" t="s">
        <v>2647</v>
      </c>
      <c r="AK1229" s="129" t="str">
        <f t="shared" ca="1" si="134"/>
        <v>On Time</v>
      </c>
      <c r="AL1229" s="268" t="str">
        <f t="shared" si="139"/>
        <v>December</v>
      </c>
      <c r="AM1229" s="133">
        <f>YEAR(Table1[[#This Row],[ETA
As requested
dd.mm.yyyy]])</f>
        <v>2024</v>
      </c>
    </row>
    <row r="1230" spans="1:40" hidden="1">
      <c r="A1230" s="123" t="s">
        <v>27</v>
      </c>
      <c r="B1230" s="36" t="s">
        <v>1170</v>
      </c>
      <c r="C1230" s="117">
        <v>5500533447</v>
      </c>
      <c r="D1230" s="165">
        <v>45446</v>
      </c>
      <c r="E1230" s="117" t="s">
        <v>53</v>
      </c>
      <c r="F1230" s="36" t="str">
        <f>IFERROR(VLOOKUP(Table1[[#This Row],[Part Number]],DATABASE_FG!$C$6:D11219,2,FALSE)," ")</f>
        <v>PLATE_4WRD_25_5X_</v>
      </c>
      <c r="G1230" s="117" t="str">
        <f>IFERROR(_xlfn.XLOOKUP(Table1[[#This Row],[Part Number]],Table3[Part number],Table3[Drawing
 Revision]),"")</f>
        <v>AA</v>
      </c>
      <c r="H1230" s="118" cm="1">
        <f t="array" ref="H1230">IFERROR(INDEX(PDB!$C:$AT,MATCH(E1230,PDB!$B:$B,0),MATCH(YEAR(K1230),0+PDB!$C$1:$AT$1,0)),"")</f>
        <v>5.77</v>
      </c>
      <c r="I1230" s="36">
        <v>280</v>
      </c>
      <c r="J1230" s="125">
        <f>IFERROR(Table1[[#This Row],[Quantity]]*Table1[[#This Row],[Price/Unit
EUR]]," ")</f>
        <v>1615.6</v>
      </c>
      <c r="K1230" s="126">
        <v>45540</v>
      </c>
      <c r="L1230" s="36">
        <f>WEEKNUM(Table1[[#This Row],[ETA
As requested
dd.mm.yyyy]])</f>
        <v>36</v>
      </c>
      <c r="M1230" s="36">
        <f>YEAR(Table1[[#This Row],[ETA
As requested
dd.mm.yyyy]])</f>
        <v>2024</v>
      </c>
      <c r="N1230" s="36">
        <f>IFERROR(INDEX(DATABASE_FG!$H$5:$H$367, MATCH(E1230, DATABASE_FG!$C$5:$C$367, 0)), " ")</f>
        <v>0</v>
      </c>
      <c r="O1230" s="129" t="str">
        <f>IF(E1230&lt;&gt;"", _xlfn.XLOOKUP(E1230, DATABASE_FG!C:C, DATABASE_FG!F:F), " ")</f>
        <v>PLATE</v>
      </c>
      <c r="P1230" s="129">
        <f>IFERROR(INDEX(DATABASE_FG!$G$5:$G$367, MATCH(E1230, DATABASE_FG!$C$5:$C$367, 0)), "Not Found")</f>
        <v>528</v>
      </c>
      <c r="Q1230" s="36"/>
      <c r="R1230" s="125" t="s">
        <v>678</v>
      </c>
      <c r="S1230" s="123">
        <f>IFERROR(INDEX(DATABASE_FG!$L$5:$L$367, MATCH(E1230, DATABASE_FG!$C$5:$C$367, 0)), " ")</f>
        <v>56</v>
      </c>
      <c r="T1230" s="36" t="s">
        <v>677</v>
      </c>
      <c r="U1230" s="36"/>
      <c r="V1230" s="36"/>
      <c r="W1230" s="129"/>
      <c r="X1230" s="36"/>
      <c r="Y1230" s="36"/>
      <c r="Z1230" s="36">
        <v>242906</v>
      </c>
      <c r="AA1230" s="125" t="s">
        <v>121</v>
      </c>
      <c r="AB1230" s="173">
        <v>45531</v>
      </c>
      <c r="AC1230" s="119">
        <v>202401067</v>
      </c>
      <c r="AD1230" s="36">
        <f t="shared" si="137"/>
        <v>5500533447</v>
      </c>
      <c r="AE1230" s="36" t="str">
        <f t="shared" si="138"/>
        <v>R900172405</v>
      </c>
      <c r="AF1230" s="36">
        <v>104</v>
      </c>
      <c r="AG1230" s="120">
        <f t="shared" si="136"/>
        <v>600.07999999999993</v>
      </c>
      <c r="AH1230" s="36"/>
      <c r="AI1230" s="124"/>
      <c r="AJ1230" s="122" t="s">
        <v>2320</v>
      </c>
      <c r="AK1230" s="129" t="str">
        <f t="shared" ca="1" si="134"/>
        <v>On Time</v>
      </c>
      <c r="AL1230" s="268" t="str">
        <f t="shared" si="139"/>
        <v>September</v>
      </c>
      <c r="AM1230" s="133">
        <f>YEAR(Table1[[#This Row],[ETA
As requested
dd.mm.yyyy]])</f>
        <v>2024</v>
      </c>
    </row>
    <row r="1231" spans="1:40" ht="15.75" hidden="1">
      <c r="A1231" s="123" t="s">
        <v>27</v>
      </c>
      <c r="B1231" s="36" t="s">
        <v>1170</v>
      </c>
      <c r="C1231" s="117">
        <v>5500533447</v>
      </c>
      <c r="D1231" s="165">
        <v>45446</v>
      </c>
      <c r="E1231" s="117" t="s">
        <v>53</v>
      </c>
      <c r="F1231" s="36" t="str">
        <f>IFERROR(VLOOKUP(Table1[[#This Row],[Part Number]],DATABASE_FG!$C$6:D11220,2,FALSE)," ")</f>
        <v>PLATE_4WRD_25_5X_</v>
      </c>
      <c r="G1231" s="117" t="str">
        <f>IFERROR(_xlfn.XLOOKUP(Table1[[#This Row],[Part Number]],Table3[Part number],Table3[Drawing
 Revision]),"")</f>
        <v>AA</v>
      </c>
      <c r="H1231" s="118" cm="1">
        <f t="array" ref="H1231">IFERROR(INDEX(PDB!$C:$AT,MATCH(E1231,PDB!$B:$B,0),MATCH(YEAR(K1231),0+PDB!$C$1:$AT$1,0)),"")</f>
        <v>5.77</v>
      </c>
      <c r="I1231" s="36">
        <v>0</v>
      </c>
      <c r="J1231" s="125">
        <f>IFERROR(Table1[[#This Row],[Quantity]]*Table1[[#This Row],[Price/Unit
EUR]]," ")</f>
        <v>0</v>
      </c>
      <c r="K1231" s="126">
        <v>45540</v>
      </c>
      <c r="L1231" s="36">
        <f>WEEKNUM(Table1[[#This Row],[ETA
As requested
dd.mm.yyyy]])</f>
        <v>36</v>
      </c>
      <c r="M1231" s="36">
        <f>YEAR(Table1[[#This Row],[ETA
As requested
dd.mm.yyyy]])</f>
        <v>2024</v>
      </c>
      <c r="N1231" s="36">
        <f>IFERROR(INDEX(DATABASE_FG!$H$5:$H$367, MATCH(E1231, DATABASE_FG!$C$5:$C$367, 0)), " ")</f>
        <v>0</v>
      </c>
      <c r="O1231" s="129" t="str">
        <f>IF(E1231&lt;&gt;"", _xlfn.XLOOKUP(E1231, DATABASE_FG!C:C, DATABASE_FG!F:F), " ")</f>
        <v>PLATE</v>
      </c>
      <c r="P1231" s="129">
        <f>IFERROR(INDEX(DATABASE_FG!$G$5:$G$367, MATCH(E1231, DATABASE_FG!$C$5:$C$367, 0)), "Not Found")</f>
        <v>528</v>
      </c>
      <c r="Q1231" s="36"/>
      <c r="R1231" s="125" t="s">
        <v>678</v>
      </c>
      <c r="S1231" s="123">
        <f>IFERROR(INDEX(DATABASE_FG!$L$5:$L$367, MATCH(E1231, DATABASE_FG!$C$5:$C$367, 0)), " ")</f>
        <v>56</v>
      </c>
      <c r="T1231" s="36" t="s">
        <v>677</v>
      </c>
      <c r="U1231" s="36"/>
      <c r="V1231" s="36"/>
      <c r="W1231" s="129"/>
      <c r="X1231" s="36"/>
      <c r="Y1231" s="36"/>
      <c r="Z1231" s="36"/>
      <c r="AA1231" s="125" t="s">
        <v>121</v>
      </c>
      <c r="AB1231" s="173">
        <v>45547</v>
      </c>
      <c r="AC1231" s="119">
        <v>202401125</v>
      </c>
      <c r="AD1231" s="36">
        <f t="shared" si="137"/>
        <v>5500533447</v>
      </c>
      <c r="AE1231" s="36" t="str">
        <f t="shared" si="138"/>
        <v>R900172405</v>
      </c>
      <c r="AF1231" s="36">
        <f>176-176</f>
        <v>0</v>
      </c>
      <c r="AG1231" s="120">
        <f t="shared" si="136"/>
        <v>0</v>
      </c>
      <c r="AH1231" s="36"/>
      <c r="AI1231" s="124"/>
      <c r="AJ1231" s="122" t="s">
        <v>2321</v>
      </c>
      <c r="AK1231" s="129" t="str">
        <f t="shared" ca="1" si="134"/>
        <v>Late</v>
      </c>
      <c r="AL1231" s="268" t="str">
        <f t="shared" si="139"/>
        <v>September</v>
      </c>
      <c r="AM1231" s="133">
        <f>YEAR(Table1[[#This Row],[ETA
As requested
dd.mm.yyyy]])</f>
        <v>2024</v>
      </c>
    </row>
    <row r="1232" spans="1:40" ht="15.75" hidden="1">
      <c r="A1232" s="123" t="s">
        <v>27</v>
      </c>
      <c r="B1232" s="36" t="s">
        <v>1170</v>
      </c>
      <c r="C1232" s="117">
        <v>5500533447</v>
      </c>
      <c r="D1232" s="165">
        <v>45572</v>
      </c>
      <c r="E1232" s="117" t="s">
        <v>53</v>
      </c>
      <c r="F1232" s="36" t="str">
        <f>IFERROR(VLOOKUP(Table1[[#This Row],[Part Number]],DATABASE_FG!$C$6:D11221,2,FALSE)," ")</f>
        <v>PLATE_4WRD_25_5X_</v>
      </c>
      <c r="G1232" s="117" t="str">
        <f>IFERROR(_xlfn.XLOOKUP(Table1[[#This Row],[Part Number]],Table3[Part number],Table3[Drawing
 Revision]),"")</f>
        <v>AA</v>
      </c>
      <c r="H1232" s="118" cm="1">
        <f t="array" ref="H1232">IFERROR(INDEX(PDB!$C:$AT,MATCH(E1232,PDB!$B:$B,0),MATCH(YEAR(K1232),0+PDB!$C$1:$AT$1,0)),"")</f>
        <v>5.77</v>
      </c>
      <c r="I1232" s="36">
        <v>583</v>
      </c>
      <c r="J1232" s="125">
        <f>IFERROR(Table1[[#This Row],[Quantity]]*Table1[[#This Row],[Price/Unit
EUR]]," ")</f>
        <v>3363.91</v>
      </c>
      <c r="K1232" s="126">
        <v>45545</v>
      </c>
      <c r="L1232" s="36">
        <f>WEEKNUM(Table1[[#This Row],[ETA
As requested
dd.mm.yyyy]])</f>
        <v>37</v>
      </c>
      <c r="M1232" s="36">
        <f>YEAR(Table1[[#This Row],[ETA
As requested
dd.mm.yyyy]])</f>
        <v>2024</v>
      </c>
      <c r="N1232" s="36">
        <f>IFERROR(INDEX(DATABASE_FG!$H$5:$H$367, MATCH(E1232, DATABASE_FG!$C$5:$C$367, 0)), " ")</f>
        <v>0</v>
      </c>
      <c r="O1232" s="129" t="str">
        <f>IF(E1232&lt;&gt;"", _xlfn.XLOOKUP(E1232, DATABASE_FG!C:C, DATABASE_FG!F:F), " ")</f>
        <v>PLATE</v>
      </c>
      <c r="P1232" s="129">
        <f>IFERROR(INDEX(DATABASE_FG!$G$5:$G$367, MATCH(E1232, DATABASE_FG!$C$5:$C$367, 0)), "Not Found")</f>
        <v>528</v>
      </c>
      <c r="Q1232" s="36"/>
      <c r="R1232" s="125" t="s">
        <v>678</v>
      </c>
      <c r="S1232" s="123">
        <f>IFERROR(INDEX(DATABASE_FG!$L$5:$L$367, MATCH(E1232, DATABASE_FG!$C$5:$C$367, 0)), " ")</f>
        <v>56</v>
      </c>
      <c r="T1232" s="36" t="s">
        <v>677</v>
      </c>
      <c r="U1232" s="36"/>
      <c r="V1232" s="36"/>
      <c r="W1232" s="129"/>
      <c r="X1232" s="36"/>
      <c r="Y1232" s="36"/>
      <c r="Z1232" s="36">
        <v>242906</v>
      </c>
      <c r="AA1232" s="125" t="s">
        <v>121</v>
      </c>
      <c r="AB1232" s="173">
        <v>45547</v>
      </c>
      <c r="AC1232" s="119">
        <v>202401125</v>
      </c>
      <c r="AD1232" s="36">
        <f t="shared" si="137"/>
        <v>5500533447</v>
      </c>
      <c r="AE1232" s="36" t="str">
        <f t="shared" si="138"/>
        <v>R900172405</v>
      </c>
      <c r="AF1232" s="36">
        <f>385-176-143</f>
        <v>66</v>
      </c>
      <c r="AG1232" s="120">
        <f t="shared" si="136"/>
        <v>380.82</v>
      </c>
      <c r="AH1232" s="36"/>
      <c r="AI1232" s="124"/>
      <c r="AJ1232" s="122" t="s">
        <v>2321</v>
      </c>
      <c r="AK1232" s="129" t="str">
        <f t="shared" ca="1" si="134"/>
        <v>On Time</v>
      </c>
      <c r="AL1232" s="268" t="str">
        <f t="shared" si="139"/>
        <v>September</v>
      </c>
      <c r="AM1232" s="133">
        <f>YEAR(Table1[[#This Row],[ETA
As requested
dd.mm.yyyy]])</f>
        <v>2024</v>
      </c>
    </row>
    <row r="1233" spans="1:39" hidden="1">
      <c r="A1233" s="123" t="s">
        <v>27</v>
      </c>
      <c r="B1233" s="36" t="s">
        <v>1170</v>
      </c>
      <c r="C1233" s="117">
        <v>5500533447</v>
      </c>
      <c r="D1233" s="165">
        <v>45572</v>
      </c>
      <c r="E1233" s="117" t="s">
        <v>53</v>
      </c>
      <c r="F1233" s="36" t="str">
        <f>IFERROR(VLOOKUP(Table1[[#This Row],[Part Number]],DATABASE_FG!$C$6:D11222,2,FALSE)," ")</f>
        <v>PLATE_4WRD_25_5X_</v>
      </c>
      <c r="G1233" s="117" t="str">
        <f>IFERROR(_xlfn.XLOOKUP(Table1[[#This Row],[Part Number]],Table3[Part number],Table3[Drawing
 Revision]),"")</f>
        <v>AA</v>
      </c>
      <c r="H1233" s="118" cm="1">
        <f t="array" ref="H1233">IFERROR(INDEX(PDB!$C:$AT,MATCH(E1233,PDB!$B:$B,0),MATCH(YEAR(K1233),0+PDB!$C$1:$AT$1,0)),"")</f>
        <v>5.77</v>
      </c>
      <c r="I1233" s="36">
        <v>0</v>
      </c>
      <c r="J1233" s="125">
        <f>IFERROR(Table1[[#This Row],[Quantity]]*Table1[[#This Row],[Price/Unit
EUR]]," ")</f>
        <v>0</v>
      </c>
      <c r="K1233" s="126">
        <v>45545</v>
      </c>
      <c r="L1233" s="36">
        <f>WEEKNUM(Table1[[#This Row],[ETA
As requested
dd.mm.yyyy]])</f>
        <v>37</v>
      </c>
      <c r="M1233" s="36">
        <f>YEAR(Table1[[#This Row],[ETA
As requested
dd.mm.yyyy]])</f>
        <v>2024</v>
      </c>
      <c r="N1233" s="36">
        <f>IFERROR(INDEX(DATABASE_FG!$H$5:$H$367, MATCH(E1233, DATABASE_FG!$C$5:$C$367, 0)), " ")</f>
        <v>0</v>
      </c>
      <c r="O1233" s="129" t="str">
        <f>IF(E1233&lt;&gt;"", _xlfn.XLOOKUP(E1233, DATABASE_FG!C:C, DATABASE_FG!F:F), " ")</f>
        <v>PLATE</v>
      </c>
      <c r="P1233" s="129">
        <f>IFERROR(INDEX(DATABASE_FG!$G$5:$G$367, MATCH(E1233, DATABASE_FG!$C$5:$C$367, 0)), "Not Found")</f>
        <v>528</v>
      </c>
      <c r="Q1233" s="36"/>
      <c r="R1233" s="125" t="s">
        <v>678</v>
      </c>
      <c r="S1233" s="123">
        <f>IFERROR(INDEX(DATABASE_FG!$L$5:$L$367, MATCH(E1233, DATABASE_FG!$C$5:$C$367, 0)), " ")</f>
        <v>56</v>
      </c>
      <c r="T1233" s="36" t="s">
        <v>677</v>
      </c>
      <c r="U1233" s="36"/>
      <c r="V1233" s="36"/>
      <c r="W1233" s="129"/>
      <c r="X1233" s="36"/>
      <c r="Y1233" s="36"/>
      <c r="Z1233" s="36"/>
      <c r="AA1233" s="125" t="s">
        <v>121</v>
      </c>
      <c r="AB1233" s="173">
        <v>45562</v>
      </c>
      <c r="AC1233" s="119">
        <v>202401173</v>
      </c>
      <c r="AD1233" s="36">
        <f t="shared" si="137"/>
        <v>5500533447</v>
      </c>
      <c r="AE1233" s="36" t="str">
        <f t="shared" si="138"/>
        <v>R900172405</v>
      </c>
      <c r="AF1233" s="36">
        <v>45</v>
      </c>
      <c r="AG1233" s="120">
        <f t="shared" si="136"/>
        <v>259.64999999999998</v>
      </c>
      <c r="AH1233" s="36"/>
      <c r="AI1233" s="124"/>
      <c r="AJ1233" s="122" t="s">
        <v>2369</v>
      </c>
      <c r="AK1233" s="129" t="str">
        <f t="shared" ca="1" si="134"/>
        <v>Late</v>
      </c>
      <c r="AL1233" s="268" t="str">
        <f t="shared" si="139"/>
        <v>September</v>
      </c>
      <c r="AM1233" s="133">
        <f>YEAR(Table1[[#This Row],[ETA
As requested
dd.mm.yyyy]])</f>
        <v>2024</v>
      </c>
    </row>
    <row r="1234" spans="1:39" hidden="1">
      <c r="A1234" s="123" t="s">
        <v>27</v>
      </c>
      <c r="B1234" s="36" t="s">
        <v>1170</v>
      </c>
      <c r="C1234" s="117">
        <v>5500533447</v>
      </c>
      <c r="D1234" s="165">
        <v>45572</v>
      </c>
      <c r="E1234" s="117" t="s">
        <v>53</v>
      </c>
      <c r="F1234" s="36" t="str">
        <f>IFERROR(VLOOKUP(Table1[[#This Row],[Part Number]],DATABASE_FG!$C$6:D11223,2,FALSE)," ")</f>
        <v>PLATE_4WRD_25_5X_</v>
      </c>
      <c r="G1234" s="117" t="str">
        <f>IFERROR(_xlfn.XLOOKUP(Table1[[#This Row],[Part Number]],Table3[Part number],Table3[Drawing
 Revision]),"")</f>
        <v>AA</v>
      </c>
      <c r="H1234" s="118" cm="1">
        <f t="array" ref="H1234">IFERROR(INDEX(PDB!$C:$AT,MATCH(E1234,PDB!$B:$B,0),MATCH(YEAR(K1234),0+PDB!$C$1:$AT$1,0)),"")</f>
        <v>5.77</v>
      </c>
      <c r="I1234" s="36">
        <v>0</v>
      </c>
      <c r="J1234" s="125">
        <f>IFERROR(Table1[[#This Row],[Quantity]]*Table1[[#This Row],[Price/Unit
EUR]]," ")</f>
        <v>0</v>
      </c>
      <c r="K1234" s="126">
        <v>45545</v>
      </c>
      <c r="L1234" s="36">
        <f>WEEKNUM(Table1[[#This Row],[ETA
As requested
dd.mm.yyyy]])</f>
        <v>37</v>
      </c>
      <c r="M1234" s="36">
        <f>YEAR(Table1[[#This Row],[ETA
As requested
dd.mm.yyyy]])</f>
        <v>2024</v>
      </c>
      <c r="N1234" s="36">
        <f>IFERROR(INDEX(DATABASE_FG!$H$5:$H$367, MATCH(E1234, DATABASE_FG!$C$5:$C$367, 0)), " ")</f>
        <v>0</v>
      </c>
      <c r="O1234" s="129" t="str">
        <f>IF(E1234&lt;&gt;"", _xlfn.XLOOKUP(E1234, DATABASE_FG!C:C, DATABASE_FG!F:F), " ")</f>
        <v>PLATE</v>
      </c>
      <c r="P1234" s="129">
        <f>IFERROR(INDEX(DATABASE_FG!$G$5:$G$367, MATCH(E1234, DATABASE_FG!$C$5:$C$367, 0)), "Not Found")</f>
        <v>528</v>
      </c>
      <c r="Q1234" s="36"/>
      <c r="R1234" s="125" t="s">
        <v>678</v>
      </c>
      <c r="S1234" s="123">
        <f>IFERROR(INDEX(DATABASE_FG!$L$5:$L$367, MATCH(E1234, DATABASE_FG!$C$5:$C$367, 0)), " ")</f>
        <v>56</v>
      </c>
      <c r="T1234" s="36" t="s">
        <v>677</v>
      </c>
      <c r="U1234" s="36"/>
      <c r="V1234" s="36"/>
      <c r="W1234" s="129"/>
      <c r="X1234" s="36"/>
      <c r="Y1234" s="36"/>
      <c r="Z1234" s="36"/>
      <c r="AA1234" s="125" t="s">
        <v>121</v>
      </c>
      <c r="AB1234" s="173">
        <v>45569</v>
      </c>
      <c r="AC1234" s="119">
        <v>202401205</v>
      </c>
      <c r="AD1234" s="36">
        <f t="shared" si="137"/>
        <v>5500533447</v>
      </c>
      <c r="AE1234" s="36" t="str">
        <f t="shared" si="138"/>
        <v>R900172405</v>
      </c>
      <c r="AF1234" s="36">
        <v>329</v>
      </c>
      <c r="AG1234" s="120">
        <f t="shared" si="136"/>
        <v>1898.33</v>
      </c>
      <c r="AH1234" s="36"/>
      <c r="AI1234" s="124"/>
      <c r="AJ1234" s="122" t="s">
        <v>2370</v>
      </c>
      <c r="AK1234" s="129" t="str">
        <f t="shared" ca="1" si="134"/>
        <v>Late</v>
      </c>
      <c r="AL1234" s="268" t="str">
        <f t="shared" si="139"/>
        <v>September</v>
      </c>
      <c r="AM1234" s="133">
        <f>YEAR(Table1[[#This Row],[ETA
As requested
dd.mm.yyyy]])</f>
        <v>2024</v>
      </c>
    </row>
    <row r="1235" spans="1:39" hidden="1">
      <c r="A1235" s="123" t="s">
        <v>27</v>
      </c>
      <c r="B1235" s="36" t="s">
        <v>1170</v>
      </c>
      <c r="C1235" s="117">
        <v>5500533447</v>
      </c>
      <c r="D1235" s="165">
        <v>45572</v>
      </c>
      <c r="E1235" s="117" t="s">
        <v>53</v>
      </c>
      <c r="F1235" s="36" t="str">
        <f>IFERROR(VLOOKUP(Table1[[#This Row],[Part Number]],DATABASE_FG!$C$6:D11224,2,FALSE)," ")</f>
        <v>PLATE_4WRD_25_5X_</v>
      </c>
      <c r="G1235" s="117" t="str">
        <f>IFERROR(_xlfn.XLOOKUP(Table1[[#This Row],[Part Number]],Table3[Part number],Table3[Drawing
 Revision]),"")</f>
        <v>AA</v>
      </c>
      <c r="H1235" s="118" cm="1">
        <f t="array" ref="H1235">IFERROR(INDEX(PDB!$C:$AT,MATCH(E1235,PDB!$B:$B,0),MATCH(YEAR(K1235),0+PDB!$C$1:$AT$1,0)),"")</f>
        <v>5.77</v>
      </c>
      <c r="I1235" s="36">
        <v>225</v>
      </c>
      <c r="J1235" s="125">
        <f>IFERROR(Table1[[#This Row],[Quantity]]*Table1[[#This Row],[Price/Unit
EUR]]," ")</f>
        <v>1298.25</v>
      </c>
      <c r="K1235" s="126">
        <v>45545</v>
      </c>
      <c r="L1235" s="36">
        <f>WEEKNUM(Table1[[#This Row],[ETA
As requested
dd.mm.yyyy]])</f>
        <v>37</v>
      </c>
      <c r="M1235" s="36">
        <f>YEAR(Table1[[#This Row],[ETA
As requested
dd.mm.yyyy]])</f>
        <v>2024</v>
      </c>
      <c r="N1235" s="36">
        <f>IFERROR(INDEX(DATABASE_FG!$H$5:$H$367, MATCH(E1235, DATABASE_FG!$C$5:$C$367, 0)), " ")</f>
        <v>0</v>
      </c>
      <c r="O1235" s="129" t="str">
        <f>IF(E1235&lt;&gt;"", _xlfn.XLOOKUP(E1235, DATABASE_FG!C:C, DATABASE_FG!F:F), " ")</f>
        <v>PLATE</v>
      </c>
      <c r="P1235" s="129">
        <f>IFERROR(INDEX(DATABASE_FG!$G$5:$G$367, MATCH(E1235, DATABASE_FG!$C$5:$C$367, 0)), "Not Found")</f>
        <v>528</v>
      </c>
      <c r="Q1235" s="36">
        <v>60</v>
      </c>
      <c r="R1235" s="125" t="s">
        <v>678</v>
      </c>
      <c r="S1235" s="123">
        <f>IFERROR(INDEX(DATABASE_FG!$L$5:$L$367, MATCH(E1235, DATABASE_FG!$C$5:$C$367, 0)), " ")</f>
        <v>56</v>
      </c>
      <c r="T1235" s="36" t="s">
        <v>677</v>
      </c>
      <c r="U1235" s="36"/>
      <c r="V1235" s="36"/>
      <c r="W1235" s="129"/>
      <c r="X1235" s="36"/>
      <c r="Y1235" s="36"/>
      <c r="Z1235" s="36"/>
      <c r="AA1235" s="125" t="s">
        <v>121</v>
      </c>
      <c r="AB1235" s="173">
        <v>45583</v>
      </c>
      <c r="AC1235" s="119">
        <v>202401256</v>
      </c>
      <c r="AD1235" s="36">
        <f t="shared" si="137"/>
        <v>5500533447</v>
      </c>
      <c r="AE1235" s="36" t="str">
        <f t="shared" si="138"/>
        <v>R900172405</v>
      </c>
      <c r="AF1235" s="36">
        <v>225</v>
      </c>
      <c r="AG1235" s="120">
        <f t="shared" si="136"/>
        <v>1298.25</v>
      </c>
      <c r="AH1235" s="36"/>
      <c r="AI1235" s="124"/>
      <c r="AJ1235" s="122" t="s">
        <v>2371</v>
      </c>
      <c r="AK1235" s="129" t="str">
        <f t="shared" ca="1" si="134"/>
        <v>Late</v>
      </c>
      <c r="AL1235" s="268" t="str">
        <f t="shared" si="139"/>
        <v>September</v>
      </c>
      <c r="AM1235" s="133">
        <f>YEAR(Table1[[#This Row],[ETA
As requested
dd.mm.yyyy]])</f>
        <v>2024</v>
      </c>
    </row>
    <row r="1236" spans="1:39" hidden="1">
      <c r="A1236" s="123" t="s">
        <v>27</v>
      </c>
      <c r="B1236" s="36" t="s">
        <v>1170</v>
      </c>
      <c r="C1236" s="117">
        <v>5500533447</v>
      </c>
      <c r="D1236" s="165">
        <v>45572</v>
      </c>
      <c r="E1236" s="117" t="s">
        <v>53</v>
      </c>
      <c r="F1236" s="36" t="str">
        <f>IFERROR(VLOOKUP(Table1[[#This Row],[Part Number]],DATABASE_FG!$C$6:D11225,2,FALSE)," ")</f>
        <v>PLATE_4WRD_25_5X_</v>
      </c>
      <c r="G1236" s="117" t="str">
        <f>IFERROR(_xlfn.XLOOKUP(Table1[[#This Row],[Part Number]],Table3[Part number],Table3[Drawing
 Revision]),"")</f>
        <v>AA</v>
      </c>
      <c r="H1236" s="118" cm="1">
        <f t="array" ref="H1236">IFERROR(INDEX(PDB!$C:$AT,MATCH(E1236,PDB!$B:$B,0),MATCH(YEAR(K1236),0+PDB!$C$1:$AT$1,0)),"")</f>
        <v>5.77</v>
      </c>
      <c r="I1236" s="36">
        <v>271</v>
      </c>
      <c r="J1236" s="125">
        <f>IFERROR(Table1[[#This Row],[Quantity]]*Table1[[#This Row],[Price/Unit
EUR]]," ")</f>
        <v>1563.6699999999998</v>
      </c>
      <c r="K1236" s="126">
        <v>45545</v>
      </c>
      <c r="L1236" s="36">
        <f>WEEKNUM(Table1[[#This Row],[ETA
As requested
dd.mm.yyyy]])</f>
        <v>37</v>
      </c>
      <c r="M1236" s="36">
        <f>YEAR(Table1[[#This Row],[ETA
As requested
dd.mm.yyyy]])</f>
        <v>2024</v>
      </c>
      <c r="N1236" s="36">
        <f>IFERROR(INDEX(DATABASE_FG!$H$5:$H$367, MATCH(E1236, DATABASE_FG!$C$5:$C$367, 0)), " ")</f>
        <v>0</v>
      </c>
      <c r="O1236" s="129" t="str">
        <f>IF(E1236&lt;&gt;"", _xlfn.XLOOKUP(E1236, DATABASE_FG!C:C, DATABASE_FG!F:F), " ")</f>
        <v>PLATE</v>
      </c>
      <c r="P1236" s="129">
        <f>IFERROR(INDEX(DATABASE_FG!$G$5:$G$367, MATCH(E1236, DATABASE_FG!$C$5:$C$367, 0)), "Not Found")</f>
        <v>528</v>
      </c>
      <c r="Q1236" s="36">
        <v>60</v>
      </c>
      <c r="R1236" s="125" t="s">
        <v>678</v>
      </c>
      <c r="S1236" s="123">
        <f>IFERROR(INDEX(DATABASE_FG!$L$5:$L$367, MATCH(E1236, DATABASE_FG!$C$5:$C$367, 0)), " ")</f>
        <v>56</v>
      </c>
      <c r="T1236" s="36" t="s">
        <v>677</v>
      </c>
      <c r="U1236" s="36"/>
      <c r="V1236" s="36"/>
      <c r="W1236" s="129"/>
      <c r="X1236" s="36"/>
      <c r="Y1236" s="36"/>
      <c r="Z1236" s="36"/>
      <c r="AA1236" s="125" t="s">
        <v>121</v>
      </c>
      <c r="AB1236" s="173">
        <v>45583</v>
      </c>
      <c r="AC1236" s="119">
        <v>202401256</v>
      </c>
      <c r="AD1236" s="36">
        <f t="shared" si="137"/>
        <v>5500533447</v>
      </c>
      <c r="AE1236" s="36" t="str">
        <f t="shared" si="138"/>
        <v>R900172405</v>
      </c>
      <c r="AF1236" s="36">
        <v>271</v>
      </c>
      <c r="AG1236" s="120">
        <f t="shared" si="136"/>
        <v>1563.6699999999998</v>
      </c>
      <c r="AH1236" s="36"/>
      <c r="AI1236" s="124"/>
      <c r="AJ1236" s="122" t="s">
        <v>2371</v>
      </c>
      <c r="AK1236" s="129" t="str">
        <f t="shared" ca="1" si="134"/>
        <v>Late</v>
      </c>
      <c r="AL1236" s="268" t="str">
        <f t="shared" si="139"/>
        <v>September</v>
      </c>
      <c r="AM1236" s="133">
        <f>YEAR(Table1[[#This Row],[ETA
As requested
dd.mm.yyyy]])</f>
        <v>2024</v>
      </c>
    </row>
    <row r="1237" spans="1:39" hidden="1">
      <c r="A1237" s="123" t="s">
        <v>27</v>
      </c>
      <c r="B1237" s="36" t="s">
        <v>1170</v>
      </c>
      <c r="C1237" s="117">
        <v>5500533447</v>
      </c>
      <c r="D1237" s="165">
        <v>45572</v>
      </c>
      <c r="E1237" s="117" t="s">
        <v>53</v>
      </c>
      <c r="F1237" s="36" t="str">
        <f>IFERROR(VLOOKUP(Table1[[#This Row],[Part Number]],DATABASE_FG!$C$6:D11226,2,FALSE)," ")</f>
        <v>PLATE_4WRD_25_5X_</v>
      </c>
      <c r="G1237" s="117" t="str">
        <f>IFERROR(_xlfn.XLOOKUP(Table1[[#This Row],[Part Number]],Table3[Part number],Table3[Drawing
 Revision]),"")</f>
        <v>AA</v>
      </c>
      <c r="H1237" s="118" cm="1">
        <f t="array" ref="H1237">IFERROR(INDEX(PDB!$C:$AT,MATCH(E1237,PDB!$B:$B,0),MATCH(YEAR(K1237),0+PDB!$C$1:$AT$1,0)),"")</f>
        <v>5.77</v>
      </c>
      <c r="I1237" s="36">
        <v>257</v>
      </c>
      <c r="J1237" s="125">
        <f>IFERROR(Table1[[#This Row],[Quantity]]*Table1[[#This Row],[Price/Unit
EUR]]," ")</f>
        <v>1482.8899999999999</v>
      </c>
      <c r="K1237" s="126">
        <v>45581</v>
      </c>
      <c r="L1237" s="36">
        <f>WEEKNUM(Table1[[#This Row],[ETA
As requested
dd.mm.yyyy]])</f>
        <v>42</v>
      </c>
      <c r="M1237" s="36">
        <f>YEAR(Table1[[#This Row],[ETA
As requested
dd.mm.yyyy]])</f>
        <v>2024</v>
      </c>
      <c r="N1237" s="36">
        <f>IFERROR(INDEX(DATABASE_FG!$H$5:$H$367, MATCH(E1237, DATABASE_FG!$C$5:$C$367, 0)), " ")</f>
        <v>0</v>
      </c>
      <c r="O1237" s="129" t="str">
        <f>IF(E1237&lt;&gt;"", _xlfn.XLOOKUP(E1237, DATABASE_FG!C:C, DATABASE_FG!F:F), " ")</f>
        <v>PLATE</v>
      </c>
      <c r="P1237" s="129">
        <f>IFERROR(INDEX(DATABASE_FG!$G$5:$G$367, MATCH(E1237, DATABASE_FG!$C$5:$C$367, 0)), "Not Found")</f>
        <v>528</v>
      </c>
      <c r="Q1237" s="36"/>
      <c r="R1237" s="125" t="s">
        <v>678</v>
      </c>
      <c r="S1237" s="123">
        <f>IFERROR(INDEX(DATABASE_FG!$L$5:$L$367, MATCH(E1237, DATABASE_FG!$C$5:$C$367, 0)), " ")</f>
        <v>56</v>
      </c>
      <c r="T1237" s="36" t="s">
        <v>677</v>
      </c>
      <c r="U1237" s="36"/>
      <c r="V1237" s="36"/>
      <c r="W1237" s="129"/>
      <c r="X1237" s="36"/>
      <c r="Y1237" s="36"/>
      <c r="Z1237" s="36">
        <v>242906</v>
      </c>
      <c r="AA1237" s="125" t="s">
        <v>121</v>
      </c>
      <c r="AB1237" s="173">
        <v>45595</v>
      </c>
      <c r="AC1237" s="119">
        <v>202401303</v>
      </c>
      <c r="AD1237" s="36">
        <f t="shared" si="137"/>
        <v>5500533447</v>
      </c>
      <c r="AE1237" s="36" t="str">
        <f t="shared" si="138"/>
        <v>R900172405</v>
      </c>
      <c r="AF1237" s="36">
        <v>257</v>
      </c>
      <c r="AG1237" s="120">
        <f t="shared" si="136"/>
        <v>1482.8899999999999</v>
      </c>
      <c r="AH1237" s="36"/>
      <c r="AI1237" s="124"/>
      <c r="AJ1237" s="122" t="s">
        <v>2474</v>
      </c>
      <c r="AK1237" s="129" t="str">
        <f t="shared" ca="1" si="134"/>
        <v>Late</v>
      </c>
      <c r="AL1237" s="268" t="str">
        <f t="shared" si="139"/>
        <v>October</v>
      </c>
      <c r="AM1237" s="133">
        <f>YEAR(Table1[[#This Row],[ETA
As requested
dd.mm.yyyy]])</f>
        <v>2024</v>
      </c>
    </row>
    <row r="1238" spans="1:39" hidden="1">
      <c r="A1238" s="123" t="s">
        <v>27</v>
      </c>
      <c r="B1238" s="36" t="s">
        <v>1170</v>
      </c>
      <c r="C1238" s="117">
        <v>5500533447</v>
      </c>
      <c r="D1238" s="165">
        <v>45572</v>
      </c>
      <c r="E1238" s="117" t="s">
        <v>53</v>
      </c>
      <c r="F1238" s="36" t="str">
        <f>IFERROR(VLOOKUP(Table1[[#This Row],[Part Number]],DATABASE_FG!$C$6:D11227,2,FALSE)," ")</f>
        <v>PLATE_4WRD_25_5X_</v>
      </c>
      <c r="G1238" s="117" t="str">
        <f>IFERROR(_xlfn.XLOOKUP(Table1[[#This Row],[Part Number]],Table3[Part number],Table3[Drawing
 Revision]),"")</f>
        <v>AA</v>
      </c>
      <c r="H1238" s="118" cm="1">
        <f t="array" ref="H1238">IFERROR(INDEX(PDB!$C:$AT,MATCH(E1238,PDB!$B:$B,0),MATCH(YEAR(K1238),0+PDB!$C$1:$AT$1,0)),"")</f>
        <v>5.77</v>
      </c>
      <c r="I1238" s="36">
        <v>47</v>
      </c>
      <c r="J1238" s="125">
        <f>IFERROR(Table1[[#This Row],[Quantity]]*Table1[[#This Row],[Price/Unit
EUR]]," ")</f>
        <v>271.19</v>
      </c>
      <c r="K1238" s="126">
        <v>45588</v>
      </c>
      <c r="L1238" s="36">
        <f>WEEKNUM(Table1[[#This Row],[ETA
As requested
dd.mm.yyyy]])</f>
        <v>43</v>
      </c>
      <c r="M1238" s="36">
        <f>YEAR(Table1[[#This Row],[ETA
As requested
dd.mm.yyyy]])</f>
        <v>2024</v>
      </c>
      <c r="N1238" s="36">
        <f>IFERROR(INDEX(DATABASE_FG!$H$5:$H$367, MATCH(E1238, DATABASE_FG!$C$5:$C$367, 0)), " ")</f>
        <v>0</v>
      </c>
      <c r="O1238" s="129" t="str">
        <f>IF(E1238&lt;&gt;"", _xlfn.XLOOKUP(E1238, DATABASE_FG!C:C, DATABASE_FG!F:F), " ")</f>
        <v>PLATE</v>
      </c>
      <c r="P1238" s="129">
        <f>IFERROR(INDEX(DATABASE_FG!$G$5:$G$367, MATCH(E1238, DATABASE_FG!$C$5:$C$367, 0)), "Not Found")</f>
        <v>528</v>
      </c>
      <c r="Q1238" s="36"/>
      <c r="R1238" s="125" t="s">
        <v>678</v>
      </c>
      <c r="S1238" s="123">
        <f>IFERROR(INDEX(DATABASE_FG!$L$5:$L$367, MATCH(E1238, DATABASE_FG!$C$5:$C$367, 0)), " ")</f>
        <v>56</v>
      </c>
      <c r="T1238" s="36" t="s">
        <v>677</v>
      </c>
      <c r="U1238" s="36"/>
      <c r="V1238" s="36"/>
      <c r="W1238" s="129"/>
      <c r="X1238" s="36"/>
      <c r="Y1238" s="36"/>
      <c r="Z1238" s="36">
        <v>242906</v>
      </c>
      <c r="AA1238" s="125" t="s">
        <v>121</v>
      </c>
      <c r="AB1238" s="173">
        <v>45595</v>
      </c>
      <c r="AC1238" s="119">
        <v>202401303</v>
      </c>
      <c r="AD1238" s="36">
        <f t="shared" si="137"/>
        <v>5500533447</v>
      </c>
      <c r="AE1238" s="36" t="str">
        <f t="shared" si="138"/>
        <v>R900172405</v>
      </c>
      <c r="AF1238" s="36">
        <v>47</v>
      </c>
      <c r="AG1238" s="120">
        <f t="shared" si="136"/>
        <v>271.19</v>
      </c>
      <c r="AH1238" s="36"/>
      <c r="AI1238" s="124"/>
      <c r="AJ1238" s="122" t="s">
        <v>2474</v>
      </c>
      <c r="AK1238" s="129" t="str">
        <f t="shared" ca="1" si="134"/>
        <v>Late</v>
      </c>
      <c r="AL1238" s="268" t="str">
        <f t="shared" si="139"/>
        <v>October</v>
      </c>
      <c r="AM1238" s="133">
        <f>YEAR(Table1[[#This Row],[ETA
As requested
dd.mm.yyyy]])</f>
        <v>2024</v>
      </c>
    </row>
    <row r="1239" spans="1:39" hidden="1">
      <c r="A1239" s="123" t="s">
        <v>27</v>
      </c>
      <c r="B1239" s="36" t="s">
        <v>1170</v>
      </c>
      <c r="C1239" s="117">
        <v>5500533447</v>
      </c>
      <c r="D1239" s="165">
        <v>45572</v>
      </c>
      <c r="E1239" s="117" t="s">
        <v>53</v>
      </c>
      <c r="F1239" s="36" t="str">
        <f>IFERROR(VLOOKUP(Table1[[#This Row],[Part Number]],DATABASE_FG!$C$6:D11228,2,FALSE)," ")</f>
        <v>PLATE_4WRD_25_5X_</v>
      </c>
      <c r="G1239" s="117" t="str">
        <f>IFERROR(_xlfn.XLOOKUP(Table1[[#This Row],[Part Number]],Table3[Part number],Table3[Drawing
 Revision]),"")</f>
        <v>AA</v>
      </c>
      <c r="H1239" s="118" cm="1">
        <f t="array" ref="H1239">IFERROR(INDEX(PDB!$C:$AT,MATCH(E1239,PDB!$B:$B,0),MATCH(YEAR(K1239),0+PDB!$C$1:$AT$1,0)),"")</f>
        <v>5.77</v>
      </c>
      <c r="I1239" s="36">
        <f>200-47</f>
        <v>153</v>
      </c>
      <c r="J1239" s="125">
        <f>IFERROR(Table1[[#This Row],[Quantity]]*Table1[[#This Row],[Price/Unit
EUR]]," ")</f>
        <v>882.81</v>
      </c>
      <c r="K1239" s="126">
        <v>45588</v>
      </c>
      <c r="L1239" s="36">
        <f>WEEKNUM(Table1[[#This Row],[ETA
As requested
dd.mm.yyyy]])</f>
        <v>43</v>
      </c>
      <c r="M1239" s="36">
        <f>YEAR(Table1[[#This Row],[ETA
As requested
dd.mm.yyyy]])</f>
        <v>2024</v>
      </c>
      <c r="N1239" s="36">
        <f>IFERROR(INDEX(DATABASE_FG!$H$5:$H$367, MATCH(E1239, DATABASE_FG!$C$5:$C$367, 0)), " ")</f>
        <v>0</v>
      </c>
      <c r="O1239" s="129" t="str">
        <f>IF(E1239&lt;&gt;"", _xlfn.XLOOKUP(E1239, DATABASE_FG!C:C, DATABASE_FG!F:F), " ")</f>
        <v>PLATE</v>
      </c>
      <c r="P1239" s="129">
        <f>IFERROR(INDEX(DATABASE_FG!$G$5:$G$367, MATCH(E1239, DATABASE_FG!$C$5:$C$367, 0)), "Not Found")</f>
        <v>528</v>
      </c>
      <c r="Q1239" s="36"/>
      <c r="R1239" s="125" t="s">
        <v>678</v>
      </c>
      <c r="S1239" s="123">
        <f>IFERROR(INDEX(DATABASE_FG!$L$5:$L$367, MATCH(E1239, DATABASE_FG!$C$5:$C$367, 0)), " ")</f>
        <v>56</v>
      </c>
      <c r="T1239" s="36" t="s">
        <v>677</v>
      </c>
      <c r="U1239" s="36"/>
      <c r="V1239" s="36"/>
      <c r="W1239" s="129"/>
      <c r="X1239" s="36"/>
      <c r="Y1239" s="36"/>
      <c r="Z1239" s="36"/>
      <c r="AA1239" s="125" t="s">
        <v>121</v>
      </c>
      <c r="AB1239" s="173">
        <v>45604</v>
      </c>
      <c r="AC1239" s="119">
        <v>202401347</v>
      </c>
      <c r="AD1239" s="36">
        <f t="shared" si="137"/>
        <v>5500533447</v>
      </c>
      <c r="AE1239" s="36" t="str">
        <f t="shared" si="138"/>
        <v>R900172405</v>
      </c>
      <c r="AF1239" s="36">
        <v>153</v>
      </c>
      <c r="AG1239" s="120">
        <f t="shared" si="136"/>
        <v>882.81</v>
      </c>
      <c r="AH1239" s="36"/>
      <c r="AI1239" s="124"/>
      <c r="AJ1239" s="122" t="s">
        <v>2512</v>
      </c>
      <c r="AK1239" s="129" t="str">
        <f t="shared" ca="1" si="134"/>
        <v>Late</v>
      </c>
      <c r="AL1239" s="268" t="str">
        <f t="shared" si="139"/>
        <v>October</v>
      </c>
      <c r="AM1239" s="133">
        <f>YEAR(Table1[[#This Row],[ETA
As requested
dd.mm.yyyy]])</f>
        <v>2024</v>
      </c>
    </row>
    <row r="1240" spans="1:39" hidden="1">
      <c r="A1240" s="123" t="s">
        <v>27</v>
      </c>
      <c r="B1240" s="36" t="s">
        <v>1170</v>
      </c>
      <c r="C1240" s="117">
        <v>5500533447</v>
      </c>
      <c r="D1240" s="165">
        <v>45572</v>
      </c>
      <c r="E1240" s="117" t="s">
        <v>53</v>
      </c>
      <c r="F1240" s="36" t="str">
        <f>IFERROR(VLOOKUP(Table1[[#This Row],[Part Number]],DATABASE_FG!$C$6:D11229,2,FALSE)," ")</f>
        <v>PLATE_4WRD_25_5X_</v>
      </c>
      <c r="G1240" s="117" t="str">
        <f>IFERROR(_xlfn.XLOOKUP(Table1[[#This Row],[Part Number]],Table3[Part number],Table3[Drawing
 Revision]),"")</f>
        <v>AA</v>
      </c>
      <c r="H1240" s="118" cm="1">
        <f t="array" ref="H1240">IFERROR(INDEX(PDB!$C:$AT,MATCH(E1240,PDB!$B:$B,0),MATCH(YEAR(K1240),0+PDB!$C$1:$AT$1,0)),"")</f>
        <v>5.77</v>
      </c>
      <c r="I1240" s="36">
        <v>328</v>
      </c>
      <c r="J1240" s="125">
        <f>IFERROR(Table1[[#This Row],[Quantity]]*Table1[[#This Row],[Price/Unit
EUR]]," ")</f>
        <v>1892.56</v>
      </c>
      <c r="K1240" s="126">
        <v>45596</v>
      </c>
      <c r="L1240" s="36">
        <f>WEEKNUM(Table1[[#This Row],[ETA
As requested
dd.mm.yyyy]])</f>
        <v>44</v>
      </c>
      <c r="M1240" s="36">
        <f>YEAR(Table1[[#This Row],[ETA
As requested
dd.mm.yyyy]])</f>
        <v>2024</v>
      </c>
      <c r="N1240" s="36">
        <f>IFERROR(INDEX(DATABASE_FG!$H$5:$H$367, MATCH(E1240, DATABASE_FG!$C$5:$C$367, 0)), " ")</f>
        <v>0</v>
      </c>
      <c r="O1240" s="129" t="str">
        <f>IF(E1240&lt;&gt;"", _xlfn.XLOOKUP(E1240, DATABASE_FG!C:C, DATABASE_FG!F:F), " ")</f>
        <v>PLATE</v>
      </c>
      <c r="P1240" s="129">
        <f>IFERROR(INDEX(DATABASE_FG!$G$5:$G$367, MATCH(E1240, DATABASE_FG!$C$5:$C$367, 0)), "Not Found")</f>
        <v>528</v>
      </c>
      <c r="Q1240" s="36"/>
      <c r="R1240" s="125" t="s">
        <v>678</v>
      </c>
      <c r="S1240" s="123">
        <f>IFERROR(INDEX(DATABASE_FG!$L$5:$L$367, MATCH(E1240, DATABASE_FG!$C$5:$C$367, 0)), " ")</f>
        <v>56</v>
      </c>
      <c r="T1240" s="36" t="s">
        <v>677</v>
      </c>
      <c r="U1240" s="36"/>
      <c r="V1240" s="36"/>
      <c r="W1240" s="129"/>
      <c r="X1240" s="36"/>
      <c r="Y1240" s="36"/>
      <c r="Z1240" s="36"/>
      <c r="AA1240" s="125" t="s">
        <v>121</v>
      </c>
      <c r="AB1240" s="173">
        <v>45604</v>
      </c>
      <c r="AC1240" s="119">
        <v>202401347</v>
      </c>
      <c r="AD1240" s="36">
        <f t="shared" si="137"/>
        <v>5500533447</v>
      </c>
      <c r="AE1240" s="36" t="str">
        <f t="shared" si="138"/>
        <v>R900172405</v>
      </c>
      <c r="AF1240" s="36">
        <v>328</v>
      </c>
      <c r="AG1240" s="120">
        <f t="shared" si="136"/>
        <v>1892.56</v>
      </c>
      <c r="AH1240" s="36"/>
      <c r="AI1240" s="124"/>
      <c r="AJ1240" s="122" t="s">
        <v>2512</v>
      </c>
      <c r="AK1240" s="129" t="str">
        <f t="shared" ca="1" si="134"/>
        <v>Late</v>
      </c>
      <c r="AL1240" s="268" t="str">
        <f t="shared" si="139"/>
        <v>October</v>
      </c>
      <c r="AM1240" s="133">
        <f>YEAR(Table1[[#This Row],[ETA
As requested
dd.mm.yyyy]])</f>
        <v>2024</v>
      </c>
    </row>
    <row r="1241" spans="1:39" hidden="1">
      <c r="A1241" s="123" t="s">
        <v>27</v>
      </c>
      <c r="B1241" s="36" t="s">
        <v>1170</v>
      </c>
      <c r="C1241" s="117">
        <v>5500533447</v>
      </c>
      <c r="D1241" s="165">
        <v>45572</v>
      </c>
      <c r="E1241" s="117" t="s">
        <v>53</v>
      </c>
      <c r="F1241" s="36" t="str">
        <f>IFERROR(VLOOKUP(Table1[[#This Row],[Part Number]],DATABASE_FG!$C$6:D11230,2,FALSE)," ")</f>
        <v>PLATE_4WRD_25_5X_</v>
      </c>
      <c r="G1241" s="117" t="str">
        <f>IFERROR(_xlfn.XLOOKUP(Table1[[#This Row],[Part Number]],Table3[Part number],Table3[Drawing
 Revision]),"")</f>
        <v>AA</v>
      </c>
      <c r="H1241" s="118" cm="1">
        <f t="array" ref="H1241">IFERROR(INDEX(PDB!$C:$AT,MATCH(E1241,PDB!$B:$B,0),MATCH(YEAR(K1241),0+PDB!$C$1:$AT$1,0)),"")</f>
        <v>5.77</v>
      </c>
      <c r="I1241" s="36">
        <v>23</v>
      </c>
      <c r="J1241" s="125">
        <f>IFERROR(Table1[[#This Row],[Quantity]]*Table1[[#This Row],[Price/Unit
EUR]]," ")</f>
        <v>132.70999999999998</v>
      </c>
      <c r="K1241" s="126">
        <v>45596</v>
      </c>
      <c r="L1241" s="36">
        <f>WEEKNUM(Table1[[#This Row],[ETA
As requested
dd.mm.yyyy]])</f>
        <v>44</v>
      </c>
      <c r="M1241" s="36">
        <f>YEAR(Table1[[#This Row],[ETA
As requested
dd.mm.yyyy]])</f>
        <v>2024</v>
      </c>
      <c r="N1241" s="36">
        <f>IFERROR(INDEX(DATABASE_FG!$H$5:$H$367, MATCH(E1241, DATABASE_FG!$C$5:$C$367, 0)), " ")</f>
        <v>0</v>
      </c>
      <c r="O1241" s="129" t="str">
        <f>IF(E1241&lt;&gt;"", _xlfn.XLOOKUP(E1241, DATABASE_FG!C:C, DATABASE_FG!F:F), " ")</f>
        <v>PLATE</v>
      </c>
      <c r="P1241" s="129">
        <f>IFERROR(INDEX(DATABASE_FG!$G$5:$G$367, MATCH(E1241, DATABASE_FG!$C$5:$C$367, 0)), "Not Found")</f>
        <v>528</v>
      </c>
      <c r="Q1241" s="36"/>
      <c r="R1241" s="125" t="s">
        <v>678</v>
      </c>
      <c r="S1241" s="123">
        <f>IFERROR(INDEX(DATABASE_FG!$L$5:$L$367, MATCH(E1241, DATABASE_FG!$C$5:$C$367, 0)), " ")</f>
        <v>56</v>
      </c>
      <c r="T1241" s="36" t="s">
        <v>677</v>
      </c>
      <c r="U1241" s="36"/>
      <c r="V1241" s="36"/>
      <c r="W1241" s="129"/>
      <c r="X1241" s="36"/>
      <c r="Y1241" s="36"/>
      <c r="Z1241" s="36"/>
      <c r="AA1241" s="125" t="s">
        <v>121</v>
      </c>
      <c r="AB1241" s="173">
        <v>45604</v>
      </c>
      <c r="AC1241" s="119">
        <v>202401347</v>
      </c>
      <c r="AD1241" s="36">
        <f t="shared" si="137"/>
        <v>5500533447</v>
      </c>
      <c r="AE1241" s="36" t="str">
        <f t="shared" si="138"/>
        <v>R900172405</v>
      </c>
      <c r="AF1241" s="36">
        <v>23</v>
      </c>
      <c r="AG1241" s="120">
        <f t="shared" si="136"/>
        <v>132.70999999999998</v>
      </c>
      <c r="AH1241" s="36"/>
      <c r="AI1241" s="124"/>
      <c r="AJ1241" s="122" t="s">
        <v>2512</v>
      </c>
      <c r="AK1241" s="129" t="str">
        <f t="shared" ca="1" si="134"/>
        <v>Late</v>
      </c>
      <c r="AL1241" s="268" t="str">
        <f t="shared" si="139"/>
        <v>October</v>
      </c>
      <c r="AM1241" s="133">
        <f>YEAR(Table1[[#This Row],[ETA
As requested
dd.mm.yyyy]])</f>
        <v>2024</v>
      </c>
    </row>
    <row r="1242" spans="1:39" hidden="1">
      <c r="A1242" s="123" t="s">
        <v>27</v>
      </c>
      <c r="B1242" s="36" t="s">
        <v>1170</v>
      </c>
      <c r="C1242" s="117">
        <v>5500533447</v>
      </c>
      <c r="D1242" s="165">
        <v>45572</v>
      </c>
      <c r="E1242" s="117" t="s">
        <v>53</v>
      </c>
      <c r="F1242" s="36" t="str">
        <f>IFERROR(VLOOKUP(Table1[[#This Row],[Part Number]],DATABASE_FG!$C$6:D11231,2,FALSE)," ")</f>
        <v>PLATE_4WRD_25_5X_</v>
      </c>
      <c r="G1242" s="117" t="str">
        <f>IFERROR(_xlfn.XLOOKUP(Table1[[#This Row],[Part Number]],Table3[Part number],Table3[Drawing
 Revision]),"")</f>
        <v>AA</v>
      </c>
      <c r="H1242" s="118" cm="1">
        <f t="array" ref="H1242">IFERROR(INDEX(PDB!$C:$AT,MATCH(E1242,PDB!$B:$B,0),MATCH(YEAR(K1242),0+PDB!$C$1:$AT$1,0)),"")</f>
        <v>5.77</v>
      </c>
      <c r="I1242" s="36">
        <f>528-264</f>
        <v>264</v>
      </c>
      <c r="J1242" s="125">
        <f>IFERROR(Table1[[#This Row],[Quantity]]*Table1[[#This Row],[Price/Unit
EUR]]," ")</f>
        <v>1523.28</v>
      </c>
      <c r="K1242" s="126">
        <v>45601</v>
      </c>
      <c r="L1242" s="36">
        <f>WEEKNUM(Table1[[#This Row],[ETA
As requested
dd.mm.yyyy]])</f>
        <v>45</v>
      </c>
      <c r="M1242" s="36">
        <f>YEAR(Table1[[#This Row],[ETA
As requested
dd.mm.yyyy]])</f>
        <v>2024</v>
      </c>
      <c r="N1242" s="36">
        <f>IFERROR(INDEX(DATABASE_FG!$H$5:$H$367, MATCH(E1242, DATABASE_FG!$C$5:$C$367, 0)), " ")</f>
        <v>0</v>
      </c>
      <c r="O1242" s="129" t="str">
        <f>IF(E1242&lt;&gt;"", _xlfn.XLOOKUP(E1242, DATABASE_FG!C:C, DATABASE_FG!F:F), " ")</f>
        <v>PLATE</v>
      </c>
      <c r="P1242" s="129">
        <f>IFERROR(INDEX(DATABASE_FG!$G$5:$G$367, MATCH(E1242, DATABASE_FG!$C$5:$C$367, 0)), "Not Found")</f>
        <v>528</v>
      </c>
      <c r="Q1242" s="36"/>
      <c r="R1242" s="125" t="s">
        <v>678</v>
      </c>
      <c r="S1242" s="123">
        <f>IFERROR(INDEX(DATABASE_FG!$L$5:$L$367, MATCH(E1242, DATABASE_FG!$C$5:$C$367, 0)), " ")</f>
        <v>56</v>
      </c>
      <c r="T1242" s="36" t="s">
        <v>677</v>
      </c>
      <c r="U1242" s="36"/>
      <c r="V1242" s="36"/>
      <c r="W1242" s="129"/>
      <c r="X1242" s="36"/>
      <c r="Y1242" s="36"/>
      <c r="Z1242" s="36"/>
      <c r="AA1242" s="125" t="s">
        <v>121</v>
      </c>
      <c r="AB1242" s="173">
        <v>45640</v>
      </c>
      <c r="AC1242" s="119">
        <v>202401537</v>
      </c>
      <c r="AD1242" s="36">
        <f t="shared" si="137"/>
        <v>5500533447</v>
      </c>
      <c r="AE1242" s="36" t="str">
        <f t="shared" si="138"/>
        <v>R900172405</v>
      </c>
      <c r="AF1242" s="36">
        <v>264</v>
      </c>
      <c r="AG1242" s="120">
        <f t="shared" si="136"/>
        <v>1523.28</v>
      </c>
      <c r="AH1242" s="36"/>
      <c r="AI1242" s="124"/>
      <c r="AJ1242" s="122" t="s">
        <v>2559</v>
      </c>
      <c r="AK1242" s="129" t="str">
        <f t="shared" ca="1" si="134"/>
        <v>Late</v>
      </c>
      <c r="AL1242" s="268" t="str">
        <f t="shared" si="139"/>
        <v>November</v>
      </c>
      <c r="AM1242" s="133">
        <f>YEAR(Table1[[#This Row],[ETA
As requested
dd.mm.yyyy]])</f>
        <v>2024</v>
      </c>
    </row>
    <row r="1243" spans="1:39" hidden="1">
      <c r="A1243" s="123" t="s">
        <v>27</v>
      </c>
      <c r="B1243" s="36" t="s">
        <v>1170</v>
      </c>
      <c r="C1243" s="117">
        <v>5500533447</v>
      </c>
      <c r="D1243" s="165">
        <v>45572</v>
      </c>
      <c r="E1243" s="117" t="s">
        <v>53</v>
      </c>
      <c r="F1243" s="36" t="str">
        <f>IFERROR(VLOOKUP(Table1[[#This Row],[Part Number]],DATABASE_FG!$C$6:D11232,2,FALSE)," ")</f>
        <v>PLATE_4WRD_25_5X_</v>
      </c>
      <c r="G1243" s="117" t="str">
        <f>IFERROR(_xlfn.XLOOKUP(Table1[[#This Row],[Part Number]],Table3[Part number],Table3[Drawing
 Revision]),"")</f>
        <v>AA</v>
      </c>
      <c r="H1243" s="118" cm="1">
        <f t="array" ref="H1243">IFERROR(INDEX(PDB!$C:$AT,MATCH(E1243,PDB!$B:$B,0),MATCH(YEAR(K1243),0+PDB!$C$1:$AT$1,0)),"")</f>
        <v>5.77</v>
      </c>
      <c r="I1243" s="36">
        <v>328</v>
      </c>
      <c r="J1243" s="125">
        <f>IFERROR(Table1[[#This Row],[Quantity]]*Table1[[#This Row],[Price/Unit
EUR]]," ")</f>
        <v>1892.56</v>
      </c>
      <c r="K1243" s="126">
        <v>45603</v>
      </c>
      <c r="L1243" s="36">
        <f>WEEKNUM(Table1[[#This Row],[ETA
As requested
dd.mm.yyyy]])</f>
        <v>45</v>
      </c>
      <c r="M1243" s="36">
        <f>YEAR(Table1[[#This Row],[ETA
As requested
dd.mm.yyyy]])</f>
        <v>2024</v>
      </c>
      <c r="N1243" s="36">
        <f>IFERROR(INDEX(DATABASE_FG!$H$5:$H$367, MATCH(E1243, DATABASE_FG!$C$5:$C$367, 0)), " ")</f>
        <v>0</v>
      </c>
      <c r="O1243" s="129" t="str">
        <f>IF(E1243&lt;&gt;"", _xlfn.XLOOKUP(E1243, DATABASE_FG!C:C, DATABASE_FG!F:F), " ")</f>
        <v>PLATE</v>
      </c>
      <c r="P1243" s="129">
        <f>IFERROR(INDEX(DATABASE_FG!$G$5:$G$367, MATCH(E1243, DATABASE_FG!$C$5:$C$367, 0)), "Not Found")</f>
        <v>528</v>
      </c>
      <c r="Q1243" s="36"/>
      <c r="R1243" s="125" t="s">
        <v>678</v>
      </c>
      <c r="S1243" s="123">
        <f>IFERROR(INDEX(DATABASE_FG!$L$5:$L$367, MATCH(E1243, DATABASE_FG!$C$5:$C$367, 0)), " ")</f>
        <v>56</v>
      </c>
      <c r="T1243" s="36" t="s">
        <v>677</v>
      </c>
      <c r="U1243" s="36"/>
      <c r="V1243" s="36"/>
      <c r="W1243" s="129"/>
      <c r="X1243" s="36"/>
      <c r="Y1243" s="36"/>
      <c r="Z1243" s="36"/>
      <c r="AA1243" s="125" t="s">
        <v>121</v>
      </c>
      <c r="AB1243" s="173">
        <v>45610</v>
      </c>
      <c r="AC1243" s="119">
        <v>202401387</v>
      </c>
      <c r="AD1243" s="36">
        <f t="shared" si="137"/>
        <v>5500533447</v>
      </c>
      <c r="AE1243" s="36" t="str">
        <f t="shared" si="138"/>
        <v>R900172405</v>
      </c>
      <c r="AF1243" s="36">
        <v>328</v>
      </c>
      <c r="AG1243" s="120">
        <f t="shared" si="136"/>
        <v>1892.56</v>
      </c>
      <c r="AH1243" s="36"/>
      <c r="AI1243" s="124"/>
      <c r="AJ1243" s="122" t="s">
        <v>2566</v>
      </c>
      <c r="AK1243" s="129" t="str">
        <f t="shared" ca="1" si="134"/>
        <v>Late</v>
      </c>
      <c r="AL1243" s="268" t="str">
        <f t="shared" si="139"/>
        <v>November</v>
      </c>
      <c r="AM1243" s="133">
        <f>YEAR(Table1[[#This Row],[ETA
As requested
dd.mm.yyyy]])</f>
        <v>2024</v>
      </c>
    </row>
    <row r="1244" spans="1:39" hidden="1">
      <c r="A1244" s="123" t="s">
        <v>27</v>
      </c>
      <c r="B1244" s="36" t="s">
        <v>1170</v>
      </c>
      <c r="C1244" s="117">
        <v>5500533447</v>
      </c>
      <c r="D1244" s="165">
        <v>45572</v>
      </c>
      <c r="E1244" s="117" t="s">
        <v>53</v>
      </c>
      <c r="F1244" s="36" t="str">
        <f>IFERROR(VLOOKUP(Table1[[#This Row],[Part Number]],DATABASE_FG!$C$6:D11233,2,FALSE)," ")</f>
        <v>PLATE_4WRD_25_5X_</v>
      </c>
      <c r="G1244" s="117" t="str">
        <f>IFERROR(_xlfn.XLOOKUP(Table1[[#This Row],[Part Number]],Table3[Part number],Table3[Drawing
 Revision]),"")</f>
        <v>AA</v>
      </c>
      <c r="H1244" s="118" cm="1">
        <f t="array" ref="H1244">IFERROR(INDEX(PDB!$C:$AT,MATCH(E1244,PDB!$B:$B,0),MATCH(YEAR(K1244),0+PDB!$C$1:$AT$1,0)),"")</f>
        <v>5.77</v>
      </c>
      <c r="I1244" s="36">
        <f>505-328+264</f>
        <v>441</v>
      </c>
      <c r="J1244" s="125">
        <f>IFERROR(Table1[[#This Row],[Quantity]]*Table1[[#This Row],[Price/Unit
EUR]]," ")</f>
        <v>2544.5699999999997</v>
      </c>
      <c r="K1244" s="126">
        <v>45603</v>
      </c>
      <c r="L1244" s="36">
        <f>WEEKNUM(Table1[[#This Row],[ETA
As requested
dd.mm.yyyy]])</f>
        <v>45</v>
      </c>
      <c r="M1244" s="36">
        <f>YEAR(Table1[[#This Row],[ETA
As requested
dd.mm.yyyy]])</f>
        <v>2024</v>
      </c>
      <c r="N1244" s="36">
        <f>IFERROR(INDEX(DATABASE_FG!$H$5:$H$367, MATCH(E1244, DATABASE_FG!$C$5:$C$367, 0)), " ")</f>
        <v>0</v>
      </c>
      <c r="O1244" s="129" t="str">
        <f>IF(E1244&lt;&gt;"", _xlfn.XLOOKUP(E1244, DATABASE_FG!C:C, DATABASE_FG!F:F), " ")</f>
        <v>PLATE</v>
      </c>
      <c r="P1244" s="129">
        <f>IFERROR(INDEX(DATABASE_FG!$G$5:$G$367, MATCH(E1244, DATABASE_FG!$C$5:$C$367, 0)), "Not Found")</f>
        <v>528</v>
      </c>
      <c r="Q1244" s="36"/>
      <c r="R1244" s="125" t="s">
        <v>678</v>
      </c>
      <c r="S1244" s="123">
        <f>IFERROR(INDEX(DATABASE_FG!$L$5:$L$367, MATCH(E1244, DATABASE_FG!$C$5:$C$367, 0)), " ")</f>
        <v>56</v>
      </c>
      <c r="T1244" s="36" t="s">
        <v>677</v>
      </c>
      <c r="U1244" s="36"/>
      <c r="V1244" s="36"/>
      <c r="W1244" s="129"/>
      <c r="X1244" s="36"/>
      <c r="Y1244" s="36"/>
      <c r="Z1244" s="36" t="s">
        <v>2428</v>
      </c>
      <c r="AA1244" s="125" t="s">
        <v>121</v>
      </c>
      <c r="AB1244" s="173">
        <v>45618</v>
      </c>
      <c r="AC1244" s="119">
        <v>202401419</v>
      </c>
      <c r="AD1244" s="36">
        <f t="shared" si="137"/>
        <v>5500533447</v>
      </c>
      <c r="AE1244" s="36" t="str">
        <f t="shared" si="138"/>
        <v>R900172405</v>
      </c>
      <c r="AF1244" s="36">
        <v>441</v>
      </c>
      <c r="AG1244" s="120">
        <f t="shared" si="136"/>
        <v>2544.5699999999997</v>
      </c>
      <c r="AH1244" s="36"/>
      <c r="AI1244" s="124"/>
      <c r="AJ1244" s="122" t="s">
        <v>2567</v>
      </c>
      <c r="AK1244" s="129" t="str">
        <f t="shared" ca="1" si="134"/>
        <v>Late</v>
      </c>
      <c r="AL1244" s="268" t="str">
        <f t="shared" si="139"/>
        <v>November</v>
      </c>
      <c r="AM1244" s="133">
        <f>YEAR(Table1[[#This Row],[ETA
As requested
dd.mm.yyyy]])</f>
        <v>2024</v>
      </c>
    </row>
    <row r="1245" spans="1:39" hidden="1">
      <c r="A1245" s="123" t="s">
        <v>27</v>
      </c>
      <c r="B1245" s="36" t="s">
        <v>1170</v>
      </c>
      <c r="C1245" s="117">
        <v>5500533447</v>
      </c>
      <c r="D1245" s="165">
        <v>45572</v>
      </c>
      <c r="E1245" s="117" t="s">
        <v>53</v>
      </c>
      <c r="F1245" s="36" t="str">
        <f>IFERROR(VLOOKUP(Table1[[#This Row],[Part Number]],DATABASE_FG!$C$6:D11234,2,FALSE)," ")</f>
        <v>PLATE_4WRD_25_5X_</v>
      </c>
      <c r="G1245" s="117" t="str">
        <f>IFERROR(_xlfn.XLOOKUP(Table1[[#This Row],[Part Number]],Table3[Part number],Table3[Drawing
 Revision]),"")</f>
        <v>AA</v>
      </c>
      <c r="H1245" s="118" cm="1">
        <f t="array" ref="H1245">IFERROR(INDEX(PDB!$C:$AT,MATCH(E1245,PDB!$B:$B,0),MATCH(YEAR(K1245),0+PDB!$C$1:$AT$1,0)),"")</f>
        <v>5.77</v>
      </c>
      <c r="I1245" s="36">
        <v>97</v>
      </c>
      <c r="J1245" s="125">
        <f>IFERROR(Table1[[#This Row],[Quantity]]*Table1[[#This Row],[Price/Unit
EUR]]," ")</f>
        <v>559.68999999999994</v>
      </c>
      <c r="K1245" s="126">
        <v>45615</v>
      </c>
      <c r="L1245" s="36">
        <f>WEEKNUM(Table1[[#This Row],[ETA
As requested
dd.mm.yyyy]])</f>
        <v>47</v>
      </c>
      <c r="M1245" s="36">
        <f>YEAR(Table1[[#This Row],[ETA
As requested
dd.mm.yyyy]])</f>
        <v>2024</v>
      </c>
      <c r="N1245" s="36">
        <f>IFERROR(INDEX(DATABASE_FG!$H$5:$H$367, MATCH(E1245, DATABASE_FG!$C$5:$C$367, 0)), " ")</f>
        <v>0</v>
      </c>
      <c r="O1245" s="129" t="str">
        <f>IF(E1245&lt;&gt;"", _xlfn.XLOOKUP(E1245, DATABASE_FG!C:C, DATABASE_FG!F:F), " ")</f>
        <v>PLATE</v>
      </c>
      <c r="P1245" s="129">
        <f>IFERROR(INDEX(DATABASE_FG!$G$5:$G$367, MATCH(E1245, DATABASE_FG!$C$5:$C$367, 0)), "Not Found")</f>
        <v>528</v>
      </c>
      <c r="Q1245" s="36"/>
      <c r="R1245" s="125" t="s">
        <v>678</v>
      </c>
      <c r="S1245" s="123">
        <f>IFERROR(INDEX(DATABASE_FG!$L$5:$L$367, MATCH(E1245, DATABASE_FG!$C$5:$C$367, 0)), " ")</f>
        <v>56</v>
      </c>
      <c r="T1245" s="36" t="s">
        <v>677</v>
      </c>
      <c r="U1245" s="36"/>
      <c r="V1245" s="36"/>
      <c r="W1245" s="129"/>
      <c r="X1245" s="36"/>
      <c r="Y1245" s="36"/>
      <c r="Z1245" s="36"/>
      <c r="AA1245" s="125" t="s">
        <v>121</v>
      </c>
      <c r="AB1245" s="173">
        <v>45640</v>
      </c>
      <c r="AC1245" s="119">
        <v>202401537</v>
      </c>
      <c r="AD1245" s="36">
        <f t="shared" si="137"/>
        <v>5500533447</v>
      </c>
      <c r="AE1245" s="36" t="str">
        <f t="shared" si="138"/>
        <v>R900172405</v>
      </c>
      <c r="AF1245" s="36">
        <v>97</v>
      </c>
      <c r="AG1245" s="120">
        <f t="shared" si="136"/>
        <v>559.68999999999994</v>
      </c>
      <c r="AH1245" s="36"/>
      <c r="AI1245" s="124"/>
      <c r="AJ1245" s="122"/>
      <c r="AK1245" s="129" t="str">
        <f t="shared" ca="1" si="134"/>
        <v>Late</v>
      </c>
      <c r="AL1245" s="268" t="str">
        <f t="shared" si="139"/>
        <v>November</v>
      </c>
      <c r="AM1245" s="133">
        <f>YEAR(Table1[[#This Row],[ETA
As requested
dd.mm.yyyy]])</f>
        <v>2024</v>
      </c>
    </row>
    <row r="1246" spans="1:39" hidden="1">
      <c r="A1246" s="123" t="s">
        <v>27</v>
      </c>
      <c r="B1246" s="36" t="s">
        <v>1170</v>
      </c>
      <c r="C1246" s="117">
        <v>5500533447</v>
      </c>
      <c r="D1246" s="165">
        <v>45572</v>
      </c>
      <c r="E1246" s="117" t="s">
        <v>53</v>
      </c>
      <c r="F1246" s="36" t="str">
        <f>IFERROR(VLOOKUP(Table1[[#This Row],[Part Number]],DATABASE_FG!$C$6:D11235,2,FALSE)," ")</f>
        <v>PLATE_4WRD_25_5X_</v>
      </c>
      <c r="G1246" s="117" t="str">
        <f>IFERROR(_xlfn.XLOOKUP(Table1[[#This Row],[Part Number]],Table3[Part number],Table3[Drawing
 Revision]),"")</f>
        <v>AA</v>
      </c>
      <c r="H1246" s="118" cm="1">
        <f t="array" ref="H1246">IFERROR(INDEX(PDB!$C:$AT,MATCH(E1246,PDB!$B:$B,0),MATCH(YEAR(K1246),0+PDB!$C$1:$AT$1,0)),"")</f>
        <v>5.77</v>
      </c>
      <c r="I1246" s="36">
        <v>135</v>
      </c>
      <c r="J1246" s="125">
        <f>IFERROR(Table1[[#This Row],[Quantity]]*Table1[[#This Row],[Price/Unit
EUR]]," ")</f>
        <v>778.94999999999993</v>
      </c>
      <c r="K1246" s="126">
        <v>45615</v>
      </c>
      <c r="L1246" s="36">
        <f>WEEKNUM(Table1[[#This Row],[ETA
As requested
dd.mm.yyyy]])</f>
        <v>47</v>
      </c>
      <c r="M1246" s="36">
        <f>YEAR(Table1[[#This Row],[ETA
As requested
dd.mm.yyyy]])</f>
        <v>2024</v>
      </c>
      <c r="N1246" s="36">
        <f>IFERROR(INDEX(DATABASE_FG!$H$5:$H$367, MATCH(E1246, DATABASE_FG!$C$5:$C$367, 0)), " ")</f>
        <v>0</v>
      </c>
      <c r="O1246" s="129" t="str">
        <f>IF(E1246&lt;&gt;"", _xlfn.XLOOKUP(E1246, DATABASE_FG!C:C, DATABASE_FG!F:F), " ")</f>
        <v>PLATE</v>
      </c>
      <c r="P1246" s="129">
        <f>IFERROR(INDEX(DATABASE_FG!$G$5:$G$367, MATCH(E1246, DATABASE_FG!$C$5:$C$367, 0)), "Not Found")</f>
        <v>528</v>
      </c>
      <c r="Q1246" s="36"/>
      <c r="R1246" s="125" t="s">
        <v>678</v>
      </c>
      <c r="S1246" s="123">
        <f>IFERROR(INDEX(DATABASE_FG!$L$5:$L$367, MATCH(E1246, DATABASE_FG!$C$5:$C$367, 0)), " ")</f>
        <v>56</v>
      </c>
      <c r="T1246" s="36" t="s">
        <v>677</v>
      </c>
      <c r="U1246" s="36"/>
      <c r="V1246" s="36"/>
      <c r="W1246" s="129"/>
      <c r="X1246" s="36"/>
      <c r="Y1246" s="36"/>
      <c r="Z1246" s="36"/>
      <c r="AA1246" s="125" t="s">
        <v>121</v>
      </c>
      <c r="AB1246" s="173">
        <v>45646</v>
      </c>
      <c r="AC1246" s="119">
        <v>202401586</v>
      </c>
      <c r="AD1246" s="36">
        <f t="shared" si="137"/>
        <v>5500533447</v>
      </c>
      <c r="AE1246" s="36" t="str">
        <f t="shared" si="138"/>
        <v>R900172405</v>
      </c>
      <c r="AF1246" s="36">
        <v>135</v>
      </c>
      <c r="AG1246" s="120">
        <f t="shared" si="136"/>
        <v>778.94999999999993</v>
      </c>
      <c r="AH1246" s="36"/>
      <c r="AI1246" s="124"/>
      <c r="AJ1246" s="122" t="s">
        <v>2612</v>
      </c>
      <c r="AK1246" s="129" t="str">
        <f t="shared" ca="1" si="134"/>
        <v>Late</v>
      </c>
      <c r="AL1246" s="268" t="str">
        <f t="shared" si="139"/>
        <v>November</v>
      </c>
      <c r="AM1246" s="133">
        <f>YEAR(Table1[[#This Row],[ETA
As requested
dd.mm.yyyy]])</f>
        <v>2024</v>
      </c>
    </row>
    <row r="1247" spans="1:39" hidden="1">
      <c r="A1247" s="123" t="s">
        <v>27</v>
      </c>
      <c r="B1247" s="36" t="s">
        <v>1170</v>
      </c>
      <c r="C1247" s="117">
        <v>5500533447</v>
      </c>
      <c r="D1247" s="165">
        <v>45572</v>
      </c>
      <c r="E1247" s="117" t="s">
        <v>53</v>
      </c>
      <c r="F1247" s="36" t="str">
        <f>IFERROR(VLOOKUP(Table1[[#This Row],[Part Number]],DATABASE_FG!$C$6:D11236,2,FALSE)," ")</f>
        <v>PLATE_4WRD_25_5X_</v>
      </c>
      <c r="G1247" s="117" t="str">
        <f>IFERROR(_xlfn.XLOOKUP(Table1[[#This Row],[Part Number]],Table3[Part number],Table3[Drawing
 Revision]),"")</f>
        <v>AA</v>
      </c>
      <c r="H1247" s="118" cm="1">
        <f t="array" ref="H1247">IFERROR(INDEX(PDB!$C:$AT,MATCH(E1247,PDB!$B:$B,0),MATCH(YEAR(K1247),0+PDB!$C$1:$AT$1,0)),"")</f>
        <v>5.77</v>
      </c>
      <c r="I1247" s="36">
        <v>96</v>
      </c>
      <c r="J1247" s="125">
        <f>IFERROR(Table1[[#This Row],[Quantity]]*Table1[[#This Row],[Price/Unit
EUR]]," ")</f>
        <v>553.91999999999996</v>
      </c>
      <c r="K1247" s="126">
        <v>45615</v>
      </c>
      <c r="L1247" s="36">
        <f>WEEKNUM(Table1[[#This Row],[ETA
As requested
dd.mm.yyyy]])</f>
        <v>47</v>
      </c>
      <c r="M1247" s="36">
        <f>YEAR(Table1[[#This Row],[ETA
As requested
dd.mm.yyyy]])</f>
        <v>2024</v>
      </c>
      <c r="N1247" s="36">
        <f>IFERROR(INDEX(DATABASE_FG!$H$5:$H$367, MATCH(E1247, DATABASE_FG!$C$5:$C$367, 0)), " ")</f>
        <v>0</v>
      </c>
      <c r="O1247" s="129" t="str">
        <f>IF(E1247&lt;&gt;"", _xlfn.XLOOKUP(E1247, DATABASE_FG!C:C, DATABASE_FG!F:F), " ")</f>
        <v>PLATE</v>
      </c>
      <c r="P1247" s="129">
        <f>IFERROR(INDEX(DATABASE_FG!$G$5:$G$367, MATCH(E1247, DATABASE_FG!$C$5:$C$367, 0)), "Not Found")</f>
        <v>528</v>
      </c>
      <c r="Q1247" s="36"/>
      <c r="R1247" s="125" t="s">
        <v>678</v>
      </c>
      <c r="S1247" s="123">
        <f>IFERROR(INDEX(DATABASE_FG!$L$5:$L$367, MATCH(E1247, DATABASE_FG!$C$5:$C$367, 0)), " ")</f>
        <v>56</v>
      </c>
      <c r="T1247" s="36" t="s">
        <v>677</v>
      </c>
      <c r="U1247" s="36"/>
      <c r="V1247" s="36"/>
      <c r="W1247" s="129"/>
      <c r="X1247" s="36"/>
      <c r="Y1247" s="36"/>
      <c r="Z1247" s="36"/>
      <c r="AA1247" s="125" t="s">
        <v>121</v>
      </c>
      <c r="AB1247" s="173">
        <v>45680</v>
      </c>
      <c r="AC1247" s="119" t="s">
        <v>2613</v>
      </c>
      <c r="AD1247" s="36">
        <f t="shared" si="137"/>
        <v>5500533447</v>
      </c>
      <c r="AE1247" s="36" t="str">
        <f t="shared" si="138"/>
        <v>R900172405</v>
      </c>
      <c r="AF1247" s="36">
        <v>96</v>
      </c>
      <c r="AG1247" s="120">
        <f t="shared" si="136"/>
        <v>553.91999999999996</v>
      </c>
      <c r="AH1247" s="36"/>
      <c r="AI1247" s="124"/>
      <c r="AJ1247" s="122" t="s">
        <v>2614</v>
      </c>
      <c r="AK1247" s="129" t="str">
        <f t="shared" ca="1" si="134"/>
        <v>Late</v>
      </c>
      <c r="AL1247" s="268" t="str">
        <f t="shared" si="139"/>
        <v>November</v>
      </c>
      <c r="AM1247" s="133">
        <f>YEAR(Table1[[#This Row],[ETA
As requested
dd.mm.yyyy]])</f>
        <v>2024</v>
      </c>
    </row>
    <row r="1248" spans="1:39" hidden="1">
      <c r="A1248" s="123" t="s">
        <v>27</v>
      </c>
      <c r="B1248" s="36" t="s">
        <v>1170</v>
      </c>
      <c r="C1248" s="117">
        <v>5500533447</v>
      </c>
      <c r="D1248" s="165">
        <v>45572</v>
      </c>
      <c r="E1248" s="117" t="s">
        <v>53</v>
      </c>
      <c r="F1248" s="36" t="str">
        <f>IFERROR(VLOOKUP(Table1[[#This Row],[Part Number]],DATABASE_FG!$C$6:D11237,2,FALSE)," ")</f>
        <v>PLATE_4WRD_25_5X_</v>
      </c>
      <c r="G1248" s="117" t="str">
        <f>IFERROR(_xlfn.XLOOKUP(Table1[[#This Row],[Part Number]],Table3[Part number],Table3[Drawing
 Revision]),"")</f>
        <v>AA</v>
      </c>
      <c r="H1248" s="118" cm="1">
        <f t="array" ref="H1248">IFERROR(INDEX(PDB!$C:$AT,MATCH(E1248,PDB!$B:$B,0),MATCH(YEAR(K1248),0+PDB!$C$1:$AT$1,0)),"")</f>
        <v>5.77</v>
      </c>
      <c r="I1248" s="36">
        <v>104</v>
      </c>
      <c r="J1248" s="125">
        <f>IFERROR(Table1[[#This Row],[Quantity]]*Table1[[#This Row],[Price/Unit
EUR]]," ")</f>
        <v>600.07999999999993</v>
      </c>
      <c r="K1248" s="126">
        <v>45618</v>
      </c>
      <c r="L1248" s="36">
        <f>WEEKNUM(Table1[[#This Row],[ETA
As requested
dd.mm.yyyy]])</f>
        <v>47</v>
      </c>
      <c r="M1248" s="36">
        <f>YEAR(Table1[[#This Row],[ETA
As requested
dd.mm.yyyy]])</f>
        <v>2024</v>
      </c>
      <c r="N1248" s="36">
        <f>IFERROR(INDEX(DATABASE_FG!$H$5:$H$367, MATCH(E1248, DATABASE_FG!$C$5:$C$367, 0)), " ")</f>
        <v>0</v>
      </c>
      <c r="O1248" s="129" t="str">
        <f>IF(E1248&lt;&gt;"", _xlfn.XLOOKUP(E1248, DATABASE_FG!C:C, DATABASE_FG!F:F), " ")</f>
        <v>PLATE</v>
      </c>
      <c r="P1248" s="129">
        <f>IFERROR(INDEX(DATABASE_FG!$G$5:$G$367, MATCH(E1248, DATABASE_FG!$C$5:$C$367, 0)), "Not Found")</f>
        <v>528</v>
      </c>
      <c r="Q1248" s="36"/>
      <c r="R1248" s="125" t="s">
        <v>678</v>
      </c>
      <c r="S1248" s="123">
        <f>IFERROR(INDEX(DATABASE_FG!$L$5:$L$367, MATCH(E1248, DATABASE_FG!$C$5:$C$367, 0)), " ")</f>
        <v>56</v>
      </c>
      <c r="T1248" s="36" t="s">
        <v>677</v>
      </c>
      <c r="U1248" s="36"/>
      <c r="V1248" s="36"/>
      <c r="W1248" s="129"/>
      <c r="X1248" s="36"/>
      <c r="Y1248" s="36"/>
      <c r="Z1248" s="36"/>
      <c r="AA1248" s="125" t="s">
        <v>121</v>
      </c>
      <c r="AB1248" s="173">
        <v>45680</v>
      </c>
      <c r="AC1248" s="119" t="s">
        <v>2613</v>
      </c>
      <c r="AD1248" s="36">
        <f t="shared" si="137"/>
        <v>5500533447</v>
      </c>
      <c r="AE1248" s="36" t="str">
        <f t="shared" si="138"/>
        <v>R900172405</v>
      </c>
      <c r="AF1248" s="36">
        <v>104</v>
      </c>
      <c r="AG1248" s="120">
        <f t="shared" si="136"/>
        <v>600.07999999999993</v>
      </c>
      <c r="AH1248" s="36"/>
      <c r="AI1248" s="124"/>
      <c r="AJ1248" s="122" t="s">
        <v>2614</v>
      </c>
      <c r="AK1248" s="129" t="str">
        <f t="shared" ca="1" si="134"/>
        <v>Late</v>
      </c>
      <c r="AL1248" s="268" t="str">
        <f t="shared" si="139"/>
        <v>November</v>
      </c>
      <c r="AM1248" s="133">
        <f>YEAR(Table1[[#This Row],[ETA
As requested
dd.mm.yyyy]])</f>
        <v>2024</v>
      </c>
    </row>
    <row r="1249" spans="1:39" ht="15.75" hidden="1">
      <c r="A1249" s="123" t="s">
        <v>27</v>
      </c>
      <c r="B1249" s="36" t="s">
        <v>1170</v>
      </c>
      <c r="C1249" s="117">
        <v>5500533447</v>
      </c>
      <c r="D1249" s="165">
        <v>45572</v>
      </c>
      <c r="E1249" s="117" t="s">
        <v>53</v>
      </c>
      <c r="F1249" s="36" t="str">
        <f>IFERROR(VLOOKUP(Table1[[#This Row],[Part Number]],DATABASE_FG!$C$6:D11238,2,FALSE)," ")</f>
        <v>PLATE_4WRD_25_5X_</v>
      </c>
      <c r="G1249" s="117" t="str">
        <f>IFERROR(_xlfn.XLOOKUP(Table1[[#This Row],[Part Number]],Table3[Part number],Table3[Drawing
 Revision]),"")</f>
        <v>AA</v>
      </c>
      <c r="H1249" s="118" cm="1">
        <f t="array" ref="H1249">IFERROR(INDEX(PDB!$C:$AT,MATCH(E1249,PDB!$B:$B,0),MATCH(YEAR(K1249),0+PDB!$C$1:$AT$1,0)),"")</f>
        <v>5.77</v>
      </c>
      <c r="I1249" s="36">
        <f>178-50</f>
        <v>128</v>
      </c>
      <c r="J1249" s="125">
        <f>IFERROR(Table1[[#This Row],[Quantity]]*Table1[[#This Row],[Price/Unit
EUR]]," ")</f>
        <v>738.56</v>
      </c>
      <c r="K1249" s="126">
        <v>45618</v>
      </c>
      <c r="L1249" s="36">
        <f>WEEKNUM(Table1[[#This Row],[ETA
As requested
dd.mm.yyyy]])</f>
        <v>47</v>
      </c>
      <c r="M1249" s="36">
        <f>YEAR(Table1[[#This Row],[ETA
As requested
dd.mm.yyyy]])</f>
        <v>2024</v>
      </c>
      <c r="N1249" s="36">
        <f>IFERROR(INDEX(DATABASE_FG!$H$5:$H$367, MATCH(E1249, DATABASE_FG!$C$5:$C$367, 0)), " ")</f>
        <v>0</v>
      </c>
      <c r="O1249" s="129" t="str">
        <f>IF(E1249&lt;&gt;"", _xlfn.XLOOKUP(E1249, DATABASE_FG!C:C, DATABASE_FG!F:F), " ")</f>
        <v>PLATE</v>
      </c>
      <c r="P1249" s="129">
        <f>IFERROR(INDEX(DATABASE_FG!$G$5:$G$367, MATCH(E1249, DATABASE_FG!$C$5:$C$367, 0)), "Not Found")</f>
        <v>528</v>
      </c>
      <c r="Q1249" s="36"/>
      <c r="R1249" s="125" t="s">
        <v>678</v>
      </c>
      <c r="S1249" s="123">
        <f>IFERROR(INDEX(DATABASE_FG!$L$5:$L$367, MATCH(E1249, DATABASE_FG!$C$5:$C$367, 0)), " ")</f>
        <v>56</v>
      </c>
      <c r="T1249" s="36" t="s">
        <v>677</v>
      </c>
      <c r="U1249" s="36"/>
      <c r="V1249" s="36"/>
      <c r="W1249" s="129"/>
      <c r="X1249" s="36"/>
      <c r="Y1249" s="36"/>
      <c r="Z1249" s="36"/>
      <c r="AA1249" s="125" t="s">
        <v>121</v>
      </c>
      <c r="AB1249" s="173">
        <v>45680</v>
      </c>
      <c r="AC1249" s="119" t="s">
        <v>2622</v>
      </c>
      <c r="AD1249" s="36">
        <f t="shared" si="137"/>
        <v>5500533447</v>
      </c>
      <c r="AE1249" s="36" t="str">
        <f t="shared" si="138"/>
        <v>R900172405</v>
      </c>
      <c r="AF1249" s="36">
        <f>178-50</f>
        <v>128</v>
      </c>
      <c r="AG1249" s="120">
        <f t="shared" si="136"/>
        <v>738.56</v>
      </c>
      <c r="AH1249" s="36"/>
      <c r="AI1249" s="124" t="s">
        <v>2623</v>
      </c>
      <c r="AJ1249" s="122" t="s">
        <v>2624</v>
      </c>
      <c r="AK1249" s="129" t="str">
        <f t="shared" ca="1" si="134"/>
        <v>Late</v>
      </c>
      <c r="AL1249" s="268" t="str">
        <f t="shared" si="139"/>
        <v>November</v>
      </c>
      <c r="AM1249" s="133">
        <f>YEAR(Table1[[#This Row],[ETA
As requested
dd.mm.yyyy]])</f>
        <v>2024</v>
      </c>
    </row>
    <row r="1250" spans="1:39" ht="15.75" hidden="1">
      <c r="A1250" s="123" t="s">
        <v>27</v>
      </c>
      <c r="B1250" s="36" t="s">
        <v>1170</v>
      </c>
      <c r="C1250" s="117">
        <v>5500533447</v>
      </c>
      <c r="D1250" s="165">
        <v>45572</v>
      </c>
      <c r="E1250" s="117" t="s">
        <v>53</v>
      </c>
      <c r="F1250" s="36" t="str">
        <f>IFERROR(VLOOKUP(Table1[[#This Row],[Part Number]],DATABASE_FG!$C$6:D11239,2,FALSE)," ")</f>
        <v>PLATE_4WRD_25_5X_</v>
      </c>
      <c r="G1250" s="117" t="str">
        <f>IFERROR(_xlfn.XLOOKUP(Table1[[#This Row],[Part Number]],Table3[Part number],Table3[Drawing
 Revision]),"")</f>
        <v>AA</v>
      </c>
      <c r="H1250" s="118" cm="1">
        <f t="array" ref="H1250">IFERROR(INDEX(PDB!$C:$AT,MATCH(E1250,PDB!$B:$B,0),MATCH(YEAR(K1250),0+PDB!$C$1:$AT$1,0)),"")</f>
        <v>5.77</v>
      </c>
      <c r="I1250" s="36">
        <f>528-104-178</f>
        <v>246</v>
      </c>
      <c r="J1250" s="125">
        <f>IFERROR(Table1[[#This Row],[Quantity]]*Table1[[#This Row],[Price/Unit
EUR]]," ")</f>
        <v>1419.4199999999998</v>
      </c>
      <c r="K1250" s="126">
        <v>45618</v>
      </c>
      <c r="L1250" s="36">
        <f>WEEKNUM(Table1[[#This Row],[ETA
As requested
dd.mm.yyyy]])</f>
        <v>47</v>
      </c>
      <c r="M1250" s="36">
        <f>YEAR(Table1[[#This Row],[ETA
As requested
dd.mm.yyyy]])</f>
        <v>2024</v>
      </c>
      <c r="N1250" s="36">
        <f>IFERROR(INDEX(DATABASE_FG!$H$5:$H$367, MATCH(E1250, DATABASE_FG!$C$5:$C$367, 0)), " ")</f>
        <v>0</v>
      </c>
      <c r="O1250" s="129" t="str">
        <f>IF(E1250&lt;&gt;"", _xlfn.XLOOKUP(E1250, DATABASE_FG!C:C, DATABASE_FG!F:F), " ")</f>
        <v>PLATE</v>
      </c>
      <c r="P1250" s="129">
        <f>IFERROR(INDEX(DATABASE_FG!$G$5:$G$367, MATCH(E1250, DATABASE_FG!$C$5:$C$367, 0)), "Not Found")</f>
        <v>528</v>
      </c>
      <c r="Q1250" s="36"/>
      <c r="R1250" s="125" t="s">
        <v>678</v>
      </c>
      <c r="S1250" s="123">
        <f>IFERROR(INDEX(DATABASE_FG!$L$5:$L$367, MATCH(E1250, DATABASE_FG!$C$5:$C$367, 0)), " ")</f>
        <v>56</v>
      </c>
      <c r="T1250" s="36" t="s">
        <v>677</v>
      </c>
      <c r="U1250" s="36"/>
      <c r="V1250" s="36"/>
      <c r="W1250" s="129"/>
      <c r="X1250" s="36"/>
      <c r="Y1250" s="36" t="s">
        <v>2625</v>
      </c>
      <c r="Z1250" s="36"/>
      <c r="AA1250" s="125" t="s">
        <v>121</v>
      </c>
      <c r="AB1250" s="173">
        <v>45700</v>
      </c>
      <c r="AC1250" s="119">
        <v>25190</v>
      </c>
      <c r="AD1250" s="36">
        <f t="shared" si="137"/>
        <v>5500533447</v>
      </c>
      <c r="AE1250" s="36" t="str">
        <f t="shared" si="138"/>
        <v>R900172405</v>
      </c>
      <c r="AF1250" s="36">
        <f>246-246</f>
        <v>0</v>
      </c>
      <c r="AG1250" s="120">
        <f t="shared" si="136"/>
        <v>0</v>
      </c>
      <c r="AH1250" s="36"/>
      <c r="AI1250" s="124"/>
      <c r="AJ1250" s="122" t="s">
        <v>2626</v>
      </c>
      <c r="AK1250" s="129" t="str">
        <f t="shared" ref="AK1250:AK1317" ca="1" si="140">IF(AB1250="", IF(K1250 &lt; TODAY(), "Late", ""), IF(AB1250 &lt;= K1250 + 2, "On Time", "Late"))</f>
        <v>Late</v>
      </c>
      <c r="AL1250" s="268" t="str">
        <f t="shared" si="139"/>
        <v>November</v>
      </c>
      <c r="AM1250" s="133">
        <f>YEAR(Table1[[#This Row],[ETA
As requested
dd.mm.yyyy]])</f>
        <v>2024</v>
      </c>
    </row>
    <row r="1251" spans="1:39" ht="15.75" hidden="1">
      <c r="A1251" s="123" t="s">
        <v>27</v>
      </c>
      <c r="B1251" s="36" t="s">
        <v>1170</v>
      </c>
      <c r="C1251" s="117">
        <v>5500533447</v>
      </c>
      <c r="D1251" s="165">
        <v>45572</v>
      </c>
      <c r="E1251" s="117" t="s">
        <v>53</v>
      </c>
      <c r="F1251" s="36" t="str">
        <f>IFERROR(VLOOKUP(Table1[[#This Row],[Part Number]],DATABASE_FG!$C$6:D11240,2,FALSE)," ")</f>
        <v>PLATE_4WRD_25_5X_</v>
      </c>
      <c r="G1251" s="117" t="str">
        <f>IFERROR(_xlfn.XLOOKUP(Table1[[#This Row],[Part Number]],Table3[Part number],Table3[Drawing
 Revision]),"")</f>
        <v>AA</v>
      </c>
      <c r="H1251" s="118" cm="1">
        <f t="array" ref="H1251">IFERROR(INDEX(PDB!$C:$AT,MATCH(E1251,PDB!$B:$B,0),MATCH(YEAR(K1251),0+PDB!$C$1:$AT$1,0)),"")</f>
        <v>5.77</v>
      </c>
      <c r="I1251" s="36">
        <v>174</v>
      </c>
      <c r="J1251" s="125">
        <f>IFERROR(Table1[[#This Row],[Quantity]]*Table1[[#This Row],[Price/Unit
EUR]]," ")</f>
        <v>1003.9799999999999</v>
      </c>
      <c r="K1251" s="126">
        <v>45625</v>
      </c>
      <c r="L1251" s="36">
        <f>WEEKNUM(Table1[[#This Row],[ETA
As requested
dd.mm.yyyy]])</f>
        <v>48</v>
      </c>
      <c r="M1251" s="36">
        <f>YEAR(Table1[[#This Row],[ETA
As requested
dd.mm.yyyy]])</f>
        <v>2024</v>
      </c>
      <c r="N1251" s="36">
        <f>IFERROR(INDEX(DATABASE_FG!$H$5:$H$367, MATCH(E1251, DATABASE_FG!$C$5:$C$367, 0)), " ")</f>
        <v>0</v>
      </c>
      <c r="O1251" s="129" t="str">
        <f>IF(E1251&lt;&gt;"", _xlfn.XLOOKUP(E1251, DATABASE_FG!C:C, DATABASE_FG!F:F), " ")</f>
        <v>PLATE</v>
      </c>
      <c r="P1251" s="129">
        <f>IFERROR(INDEX(DATABASE_FG!$G$5:$G$367, MATCH(E1251, DATABASE_FG!$C$5:$C$367, 0)), "Not Found")</f>
        <v>528</v>
      </c>
      <c r="Q1251" s="36"/>
      <c r="R1251" s="125" t="s">
        <v>678</v>
      </c>
      <c r="S1251" s="123">
        <f>IFERROR(INDEX(DATABASE_FG!$L$5:$L$367, MATCH(E1251, DATABASE_FG!$C$5:$C$367, 0)), " ")</f>
        <v>56</v>
      </c>
      <c r="T1251" s="36" t="s">
        <v>677</v>
      </c>
      <c r="U1251" s="36"/>
      <c r="V1251" s="36"/>
      <c r="W1251" s="129"/>
      <c r="X1251" s="36"/>
      <c r="Y1251" s="36" t="s">
        <v>2634</v>
      </c>
      <c r="Z1251" s="36"/>
      <c r="AA1251" s="125" t="s">
        <v>121</v>
      </c>
      <c r="AB1251" s="173">
        <v>45700</v>
      </c>
      <c r="AC1251" s="119">
        <v>25190</v>
      </c>
      <c r="AD1251" s="36">
        <f t="shared" si="137"/>
        <v>5500533447</v>
      </c>
      <c r="AE1251" s="36" t="str">
        <f t="shared" si="138"/>
        <v>R900172405</v>
      </c>
      <c r="AF1251" s="36">
        <f>174-174</f>
        <v>0</v>
      </c>
      <c r="AG1251" s="120">
        <f t="shared" si="136"/>
        <v>0</v>
      </c>
      <c r="AH1251" s="36"/>
      <c r="AI1251" s="124"/>
      <c r="AJ1251" s="122" t="s">
        <v>2626</v>
      </c>
      <c r="AK1251" s="129" t="str">
        <f t="shared" ca="1" si="140"/>
        <v>Late</v>
      </c>
      <c r="AL1251" s="268" t="str">
        <f t="shared" ref="AL1251:AL1283" si="141">TEXT(K1251,"mmmm")</f>
        <v>November</v>
      </c>
      <c r="AM1251" s="133">
        <f>YEAR(Table1[[#This Row],[ETA
As requested
dd.mm.yyyy]])</f>
        <v>2024</v>
      </c>
    </row>
    <row r="1252" spans="1:39" hidden="1">
      <c r="A1252" s="123" t="s">
        <v>27</v>
      </c>
      <c r="B1252" s="36" t="s">
        <v>1170</v>
      </c>
      <c r="C1252" s="117">
        <v>5500533447</v>
      </c>
      <c r="D1252" s="165">
        <v>45572</v>
      </c>
      <c r="E1252" s="117" t="s">
        <v>53</v>
      </c>
      <c r="F1252" s="36" t="str">
        <f>IFERROR(VLOOKUP(Table1[[#This Row],[Part Number]],DATABASE_FG!$C$6:D11241,2,FALSE)," ")</f>
        <v>PLATE_4WRD_25_5X_</v>
      </c>
      <c r="G1252" s="117" t="str">
        <f>IFERROR(_xlfn.XLOOKUP(Table1[[#This Row],[Part Number]],Table3[Part number],Table3[Drawing
 Revision]),"")</f>
        <v>AA</v>
      </c>
      <c r="H1252" s="118" cm="1">
        <f t="array" ref="H1252">IFERROR(INDEX(PDB!$C:$AT,MATCH(E1252,PDB!$B:$B,0),MATCH(YEAR(K1252),0+PDB!$C$1:$AT$1,0)),"")</f>
        <v>5.77</v>
      </c>
      <c r="I1252" s="36">
        <v>200</v>
      </c>
      <c r="J1252" s="125">
        <f>IFERROR(Table1[[#This Row],[Quantity]]*Table1[[#This Row],[Price/Unit
EUR]]," ")</f>
        <v>1154</v>
      </c>
      <c r="K1252" s="126">
        <v>45709</v>
      </c>
      <c r="L1252" s="36">
        <f>WEEKNUM(Table1[[#This Row],[ETA
As requested
dd.mm.yyyy]])</f>
        <v>8</v>
      </c>
      <c r="M1252" s="36">
        <f>YEAR(Table1[[#This Row],[ETA
As requested
dd.mm.yyyy]])</f>
        <v>2025</v>
      </c>
      <c r="N1252" s="36">
        <f>IFERROR(INDEX(DATABASE_FG!$H$5:$H$367, MATCH(E1252, DATABASE_FG!$C$5:$C$367, 0)), " ")</f>
        <v>0</v>
      </c>
      <c r="O1252" s="129" t="str">
        <f>IF(E1252&lt;&gt;"", _xlfn.XLOOKUP(E1252, DATABASE_FG!C:C, DATABASE_FG!F:F), " ")</f>
        <v>PLATE</v>
      </c>
      <c r="P1252" s="129">
        <f>IFERROR(INDEX(DATABASE_FG!$G$5:$G$367, MATCH(E1252, DATABASE_FG!$C$5:$C$367, 0)), "Not Found")</f>
        <v>528</v>
      </c>
      <c r="Q1252" s="36"/>
      <c r="R1252" s="125" t="s">
        <v>678</v>
      </c>
      <c r="S1252" s="123">
        <f>IFERROR(INDEX(DATABASE_FG!$L$5:$L$367, MATCH(E1252, DATABASE_FG!$C$5:$C$367, 0)), " ")</f>
        <v>56</v>
      </c>
      <c r="T1252" s="36" t="s">
        <v>677</v>
      </c>
      <c r="U1252" s="36"/>
      <c r="V1252" s="36"/>
      <c r="W1252" s="129"/>
      <c r="X1252" s="36"/>
      <c r="Y1252" s="36" t="s">
        <v>2634</v>
      </c>
      <c r="Z1252" s="36"/>
      <c r="AA1252" s="125" t="s">
        <v>121</v>
      </c>
      <c r="AB1252" s="173">
        <v>45710</v>
      </c>
      <c r="AC1252" s="119">
        <v>20242066</v>
      </c>
      <c r="AD1252" s="36">
        <f t="shared" si="137"/>
        <v>5500533447</v>
      </c>
      <c r="AE1252" s="36" t="str">
        <f t="shared" si="138"/>
        <v>R900172405</v>
      </c>
      <c r="AF1252" s="36">
        <v>200</v>
      </c>
      <c r="AG1252" s="120">
        <f t="shared" si="136"/>
        <v>1154</v>
      </c>
      <c r="AH1252" s="36"/>
      <c r="AI1252" s="124"/>
      <c r="AJ1252" s="122" t="s">
        <v>2855</v>
      </c>
      <c r="AK1252" s="129" t="str">
        <f t="shared" ca="1" si="140"/>
        <v>On Time</v>
      </c>
      <c r="AL1252" s="268" t="str">
        <f t="shared" si="141"/>
        <v>February</v>
      </c>
      <c r="AM1252" s="133">
        <f>YEAR(Table1[[#This Row],[ETA
As requested
dd.mm.yyyy]])</f>
        <v>2025</v>
      </c>
    </row>
    <row r="1253" spans="1:39" hidden="1">
      <c r="A1253" s="123" t="s">
        <v>27</v>
      </c>
      <c r="B1253" s="36" t="s">
        <v>1170</v>
      </c>
      <c r="C1253" s="117">
        <v>5500533447</v>
      </c>
      <c r="D1253" s="165">
        <v>45572</v>
      </c>
      <c r="E1253" s="117" t="s">
        <v>53</v>
      </c>
      <c r="F1253" s="36" t="str">
        <f>IFERROR(VLOOKUP(Table1[[#This Row],[Part Number]],DATABASE_FG!$C$6:D11242,2,FALSE)," ")</f>
        <v>PLATE_4WRD_25_5X_</v>
      </c>
      <c r="G1253" s="117" t="str">
        <f>IFERROR(_xlfn.XLOOKUP(Table1[[#This Row],[Part Number]],Table3[Part number],Table3[Drawing
 Revision]),"")</f>
        <v>AA</v>
      </c>
      <c r="H1253" s="118" cm="1">
        <f t="array" ref="H1253">IFERROR(INDEX(PDB!$C:$AT,MATCH(E1253,PDB!$B:$B,0),MATCH(YEAR(K1253),0+PDB!$C$1:$AT$1,0)),"")</f>
        <v>5.77</v>
      </c>
      <c r="I1253" s="36">
        <v>450</v>
      </c>
      <c r="J1253" s="125">
        <f>IFERROR(Table1[[#This Row],[Quantity]]*Table1[[#This Row],[Price/Unit
EUR]]," ")</f>
        <v>2596.5</v>
      </c>
      <c r="K1253" s="126">
        <v>45716</v>
      </c>
      <c r="L1253" s="36">
        <f>WEEKNUM(Table1[[#This Row],[ETA
As requested
dd.mm.yyyy]])</f>
        <v>9</v>
      </c>
      <c r="M1253" s="36">
        <f>YEAR(Table1[[#This Row],[ETA
As requested
dd.mm.yyyy]])</f>
        <v>2025</v>
      </c>
      <c r="N1253" s="36">
        <f>IFERROR(INDEX(DATABASE_FG!$H$5:$H$367, MATCH(E1253, DATABASE_FG!$C$5:$C$367, 0)), " ")</f>
        <v>0</v>
      </c>
      <c r="O1253" s="129" t="str">
        <f>IF(E1253&lt;&gt;"", _xlfn.XLOOKUP(E1253, DATABASE_FG!C:C, DATABASE_FG!F:F), " ")</f>
        <v>PLATE</v>
      </c>
      <c r="P1253" s="129">
        <f>IFERROR(INDEX(DATABASE_FG!$G$5:$G$367, MATCH(E1253, DATABASE_FG!$C$5:$C$367, 0)), "Not Found")</f>
        <v>528</v>
      </c>
      <c r="Q1253" s="36"/>
      <c r="R1253" s="125" t="s">
        <v>678</v>
      </c>
      <c r="S1253" s="123">
        <f>IFERROR(INDEX(DATABASE_FG!$L$5:$L$367, MATCH(E1253, DATABASE_FG!$C$5:$C$367, 0)), " ")</f>
        <v>56</v>
      </c>
      <c r="T1253" s="36" t="s">
        <v>677</v>
      </c>
      <c r="U1253" s="36"/>
      <c r="V1253" s="36"/>
      <c r="W1253" s="129"/>
      <c r="X1253" s="36"/>
      <c r="Y1253" s="36" t="s">
        <v>677</v>
      </c>
      <c r="Z1253" s="36"/>
      <c r="AA1253" s="125" t="s">
        <v>121</v>
      </c>
      <c r="AB1253" s="173">
        <v>45717</v>
      </c>
      <c r="AC1253" s="119" t="s">
        <v>2898</v>
      </c>
      <c r="AD1253" s="36">
        <f t="shared" si="137"/>
        <v>5500533447</v>
      </c>
      <c r="AE1253" s="36" t="str">
        <f t="shared" si="138"/>
        <v>R900172405</v>
      </c>
      <c r="AF1253" s="36">
        <v>450</v>
      </c>
      <c r="AG1253" s="120">
        <f t="shared" si="136"/>
        <v>2596.5</v>
      </c>
      <c r="AH1253" s="36"/>
      <c r="AI1253" s="124"/>
      <c r="AJ1253" s="122" t="s">
        <v>2899</v>
      </c>
      <c r="AK1253" s="129" t="str">
        <f t="shared" ca="1" si="140"/>
        <v>On Time</v>
      </c>
      <c r="AL1253" s="268" t="str">
        <f t="shared" si="141"/>
        <v>February</v>
      </c>
      <c r="AM1253" s="133">
        <f>YEAR(Table1[[#This Row],[ETA
As requested
dd.mm.yyyy]])</f>
        <v>2025</v>
      </c>
    </row>
    <row r="1254" spans="1:39" hidden="1">
      <c r="A1254" s="123" t="s">
        <v>27</v>
      </c>
      <c r="B1254" s="36" t="s">
        <v>1170</v>
      </c>
      <c r="C1254" s="117">
        <v>5500533447</v>
      </c>
      <c r="D1254" s="165">
        <v>45572</v>
      </c>
      <c r="E1254" s="117" t="s">
        <v>53</v>
      </c>
      <c r="F1254" s="36" t="str">
        <f>IFERROR(VLOOKUP(Table1[[#This Row],[Part Number]],DATABASE_FG!$C$6:D11243,2,FALSE)," ")</f>
        <v>PLATE_4WRD_25_5X_</v>
      </c>
      <c r="G1254" s="117" t="str">
        <f>IFERROR(_xlfn.XLOOKUP(Table1[[#This Row],[Part Number]],Table3[Part number],Table3[Drawing
 Revision]),"")</f>
        <v>AA</v>
      </c>
      <c r="H1254" s="118" cm="1">
        <f t="array" ref="H1254">IFERROR(INDEX(PDB!$C:$AT,MATCH(E1254,PDB!$B:$B,0),MATCH(YEAR(K1254),0+PDB!$C$1:$AT$1,0)),"")</f>
        <v>5.77</v>
      </c>
      <c r="I1254" s="36">
        <v>30</v>
      </c>
      <c r="J1254" s="125">
        <f>IFERROR(Table1[[#This Row],[Quantity]]*Table1[[#This Row],[Price/Unit
EUR]]," ")</f>
        <v>173.1</v>
      </c>
      <c r="K1254" s="126">
        <v>45722</v>
      </c>
      <c r="L1254" s="36">
        <f>WEEKNUM(Table1[[#This Row],[ETA
As requested
dd.mm.yyyy]])</f>
        <v>10</v>
      </c>
      <c r="M1254" s="36">
        <f>YEAR(Table1[[#This Row],[ETA
As requested
dd.mm.yyyy]])</f>
        <v>2025</v>
      </c>
      <c r="N1254" s="36">
        <f>IFERROR(INDEX(DATABASE_FG!$H$5:$H$367, MATCH(E1254, DATABASE_FG!$C$5:$C$367, 0)), " ")</f>
        <v>0</v>
      </c>
      <c r="O1254" s="129" t="str">
        <f>IF(E1254&lt;&gt;"", _xlfn.XLOOKUP(E1254, DATABASE_FG!C:C, DATABASE_FG!F:F), " ")</f>
        <v>PLATE</v>
      </c>
      <c r="P1254" s="129">
        <f>IFERROR(INDEX(DATABASE_FG!$G$5:$G$367, MATCH(E1254, DATABASE_FG!$C$5:$C$367, 0)), "Not Found")</f>
        <v>528</v>
      </c>
      <c r="Q1254" s="36"/>
      <c r="R1254" s="125" t="s">
        <v>678</v>
      </c>
      <c r="S1254" s="123">
        <f>IFERROR(INDEX(DATABASE_FG!$L$5:$L$367, MATCH(E1254, DATABASE_FG!$C$5:$C$367, 0)), " ")</f>
        <v>56</v>
      </c>
      <c r="T1254" s="36" t="s">
        <v>677</v>
      </c>
      <c r="U1254" s="36"/>
      <c r="V1254" s="36"/>
      <c r="W1254" s="129"/>
      <c r="X1254" s="36"/>
      <c r="Y1254" s="36"/>
      <c r="Z1254" s="36"/>
      <c r="AA1254" s="125" t="s">
        <v>121</v>
      </c>
      <c r="AB1254" s="173">
        <v>45731</v>
      </c>
      <c r="AC1254" s="119" t="s">
        <v>2930</v>
      </c>
      <c r="AD1254" s="36">
        <f t="shared" si="137"/>
        <v>5500533447</v>
      </c>
      <c r="AE1254" s="36" t="str">
        <f t="shared" si="138"/>
        <v>R900172405</v>
      </c>
      <c r="AF1254" s="36">
        <v>30</v>
      </c>
      <c r="AG1254" s="120">
        <f t="shared" si="136"/>
        <v>173.1</v>
      </c>
      <c r="AH1254" s="36"/>
      <c r="AI1254" s="124"/>
      <c r="AJ1254" s="122" t="s">
        <v>2931</v>
      </c>
      <c r="AK1254" s="129" t="str">
        <f t="shared" ca="1" si="140"/>
        <v>Late</v>
      </c>
      <c r="AL1254" s="268" t="str">
        <f t="shared" si="141"/>
        <v>March</v>
      </c>
      <c r="AM1254" s="133">
        <f>YEAR(Table1[[#This Row],[ETA
As requested
dd.mm.yyyy]])</f>
        <v>2025</v>
      </c>
    </row>
    <row r="1255" spans="1:39" hidden="1">
      <c r="A1255" s="123" t="s">
        <v>27</v>
      </c>
      <c r="B1255" s="36" t="s">
        <v>1170</v>
      </c>
      <c r="C1255" s="117">
        <v>5500533447</v>
      </c>
      <c r="D1255" s="165">
        <v>45572</v>
      </c>
      <c r="E1255" s="117" t="s">
        <v>53</v>
      </c>
      <c r="F1255" s="36" t="str">
        <f>IFERROR(VLOOKUP(Table1[[#This Row],[Part Number]],DATABASE_FG!$C$6:D11244,2,FALSE)," ")</f>
        <v>PLATE_4WRD_25_5X_</v>
      </c>
      <c r="G1255" s="117" t="str">
        <f>IFERROR(_xlfn.XLOOKUP(Table1[[#This Row],[Part Number]],Table3[Part number],Table3[Drawing
 Revision]),"")</f>
        <v>AA</v>
      </c>
      <c r="H1255" s="118" cm="1">
        <f t="array" ref="H1255">IFERROR(INDEX(PDB!$C:$AT,MATCH(E1255,PDB!$B:$B,0),MATCH(YEAR(K1255),0+PDB!$C$1:$AT$1,0)),"")</f>
        <v>5.77</v>
      </c>
      <c r="I1255" s="36">
        <v>20</v>
      </c>
      <c r="J1255" s="125">
        <f>IFERROR(Table1[[#This Row],[Quantity]]*Table1[[#This Row],[Price/Unit
EUR]]," ")</f>
        <v>115.39999999999999</v>
      </c>
      <c r="K1255" s="126">
        <v>45722</v>
      </c>
      <c r="L1255" s="36">
        <f>WEEKNUM(Table1[[#This Row],[ETA
As requested
dd.mm.yyyy]])</f>
        <v>10</v>
      </c>
      <c r="M1255" s="36">
        <f>YEAR(Table1[[#This Row],[ETA
As requested
dd.mm.yyyy]])</f>
        <v>2025</v>
      </c>
      <c r="N1255" s="36">
        <f>IFERROR(INDEX(DATABASE_FG!$H$5:$H$367, MATCH(E1255, DATABASE_FG!$C$5:$C$367, 0)), " ")</f>
        <v>0</v>
      </c>
      <c r="O1255" s="129" t="str">
        <f>IF(E1255&lt;&gt;"", _xlfn.XLOOKUP(E1255, DATABASE_FG!C:C, DATABASE_FG!F:F), " ")</f>
        <v>PLATE</v>
      </c>
      <c r="P1255" s="129">
        <f>IFERROR(INDEX(DATABASE_FG!$G$5:$G$367, MATCH(E1255, DATABASE_FG!$C$5:$C$367, 0)), "Not Found")</f>
        <v>528</v>
      </c>
      <c r="Q1255" s="36"/>
      <c r="R1255" s="125" t="s">
        <v>678</v>
      </c>
      <c r="S1255" s="123">
        <f>IFERROR(INDEX(DATABASE_FG!$L$5:$L$367, MATCH(E1255, DATABASE_FG!$C$5:$C$367, 0)), " ")</f>
        <v>56</v>
      </c>
      <c r="T1255" s="36" t="s">
        <v>677</v>
      </c>
      <c r="U1255" s="36"/>
      <c r="V1255" s="36"/>
      <c r="W1255" s="129"/>
      <c r="X1255" s="36"/>
      <c r="Y1255" s="36"/>
      <c r="Z1255" s="36"/>
      <c r="AA1255" s="125" t="s">
        <v>121</v>
      </c>
      <c r="AB1255" s="173">
        <v>45737</v>
      </c>
      <c r="AC1255" s="119">
        <v>25441</v>
      </c>
      <c r="AD1255" s="36">
        <f t="shared" si="137"/>
        <v>5500533447</v>
      </c>
      <c r="AE1255" s="36" t="str">
        <f t="shared" si="138"/>
        <v>R900172405</v>
      </c>
      <c r="AF1255" s="36">
        <v>20</v>
      </c>
      <c r="AG1255" s="120">
        <f t="shared" si="136"/>
        <v>115.39999999999999</v>
      </c>
      <c r="AH1255" s="36"/>
      <c r="AI1255" s="124"/>
      <c r="AJ1255" s="122" t="s">
        <v>2932</v>
      </c>
      <c r="AK1255" s="129" t="str">
        <f t="shared" ca="1" si="140"/>
        <v>Late</v>
      </c>
      <c r="AL1255" s="268" t="str">
        <f t="shared" si="141"/>
        <v>March</v>
      </c>
      <c r="AM1255" s="133">
        <f>YEAR(Table1[[#This Row],[ETA
As requested
dd.mm.yyyy]])</f>
        <v>2025</v>
      </c>
    </row>
    <row r="1256" spans="1:39" hidden="1">
      <c r="A1256" s="123" t="s">
        <v>27</v>
      </c>
      <c r="B1256" s="36" t="s">
        <v>1170</v>
      </c>
      <c r="C1256" s="117">
        <v>5500533447</v>
      </c>
      <c r="D1256" s="165">
        <v>45572</v>
      </c>
      <c r="E1256" s="117" t="s">
        <v>53</v>
      </c>
      <c r="F1256" s="36" t="str">
        <f>IFERROR(VLOOKUP(Table1[[#This Row],[Part Number]],DATABASE_FG!$C$6:D11245,2,FALSE)," ")</f>
        <v>PLATE_4WRD_25_5X_</v>
      </c>
      <c r="G1256" s="117" t="str">
        <f>IFERROR(_xlfn.XLOOKUP(Table1[[#This Row],[Part Number]],Table3[Part number],Table3[Drawing
 Revision]),"")</f>
        <v>AA</v>
      </c>
      <c r="H1256" s="118" cm="1">
        <f t="array" ref="H1256">IFERROR(INDEX(PDB!$C:$AT,MATCH(E1256,PDB!$B:$B,0),MATCH(YEAR(K1256),0+PDB!$C$1:$AT$1,0)),"")</f>
        <v>5.77</v>
      </c>
      <c r="I1256" s="36">
        <v>41</v>
      </c>
      <c r="J1256" s="125">
        <f>IFERROR(Table1[[#This Row],[Quantity]]*Table1[[#This Row],[Price/Unit
EUR]]," ")</f>
        <v>236.57</v>
      </c>
      <c r="K1256" s="126">
        <v>45729</v>
      </c>
      <c r="L1256" s="36">
        <f>WEEKNUM(Table1[[#This Row],[ETA
As requested
dd.mm.yyyy]])</f>
        <v>11</v>
      </c>
      <c r="M1256" s="36">
        <f>YEAR(Table1[[#This Row],[ETA
As requested
dd.mm.yyyy]])</f>
        <v>2025</v>
      </c>
      <c r="N1256" s="36">
        <f>IFERROR(INDEX(DATABASE_FG!$H$5:$H$367, MATCH(E1256, DATABASE_FG!$C$5:$C$367, 0)), " ")</f>
        <v>0</v>
      </c>
      <c r="O1256" s="129" t="str">
        <f>IF(E1256&lt;&gt;"", _xlfn.XLOOKUP(E1256, DATABASE_FG!C:C, DATABASE_FG!F:F), " ")</f>
        <v>PLATE</v>
      </c>
      <c r="P1256" s="129">
        <f>IFERROR(INDEX(DATABASE_FG!$G$5:$G$367, MATCH(E1256, DATABASE_FG!$C$5:$C$367, 0)), "Not Found")</f>
        <v>528</v>
      </c>
      <c r="Q1256" s="36"/>
      <c r="R1256" s="125" t="s">
        <v>678</v>
      </c>
      <c r="S1256" s="123">
        <f>IFERROR(INDEX(DATABASE_FG!$L$5:$L$367, MATCH(E1256, DATABASE_FG!$C$5:$C$367, 0)), " ")</f>
        <v>56</v>
      </c>
      <c r="T1256" s="36" t="s">
        <v>677</v>
      </c>
      <c r="U1256" s="36"/>
      <c r="V1256" s="36"/>
      <c r="W1256" s="129"/>
      <c r="X1256" s="36"/>
      <c r="Y1256" s="36" t="s">
        <v>677</v>
      </c>
      <c r="Z1256" s="36"/>
      <c r="AA1256" s="125" t="s">
        <v>121</v>
      </c>
      <c r="AB1256" s="173">
        <v>45737</v>
      </c>
      <c r="AC1256" s="119">
        <v>25441</v>
      </c>
      <c r="AD1256" s="36">
        <f t="shared" si="137"/>
        <v>5500533447</v>
      </c>
      <c r="AE1256" s="36" t="str">
        <f t="shared" si="138"/>
        <v>R900172405</v>
      </c>
      <c r="AF1256" s="36">
        <v>41</v>
      </c>
      <c r="AG1256" s="120">
        <f t="shared" si="136"/>
        <v>236.57</v>
      </c>
      <c r="AH1256" s="36"/>
      <c r="AI1256" s="124"/>
      <c r="AJ1256" s="122" t="s">
        <v>2932</v>
      </c>
      <c r="AK1256" s="129" t="str">
        <f t="shared" ca="1" si="140"/>
        <v>Late</v>
      </c>
      <c r="AL1256" s="268" t="str">
        <f t="shared" si="141"/>
        <v>March</v>
      </c>
      <c r="AM1256" s="133">
        <f>YEAR(Table1[[#This Row],[ETA
As requested
dd.mm.yyyy]])</f>
        <v>2025</v>
      </c>
    </row>
    <row r="1257" spans="1:39" hidden="1">
      <c r="A1257" s="123" t="s">
        <v>27</v>
      </c>
      <c r="B1257" s="36" t="s">
        <v>1170</v>
      </c>
      <c r="C1257" s="117">
        <v>5500533447</v>
      </c>
      <c r="D1257" s="165">
        <v>45572</v>
      </c>
      <c r="E1257" s="117" t="s">
        <v>53</v>
      </c>
      <c r="F1257" s="36" t="str">
        <f>IFERROR(VLOOKUP(Table1[[#This Row],[Part Number]],DATABASE_FG!$C$6:D11246,2,FALSE)," ")</f>
        <v>PLATE_4WRD_25_5X_</v>
      </c>
      <c r="G1257" s="117" t="str">
        <f>IFERROR(_xlfn.XLOOKUP(Table1[[#This Row],[Part Number]],Table3[Part number],Table3[Drawing
 Revision]),"")</f>
        <v>AA</v>
      </c>
      <c r="H1257" s="118" cm="1">
        <f t="array" ref="H1257">IFERROR(INDEX(PDB!$C:$AT,MATCH(E1257,PDB!$B:$B,0),MATCH(YEAR(K1257),0+PDB!$C$1:$AT$1,0)),"")</f>
        <v>5.77</v>
      </c>
      <c r="I1257" s="36">
        <v>105</v>
      </c>
      <c r="J1257" s="125">
        <f>IFERROR(Table1[[#This Row],[Quantity]]*Table1[[#This Row],[Price/Unit
EUR]]," ")</f>
        <v>605.84999999999991</v>
      </c>
      <c r="K1257" s="126">
        <v>45764</v>
      </c>
      <c r="L1257" s="36">
        <f>WEEKNUM(Table1[[#This Row],[ETA
As requested
dd.mm.yyyy]])</f>
        <v>16</v>
      </c>
      <c r="M1257" s="36">
        <f>YEAR(Table1[[#This Row],[ETA
As requested
dd.mm.yyyy]])</f>
        <v>2025</v>
      </c>
      <c r="N1257" s="36">
        <f>IFERROR(INDEX(DATABASE_FG!$H$5:$H$367, MATCH(E1257, DATABASE_FG!$C$5:$C$367, 0)), " ")</f>
        <v>0</v>
      </c>
      <c r="O1257" s="129" t="str">
        <f>IF(E1257&lt;&gt;"", _xlfn.XLOOKUP(E1257, DATABASE_FG!C:C, DATABASE_FG!F:F), " ")</f>
        <v>PLATE</v>
      </c>
      <c r="P1257" s="129">
        <f>IFERROR(INDEX(DATABASE_FG!$G$5:$G$367, MATCH(E1257, DATABASE_FG!$C$5:$C$367, 0)), "Not Found")</f>
        <v>528</v>
      </c>
      <c r="Q1257" s="36"/>
      <c r="R1257" s="125" t="s">
        <v>678</v>
      </c>
      <c r="S1257" s="123">
        <f>IFERROR(INDEX(DATABASE_FG!$L$5:$L$367, MATCH(E1257, DATABASE_FG!$C$5:$C$367, 0)), " ")</f>
        <v>56</v>
      </c>
      <c r="T1257" s="36" t="s">
        <v>677</v>
      </c>
      <c r="U1257" s="36"/>
      <c r="V1257" s="36"/>
      <c r="W1257" s="129"/>
      <c r="X1257" s="36"/>
      <c r="Y1257" s="36" t="s">
        <v>677</v>
      </c>
      <c r="Z1257" s="36"/>
      <c r="AA1257" s="125" t="s">
        <v>121</v>
      </c>
      <c r="AB1257" s="173">
        <v>45754</v>
      </c>
      <c r="AC1257" s="119">
        <v>25549</v>
      </c>
      <c r="AD1257" s="36">
        <f t="shared" si="137"/>
        <v>5500533447</v>
      </c>
      <c r="AE1257" s="36" t="str">
        <f t="shared" si="138"/>
        <v>R900172405</v>
      </c>
      <c r="AF1257" s="36">
        <v>105</v>
      </c>
      <c r="AG1257" s="120">
        <f t="shared" ref="AG1257:AG1324" si="142">AF1257*H1257</f>
        <v>605.84999999999991</v>
      </c>
      <c r="AH1257" s="36"/>
      <c r="AI1257" s="124"/>
      <c r="AJ1257" s="122" t="s">
        <v>3077</v>
      </c>
      <c r="AK1257" s="129" t="str">
        <f t="shared" ca="1" si="140"/>
        <v>On Time</v>
      </c>
      <c r="AL1257" s="268" t="str">
        <f t="shared" si="141"/>
        <v>April</v>
      </c>
      <c r="AM1257" s="133">
        <f>YEAR(Table1[[#This Row],[ETA
As requested
dd.mm.yyyy]])</f>
        <v>2025</v>
      </c>
    </row>
    <row r="1258" spans="1:39" hidden="1">
      <c r="A1258" s="123" t="s">
        <v>27</v>
      </c>
      <c r="B1258" s="36" t="s">
        <v>1170</v>
      </c>
      <c r="C1258" s="117">
        <v>5500533447</v>
      </c>
      <c r="D1258" s="165">
        <v>45572</v>
      </c>
      <c r="E1258" s="117" t="s">
        <v>53</v>
      </c>
      <c r="F1258" s="36" t="str">
        <f>IFERROR(VLOOKUP(Table1[[#This Row],[Part Number]],DATABASE_FG!$C$6:D11247,2,FALSE)," ")</f>
        <v>PLATE_4WRD_25_5X_</v>
      </c>
      <c r="G1258" s="117" t="str">
        <f>IFERROR(_xlfn.XLOOKUP(Table1[[#This Row],[Part Number]],Table3[Part number],Table3[Drawing
 Revision]),"")</f>
        <v>AA</v>
      </c>
      <c r="H1258" s="118" cm="1">
        <f t="array" ref="H1258">IFERROR(INDEX(PDB!$C:$AT,MATCH(E1258,PDB!$B:$B,0),MATCH(YEAR(K1258),0+PDB!$C$1:$AT$1,0)),"")</f>
        <v>5.77</v>
      </c>
      <c r="I1258" s="36">
        <v>199</v>
      </c>
      <c r="J1258" s="125">
        <f>IFERROR(Table1[[#This Row],[Quantity]]*Table1[[#This Row],[Price/Unit
EUR]]," ")</f>
        <v>1148.23</v>
      </c>
      <c r="K1258" s="126">
        <v>45764</v>
      </c>
      <c r="L1258" s="36">
        <f>WEEKNUM(Table1[[#This Row],[ETA
As requested
dd.mm.yyyy]])</f>
        <v>16</v>
      </c>
      <c r="M1258" s="36">
        <f>YEAR(Table1[[#This Row],[ETA
As requested
dd.mm.yyyy]])</f>
        <v>2025</v>
      </c>
      <c r="N1258" s="36">
        <f>IFERROR(INDEX(DATABASE_FG!$H$5:$H$367, MATCH(E1258, DATABASE_FG!$C$5:$C$367, 0)), " ")</f>
        <v>0</v>
      </c>
      <c r="O1258" s="129" t="str">
        <f>IF(E1258&lt;&gt;"", _xlfn.XLOOKUP(E1258, DATABASE_FG!C:C, DATABASE_FG!F:F), " ")</f>
        <v>PLATE</v>
      </c>
      <c r="P1258" s="129">
        <f>IFERROR(INDEX(DATABASE_FG!$G$5:$G$367, MATCH(E1258, DATABASE_FG!$C$5:$C$367, 0)), "Not Found")</f>
        <v>528</v>
      </c>
      <c r="Q1258" s="36"/>
      <c r="R1258" s="125" t="s">
        <v>678</v>
      </c>
      <c r="S1258" s="123">
        <f>IFERROR(INDEX(DATABASE_FG!$L$5:$L$367, MATCH(E1258, DATABASE_FG!$C$5:$C$367, 0)), " ")</f>
        <v>56</v>
      </c>
      <c r="T1258" s="36" t="s">
        <v>677</v>
      </c>
      <c r="U1258" s="36"/>
      <c r="V1258" s="36"/>
      <c r="W1258" s="129"/>
      <c r="X1258" s="36"/>
      <c r="Y1258" s="36" t="s">
        <v>677</v>
      </c>
      <c r="Z1258" s="36"/>
      <c r="AA1258" s="125" t="s">
        <v>121</v>
      </c>
      <c r="AB1258" s="173">
        <v>45764</v>
      </c>
      <c r="AC1258" s="119">
        <v>25642</v>
      </c>
      <c r="AD1258" s="36">
        <f t="shared" si="137"/>
        <v>5500533447</v>
      </c>
      <c r="AE1258" s="36" t="str">
        <f t="shared" si="138"/>
        <v>R900172405</v>
      </c>
      <c r="AF1258" s="36">
        <v>199</v>
      </c>
      <c r="AG1258" s="120">
        <f t="shared" si="142"/>
        <v>1148.23</v>
      </c>
      <c r="AH1258" s="36"/>
      <c r="AI1258" s="124"/>
      <c r="AJ1258" s="122" t="s">
        <v>3078</v>
      </c>
      <c r="AK1258" s="129" t="str">
        <f t="shared" ca="1" si="140"/>
        <v>On Time</v>
      </c>
      <c r="AL1258" s="268" t="str">
        <f t="shared" si="141"/>
        <v>April</v>
      </c>
      <c r="AM1258" s="133">
        <f>YEAR(Table1[[#This Row],[ETA
As requested
dd.mm.yyyy]])</f>
        <v>2025</v>
      </c>
    </row>
    <row r="1259" spans="1:39" hidden="1">
      <c r="A1259" s="123" t="s">
        <v>27</v>
      </c>
      <c r="B1259" s="36" t="s">
        <v>1170</v>
      </c>
      <c r="C1259" s="117">
        <v>5500533447</v>
      </c>
      <c r="D1259" s="165">
        <v>45572</v>
      </c>
      <c r="E1259" s="117" t="s">
        <v>53</v>
      </c>
      <c r="F1259" s="36" t="str">
        <f>IFERROR(VLOOKUP(Table1[[#This Row],[Part Number]],DATABASE_FG!$C$6:D11248,2,FALSE)," ")</f>
        <v>PLATE_4WRD_25_5X_</v>
      </c>
      <c r="G1259" s="117" t="str">
        <f>IFERROR(_xlfn.XLOOKUP(Table1[[#This Row],[Part Number]],Table3[Part number],Table3[Drawing
 Revision]),"")</f>
        <v>AA</v>
      </c>
      <c r="H1259" s="118" cm="1">
        <f t="array" ref="H1259">IFERROR(INDEX(PDB!$C:$AT,MATCH(E1259,PDB!$B:$B,0),MATCH(YEAR(K1259),0+PDB!$C$1:$AT$1,0)),"")</f>
        <v>5.77</v>
      </c>
      <c r="I1259" s="36">
        <v>73</v>
      </c>
      <c r="J1259" s="125">
        <f>IFERROR(Table1[[#This Row],[Quantity]]*Table1[[#This Row],[Price/Unit
EUR]]," ")</f>
        <v>421.21</v>
      </c>
      <c r="K1259" s="126">
        <v>45764</v>
      </c>
      <c r="L1259" s="36">
        <f>WEEKNUM(Table1[[#This Row],[ETA
As requested
dd.mm.yyyy]])</f>
        <v>16</v>
      </c>
      <c r="M1259" s="36">
        <f>YEAR(Table1[[#This Row],[ETA
As requested
dd.mm.yyyy]])</f>
        <v>2025</v>
      </c>
      <c r="N1259" s="36">
        <f>IFERROR(INDEX(DATABASE_FG!$H$5:$H$367, MATCH(E1259, DATABASE_FG!$C$5:$C$367, 0)), " ")</f>
        <v>0</v>
      </c>
      <c r="O1259" s="129" t="str">
        <f>IF(E1259&lt;&gt;"", _xlfn.XLOOKUP(E1259, DATABASE_FG!C:C, DATABASE_FG!F:F), " ")</f>
        <v>PLATE</v>
      </c>
      <c r="P1259" s="129">
        <f>IFERROR(INDEX(DATABASE_FG!$G$5:$G$367, MATCH(E1259, DATABASE_FG!$C$5:$C$367, 0)), "Not Found")</f>
        <v>528</v>
      </c>
      <c r="Q1259" s="36"/>
      <c r="R1259" s="125" t="s">
        <v>678</v>
      </c>
      <c r="S1259" s="123">
        <f>Table1[[#This Row],[Quantity]]/48</f>
        <v>1.5208333333333333</v>
      </c>
      <c r="T1259" s="36"/>
      <c r="U1259" s="36"/>
      <c r="V1259" s="36"/>
      <c r="W1259" s="129"/>
      <c r="X1259" s="36"/>
      <c r="Y1259" s="36"/>
      <c r="Z1259" s="36"/>
      <c r="AA1259" s="125" t="s">
        <v>121</v>
      </c>
      <c r="AB1259" s="173">
        <v>45776</v>
      </c>
      <c r="AC1259" s="119">
        <v>25691</v>
      </c>
      <c r="AD1259" s="36">
        <f t="shared" si="137"/>
        <v>5500533447</v>
      </c>
      <c r="AE1259" s="36" t="str">
        <f t="shared" si="138"/>
        <v>R900172405</v>
      </c>
      <c r="AF1259" s="36">
        <v>73</v>
      </c>
      <c r="AG1259" s="120">
        <f t="shared" si="142"/>
        <v>421.21</v>
      </c>
      <c r="AH1259" s="36"/>
      <c r="AI1259" s="124"/>
      <c r="AJ1259" s="122" t="s">
        <v>3083</v>
      </c>
      <c r="AK1259" s="129" t="str">
        <f t="shared" ca="1" si="140"/>
        <v>Late</v>
      </c>
      <c r="AL1259" s="268" t="str">
        <f t="shared" si="141"/>
        <v>April</v>
      </c>
      <c r="AM1259" s="133">
        <f>YEAR(Table1[[#This Row],[ETA
As requested
dd.mm.yyyy]])</f>
        <v>2025</v>
      </c>
    </row>
    <row r="1260" spans="1:39" hidden="1">
      <c r="A1260" s="123" t="s">
        <v>27</v>
      </c>
      <c r="B1260" s="36" t="s">
        <v>1170</v>
      </c>
      <c r="C1260" s="117">
        <v>5500533447</v>
      </c>
      <c r="D1260" s="165">
        <v>45572</v>
      </c>
      <c r="E1260" s="117" t="s">
        <v>53</v>
      </c>
      <c r="F1260" s="36" t="str">
        <f>IFERROR(VLOOKUP(Table1[[#This Row],[Part Number]],DATABASE_FG!$C$6:D11249,2,FALSE)," ")</f>
        <v>PLATE_4WRD_25_5X_</v>
      </c>
      <c r="G1260" s="117" t="str">
        <f>IFERROR(_xlfn.XLOOKUP(Table1[[#This Row],[Part Number]],Table3[Part number],Table3[Drawing
 Revision]),"")</f>
        <v>AA</v>
      </c>
      <c r="H1260" s="118" cm="1">
        <f t="array" ref="H1260">IFERROR(INDEX(PDB!$C:$AT,MATCH(E1260,PDB!$B:$B,0),MATCH(YEAR(K1260),0+PDB!$C$1:$AT$1,0)),"")</f>
        <v>5.77</v>
      </c>
      <c r="I1260" s="36">
        <v>282</v>
      </c>
      <c r="J1260" s="125">
        <f>IFERROR(Table1[[#This Row],[Quantity]]*Table1[[#This Row],[Price/Unit
EUR]]," ")</f>
        <v>1627.1399999999999</v>
      </c>
      <c r="K1260" s="126">
        <v>45764</v>
      </c>
      <c r="L1260" s="36">
        <f>WEEKNUM(Table1[[#This Row],[ETA
As requested
dd.mm.yyyy]])</f>
        <v>16</v>
      </c>
      <c r="M1260" s="36">
        <f>YEAR(Table1[[#This Row],[ETA
As requested
dd.mm.yyyy]])</f>
        <v>2025</v>
      </c>
      <c r="N1260" s="36">
        <f>IFERROR(INDEX(DATABASE_FG!$H$5:$H$367, MATCH(E1260, DATABASE_FG!$C$5:$C$367, 0)), " ")</f>
        <v>0</v>
      </c>
      <c r="O1260" s="129" t="str">
        <f>IF(E1260&lt;&gt;"", _xlfn.XLOOKUP(E1260, DATABASE_FG!C:C, DATABASE_FG!F:F), " ")</f>
        <v>PLATE</v>
      </c>
      <c r="P1260" s="129">
        <f>IFERROR(INDEX(DATABASE_FG!$G$5:$G$367, MATCH(E1260, DATABASE_FG!$C$5:$C$367, 0)), "Not Found")</f>
        <v>528</v>
      </c>
      <c r="Q1260" s="36"/>
      <c r="R1260" s="125" t="s">
        <v>678</v>
      </c>
      <c r="S1260" s="123">
        <f>IFERROR(INDEX(DATABASE_FG!$L$5:$L$367, MATCH(E1260, DATABASE_FG!$C$5:$C$367, 0)), " ")</f>
        <v>56</v>
      </c>
      <c r="T1260" s="36" t="s">
        <v>677</v>
      </c>
      <c r="U1260" s="36"/>
      <c r="V1260" s="36"/>
      <c r="W1260" s="129"/>
      <c r="X1260" s="36"/>
      <c r="Y1260" s="36"/>
      <c r="Z1260" s="36"/>
      <c r="AA1260" s="125" t="s">
        <v>121</v>
      </c>
      <c r="AB1260" s="173">
        <v>45785</v>
      </c>
      <c r="AC1260" s="119">
        <v>25736</v>
      </c>
      <c r="AD1260" s="36">
        <f t="shared" si="137"/>
        <v>5500533447</v>
      </c>
      <c r="AE1260" s="36" t="str">
        <f t="shared" si="138"/>
        <v>R900172405</v>
      </c>
      <c r="AF1260" s="36">
        <v>282</v>
      </c>
      <c r="AG1260" s="120">
        <f t="shared" si="142"/>
        <v>1627.1399999999999</v>
      </c>
      <c r="AH1260" s="36"/>
      <c r="AI1260" s="124"/>
      <c r="AJ1260" s="122" t="s">
        <v>3084</v>
      </c>
      <c r="AK1260" s="129" t="str">
        <f t="shared" ca="1" si="140"/>
        <v>Late</v>
      </c>
      <c r="AL1260" s="268" t="str">
        <f t="shared" si="141"/>
        <v>April</v>
      </c>
      <c r="AM1260" s="133">
        <f>YEAR(Table1[[#This Row],[ETA
As requested
dd.mm.yyyy]])</f>
        <v>2025</v>
      </c>
    </row>
    <row r="1261" spans="1:39" hidden="1">
      <c r="A1261" s="123" t="s">
        <v>27</v>
      </c>
      <c r="B1261" s="36" t="s">
        <v>1170</v>
      </c>
      <c r="C1261" s="117">
        <v>5500533447</v>
      </c>
      <c r="D1261" s="165">
        <v>45572</v>
      </c>
      <c r="E1261" s="117" t="s">
        <v>53</v>
      </c>
      <c r="F1261" s="36" t="str">
        <f>IFERROR(VLOOKUP(Table1[[#This Row],[Part Number]],DATABASE_FG!$C$6:D11250,2,FALSE)," ")</f>
        <v>PLATE_4WRD_25_5X_</v>
      </c>
      <c r="G1261" s="117" t="str">
        <f>IFERROR(_xlfn.XLOOKUP(Table1[[#This Row],[Part Number]],Table3[Part number],Table3[Drawing
 Revision]),"")</f>
        <v>AA</v>
      </c>
      <c r="H1261" s="118" cm="1">
        <f t="array" ref="H1261">IFERROR(INDEX(PDB!$C:$AT,MATCH(E1261,PDB!$B:$B,0),MATCH(YEAR(K1261),0+PDB!$C$1:$AT$1,0)),"")</f>
        <v>5.77</v>
      </c>
      <c r="I1261" s="36">
        <v>55</v>
      </c>
      <c r="J1261" s="125">
        <f>IFERROR(Table1[[#This Row],[Quantity]]*Table1[[#This Row],[Price/Unit
EUR]]," ")</f>
        <v>317.34999999999997</v>
      </c>
      <c r="K1261" s="126">
        <v>45764</v>
      </c>
      <c r="L1261" s="36">
        <f>WEEKNUM(Table1[[#This Row],[ETA
As requested
dd.mm.yyyy]])</f>
        <v>16</v>
      </c>
      <c r="M1261" s="36">
        <f>YEAR(Table1[[#This Row],[ETA
As requested
dd.mm.yyyy]])</f>
        <v>2025</v>
      </c>
      <c r="N1261" s="36">
        <f>IFERROR(INDEX(DATABASE_FG!$H$5:$H$367, MATCH(E1261, DATABASE_FG!$C$5:$C$367, 0)), " ")</f>
        <v>0</v>
      </c>
      <c r="O1261" s="129" t="str">
        <f>IF(E1261&lt;&gt;"", _xlfn.XLOOKUP(E1261, DATABASE_FG!C:C, DATABASE_FG!F:F), " ")</f>
        <v>PLATE</v>
      </c>
      <c r="P1261" s="129">
        <f>IFERROR(INDEX(DATABASE_FG!$G$5:$G$367, MATCH(E1261, DATABASE_FG!$C$5:$C$367, 0)), "Not Found")</f>
        <v>528</v>
      </c>
      <c r="Q1261" s="36"/>
      <c r="R1261" s="125" t="s">
        <v>678</v>
      </c>
      <c r="S1261" s="123">
        <f>IFERROR(INDEX(DATABASE_FG!$L$5:$L$367, MATCH(E1261, DATABASE_FG!$C$5:$C$367, 0)), " ")</f>
        <v>56</v>
      </c>
      <c r="T1261" s="36" t="s">
        <v>677</v>
      </c>
      <c r="U1261" s="36"/>
      <c r="V1261" s="36"/>
      <c r="W1261" s="129"/>
      <c r="X1261" s="36"/>
      <c r="Y1261" s="36"/>
      <c r="Z1261" s="36"/>
      <c r="AA1261" s="125" t="s">
        <v>121</v>
      </c>
      <c r="AB1261" s="173">
        <v>45790</v>
      </c>
      <c r="AC1261" s="119">
        <v>25760</v>
      </c>
      <c r="AD1261" s="36">
        <f t="shared" si="137"/>
        <v>5500533447</v>
      </c>
      <c r="AE1261" s="36" t="str">
        <f t="shared" si="138"/>
        <v>R900172405</v>
      </c>
      <c r="AF1261" s="36">
        <v>55</v>
      </c>
      <c r="AG1261" s="120">
        <f t="shared" si="142"/>
        <v>317.34999999999997</v>
      </c>
      <c r="AH1261" s="36"/>
      <c r="AI1261" s="124"/>
      <c r="AJ1261" s="122" t="s">
        <v>3087</v>
      </c>
      <c r="AK1261" s="129" t="str">
        <f t="shared" ca="1" si="140"/>
        <v>Late</v>
      </c>
      <c r="AL1261" s="268" t="str">
        <f t="shared" si="141"/>
        <v>April</v>
      </c>
      <c r="AM1261" s="133">
        <f>YEAR(Table1[[#This Row],[ETA
As requested
dd.mm.yyyy]])</f>
        <v>2025</v>
      </c>
    </row>
    <row r="1262" spans="1:39" hidden="1">
      <c r="A1262" s="123" t="s">
        <v>27</v>
      </c>
      <c r="B1262" s="36" t="s">
        <v>1170</v>
      </c>
      <c r="C1262" s="117">
        <v>5500533447</v>
      </c>
      <c r="D1262" s="165">
        <v>45572</v>
      </c>
      <c r="E1262" s="117" t="s">
        <v>53</v>
      </c>
      <c r="F1262" s="36" t="str">
        <f>IFERROR(VLOOKUP(Table1[[#This Row],[Part Number]],DATABASE_FG!$C$6:D11251,2,FALSE)," ")</f>
        <v>PLATE_4WRD_25_5X_</v>
      </c>
      <c r="G1262" s="117" t="str">
        <f>IFERROR(_xlfn.XLOOKUP(Table1[[#This Row],[Part Number]],Table3[Part number],Table3[Drawing
 Revision]),"")</f>
        <v>AA</v>
      </c>
      <c r="H1262" s="118" cm="1">
        <f t="array" ref="H1262">IFERROR(INDEX(PDB!$C:$AT,MATCH(E1262,PDB!$B:$B,0),MATCH(YEAR(K1262),0+PDB!$C$1:$AT$1,0)),"")</f>
        <v>5.77</v>
      </c>
      <c r="I1262" s="36">
        <v>41</v>
      </c>
      <c r="J1262" s="125">
        <f>IFERROR(Table1[[#This Row],[Quantity]]*Table1[[#This Row],[Price/Unit
EUR]]," ")</f>
        <v>236.57</v>
      </c>
      <c r="K1262" s="126">
        <v>45764</v>
      </c>
      <c r="L1262" s="36">
        <f>WEEKNUM(Table1[[#This Row],[ETA
As requested
dd.mm.yyyy]])</f>
        <v>16</v>
      </c>
      <c r="M1262" s="36">
        <f>YEAR(Table1[[#This Row],[ETA
As requested
dd.mm.yyyy]])</f>
        <v>2025</v>
      </c>
      <c r="N1262" s="36">
        <f>IFERROR(INDEX(DATABASE_FG!$H$5:$H$367, MATCH(E1262, DATABASE_FG!$C$5:$C$367, 0)), " ")</f>
        <v>0</v>
      </c>
      <c r="O1262" s="129" t="str">
        <f>IF(E1262&lt;&gt;"", _xlfn.XLOOKUP(E1262, DATABASE_FG!C:C, DATABASE_FG!F:F), " ")</f>
        <v>PLATE</v>
      </c>
      <c r="P1262" s="129">
        <f>IFERROR(INDEX(DATABASE_FG!$G$5:$G$367, MATCH(E1262, DATABASE_FG!$C$5:$C$367, 0)), "Not Found")</f>
        <v>528</v>
      </c>
      <c r="Q1262" s="36"/>
      <c r="R1262" s="125" t="s">
        <v>678</v>
      </c>
      <c r="S1262" s="123">
        <f>IFERROR(INDEX(DATABASE_FG!$L$5:$L$367, MATCH(E1262, DATABASE_FG!$C$5:$C$367, 0)), " ")</f>
        <v>56</v>
      </c>
      <c r="T1262" s="36" t="s">
        <v>677</v>
      </c>
      <c r="U1262" s="36"/>
      <c r="V1262" s="36"/>
      <c r="W1262" s="129"/>
      <c r="X1262" s="36"/>
      <c r="Y1262" s="36"/>
      <c r="Z1262" s="36"/>
      <c r="AA1262" s="125" t="s">
        <v>121</v>
      </c>
      <c r="AB1262" s="173">
        <v>45790</v>
      </c>
      <c r="AC1262" s="119">
        <v>25762</v>
      </c>
      <c r="AD1262" s="36">
        <f t="shared" si="137"/>
        <v>5500533447</v>
      </c>
      <c r="AE1262" s="36" t="str">
        <f t="shared" si="138"/>
        <v>R900172405</v>
      </c>
      <c r="AF1262" s="36">
        <v>41</v>
      </c>
      <c r="AG1262" s="120">
        <f t="shared" si="142"/>
        <v>236.57</v>
      </c>
      <c r="AH1262" s="36"/>
      <c r="AI1262" s="124"/>
      <c r="AJ1262" s="122" t="s">
        <v>3088</v>
      </c>
      <c r="AK1262" s="129" t="str">
        <f t="shared" ca="1" si="140"/>
        <v>Late</v>
      </c>
      <c r="AL1262" s="268" t="str">
        <f t="shared" si="141"/>
        <v>April</v>
      </c>
      <c r="AM1262" s="133">
        <f>YEAR(Table1[[#This Row],[ETA
As requested
dd.mm.yyyy]])</f>
        <v>2025</v>
      </c>
    </row>
    <row r="1263" spans="1:39" hidden="1">
      <c r="A1263" s="123" t="s">
        <v>27</v>
      </c>
      <c r="B1263" s="36" t="s">
        <v>1170</v>
      </c>
      <c r="C1263" s="117">
        <v>5500533447</v>
      </c>
      <c r="D1263" s="165">
        <v>45572</v>
      </c>
      <c r="E1263" s="117" t="s">
        <v>53</v>
      </c>
      <c r="F1263" s="36" t="str">
        <f>IFERROR(VLOOKUP(Table1[[#This Row],[Part Number]],DATABASE_FG!$C$6:D11252,2,FALSE)," ")</f>
        <v>PLATE_4WRD_25_5X_</v>
      </c>
      <c r="G1263" s="117" t="str">
        <f>IFERROR(_xlfn.XLOOKUP(Table1[[#This Row],[Part Number]],Table3[Part number],Table3[Drawing
 Revision]),"")</f>
        <v>AA</v>
      </c>
      <c r="H1263" s="118" cm="1">
        <f t="array" ref="H1263">IFERROR(INDEX(PDB!$C:$AT,MATCH(E1263,PDB!$B:$B,0),MATCH(YEAR(K1263),0+PDB!$C$1:$AT$1,0)),"")</f>
        <v>5.77</v>
      </c>
      <c r="I1263" s="36">
        <v>27</v>
      </c>
      <c r="J1263" s="125">
        <f>IFERROR(Table1[[#This Row],[Quantity]]*Table1[[#This Row],[Price/Unit
EUR]]," ")</f>
        <v>155.79</v>
      </c>
      <c r="K1263" s="126">
        <v>45764</v>
      </c>
      <c r="L1263" s="36">
        <f>WEEKNUM(Table1[[#This Row],[ETA
As requested
dd.mm.yyyy]])</f>
        <v>16</v>
      </c>
      <c r="M1263" s="36">
        <f>YEAR(Table1[[#This Row],[ETA
As requested
dd.mm.yyyy]])</f>
        <v>2025</v>
      </c>
      <c r="N1263" s="36">
        <f>IFERROR(INDEX(DATABASE_FG!$H$5:$H$367, MATCH(E1263, DATABASE_FG!$C$5:$C$367, 0)), " ")</f>
        <v>0</v>
      </c>
      <c r="O1263" s="129" t="str">
        <f>IF(E1263&lt;&gt;"", _xlfn.XLOOKUP(E1263, DATABASE_FG!C:C, DATABASE_FG!F:F), " ")</f>
        <v>PLATE</v>
      </c>
      <c r="P1263" s="129">
        <f>IFERROR(INDEX(DATABASE_FG!$G$5:$G$367, MATCH(E1263, DATABASE_FG!$C$5:$C$367, 0)), "Not Found")</f>
        <v>528</v>
      </c>
      <c r="Q1263" s="36"/>
      <c r="R1263" s="125" t="s">
        <v>678</v>
      </c>
      <c r="S1263" s="123">
        <f>IFERROR(INDEX(DATABASE_FG!$L$5:$L$367, MATCH(E1263, DATABASE_FG!$C$5:$C$367, 0)), " ")</f>
        <v>56</v>
      </c>
      <c r="T1263" s="36" t="s">
        <v>677</v>
      </c>
      <c r="U1263" s="36"/>
      <c r="V1263" s="36"/>
      <c r="W1263" s="129"/>
      <c r="X1263" s="36"/>
      <c r="Y1263" s="36"/>
      <c r="Z1263" s="36"/>
      <c r="AA1263" s="125" t="s">
        <v>121</v>
      </c>
      <c r="AB1263" s="173">
        <v>45800</v>
      </c>
      <c r="AC1263" s="119">
        <v>25812</v>
      </c>
      <c r="AD1263" s="36">
        <f t="shared" si="137"/>
        <v>5500533447</v>
      </c>
      <c r="AE1263" s="36" t="str">
        <f t="shared" si="138"/>
        <v>R900172405</v>
      </c>
      <c r="AF1263" s="36">
        <v>27</v>
      </c>
      <c r="AG1263" s="120">
        <f t="shared" si="142"/>
        <v>155.79</v>
      </c>
      <c r="AH1263" s="36"/>
      <c r="AI1263" s="124"/>
      <c r="AJ1263" s="122" t="s">
        <v>3094</v>
      </c>
      <c r="AK1263" s="129" t="str">
        <f t="shared" ca="1" si="140"/>
        <v>Late</v>
      </c>
      <c r="AL1263" s="268" t="str">
        <f t="shared" si="141"/>
        <v>April</v>
      </c>
      <c r="AM1263" s="133">
        <f>YEAR(Table1[[#This Row],[ETA
As requested
dd.mm.yyyy]])</f>
        <v>2025</v>
      </c>
    </row>
    <row r="1264" spans="1:39" hidden="1">
      <c r="A1264" s="123" t="s">
        <v>27</v>
      </c>
      <c r="B1264" s="36" t="s">
        <v>1170</v>
      </c>
      <c r="C1264" s="117">
        <v>5500533447</v>
      </c>
      <c r="D1264" s="165">
        <v>45572</v>
      </c>
      <c r="E1264" s="117" t="s">
        <v>53</v>
      </c>
      <c r="F1264" s="36" t="str">
        <f>IFERROR(VLOOKUP(Table1[[#This Row],[Part Number]],DATABASE_FG!$C$6:D11253,2,FALSE)," ")</f>
        <v>PLATE_4WRD_25_5X_</v>
      </c>
      <c r="G1264" s="117" t="str">
        <f>IFERROR(_xlfn.XLOOKUP(Table1[[#This Row],[Part Number]],Table3[Part number],Table3[Drawing
 Revision]),"")</f>
        <v>AA</v>
      </c>
      <c r="H1264" s="118" cm="1">
        <f t="array" ref="H1264">IFERROR(INDEX(PDB!$C:$AT,MATCH(E1264,PDB!$B:$B,0),MATCH(YEAR(K1264),0+PDB!$C$1:$AT$1,0)),"")</f>
        <v>5.77</v>
      </c>
      <c r="I1264" s="36">
        <v>23</v>
      </c>
      <c r="J1264" s="125">
        <f>IFERROR(Table1[[#This Row],[Quantity]]*Table1[[#This Row],[Price/Unit
EUR]]," ")</f>
        <v>132.70999999999998</v>
      </c>
      <c r="K1264" s="126">
        <v>45764</v>
      </c>
      <c r="L1264" s="36">
        <f>WEEKNUM(Table1[[#This Row],[ETA
As requested
dd.mm.yyyy]])</f>
        <v>16</v>
      </c>
      <c r="M1264" s="36">
        <f>YEAR(Table1[[#This Row],[ETA
As requested
dd.mm.yyyy]])</f>
        <v>2025</v>
      </c>
      <c r="N1264" s="36">
        <f>IFERROR(INDEX(DATABASE_FG!$H$5:$H$367, MATCH(E1264, DATABASE_FG!$C$5:$C$367, 0)), " ")</f>
        <v>0</v>
      </c>
      <c r="O1264" s="129" t="str">
        <f>IF(E1264&lt;&gt;"", _xlfn.XLOOKUP(E1264, DATABASE_FG!C:C, DATABASE_FG!F:F), " ")</f>
        <v>PLATE</v>
      </c>
      <c r="P1264" s="129">
        <f>IFERROR(INDEX(DATABASE_FG!$G$5:$G$367, MATCH(E1264, DATABASE_FG!$C$5:$C$367, 0)), "Not Found")</f>
        <v>528</v>
      </c>
      <c r="Q1264" s="36"/>
      <c r="R1264" s="125" t="s">
        <v>678</v>
      </c>
      <c r="S1264" s="123">
        <f>IFERROR(INDEX(DATABASE_FG!$L$5:$L$367, MATCH(E1264, DATABASE_FG!$C$5:$C$367, 0)), " ")</f>
        <v>56</v>
      </c>
      <c r="T1264" s="36" t="s">
        <v>677</v>
      </c>
      <c r="U1264" s="36"/>
      <c r="V1264" s="36"/>
      <c r="W1264" s="129"/>
      <c r="X1264" s="36"/>
      <c r="Y1264" s="36"/>
      <c r="Z1264" s="36"/>
      <c r="AA1264" s="125" t="s">
        <v>121</v>
      </c>
      <c r="AB1264" s="173">
        <v>45828</v>
      </c>
      <c r="AC1264" s="119">
        <v>25970</v>
      </c>
      <c r="AD1264" s="36">
        <f t="shared" si="137"/>
        <v>5500533447</v>
      </c>
      <c r="AE1264" s="36" t="str">
        <f t="shared" si="138"/>
        <v>R900172405</v>
      </c>
      <c r="AF1264" s="36">
        <v>23</v>
      </c>
      <c r="AG1264" s="120">
        <f t="shared" si="142"/>
        <v>132.70999999999998</v>
      </c>
      <c r="AH1264" s="36"/>
      <c r="AI1264" s="124"/>
      <c r="AJ1264" s="122" t="s">
        <v>3098</v>
      </c>
      <c r="AK1264" s="129" t="str">
        <f t="shared" ca="1" si="140"/>
        <v>Late</v>
      </c>
      <c r="AL1264" s="268" t="str">
        <f t="shared" si="141"/>
        <v>April</v>
      </c>
      <c r="AM1264" s="133">
        <f>YEAR(Table1[[#This Row],[ETA
As requested
dd.mm.yyyy]])</f>
        <v>2025</v>
      </c>
    </row>
    <row r="1265" spans="1:40" hidden="1">
      <c r="A1265" s="123" t="s">
        <v>27</v>
      </c>
      <c r="B1265" s="36" t="s">
        <v>1170</v>
      </c>
      <c r="C1265" s="117">
        <v>5500533447</v>
      </c>
      <c r="D1265" s="165">
        <v>45572</v>
      </c>
      <c r="E1265" s="117" t="s">
        <v>53</v>
      </c>
      <c r="F1265" s="36" t="str">
        <f>IFERROR(VLOOKUP(Table1[[#This Row],[Part Number]],DATABASE_FG!$C$6:D11254,2,FALSE)," ")</f>
        <v>PLATE_4WRD_25_5X_</v>
      </c>
      <c r="G1265" s="117" t="str">
        <f>IFERROR(_xlfn.XLOOKUP(Table1[[#This Row],[Part Number]],Table3[Part number],Table3[Drawing
 Revision]),"")</f>
        <v>AA</v>
      </c>
      <c r="H1265" s="118" cm="1">
        <f t="array" ref="H1265">IFERROR(INDEX(PDB!$C:$AT,MATCH(E1265,PDB!$B:$B,0),MATCH(YEAR(K1265),0+PDB!$C$1:$AT$1,0)),"")</f>
        <v>5.77</v>
      </c>
      <c r="I1265" s="36">
        <f>425-168-55-41-27+255</f>
        <v>389</v>
      </c>
      <c r="J1265" s="125">
        <f>IFERROR(Table1[[#This Row],[Quantity]]*Table1[[#This Row],[Price/Unit
EUR]]," ")</f>
        <v>2244.5299999999997</v>
      </c>
      <c r="K1265" s="126">
        <v>45764</v>
      </c>
      <c r="L1265" s="36">
        <f>WEEKNUM(Table1[[#This Row],[ETA
As requested
dd.mm.yyyy]])</f>
        <v>16</v>
      </c>
      <c r="M1265" s="36">
        <f>YEAR(Table1[[#This Row],[ETA
As requested
dd.mm.yyyy]])</f>
        <v>2025</v>
      </c>
      <c r="N1265" s="36">
        <f>IFERROR(INDEX(DATABASE_FG!$H$5:$H$367, MATCH(E1265, DATABASE_FG!$C$5:$C$367, 0)), " ")</f>
        <v>0</v>
      </c>
      <c r="O1265" s="129" t="str">
        <f>IF(E1265&lt;&gt;"", _xlfn.XLOOKUP(E1265, DATABASE_FG!C:C, DATABASE_FG!F:F), " ")</f>
        <v>PLATE</v>
      </c>
      <c r="P1265" s="129">
        <f>IFERROR(INDEX(DATABASE_FG!$G$5:$G$367, MATCH(E1265, DATABASE_FG!$C$5:$C$367, 0)), "Not Found")</f>
        <v>528</v>
      </c>
      <c r="Q1265" s="36"/>
      <c r="R1265" s="125" t="s">
        <v>678</v>
      </c>
      <c r="S1265" s="123">
        <f>IFERROR(INDEX(DATABASE_FG!$L$5:$L$367, MATCH(E1265, DATABASE_FG!$C$5:$C$367, 0)), " ")</f>
        <v>56</v>
      </c>
      <c r="T1265" s="36" t="s">
        <v>677</v>
      </c>
      <c r="U1265" s="36"/>
      <c r="V1265" s="36"/>
      <c r="W1265" s="129"/>
      <c r="X1265" s="36"/>
      <c r="Y1265" s="36"/>
      <c r="Z1265" s="36"/>
      <c r="AA1265" s="125" t="s">
        <v>121</v>
      </c>
      <c r="AB1265" s="173">
        <v>45842</v>
      </c>
      <c r="AC1265" s="119">
        <v>251016</v>
      </c>
      <c r="AD1265" s="36">
        <f t="shared" si="137"/>
        <v>5500533447</v>
      </c>
      <c r="AE1265" s="36" t="str">
        <f t="shared" si="138"/>
        <v>R900172405</v>
      </c>
      <c r="AF1265" s="36">
        <v>389</v>
      </c>
      <c r="AG1265" s="120">
        <f t="shared" si="142"/>
        <v>2244.5299999999997</v>
      </c>
      <c r="AH1265" s="36"/>
      <c r="AI1265" s="124"/>
      <c r="AJ1265" s="122" t="s">
        <v>3099</v>
      </c>
      <c r="AK1265" s="129" t="str">
        <f t="shared" ca="1" si="140"/>
        <v>Late</v>
      </c>
      <c r="AL1265" s="268" t="str">
        <f t="shared" si="141"/>
        <v>April</v>
      </c>
      <c r="AM1265" s="133">
        <f>YEAR(Table1[[#This Row],[ETA
As requested
dd.mm.yyyy]])</f>
        <v>2025</v>
      </c>
    </row>
    <row r="1266" spans="1:40" hidden="1">
      <c r="A1266" s="123" t="s">
        <v>27</v>
      </c>
      <c r="B1266" s="36" t="s">
        <v>1170</v>
      </c>
      <c r="C1266" s="117">
        <v>5500533447</v>
      </c>
      <c r="D1266" s="165">
        <v>45572</v>
      </c>
      <c r="E1266" s="117" t="s">
        <v>53</v>
      </c>
      <c r="F1266" s="36" t="str">
        <f>IFERROR(VLOOKUP(Table1[[#This Row],[Part Number]],DATABASE_FG!$C$6:D11255,2,FALSE)," ")</f>
        <v>PLATE_4WRD_25_5X_</v>
      </c>
      <c r="G1266" s="117" t="str">
        <f>IFERROR(_xlfn.XLOOKUP(Table1[[#This Row],[Part Number]],Table3[Part number],Table3[Drawing
 Revision]),"")</f>
        <v>AA</v>
      </c>
      <c r="H1266" s="118" cm="1">
        <f t="array" ref="H1266">IFERROR(INDEX(PDB!$C:$AT,MATCH(E1266,PDB!$B:$B,0),MATCH(YEAR(K1266),0+PDB!$C$1:$AT$1,0)),"")</f>
        <v>5.77</v>
      </c>
      <c r="I1266" s="36">
        <v>22</v>
      </c>
      <c r="J1266" s="125">
        <f>IFERROR(Table1[[#This Row],[Quantity]]*Table1[[#This Row],[Price/Unit
EUR]]," ")</f>
        <v>126.94</v>
      </c>
      <c r="K1266" s="126">
        <v>45764</v>
      </c>
      <c r="L1266" s="36">
        <f>WEEKNUM(Table1[[#This Row],[ETA
As requested
dd.mm.yyyy]])</f>
        <v>16</v>
      </c>
      <c r="M1266" s="36">
        <f>YEAR(Table1[[#This Row],[ETA
As requested
dd.mm.yyyy]])</f>
        <v>2025</v>
      </c>
      <c r="N1266" s="36">
        <f>IFERROR(INDEX(DATABASE_FG!$H$5:$H$367, MATCH(E1266, DATABASE_FG!$C$5:$C$367, 0)), " ")</f>
        <v>0</v>
      </c>
      <c r="O1266" s="129" t="str">
        <f>IF(E1266&lt;&gt;"", _xlfn.XLOOKUP(E1266, DATABASE_FG!C:C, DATABASE_FG!F:F), " ")</f>
        <v>PLATE</v>
      </c>
      <c r="P1266" s="129">
        <f>IFERROR(INDEX(DATABASE_FG!$G$5:$G$367, MATCH(E1266, DATABASE_FG!$C$5:$C$367, 0)), "Not Found")</f>
        <v>528</v>
      </c>
      <c r="Q1266" s="36"/>
      <c r="R1266" s="125" t="s">
        <v>678</v>
      </c>
      <c r="S1266" s="123">
        <f>IFERROR(INDEX(DATABASE_FG!$L$5:$L$367, MATCH(E1266, DATABASE_FG!$C$5:$C$367, 0)), " ")</f>
        <v>56</v>
      </c>
      <c r="T1266" s="36" t="s">
        <v>677</v>
      </c>
      <c r="U1266" s="36"/>
      <c r="V1266" s="36"/>
      <c r="W1266" s="129"/>
      <c r="X1266" s="36"/>
      <c r="Y1266" s="36"/>
      <c r="Z1266" s="36"/>
      <c r="AA1266" s="125" t="s">
        <v>121</v>
      </c>
      <c r="AB1266" s="173">
        <v>45849</v>
      </c>
      <c r="AC1266" s="119">
        <v>251058</v>
      </c>
      <c r="AD1266" s="36">
        <f t="shared" si="137"/>
        <v>5500533447</v>
      </c>
      <c r="AE1266" s="36" t="str">
        <f t="shared" si="138"/>
        <v>R900172405</v>
      </c>
      <c r="AF1266" s="36">
        <v>22</v>
      </c>
      <c r="AG1266" s="120">
        <f t="shared" si="142"/>
        <v>126.94</v>
      </c>
      <c r="AH1266" s="36"/>
      <c r="AI1266" s="124"/>
      <c r="AJ1266" s="122" t="s">
        <v>3100</v>
      </c>
      <c r="AK1266" s="129" t="str">
        <f t="shared" ca="1" si="140"/>
        <v>Late</v>
      </c>
      <c r="AL1266" s="268" t="str">
        <f t="shared" si="141"/>
        <v>April</v>
      </c>
      <c r="AM1266" s="133">
        <f>YEAR(Table1[[#This Row],[ETA
As requested
dd.mm.yyyy]])</f>
        <v>2025</v>
      </c>
    </row>
    <row r="1267" spans="1:40" hidden="1">
      <c r="A1267" s="123" t="s">
        <v>27</v>
      </c>
      <c r="B1267" s="36" t="s">
        <v>1170</v>
      </c>
      <c r="C1267" s="117">
        <v>5500533447</v>
      </c>
      <c r="D1267" s="165">
        <v>45572</v>
      </c>
      <c r="E1267" s="117" t="s">
        <v>53</v>
      </c>
      <c r="F1267" s="36" t="str">
        <f>IFERROR(VLOOKUP(Table1[[#This Row],[Part Number]],DATABASE_FG!$C$6:D11256,2,FALSE)," ")</f>
        <v>PLATE_4WRD_25_5X_</v>
      </c>
      <c r="G1267" s="117" t="str">
        <f>IFERROR(_xlfn.XLOOKUP(Table1[[#This Row],[Part Number]],Table3[Part number],Table3[Drawing
 Revision]),"")</f>
        <v>AA</v>
      </c>
      <c r="H1267" s="118" cm="1">
        <f t="array" ref="H1267">IFERROR(INDEX(PDB!$C:$AT,MATCH(E1267,PDB!$B:$B,0),MATCH(YEAR(K1267),0+PDB!$C$1:$AT$1,0)),"")</f>
        <v>5.77</v>
      </c>
      <c r="I1267" s="36">
        <v>67</v>
      </c>
      <c r="J1267" s="125">
        <f>IFERROR(Table1[[#This Row],[Quantity]]*Table1[[#This Row],[Price/Unit
EUR]]," ")</f>
        <v>386.59</v>
      </c>
      <c r="K1267" s="126">
        <v>45764</v>
      </c>
      <c r="L1267" s="36">
        <f>WEEKNUM(Table1[[#This Row],[ETA
As requested
dd.mm.yyyy]])</f>
        <v>16</v>
      </c>
      <c r="M1267" s="36">
        <f>YEAR(Table1[[#This Row],[ETA
As requested
dd.mm.yyyy]])</f>
        <v>2025</v>
      </c>
      <c r="N1267" s="36">
        <f>IFERROR(INDEX(DATABASE_FG!$H$5:$H$367, MATCH(E1267, DATABASE_FG!$C$5:$C$367, 0)), " ")</f>
        <v>0</v>
      </c>
      <c r="O1267" s="129" t="str">
        <f>IF(E1267&lt;&gt;"", _xlfn.XLOOKUP(E1267, DATABASE_FG!C:C, DATABASE_FG!F:F), " ")</f>
        <v>PLATE</v>
      </c>
      <c r="P1267" s="129">
        <f>IFERROR(INDEX(DATABASE_FG!$G$5:$G$367, MATCH(E1267, DATABASE_FG!$C$5:$C$367, 0)), "Not Found")</f>
        <v>528</v>
      </c>
      <c r="Q1267" s="36"/>
      <c r="R1267" s="125" t="s">
        <v>678</v>
      </c>
      <c r="S1267" s="123">
        <f>IFERROR(INDEX(DATABASE_FG!$L$5:$L$367, MATCH(E1267, DATABASE_FG!$C$5:$C$367, 0)), " ")</f>
        <v>56</v>
      </c>
      <c r="T1267" s="36" t="s">
        <v>677</v>
      </c>
      <c r="U1267" s="36"/>
      <c r="V1267" s="36"/>
      <c r="W1267" s="129"/>
      <c r="X1267" s="36"/>
      <c r="Y1267" s="36"/>
      <c r="Z1267" s="36"/>
      <c r="AA1267" s="125" t="s">
        <v>121</v>
      </c>
      <c r="AB1267" s="173">
        <v>45859</v>
      </c>
      <c r="AC1267" s="119">
        <v>251088</v>
      </c>
      <c r="AD1267" s="36">
        <f t="shared" si="137"/>
        <v>5500533447</v>
      </c>
      <c r="AE1267" s="36" t="str">
        <f t="shared" si="138"/>
        <v>R900172405</v>
      </c>
      <c r="AF1267" s="36">
        <v>67</v>
      </c>
      <c r="AG1267" s="120">
        <f t="shared" si="142"/>
        <v>386.59</v>
      </c>
      <c r="AH1267" s="36"/>
      <c r="AI1267" s="124"/>
      <c r="AJ1267" s="122" t="s">
        <v>3101</v>
      </c>
      <c r="AK1267" s="129" t="str">
        <f t="shared" ca="1" si="140"/>
        <v>Late</v>
      </c>
      <c r="AL1267" s="268" t="str">
        <f t="shared" si="141"/>
        <v>April</v>
      </c>
      <c r="AM1267" s="133">
        <f>YEAR(Table1[[#This Row],[ETA
As requested
dd.mm.yyyy]])</f>
        <v>2025</v>
      </c>
    </row>
    <row r="1268" spans="1:40" hidden="1">
      <c r="A1268" s="123" t="s">
        <v>27</v>
      </c>
      <c r="B1268" s="36" t="s">
        <v>1170</v>
      </c>
      <c r="C1268" s="117">
        <v>5500533447</v>
      </c>
      <c r="D1268" s="165">
        <v>45572</v>
      </c>
      <c r="E1268" s="117" t="s">
        <v>53</v>
      </c>
      <c r="F1268" s="36" t="str">
        <f>IFERROR(VLOOKUP(Table1[[#This Row],[Part Number]],DATABASE_FG!$C$6:D11257,2,FALSE)," ")</f>
        <v>PLATE_4WRD_25_5X_</v>
      </c>
      <c r="G1268" s="117" t="str">
        <f>IFERROR(_xlfn.XLOOKUP(Table1[[#This Row],[Part Number]],Table3[Part number],Table3[Drawing
 Revision]),"")</f>
        <v>AA</v>
      </c>
      <c r="H1268" s="118" cm="1">
        <f t="array" ref="H1268">IFERROR(INDEX(PDB!$C:$AT,MATCH(E1268,PDB!$B:$B,0),MATCH(YEAR(K1268),0+PDB!$C$1:$AT$1,0)),"")</f>
        <v>5.77</v>
      </c>
      <c r="I1268" s="36">
        <v>295</v>
      </c>
      <c r="J1268" s="125">
        <f>IFERROR(Table1[[#This Row],[Quantity]]*Table1[[#This Row],[Price/Unit
EUR]]," ")</f>
        <v>1702.1499999999999</v>
      </c>
      <c r="K1268" s="126">
        <v>45777</v>
      </c>
      <c r="L1268" s="36">
        <f>WEEKNUM(Table1[[#This Row],[ETA
As requested
dd.mm.yyyy]])</f>
        <v>18</v>
      </c>
      <c r="M1268" s="36">
        <f>YEAR(Table1[[#This Row],[ETA
As requested
dd.mm.yyyy]])</f>
        <v>2025</v>
      </c>
      <c r="N1268" s="36">
        <f>IFERROR(INDEX(DATABASE_FG!$H$5:$H$367, MATCH(E1268, DATABASE_FG!$C$5:$C$367, 0)), " ")</f>
        <v>0</v>
      </c>
      <c r="O1268" s="129" t="str">
        <f>IF(E1268&lt;&gt;"", _xlfn.XLOOKUP(E1268, DATABASE_FG!C:C, DATABASE_FG!F:F), " ")</f>
        <v>PLATE</v>
      </c>
      <c r="P1268" s="129">
        <f>IFERROR(INDEX(DATABASE_FG!$G$5:$G$367, MATCH(E1268, DATABASE_FG!$C$5:$C$367, 0)), "Not Found")</f>
        <v>528</v>
      </c>
      <c r="Q1268" s="36"/>
      <c r="R1268" s="125" t="s">
        <v>678</v>
      </c>
      <c r="S1268" s="123">
        <f>IFERROR(INDEX(DATABASE_FG!$L$5:$L$367, MATCH(E1268, DATABASE_FG!$C$5:$C$367, 0)), " ")</f>
        <v>56</v>
      </c>
      <c r="T1268" s="36" t="s">
        <v>677</v>
      </c>
      <c r="U1268" s="36"/>
      <c r="V1268" s="36"/>
      <c r="W1268" s="129"/>
      <c r="X1268" s="36"/>
      <c r="Y1268" s="36"/>
      <c r="Z1268" s="36"/>
      <c r="AA1268" s="125" t="s">
        <v>121</v>
      </c>
      <c r="AB1268" s="173">
        <v>45866</v>
      </c>
      <c r="AC1268" s="119">
        <v>251102</v>
      </c>
      <c r="AD1268" s="36">
        <f t="shared" si="137"/>
        <v>5500533447</v>
      </c>
      <c r="AE1268" s="36" t="str">
        <f t="shared" si="138"/>
        <v>R900172405</v>
      </c>
      <c r="AF1268" s="36">
        <v>295</v>
      </c>
      <c r="AG1268" s="120">
        <f t="shared" si="142"/>
        <v>1702.1499999999999</v>
      </c>
      <c r="AH1268" s="36"/>
      <c r="AI1268" s="124"/>
      <c r="AJ1268" s="122" t="s">
        <v>3136</v>
      </c>
      <c r="AK1268" s="129" t="str">
        <f t="shared" ca="1" si="140"/>
        <v>Late</v>
      </c>
      <c r="AL1268" s="268" t="str">
        <f t="shared" si="141"/>
        <v>April</v>
      </c>
      <c r="AM1268" s="133">
        <f>YEAR(Table1[[#This Row],[ETA
As requested
dd.mm.yyyy]])</f>
        <v>2025</v>
      </c>
    </row>
    <row r="1269" spans="1:40" hidden="1">
      <c r="A1269" s="123" t="s">
        <v>27</v>
      </c>
      <c r="B1269" s="36" t="s">
        <v>1170</v>
      </c>
      <c r="C1269" s="117">
        <v>5500533447</v>
      </c>
      <c r="D1269" s="165">
        <v>45572</v>
      </c>
      <c r="E1269" s="117" t="s">
        <v>53</v>
      </c>
      <c r="F1269" s="36" t="str">
        <f>IFERROR(VLOOKUP(Table1[[#This Row],[Part Number]],DATABASE_FG!$C$6:D11258,2,FALSE)," ")</f>
        <v>PLATE_4WRD_25_5X_</v>
      </c>
      <c r="G1269" s="117" t="str">
        <f>IFERROR(_xlfn.XLOOKUP(Table1[[#This Row],[Part Number]],Table3[Part number],Table3[Drawing
 Revision]),"")</f>
        <v>AA</v>
      </c>
      <c r="H1269" s="118" cm="1">
        <f t="array" ref="H1269">IFERROR(INDEX(PDB!$C:$AT,MATCH(E1269,PDB!$B:$B,0),MATCH(YEAR(K1269),0+PDB!$C$1:$AT$1,0)),"")</f>
        <v>5.77</v>
      </c>
      <c r="I1269" s="36">
        <f>1028-255-23-67-295</f>
        <v>388</v>
      </c>
      <c r="J1269" s="125">
        <f>IFERROR(Table1[[#This Row],[Quantity]]*Table1[[#This Row],[Price/Unit
EUR]]," ")</f>
        <v>2238.7599999999998</v>
      </c>
      <c r="K1269" s="126">
        <v>45777</v>
      </c>
      <c r="L1269" s="36">
        <f>WEEKNUM(Table1[[#This Row],[ETA
As requested
dd.mm.yyyy]])</f>
        <v>18</v>
      </c>
      <c r="M1269" s="36">
        <f>YEAR(Table1[[#This Row],[ETA
As requested
dd.mm.yyyy]])</f>
        <v>2025</v>
      </c>
      <c r="N1269" s="36">
        <f>IFERROR(INDEX(DATABASE_FG!$H$5:$H$367, MATCH(E1269, DATABASE_FG!$C$5:$C$367, 0)), " ")</f>
        <v>0</v>
      </c>
      <c r="O1269" s="129" t="str">
        <f>IF(E1269&lt;&gt;"", _xlfn.XLOOKUP(E1269, DATABASE_FG!C:C, DATABASE_FG!F:F), " ")</f>
        <v>PLATE</v>
      </c>
      <c r="P1269" s="129">
        <f>IFERROR(INDEX(DATABASE_FG!$G$5:$G$367, MATCH(E1269, DATABASE_FG!$C$5:$C$367, 0)), "Not Found")</f>
        <v>528</v>
      </c>
      <c r="Q1269" s="36"/>
      <c r="R1269" s="125" t="s">
        <v>678</v>
      </c>
      <c r="S1269" s="123">
        <f>IFERROR(INDEX(DATABASE_FG!$L$5:$L$367, MATCH(E1269, DATABASE_FG!$C$5:$C$367, 0)), " ")</f>
        <v>56</v>
      </c>
      <c r="T1269" s="36" t="s">
        <v>677</v>
      </c>
      <c r="U1269" s="36"/>
      <c r="V1269" s="36"/>
      <c r="W1269" s="129"/>
      <c r="X1269" s="36"/>
      <c r="Y1269" s="36"/>
      <c r="Z1269" s="36"/>
      <c r="AA1269" s="125" t="s">
        <v>121</v>
      </c>
      <c r="AB1269" s="173">
        <v>45869</v>
      </c>
      <c r="AC1269" s="119">
        <v>251114</v>
      </c>
      <c r="AD1269" s="36">
        <f t="shared" si="137"/>
        <v>5500533447</v>
      </c>
      <c r="AE1269" s="36" t="str">
        <f t="shared" si="138"/>
        <v>R900172405</v>
      </c>
      <c r="AF1269" s="36">
        <v>388</v>
      </c>
      <c r="AG1269" s="120">
        <f t="shared" si="142"/>
        <v>2238.7599999999998</v>
      </c>
      <c r="AH1269" s="36"/>
      <c r="AI1269" s="124"/>
      <c r="AJ1269" s="122" t="s">
        <v>3137</v>
      </c>
      <c r="AK1269" s="129" t="str">
        <f t="shared" ca="1" si="140"/>
        <v>Late</v>
      </c>
      <c r="AL1269" s="268" t="str">
        <f t="shared" si="141"/>
        <v>April</v>
      </c>
      <c r="AM1269" s="133">
        <f>YEAR(Table1[[#This Row],[ETA
As requested
dd.mm.yyyy]])</f>
        <v>2025</v>
      </c>
    </row>
    <row r="1270" spans="1:40" hidden="1">
      <c r="A1270" s="123" t="s">
        <v>27</v>
      </c>
      <c r="B1270" s="36" t="s">
        <v>1170</v>
      </c>
      <c r="C1270" s="117">
        <v>5500533447</v>
      </c>
      <c r="D1270" s="165">
        <v>45572</v>
      </c>
      <c r="E1270" s="117" t="s">
        <v>53</v>
      </c>
      <c r="F1270" s="36" t="str">
        <f>IFERROR(VLOOKUP(Table1[[#This Row],[Part Number]],DATABASE_FG!$C$6:D11259,2,FALSE)," ")</f>
        <v>PLATE_4WRD_25_5X_</v>
      </c>
      <c r="G1270" s="117" t="str">
        <f>IFERROR(_xlfn.XLOOKUP(Table1[[#This Row],[Part Number]],Table3[Part number],Table3[Drawing
 Revision]),"")</f>
        <v>AA</v>
      </c>
      <c r="H1270" s="118" cm="1">
        <f t="array" ref="H1270">IFERROR(INDEX(PDB!$C:$AT,MATCH(E1270,PDB!$B:$B,0),MATCH(YEAR(K1270),0+PDB!$C$1:$AT$1,0)),"")</f>
        <v>5.77</v>
      </c>
      <c r="I1270" s="36">
        <v>378</v>
      </c>
      <c r="J1270" s="125">
        <f>IFERROR(Table1[[#This Row],[Quantity]]*Table1[[#This Row],[Price/Unit
EUR]]," ")</f>
        <v>2181.06</v>
      </c>
      <c r="K1270" s="126">
        <v>45797</v>
      </c>
      <c r="L1270" s="36">
        <f>WEEKNUM(Table1[[#This Row],[ETA
As requested
dd.mm.yyyy]])</f>
        <v>21</v>
      </c>
      <c r="M1270" s="36">
        <f>YEAR(Table1[[#This Row],[ETA
As requested
dd.mm.yyyy]])</f>
        <v>2025</v>
      </c>
      <c r="N1270" s="36">
        <f>IFERROR(INDEX(DATABASE_FG!$H$5:$H$367, MATCH(E1270, DATABASE_FG!$C$5:$C$367, 0)), " ")</f>
        <v>0</v>
      </c>
      <c r="O1270" s="129" t="str">
        <f>IF(E1270&lt;&gt;"", _xlfn.XLOOKUP(E1270, DATABASE_FG!C:C, DATABASE_FG!F:F), " ")</f>
        <v>PLATE</v>
      </c>
      <c r="P1270" s="129">
        <f>IFERROR(INDEX(DATABASE_FG!$G$5:$G$367, MATCH(E1270, DATABASE_FG!$C$5:$C$367, 0)), "Not Found")</f>
        <v>528</v>
      </c>
      <c r="Q1270" s="36"/>
      <c r="R1270" s="125" t="s">
        <v>678</v>
      </c>
      <c r="S1270" s="123">
        <f>IFERROR(INDEX(DATABASE_FG!$L$5:$L$367, MATCH(E1270, DATABASE_FG!$C$5:$C$367, 0)), " ")</f>
        <v>56</v>
      </c>
      <c r="T1270" s="36" t="s">
        <v>677</v>
      </c>
      <c r="U1270" s="36"/>
      <c r="V1270" s="36"/>
      <c r="W1270" s="129"/>
      <c r="X1270" s="36"/>
      <c r="Y1270" s="36"/>
      <c r="Z1270" s="36"/>
      <c r="AA1270" s="125" t="s">
        <v>121</v>
      </c>
      <c r="AB1270" s="173">
        <v>45869</v>
      </c>
      <c r="AC1270" s="119">
        <v>251114</v>
      </c>
      <c r="AD1270" s="36">
        <f t="shared" si="137"/>
        <v>5500533447</v>
      </c>
      <c r="AE1270" s="36" t="str">
        <f t="shared" si="138"/>
        <v>R900172405</v>
      </c>
      <c r="AF1270" s="36">
        <v>378</v>
      </c>
      <c r="AG1270" s="120">
        <f t="shared" si="142"/>
        <v>2181.06</v>
      </c>
      <c r="AH1270" s="36"/>
      <c r="AI1270" s="124"/>
      <c r="AJ1270" s="122" t="s">
        <v>3137</v>
      </c>
      <c r="AK1270" s="129" t="str">
        <f t="shared" ca="1" si="140"/>
        <v>Late</v>
      </c>
      <c r="AL1270" s="268" t="str">
        <f t="shared" si="141"/>
        <v>May</v>
      </c>
      <c r="AM1270" s="133">
        <f>YEAR(Table1[[#This Row],[ETA
As requested
dd.mm.yyyy]])</f>
        <v>2025</v>
      </c>
    </row>
    <row r="1271" spans="1:40" hidden="1">
      <c r="A1271" s="123" t="s">
        <v>27</v>
      </c>
      <c r="B1271" s="36" t="s">
        <v>1170</v>
      </c>
      <c r="C1271" s="117">
        <v>5500533447</v>
      </c>
      <c r="D1271" s="165">
        <v>45572</v>
      </c>
      <c r="E1271" s="117" t="s">
        <v>53</v>
      </c>
      <c r="F1271" s="36" t="str">
        <f>IFERROR(VLOOKUP(Table1[[#This Row],[Part Number]],DATABASE_FG!$C$6:D11260,2,FALSE)," ")</f>
        <v>PLATE_4WRD_25_5X_</v>
      </c>
      <c r="G1271" s="117" t="str">
        <f>IFERROR(_xlfn.XLOOKUP(Table1[[#This Row],[Part Number]],Table3[Part number],Table3[Drawing
 Revision]),"")</f>
        <v>AA</v>
      </c>
      <c r="H1271" s="118" cm="1">
        <f t="array" ref="H1271">IFERROR(INDEX(PDB!$C:$AT,MATCH(E1271,PDB!$B:$B,0),MATCH(YEAR(K1271),0+PDB!$C$1:$AT$1,0)),"")</f>
        <v>5.77</v>
      </c>
      <c r="I1271" s="36">
        <f>528-378</f>
        <v>150</v>
      </c>
      <c r="J1271" s="125">
        <f>IFERROR(Table1[[#This Row],[Quantity]]*Table1[[#This Row],[Price/Unit
EUR]]," ")</f>
        <v>865.49999999999989</v>
      </c>
      <c r="K1271" s="126">
        <v>45797</v>
      </c>
      <c r="L1271" s="36">
        <f>WEEKNUM(Table1[[#This Row],[ETA
As requested
dd.mm.yyyy]])</f>
        <v>21</v>
      </c>
      <c r="M1271" s="36">
        <f>YEAR(Table1[[#This Row],[ETA
As requested
dd.mm.yyyy]])</f>
        <v>2025</v>
      </c>
      <c r="N1271" s="36">
        <f>IFERROR(INDEX(DATABASE_FG!$H$5:$H$367, MATCH(E1271, DATABASE_FG!$C$5:$C$367, 0)), " ")</f>
        <v>0</v>
      </c>
      <c r="O1271" s="129" t="str">
        <f>IF(E1271&lt;&gt;"", _xlfn.XLOOKUP(E1271, DATABASE_FG!C:C, DATABASE_FG!F:F), " ")</f>
        <v>PLATE</v>
      </c>
      <c r="P1271" s="129">
        <f>IFERROR(INDEX(DATABASE_FG!$G$5:$G$367, MATCH(E1271, DATABASE_FG!$C$5:$C$367, 0)), "Not Found")</f>
        <v>528</v>
      </c>
      <c r="Q1271" s="36"/>
      <c r="R1271" s="125" t="s">
        <v>678</v>
      </c>
      <c r="S1271" s="123">
        <f>IFERROR(INDEX(DATABASE_FG!$L$5:$L$367, MATCH(E1271, DATABASE_FG!$C$5:$C$367, 0)), " ")</f>
        <v>56</v>
      </c>
      <c r="T1271" s="36" t="s">
        <v>677</v>
      </c>
      <c r="U1271" s="36"/>
      <c r="V1271" s="36"/>
      <c r="W1271" s="129"/>
      <c r="X1271" s="36"/>
      <c r="Y1271" s="36"/>
      <c r="Z1271" s="36"/>
      <c r="AA1271" s="125" t="s">
        <v>121</v>
      </c>
      <c r="AB1271" s="173">
        <v>45877</v>
      </c>
      <c r="AC1271" s="119">
        <v>251123</v>
      </c>
      <c r="AD1271" s="36">
        <f t="shared" si="137"/>
        <v>5500533447</v>
      </c>
      <c r="AE1271" s="36" t="str">
        <f t="shared" si="138"/>
        <v>R900172405</v>
      </c>
      <c r="AF1271" s="36">
        <v>150</v>
      </c>
      <c r="AG1271" s="120">
        <f t="shared" si="142"/>
        <v>865.49999999999989</v>
      </c>
      <c r="AH1271" s="36"/>
      <c r="AI1271" s="124"/>
      <c r="AJ1271" s="122"/>
      <c r="AK1271" s="129" t="str">
        <f t="shared" ca="1" si="140"/>
        <v>Late</v>
      </c>
      <c r="AL1271" s="268" t="str">
        <f t="shared" si="141"/>
        <v>May</v>
      </c>
      <c r="AM1271" s="133">
        <f>YEAR(Table1[[#This Row],[ETA
As requested
dd.mm.yyyy]])</f>
        <v>2025</v>
      </c>
    </row>
    <row r="1272" spans="1:40" hidden="1">
      <c r="A1272" s="123" t="s">
        <v>27</v>
      </c>
      <c r="B1272" s="36" t="s">
        <v>1170</v>
      </c>
      <c r="C1272" s="117">
        <v>5500533447</v>
      </c>
      <c r="D1272" s="165">
        <v>45572</v>
      </c>
      <c r="E1272" s="117" t="s">
        <v>53</v>
      </c>
      <c r="F1272" s="36" t="str">
        <f>IFERROR(VLOOKUP(Table1[[#This Row],[Part Number]],DATABASE_FG!$C$6:D11261,2,FALSE)," ")</f>
        <v>PLATE_4WRD_25_5X_</v>
      </c>
      <c r="G1272" s="117" t="str">
        <f>IFERROR(_xlfn.XLOOKUP(Table1[[#This Row],[Part Number]],Table3[Part number],Table3[Drawing
 Revision]),"")</f>
        <v>AA</v>
      </c>
      <c r="H1272" s="118" cm="1">
        <f t="array" ref="H1272">IFERROR(INDEX(PDB!$C:$AT,MATCH(E1272,PDB!$B:$B,0),MATCH(YEAR(K1272),0+PDB!$C$1:$AT$1,0)),"")</f>
        <v>5.77</v>
      </c>
      <c r="I1272" s="36">
        <v>58</v>
      </c>
      <c r="J1272" s="125">
        <f>IFERROR(Table1[[#This Row],[Quantity]]*Table1[[#This Row],[Price/Unit
EUR]]," ")</f>
        <v>334.65999999999997</v>
      </c>
      <c r="K1272" s="126">
        <v>45803</v>
      </c>
      <c r="L1272" s="36">
        <f>WEEKNUM(Table1[[#This Row],[ETA
As requested
dd.mm.yyyy]])</f>
        <v>22</v>
      </c>
      <c r="M1272" s="36">
        <f>YEAR(Table1[[#This Row],[ETA
As requested
dd.mm.yyyy]])</f>
        <v>2025</v>
      </c>
      <c r="N1272" s="36">
        <f>IFERROR(INDEX(DATABASE_FG!$H$5:$H$367, MATCH(E1272, DATABASE_FG!$C$5:$C$367, 0)), " ")</f>
        <v>0</v>
      </c>
      <c r="O1272" s="129" t="str">
        <f>IF(E1272&lt;&gt;"", _xlfn.XLOOKUP(E1272, DATABASE_FG!C:C, DATABASE_FG!F:F), " ")</f>
        <v>PLATE</v>
      </c>
      <c r="P1272" s="129">
        <f>IFERROR(INDEX(DATABASE_FG!$G$5:$G$367, MATCH(E1272, DATABASE_FG!$C$5:$C$367, 0)), "Not Found")</f>
        <v>528</v>
      </c>
      <c r="Q1272" s="36"/>
      <c r="R1272" s="125" t="s">
        <v>678</v>
      </c>
      <c r="S1272" s="123">
        <f>IFERROR(INDEX(DATABASE_FG!$L$5:$L$367, MATCH(E1272, DATABASE_FG!$C$5:$C$367, 0)), " ")</f>
        <v>56</v>
      </c>
      <c r="T1272" s="36" t="s">
        <v>677</v>
      </c>
      <c r="U1272" s="36"/>
      <c r="V1272" s="36"/>
      <c r="W1272" s="129"/>
      <c r="X1272" s="36"/>
      <c r="Y1272" s="36"/>
      <c r="Z1272" s="36"/>
      <c r="AA1272" s="125" t="s">
        <v>121</v>
      </c>
      <c r="AB1272" s="173">
        <v>45877</v>
      </c>
      <c r="AC1272" s="119">
        <v>251123</v>
      </c>
      <c r="AD1272" s="36">
        <f t="shared" ref="AD1272:AD1339" si="143">IF(NOT(ISBLANK(AC1272)), C1272, "")</f>
        <v>5500533447</v>
      </c>
      <c r="AE1272" s="36" t="str">
        <f t="shared" ref="AE1272:AE1339" si="144">IF(NOT(ISBLANK(AC1272)), E1272, "")</f>
        <v>R900172405</v>
      </c>
      <c r="AF1272" s="36">
        <v>58</v>
      </c>
      <c r="AG1272" s="120">
        <f t="shared" si="142"/>
        <v>334.65999999999997</v>
      </c>
      <c r="AH1272" s="36"/>
      <c r="AI1272" s="124"/>
      <c r="AJ1272" s="122"/>
      <c r="AK1272" s="129" t="str">
        <f t="shared" ca="1" si="140"/>
        <v>Late</v>
      </c>
      <c r="AL1272" s="268" t="str">
        <f t="shared" si="141"/>
        <v>May</v>
      </c>
      <c r="AM1272" s="133">
        <f>YEAR(Table1[[#This Row],[ETA
As requested
dd.mm.yyyy]])</f>
        <v>2025</v>
      </c>
    </row>
    <row r="1273" spans="1:40" hidden="1">
      <c r="A1273" s="123" t="s">
        <v>27</v>
      </c>
      <c r="B1273" s="36" t="s">
        <v>1170</v>
      </c>
      <c r="C1273" s="117">
        <v>5500533447</v>
      </c>
      <c r="D1273" s="165">
        <v>45572</v>
      </c>
      <c r="E1273" s="117" t="s">
        <v>53</v>
      </c>
      <c r="F1273" s="36" t="str">
        <f>IFERROR(VLOOKUP(Table1[[#This Row],[Part Number]],DATABASE_FG!$C$6:D11262,2,FALSE)," ")</f>
        <v>PLATE_4WRD_25_5X_</v>
      </c>
      <c r="G1273" s="117" t="str">
        <f>IFERROR(_xlfn.XLOOKUP(Table1[[#This Row],[Part Number]],Table3[Part number],Table3[Drawing
 Revision]),"")</f>
        <v>AA</v>
      </c>
      <c r="H1273" s="118" cm="1">
        <f t="array" ref="H1273">IFERROR(INDEX(PDB!$C:$AT,MATCH(E1273,PDB!$B:$B,0),MATCH(YEAR(K1273),0+PDB!$C$1:$AT$1,0)),"")</f>
        <v>5.77</v>
      </c>
      <c r="I1273" s="36">
        <f>528-58</f>
        <v>470</v>
      </c>
      <c r="J1273" s="125">
        <f>IFERROR(Table1[[#This Row],[Quantity]]*Table1[[#This Row],[Price/Unit
EUR]]," ")</f>
        <v>2711.8999999999996</v>
      </c>
      <c r="K1273" s="126">
        <v>45803</v>
      </c>
      <c r="L1273" s="36">
        <f>WEEKNUM(Table1[[#This Row],[ETA
As requested
dd.mm.yyyy]])</f>
        <v>22</v>
      </c>
      <c r="M1273" s="36">
        <f>YEAR(Table1[[#This Row],[ETA
As requested
dd.mm.yyyy]])</f>
        <v>2025</v>
      </c>
      <c r="N1273" s="36">
        <f>IFERROR(INDEX(DATABASE_FG!$H$5:$H$367, MATCH(E1273, DATABASE_FG!$C$5:$C$367, 0)), " ")</f>
        <v>0</v>
      </c>
      <c r="O1273" s="129" t="str">
        <f>IF(E1273&lt;&gt;"", _xlfn.XLOOKUP(E1273, DATABASE_FG!C:C, DATABASE_FG!F:F), " ")</f>
        <v>PLATE</v>
      </c>
      <c r="P1273" s="129">
        <f>IFERROR(INDEX(DATABASE_FG!$G$5:$G$367, MATCH(E1273, DATABASE_FG!$C$5:$C$367, 0)), "Not Found")</f>
        <v>528</v>
      </c>
      <c r="Q1273" s="36"/>
      <c r="R1273" s="125" t="s">
        <v>678</v>
      </c>
      <c r="S1273" s="123">
        <f>IFERROR(INDEX(DATABASE_FG!$L$5:$L$367, MATCH(E1273, DATABASE_FG!$C$5:$C$367, 0)), " ")</f>
        <v>56</v>
      </c>
      <c r="T1273" s="36" t="s">
        <v>677</v>
      </c>
      <c r="U1273" s="36"/>
      <c r="V1273" s="36"/>
      <c r="W1273" s="129"/>
      <c r="X1273" s="36"/>
      <c r="Y1273" s="36"/>
      <c r="Z1273" s="36"/>
      <c r="AA1273" s="125" t="s">
        <v>121</v>
      </c>
      <c r="AB1273" s="173">
        <v>45898</v>
      </c>
      <c r="AC1273" s="119">
        <v>251143</v>
      </c>
      <c r="AD1273" s="36">
        <f t="shared" si="143"/>
        <v>5500533447</v>
      </c>
      <c r="AE1273" s="36" t="str">
        <f t="shared" si="144"/>
        <v>R900172405</v>
      </c>
      <c r="AF1273" s="36">
        <v>470</v>
      </c>
      <c r="AG1273" s="120">
        <f t="shared" si="142"/>
        <v>2711.8999999999996</v>
      </c>
      <c r="AH1273" s="36"/>
      <c r="AI1273" s="124"/>
      <c r="AJ1273" s="122" t="s">
        <v>3213</v>
      </c>
      <c r="AK1273" s="129" t="str">
        <f t="shared" ca="1" si="140"/>
        <v>Late</v>
      </c>
      <c r="AL1273" s="268" t="str">
        <f t="shared" si="141"/>
        <v>May</v>
      </c>
      <c r="AM1273" s="133">
        <f>YEAR(Table1[[#This Row],[ETA
As requested
dd.mm.yyyy]])</f>
        <v>2025</v>
      </c>
    </row>
    <row r="1274" spans="1:40" hidden="1">
      <c r="A1274" s="123" t="s">
        <v>27</v>
      </c>
      <c r="B1274" s="36" t="s">
        <v>1170</v>
      </c>
      <c r="C1274" s="117">
        <v>5500533447</v>
      </c>
      <c r="D1274" s="165">
        <v>45572</v>
      </c>
      <c r="E1274" s="117" t="s">
        <v>53</v>
      </c>
      <c r="F1274" s="36" t="str">
        <f>IFERROR(VLOOKUP(Table1[[#This Row],[Part Number]],DATABASE_FG!$C$6:D11263,2,FALSE)," ")</f>
        <v>PLATE_4WRD_25_5X_</v>
      </c>
      <c r="G1274" s="117" t="str">
        <f>IFERROR(_xlfn.XLOOKUP(Table1[[#This Row],[Part Number]],Table3[Part number],Table3[Drawing
 Revision]),"")</f>
        <v>AA</v>
      </c>
      <c r="H1274" s="118" cm="1">
        <f t="array" ref="H1274">IFERROR(INDEX(PDB!$C:$AT,MATCH(E1274,PDB!$B:$B,0),MATCH(YEAR(K1274),0+PDB!$C$1:$AT$1,0)),"")</f>
        <v>5.77</v>
      </c>
      <c r="I1274" s="36">
        <v>28</v>
      </c>
      <c r="J1274" s="125">
        <f>IFERROR(Table1[[#This Row],[Quantity]]*Table1[[#This Row],[Price/Unit
EUR]]," ")</f>
        <v>161.56</v>
      </c>
      <c r="K1274" s="126">
        <v>45824</v>
      </c>
      <c r="L1274" s="36">
        <f>WEEKNUM(Table1[[#This Row],[ETA
As requested
dd.mm.yyyy]])</f>
        <v>25</v>
      </c>
      <c r="M1274" s="36">
        <f>YEAR(Table1[[#This Row],[ETA
As requested
dd.mm.yyyy]])</f>
        <v>2025</v>
      </c>
      <c r="N1274" s="36">
        <f>IFERROR(INDEX(DATABASE_FG!$H$5:$H$367, MATCH(E1274, DATABASE_FG!$C$5:$C$367, 0)), " ")</f>
        <v>0</v>
      </c>
      <c r="O1274" s="129" t="str">
        <f>IF(E1274&lt;&gt;"", _xlfn.XLOOKUP(E1274, DATABASE_FG!C:C, DATABASE_FG!F:F), " ")</f>
        <v>PLATE</v>
      </c>
      <c r="P1274" s="129">
        <f>IFERROR(INDEX(DATABASE_FG!$G$5:$G$367, MATCH(E1274, DATABASE_FG!$C$5:$C$367, 0)), "Not Found")</f>
        <v>528</v>
      </c>
      <c r="Q1274" s="36"/>
      <c r="R1274" s="125" t="s">
        <v>678</v>
      </c>
      <c r="S1274" s="123">
        <f>IFERROR(INDEX(DATABASE_FG!$L$5:$L$367, MATCH(E1274, DATABASE_FG!$C$5:$C$367, 0)), " ")</f>
        <v>56</v>
      </c>
      <c r="T1274" s="36" t="s">
        <v>677</v>
      </c>
      <c r="U1274" s="36"/>
      <c r="V1274" s="36"/>
      <c r="W1274" s="129"/>
      <c r="X1274" s="36"/>
      <c r="Y1274" s="36"/>
      <c r="Z1274" s="36"/>
      <c r="AA1274" s="125" t="s">
        <v>121</v>
      </c>
      <c r="AB1274" s="173">
        <v>45898</v>
      </c>
      <c r="AC1274" s="119">
        <v>251143</v>
      </c>
      <c r="AD1274" s="36">
        <f t="shared" si="143"/>
        <v>5500533447</v>
      </c>
      <c r="AE1274" s="36" t="str">
        <f t="shared" si="144"/>
        <v>R900172405</v>
      </c>
      <c r="AF1274" s="36">
        <v>28</v>
      </c>
      <c r="AG1274" s="120">
        <f t="shared" si="142"/>
        <v>161.56</v>
      </c>
      <c r="AH1274" s="36"/>
      <c r="AI1274" s="124"/>
      <c r="AJ1274" s="122"/>
      <c r="AK1274" s="129" t="str">
        <f t="shared" ca="1" si="140"/>
        <v>Late</v>
      </c>
      <c r="AL1274" s="268" t="str">
        <f t="shared" si="141"/>
        <v>June</v>
      </c>
      <c r="AM1274" s="133">
        <f>YEAR(Table1[[#This Row],[ETA
As requested
dd.mm.yyyy]])</f>
        <v>2025</v>
      </c>
    </row>
    <row r="1275" spans="1:40" hidden="1">
      <c r="A1275" s="123" t="s">
        <v>27</v>
      </c>
      <c r="B1275" s="36" t="s">
        <v>1170</v>
      </c>
      <c r="C1275" s="117">
        <v>5500533447</v>
      </c>
      <c r="D1275" s="165">
        <v>45572</v>
      </c>
      <c r="E1275" s="117" t="s">
        <v>53</v>
      </c>
      <c r="F1275" s="36" t="str">
        <f>IFERROR(VLOOKUP(Table1[[#This Row],[Part Number]],DATABASE_FG!$C$6:D11264,2,FALSE)," ")</f>
        <v>PLATE_4WRD_25_5X_</v>
      </c>
      <c r="G1275" s="117" t="str">
        <f>IFERROR(_xlfn.XLOOKUP(Table1[[#This Row],[Part Number]],Table3[Part number],Table3[Drawing
 Revision]),"")</f>
        <v>AA</v>
      </c>
      <c r="H1275" s="118" cm="1">
        <f t="array" ref="H1275">IFERROR(INDEX(PDB!$C:$AT,MATCH(E1275,PDB!$B:$B,0),MATCH(YEAR(K1275),0+PDB!$C$1:$AT$1,0)),"")</f>
        <v>5.77</v>
      </c>
      <c r="I1275" s="36">
        <f>528-28</f>
        <v>500</v>
      </c>
      <c r="J1275" s="125">
        <f>IFERROR(Table1[[#This Row],[Quantity]]*Table1[[#This Row],[Price/Unit
EUR]]," ")</f>
        <v>2885</v>
      </c>
      <c r="K1275" s="126">
        <v>45824</v>
      </c>
      <c r="L1275" s="36">
        <f>WEEKNUM(Table1[[#This Row],[ETA
As requested
dd.mm.yyyy]])</f>
        <v>25</v>
      </c>
      <c r="M1275" s="36">
        <f>YEAR(Table1[[#This Row],[ETA
As requested
dd.mm.yyyy]])</f>
        <v>2025</v>
      </c>
      <c r="N1275" s="36">
        <f>IFERROR(INDEX(DATABASE_FG!$H$5:$H$367, MATCH(E1275, DATABASE_FG!$C$5:$C$367, 0)), " ")</f>
        <v>0</v>
      </c>
      <c r="O1275" s="129" t="str">
        <f>IF(E1275&lt;&gt;"", _xlfn.XLOOKUP(E1275, DATABASE_FG!C:C, DATABASE_FG!F:F), " ")</f>
        <v>PLATE</v>
      </c>
      <c r="P1275" s="129">
        <f>IFERROR(INDEX(DATABASE_FG!$G$5:$G$367, MATCH(E1275, DATABASE_FG!$C$5:$C$367, 0)), "Not Found")</f>
        <v>528</v>
      </c>
      <c r="Q1275" s="36"/>
      <c r="R1275" s="125" t="s">
        <v>678</v>
      </c>
      <c r="S1275" s="123">
        <f>IFERROR(INDEX(DATABASE_FG!$L$5:$L$367, MATCH(E1275, DATABASE_FG!$C$5:$C$367, 0)), " ")</f>
        <v>56</v>
      </c>
      <c r="T1275" s="36" t="s">
        <v>677</v>
      </c>
      <c r="U1275" s="36"/>
      <c r="V1275" s="36"/>
      <c r="W1275" s="129"/>
      <c r="X1275" s="36"/>
      <c r="Y1275" s="36"/>
      <c r="Z1275" s="36"/>
      <c r="AA1275" s="125" t="s">
        <v>121</v>
      </c>
      <c r="AB1275" s="173">
        <v>45915</v>
      </c>
      <c r="AC1275" s="119">
        <v>251154</v>
      </c>
      <c r="AD1275" s="36">
        <f t="shared" si="143"/>
        <v>5500533447</v>
      </c>
      <c r="AE1275" s="36" t="str">
        <f t="shared" si="144"/>
        <v>R900172405</v>
      </c>
      <c r="AF1275" s="36">
        <v>500</v>
      </c>
      <c r="AG1275" s="120">
        <f t="shared" si="142"/>
        <v>2885</v>
      </c>
      <c r="AH1275" s="36"/>
      <c r="AI1275" s="124"/>
      <c r="AJ1275" s="122" t="s">
        <v>3286</v>
      </c>
      <c r="AK1275" s="129" t="str">
        <f t="shared" ca="1" si="140"/>
        <v>Late</v>
      </c>
      <c r="AL1275" s="268" t="str">
        <f t="shared" si="141"/>
        <v>June</v>
      </c>
      <c r="AM1275" s="133">
        <f>YEAR(Table1[[#This Row],[ETA
As requested
dd.mm.yyyy]])</f>
        <v>2025</v>
      </c>
    </row>
    <row r="1276" spans="1:40" hidden="1">
      <c r="A1276" s="123" t="s">
        <v>27</v>
      </c>
      <c r="B1276" s="36" t="s">
        <v>1170</v>
      </c>
      <c r="C1276" s="117">
        <v>5500533447</v>
      </c>
      <c r="D1276" s="165">
        <v>45572</v>
      </c>
      <c r="E1276" s="117" t="s">
        <v>53</v>
      </c>
      <c r="F1276" s="36" t="str">
        <f>IFERROR(VLOOKUP(Table1[[#This Row],[Part Number]],DATABASE_FG!$C$6:D11265,2,FALSE)," ")</f>
        <v>PLATE_4WRD_25_5X_</v>
      </c>
      <c r="G1276" s="117" t="str">
        <f>IFERROR(_xlfn.XLOOKUP(Table1[[#This Row],[Part Number]],Table3[Part number],Table3[Drawing
 Revision]),"")</f>
        <v>AA</v>
      </c>
      <c r="H1276" s="118" cm="1">
        <f t="array" ref="H1276">IFERROR(INDEX(PDB!$C:$AT,MATCH(E1276,PDB!$B:$B,0),MATCH(YEAR(K1276),0+PDB!$C$1:$AT$1,0)),"")</f>
        <v>5.77</v>
      </c>
      <c r="I1276" s="36">
        <v>528</v>
      </c>
      <c r="J1276" s="125">
        <f>IFERROR(Table1[[#This Row],[Quantity]]*Table1[[#This Row],[Price/Unit
EUR]]," ")</f>
        <v>3046.56</v>
      </c>
      <c r="K1276" s="126">
        <v>45832</v>
      </c>
      <c r="L1276" s="36">
        <f>WEEKNUM(Table1[[#This Row],[ETA
As requested
dd.mm.yyyy]])</f>
        <v>26</v>
      </c>
      <c r="M1276" s="36">
        <f>YEAR(Table1[[#This Row],[ETA
As requested
dd.mm.yyyy]])</f>
        <v>2025</v>
      </c>
      <c r="N1276" s="36">
        <f>IFERROR(INDEX(DATABASE_FG!$H$5:$H$367, MATCH(E1276, DATABASE_FG!$C$5:$C$367, 0)), " ")</f>
        <v>0</v>
      </c>
      <c r="O1276" s="129" t="str">
        <f>IF(E1276&lt;&gt;"", _xlfn.XLOOKUP(E1276, DATABASE_FG!C:C, DATABASE_FG!F:F), " ")</f>
        <v>PLATE</v>
      </c>
      <c r="P1276" s="129">
        <f>IFERROR(INDEX(DATABASE_FG!$G$5:$G$367, MATCH(E1276, DATABASE_FG!$C$5:$C$367, 0)), "Not Found")</f>
        <v>528</v>
      </c>
      <c r="Q1276" s="36"/>
      <c r="R1276" s="125" t="s">
        <v>678</v>
      </c>
      <c r="S1276" s="123">
        <f>IFERROR(INDEX(DATABASE_FG!$L$5:$L$367, MATCH(E1276, DATABASE_FG!$C$5:$C$367, 0)), " ")</f>
        <v>56</v>
      </c>
      <c r="T1276" s="36" t="s">
        <v>677</v>
      </c>
      <c r="U1276" s="36"/>
      <c r="V1276" s="36"/>
      <c r="W1276" s="129"/>
      <c r="X1276" s="36"/>
      <c r="Y1276" s="36"/>
      <c r="Z1276" s="36"/>
      <c r="AA1276" s="125" t="s">
        <v>121</v>
      </c>
      <c r="AB1276" s="173">
        <v>45915</v>
      </c>
      <c r="AC1276" s="119">
        <v>251154</v>
      </c>
      <c r="AD1276" s="36">
        <f t="shared" si="143"/>
        <v>5500533447</v>
      </c>
      <c r="AE1276" s="36" t="str">
        <f t="shared" si="144"/>
        <v>R900172405</v>
      </c>
      <c r="AF1276" s="36">
        <v>528</v>
      </c>
      <c r="AG1276" s="120">
        <f t="shared" si="142"/>
        <v>3046.56</v>
      </c>
      <c r="AH1276" s="36"/>
      <c r="AI1276" s="124"/>
      <c r="AJ1276" s="122" t="s">
        <v>3286</v>
      </c>
      <c r="AK1276" s="129" t="str">
        <f t="shared" ca="1" si="140"/>
        <v>Late</v>
      </c>
      <c r="AL1276" s="268" t="str">
        <f t="shared" si="141"/>
        <v>June</v>
      </c>
      <c r="AM1276" s="133">
        <f>YEAR(Table1[[#This Row],[ETA
As requested
dd.mm.yyyy]])</f>
        <v>2025</v>
      </c>
    </row>
    <row r="1277" spans="1:40" hidden="1">
      <c r="A1277" s="123" t="s">
        <v>27</v>
      </c>
      <c r="B1277" s="36" t="s">
        <v>1170</v>
      </c>
      <c r="C1277" s="117">
        <v>5500533447</v>
      </c>
      <c r="D1277" s="165">
        <v>45572</v>
      </c>
      <c r="E1277" s="117" t="s">
        <v>53</v>
      </c>
      <c r="F1277" s="36" t="str">
        <f>IFERROR(VLOOKUP(Table1[[#This Row],[Part Number]],DATABASE_FG!$C$6:D11266,2,FALSE)," ")</f>
        <v>PLATE_4WRD_25_5X_</v>
      </c>
      <c r="G1277" s="117" t="str">
        <f>IFERROR(_xlfn.XLOOKUP(Table1[[#This Row],[Part Number]],Table3[Part number],Table3[Drawing
 Revision]),"")</f>
        <v>AA</v>
      </c>
      <c r="H1277" s="118" cm="1">
        <f t="array" ref="H1277">IFERROR(INDEX(PDB!$C:$AT,MATCH(E1277,PDB!$B:$B,0),MATCH(YEAR(K1277),0+PDB!$C$1:$AT$1,0)),"")</f>
        <v>5.77</v>
      </c>
      <c r="I1277" s="36">
        <v>199</v>
      </c>
      <c r="J1277" s="125">
        <f>IFERROR(Table1[[#This Row],[Quantity]]*Table1[[#This Row],[Price/Unit
EUR]]," ")</f>
        <v>1148.23</v>
      </c>
      <c r="K1277" s="126">
        <v>45860</v>
      </c>
      <c r="L1277" s="36">
        <f>WEEKNUM(Table1[[#This Row],[ETA
As requested
dd.mm.yyyy]])</f>
        <v>30</v>
      </c>
      <c r="M1277" s="36">
        <f>YEAR(Table1[[#This Row],[ETA
As requested
dd.mm.yyyy]])</f>
        <v>2025</v>
      </c>
      <c r="N1277" s="36">
        <f>IFERROR(INDEX(DATABASE_FG!$H$5:$H$367, MATCH(E1277, DATABASE_FG!$C$5:$C$367, 0)), " ")</f>
        <v>0</v>
      </c>
      <c r="O1277" s="129" t="str">
        <f>IF(E1277&lt;&gt;"", _xlfn.XLOOKUP(E1277, DATABASE_FG!C:C, DATABASE_FG!F:F), " ")</f>
        <v>PLATE</v>
      </c>
      <c r="P1277" s="129">
        <f>IFERROR(INDEX(DATABASE_FG!$G$5:$G$367, MATCH(E1277, DATABASE_FG!$C$5:$C$367, 0)), "Not Found")</f>
        <v>528</v>
      </c>
      <c r="Q1277" s="36"/>
      <c r="R1277" s="125" t="s">
        <v>678</v>
      </c>
      <c r="S1277" s="123">
        <f>IFERROR(INDEX(DATABASE_FG!$L$5:$L$367, MATCH(E1277, DATABASE_FG!$C$5:$C$367, 0)), " ")</f>
        <v>56</v>
      </c>
      <c r="T1277" s="36" t="s">
        <v>677</v>
      </c>
      <c r="U1277" s="36"/>
      <c r="V1277" s="36"/>
      <c r="W1277" s="129"/>
      <c r="X1277" s="36"/>
      <c r="Y1277" s="36"/>
      <c r="Z1277" s="36"/>
      <c r="AA1277" s="125" t="s">
        <v>121</v>
      </c>
      <c r="AB1277" s="173">
        <v>45915</v>
      </c>
      <c r="AC1277" s="119">
        <v>251154</v>
      </c>
      <c r="AD1277" s="36">
        <f t="shared" si="143"/>
        <v>5500533447</v>
      </c>
      <c r="AE1277" s="36" t="str">
        <f t="shared" si="144"/>
        <v>R900172405</v>
      </c>
      <c r="AF1277" s="36">
        <v>199</v>
      </c>
      <c r="AG1277" s="120">
        <f t="shared" si="142"/>
        <v>1148.23</v>
      </c>
      <c r="AH1277" s="36"/>
      <c r="AI1277" s="124"/>
      <c r="AJ1277" s="122" t="s">
        <v>3286</v>
      </c>
      <c r="AK1277" s="129" t="str">
        <f t="shared" ca="1" si="140"/>
        <v>Late</v>
      </c>
      <c r="AL1277" s="268" t="str">
        <f t="shared" si="141"/>
        <v>July</v>
      </c>
      <c r="AM1277" s="133">
        <f>YEAR(Table1[[#This Row],[ETA
As requested
dd.mm.yyyy]])</f>
        <v>2025</v>
      </c>
    </row>
    <row r="1278" spans="1:40" hidden="1">
      <c r="A1278" s="123" t="s">
        <v>27</v>
      </c>
      <c r="B1278" s="36" t="s">
        <v>1170</v>
      </c>
      <c r="C1278" s="117">
        <v>5500533447</v>
      </c>
      <c r="D1278" s="165">
        <v>45924</v>
      </c>
      <c r="E1278" s="117" t="s">
        <v>53</v>
      </c>
      <c r="F1278" s="36" t="str">
        <f>IFERROR(VLOOKUP(Table1[[#This Row],[Part Number]],DATABASE_FG!$C$6:D11267,2,FALSE)," ")</f>
        <v>PLATE_4WRD_25_5X_</v>
      </c>
      <c r="G1278" s="117" t="str">
        <f>IFERROR(_xlfn.XLOOKUP(Table1[[#This Row],[Part Number]],Table3[Part number],Table3[Drawing
 Revision]),"")</f>
        <v>AA</v>
      </c>
      <c r="H1278" s="118" cm="1">
        <f t="array" ref="H1278">IFERROR(INDEX(PDB!$C:$AT,MATCH(E1278,PDB!$B:$B,0),MATCH(YEAR(K1278),0+PDB!$C$1:$AT$1,0)),"")</f>
        <v>5.77</v>
      </c>
      <c r="I1278" s="36">
        <f>528-199</f>
        <v>329</v>
      </c>
      <c r="J1278" s="125">
        <f>IFERROR(Table1[[#This Row],[Quantity]]*Table1[[#This Row],[Price/Unit
EUR]]," ")</f>
        <v>1898.33</v>
      </c>
      <c r="K1278" s="126">
        <v>45939</v>
      </c>
      <c r="L1278" s="36">
        <f>WEEKNUM(Table1[[#This Row],[ETA
As requested
dd.mm.yyyy]])</f>
        <v>41</v>
      </c>
      <c r="M1278" s="36">
        <f>YEAR(Table1[[#This Row],[ETA
As requested
dd.mm.yyyy]])</f>
        <v>2025</v>
      </c>
      <c r="N1278" s="36">
        <f>IFERROR(INDEX(DATABASE_FG!$H$5:$H$367, MATCH(E1278, DATABASE_FG!$C$5:$C$367, 0)), " ")</f>
        <v>0</v>
      </c>
      <c r="O1278" s="129" t="str">
        <f>IF(E1278&lt;&gt;"", _xlfn.XLOOKUP(E1278, DATABASE_FG!C:C, DATABASE_FG!F:F), " ")</f>
        <v>PLATE</v>
      </c>
      <c r="P1278" s="129">
        <f>IFERROR(INDEX(DATABASE_FG!$G$5:$G$367, MATCH(E1278, DATABASE_FG!$C$5:$C$367, 0)), "Not Found")</f>
        <v>528</v>
      </c>
      <c r="Q1278" s="36"/>
      <c r="R1278" s="125" t="s">
        <v>678</v>
      </c>
      <c r="S1278" s="123">
        <f>IFERROR(INDEX(DATABASE_FG!$L$5:$L$367, MATCH(E1278, DATABASE_FG!$C$5:$C$367, 0)), " ")</f>
        <v>56</v>
      </c>
      <c r="T1278" s="36" t="s">
        <v>677</v>
      </c>
      <c r="U1278" s="36"/>
      <c r="V1278" s="36"/>
      <c r="W1278" s="129"/>
      <c r="X1278" s="36"/>
      <c r="Y1278" s="36"/>
      <c r="Z1278" s="36"/>
      <c r="AA1278" s="125" t="s">
        <v>121</v>
      </c>
      <c r="AB1278" s="173">
        <v>45924</v>
      </c>
      <c r="AC1278" s="119">
        <v>251162</v>
      </c>
      <c r="AD1278" s="36">
        <f t="shared" si="143"/>
        <v>5500533447</v>
      </c>
      <c r="AE1278" s="36" t="str">
        <f t="shared" si="144"/>
        <v>R900172405</v>
      </c>
      <c r="AF1278" s="36">
        <v>329</v>
      </c>
      <c r="AG1278" s="120">
        <f t="shared" si="142"/>
        <v>1898.33</v>
      </c>
      <c r="AH1278" s="36"/>
      <c r="AI1278" s="124"/>
      <c r="AJ1278" s="122" t="s">
        <v>3805</v>
      </c>
      <c r="AK1278" s="129" t="str">
        <f t="shared" ca="1" si="140"/>
        <v>On Time</v>
      </c>
      <c r="AL1278" s="268" t="str">
        <f t="shared" si="141"/>
        <v>October</v>
      </c>
      <c r="AM1278" s="133">
        <f>YEAR(Table1[[#This Row],[ETA
As requested
dd.mm.yyyy]])</f>
        <v>2025</v>
      </c>
    </row>
    <row r="1279" spans="1:40" hidden="1">
      <c r="A1279" s="123" t="s">
        <v>27</v>
      </c>
      <c r="B1279" s="36" t="s">
        <v>1170</v>
      </c>
      <c r="C1279" s="117">
        <v>5500533447</v>
      </c>
      <c r="D1279" s="165">
        <v>45924</v>
      </c>
      <c r="E1279" s="117" t="s">
        <v>53</v>
      </c>
      <c r="F1279" s="36" t="str">
        <f>IFERROR(VLOOKUP(Table1[[#This Row],[Part Number]],DATABASE_FG!$C$6:D11268,2,FALSE)," ")</f>
        <v>PLATE_4WRD_25_5X_</v>
      </c>
      <c r="G1279" s="117" t="str">
        <f>IFERROR(_xlfn.XLOOKUP(Table1[[#This Row],[Part Number]],Table3[Part number],Table3[Drawing
 Revision]),"")</f>
        <v>AA</v>
      </c>
      <c r="H1279" s="118" cm="1">
        <f t="array" ref="H1279">IFERROR(INDEX(PDB!$C:$AT,MATCH(E1279,PDB!$B:$B,0),MATCH(YEAR(K1279),0+PDB!$C$1:$AT$1,0)),"")</f>
        <v>5.77</v>
      </c>
      <c r="I1279" s="36">
        <f>636-329</f>
        <v>307</v>
      </c>
      <c r="J1279" s="125">
        <f>IFERROR(Table1[[#This Row],[Quantity]]*Table1[[#This Row],[Price/Unit
EUR]]," ")</f>
        <v>1771.3899999999999</v>
      </c>
      <c r="K1279" s="126">
        <v>45939</v>
      </c>
      <c r="L1279" s="36">
        <f>WEEKNUM(Table1[[#This Row],[ETA
As requested
dd.mm.yyyy]])</f>
        <v>41</v>
      </c>
      <c r="M1279" s="36">
        <f>YEAR(Table1[[#This Row],[ETA
As requested
dd.mm.yyyy]])</f>
        <v>2025</v>
      </c>
      <c r="N1279" s="36">
        <f>IFERROR(INDEX(DATABASE_FG!$H$5:$H$367, MATCH(E1279, DATABASE_FG!$C$5:$C$367, 0)), " ")</f>
        <v>0</v>
      </c>
      <c r="O1279" s="129" t="str">
        <f>IF(E1279&lt;&gt;"", _xlfn.XLOOKUP(E1279, DATABASE_FG!C:C, DATABASE_FG!F:F), " ")</f>
        <v>PLATE</v>
      </c>
      <c r="P1279" s="129">
        <f>IFERROR(INDEX(DATABASE_FG!$G$5:$G$367, MATCH(E1279, DATABASE_FG!$C$5:$C$367, 0)), "Not Found")</f>
        <v>528</v>
      </c>
      <c r="Q1279" s="36"/>
      <c r="R1279" s="125" t="s">
        <v>678</v>
      </c>
      <c r="S1279" s="123">
        <f>Table1[[#This Row],[Quantity]]/48</f>
        <v>6.395833333333333</v>
      </c>
      <c r="T1279" s="36"/>
      <c r="U1279" s="36"/>
      <c r="V1279" s="36"/>
      <c r="W1279" s="129"/>
      <c r="X1279" s="36"/>
      <c r="Y1279" s="36"/>
      <c r="Z1279" s="36"/>
      <c r="AA1279" s="125" t="s">
        <v>121</v>
      </c>
      <c r="AB1279" s="173">
        <v>45924</v>
      </c>
      <c r="AC1279" s="119">
        <v>251162</v>
      </c>
      <c r="AD1279" s="36">
        <f t="shared" si="143"/>
        <v>5500533447</v>
      </c>
      <c r="AE1279" s="36" t="str">
        <f t="shared" si="144"/>
        <v>R900172405</v>
      </c>
      <c r="AF1279" s="36">
        <v>307</v>
      </c>
      <c r="AG1279" s="120">
        <f t="shared" si="142"/>
        <v>1771.3899999999999</v>
      </c>
      <c r="AH1279" s="36"/>
      <c r="AI1279" s="124"/>
      <c r="AJ1279" s="122" t="s">
        <v>3805</v>
      </c>
      <c r="AK1279" s="129" t="str">
        <f t="shared" ca="1" si="140"/>
        <v>On Time</v>
      </c>
      <c r="AL1279" s="268" t="str">
        <f t="shared" si="141"/>
        <v>October</v>
      </c>
      <c r="AM1279" s="133">
        <f>YEAR(Table1[[#This Row],[ETA
As requested
dd.mm.yyyy]])</f>
        <v>2025</v>
      </c>
      <c r="AN1279" s="191"/>
    </row>
    <row r="1280" spans="1:40" hidden="1">
      <c r="A1280" s="123" t="s">
        <v>27</v>
      </c>
      <c r="B1280" s="36" t="s">
        <v>2464</v>
      </c>
      <c r="C1280" s="117">
        <v>5500533447</v>
      </c>
      <c r="D1280" s="165">
        <v>45924</v>
      </c>
      <c r="E1280" s="117" t="s">
        <v>53</v>
      </c>
      <c r="F1280" s="36" t="str">
        <f>IFERROR(VLOOKUP(Table1[[#This Row],[Part Number]],DATABASE_FG!$C$6:D11269,2,FALSE)," ")</f>
        <v>PLATE_4WRD_25_5X_</v>
      </c>
      <c r="G1280" s="117" t="str">
        <f>IFERROR(_xlfn.XLOOKUP(Table1[[#This Row],[Part Number]],Table3[Part number],Table3[Drawing
 Revision]),"")</f>
        <v>AA</v>
      </c>
      <c r="H1280" s="118" cm="1">
        <f t="array" ref="H1280">IFERROR(INDEX(PDB!$C:$AT,MATCH(E1280,PDB!$B:$B,0),MATCH(YEAR(K1280),0+PDB!$C$1:$AT$1,0)),"")</f>
        <v>5.77</v>
      </c>
      <c r="I1280" s="36">
        <v>49</v>
      </c>
      <c r="J1280" s="125">
        <f>IFERROR(Table1[[#This Row],[Quantity]]*Table1[[#This Row],[Price/Unit
EUR]]," ")</f>
        <v>282.72999999999996</v>
      </c>
      <c r="K1280" s="126">
        <v>45971</v>
      </c>
      <c r="L1280" s="36">
        <f>WEEKNUM(Table1[[#This Row],[ETA
As requested
dd.mm.yyyy]])</f>
        <v>46</v>
      </c>
      <c r="M1280" s="36">
        <f>YEAR(Table1[[#This Row],[ETA
As requested
dd.mm.yyyy]])</f>
        <v>2025</v>
      </c>
      <c r="N1280" s="36">
        <f>IFERROR(INDEX(DATABASE_FG!$H$5:$H$367, MATCH(E1280, DATABASE_FG!$C$5:$C$367, 0)), " ")</f>
        <v>0</v>
      </c>
      <c r="O1280" s="129" t="str">
        <f>IF(E1280&lt;&gt;"", _xlfn.XLOOKUP(E1280, DATABASE_FG!C:C, DATABASE_FG!F:F), " ")</f>
        <v>PLATE</v>
      </c>
      <c r="P1280" s="129">
        <f>IFERROR(INDEX(DATABASE_FG!$G$5:$G$367, MATCH(E1280, DATABASE_FG!$C$5:$C$367, 0)), "Not Found")</f>
        <v>528</v>
      </c>
      <c r="Q1280" s="36"/>
      <c r="R1280" s="125" t="s">
        <v>678</v>
      </c>
      <c r="S1280" s="123">
        <f>Table1[[#This Row],[Quantity]]/48</f>
        <v>1.0208333333333333</v>
      </c>
      <c r="T1280" s="36"/>
      <c r="U1280" s="36"/>
      <c r="V1280" s="36"/>
      <c r="W1280" s="129"/>
      <c r="X1280" s="36"/>
      <c r="Y1280" s="36"/>
      <c r="Z1280" s="36"/>
      <c r="AA1280" s="125" t="s">
        <v>121</v>
      </c>
      <c r="AB1280" s="173">
        <v>45961</v>
      </c>
      <c r="AC1280" s="119">
        <v>251223</v>
      </c>
      <c r="AD1280" s="36">
        <f>IF(NOT(ISBLANK(AC1280)), C1280, "")</f>
        <v>5500533447</v>
      </c>
      <c r="AE1280" s="36" t="str">
        <f>IF(NOT(ISBLANK(AC1280)), E1280, "")</f>
        <v>R900172405</v>
      </c>
      <c r="AF1280" s="36">
        <v>49</v>
      </c>
      <c r="AG1280" s="120">
        <f>AF1280*H1280</f>
        <v>282.72999999999996</v>
      </c>
      <c r="AH1280" s="36"/>
      <c r="AI1280" s="124"/>
      <c r="AJ1280" s="122" t="s">
        <v>4486</v>
      </c>
      <c r="AK1280" s="129" t="str">
        <f ca="1">IF(AB1280="", IF(K1280 &lt; TODAY(), "Late", ""), IF(AB1280 &lt;= K1280 + 2, "On Time", "Late"))</f>
        <v>On Time</v>
      </c>
      <c r="AL1280" s="268" t="str">
        <f>TEXT(K1280,"mmmm")</f>
        <v>November</v>
      </c>
      <c r="AM1280" s="133">
        <f>YEAR(Table1[[#This Row],[ETA
As requested
dd.mm.yyyy]])</f>
        <v>2025</v>
      </c>
      <c r="AN1280" s="191"/>
    </row>
    <row r="1281" spans="1:40" hidden="1">
      <c r="A1281" s="123" t="s">
        <v>27</v>
      </c>
      <c r="B1281" s="36" t="s">
        <v>2464</v>
      </c>
      <c r="C1281" s="117">
        <v>5500533447</v>
      </c>
      <c r="D1281" s="165">
        <v>45924</v>
      </c>
      <c r="E1281" s="117" t="s">
        <v>53</v>
      </c>
      <c r="F1281" s="36" t="str">
        <f>IFERROR(VLOOKUP(Table1[[#This Row],[Part Number]],DATABASE_FG!$C$6:D11270,2,FALSE)," ")</f>
        <v>PLATE_4WRD_25_5X_</v>
      </c>
      <c r="G1281" s="117" t="str">
        <f>IFERROR(_xlfn.XLOOKUP(Table1[[#This Row],[Part Number]],Table3[Part number],Table3[Drawing
 Revision]),"")</f>
        <v>AA</v>
      </c>
      <c r="H1281" s="118" cm="1">
        <f t="array" ref="H1281">IFERROR(INDEX(PDB!$C:$AT,MATCH(E1281,PDB!$B:$B,0),MATCH(YEAR(K1281),0+PDB!$C$1:$AT$1,0)),"")</f>
        <v>5.77</v>
      </c>
      <c r="I1281" s="36">
        <f>420-49</f>
        <v>371</v>
      </c>
      <c r="J1281" s="125">
        <f>IFERROR(Table1[[#This Row],[Quantity]]*Table1[[#This Row],[Price/Unit
EUR]]," ")</f>
        <v>2140.6699999999996</v>
      </c>
      <c r="K1281" s="126">
        <v>45971</v>
      </c>
      <c r="L1281" s="36">
        <f>WEEKNUM(Table1[[#This Row],[ETA
As requested
dd.mm.yyyy]])</f>
        <v>46</v>
      </c>
      <c r="M1281" s="36">
        <f>YEAR(Table1[[#This Row],[ETA
As requested
dd.mm.yyyy]])</f>
        <v>2025</v>
      </c>
      <c r="N1281" s="36">
        <f>IFERROR(INDEX(DATABASE_FG!$H$5:$H$367, MATCH(E1281, DATABASE_FG!$C$5:$C$367, 0)), " ")</f>
        <v>0</v>
      </c>
      <c r="O1281" s="129" t="str">
        <f>IF(E1281&lt;&gt;"", _xlfn.XLOOKUP(E1281, DATABASE_FG!C:C, DATABASE_FG!F:F), " ")</f>
        <v>PLATE</v>
      </c>
      <c r="P1281" s="129">
        <f>IFERROR(INDEX(DATABASE_FG!$G$5:$G$367, MATCH(E1281, DATABASE_FG!$C$5:$C$367, 0)), "Not Found")</f>
        <v>528</v>
      </c>
      <c r="Q1281" s="36"/>
      <c r="R1281" s="125" t="s">
        <v>678</v>
      </c>
      <c r="S1281" s="123">
        <f>Table1[[#This Row],[Quantity]]/48</f>
        <v>7.729166666666667</v>
      </c>
      <c r="T1281" s="36"/>
      <c r="U1281" s="36"/>
      <c r="V1281" s="36"/>
      <c r="W1281" s="129"/>
      <c r="X1281" s="36"/>
      <c r="Y1281" s="36"/>
      <c r="Z1281" s="36"/>
      <c r="AA1281" s="125" t="s">
        <v>3</v>
      </c>
      <c r="AB1281" s="173"/>
      <c r="AC1281" s="119"/>
      <c r="AD1281" s="36" t="str">
        <f t="shared" si="143"/>
        <v/>
      </c>
      <c r="AE1281" s="36" t="str">
        <f t="shared" si="144"/>
        <v/>
      </c>
      <c r="AF1281" s="36"/>
      <c r="AG1281" s="120">
        <f t="shared" si="142"/>
        <v>0</v>
      </c>
      <c r="AH1281" s="36"/>
      <c r="AI1281" s="124"/>
      <c r="AJ1281" s="122"/>
      <c r="AK1281" s="129" t="str">
        <f t="shared" ca="1" si="140"/>
        <v/>
      </c>
      <c r="AL1281" s="268" t="str">
        <f t="shared" si="141"/>
        <v>November</v>
      </c>
      <c r="AM1281" s="133">
        <f>YEAR(Table1[[#This Row],[ETA
As requested
dd.mm.yyyy]])</f>
        <v>2025</v>
      </c>
      <c r="AN1281" s="191"/>
    </row>
    <row r="1282" spans="1:40" hidden="1">
      <c r="A1282" s="123" t="s">
        <v>27</v>
      </c>
      <c r="B1282" s="36" t="s">
        <v>2464</v>
      </c>
      <c r="C1282" s="117">
        <v>5500533447</v>
      </c>
      <c r="D1282" s="165">
        <v>45924</v>
      </c>
      <c r="E1282" s="117" t="s">
        <v>53</v>
      </c>
      <c r="F1282" s="36" t="str">
        <f>IFERROR(VLOOKUP(Table1[[#This Row],[Part Number]],DATABASE_FG!$C$6:D11271,2,FALSE)," ")</f>
        <v>PLATE_4WRD_25_5X_</v>
      </c>
      <c r="G1282" s="117" t="str">
        <f>IFERROR(_xlfn.XLOOKUP(Table1[[#This Row],[Part Number]],Table3[Part number],Table3[Drawing
 Revision]),"")</f>
        <v>AA</v>
      </c>
      <c r="H1282" s="118" cm="1">
        <f t="array" ref="H1282">IFERROR(INDEX(PDB!$C:$AT,MATCH(E1282,PDB!$B:$B,0),MATCH(YEAR(K1282),0+PDB!$C$1:$AT$1,0)),"")</f>
        <v>5.77</v>
      </c>
      <c r="I1282" s="36">
        <v>528</v>
      </c>
      <c r="J1282" s="125">
        <f>IFERROR(Table1[[#This Row],[Quantity]]*Table1[[#This Row],[Price/Unit
EUR]]," ")</f>
        <v>3046.56</v>
      </c>
      <c r="K1282" s="126">
        <v>45978</v>
      </c>
      <c r="L1282" s="36">
        <f>WEEKNUM(Table1[[#This Row],[ETA
As requested
dd.mm.yyyy]])</f>
        <v>47</v>
      </c>
      <c r="M1282" s="36">
        <f>YEAR(Table1[[#This Row],[ETA
As requested
dd.mm.yyyy]])</f>
        <v>2025</v>
      </c>
      <c r="N1282" s="36">
        <f>IFERROR(INDEX(DATABASE_FG!$H$5:$H$367, MATCH(E1282, DATABASE_FG!$C$5:$C$367, 0)), " ")</f>
        <v>0</v>
      </c>
      <c r="O1282" s="129" t="str">
        <f>IF(E1282&lt;&gt;"", _xlfn.XLOOKUP(E1282, DATABASE_FG!C:C, DATABASE_FG!F:F), " ")</f>
        <v>PLATE</v>
      </c>
      <c r="P1282" s="129">
        <f>IFERROR(INDEX(DATABASE_FG!$G$5:$G$367, MATCH(E1282, DATABASE_FG!$C$5:$C$367, 0)), "Not Found")</f>
        <v>528</v>
      </c>
      <c r="Q1282" s="36"/>
      <c r="R1282" s="125" t="s">
        <v>678</v>
      </c>
      <c r="S1282" s="123">
        <f>IFERROR(INDEX(DATABASE_FG!$L$5:$L$367, MATCH(E1282, DATABASE_FG!$C$5:$C$367, 0)), " ")</f>
        <v>56</v>
      </c>
      <c r="T1282" s="36" t="s">
        <v>677</v>
      </c>
      <c r="U1282" s="36"/>
      <c r="V1282" s="36"/>
      <c r="W1282" s="129"/>
      <c r="X1282" s="36"/>
      <c r="Y1282" s="36"/>
      <c r="Z1282" s="36"/>
      <c r="AA1282" s="125" t="s">
        <v>3</v>
      </c>
      <c r="AB1282" s="173"/>
      <c r="AC1282" s="119"/>
      <c r="AD1282" s="36" t="str">
        <f t="shared" si="143"/>
        <v/>
      </c>
      <c r="AE1282" s="36" t="str">
        <f t="shared" si="144"/>
        <v/>
      </c>
      <c r="AF1282" s="36"/>
      <c r="AG1282" s="120">
        <f t="shared" si="142"/>
        <v>0</v>
      </c>
      <c r="AH1282" s="36"/>
      <c r="AI1282" s="124"/>
      <c r="AJ1282" s="122"/>
      <c r="AK1282" s="129" t="str">
        <f t="shared" ca="1" si="140"/>
        <v/>
      </c>
      <c r="AL1282" s="268" t="str">
        <f t="shared" si="141"/>
        <v>November</v>
      </c>
      <c r="AM1282" s="133">
        <f>YEAR(Table1[[#This Row],[ETA
As requested
dd.mm.yyyy]])</f>
        <v>2025</v>
      </c>
    </row>
    <row r="1283" spans="1:40" hidden="1">
      <c r="A1283" s="123" t="s">
        <v>27</v>
      </c>
      <c r="B1283" s="36" t="s">
        <v>2464</v>
      </c>
      <c r="C1283" s="117">
        <v>5500533447</v>
      </c>
      <c r="D1283" s="165">
        <v>45924</v>
      </c>
      <c r="E1283" s="117" t="s">
        <v>53</v>
      </c>
      <c r="F1283" s="36" t="str">
        <f>IFERROR(VLOOKUP(Table1[[#This Row],[Part Number]],DATABASE_FG!$C$6:D11272,2,FALSE)," ")</f>
        <v>PLATE_4WRD_25_5X_</v>
      </c>
      <c r="G1283" s="117" t="str">
        <f>IFERROR(_xlfn.XLOOKUP(Table1[[#This Row],[Part Number]],Table3[Part number],Table3[Drawing
 Revision]),"")</f>
        <v>AA</v>
      </c>
      <c r="H1283" s="118" cm="1">
        <f t="array" ref="H1283">IFERROR(INDEX(PDB!$C:$AT,MATCH(E1283,PDB!$B:$B,0),MATCH(YEAR(K1283),0+PDB!$C$1:$AT$1,0)),"")</f>
        <v>5.77</v>
      </c>
      <c r="I1283" s="36">
        <v>528</v>
      </c>
      <c r="J1283" s="125">
        <f>IFERROR(Table1[[#This Row],[Quantity]]*Table1[[#This Row],[Price/Unit
EUR]]," ")</f>
        <v>3046.56</v>
      </c>
      <c r="K1283" s="126">
        <v>46002</v>
      </c>
      <c r="L1283" s="36">
        <f>WEEKNUM(Table1[[#This Row],[ETA
As requested
dd.mm.yyyy]])</f>
        <v>50</v>
      </c>
      <c r="M1283" s="36">
        <f>YEAR(Table1[[#This Row],[ETA
As requested
dd.mm.yyyy]])</f>
        <v>2025</v>
      </c>
      <c r="N1283" s="36">
        <f>IFERROR(INDEX(DATABASE_FG!$H$5:$H$367, MATCH(E1283, DATABASE_FG!$C$5:$C$367, 0)), " ")</f>
        <v>0</v>
      </c>
      <c r="O1283" s="129" t="str">
        <f>IF(E1283&lt;&gt;"", _xlfn.XLOOKUP(E1283, DATABASE_FG!C:C, DATABASE_FG!F:F), " ")</f>
        <v>PLATE</v>
      </c>
      <c r="P1283" s="129">
        <f>IFERROR(INDEX(DATABASE_FG!$G$5:$G$367, MATCH(E1283, DATABASE_FG!$C$5:$C$367, 0)), "Not Found")</f>
        <v>528</v>
      </c>
      <c r="Q1283" s="36"/>
      <c r="R1283" s="125" t="s">
        <v>678</v>
      </c>
      <c r="S1283" s="123">
        <f>IFERROR(INDEX(DATABASE_FG!$L$5:$L$367, MATCH(E1283, DATABASE_FG!$C$5:$C$367, 0)), " ")</f>
        <v>56</v>
      </c>
      <c r="T1283" s="36" t="s">
        <v>677</v>
      </c>
      <c r="U1283" s="36"/>
      <c r="V1283" s="36"/>
      <c r="W1283" s="129"/>
      <c r="X1283" s="36"/>
      <c r="Y1283" s="36"/>
      <c r="Z1283" s="36"/>
      <c r="AA1283" s="125" t="s">
        <v>3</v>
      </c>
      <c r="AB1283" s="173"/>
      <c r="AC1283" s="119"/>
      <c r="AD1283" s="36" t="str">
        <f t="shared" si="143"/>
        <v/>
      </c>
      <c r="AE1283" s="36" t="str">
        <f t="shared" si="144"/>
        <v/>
      </c>
      <c r="AF1283" s="36"/>
      <c r="AG1283" s="120">
        <f t="shared" si="142"/>
        <v>0</v>
      </c>
      <c r="AH1283" s="36"/>
      <c r="AI1283" s="124"/>
      <c r="AJ1283" s="122"/>
      <c r="AK1283" s="129" t="str">
        <f t="shared" ca="1" si="140"/>
        <v/>
      </c>
      <c r="AL1283" s="268" t="str">
        <f t="shared" si="141"/>
        <v>December</v>
      </c>
      <c r="AM1283" s="133">
        <f>YEAR(Table1[[#This Row],[ETA
As requested
dd.mm.yyyy]])</f>
        <v>2025</v>
      </c>
      <c r="AN1283" s="76"/>
    </row>
    <row r="1284" spans="1:40" hidden="1">
      <c r="A1284" s="123" t="s">
        <v>27</v>
      </c>
      <c r="B1284" s="36" t="s">
        <v>2464</v>
      </c>
      <c r="C1284" s="117">
        <v>5500533447</v>
      </c>
      <c r="D1284" s="165">
        <v>45924</v>
      </c>
      <c r="E1284" s="117" t="s">
        <v>53</v>
      </c>
      <c r="F1284" s="36" t="str">
        <f>IFERROR(VLOOKUP(Table1[[#This Row],[Part Number]],DATABASE_FG!$C$6:D11273,2,FALSE)," ")</f>
        <v>PLATE_4WRD_25_5X_</v>
      </c>
      <c r="G1284" s="117" t="str">
        <f>IFERROR(_xlfn.XLOOKUP(Table1[[#This Row],[Part Number]],Table3[Part number],Table3[Drawing
 Revision]),"")</f>
        <v>AA</v>
      </c>
      <c r="H1284" s="118" cm="1">
        <f t="array" ref="H1284">IFERROR(INDEX(PDB!$C:$AT,MATCH(E1284,PDB!$B:$B,0),MATCH(YEAR(K1284),0+PDB!$C$1:$AT$1,0)),"")</f>
        <v>0</v>
      </c>
      <c r="I1284" s="36">
        <v>528</v>
      </c>
      <c r="J1284" s="125">
        <f>IFERROR(Table1[[#This Row],[Quantity]]*Table1[[#This Row],[Price/Unit
EUR]]," ")</f>
        <v>0</v>
      </c>
      <c r="K1284" s="126">
        <v>46045</v>
      </c>
      <c r="L1284" s="36">
        <f>WEEKNUM(Table1[[#This Row],[ETA
As requested
dd.mm.yyyy]])</f>
        <v>4</v>
      </c>
      <c r="M1284" s="36">
        <f>YEAR(Table1[[#This Row],[ETA
As requested
dd.mm.yyyy]])</f>
        <v>2026</v>
      </c>
      <c r="N1284" s="36">
        <f>IFERROR(INDEX(DATABASE_FG!$H$5:$H$367, MATCH(E1284, DATABASE_FG!$C$5:$C$367, 0)), " ")</f>
        <v>0</v>
      </c>
      <c r="O1284" s="129" t="str">
        <f>IF(E1284&lt;&gt;"", _xlfn.XLOOKUP(E1284, DATABASE_FG!C:C, DATABASE_FG!F:F), " ")</f>
        <v>PLATE</v>
      </c>
      <c r="P1284" s="129">
        <f>IFERROR(INDEX(DATABASE_FG!$G$5:$G$367, MATCH(E1284, DATABASE_FG!$C$5:$C$367, 0)), "Not Found")</f>
        <v>528</v>
      </c>
      <c r="Q1284" s="36"/>
      <c r="R1284" s="125" t="s">
        <v>678</v>
      </c>
      <c r="S1284" s="123">
        <f>IFERROR(INDEX(DATABASE_FG!$L$5:$L$367, MATCH(E1284, DATABASE_FG!$C$5:$C$367, 0)), " ")</f>
        <v>56</v>
      </c>
      <c r="T1284" s="36" t="s">
        <v>677</v>
      </c>
      <c r="U1284" s="36"/>
      <c r="V1284" s="36"/>
      <c r="W1284" s="129"/>
      <c r="X1284" s="36"/>
      <c r="Y1284" s="36"/>
      <c r="Z1284" s="36"/>
      <c r="AA1284" s="125" t="s">
        <v>3</v>
      </c>
      <c r="AB1284" s="173"/>
      <c r="AC1284" s="119"/>
      <c r="AD1284" s="36" t="str">
        <f t="shared" si="143"/>
        <v/>
      </c>
      <c r="AE1284" s="36" t="str">
        <f t="shared" si="144"/>
        <v/>
      </c>
      <c r="AF1284" s="36"/>
      <c r="AG1284" s="120">
        <f t="shared" si="142"/>
        <v>0</v>
      </c>
      <c r="AH1284" s="36"/>
      <c r="AI1284" s="124"/>
      <c r="AJ1284" s="122"/>
      <c r="AK1284" s="129" t="str">
        <f t="shared" ca="1" si="140"/>
        <v/>
      </c>
      <c r="AL1284" s="268" t="str">
        <f t="shared" ref="AL1284:AL1318" si="145">TEXT(K1284,"mmmm")</f>
        <v>January</v>
      </c>
      <c r="AM1284" s="133">
        <f>YEAR(Table1[[#This Row],[ETA
As requested
dd.mm.yyyy]])</f>
        <v>2026</v>
      </c>
      <c r="AN1284" s="76"/>
    </row>
    <row r="1285" spans="1:40" hidden="1">
      <c r="A1285" s="123" t="s">
        <v>27</v>
      </c>
      <c r="B1285" s="36" t="s">
        <v>2464</v>
      </c>
      <c r="C1285" s="117">
        <v>5500533447</v>
      </c>
      <c r="D1285" s="165">
        <v>45924</v>
      </c>
      <c r="E1285" s="117" t="s">
        <v>53</v>
      </c>
      <c r="F1285" s="36" t="str">
        <f>IFERROR(VLOOKUP(Table1[[#This Row],[Part Number]],DATABASE_FG!$C$6:D11274,2,FALSE)," ")</f>
        <v>PLATE_4WRD_25_5X_</v>
      </c>
      <c r="G1285" s="117" t="str">
        <f>IFERROR(_xlfn.XLOOKUP(Table1[[#This Row],[Part Number]],Table3[Part number],Table3[Drawing
 Revision]),"")</f>
        <v>AA</v>
      </c>
      <c r="H1285" s="118" cm="1">
        <f t="array" ref="H1285">IFERROR(INDEX(PDB!$C:$AT,MATCH(E1285,PDB!$B:$B,0),MATCH(YEAR(K1285),0+PDB!$C$1:$AT$1,0)),"")</f>
        <v>0</v>
      </c>
      <c r="I1285" s="36">
        <v>528</v>
      </c>
      <c r="J1285" s="125">
        <f>IFERROR(Table1[[#This Row],[Quantity]]*Table1[[#This Row],[Price/Unit
EUR]]," ")</f>
        <v>0</v>
      </c>
      <c r="K1285" s="126">
        <v>46077</v>
      </c>
      <c r="L1285" s="36">
        <f>WEEKNUM(Table1[[#This Row],[ETA
As requested
dd.mm.yyyy]])</f>
        <v>9</v>
      </c>
      <c r="M1285" s="36">
        <f>YEAR(Table1[[#This Row],[ETA
As requested
dd.mm.yyyy]])</f>
        <v>2026</v>
      </c>
      <c r="N1285" s="36">
        <f>IFERROR(INDEX(DATABASE_FG!$H$5:$H$367, MATCH(E1285, DATABASE_FG!$C$5:$C$367, 0)), " ")</f>
        <v>0</v>
      </c>
      <c r="O1285" s="129" t="str">
        <f>IF(E1285&lt;&gt;"", _xlfn.XLOOKUP(E1285, DATABASE_FG!C:C, DATABASE_FG!F:F), " ")</f>
        <v>PLATE</v>
      </c>
      <c r="P1285" s="129">
        <f>IFERROR(INDEX(DATABASE_FG!$G$5:$G$367, MATCH(E1285, DATABASE_FG!$C$5:$C$367, 0)), "Not Found")</f>
        <v>528</v>
      </c>
      <c r="Q1285" s="36"/>
      <c r="R1285" s="125" t="s">
        <v>678</v>
      </c>
      <c r="S1285" s="123">
        <f>IFERROR(INDEX(DATABASE_FG!$L$5:$L$367, MATCH(E1285, DATABASE_FG!$C$5:$C$367, 0)), " ")</f>
        <v>56</v>
      </c>
      <c r="T1285" s="36" t="s">
        <v>677</v>
      </c>
      <c r="U1285" s="36"/>
      <c r="V1285" s="36"/>
      <c r="W1285" s="129"/>
      <c r="X1285" s="36"/>
      <c r="Y1285" s="36"/>
      <c r="Z1285" s="36"/>
      <c r="AA1285" s="125" t="s">
        <v>3</v>
      </c>
      <c r="AB1285" s="173"/>
      <c r="AC1285" s="119"/>
      <c r="AD1285" s="36" t="str">
        <f t="shared" si="143"/>
        <v/>
      </c>
      <c r="AE1285" s="36" t="str">
        <f t="shared" si="144"/>
        <v/>
      </c>
      <c r="AF1285" s="36"/>
      <c r="AG1285" s="120">
        <f t="shared" si="142"/>
        <v>0</v>
      </c>
      <c r="AH1285" s="36"/>
      <c r="AI1285" s="124"/>
      <c r="AJ1285" s="122"/>
      <c r="AK1285" s="129" t="str">
        <f t="shared" ca="1" si="140"/>
        <v/>
      </c>
      <c r="AL1285" s="268" t="str">
        <f t="shared" si="145"/>
        <v>February</v>
      </c>
      <c r="AM1285" s="133">
        <f>YEAR(Table1[[#This Row],[ETA
As requested
dd.mm.yyyy]])</f>
        <v>2026</v>
      </c>
    </row>
    <row r="1286" spans="1:40" hidden="1">
      <c r="A1286" s="123" t="s">
        <v>27</v>
      </c>
      <c r="B1286" s="36" t="s">
        <v>2464</v>
      </c>
      <c r="C1286" s="117">
        <v>5500533447</v>
      </c>
      <c r="D1286" s="165">
        <v>45924</v>
      </c>
      <c r="E1286" s="117" t="s">
        <v>53</v>
      </c>
      <c r="F1286" s="36" t="str">
        <f>IFERROR(VLOOKUP(Table1[[#This Row],[Part Number]],DATABASE_FG!$C$6:D11275,2,FALSE)," ")</f>
        <v>PLATE_4WRD_25_5X_</v>
      </c>
      <c r="G1286" s="117" t="str">
        <f>IFERROR(_xlfn.XLOOKUP(Table1[[#This Row],[Part Number]],Table3[Part number],Table3[Drawing
 Revision]),"")</f>
        <v>AA</v>
      </c>
      <c r="H1286" s="118" cm="1">
        <f t="array" ref="H1286">IFERROR(INDEX(PDB!$C:$AT,MATCH(E1286,PDB!$B:$B,0),MATCH(YEAR(K1286),0+PDB!$C$1:$AT$1,0)),"")</f>
        <v>0</v>
      </c>
      <c r="I1286" s="36">
        <v>528</v>
      </c>
      <c r="J1286" s="125">
        <f>IFERROR(Table1[[#This Row],[Quantity]]*Table1[[#This Row],[Price/Unit
EUR]]," ")</f>
        <v>0</v>
      </c>
      <c r="K1286" s="126">
        <v>46100</v>
      </c>
      <c r="L1286" s="36">
        <f>WEEKNUM(Table1[[#This Row],[ETA
As requested
dd.mm.yyyy]])</f>
        <v>12</v>
      </c>
      <c r="M1286" s="36">
        <f>YEAR(Table1[[#This Row],[ETA
As requested
dd.mm.yyyy]])</f>
        <v>2026</v>
      </c>
      <c r="N1286" s="36">
        <f>IFERROR(INDEX(DATABASE_FG!$H$5:$H$367, MATCH(E1286, DATABASE_FG!$C$5:$C$367, 0)), " ")</f>
        <v>0</v>
      </c>
      <c r="O1286" s="129" t="str">
        <f>IF(E1286&lt;&gt;"", _xlfn.XLOOKUP(E1286, DATABASE_FG!C:C, DATABASE_FG!F:F), " ")</f>
        <v>PLATE</v>
      </c>
      <c r="P1286" s="129">
        <f>IFERROR(INDEX(DATABASE_FG!$G$5:$G$367, MATCH(E1286, DATABASE_FG!$C$5:$C$367, 0)), "Not Found")</f>
        <v>528</v>
      </c>
      <c r="Q1286" s="36"/>
      <c r="R1286" s="125" t="s">
        <v>678</v>
      </c>
      <c r="S1286" s="123">
        <f>IFERROR(INDEX(DATABASE_FG!$L$5:$L$367, MATCH(E1286, DATABASE_FG!$C$5:$C$367, 0)), " ")</f>
        <v>56</v>
      </c>
      <c r="T1286" s="36" t="s">
        <v>677</v>
      </c>
      <c r="U1286" s="36"/>
      <c r="V1286" s="36"/>
      <c r="W1286" s="129"/>
      <c r="X1286" s="36"/>
      <c r="Y1286" s="36"/>
      <c r="Z1286" s="36"/>
      <c r="AA1286" s="125" t="s">
        <v>3</v>
      </c>
      <c r="AB1286" s="173"/>
      <c r="AC1286" s="119"/>
      <c r="AD1286" s="36" t="str">
        <f t="shared" si="143"/>
        <v/>
      </c>
      <c r="AE1286" s="36" t="str">
        <f t="shared" si="144"/>
        <v/>
      </c>
      <c r="AF1286" s="36"/>
      <c r="AG1286" s="120">
        <f t="shared" si="142"/>
        <v>0</v>
      </c>
      <c r="AH1286" s="36"/>
      <c r="AI1286" s="124"/>
      <c r="AJ1286" s="122"/>
      <c r="AK1286" s="129" t="str">
        <f t="shared" ca="1" si="140"/>
        <v/>
      </c>
      <c r="AL1286" s="268" t="str">
        <f t="shared" si="145"/>
        <v>March</v>
      </c>
      <c r="AM1286" s="133">
        <f>YEAR(Table1[[#This Row],[ETA
As requested
dd.mm.yyyy]])</f>
        <v>2026</v>
      </c>
    </row>
    <row r="1287" spans="1:40" hidden="1">
      <c r="A1287" s="123" t="s">
        <v>27</v>
      </c>
      <c r="B1287" s="36" t="s">
        <v>2464</v>
      </c>
      <c r="C1287" s="117">
        <v>5500533447</v>
      </c>
      <c r="D1287" s="165">
        <v>45924</v>
      </c>
      <c r="E1287" s="117" t="s">
        <v>53</v>
      </c>
      <c r="F1287" s="36" t="str">
        <f>IFERROR(VLOOKUP(Table1[[#This Row],[Part Number]],DATABASE_FG!$C$6:D11276,2,FALSE)," ")</f>
        <v>PLATE_4WRD_25_5X_</v>
      </c>
      <c r="G1287" s="117" t="str">
        <f>IFERROR(_xlfn.XLOOKUP(Table1[[#This Row],[Part Number]],Table3[Part number],Table3[Drawing
 Revision]),"")</f>
        <v>AA</v>
      </c>
      <c r="H1287" s="118" cm="1">
        <f t="array" ref="H1287">IFERROR(INDEX(PDB!$C:$AT,MATCH(E1287,PDB!$B:$B,0),MATCH(YEAR(K1287),0+PDB!$C$1:$AT$1,0)),"")</f>
        <v>0</v>
      </c>
      <c r="I1287" s="36">
        <v>528</v>
      </c>
      <c r="J1287" s="125">
        <f>IFERROR(Table1[[#This Row],[Quantity]]*Table1[[#This Row],[Price/Unit
EUR]]," ")</f>
        <v>0</v>
      </c>
      <c r="K1287" s="126">
        <v>46141</v>
      </c>
      <c r="L1287" s="36">
        <f>WEEKNUM(Table1[[#This Row],[ETA
As requested
dd.mm.yyyy]])</f>
        <v>18</v>
      </c>
      <c r="M1287" s="36">
        <f>YEAR(Table1[[#This Row],[ETA
As requested
dd.mm.yyyy]])</f>
        <v>2026</v>
      </c>
      <c r="N1287" s="36">
        <f>IFERROR(INDEX(DATABASE_FG!$H$5:$H$367, MATCH(E1287, DATABASE_FG!$C$5:$C$367, 0)), " ")</f>
        <v>0</v>
      </c>
      <c r="O1287" s="129" t="str">
        <f>IF(E1287&lt;&gt;"", _xlfn.XLOOKUP(E1287, DATABASE_FG!C:C, DATABASE_FG!F:F), " ")</f>
        <v>PLATE</v>
      </c>
      <c r="P1287" s="129">
        <f>IFERROR(INDEX(DATABASE_FG!$G$5:$G$367, MATCH(E1287, DATABASE_FG!$C$5:$C$367, 0)), "Not Found")</f>
        <v>528</v>
      </c>
      <c r="Q1287" s="36"/>
      <c r="R1287" s="125" t="s">
        <v>678</v>
      </c>
      <c r="S1287" s="123">
        <f>IFERROR(INDEX(DATABASE_FG!$L$5:$L$367, MATCH(E1287, DATABASE_FG!$C$5:$C$367, 0)), " ")</f>
        <v>56</v>
      </c>
      <c r="T1287" s="36" t="s">
        <v>677</v>
      </c>
      <c r="U1287" s="36"/>
      <c r="V1287" s="36"/>
      <c r="W1287" s="129"/>
      <c r="X1287" s="36"/>
      <c r="Y1287" s="36"/>
      <c r="Z1287" s="36"/>
      <c r="AA1287" s="125" t="s">
        <v>3</v>
      </c>
      <c r="AB1287" s="173"/>
      <c r="AC1287" s="119"/>
      <c r="AD1287" s="36" t="str">
        <f t="shared" si="143"/>
        <v/>
      </c>
      <c r="AE1287" s="36" t="str">
        <f t="shared" si="144"/>
        <v/>
      </c>
      <c r="AF1287" s="36"/>
      <c r="AG1287" s="120">
        <f t="shared" si="142"/>
        <v>0</v>
      </c>
      <c r="AH1287" s="36"/>
      <c r="AI1287" s="124"/>
      <c r="AJ1287" s="122"/>
      <c r="AK1287" s="129" t="str">
        <f t="shared" ca="1" si="140"/>
        <v/>
      </c>
      <c r="AL1287" s="268" t="str">
        <f t="shared" si="145"/>
        <v>April</v>
      </c>
      <c r="AM1287" s="133">
        <f>YEAR(Table1[[#This Row],[ETA
As requested
dd.mm.yyyy]])</f>
        <v>2026</v>
      </c>
    </row>
    <row r="1288" spans="1:40" hidden="1">
      <c r="A1288" s="123" t="s">
        <v>27</v>
      </c>
      <c r="B1288" s="36" t="s">
        <v>2464</v>
      </c>
      <c r="C1288" s="117">
        <v>5500533447</v>
      </c>
      <c r="D1288" s="165">
        <v>45924</v>
      </c>
      <c r="E1288" s="117" t="s">
        <v>53</v>
      </c>
      <c r="F1288" s="36" t="str">
        <f>IFERROR(VLOOKUP(Table1[[#This Row],[Part Number]],DATABASE_FG!$C$6:D11277,2,FALSE)," ")</f>
        <v>PLATE_4WRD_25_5X_</v>
      </c>
      <c r="G1288" s="117" t="str">
        <f>IFERROR(_xlfn.XLOOKUP(Table1[[#This Row],[Part Number]],Table3[Part number],Table3[Drawing
 Revision]),"")</f>
        <v>AA</v>
      </c>
      <c r="H1288" s="118" cm="1">
        <f t="array" ref="H1288">IFERROR(INDEX(PDB!$C:$AT,MATCH(E1288,PDB!$B:$B,0),MATCH(YEAR(K1288),0+PDB!$C$1:$AT$1,0)),"")</f>
        <v>0</v>
      </c>
      <c r="I1288" s="36">
        <v>528</v>
      </c>
      <c r="J1288" s="125">
        <f>IFERROR(Table1[[#This Row],[Quantity]]*Table1[[#This Row],[Price/Unit
EUR]]," ")</f>
        <v>0</v>
      </c>
      <c r="K1288" s="126">
        <v>46216</v>
      </c>
      <c r="L1288" s="36">
        <f>WEEKNUM(Table1[[#This Row],[ETA
As requested
dd.mm.yyyy]])</f>
        <v>29</v>
      </c>
      <c r="M1288" s="36">
        <f>YEAR(Table1[[#This Row],[ETA
As requested
dd.mm.yyyy]])</f>
        <v>2026</v>
      </c>
      <c r="N1288" s="36">
        <f>IFERROR(INDEX(DATABASE_FG!$H$5:$H$367, MATCH(E1288, DATABASE_FG!$C$5:$C$367, 0)), " ")</f>
        <v>0</v>
      </c>
      <c r="O1288" s="129" t="str">
        <f>IF(E1288&lt;&gt;"", _xlfn.XLOOKUP(E1288, DATABASE_FG!C:C, DATABASE_FG!F:F), " ")</f>
        <v>PLATE</v>
      </c>
      <c r="P1288" s="129">
        <f>IFERROR(INDEX(DATABASE_FG!$G$5:$G$367, MATCH(E1288, DATABASE_FG!$C$5:$C$367, 0)), "Not Found")</f>
        <v>528</v>
      </c>
      <c r="Q1288" s="36"/>
      <c r="R1288" s="125" t="s">
        <v>678</v>
      </c>
      <c r="S1288" s="123">
        <f>IFERROR(INDEX(DATABASE_FG!$L$5:$L$367, MATCH(E1288, DATABASE_FG!$C$5:$C$367, 0)), " ")</f>
        <v>56</v>
      </c>
      <c r="T1288" s="36" t="s">
        <v>677</v>
      </c>
      <c r="U1288" s="36"/>
      <c r="V1288" s="36"/>
      <c r="W1288" s="129"/>
      <c r="X1288" s="36"/>
      <c r="Y1288" s="36"/>
      <c r="Z1288" s="36"/>
      <c r="AA1288" s="125" t="s">
        <v>3</v>
      </c>
      <c r="AB1288" s="173"/>
      <c r="AC1288" s="119"/>
      <c r="AD1288" s="36" t="str">
        <f t="shared" si="143"/>
        <v/>
      </c>
      <c r="AE1288" s="36" t="str">
        <f t="shared" si="144"/>
        <v/>
      </c>
      <c r="AF1288" s="36"/>
      <c r="AG1288" s="120">
        <f t="shared" si="142"/>
        <v>0</v>
      </c>
      <c r="AH1288" s="36"/>
      <c r="AI1288" s="124"/>
      <c r="AJ1288" s="122"/>
      <c r="AK1288" s="129" t="str">
        <f t="shared" ca="1" si="140"/>
        <v/>
      </c>
      <c r="AL1288" s="268" t="str">
        <f t="shared" si="145"/>
        <v>July</v>
      </c>
      <c r="AM1288" s="133">
        <f>YEAR(Table1[[#This Row],[ETA
As requested
dd.mm.yyyy]])</f>
        <v>2026</v>
      </c>
    </row>
    <row r="1289" spans="1:40" hidden="1">
      <c r="A1289" s="123" t="s">
        <v>27</v>
      </c>
      <c r="B1289" s="36" t="s">
        <v>2464</v>
      </c>
      <c r="C1289" s="117">
        <v>5500533447</v>
      </c>
      <c r="D1289" s="165">
        <v>45924</v>
      </c>
      <c r="E1289" s="117" t="s">
        <v>53</v>
      </c>
      <c r="F1289" s="36" t="str">
        <f>IFERROR(VLOOKUP(Table1[[#This Row],[Part Number]],DATABASE_FG!$C$6:D11278,2,FALSE)," ")</f>
        <v>PLATE_4WRD_25_5X_</v>
      </c>
      <c r="G1289" s="117" t="str">
        <f>IFERROR(_xlfn.XLOOKUP(Table1[[#This Row],[Part Number]],Table3[Part number],Table3[Drawing
 Revision]),"")</f>
        <v>AA</v>
      </c>
      <c r="H1289" s="118" cm="1">
        <f t="array" ref="H1289">IFERROR(INDEX(PDB!$C:$AT,MATCH(E1289,PDB!$B:$B,0),MATCH(YEAR(K1289),0+PDB!$C$1:$AT$1,0)),"")</f>
        <v>0</v>
      </c>
      <c r="I1289" s="36">
        <v>528</v>
      </c>
      <c r="J1289" s="125">
        <f>IFERROR(Table1[[#This Row],[Quantity]]*Table1[[#This Row],[Price/Unit
EUR]]," ")</f>
        <v>0</v>
      </c>
      <c r="K1289" s="126">
        <v>46286</v>
      </c>
      <c r="L1289" s="36">
        <f>WEEKNUM(Table1[[#This Row],[ETA
As requested
dd.mm.yyyy]])</f>
        <v>39</v>
      </c>
      <c r="M1289" s="36">
        <f>YEAR(Table1[[#This Row],[ETA
As requested
dd.mm.yyyy]])</f>
        <v>2026</v>
      </c>
      <c r="N1289" s="36">
        <f>IFERROR(INDEX(DATABASE_FG!$H$5:$H$367, MATCH(E1289, DATABASE_FG!$C$5:$C$367, 0)), " ")</f>
        <v>0</v>
      </c>
      <c r="O1289" s="129" t="str">
        <f>IF(E1289&lt;&gt;"", _xlfn.XLOOKUP(E1289, DATABASE_FG!C:C, DATABASE_FG!F:F), " ")</f>
        <v>PLATE</v>
      </c>
      <c r="P1289" s="129">
        <f>IFERROR(INDEX(DATABASE_FG!$G$5:$G$367, MATCH(E1289, DATABASE_FG!$C$5:$C$367, 0)), "Not Found")</f>
        <v>528</v>
      </c>
      <c r="Q1289" s="36"/>
      <c r="R1289" s="125" t="s">
        <v>678</v>
      </c>
      <c r="S1289" s="123">
        <f>IFERROR(INDEX(DATABASE_FG!$L$5:$L$367, MATCH(E1289, DATABASE_FG!$C$5:$C$367, 0)), " ")</f>
        <v>56</v>
      </c>
      <c r="T1289" s="36" t="s">
        <v>677</v>
      </c>
      <c r="U1289" s="36"/>
      <c r="V1289" s="36"/>
      <c r="W1289" s="129"/>
      <c r="X1289" s="36"/>
      <c r="Y1289" s="36"/>
      <c r="Z1289" s="36"/>
      <c r="AA1289" s="125" t="s">
        <v>3</v>
      </c>
      <c r="AB1289" s="173"/>
      <c r="AC1289" s="119"/>
      <c r="AD1289" s="36" t="str">
        <f t="shared" si="143"/>
        <v/>
      </c>
      <c r="AE1289" s="36" t="str">
        <f t="shared" si="144"/>
        <v/>
      </c>
      <c r="AF1289" s="36"/>
      <c r="AG1289" s="120">
        <f t="shared" si="142"/>
        <v>0</v>
      </c>
      <c r="AH1289" s="36"/>
      <c r="AI1289" s="124"/>
      <c r="AJ1289" s="122"/>
      <c r="AK1289" s="129" t="str">
        <f t="shared" ca="1" si="140"/>
        <v/>
      </c>
      <c r="AL1289" s="268" t="str">
        <f t="shared" si="145"/>
        <v>September</v>
      </c>
      <c r="AM1289" s="133">
        <f>YEAR(Table1[[#This Row],[ETA
As requested
dd.mm.yyyy]])</f>
        <v>2026</v>
      </c>
    </row>
    <row r="1290" spans="1:40" hidden="1">
      <c r="A1290" s="123" t="s">
        <v>27</v>
      </c>
      <c r="B1290" s="36" t="s">
        <v>2464</v>
      </c>
      <c r="C1290" s="117">
        <v>5500533447</v>
      </c>
      <c r="D1290" s="165">
        <v>45924</v>
      </c>
      <c r="E1290" s="117" t="s">
        <v>53</v>
      </c>
      <c r="F1290" s="36" t="str">
        <f>IFERROR(VLOOKUP(Table1[[#This Row],[Part Number]],DATABASE_FG!$C$6:D11279,2,FALSE)," ")</f>
        <v>PLATE_4WRD_25_5X_</v>
      </c>
      <c r="G1290" s="117" t="str">
        <f>IFERROR(_xlfn.XLOOKUP(Table1[[#This Row],[Part Number]],Table3[Part number],Table3[Drawing
 Revision]),"")</f>
        <v>AA</v>
      </c>
      <c r="H1290" s="118" cm="1">
        <f t="array" ref="H1290">IFERROR(INDEX(PDB!$C:$AT,MATCH(E1290,PDB!$B:$B,0),MATCH(YEAR(K1290),0+PDB!$C$1:$AT$1,0)),"")</f>
        <v>0</v>
      </c>
      <c r="I1290" s="36">
        <v>528</v>
      </c>
      <c r="J1290" s="125">
        <f>IFERROR(Table1[[#This Row],[Quantity]]*Table1[[#This Row],[Price/Unit
EUR]]," ")</f>
        <v>0</v>
      </c>
      <c r="K1290" s="126">
        <v>46356</v>
      </c>
      <c r="L1290" s="36">
        <f>WEEKNUM(Table1[[#This Row],[ETA
As requested
dd.mm.yyyy]])</f>
        <v>49</v>
      </c>
      <c r="M1290" s="36">
        <f>YEAR(Table1[[#This Row],[ETA
As requested
dd.mm.yyyy]])</f>
        <v>2026</v>
      </c>
      <c r="N1290" s="36">
        <f>IFERROR(INDEX(DATABASE_FG!$H$5:$H$367, MATCH(E1290, DATABASE_FG!$C$5:$C$367, 0)), " ")</f>
        <v>0</v>
      </c>
      <c r="O1290" s="129" t="s">
        <v>52</v>
      </c>
      <c r="P1290" s="129">
        <f>IFERROR(INDEX(DATABASE_FG!$G$5:$G$367, MATCH(E1290, DATABASE_FG!$C$5:$C$367, 0)), "Not Found")</f>
        <v>528</v>
      </c>
      <c r="Q1290" s="36"/>
      <c r="R1290" s="125" t="s">
        <v>678</v>
      </c>
      <c r="S1290" s="123" t="s">
        <v>3</v>
      </c>
      <c r="T1290" s="36"/>
      <c r="U1290" s="36"/>
      <c r="V1290" s="36" t="s">
        <v>2720</v>
      </c>
      <c r="W1290" s="129" t="s">
        <v>2720</v>
      </c>
      <c r="X1290" s="36"/>
      <c r="Y1290" s="36">
        <v>0</v>
      </c>
      <c r="Z1290" s="36"/>
      <c r="AA1290" s="125" t="s">
        <v>3</v>
      </c>
      <c r="AB1290" s="173"/>
      <c r="AC1290" s="119" t="s">
        <v>2720</v>
      </c>
      <c r="AD1290" s="36"/>
      <c r="AE1290" s="36"/>
      <c r="AF1290" s="36"/>
      <c r="AG1290" s="120">
        <f t="shared" si="142"/>
        <v>0</v>
      </c>
      <c r="AH1290" s="36"/>
      <c r="AI1290" s="124"/>
      <c r="AJ1290" s="122"/>
      <c r="AK1290" s="129"/>
      <c r="AL1290" s="268" t="str">
        <f t="shared" ref="AL1290:AL1292" si="146">TEXT(K1290,"mmmm")</f>
        <v>November</v>
      </c>
      <c r="AM1290" s="133">
        <f>YEAR(Table1[[#This Row],[ETA
As requested
dd.mm.yyyy]])</f>
        <v>2026</v>
      </c>
      <c r="AN1290" s="191"/>
    </row>
    <row r="1291" spans="1:40" hidden="1">
      <c r="A1291" s="123" t="s">
        <v>27</v>
      </c>
      <c r="B1291" s="36" t="s">
        <v>2464</v>
      </c>
      <c r="C1291" s="117">
        <v>5500533447</v>
      </c>
      <c r="D1291" s="165">
        <v>45924</v>
      </c>
      <c r="E1291" s="117" t="s">
        <v>53</v>
      </c>
      <c r="F1291" s="36" t="str">
        <f>IFERROR(VLOOKUP(Table1[[#This Row],[Part Number]],DATABASE_FG!$C$6:D11280,2,FALSE)," ")</f>
        <v>PLATE_4WRD_25_5X_</v>
      </c>
      <c r="G1291" s="117" t="str">
        <f>IFERROR(_xlfn.XLOOKUP(Table1[[#This Row],[Part Number]],Table3[Part number],Table3[Drawing
 Revision]),"")</f>
        <v>AA</v>
      </c>
      <c r="H1291" s="118" cm="1">
        <f t="array" ref="H1291">IFERROR(INDEX(PDB!$C:$AT,MATCH(E1291,PDB!$B:$B,0),MATCH(YEAR(K1291),0+PDB!$C$1:$AT$1,0)),"")</f>
        <v>0</v>
      </c>
      <c r="I1291" s="36">
        <v>528</v>
      </c>
      <c r="J1291" s="125">
        <f>IFERROR(Table1[[#This Row],[Quantity]]*Table1[[#This Row],[Price/Unit
EUR]]," ")</f>
        <v>0</v>
      </c>
      <c r="K1291" s="126">
        <v>46423</v>
      </c>
      <c r="L1291" s="36">
        <f>WEEKNUM(Table1[[#This Row],[ETA
As requested
dd.mm.yyyy]])</f>
        <v>6</v>
      </c>
      <c r="M1291" s="36">
        <f>YEAR(Table1[[#This Row],[ETA
As requested
dd.mm.yyyy]])</f>
        <v>2027</v>
      </c>
      <c r="N1291" s="36">
        <f>IFERROR(INDEX(DATABASE_FG!$H$5:$H$367, MATCH(E1291, DATABASE_FG!$C$5:$C$367, 0)), " ")</f>
        <v>0</v>
      </c>
      <c r="O1291" s="129" t="s">
        <v>52</v>
      </c>
      <c r="P1291" s="129">
        <f>IFERROR(INDEX(DATABASE_FG!$G$5:$G$367, MATCH(E1291, DATABASE_FG!$C$5:$C$367, 0)), "Not Found")</f>
        <v>528</v>
      </c>
      <c r="Q1291" s="36"/>
      <c r="R1291" s="125" t="s">
        <v>678</v>
      </c>
      <c r="S1291" s="123" t="s">
        <v>3</v>
      </c>
      <c r="T1291" s="36"/>
      <c r="U1291" s="36"/>
      <c r="V1291" s="36" t="s">
        <v>2720</v>
      </c>
      <c r="W1291" s="129" t="s">
        <v>2720</v>
      </c>
      <c r="X1291" s="36"/>
      <c r="Y1291" s="36">
        <v>0</v>
      </c>
      <c r="Z1291" s="36"/>
      <c r="AA1291" s="125" t="s">
        <v>3</v>
      </c>
      <c r="AB1291" s="173"/>
      <c r="AC1291" s="119" t="s">
        <v>2720</v>
      </c>
      <c r="AD1291" s="36"/>
      <c r="AE1291" s="36"/>
      <c r="AF1291" s="36"/>
      <c r="AG1291" s="120">
        <f t="shared" si="142"/>
        <v>0</v>
      </c>
      <c r="AH1291" s="36"/>
      <c r="AI1291" s="124"/>
      <c r="AJ1291" s="122"/>
      <c r="AK1291" s="129"/>
      <c r="AL1291" s="268" t="str">
        <f t="shared" ref="AL1291" si="147">TEXT(K1291,"mmmm")</f>
        <v>February</v>
      </c>
      <c r="AM1291" s="133">
        <f>YEAR(Table1[[#This Row],[ETA
As requested
dd.mm.yyyy]])</f>
        <v>2027</v>
      </c>
      <c r="AN1291" s="191"/>
    </row>
    <row r="1292" spans="1:40" hidden="1">
      <c r="A1292" s="123" t="s">
        <v>27</v>
      </c>
      <c r="B1292" s="36" t="s">
        <v>2464</v>
      </c>
      <c r="C1292" s="117">
        <v>5500533447</v>
      </c>
      <c r="D1292" s="165">
        <v>45924</v>
      </c>
      <c r="E1292" s="117" t="s">
        <v>53</v>
      </c>
      <c r="F1292" s="36" t="str">
        <f>IFERROR(VLOOKUP(Table1[[#This Row],[Part Number]],DATABASE_FG!$C$6:D11281,2,FALSE)," ")</f>
        <v>PLATE_4WRD_25_5X_</v>
      </c>
      <c r="G1292" s="117" t="str">
        <f>IFERROR(_xlfn.XLOOKUP(Table1[[#This Row],[Part Number]],Table3[Part number],Table3[Drawing
 Revision]),"")</f>
        <v>AA</v>
      </c>
      <c r="H1292" s="118" cm="1">
        <f t="array" ref="H1292">IFERROR(INDEX(PDB!$C:$AT,MATCH(E1292,PDB!$B:$B,0),MATCH(YEAR(K1292),0+PDB!$C$1:$AT$1,0)),"")</f>
        <v>0</v>
      </c>
      <c r="I1292" s="36">
        <v>528</v>
      </c>
      <c r="J1292" s="125">
        <f>IFERROR(Table1[[#This Row],[Quantity]]*Table1[[#This Row],[Price/Unit
EUR]]," ")</f>
        <v>0</v>
      </c>
      <c r="K1292" s="126">
        <v>46504</v>
      </c>
      <c r="L1292" s="36">
        <f>WEEKNUM(Table1[[#This Row],[ETA
As requested
dd.mm.yyyy]])</f>
        <v>18</v>
      </c>
      <c r="M1292" s="36">
        <f>YEAR(Table1[[#This Row],[ETA
As requested
dd.mm.yyyy]])</f>
        <v>2027</v>
      </c>
      <c r="N1292" s="36">
        <f>IFERROR(INDEX(DATABASE_FG!$H$5:$H$367, MATCH(E1292, DATABASE_FG!$C$5:$C$367, 0)), " ")</f>
        <v>0</v>
      </c>
      <c r="O1292" s="129" t="str">
        <f>IF(E1292&lt;&gt;"", _xlfn.XLOOKUP(E1292, DATABASE_FG!C:C, DATABASE_FG!F:F), " ")</f>
        <v>PLATE</v>
      </c>
      <c r="P1292" s="129">
        <f>IFERROR(INDEX(DATABASE_FG!$G$5:$G$367, MATCH(E1292, DATABASE_FG!$C$5:$C$367, 0)), "Not Found")</f>
        <v>528</v>
      </c>
      <c r="Q1292" s="36"/>
      <c r="R1292" s="125" t="s">
        <v>678</v>
      </c>
      <c r="S1292" s="123">
        <f>IFERROR(INDEX(DATABASE_FG!$L$5:$L$367, MATCH(E1292, DATABASE_FG!$C$5:$C$367, 0)), " ")</f>
        <v>56</v>
      </c>
      <c r="T1292" s="36" t="s">
        <v>677</v>
      </c>
      <c r="U1292" s="36"/>
      <c r="V1292" s="36"/>
      <c r="W1292" s="129"/>
      <c r="X1292" s="36"/>
      <c r="Y1292" s="36"/>
      <c r="Z1292" s="36"/>
      <c r="AA1292" s="125" t="s">
        <v>3</v>
      </c>
      <c r="AB1292" s="173"/>
      <c r="AC1292" s="119"/>
      <c r="AD1292" s="36" t="str">
        <f t="shared" si="143"/>
        <v/>
      </c>
      <c r="AE1292" s="36" t="str">
        <f t="shared" si="144"/>
        <v/>
      </c>
      <c r="AF1292" s="36"/>
      <c r="AG1292" s="120">
        <f t="shared" si="142"/>
        <v>0</v>
      </c>
      <c r="AH1292" s="36"/>
      <c r="AI1292" s="124"/>
      <c r="AJ1292" s="122"/>
      <c r="AK1292" s="129" t="str">
        <f t="shared" ca="1" si="140"/>
        <v/>
      </c>
      <c r="AL1292" s="268" t="str">
        <f t="shared" si="146"/>
        <v>April</v>
      </c>
      <c r="AM1292" s="133">
        <f>YEAR(Table1[[#This Row],[ETA
As requested
dd.mm.yyyy]])</f>
        <v>2027</v>
      </c>
      <c r="AN1292" s="191"/>
    </row>
    <row r="1293" spans="1:40" hidden="1">
      <c r="A1293" s="123" t="s">
        <v>27</v>
      </c>
      <c r="B1293" s="36" t="s">
        <v>1170</v>
      </c>
      <c r="C1293" s="117">
        <v>5500511014</v>
      </c>
      <c r="D1293" s="165">
        <v>45369</v>
      </c>
      <c r="E1293" s="117" t="s">
        <v>51</v>
      </c>
      <c r="F1293" s="36" t="str">
        <f>IFERROR(VLOOKUP(Table1[[#This Row],[Part Number]],DATABASE_FG!$C$6:D11282,2,FALSE)," ")</f>
        <v>HOUSING            DBD.8G13/</v>
      </c>
      <c r="G1293" s="117" t="str">
        <f>IFERROR(_xlfn.XLOOKUP(Table1[[#This Row],[Part Number]],Table3[Part number],Table3[Drawing
 Revision]),"")</f>
        <v>h</v>
      </c>
      <c r="H1293" s="118" cm="1">
        <f t="array" ref="H1293">IFERROR(INDEX(PDB!$C:$AT,MATCH(E1293,PDB!$B:$B,0),MATCH(YEAR(K1293),0+PDB!$C$1:$AT$1,0)),"")</f>
        <v>28.62</v>
      </c>
      <c r="I1293" s="36">
        <v>100</v>
      </c>
      <c r="J1293" s="125">
        <f>IFERROR(Table1[[#This Row],[Quantity]]*Table1[[#This Row],[Price/Unit
EUR]]," ")</f>
        <v>2862</v>
      </c>
      <c r="K1293" s="126">
        <v>45407</v>
      </c>
      <c r="L1293" s="36">
        <f>WEEKNUM(Table1[[#This Row],[ETA
As requested
dd.mm.yyyy]])</f>
        <v>17</v>
      </c>
      <c r="M1293" s="36">
        <f>YEAR(Table1[[#This Row],[ETA
As requested
dd.mm.yyyy]])</f>
        <v>2024</v>
      </c>
      <c r="N1293" s="36">
        <f>IFERROR(INDEX(DATABASE_FG!$H$5:$H$367, MATCH(E1293, DATABASE_FG!$C$5:$C$367, 0)), " ")</f>
        <v>27</v>
      </c>
      <c r="O1293" s="129" t="str">
        <f>IF(E1293&lt;&gt;"", _xlfn.XLOOKUP(E1293, DATABASE_FG!C:C, DATABASE_FG!F:F), " ")</f>
        <v>DBD.8</v>
      </c>
      <c r="P1293" s="129">
        <f>IFERROR(INDEX(DATABASE_FG!$G$5:$G$367, MATCH(E1293, DATABASE_FG!$C$5:$C$367, 0)), "Not Found")</f>
        <v>10</v>
      </c>
      <c r="Q1293" s="36">
        <v>60</v>
      </c>
      <c r="R1293" s="125" t="s">
        <v>678</v>
      </c>
      <c r="S1293" s="123">
        <f>IFERROR(INDEX(DATABASE_FG!$L$5:$L$367, MATCH(E1293, DATABASE_FG!$C$5:$C$367, 0)), " ")</f>
        <v>56</v>
      </c>
      <c r="T1293" s="36" t="s">
        <v>677</v>
      </c>
      <c r="U1293" s="36"/>
      <c r="V1293" s="36"/>
      <c r="W1293" s="129"/>
      <c r="X1293" s="36"/>
      <c r="Y1293" s="36"/>
      <c r="Z1293" s="36" t="s">
        <v>1404</v>
      </c>
      <c r="AA1293" s="125" t="s">
        <v>121</v>
      </c>
      <c r="AB1293" s="172">
        <v>45408</v>
      </c>
      <c r="AC1293" s="119">
        <v>2024411</v>
      </c>
      <c r="AD1293" s="36">
        <f t="shared" si="143"/>
        <v>5500511014</v>
      </c>
      <c r="AE1293" s="36" t="str">
        <f t="shared" si="144"/>
        <v>R900305223</v>
      </c>
      <c r="AF1293" s="36">
        <v>100</v>
      </c>
      <c r="AG1293" s="120">
        <f t="shared" si="142"/>
        <v>2862</v>
      </c>
      <c r="AH1293" s="36"/>
      <c r="AI1293" s="124"/>
      <c r="AJ1293" s="122" t="s">
        <v>1405</v>
      </c>
      <c r="AK1293" s="129" t="str">
        <f t="shared" ca="1" si="140"/>
        <v>On Time</v>
      </c>
      <c r="AL1293" s="268" t="str">
        <f t="shared" si="145"/>
        <v>April</v>
      </c>
      <c r="AM1293" s="133">
        <f>YEAR(Table1[[#This Row],[ETA
As requested
dd.mm.yyyy]])</f>
        <v>2024</v>
      </c>
    </row>
    <row r="1294" spans="1:40" hidden="1">
      <c r="A1294" s="123" t="s">
        <v>27</v>
      </c>
      <c r="B1294" s="36" t="s">
        <v>1170</v>
      </c>
      <c r="C1294" s="117">
        <v>5500511014</v>
      </c>
      <c r="D1294" s="165">
        <v>45446</v>
      </c>
      <c r="E1294" s="117" t="s">
        <v>51</v>
      </c>
      <c r="F1294" s="36" t="str">
        <f>IFERROR(VLOOKUP(Table1[[#This Row],[Part Number]],DATABASE_FG!$C$6:D11283,2,FALSE)," ")</f>
        <v>HOUSING            DBD.8G13/</v>
      </c>
      <c r="G1294" s="117" t="str">
        <f>IFERROR(_xlfn.XLOOKUP(Table1[[#This Row],[Part Number]],Table3[Part number],Table3[Drawing
 Revision]),"")</f>
        <v>h</v>
      </c>
      <c r="H1294" s="118" cm="1">
        <f t="array" ref="H1294">IFERROR(INDEX(PDB!$C:$AT,MATCH(E1294,PDB!$B:$B,0),MATCH(YEAR(K1294),0+PDB!$C$1:$AT$1,0)),"")</f>
        <v>28.62</v>
      </c>
      <c r="I1294" s="36">
        <v>10</v>
      </c>
      <c r="J1294" s="125">
        <f>IFERROR(Table1[[#This Row],[Quantity]]*Table1[[#This Row],[Price/Unit
EUR]]," ")</f>
        <v>286.2</v>
      </c>
      <c r="K1294" s="126">
        <v>45585</v>
      </c>
      <c r="L1294" s="36">
        <f>WEEKNUM(Table1[[#This Row],[ETA
As requested
dd.mm.yyyy]])</f>
        <v>43</v>
      </c>
      <c r="M1294" s="36">
        <f>YEAR(Table1[[#This Row],[ETA
As requested
dd.mm.yyyy]])</f>
        <v>2024</v>
      </c>
      <c r="N1294" s="36">
        <f>IFERROR(INDEX(DATABASE_FG!$H$5:$H$367, MATCH(E1294, DATABASE_FG!$C$5:$C$367, 0)), " ")</f>
        <v>27</v>
      </c>
      <c r="O1294" s="129" t="str">
        <f>IF(E1294&lt;&gt;"", _xlfn.XLOOKUP(E1294, DATABASE_FG!C:C, DATABASE_FG!F:F), " ")</f>
        <v>DBD.8</v>
      </c>
      <c r="P1294" s="129">
        <f>IFERROR(INDEX(DATABASE_FG!$G$5:$G$367, MATCH(E1294, DATABASE_FG!$C$5:$C$367, 0)), "Not Found")</f>
        <v>10</v>
      </c>
      <c r="Q1294" s="36">
        <v>60</v>
      </c>
      <c r="R1294" s="125" t="s">
        <v>678</v>
      </c>
      <c r="S1294" s="123">
        <f>IFERROR(INDEX(DATABASE_FG!$L$5:$L$367, MATCH(E1294, DATABASE_FG!$C$5:$C$367, 0)), " ")</f>
        <v>56</v>
      </c>
      <c r="T1294" s="36" t="s">
        <v>677</v>
      </c>
      <c r="U1294" s="36"/>
      <c r="V1294" s="36"/>
      <c r="W1294" s="129"/>
      <c r="X1294" s="36"/>
      <c r="Y1294" s="36"/>
      <c r="Z1294" s="36"/>
      <c r="AA1294" s="125" t="s">
        <v>121</v>
      </c>
      <c r="AB1294" s="173">
        <v>45541</v>
      </c>
      <c r="AC1294" s="119">
        <v>202401111</v>
      </c>
      <c r="AD1294" s="36">
        <f t="shared" si="143"/>
        <v>5500511014</v>
      </c>
      <c r="AE1294" s="36" t="str">
        <f t="shared" si="144"/>
        <v>R900305223</v>
      </c>
      <c r="AF1294" s="36">
        <v>11</v>
      </c>
      <c r="AG1294" s="120">
        <f t="shared" si="142"/>
        <v>314.82</v>
      </c>
      <c r="AH1294" s="36"/>
      <c r="AI1294" s="124"/>
      <c r="AJ1294" s="122" t="s">
        <v>2486</v>
      </c>
      <c r="AK1294" s="129" t="str">
        <f t="shared" ca="1" si="140"/>
        <v>On Time</v>
      </c>
      <c r="AL1294" s="268" t="str">
        <f t="shared" si="145"/>
        <v>October</v>
      </c>
      <c r="AM1294" s="133">
        <f>YEAR(Table1[[#This Row],[ETA
As requested
dd.mm.yyyy]])</f>
        <v>2024</v>
      </c>
    </row>
    <row r="1295" spans="1:40" hidden="1">
      <c r="A1295" s="123" t="s">
        <v>27</v>
      </c>
      <c r="B1295" s="36" t="s">
        <v>1170</v>
      </c>
      <c r="C1295" s="117">
        <v>5500511014</v>
      </c>
      <c r="D1295" s="165">
        <v>45446</v>
      </c>
      <c r="E1295" s="117" t="s">
        <v>51</v>
      </c>
      <c r="F1295" s="36" t="str">
        <f>IFERROR(VLOOKUP(Table1[[#This Row],[Part Number]],DATABASE_FG!$C$6:D11284,2,FALSE)," ")</f>
        <v>HOUSING            DBD.8G13/</v>
      </c>
      <c r="G1295" s="117" t="str">
        <f>IFERROR(_xlfn.XLOOKUP(Table1[[#This Row],[Part Number]],Table3[Part number],Table3[Drawing
 Revision]),"")</f>
        <v>h</v>
      </c>
      <c r="H1295" s="118" cm="1">
        <f t="array" ref="H1295">IFERROR(INDEX(PDB!$C:$AT,MATCH(E1295,PDB!$B:$B,0),MATCH(YEAR(K1295),0+PDB!$C$1:$AT$1,0)),"")</f>
        <v>23.93</v>
      </c>
      <c r="I1295" s="36">
        <v>10</v>
      </c>
      <c r="J1295" s="125">
        <f>IFERROR(Table1[[#This Row],[Quantity]]*Table1[[#This Row],[Price/Unit
EUR]]," ")</f>
        <v>239.3</v>
      </c>
      <c r="K1295" s="126">
        <v>45982</v>
      </c>
      <c r="L1295" s="36">
        <f>WEEKNUM(Table1[[#This Row],[ETA
As requested
dd.mm.yyyy]])</f>
        <v>47</v>
      </c>
      <c r="M1295" s="36">
        <f>YEAR(Table1[[#This Row],[ETA
As requested
dd.mm.yyyy]])</f>
        <v>2025</v>
      </c>
      <c r="N1295" s="36">
        <f>IFERROR(INDEX(DATABASE_FG!$H$5:$H$367, MATCH(E1295, DATABASE_FG!$C$5:$C$367, 0)), " ")</f>
        <v>27</v>
      </c>
      <c r="O1295" s="129" t="str">
        <f>IF(E1295&lt;&gt;"", _xlfn.XLOOKUP(E1295, DATABASE_FG!C:C, DATABASE_FG!F:F), " ")</f>
        <v>DBD.8</v>
      </c>
      <c r="P1295" s="129">
        <f>IFERROR(INDEX(DATABASE_FG!$G$5:$G$367, MATCH(E1295, DATABASE_FG!$C$5:$C$367, 0)), "Not Found")</f>
        <v>10</v>
      </c>
      <c r="Q1295" s="36">
        <v>60</v>
      </c>
      <c r="R1295" s="125" t="s">
        <v>678</v>
      </c>
      <c r="S1295" s="123">
        <f>IFERROR(INDEX(DATABASE_FG!$L$5:$L$367, MATCH(E1295, DATABASE_FG!$C$5:$C$367, 0)), " ")</f>
        <v>56</v>
      </c>
      <c r="T1295" s="36" t="s">
        <v>677</v>
      </c>
      <c r="U1295" s="36"/>
      <c r="V1295" s="36"/>
      <c r="W1295" s="129"/>
      <c r="X1295" s="244"/>
      <c r="Y1295" s="36"/>
      <c r="Z1295" s="36"/>
      <c r="AA1295" s="125" t="s">
        <v>3</v>
      </c>
      <c r="AB1295" s="173"/>
      <c r="AC1295" s="119"/>
      <c r="AD1295" s="36" t="str">
        <f t="shared" si="143"/>
        <v/>
      </c>
      <c r="AE1295" s="36" t="str">
        <f t="shared" si="144"/>
        <v/>
      </c>
      <c r="AF1295" s="36"/>
      <c r="AG1295" s="120">
        <f t="shared" si="142"/>
        <v>0</v>
      </c>
      <c r="AH1295" s="36"/>
      <c r="AI1295" s="124"/>
      <c r="AJ1295" s="122"/>
      <c r="AK1295" s="129" t="str">
        <f t="shared" ca="1" si="140"/>
        <v/>
      </c>
      <c r="AL1295" s="268" t="str">
        <f t="shared" si="145"/>
        <v>November</v>
      </c>
      <c r="AM1295" s="133">
        <f>YEAR(Table1[[#This Row],[ETA
As requested
dd.mm.yyyy]])</f>
        <v>2025</v>
      </c>
    </row>
    <row r="1296" spans="1:40" hidden="1">
      <c r="A1296" s="123" t="s">
        <v>27</v>
      </c>
      <c r="B1296" s="36" t="s">
        <v>1170</v>
      </c>
      <c r="C1296" s="117">
        <v>5500511014</v>
      </c>
      <c r="D1296" s="165">
        <v>45446</v>
      </c>
      <c r="E1296" s="117" t="s">
        <v>51</v>
      </c>
      <c r="F1296" s="36" t="str">
        <f>IFERROR(VLOOKUP(Table1[[#This Row],[Part Number]],DATABASE_FG!$C$6:D11285,2,FALSE)," ")</f>
        <v>HOUSING            DBD.8G13/</v>
      </c>
      <c r="G1296" s="117" t="str">
        <f>IFERROR(_xlfn.XLOOKUP(Table1[[#This Row],[Part Number]],Table3[Part number],Table3[Drawing
 Revision]),"")</f>
        <v>h</v>
      </c>
      <c r="H1296" s="118" cm="1">
        <f t="array" ref="H1296">IFERROR(INDEX(PDB!$C:$AT,MATCH(E1296,PDB!$B:$B,0),MATCH(YEAR(K1296),0+PDB!$C$1:$AT$1,0)),"")</f>
        <v>0</v>
      </c>
      <c r="I1296" s="36">
        <v>19</v>
      </c>
      <c r="J1296" s="125">
        <f>IFERROR(Table1[[#This Row],[Quantity]]*Table1[[#This Row],[Price/Unit
EUR]]," ")</f>
        <v>0</v>
      </c>
      <c r="K1296" s="126">
        <v>46093</v>
      </c>
      <c r="L1296" s="36">
        <f>WEEKNUM(Table1[[#This Row],[ETA
As requested
dd.mm.yyyy]])</f>
        <v>11</v>
      </c>
      <c r="M1296" s="36">
        <f>YEAR(Table1[[#This Row],[ETA
As requested
dd.mm.yyyy]])</f>
        <v>2026</v>
      </c>
      <c r="N1296" s="36">
        <v>27</v>
      </c>
      <c r="O1296" s="129" t="s">
        <v>50</v>
      </c>
      <c r="P1296" s="129">
        <f>IFERROR(INDEX(DATABASE_FG!$G$5:$G$367, MATCH(E1296, DATABASE_FG!$C$5:$C$367, 0)), "Not Found")</f>
        <v>10</v>
      </c>
      <c r="Q1296" s="36">
        <v>60</v>
      </c>
      <c r="R1296" s="125" t="s">
        <v>678</v>
      </c>
      <c r="S1296" s="123" t="s">
        <v>3</v>
      </c>
      <c r="T1296" s="36"/>
      <c r="U1296" s="36"/>
      <c r="V1296" s="36" t="s">
        <v>2720</v>
      </c>
      <c r="W1296" s="129" t="s">
        <v>2720</v>
      </c>
      <c r="X1296" s="244"/>
      <c r="Y1296" s="36">
        <v>0</v>
      </c>
      <c r="Z1296" s="36"/>
      <c r="AA1296" s="125" t="s">
        <v>3</v>
      </c>
      <c r="AB1296" s="173"/>
      <c r="AC1296" s="119" t="s">
        <v>2720</v>
      </c>
      <c r="AD1296" s="36"/>
      <c r="AE1296" s="36"/>
      <c r="AF1296" s="36"/>
      <c r="AG1296" s="120">
        <f t="shared" si="142"/>
        <v>0</v>
      </c>
      <c r="AH1296" s="36"/>
      <c r="AI1296" s="124"/>
      <c r="AJ1296" s="122"/>
      <c r="AK1296" s="129"/>
      <c r="AL1296" s="268" t="str">
        <f t="shared" ref="AL1296" si="148">TEXT(K1296,"mmmm")</f>
        <v>March</v>
      </c>
      <c r="AM1296" s="133">
        <f>YEAR(Table1[[#This Row],[ETA
As requested
dd.mm.yyyy]])</f>
        <v>2026</v>
      </c>
      <c r="AN1296" s="191"/>
    </row>
    <row r="1297" spans="1:39" hidden="1">
      <c r="A1297" s="123" t="s">
        <v>27</v>
      </c>
      <c r="B1297" s="36" t="s">
        <v>1170</v>
      </c>
      <c r="C1297" s="117">
        <v>5500511014</v>
      </c>
      <c r="D1297" s="165">
        <v>45446</v>
      </c>
      <c r="E1297" s="117" t="s">
        <v>51</v>
      </c>
      <c r="F1297" s="36" t="str">
        <f>IFERROR(VLOOKUP(Table1[[#This Row],[Part Number]],DATABASE_FG!$C$6:D11286,2,FALSE)," ")</f>
        <v>HOUSING            DBD.8G13/</v>
      </c>
      <c r="G1297" s="117" t="str">
        <f>IFERROR(_xlfn.XLOOKUP(Table1[[#This Row],[Part Number]],Table3[Part number],Table3[Drawing
 Revision]),"")</f>
        <v>h</v>
      </c>
      <c r="H1297" s="118" cm="1">
        <f t="array" ref="H1297">IFERROR(INDEX(PDB!$C:$AT,MATCH(E1297,PDB!$B:$B,0),MATCH(YEAR(K1297),0+PDB!$C$1:$AT$1,0)),"")</f>
        <v>0</v>
      </c>
      <c r="I1297" s="36">
        <v>22</v>
      </c>
      <c r="J1297" s="125">
        <f>IFERROR(Table1[[#This Row],[Quantity]]*Table1[[#This Row],[Price/Unit
EUR]]," ")</f>
        <v>0</v>
      </c>
      <c r="K1297" s="126">
        <v>46140</v>
      </c>
      <c r="L1297" s="36">
        <f>WEEKNUM(Table1[[#This Row],[ETA
As requested
dd.mm.yyyy]])</f>
        <v>18</v>
      </c>
      <c r="M1297" s="36">
        <f>YEAR(Table1[[#This Row],[ETA
As requested
dd.mm.yyyy]])</f>
        <v>2026</v>
      </c>
      <c r="N1297" s="36">
        <f>IFERROR(INDEX(DATABASE_FG!$H$5:$H$367, MATCH(E1297, DATABASE_FG!$C$5:$C$367, 0)), " ")</f>
        <v>27</v>
      </c>
      <c r="O1297" s="129" t="str">
        <f>IF(E1297&lt;&gt;"", _xlfn.XLOOKUP(E1297, DATABASE_FG!C:C, DATABASE_FG!F:F), " ")</f>
        <v>DBD.8</v>
      </c>
      <c r="P1297" s="129">
        <f>IFERROR(INDEX(DATABASE_FG!$G$5:$G$367, MATCH(E1297, DATABASE_FG!$C$5:$C$367, 0)), "Not Found")</f>
        <v>10</v>
      </c>
      <c r="Q1297" s="36">
        <v>60</v>
      </c>
      <c r="R1297" s="125" t="s">
        <v>678</v>
      </c>
      <c r="S1297" s="123">
        <f>IFERROR(INDEX(DATABASE_FG!$L$5:$L$367, MATCH(E1297, DATABASE_FG!$C$5:$C$367, 0)), " ")</f>
        <v>56</v>
      </c>
      <c r="T1297" s="36" t="s">
        <v>677</v>
      </c>
      <c r="U1297" s="36"/>
      <c r="V1297" s="36"/>
      <c r="W1297" s="129"/>
      <c r="X1297" s="244"/>
      <c r="Y1297" s="36"/>
      <c r="Z1297" s="36"/>
      <c r="AA1297" s="125" t="s">
        <v>3</v>
      </c>
      <c r="AB1297" s="173"/>
      <c r="AC1297" s="119"/>
      <c r="AD1297" s="36" t="str">
        <f t="shared" si="143"/>
        <v/>
      </c>
      <c r="AE1297" s="36" t="str">
        <f t="shared" si="144"/>
        <v/>
      </c>
      <c r="AF1297" s="36"/>
      <c r="AG1297" s="120">
        <f t="shared" si="142"/>
        <v>0</v>
      </c>
      <c r="AH1297" s="36"/>
      <c r="AI1297" s="124"/>
      <c r="AJ1297" s="122"/>
      <c r="AK1297" s="129" t="str">
        <f t="shared" ca="1" si="140"/>
        <v/>
      </c>
      <c r="AL1297" s="268" t="str">
        <f t="shared" si="145"/>
        <v>April</v>
      </c>
      <c r="AM1297" s="133">
        <f>YEAR(Table1[[#This Row],[ETA
As requested
dd.mm.yyyy]])</f>
        <v>2026</v>
      </c>
    </row>
    <row r="1298" spans="1:39" hidden="1">
      <c r="A1298" s="123" t="s">
        <v>27</v>
      </c>
      <c r="B1298" s="36" t="s">
        <v>1170</v>
      </c>
      <c r="C1298" s="117">
        <v>5500492363</v>
      </c>
      <c r="D1298" s="165">
        <v>45446</v>
      </c>
      <c r="E1298" s="117" t="s">
        <v>33</v>
      </c>
      <c r="F1298" s="36" t="str">
        <f>IFERROR(VLOOKUP(Table1[[#This Row],[Part Number]],DATABASE_FG!$C$6:D11287,2,FALSE)," ")</f>
        <v>HOUSING            DBD.10G1X/</v>
      </c>
      <c r="G1298" s="117" t="str">
        <f>IFERROR(_xlfn.XLOOKUP(Table1[[#This Row],[Part Number]],Table3[Part number],Table3[Drawing
 Revision]),"")</f>
        <v>H</v>
      </c>
      <c r="H1298" s="118" cm="1">
        <f t="array" ref="H1298">IFERROR(INDEX(PDB!$C:$AT,MATCH(E1298,PDB!$B:$B,0),MATCH(YEAR(K1298),0+PDB!$C$1:$AT$1,0)),"")</f>
        <v>23.5</v>
      </c>
      <c r="I1298" s="36">
        <f>605-7</f>
        <v>598</v>
      </c>
      <c r="J1298" s="125">
        <f>IFERROR(Table1[[#This Row],[Quantity]]*Table1[[#This Row],[Price/Unit
EUR]]," ")</f>
        <v>14053</v>
      </c>
      <c r="K1298" s="126">
        <v>45323</v>
      </c>
      <c r="L1298" s="36">
        <f>WEEKNUM(Table1[[#This Row],[ETA
As requested
dd.mm.yyyy]])</f>
        <v>5</v>
      </c>
      <c r="M1298" s="36">
        <f>YEAR(Table1[[#This Row],[ETA
As requested
dd.mm.yyyy]])</f>
        <v>2024</v>
      </c>
      <c r="N1298" s="36">
        <f>IFERROR(INDEX(DATABASE_FG!$H$5:$H$367, MATCH(E1298, DATABASE_FG!$C$5:$C$367, 0)), " ")</f>
        <v>18</v>
      </c>
      <c r="O1298" s="129" t="str">
        <f>IF(E1298&lt;&gt;"", _xlfn.XLOOKUP(E1298, DATABASE_FG!C:C, DATABASE_FG!F:F), " ")</f>
        <v>DBD.10</v>
      </c>
      <c r="P1298" s="129">
        <f>IFERROR(INDEX(DATABASE_FG!$G$5:$G$367, MATCH(E1298, DATABASE_FG!$C$5:$C$367, 0)), "Not Found")</f>
        <v>162</v>
      </c>
      <c r="Q1298" s="36">
        <v>60</v>
      </c>
      <c r="R1298" s="125" t="s">
        <v>678</v>
      </c>
      <c r="S1298" s="123">
        <f>IFERROR(INDEX(DATABASE_FG!$L$5:$L$367, MATCH(E1298, DATABASE_FG!$C$5:$C$367, 0)), " ")</f>
        <v>56</v>
      </c>
      <c r="T1298" s="36" t="s">
        <v>677</v>
      </c>
      <c r="U1298" s="36"/>
      <c r="V1298" s="36"/>
      <c r="W1298" s="129"/>
      <c r="X1298" s="36"/>
      <c r="Y1298" s="36"/>
      <c r="Z1298" s="36" t="s">
        <v>1187</v>
      </c>
      <c r="AA1298" s="125" t="s">
        <v>121</v>
      </c>
      <c r="AB1298" s="173">
        <v>45482</v>
      </c>
      <c r="AC1298" s="119">
        <v>2024825</v>
      </c>
      <c r="AD1298" s="36">
        <f t="shared" si="143"/>
        <v>5500492363</v>
      </c>
      <c r="AE1298" s="36" t="str">
        <f t="shared" si="144"/>
        <v>R900305228</v>
      </c>
      <c r="AF1298" s="36">
        <v>77</v>
      </c>
      <c r="AG1298" s="120">
        <f t="shared" si="142"/>
        <v>1809.5</v>
      </c>
      <c r="AH1298" s="36"/>
      <c r="AI1298" s="124" t="s">
        <v>1188</v>
      </c>
      <c r="AJ1298" s="122" t="s">
        <v>1189</v>
      </c>
      <c r="AK1298" s="129" t="str">
        <f t="shared" ca="1" si="140"/>
        <v>Late</v>
      </c>
      <c r="AL1298" s="268" t="str">
        <f t="shared" si="145"/>
        <v>February</v>
      </c>
      <c r="AM1298" s="133">
        <f>YEAR(Table1[[#This Row],[ETA
As requested
dd.mm.yyyy]])</f>
        <v>2024</v>
      </c>
    </row>
    <row r="1299" spans="1:39" hidden="1">
      <c r="A1299" s="123" t="s">
        <v>27</v>
      </c>
      <c r="B1299" s="36" t="s">
        <v>1170</v>
      </c>
      <c r="C1299" s="117">
        <v>5500492363</v>
      </c>
      <c r="D1299" s="165">
        <v>45446</v>
      </c>
      <c r="E1299" s="117" t="s">
        <v>33</v>
      </c>
      <c r="F1299" s="36" t="str">
        <f>IFERROR(VLOOKUP(Table1[[#This Row],[Part Number]],DATABASE_FG!$C$6:D11288,2,FALSE)," ")</f>
        <v>HOUSING            DBD.10G1X/</v>
      </c>
      <c r="G1299" s="117" t="str">
        <f>IFERROR(_xlfn.XLOOKUP(Table1[[#This Row],[Part Number]],Table3[Part number],Table3[Drawing
 Revision]),"")</f>
        <v>H</v>
      </c>
      <c r="H1299" s="118" cm="1">
        <f t="array" ref="H1299">IFERROR(INDEX(PDB!$C:$AT,MATCH(E1299,PDB!$B:$B,0),MATCH(YEAR(K1299),0+PDB!$C$1:$AT$1,0)),"")</f>
        <v>23.5</v>
      </c>
      <c r="I1299" s="36">
        <v>0</v>
      </c>
      <c r="J1299" s="125">
        <f>IFERROR(Table1[[#This Row],[Quantity]]*Table1[[#This Row],[Price/Unit
EUR]]," ")</f>
        <v>0</v>
      </c>
      <c r="K1299" s="126">
        <v>45323</v>
      </c>
      <c r="L1299" s="36">
        <f>WEEKNUM(Table1[[#This Row],[ETA
As requested
dd.mm.yyyy]])</f>
        <v>5</v>
      </c>
      <c r="M1299" s="36">
        <f>YEAR(Table1[[#This Row],[ETA
As requested
dd.mm.yyyy]])</f>
        <v>2024</v>
      </c>
      <c r="N1299" s="36">
        <f>IFERROR(INDEX(DATABASE_FG!$H$5:$H$367, MATCH(E1299, DATABASE_FG!$C$5:$C$367, 0)), " ")</f>
        <v>18</v>
      </c>
      <c r="O1299" s="129" t="str">
        <f>IF(E1299&lt;&gt;"", _xlfn.XLOOKUP(E1299, DATABASE_FG!C:C, DATABASE_FG!F:F), " ")</f>
        <v>DBD.10</v>
      </c>
      <c r="P1299" s="129">
        <f>IFERROR(INDEX(DATABASE_FG!$G$5:$G$367, MATCH(E1299, DATABASE_FG!$C$5:$C$367, 0)), "Not Found")</f>
        <v>162</v>
      </c>
      <c r="Q1299" s="36">
        <v>60</v>
      </c>
      <c r="R1299" s="125" t="s">
        <v>678</v>
      </c>
      <c r="S1299" s="123">
        <f>Table1[[#This Row],[Quantity]]/48</f>
        <v>0</v>
      </c>
      <c r="T1299" s="36" t="s">
        <v>677</v>
      </c>
      <c r="U1299" s="36"/>
      <c r="V1299" s="36"/>
      <c r="W1299" s="129"/>
      <c r="X1299" s="36"/>
      <c r="Y1299" s="36"/>
      <c r="Z1299" s="36"/>
      <c r="AA1299" s="125" t="s">
        <v>121</v>
      </c>
      <c r="AB1299" s="173">
        <v>45485</v>
      </c>
      <c r="AC1299" s="119">
        <v>2024846</v>
      </c>
      <c r="AD1299" s="36">
        <f t="shared" si="143"/>
        <v>5500492363</v>
      </c>
      <c r="AE1299" s="36" t="str">
        <f t="shared" si="144"/>
        <v>R900305228</v>
      </c>
      <c r="AF1299" s="36">
        <v>21</v>
      </c>
      <c r="AG1299" s="120">
        <f t="shared" si="142"/>
        <v>493.5</v>
      </c>
      <c r="AH1299" s="36"/>
      <c r="AI1299" s="124" t="s">
        <v>1188</v>
      </c>
      <c r="AJ1299" s="122" t="s">
        <v>1190</v>
      </c>
      <c r="AK1299" s="129" t="str">
        <f t="shared" ca="1" si="140"/>
        <v>Late</v>
      </c>
      <c r="AL1299" s="268" t="str">
        <f t="shared" si="145"/>
        <v>February</v>
      </c>
      <c r="AM1299" s="133">
        <f>YEAR(Table1[[#This Row],[ETA
As requested
dd.mm.yyyy]])</f>
        <v>2024</v>
      </c>
    </row>
    <row r="1300" spans="1:39" ht="15.75" hidden="1">
      <c r="A1300" s="123" t="s">
        <v>27</v>
      </c>
      <c r="B1300" s="36" t="s">
        <v>1170</v>
      </c>
      <c r="C1300" s="117">
        <v>5500492363</v>
      </c>
      <c r="D1300" s="165">
        <v>45446</v>
      </c>
      <c r="E1300" s="117" t="s">
        <v>33</v>
      </c>
      <c r="F1300" s="36" t="str">
        <f>IFERROR(VLOOKUP(Table1[[#This Row],[Part Number]],DATABASE_FG!$C$6:D11289,2,FALSE)," ")</f>
        <v>HOUSING            DBD.10G1X/</v>
      </c>
      <c r="G1300" s="117" t="str">
        <f>IFERROR(_xlfn.XLOOKUP(Table1[[#This Row],[Part Number]],Table3[Part number],Table3[Drawing
 Revision]),"")</f>
        <v>H</v>
      </c>
      <c r="H1300" s="118" cm="1">
        <f t="array" ref="H1300">IFERROR(INDEX(PDB!$C:$AT,MATCH(E1300,PDB!$B:$B,0),MATCH(YEAR(K1300),0+PDB!$C$1:$AT$1,0)),"")</f>
        <v>23.5</v>
      </c>
      <c r="I1300" s="36">
        <v>0</v>
      </c>
      <c r="J1300" s="125">
        <f>IFERROR(Table1[[#This Row],[Quantity]]*Table1[[#This Row],[Price/Unit
EUR]]," ")</f>
        <v>0</v>
      </c>
      <c r="K1300" s="126">
        <v>45323</v>
      </c>
      <c r="L1300" s="36">
        <f>WEEKNUM(Table1[[#This Row],[ETA
As requested
dd.mm.yyyy]])</f>
        <v>5</v>
      </c>
      <c r="M1300" s="36">
        <f>YEAR(Table1[[#This Row],[ETA
As requested
dd.mm.yyyy]])</f>
        <v>2024</v>
      </c>
      <c r="N1300" s="36">
        <f>IFERROR(INDEX(DATABASE_FG!$H$5:$H$367, MATCH(E1300, DATABASE_FG!$C$5:$C$367, 0)), " ")</f>
        <v>18</v>
      </c>
      <c r="O1300" s="129" t="str">
        <f>IF(E1300&lt;&gt;"", _xlfn.XLOOKUP(E1300, DATABASE_FG!C:C, DATABASE_FG!F:F), " ")</f>
        <v>DBD.10</v>
      </c>
      <c r="P1300" s="129">
        <f>IFERROR(INDEX(DATABASE_FG!$G$5:$G$367, MATCH(E1300, DATABASE_FG!$C$5:$C$367, 0)), "Not Found")</f>
        <v>162</v>
      </c>
      <c r="Q1300" s="36">
        <v>60</v>
      </c>
      <c r="R1300" s="125" t="s">
        <v>678</v>
      </c>
      <c r="S1300" s="123">
        <f>Table1[[#This Row],[Quantity]]/48</f>
        <v>0</v>
      </c>
      <c r="T1300" s="36" t="s">
        <v>677</v>
      </c>
      <c r="U1300" s="36"/>
      <c r="V1300" s="36"/>
      <c r="W1300" s="129"/>
      <c r="X1300" s="36"/>
      <c r="Y1300" s="36"/>
      <c r="Z1300" s="36"/>
      <c r="AA1300" s="125" t="s">
        <v>121</v>
      </c>
      <c r="AB1300" s="173">
        <v>45504</v>
      </c>
      <c r="AC1300" s="119">
        <v>2024948</v>
      </c>
      <c r="AD1300" s="36">
        <f t="shared" si="143"/>
        <v>5500492363</v>
      </c>
      <c r="AE1300" s="36" t="str">
        <f t="shared" si="144"/>
        <v>R900305228</v>
      </c>
      <c r="AF1300" s="36">
        <v>23</v>
      </c>
      <c r="AG1300" s="120">
        <f t="shared" si="142"/>
        <v>540.5</v>
      </c>
      <c r="AH1300" s="36"/>
      <c r="AI1300" s="124" t="s">
        <v>1188</v>
      </c>
      <c r="AJ1300" s="122" t="s">
        <v>1191</v>
      </c>
      <c r="AK1300" s="129" t="str">
        <f t="shared" ca="1" si="140"/>
        <v>Late</v>
      </c>
      <c r="AL1300" s="268" t="str">
        <f t="shared" si="145"/>
        <v>February</v>
      </c>
      <c r="AM1300" s="133">
        <f>YEAR(Table1[[#This Row],[ETA
As requested
dd.mm.yyyy]])</f>
        <v>2024</v>
      </c>
    </row>
    <row r="1301" spans="1:39" ht="15.75" hidden="1">
      <c r="A1301" s="123" t="s">
        <v>27</v>
      </c>
      <c r="B1301" s="36" t="s">
        <v>1170</v>
      </c>
      <c r="C1301" s="117">
        <v>5500492363</v>
      </c>
      <c r="D1301" s="165">
        <v>45446</v>
      </c>
      <c r="E1301" s="117" t="s">
        <v>33</v>
      </c>
      <c r="F1301" s="36" t="str">
        <f>IFERROR(VLOOKUP(Table1[[#This Row],[Part Number]],DATABASE_FG!$C$6:D11290,2,FALSE)," ")</f>
        <v>HOUSING            DBD.10G1X/</v>
      </c>
      <c r="G1301" s="117" t="str">
        <f>IFERROR(_xlfn.XLOOKUP(Table1[[#This Row],[Part Number]],Table3[Part number],Table3[Drawing
 Revision]),"")</f>
        <v>H</v>
      </c>
      <c r="H1301" s="118" cm="1">
        <f t="array" ref="H1301">IFERROR(INDEX(PDB!$C:$AT,MATCH(E1301,PDB!$B:$B,0),MATCH(YEAR(K1301),0+PDB!$C$1:$AT$1,0)),"")</f>
        <v>23.5</v>
      </c>
      <c r="I1301" s="36">
        <v>0</v>
      </c>
      <c r="J1301" s="125">
        <f>IFERROR(Table1[[#This Row],[Quantity]]*Table1[[#This Row],[Price/Unit
EUR]]," ")</f>
        <v>0</v>
      </c>
      <c r="K1301" s="126">
        <v>45323</v>
      </c>
      <c r="L1301" s="36">
        <f>WEEKNUM(Table1[[#This Row],[ETA
As requested
dd.mm.yyyy]])</f>
        <v>5</v>
      </c>
      <c r="M1301" s="36">
        <f>YEAR(Table1[[#This Row],[ETA
As requested
dd.mm.yyyy]])</f>
        <v>2024</v>
      </c>
      <c r="N1301" s="36">
        <f>IFERROR(INDEX(DATABASE_FG!$H$5:$H$367, MATCH(E1301, DATABASE_FG!$C$5:$C$367, 0)), " ")</f>
        <v>18</v>
      </c>
      <c r="O1301" s="129" t="str">
        <f>IF(E1301&lt;&gt;"", _xlfn.XLOOKUP(E1301, DATABASE_FG!C:C, DATABASE_FG!F:F), " ")</f>
        <v>DBD.10</v>
      </c>
      <c r="P1301" s="129">
        <f>IFERROR(INDEX(DATABASE_FG!$G$5:$G$367, MATCH(E1301, DATABASE_FG!$C$5:$C$367, 0)), "Not Found")</f>
        <v>162</v>
      </c>
      <c r="Q1301" s="36">
        <v>60</v>
      </c>
      <c r="R1301" s="125" t="s">
        <v>678</v>
      </c>
      <c r="S1301" s="123">
        <f>Table1[[#This Row],[Quantity]]/48</f>
        <v>0</v>
      </c>
      <c r="T1301" s="36" t="s">
        <v>677</v>
      </c>
      <c r="U1301" s="36"/>
      <c r="V1301" s="36"/>
      <c r="W1301" s="129"/>
      <c r="X1301" s="36"/>
      <c r="Y1301" s="36"/>
      <c r="Z1301" s="36"/>
      <c r="AA1301" s="125" t="s">
        <v>121</v>
      </c>
      <c r="AB1301" s="173">
        <v>45511</v>
      </c>
      <c r="AC1301" s="119">
        <v>2024990</v>
      </c>
      <c r="AD1301" s="36">
        <f t="shared" si="143"/>
        <v>5500492363</v>
      </c>
      <c r="AE1301" s="36" t="str">
        <f t="shared" si="144"/>
        <v>R900305228</v>
      </c>
      <c r="AF1301" s="36">
        <f>216-121</f>
        <v>95</v>
      </c>
      <c r="AG1301" s="120">
        <f t="shared" si="142"/>
        <v>2232.5</v>
      </c>
      <c r="AH1301" s="36"/>
      <c r="AI1301" s="124" t="s">
        <v>1188</v>
      </c>
      <c r="AJ1301" s="122" t="s">
        <v>1192</v>
      </c>
      <c r="AK1301" s="129" t="str">
        <f t="shared" ca="1" si="140"/>
        <v>Late</v>
      </c>
      <c r="AL1301" s="268" t="str">
        <f t="shared" si="145"/>
        <v>February</v>
      </c>
      <c r="AM1301" s="133">
        <f>YEAR(Table1[[#This Row],[ETA
As requested
dd.mm.yyyy]])</f>
        <v>2024</v>
      </c>
    </row>
    <row r="1302" spans="1:39" ht="15.75" hidden="1">
      <c r="A1302" s="123" t="s">
        <v>27</v>
      </c>
      <c r="B1302" s="36" t="s">
        <v>1170</v>
      </c>
      <c r="C1302" s="117">
        <v>5500492363</v>
      </c>
      <c r="D1302" s="165">
        <v>45446</v>
      </c>
      <c r="E1302" s="117" t="s">
        <v>33</v>
      </c>
      <c r="F1302" s="36" t="str">
        <f>IFERROR(VLOOKUP(Table1[[#This Row],[Part Number]],DATABASE_FG!$C$6:D11291,2,FALSE)," ")</f>
        <v>HOUSING            DBD.10G1X/</v>
      </c>
      <c r="G1302" s="117" t="str">
        <f>IFERROR(_xlfn.XLOOKUP(Table1[[#This Row],[Part Number]],Table3[Part number],Table3[Drawing
 Revision]),"")</f>
        <v>H</v>
      </c>
      <c r="H1302" s="118" cm="1">
        <f t="array" ref="H1302">IFERROR(INDEX(PDB!$C:$AT,MATCH(E1302,PDB!$B:$B,0),MATCH(YEAR(K1302),0+PDB!$C$1:$AT$1,0)),"")</f>
        <v>23.5</v>
      </c>
      <c r="I1302" s="36">
        <v>0</v>
      </c>
      <c r="J1302" s="125">
        <f>IFERROR(Table1[[#This Row],[Quantity]]*Table1[[#This Row],[Price/Unit
EUR]]," ")</f>
        <v>0</v>
      </c>
      <c r="K1302" s="126">
        <v>45323</v>
      </c>
      <c r="L1302" s="36">
        <f>WEEKNUM(Table1[[#This Row],[ETA
As requested
dd.mm.yyyy]])</f>
        <v>5</v>
      </c>
      <c r="M1302" s="36">
        <f>YEAR(Table1[[#This Row],[ETA
As requested
dd.mm.yyyy]])</f>
        <v>2024</v>
      </c>
      <c r="N1302" s="36">
        <f>IFERROR(INDEX(DATABASE_FG!$H$5:$H$367, MATCH(E1302, DATABASE_FG!$C$5:$C$367, 0)), " ")</f>
        <v>18</v>
      </c>
      <c r="O1302" s="129" t="str">
        <f>IF(E1302&lt;&gt;"", _xlfn.XLOOKUP(E1302, DATABASE_FG!C:C, DATABASE_FG!F:F), " ")</f>
        <v>DBD.10</v>
      </c>
      <c r="P1302" s="129">
        <f>IFERROR(INDEX(DATABASE_FG!$G$5:$G$367, MATCH(E1302, DATABASE_FG!$C$5:$C$367, 0)), "Not Found")</f>
        <v>162</v>
      </c>
      <c r="Q1302" s="36">
        <v>60</v>
      </c>
      <c r="R1302" s="125" t="s">
        <v>678</v>
      </c>
      <c r="S1302" s="123">
        <f>Table1[[#This Row],[Quantity]]/48</f>
        <v>0</v>
      </c>
      <c r="T1302" s="36" t="s">
        <v>677</v>
      </c>
      <c r="U1302" s="36"/>
      <c r="V1302" s="36"/>
      <c r="W1302" s="129"/>
      <c r="X1302" s="36"/>
      <c r="Y1302" s="36"/>
      <c r="Z1302" s="36"/>
      <c r="AA1302" s="125" t="s">
        <v>121</v>
      </c>
      <c r="AB1302" s="173">
        <v>45513</v>
      </c>
      <c r="AC1302" s="119">
        <v>202401014</v>
      </c>
      <c r="AD1302" s="36">
        <f t="shared" si="143"/>
        <v>5500492363</v>
      </c>
      <c r="AE1302" s="36" t="str">
        <f t="shared" si="144"/>
        <v>R900305228</v>
      </c>
      <c r="AF1302" s="36">
        <v>148</v>
      </c>
      <c r="AG1302" s="120">
        <f t="shared" si="142"/>
        <v>3478</v>
      </c>
      <c r="AH1302" s="36"/>
      <c r="AI1302" s="124" t="s">
        <v>1188</v>
      </c>
      <c r="AJ1302" s="122" t="s">
        <v>1193</v>
      </c>
      <c r="AK1302" s="129" t="str">
        <f t="shared" ca="1" si="140"/>
        <v>Late</v>
      </c>
      <c r="AL1302" s="268" t="str">
        <f t="shared" si="145"/>
        <v>February</v>
      </c>
      <c r="AM1302" s="133">
        <f>YEAR(Table1[[#This Row],[ETA
As requested
dd.mm.yyyy]])</f>
        <v>2024</v>
      </c>
    </row>
    <row r="1303" spans="1:39" ht="15.75" hidden="1">
      <c r="A1303" s="123" t="s">
        <v>27</v>
      </c>
      <c r="B1303" s="36" t="s">
        <v>1170</v>
      </c>
      <c r="C1303" s="117">
        <v>5500492363</v>
      </c>
      <c r="D1303" s="165">
        <v>45446</v>
      </c>
      <c r="E1303" s="117" t="s">
        <v>33</v>
      </c>
      <c r="F1303" s="36" t="str">
        <f>IFERROR(VLOOKUP(Table1[[#This Row],[Part Number]],DATABASE_FG!$C$6:D11292,2,FALSE)," ")</f>
        <v>HOUSING            DBD.10G1X/</v>
      </c>
      <c r="G1303" s="117" t="str">
        <f>IFERROR(_xlfn.XLOOKUP(Table1[[#This Row],[Part Number]],Table3[Part number],Table3[Drawing
 Revision]),"")</f>
        <v>H</v>
      </c>
      <c r="H1303" s="118" cm="1">
        <f t="array" ref="H1303">IFERROR(INDEX(PDB!$C:$AT,MATCH(E1303,PDB!$B:$B,0),MATCH(YEAR(K1303),0+PDB!$C$1:$AT$1,0)),"")</f>
        <v>23.5</v>
      </c>
      <c r="I1303" s="36">
        <v>0</v>
      </c>
      <c r="J1303" s="125">
        <f>IFERROR(Table1[[#This Row],[Quantity]]*Table1[[#This Row],[Price/Unit
EUR]]," ")</f>
        <v>0</v>
      </c>
      <c r="K1303" s="126">
        <v>45323</v>
      </c>
      <c r="L1303" s="36">
        <f>WEEKNUM(Table1[[#This Row],[ETA
As requested
dd.mm.yyyy]])</f>
        <v>5</v>
      </c>
      <c r="M1303" s="36">
        <f>YEAR(Table1[[#This Row],[ETA
As requested
dd.mm.yyyy]])</f>
        <v>2024</v>
      </c>
      <c r="N1303" s="36">
        <f>IFERROR(INDEX(DATABASE_FG!$H$5:$H$367, MATCH(E1303, DATABASE_FG!$C$5:$C$367, 0)), " ")</f>
        <v>18</v>
      </c>
      <c r="O1303" s="129" t="str">
        <f>IF(E1303&lt;&gt;"", _xlfn.XLOOKUP(E1303, DATABASE_FG!C:C, DATABASE_FG!F:F), " ")</f>
        <v>DBD.10</v>
      </c>
      <c r="P1303" s="129">
        <f>IFERROR(INDEX(DATABASE_FG!$G$5:$G$367, MATCH(E1303, DATABASE_FG!$C$5:$C$367, 0)), "Not Found")</f>
        <v>162</v>
      </c>
      <c r="Q1303" s="36">
        <v>60</v>
      </c>
      <c r="R1303" s="125" t="s">
        <v>678</v>
      </c>
      <c r="S1303" s="123">
        <f>Table1[[#This Row],[Quantity]]/48</f>
        <v>0</v>
      </c>
      <c r="T1303" s="36" t="s">
        <v>677</v>
      </c>
      <c r="U1303" s="36"/>
      <c r="V1303" s="36"/>
      <c r="W1303" s="129"/>
      <c r="X1303" s="36"/>
      <c r="Y1303" s="36"/>
      <c r="Z1303" s="36"/>
      <c r="AA1303" s="125" t="s">
        <v>121</v>
      </c>
      <c r="AB1303" s="173">
        <v>45518</v>
      </c>
      <c r="AC1303" s="119">
        <v>202401023</v>
      </c>
      <c r="AD1303" s="36">
        <f t="shared" si="143"/>
        <v>5500492363</v>
      </c>
      <c r="AE1303" s="36" t="str">
        <f t="shared" si="144"/>
        <v>R900305228</v>
      </c>
      <c r="AF1303" s="36">
        <v>27</v>
      </c>
      <c r="AG1303" s="120">
        <f t="shared" si="142"/>
        <v>634.5</v>
      </c>
      <c r="AH1303" s="36"/>
      <c r="AI1303" s="124" t="s">
        <v>1188</v>
      </c>
      <c r="AJ1303" s="122" t="s">
        <v>1194</v>
      </c>
      <c r="AK1303" s="129" t="str">
        <f t="shared" ca="1" si="140"/>
        <v>Late</v>
      </c>
      <c r="AL1303" s="268" t="str">
        <f t="shared" si="145"/>
        <v>February</v>
      </c>
      <c r="AM1303" s="133">
        <f>YEAR(Table1[[#This Row],[ETA
As requested
dd.mm.yyyy]])</f>
        <v>2024</v>
      </c>
    </row>
    <row r="1304" spans="1:39" hidden="1">
      <c r="A1304" s="123" t="s">
        <v>27</v>
      </c>
      <c r="B1304" s="36" t="s">
        <v>1170</v>
      </c>
      <c r="C1304" s="117">
        <v>5500492363</v>
      </c>
      <c r="D1304" s="165">
        <v>45446</v>
      </c>
      <c r="E1304" s="117" t="s">
        <v>33</v>
      </c>
      <c r="F1304" s="36" t="str">
        <f>IFERROR(VLOOKUP(Table1[[#This Row],[Part Number]],DATABASE_FG!$C$6:D11293,2,FALSE)," ")</f>
        <v>HOUSING            DBD.10G1X/</v>
      </c>
      <c r="G1304" s="117" t="str">
        <f>IFERROR(_xlfn.XLOOKUP(Table1[[#This Row],[Part Number]],Table3[Part number],Table3[Drawing
 Revision]),"")</f>
        <v>H</v>
      </c>
      <c r="H1304" s="118" cm="1">
        <f t="array" ref="H1304">IFERROR(INDEX(PDB!$C:$AT,MATCH(E1304,PDB!$B:$B,0),MATCH(YEAR(K1304),0+PDB!$C$1:$AT$1,0)),"")</f>
        <v>23.5</v>
      </c>
      <c r="I1304" s="36">
        <v>0</v>
      </c>
      <c r="J1304" s="125">
        <f>IFERROR(Table1[[#This Row],[Quantity]]*Table1[[#This Row],[Price/Unit
EUR]]," ")</f>
        <v>0</v>
      </c>
      <c r="K1304" s="126">
        <v>45323</v>
      </c>
      <c r="L1304" s="36">
        <f>WEEKNUM(Table1[[#This Row],[ETA
As requested
dd.mm.yyyy]])</f>
        <v>5</v>
      </c>
      <c r="M1304" s="36">
        <f>YEAR(Table1[[#This Row],[ETA
As requested
dd.mm.yyyy]])</f>
        <v>2024</v>
      </c>
      <c r="N1304" s="36">
        <f>IFERROR(INDEX(DATABASE_FG!$H$5:$H$367, MATCH(E1304, DATABASE_FG!$C$5:$C$367, 0)), " ")</f>
        <v>18</v>
      </c>
      <c r="O1304" s="129" t="str">
        <f>IF(E1304&lt;&gt;"", _xlfn.XLOOKUP(E1304, DATABASE_FG!C:C, DATABASE_FG!F:F), " ")</f>
        <v>DBD.10</v>
      </c>
      <c r="P1304" s="129">
        <f>IFERROR(INDEX(DATABASE_FG!$G$5:$G$367, MATCH(E1304, DATABASE_FG!$C$5:$C$367, 0)), "Not Found")</f>
        <v>162</v>
      </c>
      <c r="Q1304" s="36">
        <v>60</v>
      </c>
      <c r="R1304" s="125" t="s">
        <v>678</v>
      </c>
      <c r="S1304" s="123">
        <f>Table1[[#This Row],[Quantity]]/48</f>
        <v>0</v>
      </c>
      <c r="T1304" s="36" t="s">
        <v>677</v>
      </c>
      <c r="U1304" s="36"/>
      <c r="V1304" s="36"/>
      <c r="W1304" s="129"/>
      <c r="X1304" s="36"/>
      <c r="Y1304" s="36"/>
      <c r="Z1304" s="36"/>
      <c r="AA1304" s="125" t="s">
        <v>121</v>
      </c>
      <c r="AB1304" s="173">
        <v>45533</v>
      </c>
      <c r="AC1304" s="119">
        <v>202401076</v>
      </c>
      <c r="AD1304" s="36">
        <f t="shared" si="143"/>
        <v>5500492363</v>
      </c>
      <c r="AE1304" s="36" t="str">
        <f t="shared" si="144"/>
        <v>R900305228</v>
      </c>
      <c r="AF1304" s="36">
        <v>185</v>
      </c>
      <c r="AG1304" s="120">
        <f t="shared" si="142"/>
        <v>4347.5</v>
      </c>
      <c r="AH1304" s="36"/>
      <c r="AI1304" s="124" t="s">
        <v>1188</v>
      </c>
      <c r="AJ1304" s="122" t="s">
        <v>1195</v>
      </c>
      <c r="AK1304" s="129" t="str">
        <f t="shared" ca="1" si="140"/>
        <v>Late</v>
      </c>
      <c r="AL1304" s="268" t="str">
        <f t="shared" si="145"/>
        <v>February</v>
      </c>
      <c r="AM1304" s="133">
        <f>YEAR(Table1[[#This Row],[ETA
As requested
dd.mm.yyyy]])</f>
        <v>2024</v>
      </c>
    </row>
    <row r="1305" spans="1:39" ht="15.75" hidden="1">
      <c r="A1305" s="123" t="s">
        <v>27</v>
      </c>
      <c r="B1305" s="36" t="s">
        <v>1170</v>
      </c>
      <c r="C1305" s="117">
        <v>5500492363</v>
      </c>
      <c r="D1305" s="165">
        <v>45446</v>
      </c>
      <c r="E1305" s="117" t="s">
        <v>33</v>
      </c>
      <c r="F1305" s="36" t="str">
        <f>IFERROR(VLOOKUP(Table1[[#This Row],[Part Number]],DATABASE_FG!$C$6:D11294,2,FALSE)," ")</f>
        <v>HOUSING            DBD.10G1X/</v>
      </c>
      <c r="G1305" s="117" t="str">
        <f>IFERROR(_xlfn.XLOOKUP(Table1[[#This Row],[Part Number]],Table3[Part number],Table3[Drawing
 Revision]),"")</f>
        <v>H</v>
      </c>
      <c r="H1305" s="118" cm="1">
        <f t="array" ref="H1305">IFERROR(INDEX(PDB!$C:$AT,MATCH(E1305,PDB!$B:$B,0),MATCH(YEAR(K1305),0+PDB!$C$1:$AT$1,0)),"")</f>
        <v>23.5</v>
      </c>
      <c r="I1305" s="36">
        <v>0</v>
      </c>
      <c r="J1305" s="125">
        <f>IFERROR(Table1[[#This Row],[Quantity]]*Table1[[#This Row],[Price/Unit
EUR]]," ")</f>
        <v>0</v>
      </c>
      <c r="K1305" s="126">
        <v>45323</v>
      </c>
      <c r="L1305" s="36">
        <f>WEEKNUM(Table1[[#This Row],[ETA
As requested
dd.mm.yyyy]])</f>
        <v>5</v>
      </c>
      <c r="M1305" s="36">
        <f>YEAR(Table1[[#This Row],[ETA
As requested
dd.mm.yyyy]])</f>
        <v>2024</v>
      </c>
      <c r="N1305" s="36">
        <f>IFERROR(INDEX(DATABASE_FG!$H$5:$H$367, MATCH(E1305, DATABASE_FG!$C$5:$C$367, 0)), " ")</f>
        <v>18</v>
      </c>
      <c r="O1305" s="129" t="str">
        <f>IF(E1305&lt;&gt;"", _xlfn.XLOOKUP(E1305, DATABASE_FG!C:C, DATABASE_FG!F:F), " ")</f>
        <v>DBD.10</v>
      </c>
      <c r="P1305" s="129">
        <f>IFERROR(INDEX(DATABASE_FG!$G$5:$G$367, MATCH(E1305, DATABASE_FG!$C$5:$C$367, 0)), "Not Found")</f>
        <v>162</v>
      </c>
      <c r="Q1305" s="36">
        <v>60</v>
      </c>
      <c r="R1305" s="125" t="s">
        <v>678</v>
      </c>
      <c r="S1305" s="123">
        <f>Table1[[#This Row],[Quantity]]/48</f>
        <v>0</v>
      </c>
      <c r="T1305" s="36" t="s">
        <v>677</v>
      </c>
      <c r="U1305" s="36"/>
      <c r="V1305" s="36"/>
      <c r="W1305" s="129"/>
      <c r="X1305" s="36"/>
      <c r="Y1305" s="36"/>
      <c r="Z1305" s="36"/>
      <c r="AA1305" s="125" t="s">
        <v>121</v>
      </c>
      <c r="AB1305" s="173">
        <v>45541</v>
      </c>
      <c r="AC1305" s="119">
        <v>202401110</v>
      </c>
      <c r="AD1305" s="36">
        <f t="shared" si="143"/>
        <v>5500492363</v>
      </c>
      <c r="AE1305" s="36" t="str">
        <f t="shared" si="144"/>
        <v>R900305228</v>
      </c>
      <c r="AF1305" s="36">
        <v>13</v>
      </c>
      <c r="AG1305" s="120">
        <f t="shared" si="142"/>
        <v>305.5</v>
      </c>
      <c r="AH1305" s="36"/>
      <c r="AI1305" s="124" t="s">
        <v>1188</v>
      </c>
      <c r="AJ1305" s="122" t="s">
        <v>1196</v>
      </c>
      <c r="AK1305" s="129" t="str">
        <f t="shared" ca="1" si="140"/>
        <v>Late</v>
      </c>
      <c r="AL1305" s="268" t="str">
        <f t="shared" si="145"/>
        <v>February</v>
      </c>
      <c r="AM1305" s="133">
        <f>YEAR(Table1[[#This Row],[ETA
As requested
dd.mm.yyyy]])</f>
        <v>2024</v>
      </c>
    </row>
    <row r="1306" spans="1:39" ht="15.75" hidden="1">
      <c r="A1306" s="123" t="s">
        <v>27</v>
      </c>
      <c r="B1306" s="36" t="s">
        <v>1170</v>
      </c>
      <c r="C1306" s="117">
        <v>5500492363</v>
      </c>
      <c r="D1306" s="165">
        <v>45446</v>
      </c>
      <c r="E1306" s="117" t="s">
        <v>33</v>
      </c>
      <c r="F1306" s="36" t="str">
        <f>IFERROR(VLOOKUP(Table1[[#This Row],[Part Number]],DATABASE_FG!$C$6:D11295,2,FALSE)," ")</f>
        <v>HOUSING            DBD.10G1X/</v>
      </c>
      <c r="G1306" s="117" t="str">
        <f>IFERROR(_xlfn.XLOOKUP(Table1[[#This Row],[Part Number]],Table3[Part number],Table3[Drawing
 Revision]),"")</f>
        <v>H</v>
      </c>
      <c r="H1306" s="118" cm="1">
        <f t="array" ref="H1306">IFERROR(INDEX(PDB!$C:$AT,MATCH(E1306,PDB!$B:$B,0),MATCH(YEAR(K1306),0+PDB!$C$1:$AT$1,0)),"")</f>
        <v>23.5</v>
      </c>
      <c r="I1306" s="36">
        <v>0</v>
      </c>
      <c r="J1306" s="125">
        <f>IFERROR(Table1[[#This Row],[Quantity]]*Table1[[#This Row],[Price/Unit
EUR]]," ")</f>
        <v>0</v>
      </c>
      <c r="K1306" s="126">
        <v>45323</v>
      </c>
      <c r="L1306" s="36">
        <f>WEEKNUM(Table1[[#This Row],[ETA
As requested
dd.mm.yyyy]])</f>
        <v>5</v>
      </c>
      <c r="M1306" s="36">
        <f>YEAR(Table1[[#This Row],[ETA
As requested
dd.mm.yyyy]])</f>
        <v>2024</v>
      </c>
      <c r="N1306" s="36">
        <f>IFERROR(INDEX(DATABASE_FG!$H$5:$H$367, MATCH(E1306, DATABASE_FG!$C$5:$C$367, 0)), " ")</f>
        <v>18</v>
      </c>
      <c r="O1306" s="129" t="str">
        <f>IF(E1306&lt;&gt;"", _xlfn.XLOOKUP(E1306, DATABASE_FG!C:C, DATABASE_FG!F:F), " ")</f>
        <v>DBD.10</v>
      </c>
      <c r="P1306" s="129">
        <f>IFERROR(INDEX(DATABASE_FG!$G$5:$G$367, MATCH(E1306, DATABASE_FG!$C$5:$C$367, 0)), "Not Found")</f>
        <v>162</v>
      </c>
      <c r="Q1306" s="36">
        <v>60</v>
      </c>
      <c r="R1306" s="125" t="s">
        <v>678</v>
      </c>
      <c r="S1306" s="123">
        <f>Table1[[#This Row],[Quantity]]/48</f>
        <v>0</v>
      </c>
      <c r="T1306" s="36" t="s">
        <v>677</v>
      </c>
      <c r="U1306" s="36"/>
      <c r="V1306" s="36"/>
      <c r="W1306" s="129"/>
      <c r="X1306" s="36"/>
      <c r="Y1306" s="36"/>
      <c r="Z1306" s="36"/>
      <c r="AA1306" s="125" t="s">
        <v>121</v>
      </c>
      <c r="AB1306" s="173">
        <v>45548</v>
      </c>
      <c r="AC1306" s="119">
        <v>202401128</v>
      </c>
      <c r="AD1306" s="36">
        <f t="shared" si="143"/>
        <v>5500492363</v>
      </c>
      <c r="AE1306" s="36" t="str">
        <f t="shared" si="144"/>
        <v>R900305228</v>
      </c>
      <c r="AF1306" s="36">
        <v>9</v>
      </c>
      <c r="AG1306" s="120">
        <f t="shared" si="142"/>
        <v>211.5</v>
      </c>
      <c r="AH1306" s="36"/>
      <c r="AI1306" s="124" t="s">
        <v>1188</v>
      </c>
      <c r="AJ1306" s="122" t="s">
        <v>1197</v>
      </c>
      <c r="AK1306" s="129" t="str">
        <f t="shared" ca="1" si="140"/>
        <v>Late</v>
      </c>
      <c r="AL1306" s="268" t="str">
        <f t="shared" si="145"/>
        <v>February</v>
      </c>
      <c r="AM1306" s="133">
        <f>YEAR(Table1[[#This Row],[ETA
As requested
dd.mm.yyyy]])</f>
        <v>2024</v>
      </c>
    </row>
    <row r="1307" spans="1:39" hidden="1">
      <c r="A1307" s="123" t="s">
        <v>27</v>
      </c>
      <c r="B1307" s="36" t="s">
        <v>1170</v>
      </c>
      <c r="C1307" s="117">
        <v>5500511015</v>
      </c>
      <c r="D1307" s="165">
        <v>45446</v>
      </c>
      <c r="E1307" s="117" t="s">
        <v>33</v>
      </c>
      <c r="F1307" s="36" t="str">
        <f>IFERROR(VLOOKUP(Table1[[#This Row],[Part Number]],DATABASE_FG!$C$6:D11296,2,FALSE)," ")</f>
        <v>HOUSING            DBD.10G1X/</v>
      </c>
      <c r="G1307" s="117" t="str">
        <f>IFERROR(_xlfn.XLOOKUP(Table1[[#This Row],[Part Number]],Table3[Part number],Table3[Drawing
 Revision]),"")</f>
        <v>H</v>
      </c>
      <c r="H1307" s="118" cm="1">
        <f t="array" ref="H1307">IFERROR(INDEX(PDB!$C:$AT,MATCH(E1307,PDB!$B:$B,0),MATCH(YEAR(K1307),0+PDB!$C$1:$AT$1,0)),"")</f>
        <v>23.5</v>
      </c>
      <c r="I1307" s="36">
        <v>67</v>
      </c>
      <c r="J1307" s="125">
        <f>IFERROR(Table1[[#This Row],[Quantity]]*Table1[[#This Row],[Price/Unit
EUR]]," ")</f>
        <v>1574.5</v>
      </c>
      <c r="K1307" s="126">
        <v>45520</v>
      </c>
      <c r="L1307" s="36">
        <f>WEEKNUM(Table1[[#This Row],[ETA
As requested
dd.mm.yyyy]])</f>
        <v>33</v>
      </c>
      <c r="M1307" s="36">
        <f>YEAR(Table1[[#This Row],[ETA
As requested
dd.mm.yyyy]])</f>
        <v>2024</v>
      </c>
      <c r="N1307" s="36">
        <f>IFERROR(INDEX(DATABASE_FG!$H$5:$H$367, MATCH(E1307, DATABASE_FG!$C$5:$C$367, 0)), " ")</f>
        <v>18</v>
      </c>
      <c r="O1307" s="129" t="str">
        <f>IF(E1307&lt;&gt;"", _xlfn.XLOOKUP(E1307, DATABASE_FG!C:C, DATABASE_FG!F:F), " ")</f>
        <v>DBD.10</v>
      </c>
      <c r="P1307" s="129">
        <f>IFERROR(INDEX(DATABASE_FG!$G$5:$G$367, MATCH(E1307, DATABASE_FG!$C$5:$C$367, 0)), "Not Found")</f>
        <v>162</v>
      </c>
      <c r="Q1307" s="36">
        <v>60</v>
      </c>
      <c r="R1307" s="125" t="s">
        <v>678</v>
      </c>
      <c r="S1307" s="123">
        <f>IFERROR(INDEX(DATABASE_FG!$L$5:$L$367, MATCH(E1307, DATABASE_FG!$C$5:$C$367, 0)), " ")</f>
        <v>56</v>
      </c>
      <c r="T1307" s="36" t="s">
        <v>677</v>
      </c>
      <c r="U1307" s="36"/>
      <c r="V1307" s="36"/>
      <c r="W1307" s="129"/>
      <c r="X1307" s="36"/>
      <c r="Y1307" s="36"/>
      <c r="Z1307" s="36"/>
      <c r="AA1307" s="125" t="s">
        <v>121</v>
      </c>
      <c r="AB1307" s="173">
        <v>45511</v>
      </c>
      <c r="AC1307" s="119">
        <v>2024991</v>
      </c>
      <c r="AD1307" s="36">
        <f t="shared" si="143"/>
        <v>5500511015</v>
      </c>
      <c r="AE1307" s="36" t="str">
        <f t="shared" si="144"/>
        <v>R900305228</v>
      </c>
      <c r="AF1307" s="36">
        <f>162-95</f>
        <v>67</v>
      </c>
      <c r="AG1307" s="120">
        <f t="shared" si="142"/>
        <v>1574.5</v>
      </c>
      <c r="AH1307" s="36"/>
      <c r="AI1307" s="124"/>
      <c r="AJ1307" s="122" t="s">
        <v>1964</v>
      </c>
      <c r="AK1307" s="129" t="str">
        <f t="shared" ca="1" si="140"/>
        <v>On Time</v>
      </c>
      <c r="AL1307" s="268" t="str">
        <f t="shared" si="145"/>
        <v>August</v>
      </c>
      <c r="AM1307" s="133">
        <f>YEAR(Table1[[#This Row],[ETA
As requested
dd.mm.yyyy]])</f>
        <v>2024</v>
      </c>
    </row>
    <row r="1308" spans="1:39" hidden="1">
      <c r="A1308" s="123" t="s">
        <v>27</v>
      </c>
      <c r="B1308" s="36" t="s">
        <v>1170</v>
      </c>
      <c r="C1308" s="117">
        <v>5500511015</v>
      </c>
      <c r="D1308" s="165">
        <v>45572</v>
      </c>
      <c r="E1308" s="117" t="s">
        <v>33</v>
      </c>
      <c r="F1308" s="36" t="str">
        <f>IFERROR(VLOOKUP(Table1[[#This Row],[Part Number]],DATABASE_FG!$C$6:D11297,2,FALSE)," ")</f>
        <v>HOUSING            DBD.10G1X/</v>
      </c>
      <c r="G1308" s="117" t="str">
        <f>IFERROR(_xlfn.XLOOKUP(Table1[[#This Row],[Part Number]],Table3[Part number],Table3[Drawing
 Revision]),"")</f>
        <v>H</v>
      </c>
      <c r="H1308" s="118" cm="1">
        <f t="array" ref="H1308">IFERROR(INDEX(PDB!$C:$AT,MATCH(E1308,PDB!$B:$B,0),MATCH(YEAR(K1308),0+PDB!$C$1:$AT$1,0)),"")</f>
        <v>23.5</v>
      </c>
      <c r="I1308" s="36">
        <v>6</v>
      </c>
      <c r="J1308" s="125">
        <f>IFERROR(Table1[[#This Row],[Quantity]]*Table1[[#This Row],[Price/Unit
EUR]]," ")</f>
        <v>141</v>
      </c>
      <c r="K1308" s="126">
        <v>45551</v>
      </c>
      <c r="L1308" s="36">
        <f>WEEKNUM(Table1[[#This Row],[ETA
As requested
dd.mm.yyyy]])</f>
        <v>38</v>
      </c>
      <c r="M1308" s="36">
        <f>YEAR(Table1[[#This Row],[ETA
As requested
dd.mm.yyyy]])</f>
        <v>2024</v>
      </c>
      <c r="N1308" s="36">
        <f>IFERROR(INDEX(DATABASE_FG!$H$5:$H$367, MATCH(E1308, DATABASE_FG!$C$5:$C$367, 0)), " ")</f>
        <v>18</v>
      </c>
      <c r="O1308" s="129" t="str">
        <f>IF(E1308&lt;&gt;"", _xlfn.XLOOKUP(E1308, DATABASE_FG!C:C, DATABASE_FG!F:F), " ")</f>
        <v>DBD.10</v>
      </c>
      <c r="P1308" s="129">
        <f>IFERROR(INDEX(DATABASE_FG!$G$5:$G$367, MATCH(E1308, DATABASE_FG!$C$5:$C$367, 0)), "Not Found")</f>
        <v>162</v>
      </c>
      <c r="Q1308" s="36">
        <v>60</v>
      </c>
      <c r="R1308" s="125" t="s">
        <v>678</v>
      </c>
      <c r="S1308" s="123">
        <f>IFERROR(INDEX(DATABASE_FG!$L$5:$L$367, MATCH(E1308, DATABASE_FG!$C$5:$C$367, 0)), " ")</f>
        <v>56</v>
      </c>
      <c r="T1308" s="36" t="s">
        <v>677</v>
      </c>
      <c r="U1308" s="36"/>
      <c r="V1308" s="36"/>
      <c r="W1308" s="129"/>
      <c r="X1308" s="36"/>
      <c r="Y1308" s="36"/>
      <c r="Z1308" s="36"/>
      <c r="AA1308" s="125" t="s">
        <v>121</v>
      </c>
      <c r="AB1308" s="173">
        <v>45600</v>
      </c>
      <c r="AC1308" s="119">
        <v>202401320</v>
      </c>
      <c r="AD1308" s="36">
        <f t="shared" si="143"/>
        <v>5500511015</v>
      </c>
      <c r="AE1308" s="36" t="str">
        <f t="shared" si="144"/>
        <v>R900305228</v>
      </c>
      <c r="AF1308" s="36">
        <v>6</v>
      </c>
      <c r="AG1308" s="120">
        <f t="shared" si="142"/>
        <v>141</v>
      </c>
      <c r="AH1308" s="36"/>
      <c r="AI1308" s="124"/>
      <c r="AJ1308" s="122" t="s">
        <v>2382</v>
      </c>
      <c r="AK1308" s="129" t="str">
        <f t="shared" ca="1" si="140"/>
        <v>Late</v>
      </c>
      <c r="AL1308" s="268" t="str">
        <f t="shared" si="145"/>
        <v>September</v>
      </c>
      <c r="AM1308" s="133">
        <f>YEAR(Table1[[#This Row],[ETA
As requested
dd.mm.yyyy]])</f>
        <v>2024</v>
      </c>
    </row>
    <row r="1309" spans="1:39" hidden="1">
      <c r="A1309" s="123" t="s">
        <v>27</v>
      </c>
      <c r="B1309" s="36" t="s">
        <v>1170</v>
      </c>
      <c r="C1309" s="117">
        <v>5500511015</v>
      </c>
      <c r="D1309" s="165">
        <v>45446</v>
      </c>
      <c r="E1309" s="117" t="s">
        <v>33</v>
      </c>
      <c r="F1309" s="36" t="str">
        <f>IFERROR(VLOOKUP(Table1[[#This Row],[Part Number]],DATABASE_FG!$C$6:D11298,2,FALSE)," ")</f>
        <v>HOUSING            DBD.10G1X/</v>
      </c>
      <c r="G1309" s="117" t="str">
        <f>IFERROR(_xlfn.XLOOKUP(Table1[[#This Row],[Part Number]],Table3[Part number],Table3[Drawing
 Revision]),"")</f>
        <v>H</v>
      </c>
      <c r="H1309" s="118" cm="1">
        <f t="array" ref="H1309">IFERROR(INDEX(PDB!$C:$AT,MATCH(E1309,PDB!$B:$B,0),MATCH(YEAR(K1309),0+PDB!$C$1:$AT$1,0)),"")</f>
        <v>23.5</v>
      </c>
      <c r="I1309" s="36">
        <v>43</v>
      </c>
      <c r="J1309" s="125">
        <f>IFERROR(Table1[[#This Row],[Quantity]]*Table1[[#This Row],[Price/Unit
EUR]]," ")</f>
        <v>1010.5</v>
      </c>
      <c r="K1309" s="126">
        <v>45553</v>
      </c>
      <c r="L1309" s="36">
        <f>WEEKNUM(Table1[[#This Row],[ETA
As requested
dd.mm.yyyy]])</f>
        <v>38</v>
      </c>
      <c r="M1309" s="36">
        <f>YEAR(Table1[[#This Row],[ETA
As requested
dd.mm.yyyy]])</f>
        <v>2024</v>
      </c>
      <c r="N1309" s="36">
        <f>IFERROR(INDEX(DATABASE_FG!$H$5:$H$367, MATCH(E1309, DATABASE_FG!$C$5:$C$367, 0)), " ")</f>
        <v>18</v>
      </c>
      <c r="O1309" s="129" t="str">
        <f>IF(E1309&lt;&gt;"", _xlfn.XLOOKUP(E1309, DATABASE_FG!C:C, DATABASE_FG!F:F), " ")</f>
        <v>DBD.10</v>
      </c>
      <c r="P1309" s="129">
        <f>IFERROR(INDEX(DATABASE_FG!$G$5:$G$367, MATCH(E1309, DATABASE_FG!$C$5:$C$367, 0)), "Not Found")</f>
        <v>162</v>
      </c>
      <c r="Q1309" s="36">
        <v>60</v>
      </c>
      <c r="R1309" s="125" t="s">
        <v>678</v>
      </c>
      <c r="S1309" s="123">
        <f>IFERROR(INDEX(DATABASE_FG!$L$5:$L$367, MATCH(E1309, DATABASE_FG!$C$5:$C$367, 0)), " ")</f>
        <v>56</v>
      </c>
      <c r="T1309" s="36" t="s">
        <v>677</v>
      </c>
      <c r="U1309" s="36"/>
      <c r="V1309" s="36"/>
      <c r="W1309" s="129"/>
      <c r="X1309" s="36"/>
      <c r="Y1309" s="36"/>
      <c r="Z1309" s="36"/>
      <c r="AA1309" s="125" t="s">
        <v>121</v>
      </c>
      <c r="AB1309" s="173">
        <v>45548</v>
      </c>
      <c r="AC1309" s="119">
        <v>202401129</v>
      </c>
      <c r="AD1309" s="36">
        <f t="shared" si="143"/>
        <v>5500511015</v>
      </c>
      <c r="AE1309" s="36" t="str">
        <f t="shared" si="144"/>
        <v>R900305228</v>
      </c>
      <c r="AF1309" s="36">
        <v>43</v>
      </c>
      <c r="AG1309" s="120">
        <f t="shared" si="142"/>
        <v>1010.5</v>
      </c>
      <c r="AH1309" s="36"/>
      <c r="AI1309" s="124"/>
      <c r="AJ1309" s="122" t="s">
        <v>2385</v>
      </c>
      <c r="AK1309" s="129" t="str">
        <f t="shared" ca="1" si="140"/>
        <v>On Time</v>
      </c>
      <c r="AL1309" s="268" t="str">
        <f t="shared" si="145"/>
        <v>September</v>
      </c>
      <c r="AM1309" s="133">
        <f>YEAR(Table1[[#This Row],[ETA
As requested
dd.mm.yyyy]])</f>
        <v>2024</v>
      </c>
    </row>
    <row r="1310" spans="1:39" hidden="1">
      <c r="A1310" s="123" t="s">
        <v>27</v>
      </c>
      <c r="B1310" s="36" t="s">
        <v>1170</v>
      </c>
      <c r="C1310" s="117">
        <v>5500511015</v>
      </c>
      <c r="D1310" s="165">
        <v>45572</v>
      </c>
      <c r="E1310" s="117" t="s">
        <v>33</v>
      </c>
      <c r="F1310" s="36" t="str">
        <f>IFERROR(VLOOKUP(Table1[[#This Row],[Part Number]],DATABASE_FG!$C$6:D11299,2,FALSE)," ")</f>
        <v>HOUSING            DBD.10G1X/</v>
      </c>
      <c r="G1310" s="117" t="str">
        <f>IFERROR(_xlfn.XLOOKUP(Table1[[#This Row],[Part Number]],Table3[Part number],Table3[Drawing
 Revision]),"")</f>
        <v>H</v>
      </c>
      <c r="H1310" s="118" cm="1">
        <f t="array" ref="H1310">IFERROR(INDEX(PDB!$C:$AT,MATCH(E1310,PDB!$B:$B,0),MATCH(YEAR(K1310),0+PDB!$C$1:$AT$1,0)),"")</f>
        <v>23.5</v>
      </c>
      <c r="I1310" s="36">
        <v>19</v>
      </c>
      <c r="J1310" s="125">
        <f>IFERROR(Table1[[#This Row],[Quantity]]*Table1[[#This Row],[Price/Unit
EUR]]," ")</f>
        <v>446.5</v>
      </c>
      <c r="K1310" s="126">
        <v>45582</v>
      </c>
      <c r="L1310" s="36">
        <f>WEEKNUM(Table1[[#This Row],[ETA
As requested
dd.mm.yyyy]])</f>
        <v>42</v>
      </c>
      <c r="M1310" s="36">
        <f>YEAR(Table1[[#This Row],[ETA
As requested
dd.mm.yyyy]])</f>
        <v>2024</v>
      </c>
      <c r="N1310" s="36">
        <f>IFERROR(INDEX(DATABASE_FG!$H$5:$H$367, MATCH(E1310, DATABASE_FG!$C$5:$C$367, 0)), " ")</f>
        <v>18</v>
      </c>
      <c r="O1310" s="129" t="str">
        <f>IF(E1310&lt;&gt;"", _xlfn.XLOOKUP(E1310, DATABASE_FG!C:C, DATABASE_FG!F:F), " ")</f>
        <v>DBD.10</v>
      </c>
      <c r="P1310" s="129">
        <f>IFERROR(INDEX(DATABASE_FG!$G$5:$G$367, MATCH(E1310, DATABASE_FG!$C$5:$C$367, 0)), "Not Found")</f>
        <v>162</v>
      </c>
      <c r="Q1310" s="36">
        <v>60</v>
      </c>
      <c r="R1310" s="125" t="s">
        <v>678</v>
      </c>
      <c r="S1310" s="123">
        <f>IFERROR(INDEX(DATABASE_FG!$L$5:$L$367, MATCH(E1310, DATABASE_FG!$C$5:$C$367, 0)), " ")</f>
        <v>56</v>
      </c>
      <c r="T1310" s="36" t="s">
        <v>677</v>
      </c>
      <c r="U1310" s="36"/>
      <c r="V1310" s="36"/>
      <c r="W1310" s="129"/>
      <c r="X1310" s="36"/>
      <c r="Y1310" s="36"/>
      <c r="Z1310" s="36"/>
      <c r="AA1310" s="125" t="s">
        <v>121</v>
      </c>
      <c r="AB1310" s="173">
        <v>45600</v>
      </c>
      <c r="AC1310" s="119">
        <v>202401320</v>
      </c>
      <c r="AD1310" s="36">
        <f t="shared" si="143"/>
        <v>5500511015</v>
      </c>
      <c r="AE1310" s="36" t="str">
        <f t="shared" si="144"/>
        <v>R900305228</v>
      </c>
      <c r="AF1310" s="36">
        <v>19</v>
      </c>
      <c r="AG1310" s="120">
        <f t="shared" si="142"/>
        <v>446.5</v>
      </c>
      <c r="AH1310" s="36"/>
      <c r="AI1310" s="124"/>
      <c r="AJ1310" s="122" t="s">
        <v>2382</v>
      </c>
      <c r="AK1310" s="129" t="str">
        <f t="shared" ca="1" si="140"/>
        <v>Late</v>
      </c>
      <c r="AL1310" s="268" t="str">
        <f t="shared" si="145"/>
        <v>October</v>
      </c>
      <c r="AM1310" s="133">
        <f>YEAR(Table1[[#This Row],[ETA
As requested
dd.mm.yyyy]])</f>
        <v>2024</v>
      </c>
    </row>
    <row r="1311" spans="1:39" hidden="1">
      <c r="A1311" s="123" t="s">
        <v>27</v>
      </c>
      <c r="B1311" s="36" t="s">
        <v>1170</v>
      </c>
      <c r="C1311" s="117">
        <v>5500511015</v>
      </c>
      <c r="D1311" s="165">
        <v>45572</v>
      </c>
      <c r="E1311" s="117" t="s">
        <v>33</v>
      </c>
      <c r="F1311" s="36" t="str">
        <f>IFERROR(VLOOKUP(Table1[[#This Row],[Part Number]],DATABASE_FG!$C$6:D11300,2,FALSE)," ")</f>
        <v>HOUSING            DBD.10G1X/</v>
      </c>
      <c r="G1311" s="117" t="str">
        <f>IFERROR(_xlfn.XLOOKUP(Table1[[#This Row],[Part Number]],Table3[Part number],Table3[Drawing
 Revision]),"")</f>
        <v>H</v>
      </c>
      <c r="H1311" s="118" cm="1">
        <f t="array" ref="H1311">IFERROR(INDEX(PDB!$C:$AT,MATCH(E1311,PDB!$B:$B,0),MATCH(YEAR(K1311),0+PDB!$C$1:$AT$1,0)),"")</f>
        <v>23.5</v>
      </c>
      <c r="I1311" s="36">
        <f>72-25</f>
        <v>47</v>
      </c>
      <c r="J1311" s="125">
        <f>IFERROR(Table1[[#This Row],[Quantity]]*Table1[[#This Row],[Price/Unit
EUR]]," ")</f>
        <v>1104.5</v>
      </c>
      <c r="K1311" s="126">
        <v>45593</v>
      </c>
      <c r="L1311" s="36">
        <f>WEEKNUM(Table1[[#This Row],[ETA
As requested
dd.mm.yyyy]])</f>
        <v>44</v>
      </c>
      <c r="M1311" s="36">
        <f>YEAR(Table1[[#This Row],[ETA
As requested
dd.mm.yyyy]])</f>
        <v>2024</v>
      </c>
      <c r="N1311" s="36">
        <f>IFERROR(INDEX(DATABASE_FG!$H$5:$H$367, MATCH(E1311, DATABASE_FG!$C$5:$C$367, 0)), " ")</f>
        <v>18</v>
      </c>
      <c r="O1311" s="129" t="str">
        <f>IF(E1311&lt;&gt;"", _xlfn.XLOOKUP(E1311, DATABASE_FG!C:C, DATABASE_FG!F:F), " ")</f>
        <v>DBD.10</v>
      </c>
      <c r="P1311" s="129">
        <f>IFERROR(INDEX(DATABASE_FG!$G$5:$G$367, MATCH(E1311, DATABASE_FG!$C$5:$C$367, 0)), "Not Found")</f>
        <v>162</v>
      </c>
      <c r="Q1311" s="36">
        <v>60</v>
      </c>
      <c r="R1311" s="125" t="s">
        <v>678</v>
      </c>
      <c r="S1311" s="123">
        <f>IFERROR(INDEX(DATABASE_FG!$L$5:$L$367, MATCH(E1311, DATABASE_FG!$C$5:$C$367, 0)), " ")</f>
        <v>56</v>
      </c>
      <c r="T1311" s="36" t="s">
        <v>677</v>
      </c>
      <c r="U1311" s="36"/>
      <c r="V1311" s="36"/>
      <c r="W1311" s="129"/>
      <c r="X1311" s="36"/>
      <c r="Y1311" s="36"/>
      <c r="Z1311" s="36"/>
      <c r="AA1311" s="125" t="s">
        <v>121</v>
      </c>
      <c r="AB1311" s="173">
        <v>45600</v>
      </c>
      <c r="AC1311" s="119">
        <v>202401320</v>
      </c>
      <c r="AD1311" s="36">
        <f t="shared" si="143"/>
        <v>5500511015</v>
      </c>
      <c r="AE1311" s="36" t="str">
        <f t="shared" si="144"/>
        <v>R900305228</v>
      </c>
      <c r="AF1311" s="36">
        <v>47</v>
      </c>
      <c r="AG1311" s="120">
        <f t="shared" si="142"/>
        <v>1104.5</v>
      </c>
      <c r="AH1311" s="36"/>
      <c r="AI1311" s="124"/>
      <c r="AJ1311" s="122" t="s">
        <v>2382</v>
      </c>
      <c r="AK1311" s="129" t="str">
        <f t="shared" ca="1" si="140"/>
        <v>Late</v>
      </c>
      <c r="AL1311" s="268" t="str">
        <f t="shared" si="145"/>
        <v>October</v>
      </c>
      <c r="AM1311" s="133">
        <f>YEAR(Table1[[#This Row],[ETA
As requested
dd.mm.yyyy]])</f>
        <v>2024</v>
      </c>
    </row>
    <row r="1312" spans="1:39" hidden="1">
      <c r="A1312" s="123" t="s">
        <v>27</v>
      </c>
      <c r="B1312" s="36" t="s">
        <v>1170</v>
      </c>
      <c r="C1312" s="117">
        <v>5500511015</v>
      </c>
      <c r="D1312" s="165">
        <v>45572</v>
      </c>
      <c r="E1312" s="117" t="s">
        <v>33</v>
      </c>
      <c r="F1312" s="36" t="str">
        <f>IFERROR(VLOOKUP(Table1[[#This Row],[Part Number]],DATABASE_FG!$C$6:D11301,2,FALSE)," ")</f>
        <v>HOUSING            DBD.10G1X/</v>
      </c>
      <c r="G1312" s="117" t="str">
        <f>IFERROR(_xlfn.XLOOKUP(Table1[[#This Row],[Part Number]],Table3[Part number],Table3[Drawing
 Revision]),"")</f>
        <v>H</v>
      </c>
      <c r="H1312" s="118" cm="1">
        <f t="array" ref="H1312">IFERROR(INDEX(PDB!$C:$AT,MATCH(E1312,PDB!$B:$B,0),MATCH(YEAR(K1312),0+PDB!$C$1:$AT$1,0)),"")</f>
        <v>23.5</v>
      </c>
      <c r="I1312" s="36">
        <f>120-47+5</f>
        <v>78</v>
      </c>
      <c r="J1312" s="125">
        <f>IFERROR(Table1[[#This Row],[Quantity]]*Table1[[#This Row],[Price/Unit
EUR]]," ")</f>
        <v>1833</v>
      </c>
      <c r="K1312" s="126">
        <v>45593</v>
      </c>
      <c r="L1312" s="36">
        <f>WEEKNUM(Table1[[#This Row],[ETA
As requested
dd.mm.yyyy]])</f>
        <v>44</v>
      </c>
      <c r="M1312" s="36">
        <f>YEAR(Table1[[#This Row],[ETA
As requested
dd.mm.yyyy]])</f>
        <v>2024</v>
      </c>
      <c r="N1312" s="36">
        <f>IFERROR(INDEX(DATABASE_FG!$H$5:$H$367, MATCH(E1312, DATABASE_FG!$C$5:$C$367, 0)), " ")</f>
        <v>18</v>
      </c>
      <c r="O1312" s="129" t="str">
        <f>IF(E1312&lt;&gt;"", _xlfn.XLOOKUP(E1312, DATABASE_FG!C:C, DATABASE_FG!F:F), " ")</f>
        <v>DBD.10</v>
      </c>
      <c r="P1312" s="129">
        <f>IFERROR(INDEX(DATABASE_FG!$G$5:$G$367, MATCH(E1312, DATABASE_FG!$C$5:$C$367, 0)), "Not Found")</f>
        <v>162</v>
      </c>
      <c r="Q1312" s="36">
        <v>60</v>
      </c>
      <c r="R1312" s="125" t="s">
        <v>678</v>
      </c>
      <c r="S1312" s="123">
        <f>IFERROR(INDEX(DATABASE_FG!$L$5:$L$367, MATCH(E1312, DATABASE_FG!$C$5:$C$367, 0)), " ")</f>
        <v>56</v>
      </c>
      <c r="T1312" s="36" t="s">
        <v>677</v>
      </c>
      <c r="U1312" s="36"/>
      <c r="V1312" s="36"/>
      <c r="W1312" s="129"/>
      <c r="X1312" s="36"/>
      <c r="Y1312" s="36"/>
      <c r="Z1312" s="36"/>
      <c r="AA1312" s="125" t="s">
        <v>121</v>
      </c>
      <c r="AB1312" s="173">
        <v>45604</v>
      </c>
      <c r="AC1312" s="119">
        <v>202401349</v>
      </c>
      <c r="AD1312" s="36">
        <f t="shared" si="143"/>
        <v>5500511015</v>
      </c>
      <c r="AE1312" s="36" t="str">
        <f t="shared" si="144"/>
        <v>R900305228</v>
      </c>
      <c r="AF1312" s="36">
        <v>78</v>
      </c>
      <c r="AG1312" s="120">
        <f t="shared" si="142"/>
        <v>1833</v>
      </c>
      <c r="AH1312" s="36"/>
      <c r="AI1312" s="124"/>
      <c r="AJ1312" s="122" t="s">
        <v>2524</v>
      </c>
      <c r="AK1312" s="129" t="str">
        <f t="shared" ca="1" si="140"/>
        <v>Late</v>
      </c>
      <c r="AL1312" s="268" t="str">
        <f t="shared" si="145"/>
        <v>October</v>
      </c>
      <c r="AM1312" s="133">
        <f>YEAR(Table1[[#This Row],[ETA
As requested
dd.mm.yyyy]])</f>
        <v>2024</v>
      </c>
    </row>
    <row r="1313" spans="1:39" hidden="1">
      <c r="A1313" s="123" t="s">
        <v>27</v>
      </c>
      <c r="B1313" s="36" t="s">
        <v>1170</v>
      </c>
      <c r="C1313" s="117">
        <v>5500511015</v>
      </c>
      <c r="D1313" s="165">
        <v>45572</v>
      </c>
      <c r="E1313" s="117" t="s">
        <v>33</v>
      </c>
      <c r="F1313" s="36" t="str">
        <f>IFERROR(VLOOKUP(Table1[[#This Row],[Part Number]],DATABASE_FG!$C$6:D11302,2,FALSE)," ")</f>
        <v>HOUSING            DBD.10G1X/</v>
      </c>
      <c r="G1313" s="117" t="str">
        <f>IFERROR(_xlfn.XLOOKUP(Table1[[#This Row],[Part Number]],Table3[Part number],Table3[Drawing
 Revision]),"")</f>
        <v>H</v>
      </c>
      <c r="H1313" s="118" cm="1">
        <f t="array" ref="H1313">IFERROR(INDEX(PDB!$C:$AT,MATCH(E1313,PDB!$B:$B,0),MATCH(YEAR(K1313),0+PDB!$C$1:$AT$1,0)),"")</f>
        <v>23.5</v>
      </c>
      <c r="I1313" s="36">
        <v>162</v>
      </c>
      <c r="J1313" s="125">
        <f>IFERROR(Table1[[#This Row],[Quantity]]*Table1[[#This Row],[Price/Unit
EUR]]," ")</f>
        <v>3807</v>
      </c>
      <c r="K1313" s="126">
        <v>45600</v>
      </c>
      <c r="L1313" s="36">
        <f>WEEKNUM(Table1[[#This Row],[ETA
As requested
dd.mm.yyyy]])</f>
        <v>45</v>
      </c>
      <c r="M1313" s="36">
        <f>YEAR(Table1[[#This Row],[ETA
As requested
dd.mm.yyyy]])</f>
        <v>2024</v>
      </c>
      <c r="N1313" s="36">
        <f>IFERROR(INDEX(DATABASE_FG!$H$5:$H$367, MATCH(E1313, DATABASE_FG!$C$5:$C$367, 0)), " ")</f>
        <v>18</v>
      </c>
      <c r="O1313" s="129" t="str">
        <f>IF(E1313&lt;&gt;"", _xlfn.XLOOKUP(E1313, DATABASE_FG!C:C, DATABASE_FG!F:F), " ")</f>
        <v>DBD.10</v>
      </c>
      <c r="P1313" s="129">
        <f>IFERROR(INDEX(DATABASE_FG!$G$5:$G$367, MATCH(E1313, DATABASE_FG!$C$5:$C$367, 0)), "Not Found")</f>
        <v>162</v>
      </c>
      <c r="Q1313" s="36">
        <v>60</v>
      </c>
      <c r="R1313" s="125" t="s">
        <v>678</v>
      </c>
      <c r="S1313" s="123">
        <f>IFERROR(INDEX(DATABASE_FG!$L$5:$L$367, MATCH(E1313, DATABASE_FG!$C$5:$C$367, 0)), " ")</f>
        <v>56</v>
      </c>
      <c r="T1313" s="36" t="s">
        <v>677</v>
      </c>
      <c r="U1313" s="36"/>
      <c r="V1313" s="36"/>
      <c r="W1313" s="129"/>
      <c r="X1313" s="36"/>
      <c r="Y1313" s="36"/>
      <c r="Z1313" s="36"/>
      <c r="AA1313" s="125" t="s">
        <v>121</v>
      </c>
      <c r="AB1313" s="173">
        <v>45623</v>
      </c>
      <c r="AC1313" s="119">
        <v>202401437</v>
      </c>
      <c r="AD1313" s="36">
        <f t="shared" si="143"/>
        <v>5500511015</v>
      </c>
      <c r="AE1313" s="36" t="str">
        <f t="shared" si="144"/>
        <v>R900305228</v>
      </c>
      <c r="AF1313" s="36">
        <v>162</v>
      </c>
      <c r="AG1313" s="120">
        <f t="shared" si="142"/>
        <v>3807</v>
      </c>
      <c r="AH1313" s="36"/>
      <c r="AI1313" s="124"/>
      <c r="AJ1313" s="122" t="s">
        <v>2546</v>
      </c>
      <c r="AK1313" s="129" t="str">
        <f t="shared" ca="1" si="140"/>
        <v>Late</v>
      </c>
      <c r="AL1313" s="268" t="str">
        <f t="shared" si="145"/>
        <v>November</v>
      </c>
      <c r="AM1313" s="133">
        <f>YEAR(Table1[[#This Row],[ETA
As requested
dd.mm.yyyy]])</f>
        <v>2024</v>
      </c>
    </row>
    <row r="1314" spans="1:39" hidden="1">
      <c r="A1314" s="123" t="s">
        <v>27</v>
      </c>
      <c r="B1314" s="36" t="s">
        <v>1170</v>
      </c>
      <c r="C1314" s="117">
        <v>5500511015</v>
      </c>
      <c r="D1314" s="165">
        <v>45572</v>
      </c>
      <c r="E1314" s="117" t="s">
        <v>33</v>
      </c>
      <c r="F1314" s="36" t="str">
        <f>IFERROR(VLOOKUP(Table1[[#This Row],[Part Number]],DATABASE_FG!$C$6:D11303,2,FALSE)," ")</f>
        <v>HOUSING            DBD.10G1X/</v>
      </c>
      <c r="G1314" s="117" t="str">
        <f>IFERROR(_xlfn.XLOOKUP(Table1[[#This Row],[Part Number]],Table3[Part number],Table3[Drawing
 Revision]),"")</f>
        <v>H</v>
      </c>
      <c r="H1314" s="118" cm="1">
        <f t="array" ref="H1314">IFERROR(INDEX(PDB!$C:$AT,MATCH(E1314,PDB!$B:$B,0),MATCH(YEAR(K1314),0+PDB!$C$1:$AT$1,0)),"")</f>
        <v>23.5</v>
      </c>
      <c r="I1314" s="36">
        <v>168</v>
      </c>
      <c r="J1314" s="125">
        <f>IFERROR(Table1[[#This Row],[Quantity]]*Table1[[#This Row],[Price/Unit
EUR]]," ")</f>
        <v>3948</v>
      </c>
      <c r="K1314" s="126">
        <v>45610</v>
      </c>
      <c r="L1314" s="36">
        <f>WEEKNUM(Table1[[#This Row],[ETA
As requested
dd.mm.yyyy]])</f>
        <v>46</v>
      </c>
      <c r="M1314" s="36">
        <f>YEAR(Table1[[#This Row],[ETA
As requested
dd.mm.yyyy]])</f>
        <v>2024</v>
      </c>
      <c r="N1314" s="36">
        <f>IFERROR(INDEX(DATABASE_FG!$H$5:$H$367, MATCH(E1314, DATABASE_FG!$C$5:$C$367, 0)), " ")</f>
        <v>18</v>
      </c>
      <c r="O1314" s="129" t="str">
        <f>IF(E1314&lt;&gt;"", _xlfn.XLOOKUP(E1314, DATABASE_FG!C:C, DATABASE_FG!F:F), " ")</f>
        <v>DBD.10</v>
      </c>
      <c r="P1314" s="129">
        <f>IFERROR(INDEX(DATABASE_FG!$G$5:$G$367, MATCH(E1314, DATABASE_FG!$C$5:$C$367, 0)), "Not Found")</f>
        <v>162</v>
      </c>
      <c r="Q1314" s="36">
        <v>60</v>
      </c>
      <c r="R1314" s="125" t="s">
        <v>678</v>
      </c>
      <c r="S1314" s="123">
        <f>IFERROR(INDEX(DATABASE_FG!$L$5:$L$367, MATCH(E1314, DATABASE_FG!$C$5:$C$367, 0)), " ")</f>
        <v>56</v>
      </c>
      <c r="T1314" s="36" t="s">
        <v>677</v>
      </c>
      <c r="U1314" s="36"/>
      <c r="V1314" s="36"/>
      <c r="W1314" s="129"/>
      <c r="X1314" s="36"/>
      <c r="Y1314" s="36"/>
      <c r="Z1314" s="36"/>
      <c r="AA1314" s="125" t="s">
        <v>121</v>
      </c>
      <c r="AB1314" s="173">
        <v>45640</v>
      </c>
      <c r="AC1314" s="119">
        <v>202401538</v>
      </c>
      <c r="AD1314" s="36">
        <f t="shared" si="143"/>
        <v>5500511015</v>
      </c>
      <c r="AE1314" s="36" t="str">
        <f t="shared" si="144"/>
        <v>R900305228</v>
      </c>
      <c r="AF1314" s="36">
        <v>168</v>
      </c>
      <c r="AG1314" s="120">
        <f t="shared" si="142"/>
        <v>3948</v>
      </c>
      <c r="AH1314" s="36"/>
      <c r="AI1314" s="124"/>
      <c r="AJ1314" s="122" t="s">
        <v>2595</v>
      </c>
      <c r="AK1314" s="129" t="str">
        <f t="shared" ca="1" si="140"/>
        <v>Late</v>
      </c>
      <c r="AL1314" s="268" t="str">
        <f t="shared" si="145"/>
        <v>November</v>
      </c>
      <c r="AM1314" s="133">
        <f>YEAR(Table1[[#This Row],[ETA
As requested
dd.mm.yyyy]])</f>
        <v>2024</v>
      </c>
    </row>
    <row r="1315" spans="1:39" hidden="1">
      <c r="A1315" s="123" t="s">
        <v>27</v>
      </c>
      <c r="B1315" s="36" t="s">
        <v>1170</v>
      </c>
      <c r="C1315" s="117">
        <v>5500511015</v>
      </c>
      <c r="D1315" s="165">
        <v>45572</v>
      </c>
      <c r="E1315" s="117" t="s">
        <v>33</v>
      </c>
      <c r="F1315" s="36" t="str">
        <f>IFERROR(VLOOKUP(Table1[[#This Row],[Part Number]],DATABASE_FG!$C$6:D11304,2,FALSE)," ")</f>
        <v>HOUSING            DBD.10G1X/</v>
      </c>
      <c r="G1315" s="117" t="str">
        <f>IFERROR(_xlfn.XLOOKUP(Table1[[#This Row],[Part Number]],Table3[Part number],Table3[Drawing
 Revision]),"")</f>
        <v>H</v>
      </c>
      <c r="H1315" s="118" cm="1">
        <f t="array" ref="H1315">IFERROR(INDEX(PDB!$C:$AT,MATCH(E1315,PDB!$B:$B,0),MATCH(YEAR(K1315),0+PDB!$C$1:$AT$1,0)),"")</f>
        <v>23.5</v>
      </c>
      <c r="I1315" s="36">
        <v>208</v>
      </c>
      <c r="J1315" s="125">
        <f>IFERROR(Table1[[#This Row],[Quantity]]*Table1[[#This Row],[Price/Unit
EUR]]," ")</f>
        <v>4888</v>
      </c>
      <c r="K1315" s="126">
        <v>45610</v>
      </c>
      <c r="L1315" s="36">
        <f>WEEKNUM(Table1[[#This Row],[ETA
As requested
dd.mm.yyyy]])</f>
        <v>46</v>
      </c>
      <c r="M1315" s="36">
        <f>YEAR(Table1[[#This Row],[ETA
As requested
dd.mm.yyyy]])</f>
        <v>2024</v>
      </c>
      <c r="N1315" s="36">
        <f>IFERROR(INDEX(DATABASE_FG!$H$5:$H$367, MATCH(E1315, DATABASE_FG!$C$5:$C$367, 0)), " ")</f>
        <v>18</v>
      </c>
      <c r="O1315" s="129" t="str">
        <f>IF(E1315&lt;&gt;"", _xlfn.XLOOKUP(E1315, DATABASE_FG!C:C, DATABASE_FG!F:F), " ")</f>
        <v>DBD.10</v>
      </c>
      <c r="P1315" s="129">
        <f>IFERROR(INDEX(DATABASE_FG!$G$5:$G$367, MATCH(E1315, DATABASE_FG!$C$5:$C$367, 0)), "Not Found")</f>
        <v>162</v>
      </c>
      <c r="Q1315" s="36">
        <v>60</v>
      </c>
      <c r="R1315" s="125" t="s">
        <v>678</v>
      </c>
      <c r="S1315" s="123">
        <f>IFERROR(INDEX(DATABASE_FG!$L$5:$L$367, MATCH(E1315, DATABASE_FG!$C$5:$C$367, 0)), " ")</f>
        <v>56</v>
      </c>
      <c r="T1315" s="36" t="s">
        <v>677</v>
      </c>
      <c r="U1315" s="36"/>
      <c r="V1315" s="36"/>
      <c r="W1315" s="129"/>
      <c r="X1315" s="36"/>
      <c r="Y1315" s="36"/>
      <c r="Z1315" s="36"/>
      <c r="AA1315" s="125" t="s">
        <v>121</v>
      </c>
      <c r="AB1315" s="173">
        <v>45646</v>
      </c>
      <c r="AC1315" s="119">
        <v>202401591</v>
      </c>
      <c r="AD1315" s="36">
        <f t="shared" si="143"/>
        <v>5500511015</v>
      </c>
      <c r="AE1315" s="36" t="str">
        <f t="shared" si="144"/>
        <v>R900305228</v>
      </c>
      <c r="AF1315" s="36">
        <v>208</v>
      </c>
      <c r="AG1315" s="120">
        <f t="shared" si="142"/>
        <v>4888</v>
      </c>
      <c r="AH1315" s="36"/>
      <c r="AI1315" s="124"/>
      <c r="AJ1315" s="122" t="s">
        <v>2596</v>
      </c>
      <c r="AK1315" s="129" t="str">
        <f t="shared" ca="1" si="140"/>
        <v>Late</v>
      </c>
      <c r="AL1315" s="268" t="str">
        <f t="shared" si="145"/>
        <v>November</v>
      </c>
      <c r="AM1315" s="133">
        <f>YEAR(Table1[[#This Row],[ETA
As requested
dd.mm.yyyy]])</f>
        <v>2024</v>
      </c>
    </row>
    <row r="1316" spans="1:39" hidden="1">
      <c r="A1316" s="123" t="s">
        <v>27</v>
      </c>
      <c r="B1316" s="36" t="s">
        <v>1170</v>
      </c>
      <c r="C1316" s="117">
        <v>5500511015</v>
      </c>
      <c r="D1316" s="165">
        <v>45572</v>
      </c>
      <c r="E1316" s="117" t="s">
        <v>33</v>
      </c>
      <c r="F1316" s="36" t="str">
        <f>IFERROR(VLOOKUP(Table1[[#This Row],[Part Number]],DATABASE_FG!$C$6:D11305,2,FALSE)," ")</f>
        <v>HOUSING            DBD.10G1X/</v>
      </c>
      <c r="G1316" s="117" t="str">
        <f>IFERROR(_xlfn.XLOOKUP(Table1[[#This Row],[Part Number]],Table3[Part number],Table3[Drawing
 Revision]),"")</f>
        <v>H</v>
      </c>
      <c r="H1316" s="118" cm="1">
        <f t="array" ref="H1316">IFERROR(INDEX(PDB!$C:$AT,MATCH(E1316,PDB!$B:$B,0),MATCH(YEAR(K1316),0+PDB!$C$1:$AT$1,0)),"")</f>
        <v>23.5</v>
      </c>
      <c r="I1316" s="36">
        <v>109</v>
      </c>
      <c r="J1316" s="125">
        <f>IFERROR(Table1[[#This Row],[Quantity]]*Table1[[#This Row],[Price/Unit
EUR]]," ")</f>
        <v>2561.5</v>
      </c>
      <c r="K1316" s="126">
        <v>45614</v>
      </c>
      <c r="L1316" s="36">
        <f>WEEKNUM(Table1[[#This Row],[ETA
As requested
dd.mm.yyyy]])</f>
        <v>47</v>
      </c>
      <c r="M1316" s="36">
        <f>YEAR(Table1[[#This Row],[ETA
As requested
dd.mm.yyyy]])</f>
        <v>2024</v>
      </c>
      <c r="N1316" s="36">
        <f>IFERROR(INDEX(DATABASE_FG!$H$5:$H$367, MATCH(E1316, DATABASE_FG!$C$5:$C$367, 0)), " ")</f>
        <v>18</v>
      </c>
      <c r="O1316" s="129" t="str">
        <f>IF(E1316&lt;&gt;"", _xlfn.XLOOKUP(E1316, DATABASE_FG!C:C, DATABASE_FG!F:F), " ")</f>
        <v>DBD.10</v>
      </c>
      <c r="P1316" s="129">
        <f>IFERROR(INDEX(DATABASE_FG!$G$5:$G$367, MATCH(E1316, DATABASE_FG!$C$5:$C$367, 0)), "Not Found")</f>
        <v>162</v>
      </c>
      <c r="Q1316" s="36">
        <v>60</v>
      </c>
      <c r="R1316" s="125" t="s">
        <v>678</v>
      </c>
      <c r="S1316" s="123">
        <f>IFERROR(INDEX(DATABASE_FG!$L$5:$L$367, MATCH(E1316, DATABASE_FG!$C$5:$C$367, 0)), " ")</f>
        <v>56</v>
      </c>
      <c r="T1316" s="36" t="s">
        <v>677</v>
      </c>
      <c r="U1316" s="36"/>
      <c r="V1316" s="36"/>
      <c r="W1316" s="129"/>
      <c r="X1316" s="36"/>
      <c r="Y1316" s="36"/>
      <c r="Z1316" s="36"/>
      <c r="AA1316" s="125" t="s">
        <v>121</v>
      </c>
      <c r="AB1316" s="172">
        <v>45632</v>
      </c>
      <c r="AC1316" s="119">
        <v>202401481</v>
      </c>
      <c r="AD1316" s="36">
        <f t="shared" si="143"/>
        <v>5500511015</v>
      </c>
      <c r="AE1316" s="36" t="str">
        <f t="shared" si="144"/>
        <v>R900305228</v>
      </c>
      <c r="AF1316" s="36">
        <v>109</v>
      </c>
      <c r="AG1316" s="120">
        <f t="shared" si="142"/>
        <v>2561.5</v>
      </c>
      <c r="AH1316" s="36"/>
      <c r="AI1316" s="124"/>
      <c r="AJ1316" s="122" t="s">
        <v>2607</v>
      </c>
      <c r="AK1316" s="129" t="str">
        <f t="shared" ca="1" si="140"/>
        <v>Late</v>
      </c>
      <c r="AL1316" s="268" t="str">
        <f t="shared" si="145"/>
        <v>November</v>
      </c>
      <c r="AM1316" s="133">
        <f>YEAR(Table1[[#This Row],[ETA
As requested
dd.mm.yyyy]])</f>
        <v>2024</v>
      </c>
    </row>
    <row r="1317" spans="1:39" hidden="1">
      <c r="A1317" s="123" t="s">
        <v>27</v>
      </c>
      <c r="B1317" s="36" t="s">
        <v>1170</v>
      </c>
      <c r="C1317" s="117">
        <v>5500511015</v>
      </c>
      <c r="D1317" s="165">
        <v>45572</v>
      </c>
      <c r="E1317" s="117" t="s">
        <v>33</v>
      </c>
      <c r="F1317" s="36" t="str">
        <f>IFERROR(VLOOKUP(Table1[[#This Row],[Part Number]],DATABASE_FG!$C$6:D11306,2,FALSE)," ")</f>
        <v>HOUSING            DBD.10G1X/</v>
      </c>
      <c r="G1317" s="117" t="str">
        <f>IFERROR(_xlfn.XLOOKUP(Table1[[#This Row],[Part Number]],Table3[Part number],Table3[Drawing
 Revision]),"")</f>
        <v>H</v>
      </c>
      <c r="H1317" s="118" cm="1">
        <f t="array" ref="H1317">IFERROR(INDEX(PDB!$C:$AT,MATCH(E1317,PDB!$B:$B,0),MATCH(YEAR(K1317),0+PDB!$C$1:$AT$1,0)),"")</f>
        <v>22.38</v>
      </c>
      <c r="I1317" s="36">
        <v>19</v>
      </c>
      <c r="J1317" s="125">
        <f>IFERROR(Table1[[#This Row],[Quantity]]*Table1[[#This Row],[Price/Unit
EUR]]," ")</f>
        <v>425.21999999999997</v>
      </c>
      <c r="K1317" s="126">
        <v>45666</v>
      </c>
      <c r="L1317" s="36">
        <f>WEEKNUM(Table1[[#This Row],[ETA
As requested
dd.mm.yyyy]])</f>
        <v>2</v>
      </c>
      <c r="M1317" s="36">
        <f>YEAR(Table1[[#This Row],[ETA
As requested
dd.mm.yyyy]])</f>
        <v>2025</v>
      </c>
      <c r="N1317" s="36">
        <f>IFERROR(INDEX(DATABASE_FG!$H$5:$H$367, MATCH(E1317, DATABASE_FG!$C$5:$C$367, 0)), " ")</f>
        <v>18</v>
      </c>
      <c r="O1317" s="129" t="str">
        <f>IF(E1317&lt;&gt;"", _xlfn.XLOOKUP(E1317, DATABASE_FG!C:C, DATABASE_FG!F:F), " ")</f>
        <v>DBD.10</v>
      </c>
      <c r="P1317" s="129">
        <f>IFERROR(INDEX(DATABASE_FG!$G$5:$G$367, MATCH(E1317, DATABASE_FG!$C$5:$C$367, 0)), "Not Found")</f>
        <v>162</v>
      </c>
      <c r="Q1317" s="36">
        <v>60</v>
      </c>
      <c r="R1317" s="125" t="s">
        <v>678</v>
      </c>
      <c r="S1317" s="123">
        <f>IFERROR(INDEX(DATABASE_FG!$L$5:$L$367, MATCH(E1317, DATABASE_FG!$C$5:$C$367, 0)), " ")</f>
        <v>56</v>
      </c>
      <c r="T1317" s="36" t="s">
        <v>677</v>
      </c>
      <c r="U1317" s="36"/>
      <c r="V1317" s="36"/>
      <c r="W1317" s="129"/>
      <c r="X1317" s="36"/>
      <c r="Y1317" s="36"/>
      <c r="Z1317" s="36"/>
      <c r="AA1317" s="125" t="s">
        <v>121</v>
      </c>
      <c r="AB1317" s="173">
        <v>45646</v>
      </c>
      <c r="AC1317" s="119">
        <v>202401591</v>
      </c>
      <c r="AD1317" s="36">
        <f t="shared" si="143"/>
        <v>5500511015</v>
      </c>
      <c r="AE1317" s="36" t="str">
        <f t="shared" si="144"/>
        <v>R900305228</v>
      </c>
      <c r="AF1317" s="36">
        <v>19</v>
      </c>
      <c r="AG1317" s="120">
        <f t="shared" si="142"/>
        <v>425.21999999999997</v>
      </c>
      <c r="AH1317" s="36"/>
      <c r="AI1317" s="124"/>
      <c r="AJ1317" s="122" t="s">
        <v>2596</v>
      </c>
      <c r="AK1317" s="129" t="str">
        <f t="shared" ca="1" si="140"/>
        <v>On Time</v>
      </c>
      <c r="AL1317" s="268" t="str">
        <f t="shared" si="145"/>
        <v>January</v>
      </c>
      <c r="AM1317" s="133">
        <f>YEAR(Table1[[#This Row],[ETA
As requested
dd.mm.yyyy]])</f>
        <v>2025</v>
      </c>
    </row>
    <row r="1318" spans="1:39" hidden="1">
      <c r="A1318" s="123" t="s">
        <v>27</v>
      </c>
      <c r="B1318" s="36" t="s">
        <v>1170</v>
      </c>
      <c r="C1318" s="117">
        <v>5500511015</v>
      </c>
      <c r="D1318" s="165">
        <v>45572</v>
      </c>
      <c r="E1318" s="117" t="s">
        <v>33</v>
      </c>
      <c r="F1318" s="36" t="str">
        <f>IFERROR(VLOOKUP(Table1[[#This Row],[Part Number]],DATABASE_FG!$C$6:D11307,2,FALSE)," ")</f>
        <v>HOUSING            DBD.10G1X/</v>
      </c>
      <c r="G1318" s="117" t="str">
        <f>IFERROR(_xlfn.XLOOKUP(Table1[[#This Row],[Part Number]],Table3[Part number],Table3[Drawing
 Revision]),"")</f>
        <v>H</v>
      </c>
      <c r="H1318" s="118" cm="1">
        <f t="array" ref="H1318">IFERROR(INDEX(PDB!$C:$AT,MATCH(E1318,PDB!$B:$B,0),MATCH(YEAR(K1318),0+PDB!$C$1:$AT$1,0)),"")</f>
        <v>22.38</v>
      </c>
      <c r="I1318" s="36">
        <v>72</v>
      </c>
      <c r="J1318" s="125">
        <f>IFERROR(Table1[[#This Row],[Quantity]]*Table1[[#This Row],[Price/Unit
EUR]]," ")</f>
        <v>1611.36</v>
      </c>
      <c r="K1318" s="126">
        <v>45670</v>
      </c>
      <c r="L1318" s="36">
        <f>WEEKNUM(Table1[[#This Row],[ETA
As requested
dd.mm.yyyy]])</f>
        <v>3</v>
      </c>
      <c r="M1318" s="36">
        <f>YEAR(Table1[[#This Row],[ETA
As requested
dd.mm.yyyy]])</f>
        <v>2025</v>
      </c>
      <c r="N1318" s="36">
        <f>IFERROR(INDEX(DATABASE_FG!$H$5:$H$367, MATCH(E1318, DATABASE_FG!$C$5:$C$367, 0)), " ")</f>
        <v>18</v>
      </c>
      <c r="O1318" s="129" t="str">
        <f>IF(E1318&lt;&gt;"", _xlfn.XLOOKUP(E1318, DATABASE_FG!C:C, DATABASE_FG!F:F), " ")</f>
        <v>DBD.10</v>
      </c>
      <c r="P1318" s="129">
        <f>IFERROR(INDEX(DATABASE_FG!$G$5:$G$367, MATCH(E1318, DATABASE_FG!$C$5:$C$367, 0)), "Not Found")</f>
        <v>162</v>
      </c>
      <c r="Q1318" s="36">
        <v>60</v>
      </c>
      <c r="R1318" s="125" t="s">
        <v>678</v>
      </c>
      <c r="S1318" s="123">
        <f>IFERROR(INDEX(DATABASE_FG!$L$5:$L$367, MATCH(E1318, DATABASE_FG!$C$5:$C$367, 0)), " ")</f>
        <v>56</v>
      </c>
      <c r="T1318" s="36" t="s">
        <v>677</v>
      </c>
      <c r="U1318" s="36"/>
      <c r="V1318" s="36"/>
      <c r="W1318" s="129"/>
      <c r="X1318" s="36"/>
      <c r="Y1318" s="36"/>
      <c r="Z1318" s="36"/>
      <c r="AA1318" s="125" t="s">
        <v>121</v>
      </c>
      <c r="AB1318" s="173">
        <v>45686</v>
      </c>
      <c r="AC1318" s="119">
        <v>25115</v>
      </c>
      <c r="AD1318" s="36">
        <f t="shared" si="143"/>
        <v>5500511015</v>
      </c>
      <c r="AE1318" s="36" t="str">
        <f t="shared" si="144"/>
        <v>R900305228</v>
      </c>
      <c r="AF1318" s="36">
        <v>72</v>
      </c>
      <c r="AG1318" s="120">
        <f t="shared" si="142"/>
        <v>1611.36</v>
      </c>
      <c r="AH1318" s="36"/>
      <c r="AI1318" s="124"/>
      <c r="AJ1318" s="122" t="s">
        <v>2710</v>
      </c>
      <c r="AK1318" s="129" t="str">
        <f t="shared" ref="AK1318:AK1352" ca="1" si="149">IF(AB1318="", IF(K1318 &lt; TODAY(), "Late", ""), IF(AB1318 &lt;= K1318 + 2, "On Time", "Late"))</f>
        <v>Late</v>
      </c>
      <c r="AL1318" s="268" t="str">
        <f t="shared" si="145"/>
        <v>January</v>
      </c>
      <c r="AM1318" s="133">
        <f>YEAR(Table1[[#This Row],[ETA
As requested
dd.mm.yyyy]])</f>
        <v>2025</v>
      </c>
    </row>
    <row r="1319" spans="1:39" hidden="1">
      <c r="A1319" s="123" t="s">
        <v>27</v>
      </c>
      <c r="B1319" s="36" t="s">
        <v>1170</v>
      </c>
      <c r="C1319" s="117">
        <v>5500511015</v>
      </c>
      <c r="D1319" s="165">
        <v>45572</v>
      </c>
      <c r="E1319" s="117" t="s">
        <v>33</v>
      </c>
      <c r="F1319" s="36" t="str">
        <f>IFERROR(VLOOKUP(Table1[[#This Row],[Part Number]],DATABASE_FG!$C$6:D11308,2,FALSE)," ")</f>
        <v>HOUSING            DBD.10G1X/</v>
      </c>
      <c r="G1319" s="117" t="str">
        <f>IFERROR(_xlfn.XLOOKUP(Table1[[#This Row],[Part Number]],Table3[Part number],Table3[Drawing
 Revision]),"")</f>
        <v>H</v>
      </c>
      <c r="H1319" s="118" cm="1">
        <f t="array" ref="H1319">IFERROR(INDEX(PDB!$C:$AT,MATCH(E1319,PDB!$B:$B,0),MATCH(YEAR(K1319),0+PDB!$C$1:$AT$1,0)),"")</f>
        <v>22.38</v>
      </c>
      <c r="I1319" s="36">
        <f>305-72</f>
        <v>233</v>
      </c>
      <c r="J1319" s="125">
        <f>IFERROR(Table1[[#This Row],[Quantity]]*Table1[[#This Row],[Price/Unit
EUR]]," ")</f>
        <v>5214.54</v>
      </c>
      <c r="K1319" s="126">
        <v>45670</v>
      </c>
      <c r="L1319" s="36">
        <f>WEEKNUM(Table1[[#This Row],[ETA
As requested
dd.mm.yyyy]])</f>
        <v>3</v>
      </c>
      <c r="M1319" s="36">
        <f>YEAR(Table1[[#This Row],[ETA
As requested
dd.mm.yyyy]])</f>
        <v>2025</v>
      </c>
      <c r="N1319" s="36">
        <f>IFERROR(INDEX(DATABASE_FG!$H$5:$H$367, MATCH(E1319, DATABASE_FG!$C$5:$C$367, 0)), " ")</f>
        <v>18</v>
      </c>
      <c r="O1319" s="129" t="str">
        <f>IF(E1319&lt;&gt;"", _xlfn.XLOOKUP(E1319, DATABASE_FG!C:C, DATABASE_FG!F:F), " ")</f>
        <v>DBD.10</v>
      </c>
      <c r="P1319" s="129">
        <f>IFERROR(INDEX(DATABASE_FG!$G$5:$G$367, MATCH(E1319, DATABASE_FG!$C$5:$C$367, 0)), "Not Found")</f>
        <v>162</v>
      </c>
      <c r="Q1319" s="36">
        <v>60</v>
      </c>
      <c r="R1319" s="125" t="s">
        <v>678</v>
      </c>
      <c r="S1319" s="123">
        <f>IFERROR(INDEX(DATABASE_FG!$L$5:$L$367, MATCH(E1319, DATABASE_FG!$C$5:$C$367, 0)), " ")</f>
        <v>56</v>
      </c>
      <c r="T1319" s="36" t="s">
        <v>677</v>
      </c>
      <c r="U1319" s="36"/>
      <c r="V1319" s="36"/>
      <c r="W1319" s="129"/>
      <c r="X1319" s="36"/>
      <c r="Y1319" s="36" t="s">
        <v>2625</v>
      </c>
      <c r="Z1319" s="36"/>
      <c r="AA1319" s="125" t="s">
        <v>121</v>
      </c>
      <c r="AB1319" s="173">
        <v>45696</v>
      </c>
      <c r="AC1319" s="119">
        <v>25175</v>
      </c>
      <c r="AD1319" s="36">
        <f t="shared" si="143"/>
        <v>5500511015</v>
      </c>
      <c r="AE1319" s="36" t="str">
        <f t="shared" si="144"/>
        <v>R900305228</v>
      </c>
      <c r="AF1319" s="36">
        <v>233</v>
      </c>
      <c r="AG1319" s="120">
        <f t="shared" si="142"/>
        <v>5214.54</v>
      </c>
      <c r="AH1319" s="36"/>
      <c r="AI1319" s="124"/>
      <c r="AJ1319" s="122" t="s">
        <v>2712</v>
      </c>
      <c r="AK1319" s="129" t="str">
        <f t="shared" ca="1" si="149"/>
        <v>Late</v>
      </c>
      <c r="AL1319" s="268" t="str">
        <f t="shared" ref="AL1319:AL1350" si="150">TEXT(K1319,"mmmm")</f>
        <v>January</v>
      </c>
      <c r="AM1319" s="133">
        <f>YEAR(Table1[[#This Row],[ETA
As requested
dd.mm.yyyy]])</f>
        <v>2025</v>
      </c>
    </row>
    <row r="1320" spans="1:39" hidden="1">
      <c r="A1320" s="123" t="s">
        <v>27</v>
      </c>
      <c r="B1320" s="36" t="s">
        <v>1170</v>
      </c>
      <c r="C1320" s="117">
        <v>5500511015</v>
      </c>
      <c r="D1320" s="165">
        <v>45572</v>
      </c>
      <c r="E1320" s="117" t="s">
        <v>33</v>
      </c>
      <c r="F1320" s="36" t="str">
        <f>IFERROR(VLOOKUP(Table1[[#This Row],[Part Number]],DATABASE_FG!$C$6:D11309,2,FALSE)," ")</f>
        <v>HOUSING            DBD.10G1X/</v>
      </c>
      <c r="G1320" s="117" t="str">
        <f>IFERROR(_xlfn.XLOOKUP(Table1[[#This Row],[Part Number]],Table3[Part number],Table3[Drawing
 Revision]),"")</f>
        <v>H</v>
      </c>
      <c r="H1320" s="118" cm="1">
        <f t="array" ref="H1320">IFERROR(INDEX(PDB!$C:$AT,MATCH(E1320,PDB!$B:$B,0),MATCH(YEAR(K1320),0+PDB!$C$1:$AT$1,0)),"")</f>
        <v>22.38</v>
      </c>
      <c r="I1320" s="36">
        <v>48</v>
      </c>
      <c r="J1320" s="125">
        <f>IFERROR(Table1[[#This Row],[Quantity]]*Table1[[#This Row],[Price/Unit
EUR]]," ")</f>
        <v>1074.24</v>
      </c>
      <c r="K1320" s="126">
        <v>45688</v>
      </c>
      <c r="L1320" s="36">
        <f>WEEKNUM(Table1[[#This Row],[ETA
As requested
dd.mm.yyyy]])</f>
        <v>5</v>
      </c>
      <c r="M1320" s="36">
        <f>YEAR(Table1[[#This Row],[ETA
As requested
dd.mm.yyyy]])</f>
        <v>2025</v>
      </c>
      <c r="N1320" s="36">
        <f>IFERROR(INDEX(DATABASE_FG!$H$5:$H$367, MATCH(E1320, DATABASE_FG!$C$5:$C$367, 0)), " ")</f>
        <v>18</v>
      </c>
      <c r="O1320" s="129" t="str">
        <f>IF(E1320&lt;&gt;"", _xlfn.XLOOKUP(E1320, DATABASE_FG!C:C, DATABASE_FG!F:F), " ")</f>
        <v>DBD.10</v>
      </c>
      <c r="P1320" s="129">
        <f>IFERROR(INDEX(DATABASE_FG!$G$5:$G$367, MATCH(E1320, DATABASE_FG!$C$5:$C$367, 0)), "Not Found")</f>
        <v>162</v>
      </c>
      <c r="Q1320" s="36">
        <v>60</v>
      </c>
      <c r="R1320" s="125" t="s">
        <v>678</v>
      </c>
      <c r="S1320" s="123">
        <f>IFERROR(INDEX(DATABASE_FG!$L$5:$L$367, MATCH(E1320, DATABASE_FG!$C$5:$C$367, 0)), " ")</f>
        <v>56</v>
      </c>
      <c r="T1320" s="36" t="s">
        <v>677</v>
      </c>
      <c r="U1320" s="36"/>
      <c r="V1320" s="36"/>
      <c r="W1320" s="129"/>
      <c r="X1320" s="36"/>
      <c r="Y1320" s="36" t="s">
        <v>2625</v>
      </c>
      <c r="Z1320" s="36"/>
      <c r="AA1320" s="125" t="s">
        <v>121</v>
      </c>
      <c r="AB1320" s="173">
        <v>45696</v>
      </c>
      <c r="AC1320" s="119">
        <v>25175</v>
      </c>
      <c r="AD1320" s="36">
        <f t="shared" si="143"/>
        <v>5500511015</v>
      </c>
      <c r="AE1320" s="36" t="str">
        <f t="shared" si="144"/>
        <v>R900305228</v>
      </c>
      <c r="AF1320" s="36">
        <v>48</v>
      </c>
      <c r="AG1320" s="120">
        <f t="shared" si="142"/>
        <v>1074.24</v>
      </c>
      <c r="AH1320" s="36"/>
      <c r="AI1320" s="124"/>
      <c r="AJ1320" s="122" t="s">
        <v>2712</v>
      </c>
      <c r="AK1320" s="129" t="str">
        <f t="shared" ca="1" si="149"/>
        <v>Late</v>
      </c>
      <c r="AL1320" s="268" t="str">
        <f t="shared" si="150"/>
        <v>January</v>
      </c>
      <c r="AM1320" s="133">
        <f>YEAR(Table1[[#This Row],[ETA
As requested
dd.mm.yyyy]])</f>
        <v>2025</v>
      </c>
    </row>
    <row r="1321" spans="1:39" hidden="1">
      <c r="A1321" s="123" t="s">
        <v>27</v>
      </c>
      <c r="B1321" s="36" t="s">
        <v>1170</v>
      </c>
      <c r="C1321" s="117">
        <v>5500511015</v>
      </c>
      <c r="D1321" s="165">
        <v>45572</v>
      </c>
      <c r="E1321" s="117" t="s">
        <v>33</v>
      </c>
      <c r="F1321" s="36" t="str">
        <f>IFERROR(VLOOKUP(Table1[[#This Row],[Part Number]],DATABASE_FG!$C$6:D11310,2,FALSE)," ")</f>
        <v>HOUSING            DBD.10G1X/</v>
      </c>
      <c r="G1321" s="117" t="str">
        <f>IFERROR(_xlfn.XLOOKUP(Table1[[#This Row],[Part Number]],Table3[Part number],Table3[Drawing
 Revision]),"")</f>
        <v>H</v>
      </c>
      <c r="H1321" s="118" cm="1">
        <f t="array" ref="H1321">IFERROR(INDEX(PDB!$C:$AT,MATCH(E1321,PDB!$B:$B,0),MATCH(YEAR(K1321),0+PDB!$C$1:$AT$1,0)),"")</f>
        <v>22.38</v>
      </c>
      <c r="I1321" s="36">
        <v>153</v>
      </c>
      <c r="J1321" s="125">
        <f>IFERROR(Table1[[#This Row],[Quantity]]*Table1[[#This Row],[Price/Unit
EUR]]," ")</f>
        <v>3424.14</v>
      </c>
      <c r="K1321" s="126">
        <v>45705</v>
      </c>
      <c r="L1321" s="36">
        <f>WEEKNUM(Table1[[#This Row],[ETA
As requested
dd.mm.yyyy]])</f>
        <v>8</v>
      </c>
      <c r="M1321" s="36">
        <f>YEAR(Table1[[#This Row],[ETA
As requested
dd.mm.yyyy]])</f>
        <v>2025</v>
      </c>
      <c r="N1321" s="36">
        <f>IFERROR(INDEX(DATABASE_FG!$H$5:$H$367, MATCH(E1321, DATABASE_FG!$C$5:$C$367, 0)), " ")</f>
        <v>18</v>
      </c>
      <c r="O1321" s="129" t="str">
        <f>IF(E1321&lt;&gt;"", _xlfn.XLOOKUP(E1321, DATABASE_FG!C:C, DATABASE_FG!F:F), " ")</f>
        <v>DBD.10</v>
      </c>
      <c r="P1321" s="129">
        <f>IFERROR(INDEX(DATABASE_FG!$G$5:$G$367, MATCH(E1321, DATABASE_FG!$C$5:$C$367, 0)), "Not Found")</f>
        <v>162</v>
      </c>
      <c r="Q1321" s="36">
        <v>60</v>
      </c>
      <c r="R1321" s="125" t="s">
        <v>678</v>
      </c>
      <c r="S1321" s="123">
        <f>IFERROR(INDEX(DATABASE_FG!$L$5:$L$367, MATCH(E1321, DATABASE_FG!$C$5:$C$367, 0)), " ")</f>
        <v>56</v>
      </c>
      <c r="T1321" s="36" t="s">
        <v>677</v>
      </c>
      <c r="U1321" s="36"/>
      <c r="V1321" s="36"/>
      <c r="W1321" s="129"/>
      <c r="X1321" s="36"/>
      <c r="Y1321" s="36" t="s">
        <v>2625</v>
      </c>
      <c r="Z1321" s="36"/>
      <c r="AA1321" s="125" t="s">
        <v>121</v>
      </c>
      <c r="AB1321" s="173">
        <v>45703</v>
      </c>
      <c r="AC1321" s="119">
        <v>25226</v>
      </c>
      <c r="AD1321" s="36">
        <f t="shared" si="143"/>
        <v>5500511015</v>
      </c>
      <c r="AE1321" s="36" t="str">
        <f t="shared" si="144"/>
        <v>R900305228</v>
      </c>
      <c r="AF1321" s="36">
        <v>153</v>
      </c>
      <c r="AG1321" s="120">
        <f t="shared" si="142"/>
        <v>3424.14</v>
      </c>
      <c r="AH1321" s="36"/>
      <c r="AI1321" s="124"/>
      <c r="AJ1321" s="122" t="s">
        <v>2820</v>
      </c>
      <c r="AK1321" s="129" t="str">
        <f t="shared" ca="1" si="149"/>
        <v>On Time</v>
      </c>
      <c r="AL1321" s="268" t="str">
        <f t="shared" si="150"/>
        <v>February</v>
      </c>
      <c r="AM1321" s="133">
        <f>YEAR(Table1[[#This Row],[ETA
As requested
dd.mm.yyyy]])</f>
        <v>2025</v>
      </c>
    </row>
    <row r="1322" spans="1:39" hidden="1">
      <c r="A1322" s="123" t="s">
        <v>27</v>
      </c>
      <c r="B1322" s="36" t="s">
        <v>1170</v>
      </c>
      <c r="C1322" s="117">
        <v>5500511015</v>
      </c>
      <c r="D1322" s="165">
        <v>45572</v>
      </c>
      <c r="E1322" s="117" t="s">
        <v>33</v>
      </c>
      <c r="F1322" s="36" t="str">
        <f>IFERROR(VLOOKUP(Table1[[#This Row],[Part Number]],DATABASE_FG!$C$6:D11311,2,FALSE)," ")</f>
        <v>HOUSING            DBD.10G1X/</v>
      </c>
      <c r="G1322" s="117" t="str">
        <f>IFERROR(_xlfn.XLOOKUP(Table1[[#This Row],[Part Number]],Table3[Part number],Table3[Drawing
 Revision]),"")</f>
        <v>H</v>
      </c>
      <c r="H1322" s="118" cm="1">
        <f t="array" ref="H1322">IFERROR(INDEX(PDB!$C:$AT,MATCH(E1322,PDB!$B:$B,0),MATCH(YEAR(K1322),0+PDB!$C$1:$AT$1,0)),"")</f>
        <v>22.38</v>
      </c>
      <c r="I1322" s="36">
        <v>7</v>
      </c>
      <c r="J1322" s="125">
        <f>IFERROR(Table1[[#This Row],[Quantity]]*Table1[[#This Row],[Price/Unit
EUR]]," ")</f>
        <v>156.66</v>
      </c>
      <c r="K1322" s="126">
        <v>45714</v>
      </c>
      <c r="L1322" s="36">
        <f>WEEKNUM(Table1[[#This Row],[ETA
As requested
dd.mm.yyyy]])</f>
        <v>9</v>
      </c>
      <c r="M1322" s="36">
        <f>YEAR(Table1[[#This Row],[ETA
As requested
dd.mm.yyyy]])</f>
        <v>2025</v>
      </c>
      <c r="N1322" s="36">
        <f>IFERROR(INDEX(DATABASE_FG!$H$5:$H$367, MATCH(E1322, DATABASE_FG!$C$5:$C$367, 0)), " ")</f>
        <v>18</v>
      </c>
      <c r="O1322" s="129" t="str">
        <f>IF(E1322&lt;&gt;"", _xlfn.XLOOKUP(E1322, DATABASE_FG!C:C, DATABASE_FG!F:F), " ")</f>
        <v>DBD.10</v>
      </c>
      <c r="P1322" s="129">
        <f>IFERROR(INDEX(DATABASE_FG!$G$5:$G$367, MATCH(E1322, DATABASE_FG!$C$5:$C$367, 0)), "Not Found")</f>
        <v>162</v>
      </c>
      <c r="Q1322" s="36">
        <v>60</v>
      </c>
      <c r="R1322" s="125" t="s">
        <v>678</v>
      </c>
      <c r="S1322" s="123">
        <f>IFERROR(INDEX(DATABASE_FG!$L$5:$L$367, MATCH(E1322, DATABASE_FG!$C$5:$C$367, 0)), " ")</f>
        <v>56</v>
      </c>
      <c r="T1322" s="36" t="s">
        <v>677</v>
      </c>
      <c r="U1322" s="36"/>
      <c r="V1322" s="36"/>
      <c r="W1322" s="129"/>
      <c r="X1322" s="36"/>
      <c r="Y1322" s="36" t="s">
        <v>2888</v>
      </c>
      <c r="Z1322" s="36"/>
      <c r="AA1322" s="125" t="s">
        <v>121</v>
      </c>
      <c r="AB1322" s="173">
        <v>45703</v>
      </c>
      <c r="AC1322" s="119">
        <v>25226</v>
      </c>
      <c r="AD1322" s="36">
        <f t="shared" si="143"/>
        <v>5500511015</v>
      </c>
      <c r="AE1322" s="36" t="str">
        <f t="shared" si="144"/>
        <v>R900305228</v>
      </c>
      <c r="AF1322" s="36">
        <v>7</v>
      </c>
      <c r="AG1322" s="120">
        <f t="shared" si="142"/>
        <v>156.66</v>
      </c>
      <c r="AH1322" s="36"/>
      <c r="AI1322" s="124"/>
      <c r="AJ1322" s="122" t="s">
        <v>2820</v>
      </c>
      <c r="AK1322" s="129" t="str">
        <f t="shared" ca="1" si="149"/>
        <v>On Time</v>
      </c>
      <c r="AL1322" s="268" t="str">
        <f t="shared" si="150"/>
        <v>February</v>
      </c>
      <c r="AM1322" s="133">
        <f>YEAR(Table1[[#This Row],[ETA
As requested
dd.mm.yyyy]])</f>
        <v>2025</v>
      </c>
    </row>
    <row r="1323" spans="1:39" hidden="1">
      <c r="A1323" s="123" t="s">
        <v>27</v>
      </c>
      <c r="B1323" s="36" t="s">
        <v>1170</v>
      </c>
      <c r="C1323" s="117">
        <v>5500511015</v>
      </c>
      <c r="D1323" s="165">
        <v>45572</v>
      </c>
      <c r="E1323" s="117" t="s">
        <v>33</v>
      </c>
      <c r="F1323" s="36" t="str">
        <f>IFERROR(VLOOKUP(Table1[[#This Row],[Part Number]],DATABASE_FG!$C$6:D11312,2,FALSE)," ")</f>
        <v>HOUSING            DBD.10G1X/</v>
      </c>
      <c r="G1323" s="117" t="str">
        <f>IFERROR(_xlfn.XLOOKUP(Table1[[#This Row],[Part Number]],Table3[Part number],Table3[Drawing
 Revision]),"")</f>
        <v>H</v>
      </c>
      <c r="H1323" s="118" cm="1">
        <f t="array" ref="H1323">IFERROR(INDEX(PDB!$C:$AT,MATCH(E1323,PDB!$B:$B,0),MATCH(YEAR(K1323),0+PDB!$C$1:$AT$1,0)),"")</f>
        <v>22.38</v>
      </c>
      <c r="I1323" s="36">
        <v>10</v>
      </c>
      <c r="J1323" s="125">
        <f>IFERROR(Table1[[#This Row],[Quantity]]*Table1[[#This Row],[Price/Unit
EUR]]," ")</f>
        <v>223.79999999999998</v>
      </c>
      <c r="K1323" s="126">
        <v>45714</v>
      </c>
      <c r="L1323" s="36">
        <f>WEEKNUM(Table1[[#This Row],[ETA
As requested
dd.mm.yyyy]])</f>
        <v>9</v>
      </c>
      <c r="M1323" s="36">
        <f>YEAR(Table1[[#This Row],[ETA
As requested
dd.mm.yyyy]])</f>
        <v>2025</v>
      </c>
      <c r="N1323" s="36">
        <f>IFERROR(INDEX(DATABASE_FG!$H$5:$H$367, MATCH(E1323, DATABASE_FG!$C$5:$C$367, 0)), " ")</f>
        <v>18</v>
      </c>
      <c r="O1323" s="129" t="str">
        <f>IF(E1323&lt;&gt;"", _xlfn.XLOOKUP(E1323, DATABASE_FG!C:C, DATABASE_FG!F:F), " ")</f>
        <v>DBD.10</v>
      </c>
      <c r="P1323" s="129">
        <f>IFERROR(INDEX(DATABASE_FG!$G$5:$G$367, MATCH(E1323, DATABASE_FG!$C$5:$C$367, 0)), "Not Found")</f>
        <v>162</v>
      </c>
      <c r="Q1323" s="36">
        <v>60</v>
      </c>
      <c r="R1323" s="125" t="s">
        <v>678</v>
      </c>
      <c r="S1323" s="123">
        <f>IFERROR(INDEX(DATABASE_FG!$L$5:$L$367, MATCH(E1323, DATABASE_FG!$C$5:$C$367, 0)), " ")</f>
        <v>56</v>
      </c>
      <c r="T1323" s="36" t="s">
        <v>677</v>
      </c>
      <c r="U1323" s="36"/>
      <c r="V1323" s="36"/>
      <c r="W1323" s="129"/>
      <c r="X1323" s="36"/>
      <c r="Y1323" s="36"/>
      <c r="Z1323" s="36"/>
      <c r="AA1323" s="125" t="s">
        <v>121</v>
      </c>
      <c r="AB1323" s="173">
        <v>45715</v>
      </c>
      <c r="AC1323" s="119">
        <v>25270</v>
      </c>
      <c r="AD1323" s="36">
        <f t="shared" si="143"/>
        <v>5500511015</v>
      </c>
      <c r="AE1323" s="36" t="str">
        <f t="shared" si="144"/>
        <v>R900305228</v>
      </c>
      <c r="AF1323" s="36">
        <v>10</v>
      </c>
      <c r="AG1323" s="120">
        <f t="shared" si="142"/>
        <v>223.79999999999998</v>
      </c>
      <c r="AH1323" s="36"/>
      <c r="AI1323" s="124"/>
      <c r="AJ1323" s="122" t="s">
        <v>2889</v>
      </c>
      <c r="AK1323" s="129" t="str">
        <f t="shared" ca="1" si="149"/>
        <v>On Time</v>
      </c>
      <c r="AL1323" s="268" t="str">
        <f t="shared" si="150"/>
        <v>February</v>
      </c>
      <c r="AM1323" s="133">
        <f>YEAR(Table1[[#This Row],[ETA
As requested
dd.mm.yyyy]])</f>
        <v>2025</v>
      </c>
    </row>
    <row r="1324" spans="1:39" hidden="1">
      <c r="A1324" s="123" t="s">
        <v>27</v>
      </c>
      <c r="B1324" s="36" t="s">
        <v>1170</v>
      </c>
      <c r="C1324" s="117">
        <v>5500511015</v>
      </c>
      <c r="D1324" s="165">
        <v>45572</v>
      </c>
      <c r="E1324" s="117" t="s">
        <v>33</v>
      </c>
      <c r="F1324" s="36" t="str">
        <f>IFERROR(VLOOKUP(Table1[[#This Row],[Part Number]],DATABASE_FG!$C$6:D11313,2,FALSE)," ")</f>
        <v>HOUSING            DBD.10G1X/</v>
      </c>
      <c r="G1324" s="117" t="str">
        <f>IFERROR(_xlfn.XLOOKUP(Table1[[#This Row],[Part Number]],Table3[Part number],Table3[Drawing
 Revision]),"")</f>
        <v>H</v>
      </c>
      <c r="H1324" s="118" cm="1">
        <f t="array" ref="H1324">IFERROR(INDEX(PDB!$C:$AT,MATCH(E1324,PDB!$B:$B,0),MATCH(YEAR(K1324),0+PDB!$C$1:$AT$1,0)),"")</f>
        <v>22.38</v>
      </c>
      <c r="I1324" s="36">
        <v>54</v>
      </c>
      <c r="J1324" s="125">
        <f>IFERROR(Table1[[#This Row],[Quantity]]*Table1[[#This Row],[Price/Unit
EUR]]," ")</f>
        <v>1208.52</v>
      </c>
      <c r="K1324" s="126">
        <v>45736</v>
      </c>
      <c r="L1324" s="36">
        <f>WEEKNUM(Table1[[#This Row],[ETA
As requested
dd.mm.yyyy]])</f>
        <v>12</v>
      </c>
      <c r="M1324" s="36">
        <f>YEAR(Table1[[#This Row],[ETA
As requested
dd.mm.yyyy]])</f>
        <v>2025</v>
      </c>
      <c r="N1324" s="36">
        <f>IFERROR(INDEX(DATABASE_FG!$H$5:$H$367, MATCH(E1324, DATABASE_FG!$C$5:$C$367, 0)), " ")</f>
        <v>18</v>
      </c>
      <c r="O1324" s="129" t="str">
        <f>IF(E1324&lt;&gt;"", _xlfn.XLOOKUP(E1324, DATABASE_FG!C:C, DATABASE_FG!F:F), " ")</f>
        <v>DBD.10</v>
      </c>
      <c r="P1324" s="129">
        <f>IFERROR(INDEX(DATABASE_FG!$G$5:$G$367, MATCH(E1324, DATABASE_FG!$C$5:$C$367, 0)), "Not Found")</f>
        <v>162</v>
      </c>
      <c r="Q1324" s="36">
        <v>60</v>
      </c>
      <c r="R1324" s="125" t="s">
        <v>678</v>
      </c>
      <c r="S1324" s="123">
        <f>IFERROR(INDEX(DATABASE_FG!$L$5:$L$367, MATCH(E1324, DATABASE_FG!$C$5:$C$367, 0)), " ")</f>
        <v>56</v>
      </c>
      <c r="T1324" s="36" t="s">
        <v>677</v>
      </c>
      <c r="U1324" s="36"/>
      <c r="V1324" s="36"/>
      <c r="W1324" s="129"/>
      <c r="X1324" s="36"/>
      <c r="Y1324" s="36" t="s">
        <v>2888</v>
      </c>
      <c r="Z1324" s="36"/>
      <c r="AA1324" s="125" t="s">
        <v>121</v>
      </c>
      <c r="AB1324" s="173">
        <v>45735</v>
      </c>
      <c r="AC1324" s="119">
        <v>25407</v>
      </c>
      <c r="AD1324" s="36">
        <f t="shared" si="143"/>
        <v>5500511015</v>
      </c>
      <c r="AE1324" s="36" t="str">
        <f t="shared" si="144"/>
        <v>R900305228</v>
      </c>
      <c r="AF1324" s="36">
        <v>54</v>
      </c>
      <c r="AG1324" s="120">
        <f t="shared" si="142"/>
        <v>1208.52</v>
      </c>
      <c r="AH1324" s="36"/>
      <c r="AI1324" s="124"/>
      <c r="AJ1324" s="122" t="s">
        <v>2978</v>
      </c>
      <c r="AK1324" s="129" t="str">
        <f t="shared" ca="1" si="149"/>
        <v>On Time</v>
      </c>
      <c r="AL1324" s="268" t="str">
        <f t="shared" si="150"/>
        <v>March</v>
      </c>
      <c r="AM1324" s="133">
        <f>YEAR(Table1[[#This Row],[ETA
As requested
dd.mm.yyyy]])</f>
        <v>2025</v>
      </c>
    </row>
    <row r="1325" spans="1:39" hidden="1">
      <c r="A1325" s="123" t="s">
        <v>27</v>
      </c>
      <c r="B1325" s="36" t="s">
        <v>1170</v>
      </c>
      <c r="C1325" s="117">
        <v>5500511015</v>
      </c>
      <c r="D1325" s="165">
        <v>45572</v>
      </c>
      <c r="E1325" s="117" t="s">
        <v>33</v>
      </c>
      <c r="F1325" s="36" t="str">
        <f>IFERROR(VLOOKUP(Table1[[#This Row],[Part Number]],DATABASE_FG!$C$6:D11314,2,FALSE)," ")</f>
        <v>HOUSING            DBD.10G1X/</v>
      </c>
      <c r="G1325" s="117" t="str">
        <f>IFERROR(_xlfn.XLOOKUP(Table1[[#This Row],[Part Number]],Table3[Part number],Table3[Drawing
 Revision]),"")</f>
        <v>H</v>
      </c>
      <c r="H1325" s="118" cm="1">
        <f t="array" ref="H1325">IFERROR(INDEX(PDB!$C:$AT,MATCH(E1325,PDB!$B:$B,0),MATCH(YEAR(K1325),0+PDB!$C$1:$AT$1,0)),"")</f>
        <v>22.38</v>
      </c>
      <c r="I1325" s="36">
        <v>9</v>
      </c>
      <c r="J1325" s="125">
        <f>IFERROR(Table1[[#This Row],[Quantity]]*Table1[[#This Row],[Price/Unit
EUR]]," ")</f>
        <v>201.42</v>
      </c>
      <c r="K1325" s="126">
        <v>45736</v>
      </c>
      <c r="L1325" s="36">
        <f>WEEKNUM(Table1[[#This Row],[ETA
As requested
dd.mm.yyyy]])</f>
        <v>12</v>
      </c>
      <c r="M1325" s="36">
        <f>YEAR(Table1[[#This Row],[ETA
As requested
dd.mm.yyyy]])</f>
        <v>2025</v>
      </c>
      <c r="N1325" s="36">
        <f>IFERROR(INDEX(DATABASE_FG!$H$5:$H$367, MATCH(E1325, DATABASE_FG!$C$5:$C$367, 0)), " ")</f>
        <v>18</v>
      </c>
      <c r="O1325" s="129" t="str">
        <f>IF(E1325&lt;&gt;"", _xlfn.XLOOKUP(E1325, DATABASE_FG!C:C, DATABASE_FG!F:F), " ")</f>
        <v>DBD.10</v>
      </c>
      <c r="P1325" s="129">
        <f>IFERROR(INDEX(DATABASE_FG!$G$5:$G$367, MATCH(E1325, DATABASE_FG!$C$5:$C$367, 0)), "Not Found")</f>
        <v>162</v>
      </c>
      <c r="Q1325" s="36">
        <v>60</v>
      </c>
      <c r="R1325" s="125" t="s">
        <v>678</v>
      </c>
      <c r="S1325" s="123">
        <f>IFERROR(INDEX(DATABASE_FG!$L$5:$L$367, MATCH(E1325, DATABASE_FG!$C$5:$C$367, 0)), " ")</f>
        <v>56</v>
      </c>
      <c r="T1325" s="36" t="s">
        <v>677</v>
      </c>
      <c r="U1325" s="36"/>
      <c r="V1325" s="36"/>
      <c r="W1325" s="129"/>
      <c r="X1325" s="36"/>
      <c r="Y1325" s="36" t="s">
        <v>2888</v>
      </c>
      <c r="Z1325" s="36"/>
      <c r="AA1325" s="125" t="s">
        <v>121</v>
      </c>
      <c r="AB1325" s="173">
        <v>45737</v>
      </c>
      <c r="AC1325" s="119">
        <v>25442</v>
      </c>
      <c r="AD1325" s="36">
        <f t="shared" si="143"/>
        <v>5500511015</v>
      </c>
      <c r="AE1325" s="36" t="str">
        <f t="shared" si="144"/>
        <v>R900305228</v>
      </c>
      <c r="AF1325" s="36">
        <v>9</v>
      </c>
      <c r="AG1325" s="120">
        <f t="shared" ref="AG1325:AG1391" si="151">AF1325*H1325</f>
        <v>201.42</v>
      </c>
      <c r="AH1325" s="36"/>
      <c r="AI1325" s="124"/>
      <c r="AJ1325" s="122" t="s">
        <v>2979</v>
      </c>
      <c r="AK1325" s="129" t="str">
        <f t="shared" ca="1" si="149"/>
        <v>On Time</v>
      </c>
      <c r="AL1325" s="268" t="str">
        <f t="shared" si="150"/>
        <v>March</v>
      </c>
      <c r="AM1325" s="133">
        <f>YEAR(Table1[[#This Row],[ETA
As requested
dd.mm.yyyy]])</f>
        <v>2025</v>
      </c>
    </row>
    <row r="1326" spans="1:39" hidden="1">
      <c r="A1326" s="123" t="s">
        <v>27</v>
      </c>
      <c r="B1326" s="36" t="s">
        <v>1170</v>
      </c>
      <c r="C1326" s="117">
        <v>5500511015</v>
      </c>
      <c r="D1326" s="165">
        <v>45572</v>
      </c>
      <c r="E1326" s="117" t="s">
        <v>33</v>
      </c>
      <c r="F1326" s="36" t="str">
        <f>IFERROR(VLOOKUP(Table1[[#This Row],[Part Number]],DATABASE_FG!$C$6:D11315,2,FALSE)," ")</f>
        <v>HOUSING            DBD.10G1X/</v>
      </c>
      <c r="G1326" s="117" t="str">
        <f>IFERROR(_xlfn.XLOOKUP(Table1[[#This Row],[Part Number]],Table3[Part number],Table3[Drawing
 Revision]),"")</f>
        <v>H</v>
      </c>
      <c r="H1326" s="118" cm="1">
        <f t="array" ref="H1326">IFERROR(INDEX(PDB!$C:$AT,MATCH(E1326,PDB!$B:$B,0),MATCH(YEAR(K1326),0+PDB!$C$1:$AT$1,0)),"")</f>
        <v>22.38</v>
      </c>
      <c r="I1326" s="36">
        <f>104-54-9</f>
        <v>41</v>
      </c>
      <c r="J1326" s="125">
        <f>IFERROR(Table1[[#This Row],[Quantity]]*Table1[[#This Row],[Price/Unit
EUR]]," ")</f>
        <v>917.57999999999993</v>
      </c>
      <c r="K1326" s="126">
        <v>45736</v>
      </c>
      <c r="L1326" s="36">
        <f>WEEKNUM(Table1[[#This Row],[ETA
As requested
dd.mm.yyyy]])</f>
        <v>12</v>
      </c>
      <c r="M1326" s="36">
        <f>YEAR(Table1[[#This Row],[ETA
As requested
dd.mm.yyyy]])</f>
        <v>2025</v>
      </c>
      <c r="N1326" s="36">
        <f>IFERROR(INDEX(DATABASE_FG!$H$5:$H$367, MATCH(E1326, DATABASE_FG!$C$5:$C$367, 0)), " ")</f>
        <v>18</v>
      </c>
      <c r="O1326" s="129" t="str">
        <f>IF(E1326&lt;&gt;"", _xlfn.XLOOKUP(E1326, DATABASE_FG!C:C, DATABASE_FG!F:F), " ")</f>
        <v>DBD.10</v>
      </c>
      <c r="P1326" s="129">
        <f>IFERROR(INDEX(DATABASE_FG!$G$5:$G$367, MATCH(E1326, DATABASE_FG!$C$5:$C$367, 0)), "Not Found")</f>
        <v>162</v>
      </c>
      <c r="Q1326" s="36">
        <v>60</v>
      </c>
      <c r="R1326" s="125" t="s">
        <v>678</v>
      </c>
      <c r="S1326" s="123">
        <f>IFERROR(INDEX(DATABASE_FG!$L$5:$L$367, MATCH(E1326, DATABASE_FG!$C$5:$C$367, 0)), " ")</f>
        <v>56</v>
      </c>
      <c r="T1326" s="36" t="s">
        <v>677</v>
      </c>
      <c r="U1326" s="36"/>
      <c r="V1326" s="36"/>
      <c r="W1326" s="129"/>
      <c r="X1326" s="36"/>
      <c r="Y1326" s="36" t="s">
        <v>2888</v>
      </c>
      <c r="Z1326" s="36"/>
      <c r="AA1326" s="125" t="s">
        <v>121</v>
      </c>
      <c r="AB1326" s="173">
        <v>45741</v>
      </c>
      <c r="AC1326" s="119">
        <v>25449</v>
      </c>
      <c r="AD1326" s="36">
        <f t="shared" si="143"/>
        <v>5500511015</v>
      </c>
      <c r="AE1326" s="36" t="str">
        <f t="shared" si="144"/>
        <v>R900305228</v>
      </c>
      <c r="AF1326" s="36">
        <v>41</v>
      </c>
      <c r="AG1326" s="120">
        <f t="shared" si="151"/>
        <v>917.57999999999993</v>
      </c>
      <c r="AH1326" s="36"/>
      <c r="AI1326" s="124"/>
      <c r="AJ1326" s="122" t="s">
        <v>2980</v>
      </c>
      <c r="AK1326" s="129" t="str">
        <f t="shared" ca="1" si="149"/>
        <v>Late</v>
      </c>
      <c r="AL1326" s="268" t="str">
        <f t="shared" si="150"/>
        <v>March</v>
      </c>
      <c r="AM1326" s="133">
        <f>YEAR(Table1[[#This Row],[ETA
As requested
dd.mm.yyyy]])</f>
        <v>2025</v>
      </c>
    </row>
    <row r="1327" spans="1:39" hidden="1">
      <c r="A1327" s="123" t="s">
        <v>27</v>
      </c>
      <c r="B1327" s="36" t="s">
        <v>1170</v>
      </c>
      <c r="C1327" s="117">
        <v>5500511015</v>
      </c>
      <c r="D1327" s="165">
        <v>45572</v>
      </c>
      <c r="E1327" s="117" t="s">
        <v>33</v>
      </c>
      <c r="F1327" s="36" t="str">
        <f>IFERROR(VLOOKUP(Table1[[#This Row],[Part Number]],DATABASE_FG!$C$6:D11316,2,FALSE)," ")</f>
        <v>HOUSING            DBD.10G1X/</v>
      </c>
      <c r="G1327" s="117" t="str">
        <f>IFERROR(_xlfn.XLOOKUP(Table1[[#This Row],[Part Number]],Table3[Part number],Table3[Drawing
 Revision]),"")</f>
        <v>H</v>
      </c>
      <c r="H1327" s="118" cm="1">
        <f t="array" ref="H1327">IFERROR(INDEX(PDB!$C:$AT,MATCH(E1327,PDB!$B:$B,0),MATCH(YEAR(K1327),0+PDB!$C$1:$AT$1,0)),"")</f>
        <v>22.38</v>
      </c>
      <c r="I1327" s="36">
        <v>79</v>
      </c>
      <c r="J1327" s="125">
        <f>IFERROR(Table1[[#This Row],[Quantity]]*Table1[[#This Row],[Price/Unit
EUR]]," ")</f>
        <v>1768.02</v>
      </c>
      <c r="K1327" s="126">
        <v>45743</v>
      </c>
      <c r="L1327" s="36">
        <f>WEEKNUM(Table1[[#This Row],[ETA
As requested
dd.mm.yyyy]])</f>
        <v>13</v>
      </c>
      <c r="M1327" s="36">
        <f>YEAR(Table1[[#This Row],[ETA
As requested
dd.mm.yyyy]])</f>
        <v>2025</v>
      </c>
      <c r="N1327" s="36">
        <f>IFERROR(INDEX(DATABASE_FG!$H$5:$H$367, MATCH(E1327, DATABASE_FG!$C$5:$C$367, 0)), " ")</f>
        <v>18</v>
      </c>
      <c r="O1327" s="129" t="str">
        <f>IF(E1327&lt;&gt;"", _xlfn.XLOOKUP(E1327, DATABASE_FG!C:C, DATABASE_FG!F:F), " ")</f>
        <v>DBD.10</v>
      </c>
      <c r="P1327" s="129">
        <f>IFERROR(INDEX(DATABASE_FG!$G$5:$G$367, MATCH(E1327, DATABASE_FG!$C$5:$C$367, 0)), "Not Found")</f>
        <v>162</v>
      </c>
      <c r="Q1327" s="36">
        <v>60</v>
      </c>
      <c r="R1327" s="125" t="s">
        <v>678</v>
      </c>
      <c r="S1327" s="123">
        <f>IFERROR(INDEX(DATABASE_FG!$L$5:$L$367, MATCH(E1327, DATABASE_FG!$C$5:$C$367, 0)), " ")</f>
        <v>56</v>
      </c>
      <c r="T1327" s="36" t="s">
        <v>677</v>
      </c>
      <c r="U1327" s="36"/>
      <c r="V1327" s="36"/>
      <c r="W1327" s="129"/>
      <c r="X1327" s="36"/>
      <c r="Y1327" s="36" t="s">
        <v>2888</v>
      </c>
      <c r="Z1327" s="36"/>
      <c r="AA1327" s="125" t="s">
        <v>121</v>
      </c>
      <c r="AB1327" s="173">
        <v>45741</v>
      </c>
      <c r="AC1327" s="119">
        <v>25449</v>
      </c>
      <c r="AD1327" s="36">
        <f t="shared" si="143"/>
        <v>5500511015</v>
      </c>
      <c r="AE1327" s="36" t="str">
        <f t="shared" si="144"/>
        <v>R900305228</v>
      </c>
      <c r="AF1327" s="36">
        <v>79</v>
      </c>
      <c r="AG1327" s="120">
        <f t="shared" si="151"/>
        <v>1768.02</v>
      </c>
      <c r="AH1327" s="36"/>
      <c r="AI1327" s="124"/>
      <c r="AJ1327" s="122" t="s">
        <v>2980</v>
      </c>
      <c r="AK1327" s="129" t="str">
        <f t="shared" ca="1" si="149"/>
        <v>On Time</v>
      </c>
      <c r="AL1327" s="268" t="str">
        <f t="shared" si="150"/>
        <v>March</v>
      </c>
      <c r="AM1327" s="133">
        <f>YEAR(Table1[[#This Row],[ETA
As requested
dd.mm.yyyy]])</f>
        <v>2025</v>
      </c>
    </row>
    <row r="1328" spans="1:39" hidden="1">
      <c r="A1328" s="123" t="s">
        <v>27</v>
      </c>
      <c r="B1328" s="36" t="s">
        <v>1170</v>
      </c>
      <c r="C1328" s="117">
        <v>5500511015</v>
      </c>
      <c r="D1328" s="165">
        <v>45572</v>
      </c>
      <c r="E1328" s="117" t="s">
        <v>33</v>
      </c>
      <c r="F1328" s="36" t="str">
        <f>IFERROR(VLOOKUP(Table1[[#This Row],[Part Number]],DATABASE_FG!$C$6:D11317,2,FALSE)," ")</f>
        <v>HOUSING            DBD.10G1X/</v>
      </c>
      <c r="G1328" s="117" t="str">
        <f>IFERROR(_xlfn.XLOOKUP(Table1[[#This Row],[Part Number]],Table3[Part number],Table3[Drawing
 Revision]),"")</f>
        <v>H</v>
      </c>
      <c r="H1328" s="118" cm="1">
        <f t="array" ref="H1328">IFERROR(INDEX(PDB!$C:$AT,MATCH(E1328,PDB!$B:$B,0),MATCH(YEAR(K1328),0+PDB!$C$1:$AT$1,0)),"")</f>
        <v>22.38</v>
      </c>
      <c r="I1328" s="36">
        <f>110-79</f>
        <v>31</v>
      </c>
      <c r="J1328" s="125">
        <f>IFERROR(Table1[[#This Row],[Quantity]]*Table1[[#This Row],[Price/Unit
EUR]]," ")</f>
        <v>693.78</v>
      </c>
      <c r="K1328" s="126">
        <v>45743</v>
      </c>
      <c r="L1328" s="36">
        <f>WEEKNUM(Table1[[#This Row],[ETA
As requested
dd.mm.yyyy]])</f>
        <v>13</v>
      </c>
      <c r="M1328" s="36">
        <f>YEAR(Table1[[#This Row],[ETA
As requested
dd.mm.yyyy]])</f>
        <v>2025</v>
      </c>
      <c r="N1328" s="36">
        <f>IFERROR(INDEX(DATABASE_FG!$H$5:$H$367, MATCH(E1328, DATABASE_FG!$C$5:$C$367, 0)), " ")</f>
        <v>18</v>
      </c>
      <c r="O1328" s="129" t="str">
        <f>IF(E1328&lt;&gt;"", _xlfn.XLOOKUP(E1328, DATABASE_FG!C:C, DATABASE_FG!F:F), " ")</f>
        <v>DBD.10</v>
      </c>
      <c r="P1328" s="129">
        <f>IFERROR(INDEX(DATABASE_FG!$G$5:$G$367, MATCH(E1328, DATABASE_FG!$C$5:$C$367, 0)), "Not Found")</f>
        <v>162</v>
      </c>
      <c r="Q1328" s="36">
        <v>60</v>
      </c>
      <c r="R1328" s="125" t="s">
        <v>678</v>
      </c>
      <c r="S1328" s="123">
        <f>IFERROR(INDEX(DATABASE_FG!$L$5:$L$367, MATCH(E1328, DATABASE_FG!$C$5:$C$367, 0)), " ")</f>
        <v>56</v>
      </c>
      <c r="T1328" s="36" t="s">
        <v>677</v>
      </c>
      <c r="U1328" s="36"/>
      <c r="V1328" s="36"/>
      <c r="W1328" s="129"/>
      <c r="X1328" s="36"/>
      <c r="Y1328" s="36" t="s">
        <v>2888</v>
      </c>
      <c r="Z1328" s="36"/>
      <c r="AA1328" s="125" t="s">
        <v>121</v>
      </c>
      <c r="AB1328" s="173">
        <v>45744</v>
      </c>
      <c r="AC1328" s="119">
        <v>25484</v>
      </c>
      <c r="AD1328" s="36">
        <f t="shared" si="143"/>
        <v>5500511015</v>
      </c>
      <c r="AE1328" s="36" t="str">
        <f t="shared" si="144"/>
        <v>R900305228</v>
      </c>
      <c r="AF1328" s="36">
        <v>31</v>
      </c>
      <c r="AG1328" s="120">
        <f t="shared" si="151"/>
        <v>693.78</v>
      </c>
      <c r="AH1328" s="36"/>
      <c r="AI1328" s="124"/>
      <c r="AJ1328" s="122" t="s">
        <v>3013</v>
      </c>
      <c r="AK1328" s="129" t="str">
        <f t="shared" ca="1" si="149"/>
        <v>On Time</v>
      </c>
      <c r="AL1328" s="268" t="str">
        <f t="shared" si="150"/>
        <v>March</v>
      </c>
      <c r="AM1328" s="133">
        <f>YEAR(Table1[[#This Row],[ETA
As requested
dd.mm.yyyy]])</f>
        <v>2025</v>
      </c>
    </row>
    <row r="1329" spans="1:40" hidden="1">
      <c r="A1329" s="123" t="s">
        <v>27</v>
      </c>
      <c r="B1329" s="36" t="s">
        <v>1170</v>
      </c>
      <c r="C1329" s="117">
        <v>5500511015</v>
      </c>
      <c r="D1329" s="165">
        <v>45572</v>
      </c>
      <c r="E1329" s="117" t="s">
        <v>33</v>
      </c>
      <c r="F1329" s="36" t="str">
        <f>IFERROR(VLOOKUP(Table1[[#This Row],[Part Number]],DATABASE_FG!$C$6:D11318,2,FALSE)," ")</f>
        <v>HOUSING            DBD.10G1X/</v>
      </c>
      <c r="G1329" s="117" t="str">
        <f>IFERROR(_xlfn.XLOOKUP(Table1[[#This Row],[Part Number]],Table3[Part number],Table3[Drawing
 Revision]),"")</f>
        <v>H</v>
      </c>
      <c r="H1329" s="118" cm="1">
        <f t="array" ref="H1329">IFERROR(INDEX(PDB!$C:$AT,MATCH(E1329,PDB!$B:$B,0),MATCH(YEAR(K1329),0+PDB!$C$1:$AT$1,0)),"")</f>
        <v>22.38</v>
      </c>
      <c r="I1329" s="36">
        <v>135</v>
      </c>
      <c r="J1329" s="125">
        <f>IFERROR(Table1[[#This Row],[Quantity]]*Table1[[#This Row],[Price/Unit
EUR]]," ")</f>
        <v>3021.2999999999997</v>
      </c>
      <c r="K1329" s="126">
        <v>45743</v>
      </c>
      <c r="L1329" s="36">
        <f>WEEKNUM(Table1[[#This Row],[ETA
As requested
dd.mm.yyyy]])</f>
        <v>13</v>
      </c>
      <c r="M1329" s="36">
        <f>YEAR(Table1[[#This Row],[ETA
As requested
dd.mm.yyyy]])</f>
        <v>2025</v>
      </c>
      <c r="N1329" s="36">
        <f>IFERROR(INDEX(DATABASE_FG!$H$5:$H$367, MATCH(E1329, DATABASE_FG!$C$5:$C$367, 0)), " ")</f>
        <v>18</v>
      </c>
      <c r="O1329" s="129" t="str">
        <f>IF(E1329&lt;&gt;"", _xlfn.XLOOKUP(E1329, DATABASE_FG!C:C, DATABASE_FG!F:F), " ")</f>
        <v>DBD.10</v>
      </c>
      <c r="P1329" s="129">
        <f>IFERROR(INDEX(DATABASE_FG!$G$5:$G$367, MATCH(E1329, DATABASE_FG!$C$5:$C$367, 0)), "Not Found")</f>
        <v>162</v>
      </c>
      <c r="Q1329" s="36">
        <v>60</v>
      </c>
      <c r="R1329" s="125" t="s">
        <v>678</v>
      </c>
      <c r="S1329" s="123">
        <f>IFERROR(INDEX(DATABASE_FG!$L$5:$L$367, MATCH(E1329, DATABASE_FG!$C$5:$C$367, 0)), " ")</f>
        <v>56</v>
      </c>
      <c r="T1329" s="36" t="s">
        <v>677</v>
      </c>
      <c r="U1329" s="36"/>
      <c r="V1329" s="36"/>
      <c r="W1329" s="129"/>
      <c r="X1329" s="36"/>
      <c r="Y1329" s="36"/>
      <c r="Z1329" s="36"/>
      <c r="AA1329" s="125" t="s">
        <v>121</v>
      </c>
      <c r="AB1329" s="173">
        <v>45744</v>
      </c>
      <c r="AC1329" s="119">
        <v>25484</v>
      </c>
      <c r="AD1329" s="36">
        <f t="shared" si="143"/>
        <v>5500511015</v>
      </c>
      <c r="AE1329" s="36" t="str">
        <f t="shared" si="144"/>
        <v>R900305228</v>
      </c>
      <c r="AF1329" s="36">
        <v>135</v>
      </c>
      <c r="AG1329" s="120">
        <f t="shared" si="151"/>
        <v>3021.2999999999997</v>
      </c>
      <c r="AH1329" s="36"/>
      <c r="AI1329" s="124"/>
      <c r="AJ1329" s="122" t="s">
        <v>3013</v>
      </c>
      <c r="AK1329" s="129" t="str">
        <f t="shared" ca="1" si="149"/>
        <v>On Time</v>
      </c>
      <c r="AL1329" s="268" t="str">
        <f t="shared" si="150"/>
        <v>March</v>
      </c>
      <c r="AM1329" s="133">
        <f>YEAR(Table1[[#This Row],[ETA
As requested
dd.mm.yyyy]])</f>
        <v>2025</v>
      </c>
    </row>
    <row r="1330" spans="1:40" hidden="1">
      <c r="A1330" s="123" t="s">
        <v>27</v>
      </c>
      <c r="B1330" s="36" t="s">
        <v>1170</v>
      </c>
      <c r="C1330" s="117">
        <v>5500511015</v>
      </c>
      <c r="D1330" s="165">
        <v>45572</v>
      </c>
      <c r="E1330" s="117" t="s">
        <v>33</v>
      </c>
      <c r="F1330" s="36" t="str">
        <f>IFERROR(VLOOKUP(Table1[[#This Row],[Part Number]],DATABASE_FG!$C$6:D11319,2,FALSE)," ")</f>
        <v>HOUSING            DBD.10G1X/</v>
      </c>
      <c r="G1330" s="117" t="str">
        <f>IFERROR(_xlfn.XLOOKUP(Table1[[#This Row],[Part Number]],Table3[Part number],Table3[Drawing
 Revision]),"")</f>
        <v>H</v>
      </c>
      <c r="H1330" s="118" cm="1">
        <f t="array" ref="H1330">IFERROR(INDEX(PDB!$C:$AT,MATCH(E1330,PDB!$B:$B,0),MATCH(YEAR(K1330),0+PDB!$C$1:$AT$1,0)),"")</f>
        <v>22.38</v>
      </c>
      <c r="I1330" s="36">
        <v>139</v>
      </c>
      <c r="J1330" s="125">
        <f>IFERROR(Table1[[#This Row],[Quantity]]*Table1[[#This Row],[Price/Unit
EUR]]," ")</f>
        <v>3110.8199999999997</v>
      </c>
      <c r="K1330" s="126">
        <v>45743</v>
      </c>
      <c r="L1330" s="36">
        <f>WEEKNUM(Table1[[#This Row],[ETA
As requested
dd.mm.yyyy]])</f>
        <v>13</v>
      </c>
      <c r="M1330" s="36">
        <f>YEAR(Table1[[#This Row],[ETA
As requested
dd.mm.yyyy]])</f>
        <v>2025</v>
      </c>
      <c r="N1330" s="36">
        <f>IFERROR(INDEX(DATABASE_FG!$H$5:$H$367, MATCH(E1330, DATABASE_FG!$C$5:$C$367, 0)), " ")</f>
        <v>18</v>
      </c>
      <c r="O1330" s="129" t="str">
        <f>IF(E1330&lt;&gt;"", _xlfn.XLOOKUP(E1330, DATABASE_FG!C:C, DATABASE_FG!F:F), " ")</f>
        <v>DBD.10</v>
      </c>
      <c r="P1330" s="129">
        <f>IFERROR(INDEX(DATABASE_FG!$G$5:$G$367, MATCH(E1330, DATABASE_FG!$C$5:$C$367, 0)), "Not Found")</f>
        <v>162</v>
      </c>
      <c r="Q1330" s="36">
        <v>60</v>
      </c>
      <c r="R1330" s="125" t="s">
        <v>678</v>
      </c>
      <c r="S1330" s="123">
        <f>IFERROR(INDEX(DATABASE_FG!$L$5:$L$367, MATCH(E1330, DATABASE_FG!$C$5:$C$367, 0)), " ")</f>
        <v>56</v>
      </c>
      <c r="T1330" s="36" t="s">
        <v>677</v>
      </c>
      <c r="U1330" s="36"/>
      <c r="V1330" s="36"/>
      <c r="W1330" s="129"/>
      <c r="X1330" s="36"/>
      <c r="Y1330" s="36"/>
      <c r="Z1330" s="36"/>
      <c r="AA1330" s="125" t="s">
        <v>121</v>
      </c>
      <c r="AB1330" s="173">
        <v>45764</v>
      </c>
      <c r="AC1330" s="119">
        <v>25643</v>
      </c>
      <c r="AD1330" s="36">
        <f t="shared" si="143"/>
        <v>5500511015</v>
      </c>
      <c r="AE1330" s="36" t="str">
        <f t="shared" si="144"/>
        <v>R900305228</v>
      </c>
      <c r="AF1330" s="36">
        <v>139</v>
      </c>
      <c r="AG1330" s="120">
        <f t="shared" si="151"/>
        <v>3110.8199999999997</v>
      </c>
      <c r="AH1330" s="36"/>
      <c r="AI1330" s="124"/>
      <c r="AJ1330" s="122" t="s">
        <v>3016</v>
      </c>
      <c r="AK1330" s="129" t="str">
        <f t="shared" ca="1" si="149"/>
        <v>Late</v>
      </c>
      <c r="AL1330" s="268" t="str">
        <f t="shared" si="150"/>
        <v>March</v>
      </c>
      <c r="AM1330" s="133">
        <f>YEAR(Table1[[#This Row],[ETA
As requested
dd.mm.yyyy]])</f>
        <v>2025</v>
      </c>
    </row>
    <row r="1331" spans="1:40" hidden="1">
      <c r="A1331" s="123" t="s">
        <v>27</v>
      </c>
      <c r="B1331" s="36" t="s">
        <v>1170</v>
      </c>
      <c r="C1331" s="117">
        <v>5500511015</v>
      </c>
      <c r="D1331" s="165">
        <v>45572</v>
      </c>
      <c r="E1331" s="117" t="s">
        <v>33</v>
      </c>
      <c r="F1331" s="36" t="str">
        <f>IFERROR(VLOOKUP(Table1[[#This Row],[Part Number]],DATABASE_FG!$C$6:D11320,2,FALSE)," ")</f>
        <v>HOUSING            DBD.10G1X/</v>
      </c>
      <c r="G1331" s="117" t="str">
        <f>IFERROR(_xlfn.XLOOKUP(Table1[[#This Row],[Part Number]],Table3[Part number],Table3[Drawing
 Revision]),"")</f>
        <v>H</v>
      </c>
      <c r="H1331" s="118" cm="1">
        <f t="array" ref="H1331">IFERROR(INDEX(PDB!$C:$AT,MATCH(E1331,PDB!$B:$B,0),MATCH(YEAR(K1331),0+PDB!$C$1:$AT$1,0)),"")</f>
        <v>22.38</v>
      </c>
      <c r="I1331" s="36">
        <v>87</v>
      </c>
      <c r="J1331" s="125">
        <f>IFERROR(Table1[[#This Row],[Quantity]]*Table1[[#This Row],[Price/Unit
EUR]]," ")</f>
        <v>1947.06</v>
      </c>
      <c r="K1331" s="126">
        <v>45744</v>
      </c>
      <c r="L1331" s="36">
        <f>WEEKNUM(Table1[[#This Row],[ETA
As requested
dd.mm.yyyy]])</f>
        <v>13</v>
      </c>
      <c r="M1331" s="36">
        <f>YEAR(Table1[[#This Row],[ETA
As requested
dd.mm.yyyy]])</f>
        <v>2025</v>
      </c>
      <c r="N1331" s="36">
        <f>IFERROR(INDEX(DATABASE_FG!$H$5:$H$367, MATCH(E1331, DATABASE_FG!$C$5:$C$367, 0)), " ")</f>
        <v>18</v>
      </c>
      <c r="O1331" s="129" t="str">
        <f>IF(E1331&lt;&gt;"", _xlfn.XLOOKUP(E1331, DATABASE_FG!C:C, DATABASE_FG!F:F), " ")</f>
        <v>DBD.10</v>
      </c>
      <c r="P1331" s="129">
        <f>IFERROR(INDEX(DATABASE_FG!$G$5:$G$367, MATCH(E1331, DATABASE_FG!$C$5:$C$367, 0)), "Not Found")</f>
        <v>162</v>
      </c>
      <c r="Q1331" s="36">
        <v>60</v>
      </c>
      <c r="R1331" s="125" t="s">
        <v>678</v>
      </c>
      <c r="S1331" s="123">
        <f>IFERROR(INDEX(DATABASE_FG!$L$5:$L$367, MATCH(E1331, DATABASE_FG!$C$5:$C$367, 0)), " ")</f>
        <v>56</v>
      </c>
      <c r="T1331" s="36" t="s">
        <v>677</v>
      </c>
      <c r="U1331" s="36"/>
      <c r="V1331" s="36"/>
      <c r="W1331" s="129"/>
      <c r="X1331" s="36"/>
      <c r="Y1331" s="36"/>
      <c r="Z1331" s="36"/>
      <c r="AA1331" s="125" t="s">
        <v>121</v>
      </c>
      <c r="AB1331" s="173">
        <v>45778</v>
      </c>
      <c r="AC1331" s="119">
        <v>25707</v>
      </c>
      <c r="AD1331" s="36">
        <f t="shared" si="143"/>
        <v>5500511015</v>
      </c>
      <c r="AE1331" s="36" t="str">
        <f t="shared" si="144"/>
        <v>R900305228</v>
      </c>
      <c r="AF1331" s="36">
        <v>87</v>
      </c>
      <c r="AG1331" s="120">
        <f t="shared" si="151"/>
        <v>1947.06</v>
      </c>
      <c r="AH1331" s="36"/>
      <c r="AI1331" s="124"/>
      <c r="AJ1331" s="122" t="s">
        <v>3021</v>
      </c>
      <c r="AK1331" s="129" t="str">
        <f t="shared" ca="1" si="149"/>
        <v>Late</v>
      </c>
      <c r="AL1331" s="268" t="str">
        <f t="shared" si="150"/>
        <v>March</v>
      </c>
      <c r="AM1331" s="133">
        <f>YEAR(Table1[[#This Row],[ETA
As requested
dd.mm.yyyy]])</f>
        <v>2025</v>
      </c>
    </row>
    <row r="1332" spans="1:40" hidden="1">
      <c r="A1332" s="123" t="s">
        <v>27</v>
      </c>
      <c r="B1332" s="36" t="s">
        <v>1170</v>
      </c>
      <c r="C1332" s="117">
        <v>5500511015</v>
      </c>
      <c r="D1332" s="165">
        <v>45572</v>
      </c>
      <c r="E1332" s="117" t="s">
        <v>33</v>
      </c>
      <c r="F1332" s="36" t="str">
        <f>IFERROR(VLOOKUP(Table1[[#This Row],[Part Number]],DATABASE_FG!$C$6:D11321,2,FALSE)," ")</f>
        <v>HOUSING            DBD.10G1X/</v>
      </c>
      <c r="G1332" s="117" t="str">
        <f>IFERROR(_xlfn.XLOOKUP(Table1[[#This Row],[Part Number]],Table3[Part number],Table3[Drawing
 Revision]),"")</f>
        <v>H</v>
      </c>
      <c r="H1332" s="118" cm="1">
        <f t="array" ref="H1332">IFERROR(INDEX(PDB!$C:$AT,MATCH(E1332,PDB!$B:$B,0),MATCH(YEAR(K1332),0+PDB!$C$1:$AT$1,0)),"")</f>
        <v>22.38</v>
      </c>
      <c r="I1332" s="36">
        <v>11</v>
      </c>
      <c r="J1332" s="125">
        <f>IFERROR(Table1[[#This Row],[Quantity]]*Table1[[#This Row],[Price/Unit
EUR]]," ")</f>
        <v>246.17999999999998</v>
      </c>
      <c r="K1332" s="126">
        <v>45772</v>
      </c>
      <c r="L1332" s="36">
        <f>WEEKNUM(Table1[[#This Row],[ETA
As requested
dd.mm.yyyy]])</f>
        <v>17</v>
      </c>
      <c r="M1332" s="36">
        <f>YEAR(Table1[[#This Row],[ETA
As requested
dd.mm.yyyy]])</f>
        <v>2025</v>
      </c>
      <c r="N1332" s="36">
        <f>IFERROR(INDEX(DATABASE_FG!$H$5:$H$367, MATCH(E1332, DATABASE_FG!$C$5:$C$367, 0)), " ")</f>
        <v>18</v>
      </c>
      <c r="O1332" s="129" t="str">
        <f>IF(E1332&lt;&gt;"", _xlfn.XLOOKUP(E1332, DATABASE_FG!C:C, DATABASE_FG!F:F), " ")</f>
        <v>DBD.10</v>
      </c>
      <c r="P1332" s="129">
        <f>IFERROR(INDEX(DATABASE_FG!$G$5:$G$367, MATCH(E1332, DATABASE_FG!$C$5:$C$367, 0)), "Not Found")</f>
        <v>162</v>
      </c>
      <c r="Q1332" s="36">
        <v>60</v>
      </c>
      <c r="R1332" s="125" t="s">
        <v>678</v>
      </c>
      <c r="S1332" s="123">
        <f>IFERROR(INDEX(DATABASE_FG!$L$5:$L$367, MATCH(E1332, DATABASE_FG!$C$5:$C$367, 0)), " ")</f>
        <v>56</v>
      </c>
      <c r="T1332" s="36" t="s">
        <v>677</v>
      </c>
      <c r="U1332" s="36"/>
      <c r="V1332" s="36"/>
      <c r="W1332" s="129"/>
      <c r="X1332" s="36"/>
      <c r="Y1332" s="36"/>
      <c r="Z1332" s="36"/>
      <c r="AA1332" s="125" t="s">
        <v>121</v>
      </c>
      <c r="AB1332" s="173">
        <v>45800</v>
      </c>
      <c r="AC1332" s="119">
        <v>25816</v>
      </c>
      <c r="AD1332" s="36">
        <f t="shared" si="143"/>
        <v>5500511015</v>
      </c>
      <c r="AE1332" s="36" t="str">
        <f t="shared" si="144"/>
        <v>R900305228</v>
      </c>
      <c r="AF1332" s="36">
        <v>11</v>
      </c>
      <c r="AG1332" s="120">
        <f t="shared" si="151"/>
        <v>246.17999999999998</v>
      </c>
      <c r="AH1332" s="36"/>
      <c r="AI1332" s="124"/>
      <c r="AJ1332" s="122" t="s">
        <v>3130</v>
      </c>
      <c r="AK1332" s="129" t="str">
        <f t="shared" ca="1" si="149"/>
        <v>Late</v>
      </c>
      <c r="AL1332" s="268" t="str">
        <f t="shared" si="150"/>
        <v>April</v>
      </c>
      <c r="AM1332" s="133">
        <f>YEAR(Table1[[#This Row],[ETA
As requested
dd.mm.yyyy]])</f>
        <v>2025</v>
      </c>
    </row>
    <row r="1333" spans="1:40" hidden="1">
      <c r="A1333" s="123" t="s">
        <v>27</v>
      </c>
      <c r="B1333" s="36" t="s">
        <v>1170</v>
      </c>
      <c r="C1333" s="117">
        <v>5500511015</v>
      </c>
      <c r="D1333" s="165">
        <v>45572</v>
      </c>
      <c r="E1333" s="117" t="s">
        <v>33</v>
      </c>
      <c r="F1333" s="36" t="str">
        <f>IFERROR(VLOOKUP(Table1[[#This Row],[Part Number]],DATABASE_FG!$C$6:D11322,2,FALSE)," ")</f>
        <v>HOUSING            DBD.10G1X/</v>
      </c>
      <c r="G1333" s="117" t="str">
        <f>IFERROR(_xlfn.XLOOKUP(Table1[[#This Row],[Part Number]],Table3[Part number],Table3[Drawing
 Revision]),"")</f>
        <v>H</v>
      </c>
      <c r="H1333" s="118" cm="1">
        <f t="array" ref="H1333">IFERROR(INDEX(PDB!$C:$AT,MATCH(E1333,PDB!$B:$B,0),MATCH(YEAR(K1333),0+PDB!$C$1:$AT$1,0)),"")</f>
        <v>22.38</v>
      </c>
      <c r="I1333" s="36">
        <v>209</v>
      </c>
      <c r="J1333" s="125">
        <f>IFERROR(Table1[[#This Row],[Quantity]]*Table1[[#This Row],[Price/Unit
EUR]]," ")</f>
        <v>4677.42</v>
      </c>
      <c r="K1333" s="126">
        <v>45782</v>
      </c>
      <c r="L1333" s="36">
        <f>WEEKNUM(Table1[[#This Row],[ETA
As requested
dd.mm.yyyy]])</f>
        <v>19</v>
      </c>
      <c r="M1333" s="36">
        <f>YEAR(Table1[[#This Row],[ETA
As requested
dd.mm.yyyy]])</f>
        <v>2025</v>
      </c>
      <c r="N1333" s="36">
        <f>IFERROR(INDEX(DATABASE_FG!$H$5:$H$367, MATCH(E1333, DATABASE_FG!$C$5:$C$367, 0)), " ")</f>
        <v>18</v>
      </c>
      <c r="O1333" s="129" t="str">
        <f>IF(E1333&lt;&gt;"", _xlfn.XLOOKUP(E1333, DATABASE_FG!C:C, DATABASE_FG!F:F), " ")</f>
        <v>DBD.10</v>
      </c>
      <c r="P1333" s="129">
        <f>IFERROR(INDEX(DATABASE_FG!$G$5:$G$367, MATCH(E1333, DATABASE_FG!$C$5:$C$367, 0)), "Not Found")</f>
        <v>162</v>
      </c>
      <c r="Q1333" s="36">
        <v>60</v>
      </c>
      <c r="R1333" s="125" t="s">
        <v>678</v>
      </c>
      <c r="S1333" s="123">
        <f>IFERROR(INDEX(DATABASE_FG!$L$5:$L$367, MATCH(E1333, DATABASE_FG!$C$5:$C$367, 0)), " ")</f>
        <v>56</v>
      </c>
      <c r="T1333" s="36" t="s">
        <v>677</v>
      </c>
      <c r="U1333" s="36"/>
      <c r="V1333" s="36"/>
      <c r="W1333" s="129"/>
      <c r="X1333" s="36"/>
      <c r="Y1333" s="36"/>
      <c r="Z1333" s="36"/>
      <c r="AA1333" s="125" t="s">
        <v>121</v>
      </c>
      <c r="AB1333" s="173">
        <v>45807</v>
      </c>
      <c r="AC1333" s="119">
        <v>25858</v>
      </c>
      <c r="AD1333" s="36">
        <f t="shared" si="143"/>
        <v>5500511015</v>
      </c>
      <c r="AE1333" s="36" t="str">
        <f t="shared" si="144"/>
        <v>R900305228</v>
      </c>
      <c r="AF1333" s="36">
        <v>209</v>
      </c>
      <c r="AG1333" s="120">
        <f t="shared" si="151"/>
        <v>4677.42</v>
      </c>
      <c r="AH1333" s="36"/>
      <c r="AI1333" s="124"/>
      <c r="AJ1333" s="122" t="s">
        <v>3150</v>
      </c>
      <c r="AK1333" s="129" t="str">
        <f t="shared" ca="1" si="149"/>
        <v>Late</v>
      </c>
      <c r="AL1333" s="268" t="str">
        <f t="shared" si="150"/>
        <v>May</v>
      </c>
      <c r="AM1333" s="133">
        <f>YEAR(Table1[[#This Row],[ETA
As requested
dd.mm.yyyy]])</f>
        <v>2025</v>
      </c>
    </row>
    <row r="1334" spans="1:40" hidden="1">
      <c r="A1334" s="123" t="s">
        <v>27</v>
      </c>
      <c r="B1334" s="36" t="s">
        <v>1170</v>
      </c>
      <c r="C1334" s="117">
        <v>5500511015</v>
      </c>
      <c r="D1334" s="165">
        <v>45572</v>
      </c>
      <c r="E1334" s="117" t="s">
        <v>33</v>
      </c>
      <c r="F1334" s="36" t="str">
        <f>IFERROR(VLOOKUP(Table1[[#This Row],[Part Number]],DATABASE_FG!$C$6:D11323,2,FALSE)," ")</f>
        <v>HOUSING            DBD.10G1X/</v>
      </c>
      <c r="G1334" s="117" t="str">
        <f>IFERROR(_xlfn.XLOOKUP(Table1[[#This Row],[Part Number]],Table3[Part number],Table3[Drawing
 Revision]),"")</f>
        <v>H</v>
      </c>
      <c r="H1334" s="118" cm="1">
        <f t="array" ref="H1334">IFERROR(INDEX(PDB!$C:$AT,MATCH(E1334,PDB!$B:$B,0),MATCH(YEAR(K1334),0+PDB!$C$1:$AT$1,0)),"")</f>
        <v>22.38</v>
      </c>
      <c r="I1334" s="36">
        <v>96</v>
      </c>
      <c r="J1334" s="125">
        <f>IFERROR(Table1[[#This Row],[Quantity]]*Table1[[#This Row],[Price/Unit
EUR]]," ")</f>
        <v>2148.48</v>
      </c>
      <c r="K1334" s="126">
        <v>45786</v>
      </c>
      <c r="L1334" s="36">
        <f>WEEKNUM(Table1[[#This Row],[ETA
As requested
dd.mm.yyyy]])</f>
        <v>19</v>
      </c>
      <c r="M1334" s="36">
        <f>YEAR(Table1[[#This Row],[ETA
As requested
dd.mm.yyyy]])</f>
        <v>2025</v>
      </c>
      <c r="N1334" s="36">
        <f>IFERROR(INDEX(DATABASE_FG!$H$5:$H$367, MATCH(E1334, DATABASE_FG!$C$5:$C$367, 0)), " ")</f>
        <v>18</v>
      </c>
      <c r="O1334" s="129" t="str">
        <f>IF(E1334&lt;&gt;"", _xlfn.XLOOKUP(E1334, DATABASE_FG!C:C, DATABASE_FG!F:F), " ")</f>
        <v>DBD.10</v>
      </c>
      <c r="P1334" s="129">
        <f>IFERROR(INDEX(DATABASE_FG!$G$5:$G$367, MATCH(E1334, DATABASE_FG!$C$5:$C$367, 0)), "Not Found")</f>
        <v>162</v>
      </c>
      <c r="Q1334" s="36">
        <v>60</v>
      </c>
      <c r="R1334" s="125" t="s">
        <v>678</v>
      </c>
      <c r="S1334" s="123">
        <f>IFERROR(INDEX(DATABASE_FG!$L$5:$L$367, MATCH(E1334, DATABASE_FG!$C$5:$C$367, 0)), " ")</f>
        <v>56</v>
      </c>
      <c r="T1334" s="36" t="s">
        <v>677</v>
      </c>
      <c r="U1334" s="36"/>
      <c r="V1334" s="36"/>
      <c r="W1334" s="129"/>
      <c r="X1334" s="36"/>
      <c r="Y1334" s="36"/>
      <c r="Z1334" s="36"/>
      <c r="AA1334" s="125" t="s">
        <v>121</v>
      </c>
      <c r="AB1334" s="173">
        <v>45821</v>
      </c>
      <c r="AC1334" s="119">
        <v>25929</v>
      </c>
      <c r="AD1334" s="36">
        <f t="shared" si="143"/>
        <v>5500511015</v>
      </c>
      <c r="AE1334" s="36" t="str">
        <f t="shared" si="144"/>
        <v>R900305228</v>
      </c>
      <c r="AF1334" s="36">
        <v>96</v>
      </c>
      <c r="AG1334" s="120">
        <f t="shared" si="151"/>
        <v>2148.48</v>
      </c>
      <c r="AH1334" s="36"/>
      <c r="AI1334" s="124"/>
      <c r="AJ1334" s="122" t="s">
        <v>3173</v>
      </c>
      <c r="AK1334" s="129" t="str">
        <f t="shared" ca="1" si="149"/>
        <v>Late</v>
      </c>
      <c r="AL1334" s="268" t="str">
        <f t="shared" si="150"/>
        <v>May</v>
      </c>
      <c r="AM1334" s="133">
        <f>YEAR(Table1[[#This Row],[ETA
As requested
dd.mm.yyyy]])</f>
        <v>2025</v>
      </c>
    </row>
    <row r="1335" spans="1:40" hidden="1">
      <c r="A1335" s="123" t="s">
        <v>27</v>
      </c>
      <c r="B1335" s="36" t="s">
        <v>1170</v>
      </c>
      <c r="C1335" s="117">
        <v>5500511015</v>
      </c>
      <c r="D1335" s="165">
        <v>45572</v>
      </c>
      <c r="E1335" s="117" t="s">
        <v>33</v>
      </c>
      <c r="F1335" s="36" t="str">
        <f>IFERROR(VLOOKUP(Table1[[#This Row],[Part Number]],DATABASE_FG!$C$6:D11324,2,FALSE)," ")</f>
        <v>HOUSING            DBD.10G1X/</v>
      </c>
      <c r="G1335" s="117" t="str">
        <f>IFERROR(_xlfn.XLOOKUP(Table1[[#This Row],[Part Number]],Table3[Part number],Table3[Drawing
 Revision]),"")</f>
        <v>H</v>
      </c>
      <c r="H1335" s="118" cm="1">
        <f t="array" ref="H1335">IFERROR(INDEX(PDB!$C:$AT,MATCH(E1335,PDB!$B:$B,0),MATCH(YEAR(K1335),0+PDB!$C$1:$AT$1,0)),"")</f>
        <v>22.38</v>
      </c>
      <c r="I1335" s="36">
        <v>2</v>
      </c>
      <c r="J1335" s="125">
        <f>IFERROR(Table1[[#This Row],[Quantity]]*Table1[[#This Row],[Price/Unit
EUR]]," ")</f>
        <v>44.76</v>
      </c>
      <c r="K1335" s="126">
        <v>45786</v>
      </c>
      <c r="L1335" s="36">
        <f>WEEKNUM(Table1[[#This Row],[ETA
As requested
dd.mm.yyyy]])</f>
        <v>19</v>
      </c>
      <c r="M1335" s="36">
        <f>YEAR(Table1[[#This Row],[ETA
As requested
dd.mm.yyyy]])</f>
        <v>2025</v>
      </c>
      <c r="N1335" s="36">
        <f>IFERROR(INDEX(DATABASE_FG!$H$5:$H$367, MATCH(E1335, DATABASE_FG!$C$5:$C$367, 0)), " ")</f>
        <v>18</v>
      </c>
      <c r="O1335" s="129" t="str">
        <f>IF(E1335&lt;&gt;"", _xlfn.XLOOKUP(E1335, DATABASE_FG!C:C, DATABASE_FG!F:F), " ")</f>
        <v>DBD.10</v>
      </c>
      <c r="P1335" s="129">
        <f>IFERROR(INDEX(DATABASE_FG!$G$5:$G$367, MATCH(E1335, DATABASE_FG!$C$5:$C$367, 0)), "Not Found")</f>
        <v>162</v>
      </c>
      <c r="Q1335" s="36">
        <v>60</v>
      </c>
      <c r="R1335" s="125" t="s">
        <v>678</v>
      </c>
      <c r="S1335" s="123">
        <f>IFERROR(INDEX(DATABASE_FG!$L$5:$L$367, MATCH(E1335, DATABASE_FG!$C$5:$C$367, 0)), " ")</f>
        <v>56</v>
      </c>
      <c r="T1335" s="36" t="s">
        <v>677</v>
      </c>
      <c r="U1335" s="36"/>
      <c r="V1335" s="36"/>
      <c r="W1335" s="129"/>
      <c r="X1335" s="36"/>
      <c r="Y1335" s="36"/>
      <c r="Z1335" s="36"/>
      <c r="AA1335" s="125" t="s">
        <v>121</v>
      </c>
      <c r="AB1335" s="173">
        <v>45828</v>
      </c>
      <c r="AC1335" s="119">
        <v>251004</v>
      </c>
      <c r="AD1335" s="36">
        <f t="shared" si="143"/>
        <v>5500511015</v>
      </c>
      <c r="AE1335" s="36" t="str">
        <f t="shared" si="144"/>
        <v>R900305228</v>
      </c>
      <c r="AF1335" s="36">
        <v>3</v>
      </c>
      <c r="AG1335" s="120">
        <f t="shared" si="151"/>
        <v>67.14</v>
      </c>
      <c r="AH1335" s="36"/>
      <c r="AI1335" s="124"/>
      <c r="AJ1335" s="122" t="s">
        <v>3174</v>
      </c>
      <c r="AK1335" s="129" t="str">
        <f t="shared" ca="1" si="149"/>
        <v>Late</v>
      </c>
      <c r="AL1335" s="268" t="str">
        <f t="shared" si="150"/>
        <v>May</v>
      </c>
      <c r="AM1335" s="133">
        <f>YEAR(Table1[[#This Row],[ETA
As requested
dd.mm.yyyy]])</f>
        <v>2025</v>
      </c>
    </row>
    <row r="1336" spans="1:40" hidden="1">
      <c r="A1336" s="123" t="s">
        <v>27</v>
      </c>
      <c r="B1336" s="36" t="s">
        <v>1170</v>
      </c>
      <c r="C1336" s="117">
        <v>5500511015</v>
      </c>
      <c r="D1336" s="165">
        <v>45572</v>
      </c>
      <c r="E1336" s="117" t="s">
        <v>33</v>
      </c>
      <c r="F1336" s="36" t="str">
        <f>IFERROR(VLOOKUP(Table1[[#This Row],[Part Number]],DATABASE_FG!$C$6:D11325,2,FALSE)," ")</f>
        <v>HOUSING            DBD.10G1X/</v>
      </c>
      <c r="G1336" s="117" t="str">
        <f>IFERROR(_xlfn.XLOOKUP(Table1[[#This Row],[Part Number]],Table3[Part number],Table3[Drawing
 Revision]),"")</f>
        <v>H</v>
      </c>
      <c r="H1336" s="118" cm="1">
        <f t="array" ref="H1336">IFERROR(INDEX(PDB!$C:$AT,MATCH(E1336,PDB!$B:$B,0),MATCH(YEAR(K1336),0+PDB!$C$1:$AT$1,0)),"")</f>
        <v>22.38</v>
      </c>
      <c r="I1336" s="36">
        <f>324-96+180</f>
        <v>408</v>
      </c>
      <c r="J1336" s="125">
        <f>IFERROR(Table1[[#This Row],[Quantity]]*Table1[[#This Row],[Price/Unit
EUR]]," ")</f>
        <v>9131.0399999999991</v>
      </c>
      <c r="K1336" s="126">
        <v>45806</v>
      </c>
      <c r="L1336" s="36">
        <f>WEEKNUM(Table1[[#This Row],[ETA
As requested
dd.mm.yyyy]])</f>
        <v>22</v>
      </c>
      <c r="M1336" s="36">
        <f>YEAR(Table1[[#This Row],[ETA
As requested
dd.mm.yyyy]])</f>
        <v>2025</v>
      </c>
      <c r="N1336" s="36">
        <f>IFERROR(INDEX(DATABASE_FG!$H$5:$H$367, MATCH(E1336, DATABASE_FG!$C$5:$C$367, 0)), " ")</f>
        <v>18</v>
      </c>
      <c r="O1336" s="129" t="str">
        <f>IF(E1336&lt;&gt;"", _xlfn.XLOOKUP(E1336, DATABASE_FG!C:C, DATABASE_FG!F:F), " ")</f>
        <v>DBD.10</v>
      </c>
      <c r="P1336" s="129">
        <f>IFERROR(INDEX(DATABASE_FG!$G$5:$G$367, MATCH(E1336, DATABASE_FG!$C$5:$C$367, 0)), "Not Found")</f>
        <v>162</v>
      </c>
      <c r="Q1336" s="36">
        <v>60</v>
      </c>
      <c r="R1336" s="125" t="s">
        <v>678</v>
      </c>
      <c r="S1336" s="123">
        <f>IFERROR(INDEX(DATABASE_FG!$L$5:$L$367, MATCH(E1336, DATABASE_FG!$C$5:$C$367, 0)), " ")</f>
        <v>56</v>
      </c>
      <c r="T1336" s="36" t="s">
        <v>677</v>
      </c>
      <c r="U1336" s="36"/>
      <c r="V1336" s="36"/>
      <c r="W1336" s="129"/>
      <c r="X1336" s="36"/>
      <c r="Y1336" s="36"/>
      <c r="Z1336" s="36"/>
      <c r="AA1336" s="125" t="s">
        <v>121</v>
      </c>
      <c r="AB1336" s="173">
        <v>45838</v>
      </c>
      <c r="AC1336" s="119">
        <v>260020</v>
      </c>
      <c r="AD1336" s="36">
        <f t="shared" si="143"/>
        <v>5500511015</v>
      </c>
      <c r="AE1336" s="36" t="str">
        <f t="shared" si="144"/>
        <v>R900305228</v>
      </c>
      <c r="AF1336" s="36">
        <v>408</v>
      </c>
      <c r="AG1336" s="120">
        <f t="shared" si="151"/>
        <v>9131.0399999999991</v>
      </c>
      <c r="AH1336" s="36"/>
      <c r="AI1336" s="124"/>
      <c r="AJ1336" s="122" t="s">
        <v>3215</v>
      </c>
      <c r="AK1336" s="129" t="str">
        <f t="shared" ca="1" si="149"/>
        <v>Late</v>
      </c>
      <c r="AL1336" s="268" t="str">
        <f t="shared" si="150"/>
        <v>May</v>
      </c>
      <c r="AM1336" s="133">
        <f>YEAR(Table1[[#This Row],[ETA
As requested
dd.mm.yyyy]])</f>
        <v>2025</v>
      </c>
    </row>
    <row r="1337" spans="1:40" hidden="1">
      <c r="A1337" s="123" t="s">
        <v>27</v>
      </c>
      <c r="B1337" s="36" t="s">
        <v>1170</v>
      </c>
      <c r="C1337" s="117">
        <v>5500511015</v>
      </c>
      <c r="D1337" s="165">
        <v>45572</v>
      </c>
      <c r="E1337" s="117" t="s">
        <v>33</v>
      </c>
      <c r="F1337" s="36" t="str">
        <f>IFERROR(VLOOKUP(Table1[[#This Row],[Part Number]],DATABASE_FG!$C$6:D11326,2,FALSE)," ")</f>
        <v>HOUSING            DBD.10G1X/</v>
      </c>
      <c r="G1337" s="117" t="str">
        <f>IFERROR(_xlfn.XLOOKUP(Table1[[#This Row],[Part Number]],Table3[Part number],Table3[Drawing
 Revision]),"")</f>
        <v>H</v>
      </c>
      <c r="H1337" s="118" cm="1">
        <f t="array" ref="H1337">IFERROR(INDEX(PDB!$C:$AT,MATCH(E1337,PDB!$B:$B,0),MATCH(YEAR(K1337),0+PDB!$C$1:$AT$1,0)),"")</f>
        <v>22.38</v>
      </c>
      <c r="I1337" s="36">
        <v>59</v>
      </c>
      <c r="J1337" s="125">
        <f>IFERROR(Table1[[#This Row],[Quantity]]*Table1[[#This Row],[Price/Unit
EUR]]," ")</f>
        <v>1320.4199999999998</v>
      </c>
      <c r="K1337" s="126">
        <v>45806</v>
      </c>
      <c r="L1337" s="36">
        <f>WEEKNUM(Table1[[#This Row],[ETA
As requested
dd.mm.yyyy]])</f>
        <v>22</v>
      </c>
      <c r="M1337" s="36">
        <f>YEAR(Table1[[#This Row],[ETA
As requested
dd.mm.yyyy]])</f>
        <v>2025</v>
      </c>
      <c r="N1337" s="36">
        <f>IFERROR(INDEX(DATABASE_FG!$H$5:$H$367, MATCH(E1337, DATABASE_FG!$C$5:$C$367, 0)), " ")</f>
        <v>18</v>
      </c>
      <c r="O1337" s="129" t="str">
        <f>IF(E1337&lt;&gt;"", _xlfn.XLOOKUP(E1337, DATABASE_FG!C:C, DATABASE_FG!F:F), " ")</f>
        <v>DBD.10</v>
      </c>
      <c r="P1337" s="129">
        <f>IFERROR(INDEX(DATABASE_FG!$G$5:$G$367, MATCH(E1337, DATABASE_FG!$C$5:$C$367, 0)), "Not Found")</f>
        <v>162</v>
      </c>
      <c r="Q1337" s="36">
        <v>60</v>
      </c>
      <c r="R1337" s="125" t="s">
        <v>678</v>
      </c>
      <c r="S1337" s="123">
        <f>IFERROR(INDEX(DATABASE_FG!$L$5:$L$367, MATCH(E1337, DATABASE_FG!$C$5:$C$367, 0)), " ")</f>
        <v>56</v>
      </c>
      <c r="T1337" s="36" t="s">
        <v>677</v>
      </c>
      <c r="U1337" s="36"/>
      <c r="V1337" s="36"/>
      <c r="W1337" s="129"/>
      <c r="X1337" s="36"/>
      <c r="Y1337" s="36"/>
      <c r="Z1337" s="36"/>
      <c r="AA1337" s="125" t="s">
        <v>121</v>
      </c>
      <c r="AB1337" s="173">
        <v>45842</v>
      </c>
      <c r="AC1337" s="119">
        <v>251023</v>
      </c>
      <c r="AD1337" s="36">
        <f t="shared" si="143"/>
        <v>5500511015</v>
      </c>
      <c r="AE1337" s="36" t="str">
        <f t="shared" si="144"/>
        <v>R900305228</v>
      </c>
      <c r="AF1337" s="36">
        <v>59</v>
      </c>
      <c r="AG1337" s="120">
        <f t="shared" si="151"/>
        <v>1320.4199999999998</v>
      </c>
      <c r="AH1337" s="36"/>
      <c r="AI1337" s="124"/>
      <c r="AJ1337" s="122" t="s">
        <v>3216</v>
      </c>
      <c r="AK1337" s="129" t="str">
        <f t="shared" ca="1" si="149"/>
        <v>Late</v>
      </c>
      <c r="AL1337" s="268" t="str">
        <f t="shared" si="150"/>
        <v>May</v>
      </c>
      <c r="AM1337" s="133">
        <f>YEAR(Table1[[#This Row],[ETA
As requested
dd.mm.yyyy]])</f>
        <v>2025</v>
      </c>
    </row>
    <row r="1338" spans="1:40" hidden="1">
      <c r="A1338" s="123" t="s">
        <v>27</v>
      </c>
      <c r="B1338" s="36" t="s">
        <v>1170</v>
      </c>
      <c r="C1338" s="117">
        <v>5500511015</v>
      </c>
      <c r="D1338" s="165">
        <v>45572</v>
      </c>
      <c r="E1338" s="117" t="s">
        <v>33</v>
      </c>
      <c r="F1338" s="36" t="str">
        <f>IFERROR(VLOOKUP(Table1[[#This Row],[Part Number]],DATABASE_FG!$C$6:D11327,2,FALSE)," ")</f>
        <v>HOUSING            DBD.10G1X/</v>
      </c>
      <c r="G1338" s="117" t="str">
        <f>IFERROR(_xlfn.XLOOKUP(Table1[[#This Row],[Part Number]],Table3[Part number],Table3[Drawing
 Revision]),"")</f>
        <v>H</v>
      </c>
      <c r="H1338" s="118" cm="1">
        <f t="array" ref="H1338">IFERROR(INDEX(PDB!$C:$AT,MATCH(E1338,PDB!$B:$B,0),MATCH(YEAR(K1338),0+PDB!$C$1:$AT$1,0)),"")</f>
        <v>22.38</v>
      </c>
      <c r="I1338" s="36">
        <f>291-180-59+76</f>
        <v>128</v>
      </c>
      <c r="J1338" s="125">
        <f>IFERROR(Table1[[#This Row],[Quantity]]*Table1[[#This Row],[Price/Unit
EUR]]," ")</f>
        <v>2864.64</v>
      </c>
      <c r="K1338" s="126">
        <v>45806</v>
      </c>
      <c r="L1338" s="36">
        <f>WEEKNUM(Table1[[#This Row],[ETA
As requested
dd.mm.yyyy]])</f>
        <v>22</v>
      </c>
      <c r="M1338" s="36">
        <f>YEAR(Table1[[#This Row],[ETA
As requested
dd.mm.yyyy]])</f>
        <v>2025</v>
      </c>
      <c r="N1338" s="36">
        <f>IFERROR(INDEX(DATABASE_FG!$H$5:$H$367, MATCH(E1338, DATABASE_FG!$C$5:$C$367, 0)), " ")</f>
        <v>18</v>
      </c>
      <c r="O1338" s="129" t="str">
        <f>IF(E1338&lt;&gt;"", _xlfn.XLOOKUP(E1338, DATABASE_FG!C:C, DATABASE_FG!F:F), " ")</f>
        <v>DBD.10</v>
      </c>
      <c r="P1338" s="129">
        <f>IFERROR(INDEX(DATABASE_FG!$G$5:$G$367, MATCH(E1338, DATABASE_FG!$C$5:$C$367, 0)), "Not Found")</f>
        <v>162</v>
      </c>
      <c r="Q1338" s="36">
        <v>60</v>
      </c>
      <c r="R1338" s="125" t="s">
        <v>678</v>
      </c>
      <c r="S1338" s="123">
        <f>IFERROR(INDEX(DATABASE_FG!$L$5:$L$367, MATCH(E1338, DATABASE_FG!$C$5:$C$367, 0)), " ")</f>
        <v>56</v>
      </c>
      <c r="T1338" s="36" t="s">
        <v>677</v>
      </c>
      <c r="U1338" s="36"/>
      <c r="V1338" s="36"/>
      <c r="W1338" s="129"/>
      <c r="X1338" s="36"/>
      <c r="Y1338" s="36"/>
      <c r="Z1338" s="36"/>
      <c r="AA1338" s="125" t="s">
        <v>121</v>
      </c>
      <c r="AB1338" s="173">
        <v>45849</v>
      </c>
      <c r="AC1338" s="119">
        <v>251055</v>
      </c>
      <c r="AD1338" s="36">
        <f t="shared" si="143"/>
        <v>5500511015</v>
      </c>
      <c r="AE1338" s="36" t="str">
        <f t="shared" si="144"/>
        <v>R900305228</v>
      </c>
      <c r="AF1338" s="36">
        <v>128</v>
      </c>
      <c r="AG1338" s="120">
        <f t="shared" si="151"/>
        <v>2864.64</v>
      </c>
      <c r="AH1338" s="36"/>
      <c r="AI1338" s="124"/>
      <c r="AJ1338" s="122" t="s">
        <v>3217</v>
      </c>
      <c r="AK1338" s="129" t="str">
        <f t="shared" ca="1" si="149"/>
        <v>Late</v>
      </c>
      <c r="AL1338" s="268" t="str">
        <f t="shared" si="150"/>
        <v>May</v>
      </c>
      <c r="AM1338" s="133">
        <f>YEAR(Table1[[#This Row],[ETA
As requested
dd.mm.yyyy]])</f>
        <v>2025</v>
      </c>
    </row>
    <row r="1339" spans="1:40" hidden="1">
      <c r="A1339" s="123" t="s">
        <v>27</v>
      </c>
      <c r="B1339" s="36" t="s">
        <v>1170</v>
      </c>
      <c r="C1339" s="117">
        <v>5500511015</v>
      </c>
      <c r="D1339" s="165">
        <v>45572</v>
      </c>
      <c r="E1339" s="117" t="s">
        <v>33</v>
      </c>
      <c r="F1339" s="36" t="str">
        <f>IFERROR(VLOOKUP(Table1[[#This Row],[Part Number]],DATABASE_FG!$C$6:D11328,2,FALSE)," ")</f>
        <v>HOUSING            DBD.10G1X/</v>
      </c>
      <c r="G1339" s="117" t="str">
        <f>IFERROR(_xlfn.XLOOKUP(Table1[[#This Row],[Part Number]],Table3[Part number],Table3[Drawing
 Revision]),"")</f>
        <v>H</v>
      </c>
      <c r="H1339" s="118" cm="1">
        <f t="array" ref="H1339">IFERROR(INDEX(PDB!$C:$AT,MATCH(E1339,PDB!$B:$B,0),MATCH(YEAR(K1339),0+PDB!$C$1:$AT$1,0)),"")</f>
        <v>22.38</v>
      </c>
      <c r="I1339" s="36">
        <v>1</v>
      </c>
      <c r="J1339" s="125">
        <f>IFERROR(Table1[[#This Row],[Quantity]]*Table1[[#This Row],[Price/Unit
EUR]]," ")</f>
        <v>22.38</v>
      </c>
      <c r="K1339" s="126">
        <v>45806</v>
      </c>
      <c r="L1339" s="36">
        <f>WEEKNUM(Table1[[#This Row],[ETA
As requested
dd.mm.yyyy]])</f>
        <v>22</v>
      </c>
      <c r="M1339" s="36">
        <f>YEAR(Table1[[#This Row],[ETA
As requested
dd.mm.yyyy]])</f>
        <v>2025</v>
      </c>
      <c r="N1339" s="36">
        <f>IFERROR(INDEX(DATABASE_FG!$H$5:$H$367, MATCH(E1339, DATABASE_FG!$C$5:$C$367, 0)), " ")</f>
        <v>18</v>
      </c>
      <c r="O1339" s="129" t="str">
        <f>IF(E1339&lt;&gt;"", _xlfn.XLOOKUP(E1339, DATABASE_FG!C:C, DATABASE_FG!F:F), " ")</f>
        <v>DBD.10</v>
      </c>
      <c r="P1339" s="129">
        <f>IFERROR(INDEX(DATABASE_FG!$G$5:$G$367, MATCH(E1339, DATABASE_FG!$C$5:$C$367, 0)), "Not Found")</f>
        <v>162</v>
      </c>
      <c r="Q1339" s="36">
        <v>60</v>
      </c>
      <c r="R1339" s="125" t="s">
        <v>678</v>
      </c>
      <c r="S1339" s="123">
        <f>IFERROR(INDEX(DATABASE_FG!$L$5:$L$367, MATCH(E1339, DATABASE_FG!$C$5:$C$367, 0)), " ")</f>
        <v>56</v>
      </c>
      <c r="T1339" s="36" t="s">
        <v>677</v>
      </c>
      <c r="U1339" s="36"/>
      <c r="V1339" s="36"/>
      <c r="W1339" s="129"/>
      <c r="X1339" s="36"/>
      <c r="Y1339" s="36"/>
      <c r="Z1339" s="36"/>
      <c r="AA1339" s="125" t="s">
        <v>121</v>
      </c>
      <c r="AB1339" s="173">
        <v>45859</v>
      </c>
      <c r="AC1339" s="119">
        <v>251078</v>
      </c>
      <c r="AD1339" s="36">
        <f t="shared" si="143"/>
        <v>5500511015</v>
      </c>
      <c r="AE1339" s="36" t="str">
        <f t="shared" si="144"/>
        <v>R900305228</v>
      </c>
      <c r="AF1339" s="36">
        <v>1</v>
      </c>
      <c r="AG1339" s="120">
        <f t="shared" si="151"/>
        <v>22.38</v>
      </c>
      <c r="AH1339" s="36"/>
      <c r="AI1339" s="124"/>
      <c r="AJ1339" s="122" t="s">
        <v>3218</v>
      </c>
      <c r="AK1339" s="129" t="str">
        <f t="shared" ca="1" si="149"/>
        <v>Late</v>
      </c>
      <c r="AL1339" s="268" t="str">
        <f t="shared" si="150"/>
        <v>May</v>
      </c>
      <c r="AM1339" s="133">
        <f>YEAR(Table1[[#This Row],[ETA
As requested
dd.mm.yyyy]])</f>
        <v>2025</v>
      </c>
    </row>
    <row r="1340" spans="1:40" hidden="1">
      <c r="A1340" s="123" t="s">
        <v>27</v>
      </c>
      <c r="B1340" s="36" t="s">
        <v>1170</v>
      </c>
      <c r="C1340" s="117">
        <v>5500511015</v>
      </c>
      <c r="D1340" s="165">
        <v>45572</v>
      </c>
      <c r="E1340" s="117" t="s">
        <v>33</v>
      </c>
      <c r="F1340" s="36" t="str">
        <f>IFERROR(VLOOKUP(Table1[[#This Row],[Part Number]],DATABASE_FG!$C$6:D11329,2,FALSE)," ")</f>
        <v>HOUSING            DBD.10G1X/</v>
      </c>
      <c r="G1340" s="117" t="str">
        <f>IFERROR(_xlfn.XLOOKUP(Table1[[#This Row],[Part Number]],Table3[Part number],Table3[Drawing
 Revision]),"")</f>
        <v>H</v>
      </c>
      <c r="H1340" s="118" cm="1">
        <f t="array" ref="H1340">IFERROR(INDEX(PDB!$C:$AT,MATCH(E1340,PDB!$B:$B,0),MATCH(YEAR(K1340),0+PDB!$C$1:$AT$1,0)),"")</f>
        <v>22.38</v>
      </c>
      <c r="I1340" s="36">
        <f>96-76-1</f>
        <v>19</v>
      </c>
      <c r="J1340" s="125">
        <f>IFERROR(Table1[[#This Row],[Quantity]]*Table1[[#This Row],[Price/Unit
EUR]]," ")</f>
        <v>425.21999999999997</v>
      </c>
      <c r="K1340" s="126">
        <v>45826</v>
      </c>
      <c r="L1340" s="36">
        <f>WEEKNUM(Table1[[#This Row],[ETA
As requested
dd.mm.yyyy]])</f>
        <v>25</v>
      </c>
      <c r="M1340" s="36">
        <f>YEAR(Table1[[#This Row],[ETA
As requested
dd.mm.yyyy]])</f>
        <v>2025</v>
      </c>
      <c r="N1340" s="36">
        <f>IFERROR(INDEX(DATABASE_FG!$H$5:$H$367, MATCH(E1340, DATABASE_FG!$C$5:$C$367, 0)), " ")</f>
        <v>18</v>
      </c>
      <c r="O1340" s="129" t="str">
        <f>IF(E1340&lt;&gt;"", _xlfn.XLOOKUP(E1340, DATABASE_FG!C:C, DATABASE_FG!F:F), " ")</f>
        <v>DBD.10</v>
      </c>
      <c r="P1340" s="129">
        <f>IFERROR(INDEX(DATABASE_FG!$G$5:$G$367, MATCH(E1340, DATABASE_FG!$C$5:$C$367, 0)), "Not Found")</f>
        <v>162</v>
      </c>
      <c r="Q1340" s="36">
        <v>60</v>
      </c>
      <c r="R1340" s="125" t="s">
        <v>678</v>
      </c>
      <c r="S1340" s="123">
        <f>IFERROR(INDEX(DATABASE_FG!$L$5:$L$367, MATCH(E1340, DATABASE_FG!$C$5:$C$367, 0)), " ")</f>
        <v>56</v>
      </c>
      <c r="T1340" s="36" t="s">
        <v>677</v>
      </c>
      <c r="U1340" s="36"/>
      <c r="V1340" s="36"/>
      <c r="W1340" s="129"/>
      <c r="X1340" s="36"/>
      <c r="Y1340" s="36"/>
      <c r="Z1340" s="36"/>
      <c r="AA1340" s="125" t="s">
        <v>121</v>
      </c>
      <c r="AB1340" s="173">
        <v>45895</v>
      </c>
      <c r="AC1340" s="119">
        <v>251137</v>
      </c>
      <c r="AD1340" s="36">
        <f t="shared" ref="AD1340:AD1349" si="152">IF(NOT(ISBLANK(AC1340)), C1340, "")</f>
        <v>5500511015</v>
      </c>
      <c r="AE1340" s="36" t="str">
        <f t="shared" ref="AE1340:AE1406" si="153">IF(NOT(ISBLANK(AC1340)), E1340, "")</f>
        <v>R900305228</v>
      </c>
      <c r="AF1340" s="36">
        <v>19</v>
      </c>
      <c r="AG1340" s="120">
        <f t="shared" si="151"/>
        <v>425.21999999999997</v>
      </c>
      <c r="AH1340" s="36"/>
      <c r="AI1340" s="124"/>
      <c r="AJ1340" s="122" t="s">
        <v>3308</v>
      </c>
      <c r="AK1340" s="129" t="str">
        <f t="shared" ca="1" si="149"/>
        <v>Late</v>
      </c>
      <c r="AL1340" s="268" t="str">
        <f t="shared" si="150"/>
        <v>June</v>
      </c>
      <c r="AM1340" s="133">
        <f>YEAR(Table1[[#This Row],[ETA
As requested
dd.mm.yyyy]])</f>
        <v>2025</v>
      </c>
    </row>
    <row r="1341" spans="1:40" hidden="1">
      <c r="A1341" s="123" t="s">
        <v>27</v>
      </c>
      <c r="B1341" s="36" t="s">
        <v>1170</v>
      </c>
      <c r="C1341" s="117">
        <v>5500511015</v>
      </c>
      <c r="D1341" s="165">
        <v>45572</v>
      </c>
      <c r="E1341" s="117" t="s">
        <v>33</v>
      </c>
      <c r="F1341" s="36" t="str">
        <f>IFERROR(VLOOKUP(Table1[[#This Row],[Part Number]],DATABASE_FG!$C$6:D11330,2,FALSE)," ")</f>
        <v>HOUSING            DBD.10G1X/</v>
      </c>
      <c r="G1341" s="117" t="str">
        <f>IFERROR(_xlfn.XLOOKUP(Table1[[#This Row],[Part Number]],Table3[Part number],Table3[Drawing
 Revision]),"")</f>
        <v>H</v>
      </c>
      <c r="H1341" s="118" cm="1">
        <f t="array" ref="H1341">IFERROR(INDEX(PDB!$C:$AT,MATCH(E1341,PDB!$B:$B,0),MATCH(YEAR(K1341),0+PDB!$C$1:$AT$1,0)),"")</f>
        <v>22.38</v>
      </c>
      <c r="I1341" s="36">
        <v>157</v>
      </c>
      <c r="J1341" s="125">
        <f>IFERROR(Table1[[#This Row],[Quantity]]*Table1[[#This Row],[Price/Unit
EUR]]," ")</f>
        <v>3513.66</v>
      </c>
      <c r="K1341" s="126">
        <v>45838</v>
      </c>
      <c r="L1341" s="36">
        <f>WEEKNUM(Table1[[#This Row],[ETA
As requested
dd.mm.yyyy]])</f>
        <v>27</v>
      </c>
      <c r="M1341" s="36">
        <f>YEAR(Table1[[#This Row],[ETA
As requested
dd.mm.yyyy]])</f>
        <v>2025</v>
      </c>
      <c r="N1341" s="36">
        <f>IFERROR(INDEX(DATABASE_FG!$H$5:$H$367, MATCH(E1341, DATABASE_FG!$C$5:$C$367, 0)), " ")</f>
        <v>18</v>
      </c>
      <c r="O1341" s="129" t="str">
        <f>IF(E1341&lt;&gt;"", _xlfn.XLOOKUP(E1341, DATABASE_FG!C:C, DATABASE_FG!F:F), " ")</f>
        <v>DBD.10</v>
      </c>
      <c r="P1341" s="129">
        <f>IFERROR(INDEX(DATABASE_FG!$G$5:$G$367, MATCH(E1341, DATABASE_FG!$C$5:$C$367, 0)), "Not Found")</f>
        <v>162</v>
      </c>
      <c r="Q1341" s="36">
        <v>60</v>
      </c>
      <c r="R1341" s="125" t="s">
        <v>678</v>
      </c>
      <c r="S1341" s="123">
        <f>IFERROR(INDEX(DATABASE_FG!$L$5:$L$367, MATCH(E1341, DATABASE_FG!$C$5:$C$367, 0)), " ")</f>
        <v>56</v>
      </c>
      <c r="T1341" s="36" t="s">
        <v>677</v>
      </c>
      <c r="U1341" s="36"/>
      <c r="V1341" s="36"/>
      <c r="W1341" s="129"/>
      <c r="X1341" s="36"/>
      <c r="Y1341" s="36"/>
      <c r="Z1341" s="36"/>
      <c r="AA1341" s="125" t="s">
        <v>121</v>
      </c>
      <c r="AB1341" s="173">
        <v>45895</v>
      </c>
      <c r="AC1341" s="119">
        <v>251137</v>
      </c>
      <c r="AD1341" s="36">
        <f t="shared" si="152"/>
        <v>5500511015</v>
      </c>
      <c r="AE1341" s="36" t="str">
        <f t="shared" si="153"/>
        <v>R900305228</v>
      </c>
      <c r="AF1341" s="36">
        <v>157</v>
      </c>
      <c r="AG1341" s="120">
        <f t="shared" si="151"/>
        <v>3513.66</v>
      </c>
      <c r="AH1341" s="36"/>
      <c r="AI1341" s="124"/>
      <c r="AJ1341" s="122" t="s">
        <v>3308</v>
      </c>
      <c r="AK1341" s="129" t="str">
        <f t="shared" ca="1" si="149"/>
        <v>Late</v>
      </c>
      <c r="AL1341" s="268" t="str">
        <f t="shared" si="150"/>
        <v>June</v>
      </c>
      <c r="AM1341" s="133">
        <f>YEAR(Table1[[#This Row],[ETA
As requested
dd.mm.yyyy]])</f>
        <v>2025</v>
      </c>
    </row>
    <row r="1342" spans="1:40" hidden="1">
      <c r="A1342" s="123" t="s">
        <v>27</v>
      </c>
      <c r="B1342" s="36" t="s">
        <v>1170</v>
      </c>
      <c r="C1342" s="117">
        <v>5500511015</v>
      </c>
      <c r="D1342" s="165">
        <v>45572</v>
      </c>
      <c r="E1342" s="117" t="s">
        <v>33</v>
      </c>
      <c r="F1342" s="36" t="str">
        <f>IFERROR(VLOOKUP(Table1[[#This Row],[Part Number]],DATABASE_FG!$C$6:D11331,2,FALSE)," ")</f>
        <v>HOUSING            DBD.10G1X/</v>
      </c>
      <c r="G1342" s="117" t="str">
        <f>IFERROR(_xlfn.XLOOKUP(Table1[[#This Row],[Part Number]],Table3[Part number],Table3[Drawing
 Revision]),"")</f>
        <v>H</v>
      </c>
      <c r="H1342" s="118" cm="1">
        <f t="array" ref="H1342">IFERROR(INDEX(PDB!$C:$AT,MATCH(E1342,PDB!$B:$B,0),MATCH(YEAR(K1342),0+PDB!$C$1:$AT$1,0)),"")</f>
        <v>22.38</v>
      </c>
      <c r="I1342" s="36">
        <v>186</v>
      </c>
      <c r="J1342" s="125">
        <f>IFERROR(Table1[[#This Row],[Quantity]]*Table1[[#This Row],[Price/Unit
EUR]]," ")</f>
        <v>4162.6799999999994</v>
      </c>
      <c r="K1342" s="126">
        <v>45838</v>
      </c>
      <c r="L1342" s="36">
        <f>WEEKNUM(Table1[[#This Row],[ETA
As requested
dd.mm.yyyy]])</f>
        <v>27</v>
      </c>
      <c r="M1342" s="36">
        <f>YEAR(Table1[[#This Row],[ETA
As requested
dd.mm.yyyy]])</f>
        <v>2025</v>
      </c>
      <c r="N1342" s="36">
        <f>IFERROR(INDEX(DATABASE_FG!$H$5:$H$367, MATCH(E1342, DATABASE_FG!$C$5:$C$367, 0)), " ")</f>
        <v>18</v>
      </c>
      <c r="O1342" s="129" t="str">
        <f>IF(E1342&lt;&gt;"", _xlfn.XLOOKUP(E1342, DATABASE_FG!C:C, DATABASE_FG!F:F), " ")</f>
        <v>DBD.10</v>
      </c>
      <c r="P1342" s="129">
        <f>IFERROR(INDEX(DATABASE_FG!$G$5:$G$367, MATCH(E1342, DATABASE_FG!$C$5:$C$367, 0)), "Not Found")</f>
        <v>162</v>
      </c>
      <c r="Q1342" s="36">
        <v>60</v>
      </c>
      <c r="R1342" s="125" t="s">
        <v>678</v>
      </c>
      <c r="S1342" s="123">
        <f>IFERROR(INDEX(DATABASE_FG!$L$5:$L$367, MATCH(E1342, DATABASE_FG!$C$5:$C$367, 0)), " ")</f>
        <v>56</v>
      </c>
      <c r="T1342" s="36" t="s">
        <v>677</v>
      </c>
      <c r="U1342" s="36"/>
      <c r="V1342" s="36"/>
      <c r="W1342" s="129"/>
      <c r="X1342" s="36"/>
      <c r="Y1342" s="36"/>
      <c r="Z1342" s="36"/>
      <c r="AA1342" s="125" t="s">
        <v>121</v>
      </c>
      <c r="AB1342" s="173">
        <v>45915</v>
      </c>
      <c r="AC1342" s="119">
        <v>251153</v>
      </c>
      <c r="AD1342" s="36">
        <f t="shared" si="152"/>
        <v>5500511015</v>
      </c>
      <c r="AE1342" s="36" t="str">
        <f t="shared" si="153"/>
        <v>R900305228</v>
      </c>
      <c r="AF1342" s="36">
        <v>186</v>
      </c>
      <c r="AG1342" s="120">
        <f t="shared" si="151"/>
        <v>4162.6799999999994</v>
      </c>
      <c r="AH1342" s="36"/>
      <c r="AI1342" s="124"/>
      <c r="AJ1342" s="122" t="s">
        <v>3388</v>
      </c>
      <c r="AK1342" s="129" t="str">
        <f t="shared" ca="1" si="149"/>
        <v>Late</v>
      </c>
      <c r="AL1342" s="268" t="str">
        <f t="shared" si="150"/>
        <v>June</v>
      </c>
      <c r="AM1342" s="133">
        <f>YEAR(Table1[[#This Row],[ETA
As requested
dd.mm.yyyy]])</f>
        <v>2025</v>
      </c>
    </row>
    <row r="1343" spans="1:40" hidden="1">
      <c r="A1343" s="123" t="s">
        <v>27</v>
      </c>
      <c r="B1343" s="36" t="s">
        <v>1170</v>
      </c>
      <c r="C1343" s="117">
        <v>5500511015</v>
      </c>
      <c r="D1343" s="165">
        <v>45572</v>
      </c>
      <c r="E1343" s="117" t="s">
        <v>33</v>
      </c>
      <c r="F1343" s="36" t="str">
        <f>IFERROR(VLOOKUP(Table1[[#This Row],[Part Number]],DATABASE_FG!$C$6:D11332,2,FALSE)," ")</f>
        <v>HOUSING            DBD.10G1X/</v>
      </c>
      <c r="G1343" s="117" t="str">
        <f>IFERROR(_xlfn.XLOOKUP(Table1[[#This Row],[Part Number]],Table3[Part number],Table3[Drawing
 Revision]),"")</f>
        <v>H</v>
      </c>
      <c r="H1343" s="118" cm="1">
        <f t="array" ref="H1343">IFERROR(INDEX(PDB!$C:$AT,MATCH(E1343,PDB!$B:$B,0),MATCH(YEAR(K1343),0+PDB!$C$1:$AT$1,0)),"")</f>
        <v>22.38</v>
      </c>
      <c r="I1343" s="36">
        <v>150</v>
      </c>
      <c r="J1343" s="125">
        <f>IFERROR(Table1[[#This Row],[Quantity]]*Table1[[#This Row],[Price/Unit
EUR]]," ")</f>
        <v>3357</v>
      </c>
      <c r="K1343" s="126">
        <v>45915</v>
      </c>
      <c r="L1343" s="36">
        <f>WEEKNUM(Table1[[#This Row],[ETA
As requested
dd.mm.yyyy]])</f>
        <v>38</v>
      </c>
      <c r="M1343" s="36">
        <f>YEAR(Table1[[#This Row],[ETA
As requested
dd.mm.yyyy]])</f>
        <v>2025</v>
      </c>
      <c r="N1343" s="36">
        <f>IFERROR(INDEX(DATABASE_FG!$H$5:$H$367, MATCH(E1343, DATABASE_FG!$C$5:$C$367, 0)), " ")</f>
        <v>18</v>
      </c>
      <c r="O1343" s="129" t="str">
        <f>IF(E1343&lt;&gt;"", _xlfn.XLOOKUP(E1343, DATABASE_FG!C:C, DATABASE_FG!F:F), " ")</f>
        <v>DBD.10</v>
      </c>
      <c r="P1343" s="129">
        <f>IFERROR(INDEX(DATABASE_FG!$G$5:$G$367, MATCH(E1343, DATABASE_FG!$C$5:$C$367, 0)), "Not Found")</f>
        <v>162</v>
      </c>
      <c r="Q1343" s="36">
        <v>61</v>
      </c>
      <c r="R1343" s="125" t="s">
        <v>678</v>
      </c>
      <c r="S1343" s="123">
        <f>IFERROR(INDEX(DATABASE_FG!$L$5:$L$367, MATCH(E1343, DATABASE_FG!$C$5:$C$367, 0)), " ")</f>
        <v>56</v>
      </c>
      <c r="T1343" s="36" t="s">
        <v>677</v>
      </c>
      <c r="U1343" s="36"/>
      <c r="V1343" s="36"/>
      <c r="W1343" s="129"/>
      <c r="X1343" s="36"/>
      <c r="Y1343" s="36"/>
      <c r="Z1343" s="36"/>
      <c r="AA1343" s="125" t="s">
        <v>121</v>
      </c>
      <c r="AB1343" s="126">
        <v>45938</v>
      </c>
      <c r="AC1343" s="119">
        <v>251176</v>
      </c>
      <c r="AD1343" s="36">
        <f t="shared" si="152"/>
        <v>5500511015</v>
      </c>
      <c r="AE1343" s="36" t="str">
        <f t="shared" si="153"/>
        <v>R900305228</v>
      </c>
      <c r="AF1343" s="36">
        <v>150</v>
      </c>
      <c r="AG1343" s="120">
        <f t="shared" si="151"/>
        <v>3357</v>
      </c>
      <c r="AH1343" s="36"/>
      <c r="AI1343" s="124"/>
      <c r="AJ1343" s="122" t="s">
        <v>4330</v>
      </c>
      <c r="AK1343" s="129" t="str">
        <f t="shared" ca="1" si="149"/>
        <v>Late</v>
      </c>
      <c r="AL1343" s="268" t="str">
        <f t="shared" si="150"/>
        <v>September</v>
      </c>
      <c r="AM1343" s="133">
        <f>YEAR(Table1[[#This Row],[ETA
As requested
dd.mm.yyyy]])</f>
        <v>2025</v>
      </c>
    </row>
    <row r="1344" spans="1:40" hidden="1">
      <c r="A1344" s="123" t="s">
        <v>27</v>
      </c>
      <c r="B1344" s="36" t="s">
        <v>1170</v>
      </c>
      <c r="C1344" s="117">
        <v>5500511015</v>
      </c>
      <c r="D1344" s="165">
        <v>45572</v>
      </c>
      <c r="E1344" s="117" t="s">
        <v>33</v>
      </c>
      <c r="F1344" s="36" t="str">
        <f>IFERROR(VLOOKUP(Table1[[#This Row],[Part Number]],DATABASE_FG!$C$6:D11333,2,FALSE)," ")</f>
        <v>HOUSING            DBD.10G1X/</v>
      </c>
      <c r="G1344" s="117" t="str">
        <f>IFERROR(_xlfn.XLOOKUP(Table1[[#This Row],[Part Number]],Table3[Part number],Table3[Drawing
 Revision]),"")</f>
        <v>H</v>
      </c>
      <c r="H1344" s="118" cm="1">
        <f t="array" ref="H1344">IFERROR(INDEX(PDB!$C:$AT,MATCH(E1344,PDB!$B:$B,0),MATCH(YEAR(K1344),0+PDB!$C$1:$AT$1,0)),"")</f>
        <v>22.38</v>
      </c>
      <c r="I1344" s="36">
        <v>150</v>
      </c>
      <c r="J1344" s="125">
        <f>IFERROR(Table1[[#This Row],[Quantity]]*Table1[[#This Row],[Price/Unit
EUR]]," ")</f>
        <v>3357</v>
      </c>
      <c r="K1344" s="126">
        <v>45922</v>
      </c>
      <c r="L1344" s="36">
        <f>WEEKNUM(Table1[[#This Row],[ETA
As requested
dd.mm.yyyy]])</f>
        <v>39</v>
      </c>
      <c r="M1344" s="36">
        <f>YEAR(Table1[[#This Row],[ETA
As requested
dd.mm.yyyy]])</f>
        <v>2025</v>
      </c>
      <c r="N1344" s="36">
        <f>IFERROR(INDEX(DATABASE_FG!$H$5:$H$367, MATCH(E1344, DATABASE_FG!$C$5:$C$367, 0)), " ")</f>
        <v>18</v>
      </c>
      <c r="O1344" s="129" t="s">
        <v>32</v>
      </c>
      <c r="P1344" s="129">
        <f>IFERROR(INDEX(DATABASE_FG!$G$5:$G$367, MATCH(E1344, DATABASE_FG!$C$5:$C$367, 0)), "Not Found")</f>
        <v>162</v>
      </c>
      <c r="Q1344" s="36">
        <v>61</v>
      </c>
      <c r="R1344" s="125" t="s">
        <v>678</v>
      </c>
      <c r="S1344" s="123" t="s">
        <v>3</v>
      </c>
      <c r="T1344" s="36"/>
      <c r="U1344" s="36"/>
      <c r="V1344" s="36" t="s">
        <v>2720</v>
      </c>
      <c r="W1344" s="129" t="s">
        <v>2720</v>
      </c>
      <c r="X1344" s="36"/>
      <c r="Y1344" s="36">
        <v>0</v>
      </c>
      <c r="Z1344" s="36"/>
      <c r="AA1344" s="125" t="s">
        <v>121</v>
      </c>
      <c r="AB1344" s="126">
        <v>45938</v>
      </c>
      <c r="AC1344" s="119">
        <v>251176</v>
      </c>
      <c r="AD1344" s="36">
        <f t="shared" si="152"/>
        <v>5500511015</v>
      </c>
      <c r="AE1344" s="36" t="str">
        <f t="shared" si="153"/>
        <v>R900305228</v>
      </c>
      <c r="AF1344" s="36">
        <v>150</v>
      </c>
      <c r="AG1344" s="120">
        <f t="shared" si="151"/>
        <v>3357</v>
      </c>
      <c r="AH1344" s="36"/>
      <c r="AI1344" s="124"/>
      <c r="AJ1344" s="122" t="s">
        <v>4330</v>
      </c>
      <c r="AK1344" s="129" t="str">
        <f t="shared" ca="1" si="149"/>
        <v>Late</v>
      </c>
      <c r="AL1344" s="268" t="str">
        <f t="shared" si="150"/>
        <v>September</v>
      </c>
      <c r="AM1344" s="133">
        <f>YEAR(Table1[[#This Row],[ETA
As requested
dd.mm.yyyy]])</f>
        <v>2025</v>
      </c>
      <c r="AN1344" s="191"/>
    </row>
    <row r="1345" spans="1:40" hidden="1">
      <c r="A1345" s="123" t="s">
        <v>27</v>
      </c>
      <c r="B1345" s="36" t="s">
        <v>1170</v>
      </c>
      <c r="C1345" s="117">
        <v>5500511015</v>
      </c>
      <c r="D1345" s="165">
        <v>45572</v>
      </c>
      <c r="E1345" s="117" t="s">
        <v>33</v>
      </c>
      <c r="F1345" s="36" t="str">
        <f>IFERROR(VLOOKUP(Table1[[#This Row],[Part Number]],DATABASE_FG!$C$6:D11334,2,FALSE)," ")</f>
        <v>HOUSING            DBD.10G1X/</v>
      </c>
      <c r="G1345" s="117" t="str">
        <f>IFERROR(_xlfn.XLOOKUP(Table1[[#This Row],[Part Number]],Table3[Part number],Table3[Drawing
 Revision]),"")</f>
        <v>H</v>
      </c>
      <c r="H1345" s="118" cm="1">
        <f t="array" ref="H1345">IFERROR(INDEX(PDB!$C:$AT,MATCH(E1345,PDB!$B:$B,0),MATCH(YEAR(K1345),0+PDB!$C$1:$AT$1,0)),"")</f>
        <v>22.38</v>
      </c>
      <c r="I1345" s="36">
        <v>168</v>
      </c>
      <c r="J1345" s="125">
        <f>IFERROR(Table1[[#This Row],[Quantity]]*Table1[[#This Row],[Price/Unit
EUR]]," ")</f>
        <v>3759.8399999999997</v>
      </c>
      <c r="K1345" s="126">
        <v>45931</v>
      </c>
      <c r="L1345" s="36">
        <f>WEEKNUM(Table1[[#This Row],[ETA
As requested
dd.mm.yyyy]])</f>
        <v>40</v>
      </c>
      <c r="M1345" s="36">
        <f>YEAR(Table1[[#This Row],[ETA
As requested
dd.mm.yyyy]])</f>
        <v>2025</v>
      </c>
      <c r="N1345" s="36">
        <f>IFERROR(INDEX(DATABASE_FG!$H$5:$H$367, MATCH(E1345, DATABASE_FG!$C$5:$C$367, 0)), " ")</f>
        <v>18</v>
      </c>
      <c r="O1345" s="129" t="str">
        <f>IF(E1345&lt;&gt;"", _xlfn.XLOOKUP(E1345, DATABASE_FG!C:C, DATABASE_FG!F:F), " ")</f>
        <v>DBD.10</v>
      </c>
      <c r="P1345" s="129">
        <f>IFERROR(INDEX(DATABASE_FG!$G$5:$G$367, MATCH(E1345, DATABASE_FG!$C$5:$C$367, 0)), "Not Found")</f>
        <v>162</v>
      </c>
      <c r="Q1345" s="36">
        <v>61</v>
      </c>
      <c r="R1345" s="125" t="s">
        <v>678</v>
      </c>
      <c r="S1345" s="123">
        <f>Table1[[#This Row],[Quantity]]/48</f>
        <v>3.5</v>
      </c>
      <c r="T1345" s="36"/>
      <c r="U1345" s="36"/>
      <c r="V1345" s="36"/>
      <c r="W1345" s="129"/>
      <c r="X1345" s="36"/>
      <c r="Y1345" s="36"/>
      <c r="Z1345" s="36"/>
      <c r="AA1345" s="125" t="s">
        <v>121</v>
      </c>
      <c r="AB1345" s="126">
        <v>45938</v>
      </c>
      <c r="AC1345" s="119">
        <v>251176</v>
      </c>
      <c r="AD1345" s="36">
        <f t="shared" si="152"/>
        <v>5500511015</v>
      </c>
      <c r="AE1345" s="36" t="str">
        <f t="shared" si="153"/>
        <v>R900305228</v>
      </c>
      <c r="AF1345" s="36">
        <v>168</v>
      </c>
      <c r="AG1345" s="120">
        <f t="shared" si="151"/>
        <v>3759.8399999999997</v>
      </c>
      <c r="AH1345" s="36"/>
      <c r="AI1345" s="124"/>
      <c r="AJ1345" s="122" t="s">
        <v>4330</v>
      </c>
      <c r="AK1345" s="129" t="str">
        <f t="shared" ca="1" si="149"/>
        <v>Late</v>
      </c>
      <c r="AL1345" s="268" t="str">
        <f t="shared" si="150"/>
        <v>October</v>
      </c>
      <c r="AM1345" s="133">
        <f>YEAR(Table1[[#This Row],[ETA
As requested
dd.mm.yyyy]])</f>
        <v>2025</v>
      </c>
      <c r="AN1345" s="191"/>
    </row>
    <row r="1346" spans="1:40" hidden="1">
      <c r="A1346" s="123" t="s">
        <v>27</v>
      </c>
      <c r="B1346" s="36" t="s">
        <v>1170</v>
      </c>
      <c r="C1346" s="117">
        <v>5500511015</v>
      </c>
      <c r="D1346" s="165">
        <v>45572</v>
      </c>
      <c r="E1346" s="117" t="s">
        <v>33</v>
      </c>
      <c r="F1346" s="36" t="str">
        <f>IFERROR(VLOOKUP(Table1[[#This Row],[Part Number]],DATABASE_FG!$C$6:D11335,2,FALSE)," ")</f>
        <v>HOUSING            DBD.10G1X/</v>
      </c>
      <c r="G1346" s="117" t="str">
        <f>IFERROR(_xlfn.XLOOKUP(Table1[[#This Row],[Part Number]],Table3[Part number],Table3[Drawing
 Revision]),"")</f>
        <v>H</v>
      </c>
      <c r="H1346" s="118" cm="1">
        <f t="array" ref="H1346">IFERROR(INDEX(PDB!$C:$AT,MATCH(E1346,PDB!$B:$B,0),MATCH(YEAR(K1346),0+PDB!$C$1:$AT$1,0)),"")</f>
        <v>22.38</v>
      </c>
      <c r="I1346" s="36">
        <f>324-168</f>
        <v>156</v>
      </c>
      <c r="J1346" s="125">
        <f>IFERROR(Table1[[#This Row],[Quantity]]*Table1[[#This Row],[Price/Unit
EUR]]," ")</f>
        <v>3491.2799999999997</v>
      </c>
      <c r="K1346" s="126">
        <v>45931</v>
      </c>
      <c r="L1346" s="36">
        <f>WEEKNUM(Table1[[#This Row],[ETA
As requested
dd.mm.yyyy]])</f>
        <v>40</v>
      </c>
      <c r="M1346" s="36">
        <f>YEAR(Table1[[#This Row],[ETA
As requested
dd.mm.yyyy]])</f>
        <v>2025</v>
      </c>
      <c r="N1346" s="36">
        <f>IFERROR(INDEX(DATABASE_FG!$H$5:$H$367, MATCH(E1346, DATABASE_FG!$C$5:$C$367, 0)), " ")</f>
        <v>18</v>
      </c>
      <c r="O1346" s="129" t="str">
        <f>IF(E1346&lt;&gt;"", _xlfn.XLOOKUP(E1346, DATABASE_FG!C:C, DATABASE_FG!F:F), " ")</f>
        <v>DBD.10</v>
      </c>
      <c r="P1346" s="129">
        <f>IFERROR(INDEX(DATABASE_FG!$G$5:$G$367, MATCH(E1346, DATABASE_FG!$C$5:$C$367, 0)), "Not Found")</f>
        <v>162</v>
      </c>
      <c r="Q1346" s="36">
        <v>61</v>
      </c>
      <c r="R1346" s="125" t="s">
        <v>678</v>
      </c>
      <c r="S1346" s="123">
        <f>IFERROR(INDEX(DATABASE_FG!$L$5:$L$367, MATCH(E1346, DATABASE_FG!$C$5:$C$367, 0)), " ")</f>
        <v>56</v>
      </c>
      <c r="T1346" s="36" t="s">
        <v>677</v>
      </c>
      <c r="U1346" s="36"/>
      <c r="V1346" s="36"/>
      <c r="W1346" s="129"/>
      <c r="X1346" s="36"/>
      <c r="Y1346" s="36"/>
      <c r="Z1346" s="36"/>
      <c r="AA1346" s="125" t="s">
        <v>121</v>
      </c>
      <c r="AB1346" s="173">
        <v>45945</v>
      </c>
      <c r="AC1346" s="119">
        <v>251186</v>
      </c>
      <c r="AD1346" s="36">
        <f t="shared" si="152"/>
        <v>5500511015</v>
      </c>
      <c r="AE1346" s="36" t="str">
        <f t="shared" si="153"/>
        <v>R900305228</v>
      </c>
      <c r="AF1346" s="36">
        <v>156</v>
      </c>
      <c r="AG1346" s="120">
        <f t="shared" si="151"/>
        <v>3491.2799999999997</v>
      </c>
      <c r="AH1346" s="36"/>
      <c r="AI1346" s="124"/>
      <c r="AJ1346" s="122" t="s">
        <v>4362</v>
      </c>
      <c r="AK1346" s="129" t="str">
        <f t="shared" ca="1" si="149"/>
        <v>Late</v>
      </c>
      <c r="AL1346" s="268" t="str">
        <f t="shared" si="150"/>
        <v>October</v>
      </c>
      <c r="AM1346" s="133">
        <f>YEAR(Table1[[#This Row],[ETA
As requested
dd.mm.yyyy]])</f>
        <v>2025</v>
      </c>
    </row>
    <row r="1347" spans="1:40" hidden="1">
      <c r="A1347" s="123" t="s">
        <v>27</v>
      </c>
      <c r="B1347" s="36" t="s">
        <v>1170</v>
      </c>
      <c r="C1347" s="117">
        <v>5500511015</v>
      </c>
      <c r="D1347" s="165">
        <v>45572</v>
      </c>
      <c r="E1347" s="117" t="s">
        <v>33</v>
      </c>
      <c r="F1347" s="36" t="str">
        <f>IFERROR(VLOOKUP(Table1[[#This Row],[Part Number]],DATABASE_FG!$C$6:D11336,2,FALSE)," ")</f>
        <v>HOUSING            DBD.10G1X/</v>
      </c>
      <c r="G1347" s="117" t="str">
        <f>IFERROR(_xlfn.XLOOKUP(Table1[[#This Row],[Part Number]],Table3[Part number],Table3[Drawing
 Revision]),"")</f>
        <v>H</v>
      </c>
      <c r="H1347" s="118" cm="1">
        <f t="array" ref="H1347">IFERROR(INDEX(PDB!$C:$AT,MATCH(E1347,PDB!$B:$B,0),MATCH(YEAR(K1347),0+PDB!$C$1:$AT$1,0)),"")</f>
        <v>22.38</v>
      </c>
      <c r="I1347" s="36">
        <v>288</v>
      </c>
      <c r="J1347" s="125">
        <f>IFERROR(Table1[[#This Row],[Quantity]]*Table1[[#This Row],[Price/Unit
EUR]]," ")</f>
        <v>6445.44</v>
      </c>
      <c r="K1347" s="126">
        <v>45938</v>
      </c>
      <c r="L1347" s="36">
        <f>WEEKNUM(Table1[[#This Row],[ETA
As requested
dd.mm.yyyy]])</f>
        <v>41</v>
      </c>
      <c r="M1347" s="36">
        <f>YEAR(Table1[[#This Row],[ETA
As requested
dd.mm.yyyy]])</f>
        <v>2025</v>
      </c>
      <c r="N1347" s="36">
        <f>IFERROR(INDEX(DATABASE_FG!$H$5:$H$367, MATCH(E1347, DATABASE_FG!$C$5:$C$367, 0)), " ")</f>
        <v>18</v>
      </c>
      <c r="O1347" s="129" t="s">
        <v>32</v>
      </c>
      <c r="P1347" s="129">
        <f>IFERROR(INDEX(DATABASE_FG!$G$5:$G$367, MATCH(E1347, DATABASE_FG!$C$5:$C$367, 0)), "Not Found")</f>
        <v>162</v>
      </c>
      <c r="Q1347" s="36">
        <v>61</v>
      </c>
      <c r="R1347" s="125" t="s">
        <v>678</v>
      </c>
      <c r="S1347" s="123" t="s">
        <v>3</v>
      </c>
      <c r="T1347" s="36"/>
      <c r="U1347" s="36"/>
      <c r="V1347" s="36" t="s">
        <v>2720</v>
      </c>
      <c r="W1347" s="129" t="s">
        <v>2720</v>
      </c>
      <c r="X1347" s="36"/>
      <c r="Y1347" s="36">
        <v>0</v>
      </c>
      <c r="Z1347" s="36"/>
      <c r="AA1347" s="125" t="s">
        <v>121</v>
      </c>
      <c r="AB1347" s="173">
        <v>45945</v>
      </c>
      <c r="AC1347" s="119">
        <v>251186</v>
      </c>
      <c r="AD1347" s="36">
        <f t="shared" si="152"/>
        <v>5500511015</v>
      </c>
      <c r="AE1347" s="36" t="str">
        <f t="shared" si="153"/>
        <v>R900305228</v>
      </c>
      <c r="AF1347" s="36">
        <v>288</v>
      </c>
      <c r="AG1347" s="120">
        <f t="shared" si="151"/>
        <v>6445.44</v>
      </c>
      <c r="AH1347" s="36"/>
      <c r="AI1347" s="124"/>
      <c r="AJ1347" s="122" t="s">
        <v>4362</v>
      </c>
      <c r="AK1347" s="129" t="str">
        <f t="shared" ca="1" si="149"/>
        <v>Late</v>
      </c>
      <c r="AL1347" s="268" t="str">
        <f t="shared" si="150"/>
        <v>October</v>
      </c>
      <c r="AM1347" s="133">
        <f>YEAR(Table1[[#This Row],[ETA
As requested
dd.mm.yyyy]])</f>
        <v>2025</v>
      </c>
      <c r="AN1347" s="191"/>
    </row>
    <row r="1348" spans="1:40" hidden="1">
      <c r="A1348" s="123" t="s">
        <v>27</v>
      </c>
      <c r="B1348" s="36" t="s">
        <v>1170</v>
      </c>
      <c r="C1348" s="117">
        <v>5500511015</v>
      </c>
      <c r="D1348" s="165">
        <v>45572</v>
      </c>
      <c r="E1348" s="117" t="s">
        <v>33</v>
      </c>
      <c r="F1348" s="36" t="str">
        <f>IFERROR(VLOOKUP(Table1[[#This Row],[Part Number]],DATABASE_FG!$C$6:D11337,2,FALSE)," ")</f>
        <v>HOUSING            DBD.10G1X/</v>
      </c>
      <c r="G1348" s="117" t="str">
        <f>IFERROR(_xlfn.XLOOKUP(Table1[[#This Row],[Part Number]],Table3[Part number],Table3[Drawing
 Revision]),"")</f>
        <v>H</v>
      </c>
      <c r="H1348" s="118" cm="1">
        <f t="array" ref="H1348">IFERROR(INDEX(PDB!$C:$AT,MATCH(E1348,PDB!$B:$B,0),MATCH(YEAR(K1348),0+PDB!$C$1:$AT$1,0)),"")</f>
        <v>22.38</v>
      </c>
      <c r="I1348" s="36">
        <v>194</v>
      </c>
      <c r="J1348" s="125">
        <f>IFERROR(Table1[[#This Row],[Quantity]]*Table1[[#This Row],[Price/Unit
EUR]]," ")</f>
        <v>4341.72</v>
      </c>
      <c r="K1348" s="126">
        <v>45959</v>
      </c>
      <c r="L1348" s="36">
        <f>WEEKNUM(Table1[[#This Row],[ETA
As requested
dd.mm.yyyy]])</f>
        <v>44</v>
      </c>
      <c r="M1348" s="36">
        <f>YEAR(Table1[[#This Row],[ETA
As requested
dd.mm.yyyy]])</f>
        <v>2025</v>
      </c>
      <c r="N1348" s="36">
        <f>IFERROR(INDEX(DATABASE_FG!$H$5:$H$367, MATCH(E1348, DATABASE_FG!$C$5:$C$367, 0)), " ")</f>
        <v>18</v>
      </c>
      <c r="O1348" s="129" t="s">
        <v>32</v>
      </c>
      <c r="P1348" s="129">
        <f>IFERROR(INDEX(DATABASE_FG!$G$5:$G$367, MATCH(E1348, DATABASE_FG!$C$5:$C$367, 0)), "Not Found")</f>
        <v>162</v>
      </c>
      <c r="Q1348" s="36">
        <v>61</v>
      </c>
      <c r="R1348" s="125" t="s">
        <v>678</v>
      </c>
      <c r="S1348" s="123">
        <f>Table1[[#This Row],[Quantity]]/48</f>
        <v>4.041666666666667</v>
      </c>
      <c r="T1348" s="36"/>
      <c r="U1348" s="36"/>
      <c r="V1348" s="36"/>
      <c r="W1348" s="129"/>
      <c r="X1348" s="36"/>
      <c r="Y1348" s="36"/>
      <c r="Z1348" s="36"/>
      <c r="AA1348" s="125" t="s">
        <v>121</v>
      </c>
      <c r="AB1348" s="173">
        <v>45945</v>
      </c>
      <c r="AC1348" s="119">
        <v>251186</v>
      </c>
      <c r="AD1348" s="36">
        <f t="shared" si="152"/>
        <v>5500511015</v>
      </c>
      <c r="AE1348" s="36" t="str">
        <f t="shared" si="153"/>
        <v>R900305228</v>
      </c>
      <c r="AF1348" s="36">
        <v>194</v>
      </c>
      <c r="AG1348" s="120">
        <f t="shared" si="151"/>
        <v>4341.72</v>
      </c>
      <c r="AH1348" s="36"/>
      <c r="AI1348" s="124"/>
      <c r="AJ1348" s="122" t="s">
        <v>4362</v>
      </c>
      <c r="AK1348" s="129" t="str">
        <f t="shared" ca="1" si="149"/>
        <v>On Time</v>
      </c>
      <c r="AL1348" s="268" t="str">
        <f t="shared" si="150"/>
        <v>October</v>
      </c>
      <c r="AM1348" s="133">
        <f>YEAR(Table1[[#This Row],[ETA
As requested
dd.mm.yyyy]])</f>
        <v>2025</v>
      </c>
      <c r="AN1348" s="191"/>
    </row>
    <row r="1349" spans="1:40" hidden="1">
      <c r="A1349" s="123" t="s">
        <v>27</v>
      </c>
      <c r="B1349" s="36" t="s">
        <v>1170</v>
      </c>
      <c r="C1349" s="117">
        <v>5500511015</v>
      </c>
      <c r="D1349" s="165">
        <v>45572</v>
      </c>
      <c r="E1349" s="117" t="s">
        <v>33</v>
      </c>
      <c r="F1349" s="36" t="str">
        <f>IFERROR(VLOOKUP(Table1[[#This Row],[Part Number]],DATABASE_FG!$C$6:D11338,2,FALSE)," ")</f>
        <v>HOUSING            DBD.10G1X/</v>
      </c>
      <c r="G1349" s="117" t="str">
        <f>IFERROR(_xlfn.XLOOKUP(Table1[[#This Row],[Part Number]],Table3[Part number],Table3[Drawing
 Revision]),"")</f>
        <v>H</v>
      </c>
      <c r="H1349" s="118" cm="1">
        <f t="array" ref="H1349">IFERROR(INDEX(PDB!$C:$AT,MATCH(E1349,PDB!$B:$B,0),MATCH(YEAR(K1349),0+PDB!$C$1:$AT$1,0)),"")</f>
        <v>22.38</v>
      </c>
      <c r="I1349" s="36">
        <f>612-194</f>
        <v>418</v>
      </c>
      <c r="J1349" s="125">
        <f>IFERROR(Table1[[#This Row],[Quantity]]*Table1[[#This Row],[Price/Unit
EUR]]," ")</f>
        <v>9354.84</v>
      </c>
      <c r="K1349" s="126">
        <v>45959</v>
      </c>
      <c r="L1349" s="36">
        <f>WEEKNUM(Table1[[#This Row],[ETA
As requested
dd.mm.yyyy]])</f>
        <v>44</v>
      </c>
      <c r="M1349" s="36">
        <f>YEAR(Table1[[#This Row],[ETA
As requested
dd.mm.yyyy]])</f>
        <v>2025</v>
      </c>
      <c r="N1349" s="36">
        <f>IFERROR(INDEX(DATABASE_FG!$H$5:$H$367, MATCH(E1349, DATABASE_FG!$C$5:$C$367, 0)), " ")</f>
        <v>18</v>
      </c>
      <c r="O1349" s="129" t="s">
        <v>32</v>
      </c>
      <c r="P1349" s="129">
        <f>IFERROR(INDEX(DATABASE_FG!$G$5:$G$367, MATCH(E1349, DATABASE_FG!$C$5:$C$367, 0)), "Not Found")</f>
        <v>162</v>
      </c>
      <c r="Q1349" s="36">
        <v>61</v>
      </c>
      <c r="R1349" s="125" t="s">
        <v>678</v>
      </c>
      <c r="S1349" s="123" t="s">
        <v>3</v>
      </c>
      <c r="T1349" s="36"/>
      <c r="U1349" s="36"/>
      <c r="V1349" s="36" t="s">
        <v>2720</v>
      </c>
      <c r="W1349" s="129" t="s">
        <v>2720</v>
      </c>
      <c r="X1349" s="36"/>
      <c r="Y1349" s="36">
        <v>0</v>
      </c>
      <c r="Z1349" s="36"/>
      <c r="AA1349" s="125" t="s">
        <v>121</v>
      </c>
      <c r="AB1349" s="173">
        <v>45950</v>
      </c>
      <c r="AC1349" s="119">
        <v>251197</v>
      </c>
      <c r="AD1349" s="36">
        <f t="shared" si="152"/>
        <v>5500511015</v>
      </c>
      <c r="AE1349" s="36" t="str">
        <f t="shared" si="153"/>
        <v>R900305228</v>
      </c>
      <c r="AF1349" s="36">
        <v>418</v>
      </c>
      <c r="AG1349" s="120">
        <f t="shared" si="151"/>
        <v>9354.84</v>
      </c>
      <c r="AH1349" s="36"/>
      <c r="AI1349" s="124"/>
      <c r="AJ1349" s="122" t="s">
        <v>4395</v>
      </c>
      <c r="AK1349" s="129" t="str">
        <f t="shared" ca="1" si="149"/>
        <v>On Time</v>
      </c>
      <c r="AL1349" s="268" t="str">
        <f t="shared" si="150"/>
        <v>October</v>
      </c>
      <c r="AM1349" s="133">
        <f>YEAR(Table1[[#This Row],[ETA
As requested
dd.mm.yyyy]])</f>
        <v>2025</v>
      </c>
      <c r="AN1349" s="191"/>
    </row>
    <row r="1350" spans="1:40" hidden="1">
      <c r="A1350" s="123" t="s">
        <v>27</v>
      </c>
      <c r="B1350" s="36" t="s">
        <v>2464</v>
      </c>
      <c r="C1350" s="117">
        <v>5500511015</v>
      </c>
      <c r="D1350" s="165">
        <v>45572</v>
      </c>
      <c r="E1350" s="117" t="s">
        <v>33</v>
      </c>
      <c r="F1350" s="36" t="str">
        <f>IFERROR(VLOOKUP(Table1[[#This Row],[Part Number]],DATABASE_FG!$C$6:D11339,2,FALSE)," ")</f>
        <v>HOUSING            DBD.10G1X/</v>
      </c>
      <c r="G1350" s="117" t="str">
        <f>IFERROR(_xlfn.XLOOKUP(Table1[[#This Row],[Part Number]],Table3[Part number],Table3[Drawing
 Revision]),"")</f>
        <v>H</v>
      </c>
      <c r="H1350" s="118" cm="1">
        <f t="array" ref="H1350">IFERROR(INDEX(PDB!$C:$AT,MATCH(E1350,PDB!$B:$B,0),MATCH(YEAR(K1350),0+PDB!$C$1:$AT$1,0)),"")</f>
        <v>0</v>
      </c>
      <c r="I1350" s="36">
        <v>420</v>
      </c>
      <c r="J1350" s="125">
        <f>IFERROR(Table1[[#This Row],[Quantity]]*Table1[[#This Row],[Price/Unit
EUR]]," ")</f>
        <v>0</v>
      </c>
      <c r="K1350" s="126">
        <v>46042</v>
      </c>
      <c r="L1350" s="36">
        <f>WEEKNUM(Table1[[#This Row],[ETA
As requested
dd.mm.yyyy]])</f>
        <v>4</v>
      </c>
      <c r="M1350" s="36">
        <f>YEAR(Table1[[#This Row],[ETA
As requested
dd.mm.yyyy]])</f>
        <v>2026</v>
      </c>
      <c r="N1350" s="36">
        <f>IFERROR(INDEX(DATABASE_FG!$H$5:$H$367, MATCH(E1350, DATABASE_FG!$C$5:$C$367, 0)), " ")</f>
        <v>18</v>
      </c>
      <c r="O1350" s="129" t="s">
        <v>32</v>
      </c>
      <c r="P1350" s="129">
        <f>IFERROR(INDEX(DATABASE_FG!$G$5:$G$367, MATCH(E1350, DATABASE_FG!$C$5:$C$367, 0)), "Not Found")</f>
        <v>162</v>
      </c>
      <c r="Q1350" s="36">
        <v>61</v>
      </c>
      <c r="R1350" s="125" t="s">
        <v>678</v>
      </c>
      <c r="S1350" s="123" t="s">
        <v>3</v>
      </c>
      <c r="T1350" s="36"/>
      <c r="U1350" s="36"/>
      <c r="V1350" s="36"/>
      <c r="W1350" s="129" t="s">
        <v>2720</v>
      </c>
      <c r="X1350" s="36"/>
      <c r="Y1350" s="36">
        <v>0</v>
      </c>
      <c r="Z1350" s="36"/>
      <c r="AA1350" s="125" t="s">
        <v>3</v>
      </c>
      <c r="AB1350" s="173"/>
      <c r="AC1350" s="119"/>
      <c r="AD1350" s="36"/>
      <c r="AE1350" s="36" t="str">
        <f t="shared" si="153"/>
        <v/>
      </c>
      <c r="AF1350" s="36"/>
      <c r="AG1350" s="120">
        <f t="shared" si="151"/>
        <v>0</v>
      </c>
      <c r="AH1350" s="36"/>
      <c r="AI1350" s="124"/>
      <c r="AJ1350" s="122"/>
      <c r="AK1350" s="129" t="str">
        <f t="shared" ca="1" si="149"/>
        <v/>
      </c>
      <c r="AL1350" s="268" t="str">
        <f t="shared" si="150"/>
        <v>January</v>
      </c>
      <c r="AM1350" s="133">
        <f>YEAR(Table1[[#This Row],[ETA
As requested
dd.mm.yyyy]])</f>
        <v>2026</v>
      </c>
      <c r="AN1350" s="191"/>
    </row>
    <row r="1351" spans="1:40" hidden="1">
      <c r="A1351" s="123" t="s">
        <v>27</v>
      </c>
      <c r="B1351" s="36" t="s">
        <v>2464</v>
      </c>
      <c r="C1351" s="117">
        <v>5500511015</v>
      </c>
      <c r="D1351" s="165">
        <v>45572</v>
      </c>
      <c r="E1351" s="117" t="s">
        <v>33</v>
      </c>
      <c r="F1351" s="36" t="str">
        <f>IFERROR(VLOOKUP(Table1[[#This Row],[Part Number]],DATABASE_FG!$C$6:D11340,2,FALSE)," ")</f>
        <v>HOUSING            DBD.10G1X/</v>
      </c>
      <c r="G1351" s="117" t="str">
        <f>IFERROR(_xlfn.XLOOKUP(Table1[[#This Row],[Part Number]],Table3[Part number],Table3[Drawing
 Revision]),"")</f>
        <v>H</v>
      </c>
      <c r="H1351" s="118" cm="1">
        <f t="array" ref="H1351">IFERROR(INDEX(PDB!$C:$AT,MATCH(E1351,PDB!$B:$B,0),MATCH(YEAR(K1351),0+PDB!$C$1:$AT$1,0)),"")</f>
        <v>0</v>
      </c>
      <c r="I1351" s="36">
        <v>612</v>
      </c>
      <c r="J1351" s="125">
        <f>IFERROR(Table1[[#This Row],[Quantity]]*Table1[[#This Row],[Price/Unit
EUR]]," ")</f>
        <v>0</v>
      </c>
      <c r="K1351" s="126">
        <v>46090</v>
      </c>
      <c r="L1351" s="36">
        <f>WEEKNUM(Table1[[#This Row],[ETA
As requested
dd.mm.yyyy]])</f>
        <v>11</v>
      </c>
      <c r="M1351" s="36">
        <f>YEAR(Table1[[#This Row],[ETA
As requested
dd.mm.yyyy]])</f>
        <v>2026</v>
      </c>
      <c r="N1351" s="36">
        <f>IFERROR(INDEX(DATABASE_FG!$H$5:$H$367, MATCH(E1351, DATABASE_FG!$C$5:$C$367, 0)), " ")</f>
        <v>18</v>
      </c>
      <c r="O1351" s="129" t="s">
        <v>32</v>
      </c>
      <c r="P1351" s="129">
        <f>IFERROR(INDEX(DATABASE_FG!$G$5:$G$367, MATCH(E1351, DATABASE_FG!$C$5:$C$367, 0)), "Not Found")</f>
        <v>162</v>
      </c>
      <c r="Q1351" s="36">
        <v>61</v>
      </c>
      <c r="R1351" s="125" t="s">
        <v>678</v>
      </c>
      <c r="S1351" s="123" t="s">
        <v>3</v>
      </c>
      <c r="T1351" s="36"/>
      <c r="U1351" s="36"/>
      <c r="V1351" s="36"/>
      <c r="W1351" s="129" t="s">
        <v>2720</v>
      </c>
      <c r="X1351" s="36"/>
      <c r="Y1351" s="36">
        <v>0</v>
      </c>
      <c r="Z1351" s="36"/>
      <c r="AA1351" s="125" t="s">
        <v>3</v>
      </c>
      <c r="AB1351" s="173"/>
      <c r="AC1351" s="119" t="s">
        <v>2720</v>
      </c>
      <c r="AD1351" s="36"/>
      <c r="AE1351" s="36"/>
      <c r="AF1351" s="36"/>
      <c r="AG1351" s="120">
        <f t="shared" si="151"/>
        <v>0</v>
      </c>
      <c r="AH1351" s="36"/>
      <c r="AI1351" s="124"/>
      <c r="AJ1351" s="122"/>
      <c r="AK1351" s="129"/>
      <c r="AL1351" s="268" t="str">
        <f t="shared" ref="AL1351" si="154">TEXT(K1351,"mmmm")</f>
        <v>March</v>
      </c>
      <c r="AM1351" s="133">
        <f>YEAR(Table1[[#This Row],[ETA
As requested
dd.mm.yyyy]])</f>
        <v>2026</v>
      </c>
      <c r="AN1351" s="191"/>
    </row>
    <row r="1352" spans="1:40" hidden="1">
      <c r="A1352" s="123" t="s">
        <v>27</v>
      </c>
      <c r="B1352" s="36" t="s">
        <v>2464</v>
      </c>
      <c r="C1352" s="117">
        <v>5500511015</v>
      </c>
      <c r="D1352" s="165">
        <v>45572</v>
      </c>
      <c r="E1352" s="117" t="s">
        <v>33</v>
      </c>
      <c r="F1352" s="36" t="str">
        <f>IFERROR(VLOOKUP(Table1[[#This Row],[Part Number]],DATABASE_FG!$C$6:D11341,2,FALSE)," ")</f>
        <v>HOUSING            DBD.10G1X/</v>
      </c>
      <c r="G1352" s="117" t="str">
        <f>IFERROR(_xlfn.XLOOKUP(Table1[[#This Row],[Part Number]],Table3[Part number],Table3[Drawing
 Revision]),"")</f>
        <v>H</v>
      </c>
      <c r="H1352" s="118" cm="1">
        <f t="array" ref="H1352">IFERROR(INDEX(PDB!$C:$AT,MATCH(E1352,PDB!$B:$B,0),MATCH(YEAR(K1352),0+PDB!$C$1:$AT$1,0)),"")</f>
        <v>0</v>
      </c>
      <c r="I1352" s="36">
        <v>516</v>
      </c>
      <c r="J1352" s="125">
        <f>IFERROR(Table1[[#This Row],[Quantity]]*Table1[[#This Row],[Price/Unit
EUR]]," ")</f>
        <v>0</v>
      </c>
      <c r="K1352" s="126">
        <v>46142</v>
      </c>
      <c r="L1352" s="36">
        <f>WEEKNUM(Table1[[#This Row],[ETA
As requested
dd.mm.yyyy]])</f>
        <v>18</v>
      </c>
      <c r="M1352" s="36">
        <f>YEAR(Table1[[#This Row],[ETA
As requested
dd.mm.yyyy]])</f>
        <v>2026</v>
      </c>
      <c r="N1352" s="36">
        <f>IFERROR(INDEX(DATABASE_FG!$H$5:$H$367, MATCH(E1352, DATABASE_FG!$C$5:$C$367, 0)), " ")</f>
        <v>18</v>
      </c>
      <c r="O1352" s="129" t="str">
        <f>IF(E1352&lt;&gt;"", _xlfn.XLOOKUP(E1352, DATABASE_FG!C:C, DATABASE_FG!F:F), " ")</f>
        <v>DBD.10</v>
      </c>
      <c r="P1352" s="129">
        <f>IFERROR(INDEX(DATABASE_FG!$G$5:$G$367, MATCH(E1352, DATABASE_FG!$C$5:$C$367, 0)), "Not Found")</f>
        <v>162</v>
      </c>
      <c r="Q1352" s="36">
        <v>61</v>
      </c>
      <c r="R1352" s="125" t="s">
        <v>678</v>
      </c>
      <c r="S1352" s="123">
        <f>IFERROR(INDEX(DATABASE_FG!$L$5:$L$367, MATCH(E1352, DATABASE_FG!$C$5:$C$367, 0)), " ")</f>
        <v>56</v>
      </c>
      <c r="T1352" s="36" t="s">
        <v>677</v>
      </c>
      <c r="U1352" s="36"/>
      <c r="V1352" s="36"/>
      <c r="W1352" s="129"/>
      <c r="X1352" s="36"/>
      <c r="Y1352" s="36"/>
      <c r="Z1352" s="36"/>
      <c r="AA1352" s="125" t="s">
        <v>3</v>
      </c>
      <c r="AB1352" s="173"/>
      <c r="AC1352" s="119"/>
      <c r="AD1352" s="36"/>
      <c r="AE1352" s="36" t="str">
        <f t="shared" si="153"/>
        <v/>
      </c>
      <c r="AF1352" s="36"/>
      <c r="AG1352" s="120">
        <f t="shared" si="151"/>
        <v>0</v>
      </c>
      <c r="AH1352" s="36"/>
      <c r="AI1352" s="124"/>
      <c r="AJ1352" s="122"/>
      <c r="AK1352" s="129" t="str">
        <f t="shared" ca="1" si="149"/>
        <v/>
      </c>
      <c r="AL1352" s="268" t="str">
        <f t="shared" ref="AL1352" si="155">TEXT(K1352,"mmmm")</f>
        <v>April</v>
      </c>
      <c r="AM1352" s="133">
        <f>YEAR(Table1[[#This Row],[ETA
As requested
dd.mm.yyyy]])</f>
        <v>2026</v>
      </c>
    </row>
    <row r="1353" spans="1:40" hidden="1">
      <c r="A1353" s="123" t="s">
        <v>27</v>
      </c>
      <c r="B1353" s="36" t="s">
        <v>1170</v>
      </c>
      <c r="C1353" s="117">
        <v>5500511016</v>
      </c>
      <c r="D1353" s="165">
        <v>45369</v>
      </c>
      <c r="E1353" s="117" t="s">
        <v>34</v>
      </c>
      <c r="F1353" s="36" t="str">
        <f>IFERROR(VLOOKUP(Table1[[#This Row],[Part Number]],DATABASE_FG!$C$6:D11342,2,FALSE)," ")</f>
        <v>HOUSING            DBD.10P1X/</v>
      </c>
      <c r="G1353" s="117" t="str">
        <f>IFERROR(_xlfn.XLOOKUP(Table1[[#This Row],[Part Number]],Table3[Part number],Table3[Drawing
 Revision]),"")</f>
        <v>AH</v>
      </c>
      <c r="H1353" s="118" cm="1">
        <f t="array" ref="H1353">IFERROR(INDEX(PDB!$C:$AT,MATCH(E1353,PDB!$B:$B,0),MATCH(YEAR(K1353),0+PDB!$C$1:$AT$1,0)),"")</f>
        <v>22.29</v>
      </c>
      <c r="I1353" s="36">
        <v>100</v>
      </c>
      <c r="J1353" s="125">
        <f>IFERROR(Table1[[#This Row],[Quantity]]*Table1[[#This Row],[Price/Unit
EUR]]," ")</f>
        <v>2229</v>
      </c>
      <c r="K1353" s="126">
        <v>45350</v>
      </c>
      <c r="L1353" s="36">
        <f>WEEKNUM(Table1[[#This Row],[ETA
As requested
dd.mm.yyyy]])</f>
        <v>9</v>
      </c>
      <c r="M1353" s="36">
        <f>YEAR(Table1[[#This Row],[ETA
As requested
dd.mm.yyyy]])</f>
        <v>2024</v>
      </c>
      <c r="N1353" s="36">
        <f>IFERROR(INDEX(DATABASE_FG!$H$5:$H$367, MATCH(E1353, DATABASE_FG!$C$5:$C$367, 0)), " ")</f>
        <v>51</v>
      </c>
      <c r="O1353" s="129" t="str">
        <f>IF(E1353&lt;&gt;"", _xlfn.XLOOKUP(E1353, DATABASE_FG!C:C, DATABASE_FG!F:F), " ")</f>
        <v>DBD.10</v>
      </c>
      <c r="P1353" s="129">
        <f>IFERROR(INDEX(DATABASE_FG!$G$5:$G$367, MATCH(E1353, DATABASE_FG!$C$5:$C$367, 0)), "Not Found")</f>
        <v>120</v>
      </c>
      <c r="Q1353" s="36">
        <v>60</v>
      </c>
      <c r="R1353" s="125" t="s">
        <v>678</v>
      </c>
      <c r="S1353" s="123">
        <f>IFERROR(INDEX(DATABASE_FG!$L$5:$L$367, MATCH(E1353, DATABASE_FG!$C$5:$C$367, 0)), " ")</f>
        <v>56</v>
      </c>
      <c r="T1353" s="36" t="s">
        <v>677</v>
      </c>
      <c r="U1353" s="36"/>
      <c r="V1353" s="36"/>
      <c r="W1353" s="129"/>
      <c r="X1353" s="36"/>
      <c r="Y1353" s="36"/>
      <c r="Z1353" s="36" t="s">
        <v>1205</v>
      </c>
      <c r="AA1353" s="125" t="s">
        <v>121</v>
      </c>
      <c r="AB1353" s="173">
        <v>45408</v>
      </c>
      <c r="AC1353" s="119">
        <v>2024412</v>
      </c>
      <c r="AD1353" s="36">
        <f t="shared" ref="AD1353:AD1385" si="156">IF(NOT(ISBLANK(AC1353)), C1353, "")</f>
        <v>5500511016</v>
      </c>
      <c r="AE1353" s="36" t="str">
        <f t="shared" ref="AE1353:AE1385" si="157">IF(NOT(ISBLANK(AC1353)), E1353, "")</f>
        <v>R900305231</v>
      </c>
      <c r="AF1353" s="36">
        <v>100</v>
      </c>
      <c r="AG1353" s="120">
        <f t="shared" ref="AG1353:AG1385" si="158">AF1353*H1353</f>
        <v>2229</v>
      </c>
      <c r="AH1353" s="36"/>
      <c r="AI1353" s="124"/>
      <c r="AJ1353" s="122" t="s">
        <v>1206</v>
      </c>
      <c r="AK1353" s="129" t="str">
        <f t="shared" ref="AK1353:AK1385" ca="1" si="159">IF(AB1353="", IF(K1353 &lt; TODAY(), "Late", ""), IF(AB1353 &lt;= K1353 + 2, "On Time", "Late"))</f>
        <v>Late</v>
      </c>
      <c r="AL1353" s="268" t="str">
        <f t="shared" ref="AL1353:AL1385" si="160">TEXT(K1353,"mmmm")</f>
        <v>February</v>
      </c>
      <c r="AM1353" s="133">
        <f>YEAR(Table1[[#This Row],[ETA
As requested
dd.mm.yyyy]])</f>
        <v>2024</v>
      </c>
    </row>
    <row r="1354" spans="1:40" hidden="1">
      <c r="A1354" s="123" t="s">
        <v>27</v>
      </c>
      <c r="B1354" s="36" t="s">
        <v>1170</v>
      </c>
      <c r="C1354" s="117">
        <v>5500511016</v>
      </c>
      <c r="D1354" s="165">
        <v>45467</v>
      </c>
      <c r="E1354" s="117" t="s">
        <v>34</v>
      </c>
      <c r="F1354" s="36" t="str">
        <f>IFERROR(VLOOKUP(Table1[[#This Row],[Part Number]],DATABASE_FG!$C$6:D11343,2,FALSE)," ")</f>
        <v>HOUSING            DBD.10P1X/</v>
      </c>
      <c r="G1354" s="117" t="str">
        <f>IFERROR(_xlfn.XLOOKUP(Table1[[#This Row],[Part Number]],Table3[Part number],Table3[Drawing
 Revision]),"")</f>
        <v>AH</v>
      </c>
      <c r="H1354" s="118" cm="1">
        <f t="array" ref="H1354">IFERROR(INDEX(PDB!$C:$AT,MATCH(E1354,PDB!$B:$B,0),MATCH(YEAR(K1354),0+PDB!$C$1:$AT$1,0)),"")</f>
        <v>22.29</v>
      </c>
      <c r="I1354" s="36">
        <v>18</v>
      </c>
      <c r="J1354" s="125">
        <f>IFERROR(Table1[[#This Row],[Quantity]]*Table1[[#This Row],[Price/Unit
EUR]]," ")</f>
        <v>401.21999999999997</v>
      </c>
      <c r="K1354" s="126">
        <v>45567</v>
      </c>
      <c r="L1354" s="36">
        <f>WEEKNUM(Table1[[#This Row],[ETA
As requested
dd.mm.yyyy]])</f>
        <v>40</v>
      </c>
      <c r="M1354" s="36">
        <f>YEAR(Table1[[#This Row],[ETA
As requested
dd.mm.yyyy]])</f>
        <v>2024</v>
      </c>
      <c r="N1354" s="36">
        <f>IFERROR(INDEX(DATABASE_FG!$H$5:$H$367, MATCH(E1354, DATABASE_FG!$C$5:$C$367, 0)), " ")</f>
        <v>51</v>
      </c>
      <c r="O1354" s="129" t="str">
        <f>IF(E1354&lt;&gt;"", _xlfn.XLOOKUP(E1354, DATABASE_FG!C:C, DATABASE_FG!F:F), " ")</f>
        <v>DBD.10</v>
      </c>
      <c r="P1354" s="129">
        <f>IFERROR(INDEX(DATABASE_FG!$G$5:$G$367, MATCH(E1354, DATABASE_FG!$C$5:$C$367, 0)), "Not Found")</f>
        <v>120</v>
      </c>
      <c r="Q1354" s="36">
        <v>60</v>
      </c>
      <c r="R1354" s="125" t="s">
        <v>678</v>
      </c>
      <c r="S1354" s="123">
        <f>IFERROR(INDEX(DATABASE_FG!$L$5:$L$367, MATCH(E1354, DATABASE_FG!$C$5:$C$367, 0)), " ")</f>
        <v>56</v>
      </c>
      <c r="T1354" s="36" t="s">
        <v>677</v>
      </c>
      <c r="U1354" s="36"/>
      <c r="V1354" s="36"/>
      <c r="W1354" s="129"/>
      <c r="X1354" s="36"/>
      <c r="Y1354" s="36"/>
      <c r="Z1354" s="36"/>
      <c r="AA1354" s="125" t="s">
        <v>121</v>
      </c>
      <c r="AB1354" s="173">
        <v>45562</v>
      </c>
      <c r="AC1354" s="119">
        <v>202401170</v>
      </c>
      <c r="AD1354" s="36">
        <f t="shared" si="156"/>
        <v>5500511016</v>
      </c>
      <c r="AE1354" s="36" t="str">
        <f t="shared" si="157"/>
        <v>R900305231</v>
      </c>
      <c r="AF1354" s="36">
        <v>18</v>
      </c>
      <c r="AG1354" s="120">
        <f t="shared" si="158"/>
        <v>401.21999999999997</v>
      </c>
      <c r="AH1354" s="36"/>
      <c r="AI1354" s="124"/>
      <c r="AJ1354" s="122" t="s">
        <v>2419</v>
      </c>
      <c r="AK1354" s="129" t="str">
        <f t="shared" ca="1" si="159"/>
        <v>On Time</v>
      </c>
      <c r="AL1354" s="268" t="str">
        <f t="shared" si="160"/>
        <v>October</v>
      </c>
      <c r="AM1354" s="133">
        <f>YEAR(Table1[[#This Row],[ETA
As requested
dd.mm.yyyy]])</f>
        <v>2024</v>
      </c>
    </row>
    <row r="1355" spans="1:40" hidden="1">
      <c r="A1355" s="123" t="s">
        <v>27</v>
      </c>
      <c r="B1355" s="36" t="s">
        <v>1170</v>
      </c>
      <c r="C1355" s="117">
        <v>5500511016</v>
      </c>
      <c r="D1355" s="165">
        <v>45467</v>
      </c>
      <c r="E1355" s="117" t="s">
        <v>34</v>
      </c>
      <c r="F1355" s="36" t="str">
        <f>IFERROR(VLOOKUP(Table1[[#This Row],[Part Number]],DATABASE_FG!$C$6:D11344,2,FALSE)," ")</f>
        <v>HOUSING            DBD.10P1X/</v>
      </c>
      <c r="G1355" s="117" t="str">
        <f>IFERROR(_xlfn.XLOOKUP(Table1[[#This Row],[Part Number]],Table3[Part number],Table3[Drawing
 Revision]),"")</f>
        <v>AH</v>
      </c>
      <c r="H1355" s="118" cm="1">
        <f t="array" ref="H1355">IFERROR(INDEX(PDB!$C:$AT,MATCH(E1355,PDB!$B:$B,0),MATCH(YEAR(K1355),0+PDB!$C$1:$AT$1,0)),"")</f>
        <v>22.29</v>
      </c>
      <c r="I1355" s="36">
        <v>104</v>
      </c>
      <c r="J1355" s="125">
        <f>IFERROR(Table1[[#This Row],[Quantity]]*Table1[[#This Row],[Price/Unit
EUR]]," ")</f>
        <v>2318.16</v>
      </c>
      <c r="K1355" s="126">
        <v>45630</v>
      </c>
      <c r="L1355" s="36">
        <f>WEEKNUM(Table1[[#This Row],[ETA
As requested
dd.mm.yyyy]])</f>
        <v>49</v>
      </c>
      <c r="M1355" s="36">
        <f>YEAR(Table1[[#This Row],[ETA
As requested
dd.mm.yyyy]])</f>
        <v>2024</v>
      </c>
      <c r="N1355" s="36">
        <f>IFERROR(INDEX(DATABASE_FG!$H$5:$H$367, MATCH(E1355, DATABASE_FG!$C$5:$C$367, 0)), " ")</f>
        <v>51</v>
      </c>
      <c r="O1355" s="129" t="str">
        <f>IF(E1355&lt;&gt;"", _xlfn.XLOOKUP(E1355, DATABASE_FG!C:C, DATABASE_FG!F:F), " ")</f>
        <v>DBD.10</v>
      </c>
      <c r="P1355" s="129">
        <f>IFERROR(INDEX(DATABASE_FG!$G$5:$G$367, MATCH(E1355, DATABASE_FG!$C$5:$C$367, 0)), "Not Found")</f>
        <v>120</v>
      </c>
      <c r="Q1355" s="36">
        <v>60</v>
      </c>
      <c r="R1355" s="125" t="s">
        <v>678</v>
      </c>
      <c r="S1355" s="123">
        <f>IFERROR(INDEX(DATABASE_FG!$L$5:$L$367, MATCH(E1355, DATABASE_FG!$C$5:$C$367, 0)), " ")</f>
        <v>56</v>
      </c>
      <c r="T1355" s="36" t="s">
        <v>677</v>
      </c>
      <c r="U1355" s="36"/>
      <c r="V1355" s="36"/>
      <c r="W1355" s="129"/>
      <c r="X1355" s="36"/>
      <c r="Y1355" s="36"/>
      <c r="Z1355" s="36"/>
      <c r="AA1355" s="125" t="s">
        <v>121</v>
      </c>
      <c r="AB1355" s="172">
        <v>45646</v>
      </c>
      <c r="AC1355" s="119">
        <v>202401590</v>
      </c>
      <c r="AD1355" s="36">
        <f t="shared" si="156"/>
        <v>5500511016</v>
      </c>
      <c r="AE1355" s="36" t="str">
        <f t="shared" si="157"/>
        <v>R900305231</v>
      </c>
      <c r="AF1355" s="36">
        <v>104</v>
      </c>
      <c r="AG1355" s="120">
        <f t="shared" si="158"/>
        <v>2318.16</v>
      </c>
      <c r="AH1355" s="36"/>
      <c r="AI1355" s="124"/>
      <c r="AJ1355" s="122"/>
      <c r="AK1355" s="129" t="str">
        <f t="shared" ca="1" si="159"/>
        <v>Late</v>
      </c>
      <c r="AL1355" s="268" t="str">
        <f t="shared" si="160"/>
        <v>December</v>
      </c>
      <c r="AM1355" s="133">
        <f>YEAR(Table1[[#This Row],[ETA
As requested
dd.mm.yyyy]])</f>
        <v>2024</v>
      </c>
    </row>
    <row r="1356" spans="1:40" hidden="1">
      <c r="A1356" s="123" t="s">
        <v>27</v>
      </c>
      <c r="B1356" s="36" t="s">
        <v>1170</v>
      </c>
      <c r="C1356" s="117">
        <v>5500511016</v>
      </c>
      <c r="D1356" s="165">
        <v>45467</v>
      </c>
      <c r="E1356" s="117" t="s">
        <v>34</v>
      </c>
      <c r="F1356" s="36" t="str">
        <f>IFERROR(VLOOKUP(Table1[[#This Row],[Part Number]],DATABASE_FG!$C$6:D11345,2,FALSE)," ")</f>
        <v>HOUSING            DBD.10P1X/</v>
      </c>
      <c r="G1356" s="117" t="str">
        <f>IFERROR(_xlfn.XLOOKUP(Table1[[#This Row],[Part Number]],Table3[Part number],Table3[Drawing
 Revision]),"")</f>
        <v>AH</v>
      </c>
      <c r="H1356" s="118" cm="1">
        <f t="array" ref="H1356">IFERROR(INDEX(PDB!$C:$AT,MATCH(E1356,PDB!$B:$B,0),MATCH(YEAR(K1356),0+PDB!$C$1:$AT$1,0)),"")</f>
        <v>22.29</v>
      </c>
      <c r="I1356" s="36">
        <v>73</v>
      </c>
      <c r="J1356" s="125">
        <f>IFERROR(Table1[[#This Row],[Quantity]]*Table1[[#This Row],[Price/Unit
EUR]]," ")</f>
        <v>1627.1699999999998</v>
      </c>
      <c r="K1356" s="126">
        <v>45670</v>
      </c>
      <c r="L1356" s="36">
        <f>WEEKNUM(Table1[[#This Row],[ETA
As requested
dd.mm.yyyy]])</f>
        <v>3</v>
      </c>
      <c r="M1356" s="36">
        <f>YEAR(Table1[[#This Row],[ETA
As requested
dd.mm.yyyy]])</f>
        <v>2025</v>
      </c>
      <c r="N1356" s="36">
        <f>IFERROR(INDEX(DATABASE_FG!$H$5:$H$367, MATCH(E1356, DATABASE_FG!$C$5:$C$367, 0)), " ")</f>
        <v>51</v>
      </c>
      <c r="O1356" s="129" t="str">
        <f>IF(E1356&lt;&gt;"", _xlfn.XLOOKUP(E1356, DATABASE_FG!C:C, DATABASE_FG!F:F), " ")</f>
        <v>DBD.10</v>
      </c>
      <c r="P1356" s="129">
        <f>IFERROR(INDEX(DATABASE_FG!$G$5:$G$367, MATCH(E1356, DATABASE_FG!$C$5:$C$367, 0)), "Not Found")</f>
        <v>120</v>
      </c>
      <c r="Q1356" s="36">
        <v>60</v>
      </c>
      <c r="R1356" s="125" t="s">
        <v>678</v>
      </c>
      <c r="S1356" s="123">
        <f>IFERROR(INDEX(DATABASE_FG!$L$5:$L$367, MATCH(E1356, DATABASE_FG!$C$5:$C$367, 0)), " ")</f>
        <v>56</v>
      </c>
      <c r="T1356" s="36" t="s">
        <v>677</v>
      </c>
      <c r="U1356" s="36"/>
      <c r="V1356" s="36"/>
      <c r="W1356" s="129"/>
      <c r="X1356" s="36"/>
      <c r="Y1356" s="36"/>
      <c r="Z1356" s="36"/>
      <c r="AA1356" s="125" t="s">
        <v>121</v>
      </c>
      <c r="AB1356" s="173">
        <v>45675</v>
      </c>
      <c r="AC1356" s="119" t="s">
        <v>2707</v>
      </c>
      <c r="AD1356" s="36">
        <f t="shared" si="156"/>
        <v>5500511016</v>
      </c>
      <c r="AE1356" s="36" t="str">
        <f t="shared" si="157"/>
        <v>R900305231</v>
      </c>
      <c r="AF1356" s="36">
        <v>73</v>
      </c>
      <c r="AG1356" s="120">
        <f t="shared" si="158"/>
        <v>1627.1699999999998</v>
      </c>
      <c r="AH1356" s="36"/>
      <c r="AI1356" s="124"/>
      <c r="AJ1356" s="122" t="s">
        <v>2708</v>
      </c>
      <c r="AK1356" s="129" t="str">
        <f t="shared" ca="1" si="159"/>
        <v>Late</v>
      </c>
      <c r="AL1356" s="268" t="str">
        <f t="shared" si="160"/>
        <v>January</v>
      </c>
      <c r="AM1356" s="133">
        <f>YEAR(Table1[[#This Row],[ETA
As requested
dd.mm.yyyy]])</f>
        <v>2025</v>
      </c>
    </row>
    <row r="1357" spans="1:40" hidden="1">
      <c r="A1357" s="123" t="s">
        <v>27</v>
      </c>
      <c r="B1357" s="36" t="s">
        <v>1170</v>
      </c>
      <c r="C1357" s="117">
        <v>5500511016</v>
      </c>
      <c r="D1357" s="165">
        <v>45467</v>
      </c>
      <c r="E1357" s="117" t="s">
        <v>34</v>
      </c>
      <c r="F1357" s="36" t="str">
        <f>IFERROR(VLOOKUP(Table1[[#This Row],[Part Number]],DATABASE_FG!$C$6:D11346,2,FALSE)," ")</f>
        <v>HOUSING            DBD.10P1X/</v>
      </c>
      <c r="G1357" s="117" t="str">
        <f>IFERROR(_xlfn.XLOOKUP(Table1[[#This Row],[Part Number]],Table3[Part number],Table3[Drawing
 Revision]),"")</f>
        <v>AH</v>
      </c>
      <c r="H1357" s="118" cm="1">
        <f t="array" ref="H1357">IFERROR(INDEX(PDB!$C:$AT,MATCH(E1357,PDB!$B:$B,0),MATCH(YEAR(K1357),0+PDB!$C$1:$AT$1,0)),"")</f>
        <v>22.29</v>
      </c>
      <c r="I1357" s="36">
        <v>28</v>
      </c>
      <c r="J1357" s="125">
        <f>IFERROR(Table1[[#This Row],[Quantity]]*Table1[[#This Row],[Price/Unit
EUR]]," ")</f>
        <v>624.12</v>
      </c>
      <c r="K1357" s="126">
        <v>45670</v>
      </c>
      <c r="L1357" s="36">
        <f>WEEKNUM(Table1[[#This Row],[ETA
As requested
dd.mm.yyyy]])</f>
        <v>3</v>
      </c>
      <c r="M1357" s="36">
        <f>YEAR(Table1[[#This Row],[ETA
As requested
dd.mm.yyyy]])</f>
        <v>2025</v>
      </c>
      <c r="N1357" s="36">
        <f>IFERROR(INDEX(DATABASE_FG!$H$5:$H$367, MATCH(E1357, DATABASE_FG!$C$5:$C$367, 0)), " ")</f>
        <v>51</v>
      </c>
      <c r="O1357" s="129" t="str">
        <f>IF(E1357&lt;&gt;"", _xlfn.XLOOKUP(E1357, DATABASE_FG!C:C, DATABASE_FG!F:F), " ")</f>
        <v>DBD.10</v>
      </c>
      <c r="P1357" s="129">
        <f>IFERROR(INDEX(DATABASE_FG!$G$5:$G$367, MATCH(E1357, DATABASE_FG!$C$5:$C$367, 0)), "Not Found")</f>
        <v>120</v>
      </c>
      <c r="Q1357" s="36">
        <v>60</v>
      </c>
      <c r="R1357" s="125" t="s">
        <v>678</v>
      </c>
      <c r="S1357" s="123">
        <f>IFERROR(INDEX(DATABASE_FG!$L$5:$L$367, MATCH(E1357, DATABASE_FG!$C$5:$C$367, 0)), " ")</f>
        <v>56</v>
      </c>
      <c r="T1357" s="36" t="s">
        <v>677</v>
      </c>
      <c r="U1357" s="36"/>
      <c r="V1357" s="36"/>
      <c r="W1357" s="129"/>
      <c r="X1357" s="36"/>
      <c r="Y1357" s="36"/>
      <c r="Z1357" s="36"/>
      <c r="AA1357" s="125" t="s">
        <v>121</v>
      </c>
      <c r="AB1357" s="173">
        <v>45686</v>
      </c>
      <c r="AC1357" s="119">
        <v>25116</v>
      </c>
      <c r="AD1357" s="36">
        <f t="shared" si="156"/>
        <v>5500511016</v>
      </c>
      <c r="AE1357" s="36" t="str">
        <f t="shared" si="157"/>
        <v>R900305231</v>
      </c>
      <c r="AF1357" s="36">
        <v>28</v>
      </c>
      <c r="AG1357" s="120">
        <f t="shared" si="158"/>
        <v>624.12</v>
      </c>
      <c r="AH1357" s="36"/>
      <c r="AI1357" s="124"/>
      <c r="AJ1357" s="122" t="s">
        <v>2709</v>
      </c>
      <c r="AK1357" s="129" t="str">
        <f t="shared" ca="1" si="159"/>
        <v>Late</v>
      </c>
      <c r="AL1357" s="268" t="str">
        <f t="shared" si="160"/>
        <v>January</v>
      </c>
      <c r="AM1357" s="133">
        <f>YEAR(Table1[[#This Row],[ETA
As requested
dd.mm.yyyy]])</f>
        <v>2025</v>
      </c>
    </row>
    <row r="1358" spans="1:40" hidden="1">
      <c r="A1358" s="123" t="s">
        <v>27</v>
      </c>
      <c r="B1358" s="36" t="s">
        <v>1170</v>
      </c>
      <c r="C1358" s="117">
        <v>5500511016</v>
      </c>
      <c r="D1358" s="165">
        <v>45467</v>
      </c>
      <c r="E1358" s="117" t="s">
        <v>34</v>
      </c>
      <c r="F1358" s="36" t="str">
        <f>IFERROR(VLOOKUP(Table1[[#This Row],[Part Number]],DATABASE_FG!$C$6:D11347,2,FALSE)," ")</f>
        <v>HOUSING            DBD.10P1X/</v>
      </c>
      <c r="G1358" s="117" t="str">
        <f>IFERROR(_xlfn.XLOOKUP(Table1[[#This Row],[Part Number]],Table3[Part number],Table3[Drawing
 Revision]),"")</f>
        <v>AH</v>
      </c>
      <c r="H1358" s="118" cm="1">
        <f t="array" ref="H1358">IFERROR(INDEX(PDB!$C:$AT,MATCH(E1358,PDB!$B:$B,0),MATCH(YEAR(K1358),0+PDB!$C$1:$AT$1,0)),"")</f>
        <v>22.29</v>
      </c>
      <c r="I1358" s="36">
        <f>136-73-28</f>
        <v>35</v>
      </c>
      <c r="J1358" s="125">
        <f>IFERROR(Table1[[#This Row],[Quantity]]*Table1[[#This Row],[Price/Unit
EUR]]," ")</f>
        <v>780.15</v>
      </c>
      <c r="K1358" s="126">
        <v>45670</v>
      </c>
      <c r="L1358" s="36">
        <f>WEEKNUM(Table1[[#This Row],[ETA
As requested
dd.mm.yyyy]])</f>
        <v>3</v>
      </c>
      <c r="M1358" s="36">
        <f>YEAR(Table1[[#This Row],[ETA
As requested
dd.mm.yyyy]])</f>
        <v>2025</v>
      </c>
      <c r="N1358" s="36">
        <f>IFERROR(INDEX(DATABASE_FG!$H$5:$H$367, MATCH(E1358, DATABASE_FG!$C$5:$C$367, 0)), " ")</f>
        <v>51</v>
      </c>
      <c r="O1358" s="129" t="str">
        <f>IF(E1358&lt;&gt;"", _xlfn.XLOOKUP(E1358, DATABASE_FG!C:C, DATABASE_FG!F:F), " ")</f>
        <v>DBD.10</v>
      </c>
      <c r="P1358" s="129">
        <f>IFERROR(INDEX(DATABASE_FG!$G$5:$G$367, MATCH(E1358, DATABASE_FG!$C$5:$C$367, 0)), "Not Found")</f>
        <v>120</v>
      </c>
      <c r="Q1358" s="36">
        <v>60</v>
      </c>
      <c r="R1358" s="125" t="s">
        <v>678</v>
      </c>
      <c r="S1358" s="123">
        <f>IFERROR(INDEX(DATABASE_FG!$L$5:$L$367, MATCH(E1358, DATABASE_FG!$C$5:$C$367, 0)), " ")</f>
        <v>56</v>
      </c>
      <c r="T1358" s="36" t="s">
        <v>677</v>
      </c>
      <c r="U1358" s="36"/>
      <c r="V1358" s="36"/>
      <c r="W1358" s="129"/>
      <c r="X1358" s="36"/>
      <c r="Y1358" s="36"/>
      <c r="Z1358" s="36"/>
      <c r="AA1358" s="125" t="s">
        <v>121</v>
      </c>
      <c r="AB1358" s="173">
        <v>45696</v>
      </c>
      <c r="AC1358" s="119">
        <v>25176</v>
      </c>
      <c r="AD1358" s="36">
        <f t="shared" si="156"/>
        <v>5500511016</v>
      </c>
      <c r="AE1358" s="36" t="str">
        <f t="shared" si="157"/>
        <v>R900305231</v>
      </c>
      <c r="AF1358" s="36">
        <v>35</v>
      </c>
      <c r="AG1358" s="120">
        <f t="shared" si="158"/>
        <v>780.15</v>
      </c>
      <c r="AH1358" s="36"/>
      <c r="AI1358" s="124"/>
      <c r="AJ1358" s="122" t="s">
        <v>2711</v>
      </c>
      <c r="AK1358" s="129" t="str">
        <f t="shared" ca="1" si="159"/>
        <v>Late</v>
      </c>
      <c r="AL1358" s="268" t="str">
        <f t="shared" si="160"/>
        <v>January</v>
      </c>
      <c r="AM1358" s="133">
        <f>YEAR(Table1[[#This Row],[ETA
As requested
dd.mm.yyyy]])</f>
        <v>2025</v>
      </c>
    </row>
    <row r="1359" spans="1:40" hidden="1">
      <c r="A1359" s="123" t="s">
        <v>27</v>
      </c>
      <c r="B1359" s="36" t="s">
        <v>1170</v>
      </c>
      <c r="C1359" s="117">
        <v>5500511016</v>
      </c>
      <c r="D1359" s="165">
        <v>45467</v>
      </c>
      <c r="E1359" s="117" t="s">
        <v>34</v>
      </c>
      <c r="F1359" s="36" t="str">
        <f>IFERROR(VLOOKUP(Table1[[#This Row],[Part Number]],DATABASE_FG!$C$6:D11348,2,FALSE)," ")</f>
        <v>HOUSING            DBD.10P1X/</v>
      </c>
      <c r="G1359" s="117" t="str">
        <f>IFERROR(_xlfn.XLOOKUP(Table1[[#This Row],[Part Number]],Table3[Part number],Table3[Drawing
 Revision]),"")</f>
        <v>AH</v>
      </c>
      <c r="H1359" s="118" cm="1">
        <f t="array" ref="H1359">IFERROR(INDEX(PDB!$C:$AT,MATCH(E1359,PDB!$B:$B,0),MATCH(YEAR(K1359),0+PDB!$C$1:$AT$1,0)),"")</f>
        <v>22.29</v>
      </c>
      <c r="I1359" s="36">
        <v>20</v>
      </c>
      <c r="J1359" s="125">
        <f>IFERROR(Table1[[#This Row],[Quantity]]*Table1[[#This Row],[Price/Unit
EUR]]," ")</f>
        <v>445.79999999999995</v>
      </c>
      <c r="K1359" s="126">
        <v>45688</v>
      </c>
      <c r="L1359" s="36">
        <f>WEEKNUM(Table1[[#This Row],[ETA
As requested
dd.mm.yyyy]])</f>
        <v>5</v>
      </c>
      <c r="M1359" s="36">
        <f>YEAR(Table1[[#This Row],[ETA
As requested
dd.mm.yyyy]])</f>
        <v>2025</v>
      </c>
      <c r="N1359" s="36">
        <f>IFERROR(INDEX(DATABASE_FG!$H$5:$H$367, MATCH(E1359, DATABASE_FG!$C$5:$C$367, 0)), " ")</f>
        <v>51</v>
      </c>
      <c r="O1359" s="129" t="str">
        <f>IF(E1359&lt;&gt;"", _xlfn.XLOOKUP(E1359, DATABASE_FG!C:C, DATABASE_FG!F:F), " ")</f>
        <v>DBD.10</v>
      </c>
      <c r="P1359" s="129">
        <f>IFERROR(INDEX(DATABASE_FG!$G$5:$G$367, MATCH(E1359, DATABASE_FG!$C$5:$C$367, 0)), "Not Found")</f>
        <v>120</v>
      </c>
      <c r="Q1359" s="36">
        <v>60</v>
      </c>
      <c r="R1359" s="125" t="s">
        <v>678</v>
      </c>
      <c r="S1359" s="123">
        <f>IFERROR(INDEX(DATABASE_FG!$L$5:$L$367, MATCH(E1359, DATABASE_FG!$C$5:$C$367, 0)), " ")</f>
        <v>56</v>
      </c>
      <c r="T1359" s="36" t="s">
        <v>677</v>
      </c>
      <c r="U1359" s="36"/>
      <c r="V1359" s="36"/>
      <c r="W1359" s="129"/>
      <c r="X1359" s="36"/>
      <c r="Y1359" s="36" t="s">
        <v>677</v>
      </c>
      <c r="Z1359" s="36"/>
      <c r="AA1359" s="125" t="s">
        <v>121</v>
      </c>
      <c r="AB1359" s="173">
        <v>45696</v>
      </c>
      <c r="AC1359" s="119">
        <v>25176</v>
      </c>
      <c r="AD1359" s="36">
        <f t="shared" si="156"/>
        <v>5500511016</v>
      </c>
      <c r="AE1359" s="36" t="str">
        <f t="shared" si="157"/>
        <v>R900305231</v>
      </c>
      <c r="AF1359" s="36">
        <v>20</v>
      </c>
      <c r="AG1359" s="120">
        <f t="shared" si="158"/>
        <v>445.79999999999995</v>
      </c>
      <c r="AH1359" s="36"/>
      <c r="AI1359" s="124"/>
      <c r="AJ1359" s="122" t="s">
        <v>2711</v>
      </c>
      <c r="AK1359" s="129" t="str">
        <f t="shared" ca="1" si="159"/>
        <v>Late</v>
      </c>
      <c r="AL1359" s="268" t="str">
        <f t="shared" si="160"/>
        <v>January</v>
      </c>
      <c r="AM1359" s="133">
        <f>YEAR(Table1[[#This Row],[ETA
As requested
dd.mm.yyyy]])</f>
        <v>2025</v>
      </c>
    </row>
    <row r="1360" spans="1:40" hidden="1">
      <c r="A1360" s="123" t="s">
        <v>27</v>
      </c>
      <c r="B1360" s="36" t="s">
        <v>1170</v>
      </c>
      <c r="C1360" s="117">
        <v>5500511016</v>
      </c>
      <c r="D1360" s="165">
        <v>45467</v>
      </c>
      <c r="E1360" s="117" t="s">
        <v>34</v>
      </c>
      <c r="F1360" s="36" t="str">
        <f>IFERROR(VLOOKUP(Table1[[#This Row],[Part Number]],DATABASE_FG!$C$6:D11349,2,FALSE)," ")</f>
        <v>HOUSING            DBD.10P1X/</v>
      </c>
      <c r="G1360" s="117" t="str">
        <f>IFERROR(_xlfn.XLOOKUP(Table1[[#This Row],[Part Number]],Table3[Part number],Table3[Drawing
 Revision]),"")</f>
        <v>AH</v>
      </c>
      <c r="H1360" s="118" cm="1">
        <f t="array" ref="H1360">IFERROR(INDEX(PDB!$C:$AT,MATCH(E1360,PDB!$B:$B,0),MATCH(YEAR(K1360),0+PDB!$C$1:$AT$1,0)),"")</f>
        <v>22.29</v>
      </c>
      <c r="I1360" s="36">
        <v>4</v>
      </c>
      <c r="J1360" s="125">
        <f>IFERROR(Table1[[#This Row],[Quantity]]*Table1[[#This Row],[Price/Unit
EUR]]," ")</f>
        <v>89.16</v>
      </c>
      <c r="K1360" s="126">
        <v>45707</v>
      </c>
      <c r="L1360" s="36">
        <f>WEEKNUM(Table1[[#This Row],[ETA
As requested
dd.mm.yyyy]])</f>
        <v>8</v>
      </c>
      <c r="M1360" s="36">
        <f>YEAR(Table1[[#This Row],[ETA
As requested
dd.mm.yyyy]])</f>
        <v>2025</v>
      </c>
      <c r="N1360" s="36">
        <f>IFERROR(INDEX(DATABASE_FG!$H$5:$H$367, MATCH(E1360, DATABASE_FG!$C$5:$C$367, 0)), " ")</f>
        <v>51</v>
      </c>
      <c r="O1360" s="129" t="str">
        <f>IF(E1360&lt;&gt;"", _xlfn.XLOOKUP(E1360, DATABASE_FG!C:C, DATABASE_FG!F:F), " ")</f>
        <v>DBD.10</v>
      </c>
      <c r="P1360" s="129">
        <f>IFERROR(INDEX(DATABASE_FG!$G$5:$G$367, MATCH(E1360, DATABASE_FG!$C$5:$C$367, 0)), "Not Found")</f>
        <v>120</v>
      </c>
      <c r="Q1360" s="36">
        <v>60</v>
      </c>
      <c r="R1360" s="125" t="s">
        <v>678</v>
      </c>
      <c r="S1360" s="123">
        <f>IFERROR(INDEX(DATABASE_FG!$L$5:$L$367, MATCH(E1360, DATABASE_FG!$C$5:$C$367, 0)), " ")</f>
        <v>56</v>
      </c>
      <c r="T1360" s="36" t="s">
        <v>677</v>
      </c>
      <c r="U1360" s="36"/>
      <c r="V1360" s="36"/>
      <c r="W1360" s="129"/>
      <c r="X1360" s="36"/>
      <c r="Y1360" s="36"/>
      <c r="Z1360" s="36"/>
      <c r="AA1360" s="125" t="s">
        <v>121</v>
      </c>
      <c r="AB1360" s="173">
        <v>45715</v>
      </c>
      <c r="AC1360" s="119">
        <v>25271</v>
      </c>
      <c r="AD1360" s="36">
        <f t="shared" si="156"/>
        <v>5500511016</v>
      </c>
      <c r="AE1360" s="36" t="str">
        <f t="shared" si="157"/>
        <v>R900305231</v>
      </c>
      <c r="AF1360" s="36">
        <v>4</v>
      </c>
      <c r="AG1360" s="120">
        <f t="shared" si="158"/>
        <v>89.16</v>
      </c>
      <c r="AH1360" s="36"/>
      <c r="AI1360" s="124"/>
      <c r="AJ1360" s="122" t="s">
        <v>2821</v>
      </c>
      <c r="AK1360" s="129" t="str">
        <f t="shared" ca="1" si="159"/>
        <v>Late</v>
      </c>
      <c r="AL1360" s="268" t="str">
        <f t="shared" si="160"/>
        <v>February</v>
      </c>
      <c r="AM1360" s="133">
        <f>YEAR(Table1[[#This Row],[ETA
As requested
dd.mm.yyyy]])</f>
        <v>2025</v>
      </c>
    </row>
    <row r="1361" spans="1:40" hidden="1">
      <c r="A1361" s="123" t="s">
        <v>27</v>
      </c>
      <c r="B1361" s="36" t="s">
        <v>1170</v>
      </c>
      <c r="C1361" s="117">
        <v>5500511016</v>
      </c>
      <c r="D1361" s="165">
        <v>45467</v>
      </c>
      <c r="E1361" s="117" t="s">
        <v>34</v>
      </c>
      <c r="F1361" s="36" t="str">
        <f>IFERROR(VLOOKUP(Table1[[#This Row],[Part Number]],DATABASE_FG!$C$6:D11350,2,FALSE)," ")</f>
        <v>HOUSING            DBD.10P1X/</v>
      </c>
      <c r="G1361" s="117" t="str">
        <f>IFERROR(_xlfn.XLOOKUP(Table1[[#This Row],[Part Number]],Table3[Part number],Table3[Drawing
 Revision]),"")</f>
        <v>AH</v>
      </c>
      <c r="H1361" s="118" cm="1">
        <f t="array" ref="H1361">IFERROR(INDEX(PDB!$C:$AT,MATCH(E1361,PDB!$B:$B,0),MATCH(YEAR(K1361),0+PDB!$C$1:$AT$1,0)),"")</f>
        <v>22.29</v>
      </c>
      <c r="I1361" s="36">
        <v>15</v>
      </c>
      <c r="J1361" s="125">
        <f>IFERROR(Table1[[#This Row],[Quantity]]*Table1[[#This Row],[Price/Unit
EUR]]," ")</f>
        <v>334.34999999999997</v>
      </c>
      <c r="K1361" s="126">
        <v>45715</v>
      </c>
      <c r="L1361" s="36">
        <f>WEEKNUM(Table1[[#This Row],[ETA
As requested
dd.mm.yyyy]])</f>
        <v>9</v>
      </c>
      <c r="M1361" s="36">
        <f>YEAR(Table1[[#This Row],[ETA
As requested
dd.mm.yyyy]])</f>
        <v>2025</v>
      </c>
      <c r="N1361" s="36">
        <f>IFERROR(INDEX(DATABASE_FG!$H$5:$H$367, MATCH(E1361, DATABASE_FG!$C$5:$C$367, 0)), " ")</f>
        <v>51</v>
      </c>
      <c r="O1361" s="129" t="str">
        <f>IF(E1361&lt;&gt;"", _xlfn.XLOOKUP(E1361, DATABASE_FG!C:C, DATABASE_FG!F:F), " ")</f>
        <v>DBD.10</v>
      </c>
      <c r="P1361" s="129">
        <f>IFERROR(INDEX(DATABASE_FG!$G$5:$G$367, MATCH(E1361, DATABASE_FG!$C$5:$C$367, 0)), "Not Found")</f>
        <v>120</v>
      </c>
      <c r="Q1361" s="36">
        <v>60</v>
      </c>
      <c r="R1361" s="125" t="s">
        <v>678</v>
      </c>
      <c r="S1361" s="123">
        <f>IFERROR(INDEX(DATABASE_FG!$L$5:$L$367, MATCH(E1361, DATABASE_FG!$C$5:$C$367, 0)), " ")</f>
        <v>56</v>
      </c>
      <c r="T1361" s="36" t="s">
        <v>677</v>
      </c>
      <c r="U1361" s="36"/>
      <c r="V1361" s="36"/>
      <c r="W1361" s="129"/>
      <c r="X1361" s="36"/>
      <c r="Y1361" s="36" t="s">
        <v>677</v>
      </c>
      <c r="Z1361" s="36"/>
      <c r="AA1361" s="125" t="s">
        <v>121</v>
      </c>
      <c r="AB1361" s="173">
        <v>45735</v>
      </c>
      <c r="AC1361" s="119">
        <v>25406</v>
      </c>
      <c r="AD1361" s="36">
        <f t="shared" si="156"/>
        <v>5500511016</v>
      </c>
      <c r="AE1361" s="36" t="str">
        <f t="shared" si="157"/>
        <v>R900305231</v>
      </c>
      <c r="AF1361" s="36">
        <v>15</v>
      </c>
      <c r="AG1361" s="120">
        <f t="shared" si="158"/>
        <v>334.34999999999997</v>
      </c>
      <c r="AH1361" s="36"/>
      <c r="AI1361" s="124"/>
      <c r="AJ1361" s="122" t="s">
        <v>2892</v>
      </c>
      <c r="AK1361" s="129" t="str">
        <f t="shared" ca="1" si="159"/>
        <v>Late</v>
      </c>
      <c r="AL1361" s="268" t="str">
        <f t="shared" si="160"/>
        <v>February</v>
      </c>
      <c r="AM1361" s="133">
        <f>YEAR(Table1[[#This Row],[ETA
As requested
dd.mm.yyyy]])</f>
        <v>2025</v>
      </c>
    </row>
    <row r="1362" spans="1:40" hidden="1">
      <c r="A1362" s="123" t="s">
        <v>27</v>
      </c>
      <c r="B1362" s="36" t="s">
        <v>1170</v>
      </c>
      <c r="C1362" s="117">
        <v>5500511016</v>
      </c>
      <c r="D1362" s="165">
        <v>45467</v>
      </c>
      <c r="E1362" s="117" t="s">
        <v>34</v>
      </c>
      <c r="F1362" s="36" t="str">
        <f>IFERROR(VLOOKUP(Table1[[#This Row],[Part Number]],DATABASE_FG!$C$6:D11351,2,FALSE)," ")</f>
        <v>HOUSING            DBD.10P1X/</v>
      </c>
      <c r="G1362" s="117" t="str">
        <f>IFERROR(_xlfn.XLOOKUP(Table1[[#This Row],[Part Number]],Table3[Part number],Table3[Drawing
 Revision]),"")</f>
        <v>AH</v>
      </c>
      <c r="H1362" s="118" cm="1">
        <f t="array" ref="H1362">IFERROR(INDEX(PDB!$C:$AT,MATCH(E1362,PDB!$B:$B,0),MATCH(YEAR(K1362),0+PDB!$C$1:$AT$1,0)),"")</f>
        <v>22.29</v>
      </c>
      <c r="I1362" s="36">
        <v>22</v>
      </c>
      <c r="J1362" s="125">
        <f>IFERROR(Table1[[#This Row],[Quantity]]*Table1[[#This Row],[Price/Unit
EUR]]," ")</f>
        <v>490.38</v>
      </c>
      <c r="K1362" s="126">
        <v>45715</v>
      </c>
      <c r="L1362" s="36">
        <f>WEEKNUM(Table1[[#This Row],[ETA
As requested
dd.mm.yyyy]])</f>
        <v>9</v>
      </c>
      <c r="M1362" s="36">
        <f>YEAR(Table1[[#This Row],[ETA
As requested
dd.mm.yyyy]])</f>
        <v>2025</v>
      </c>
      <c r="N1362" s="36">
        <f>IFERROR(INDEX(DATABASE_FG!$H$5:$H$367, MATCH(E1362, DATABASE_FG!$C$5:$C$367, 0)), " ")</f>
        <v>51</v>
      </c>
      <c r="O1362" s="129" t="str">
        <f>IF(E1362&lt;&gt;"", _xlfn.XLOOKUP(E1362, DATABASE_FG!C:C, DATABASE_FG!F:F), " ")</f>
        <v>DBD.10</v>
      </c>
      <c r="P1362" s="129">
        <f>IFERROR(INDEX(DATABASE_FG!$G$5:$G$367, MATCH(E1362, DATABASE_FG!$C$5:$C$367, 0)), "Not Found")</f>
        <v>120</v>
      </c>
      <c r="Q1362" s="36">
        <v>60</v>
      </c>
      <c r="R1362" s="125" t="s">
        <v>678</v>
      </c>
      <c r="S1362" s="123">
        <f>IFERROR(INDEX(DATABASE_FG!$L$5:$L$367, MATCH(E1362, DATABASE_FG!$C$5:$C$367, 0)), " ")</f>
        <v>56</v>
      </c>
      <c r="T1362" s="36" t="s">
        <v>677</v>
      </c>
      <c r="U1362" s="36"/>
      <c r="V1362" s="36"/>
      <c r="W1362" s="129"/>
      <c r="X1362" s="36"/>
      <c r="Y1362" s="36" t="s">
        <v>677</v>
      </c>
      <c r="Z1362" s="36"/>
      <c r="AA1362" s="125" t="s">
        <v>121</v>
      </c>
      <c r="AB1362" s="173">
        <v>45741</v>
      </c>
      <c r="AC1362" s="119">
        <v>25450</v>
      </c>
      <c r="AD1362" s="36">
        <f t="shared" si="156"/>
        <v>5500511016</v>
      </c>
      <c r="AE1362" s="36" t="str">
        <f t="shared" si="157"/>
        <v>R900305231</v>
      </c>
      <c r="AF1362" s="36">
        <v>22</v>
      </c>
      <c r="AG1362" s="120">
        <f t="shared" si="158"/>
        <v>490.38</v>
      </c>
      <c r="AH1362" s="36"/>
      <c r="AI1362" s="124"/>
      <c r="AJ1362" s="122" t="s">
        <v>2893</v>
      </c>
      <c r="AK1362" s="129" t="str">
        <f t="shared" ca="1" si="159"/>
        <v>Late</v>
      </c>
      <c r="AL1362" s="268" t="str">
        <f t="shared" si="160"/>
        <v>February</v>
      </c>
      <c r="AM1362" s="133">
        <f>YEAR(Table1[[#This Row],[ETA
As requested
dd.mm.yyyy]])</f>
        <v>2025</v>
      </c>
    </row>
    <row r="1363" spans="1:40" hidden="1">
      <c r="A1363" s="123" t="s">
        <v>27</v>
      </c>
      <c r="B1363" s="36" t="s">
        <v>1170</v>
      </c>
      <c r="C1363" s="117">
        <v>5500511016</v>
      </c>
      <c r="D1363" s="165">
        <v>45467</v>
      </c>
      <c r="E1363" s="117" t="s">
        <v>34</v>
      </c>
      <c r="F1363" s="36" t="str">
        <f>IFERROR(VLOOKUP(Table1[[#This Row],[Part Number]],DATABASE_FG!$C$6:D11352,2,FALSE)," ")</f>
        <v>HOUSING            DBD.10P1X/</v>
      </c>
      <c r="G1363" s="117" t="str">
        <f>IFERROR(_xlfn.XLOOKUP(Table1[[#This Row],[Part Number]],Table3[Part number],Table3[Drawing
 Revision]),"")</f>
        <v>AH</v>
      </c>
      <c r="H1363" s="118" cm="1">
        <f t="array" ref="H1363">IFERROR(INDEX(PDB!$C:$AT,MATCH(E1363,PDB!$B:$B,0),MATCH(YEAR(K1363),0+PDB!$C$1:$AT$1,0)),"")</f>
        <v>22.29</v>
      </c>
      <c r="I1363" s="36">
        <v>28</v>
      </c>
      <c r="J1363" s="125">
        <f>IFERROR(Table1[[#This Row],[Quantity]]*Table1[[#This Row],[Price/Unit
EUR]]," ")</f>
        <v>624.12</v>
      </c>
      <c r="K1363" s="126">
        <v>45715</v>
      </c>
      <c r="L1363" s="36">
        <f>WEEKNUM(Table1[[#This Row],[ETA
As requested
dd.mm.yyyy]])</f>
        <v>9</v>
      </c>
      <c r="M1363" s="36">
        <f>YEAR(Table1[[#This Row],[ETA
As requested
dd.mm.yyyy]])</f>
        <v>2025</v>
      </c>
      <c r="N1363" s="36">
        <f>IFERROR(INDEX(DATABASE_FG!$H$5:$H$367, MATCH(E1363, DATABASE_FG!$C$5:$C$367, 0)), " ")</f>
        <v>51</v>
      </c>
      <c r="O1363" s="129" t="str">
        <f>IF(E1363&lt;&gt;"", _xlfn.XLOOKUP(E1363, DATABASE_FG!C:C, DATABASE_FG!F:F), " ")</f>
        <v>DBD.10</v>
      </c>
      <c r="P1363" s="129">
        <f>IFERROR(INDEX(DATABASE_FG!$G$5:$G$367, MATCH(E1363, DATABASE_FG!$C$5:$C$367, 0)), "Not Found")</f>
        <v>120</v>
      </c>
      <c r="Q1363" s="36">
        <v>60</v>
      </c>
      <c r="R1363" s="125" t="s">
        <v>678</v>
      </c>
      <c r="S1363" s="123">
        <f>IFERROR(INDEX(DATABASE_FG!$L$5:$L$367, MATCH(E1363, DATABASE_FG!$C$5:$C$367, 0)), " ")</f>
        <v>56</v>
      </c>
      <c r="T1363" s="36" t="s">
        <v>677</v>
      </c>
      <c r="U1363" s="36"/>
      <c r="V1363" s="36"/>
      <c r="W1363" s="129"/>
      <c r="X1363" s="36"/>
      <c r="Y1363" s="36" t="s">
        <v>677</v>
      </c>
      <c r="Z1363" s="36"/>
      <c r="AA1363" s="125" t="s">
        <v>121</v>
      </c>
      <c r="AB1363" s="173">
        <v>45744</v>
      </c>
      <c r="AC1363" s="119">
        <v>25483</v>
      </c>
      <c r="AD1363" s="36">
        <f t="shared" si="156"/>
        <v>5500511016</v>
      </c>
      <c r="AE1363" s="36" t="str">
        <f t="shared" si="157"/>
        <v>R900305231</v>
      </c>
      <c r="AF1363" s="36">
        <v>28</v>
      </c>
      <c r="AG1363" s="120">
        <f t="shared" si="158"/>
        <v>624.12</v>
      </c>
      <c r="AH1363" s="36"/>
      <c r="AI1363" s="124"/>
      <c r="AJ1363" s="122" t="s">
        <v>2894</v>
      </c>
      <c r="AK1363" s="129" t="str">
        <f t="shared" ca="1" si="159"/>
        <v>Late</v>
      </c>
      <c r="AL1363" s="268" t="str">
        <f t="shared" si="160"/>
        <v>February</v>
      </c>
      <c r="AM1363" s="133">
        <f>YEAR(Table1[[#This Row],[ETA
As requested
dd.mm.yyyy]])</f>
        <v>2025</v>
      </c>
    </row>
    <row r="1364" spans="1:40" hidden="1">
      <c r="A1364" s="123" t="s">
        <v>27</v>
      </c>
      <c r="B1364" s="36" t="s">
        <v>1170</v>
      </c>
      <c r="C1364" s="117">
        <v>5500511016</v>
      </c>
      <c r="D1364" s="165">
        <v>45467</v>
      </c>
      <c r="E1364" s="117" t="s">
        <v>34</v>
      </c>
      <c r="F1364" s="36" t="str">
        <f>IFERROR(VLOOKUP(Table1[[#This Row],[Part Number]],DATABASE_FG!$C$6:D11353,2,FALSE)," ")</f>
        <v>HOUSING            DBD.10P1X/</v>
      </c>
      <c r="G1364" s="117" t="str">
        <f>IFERROR(_xlfn.XLOOKUP(Table1[[#This Row],[Part Number]],Table3[Part number],Table3[Drawing
 Revision]),"")</f>
        <v>AH</v>
      </c>
      <c r="H1364" s="118" cm="1">
        <f t="array" ref="H1364">IFERROR(INDEX(PDB!$C:$AT,MATCH(E1364,PDB!$B:$B,0),MATCH(YEAR(K1364),0+PDB!$C$1:$AT$1,0)),"")</f>
        <v>22.29</v>
      </c>
      <c r="I1364" s="36">
        <v>121</v>
      </c>
      <c r="J1364" s="125">
        <f>IFERROR(Table1[[#This Row],[Quantity]]*Table1[[#This Row],[Price/Unit
EUR]]," ")</f>
        <v>2697.0899999999997</v>
      </c>
      <c r="K1364" s="126">
        <v>45715</v>
      </c>
      <c r="L1364" s="36">
        <f>WEEKNUM(Table1[[#This Row],[ETA
As requested
dd.mm.yyyy]])</f>
        <v>9</v>
      </c>
      <c r="M1364" s="36">
        <f>YEAR(Table1[[#This Row],[ETA
As requested
dd.mm.yyyy]])</f>
        <v>2025</v>
      </c>
      <c r="N1364" s="36">
        <f>IFERROR(INDEX(DATABASE_FG!$H$5:$H$367, MATCH(E1364, DATABASE_FG!$C$5:$C$367, 0)), " ")</f>
        <v>51</v>
      </c>
      <c r="O1364" s="129" t="str">
        <f>IF(E1364&lt;&gt;"", _xlfn.XLOOKUP(E1364, DATABASE_FG!C:C, DATABASE_FG!F:F), " ")</f>
        <v>DBD.10</v>
      </c>
      <c r="P1364" s="129">
        <f>IFERROR(INDEX(DATABASE_FG!$G$5:$G$367, MATCH(E1364, DATABASE_FG!$C$5:$C$367, 0)), "Not Found")</f>
        <v>120</v>
      </c>
      <c r="Q1364" s="36">
        <v>60</v>
      </c>
      <c r="R1364" s="125" t="s">
        <v>678</v>
      </c>
      <c r="S1364" s="123">
        <f>IFERROR(INDEX(DATABASE_FG!$L$5:$L$367, MATCH(E1364, DATABASE_FG!$C$5:$C$367, 0)), " ")</f>
        <v>56</v>
      </c>
      <c r="T1364" s="36" t="s">
        <v>677</v>
      </c>
      <c r="U1364" s="36"/>
      <c r="V1364" s="36"/>
      <c r="W1364" s="129"/>
      <c r="X1364" s="36"/>
      <c r="Y1364" s="36" t="s">
        <v>677</v>
      </c>
      <c r="Z1364" s="36"/>
      <c r="AA1364" s="125" t="s">
        <v>121</v>
      </c>
      <c r="AB1364" s="173">
        <v>45764</v>
      </c>
      <c r="AC1364" s="119">
        <v>25639</v>
      </c>
      <c r="AD1364" s="36">
        <f t="shared" si="156"/>
        <v>5500511016</v>
      </c>
      <c r="AE1364" s="36" t="str">
        <f t="shared" si="157"/>
        <v>R900305231</v>
      </c>
      <c r="AF1364" s="36">
        <v>121</v>
      </c>
      <c r="AG1364" s="120">
        <f t="shared" si="158"/>
        <v>2697.0899999999997</v>
      </c>
      <c r="AH1364" s="36"/>
      <c r="AI1364" s="124"/>
      <c r="AJ1364" s="122" t="s">
        <v>2895</v>
      </c>
      <c r="AK1364" s="129" t="str">
        <f t="shared" ca="1" si="159"/>
        <v>Late</v>
      </c>
      <c r="AL1364" s="268" t="str">
        <f t="shared" si="160"/>
        <v>February</v>
      </c>
      <c r="AM1364" s="133">
        <f>YEAR(Table1[[#This Row],[ETA
As requested
dd.mm.yyyy]])</f>
        <v>2025</v>
      </c>
    </row>
    <row r="1365" spans="1:40" hidden="1">
      <c r="A1365" s="123" t="s">
        <v>27</v>
      </c>
      <c r="B1365" s="36" t="s">
        <v>1170</v>
      </c>
      <c r="C1365" s="117">
        <v>5500511016</v>
      </c>
      <c r="D1365" s="165">
        <v>45467</v>
      </c>
      <c r="E1365" s="117" t="s">
        <v>34</v>
      </c>
      <c r="F1365" s="36" t="str">
        <f>IFERROR(VLOOKUP(Table1[[#This Row],[Part Number]],DATABASE_FG!$C$6:D11354,2,FALSE)," ")</f>
        <v>HOUSING            DBD.10P1X/</v>
      </c>
      <c r="G1365" s="117" t="str">
        <f>IFERROR(_xlfn.XLOOKUP(Table1[[#This Row],[Part Number]],Table3[Part number],Table3[Drawing
 Revision]),"")</f>
        <v>AH</v>
      </c>
      <c r="H1365" s="118" cm="1">
        <f t="array" ref="H1365">IFERROR(INDEX(PDB!$C:$AT,MATCH(E1365,PDB!$B:$B,0),MATCH(YEAR(K1365),0+PDB!$C$1:$AT$1,0)),"")</f>
        <v>22.29</v>
      </c>
      <c r="I1365" s="36">
        <v>155</v>
      </c>
      <c r="J1365" s="125">
        <f>IFERROR(Table1[[#This Row],[Quantity]]*Table1[[#This Row],[Price/Unit
EUR]]," ")</f>
        <v>3454.95</v>
      </c>
      <c r="K1365" s="126">
        <v>45742</v>
      </c>
      <c r="L1365" s="36">
        <f>WEEKNUM(Table1[[#This Row],[ETA
As requested
dd.mm.yyyy]])</f>
        <v>13</v>
      </c>
      <c r="M1365" s="36">
        <f>YEAR(Table1[[#This Row],[ETA
As requested
dd.mm.yyyy]])</f>
        <v>2025</v>
      </c>
      <c r="N1365" s="36">
        <f>IFERROR(INDEX(DATABASE_FG!$H$5:$H$367, MATCH(E1365, DATABASE_FG!$C$5:$C$367, 0)), " ")</f>
        <v>51</v>
      </c>
      <c r="O1365" s="129" t="str">
        <f>IF(E1365&lt;&gt;"", _xlfn.XLOOKUP(E1365, DATABASE_FG!C:C, DATABASE_FG!F:F), " ")</f>
        <v>DBD.10</v>
      </c>
      <c r="P1365" s="129">
        <f>IFERROR(INDEX(DATABASE_FG!$G$5:$G$367, MATCH(E1365, DATABASE_FG!$C$5:$C$367, 0)), "Not Found")</f>
        <v>120</v>
      </c>
      <c r="Q1365" s="36">
        <v>60</v>
      </c>
      <c r="R1365" s="125" t="s">
        <v>678</v>
      </c>
      <c r="S1365" s="123">
        <f>IFERROR(INDEX(DATABASE_FG!$L$5:$L$367, MATCH(E1365, DATABASE_FG!$C$5:$C$367, 0)), " ")</f>
        <v>56</v>
      </c>
      <c r="T1365" s="36" t="s">
        <v>677</v>
      </c>
      <c r="U1365" s="36"/>
      <c r="V1365" s="36"/>
      <c r="W1365" s="129"/>
      <c r="X1365" s="36"/>
      <c r="Y1365" s="36" t="s">
        <v>3011</v>
      </c>
      <c r="Z1365" s="36"/>
      <c r="AA1365" s="125" t="s">
        <v>121</v>
      </c>
      <c r="AB1365" s="173">
        <v>45800</v>
      </c>
      <c r="AC1365" s="119">
        <v>25817</v>
      </c>
      <c r="AD1365" s="36">
        <f t="shared" si="156"/>
        <v>5500511016</v>
      </c>
      <c r="AE1365" s="36" t="str">
        <f t="shared" si="157"/>
        <v>R900305231</v>
      </c>
      <c r="AF1365" s="36">
        <v>155</v>
      </c>
      <c r="AG1365" s="120">
        <f t="shared" si="158"/>
        <v>3454.95</v>
      </c>
      <c r="AH1365" s="36"/>
      <c r="AI1365" s="124"/>
      <c r="AJ1365" s="122" t="s">
        <v>3012</v>
      </c>
      <c r="AK1365" s="129" t="str">
        <f t="shared" ca="1" si="159"/>
        <v>Late</v>
      </c>
      <c r="AL1365" s="268" t="str">
        <f t="shared" si="160"/>
        <v>March</v>
      </c>
      <c r="AM1365" s="133">
        <f>YEAR(Table1[[#This Row],[ETA
As requested
dd.mm.yyyy]])</f>
        <v>2025</v>
      </c>
    </row>
    <row r="1366" spans="1:40" hidden="1">
      <c r="A1366" s="123" t="s">
        <v>27</v>
      </c>
      <c r="B1366" s="36" t="s">
        <v>1170</v>
      </c>
      <c r="C1366" s="117">
        <v>5500511016</v>
      </c>
      <c r="D1366" s="165">
        <v>45467</v>
      </c>
      <c r="E1366" s="117" t="s">
        <v>34</v>
      </c>
      <c r="F1366" s="36" t="str">
        <f>IFERROR(VLOOKUP(Table1[[#This Row],[Part Number]],DATABASE_FG!$C$6:D11355,2,FALSE)," ")</f>
        <v>HOUSING            DBD.10P1X/</v>
      </c>
      <c r="G1366" s="117" t="str">
        <f>IFERROR(_xlfn.XLOOKUP(Table1[[#This Row],[Part Number]],Table3[Part number],Table3[Drawing
 Revision]),"")</f>
        <v>AH</v>
      </c>
      <c r="H1366" s="118" cm="1">
        <f t="array" ref="H1366">IFERROR(INDEX(PDB!$C:$AT,MATCH(E1366,PDB!$B:$B,0),MATCH(YEAR(K1366),0+PDB!$C$1:$AT$1,0)),"")</f>
        <v>22.29</v>
      </c>
      <c r="I1366" s="36">
        <v>181</v>
      </c>
      <c r="J1366" s="125">
        <f>IFERROR(Table1[[#This Row],[Quantity]]*Table1[[#This Row],[Price/Unit
EUR]]," ")</f>
        <v>4034.49</v>
      </c>
      <c r="K1366" s="126">
        <v>45807</v>
      </c>
      <c r="L1366" s="36">
        <f>WEEKNUM(Table1[[#This Row],[ETA
As requested
dd.mm.yyyy]])</f>
        <v>22</v>
      </c>
      <c r="M1366" s="36">
        <f>YEAR(Table1[[#This Row],[ETA
As requested
dd.mm.yyyy]])</f>
        <v>2025</v>
      </c>
      <c r="N1366" s="36">
        <f>IFERROR(INDEX(DATABASE_FG!$H$5:$H$367, MATCH(E1366, DATABASE_FG!$C$5:$C$367, 0)), " ")</f>
        <v>51</v>
      </c>
      <c r="O1366" s="129" t="str">
        <f>IF(E1366&lt;&gt;"", _xlfn.XLOOKUP(E1366, DATABASE_FG!C:C, DATABASE_FG!F:F), " ")</f>
        <v>DBD.10</v>
      </c>
      <c r="P1366" s="129">
        <f>IFERROR(INDEX(DATABASE_FG!$G$5:$G$367, MATCH(E1366, DATABASE_FG!$C$5:$C$367, 0)), "Not Found")</f>
        <v>120</v>
      </c>
      <c r="Q1366" s="36">
        <v>60</v>
      </c>
      <c r="R1366" s="125" t="s">
        <v>678</v>
      </c>
      <c r="S1366" s="123">
        <f>IFERROR(INDEX(DATABASE_FG!$L$5:$L$367, MATCH(E1366, DATABASE_FG!$C$5:$C$367, 0)), " ")</f>
        <v>56</v>
      </c>
      <c r="T1366" s="36" t="s">
        <v>677</v>
      </c>
      <c r="U1366" s="36"/>
      <c r="V1366" s="36"/>
      <c r="W1366" s="129"/>
      <c r="X1366" s="36"/>
      <c r="Y1366" s="36"/>
      <c r="Z1366" s="36"/>
      <c r="AA1366" s="125" t="s">
        <v>121</v>
      </c>
      <c r="AB1366" s="173">
        <v>45807</v>
      </c>
      <c r="AC1366" s="119">
        <v>25853</v>
      </c>
      <c r="AD1366" s="36">
        <f t="shared" si="156"/>
        <v>5500511016</v>
      </c>
      <c r="AE1366" s="36" t="str">
        <f t="shared" si="157"/>
        <v>R900305231</v>
      </c>
      <c r="AF1366" s="36">
        <v>181</v>
      </c>
      <c r="AG1366" s="120">
        <f t="shared" si="158"/>
        <v>4034.49</v>
      </c>
      <c r="AH1366" s="36"/>
      <c r="AI1366" s="124"/>
      <c r="AJ1366" s="122" t="s">
        <v>3219</v>
      </c>
      <c r="AK1366" s="129" t="str">
        <f t="shared" ca="1" si="159"/>
        <v>On Time</v>
      </c>
      <c r="AL1366" s="268" t="str">
        <f t="shared" si="160"/>
        <v>May</v>
      </c>
      <c r="AM1366" s="133">
        <f>YEAR(Table1[[#This Row],[ETA
As requested
dd.mm.yyyy]])</f>
        <v>2025</v>
      </c>
    </row>
    <row r="1367" spans="1:40" hidden="1">
      <c r="A1367" s="123" t="s">
        <v>27</v>
      </c>
      <c r="B1367" s="36" t="s">
        <v>1170</v>
      </c>
      <c r="C1367" s="117">
        <v>5500511016</v>
      </c>
      <c r="D1367" s="165">
        <v>45467</v>
      </c>
      <c r="E1367" s="117" t="s">
        <v>34</v>
      </c>
      <c r="F1367" s="36" t="str">
        <f>IFERROR(VLOOKUP(Table1[[#This Row],[Part Number]],DATABASE_FG!$C$6:D11356,2,FALSE)," ")</f>
        <v>HOUSING            DBD.10P1X/</v>
      </c>
      <c r="G1367" s="117" t="str">
        <f>IFERROR(_xlfn.XLOOKUP(Table1[[#This Row],[Part Number]],Table3[Part number],Table3[Drawing
 Revision]),"")</f>
        <v>AH</v>
      </c>
      <c r="H1367" s="118" cm="1">
        <f t="array" ref="H1367">IFERROR(INDEX(PDB!$C:$AT,MATCH(E1367,PDB!$B:$B,0),MATCH(YEAR(K1367),0+PDB!$C$1:$AT$1,0)),"")</f>
        <v>22.29</v>
      </c>
      <c r="I1367" s="36">
        <v>2</v>
      </c>
      <c r="J1367" s="125">
        <f>IFERROR(Table1[[#This Row],[Quantity]]*Table1[[#This Row],[Price/Unit
EUR]]," ")</f>
        <v>44.58</v>
      </c>
      <c r="K1367" s="126">
        <v>45807</v>
      </c>
      <c r="L1367" s="36">
        <f>WEEKNUM(Table1[[#This Row],[ETA
As requested
dd.mm.yyyy]])</f>
        <v>22</v>
      </c>
      <c r="M1367" s="36">
        <f>YEAR(Table1[[#This Row],[ETA
As requested
dd.mm.yyyy]])</f>
        <v>2025</v>
      </c>
      <c r="N1367" s="36">
        <f>IFERROR(INDEX(DATABASE_FG!$H$5:$H$367, MATCH(E1367, DATABASE_FG!$C$5:$C$367, 0)), " ")</f>
        <v>51</v>
      </c>
      <c r="O1367" s="129" t="str">
        <f>IF(E1367&lt;&gt;"", _xlfn.XLOOKUP(E1367, DATABASE_FG!C:C, DATABASE_FG!F:F), " ")</f>
        <v>DBD.10</v>
      </c>
      <c r="P1367" s="129">
        <f>IFERROR(INDEX(DATABASE_FG!$G$5:$G$367, MATCH(E1367, DATABASE_FG!$C$5:$C$367, 0)), "Not Found")</f>
        <v>120</v>
      </c>
      <c r="Q1367" s="36">
        <v>60</v>
      </c>
      <c r="R1367" s="125" t="s">
        <v>678</v>
      </c>
      <c r="S1367" s="123">
        <f>IFERROR(INDEX(DATABASE_FG!$L$5:$L$367, MATCH(E1367, DATABASE_FG!$C$5:$C$367, 0)), " ")</f>
        <v>56</v>
      </c>
      <c r="T1367" s="36" t="s">
        <v>677</v>
      </c>
      <c r="U1367" s="36"/>
      <c r="V1367" s="36"/>
      <c r="W1367" s="129"/>
      <c r="X1367" s="36"/>
      <c r="Y1367" s="36"/>
      <c r="Z1367" s="36"/>
      <c r="AA1367" s="125" t="s">
        <v>121</v>
      </c>
      <c r="AB1367" s="173">
        <v>45828</v>
      </c>
      <c r="AC1367" s="119">
        <v>251005</v>
      </c>
      <c r="AD1367" s="36">
        <f t="shared" si="156"/>
        <v>5500511016</v>
      </c>
      <c r="AE1367" s="36" t="str">
        <f t="shared" si="157"/>
        <v>R900305231</v>
      </c>
      <c r="AF1367" s="36">
        <v>1</v>
      </c>
      <c r="AG1367" s="120">
        <f t="shared" si="158"/>
        <v>22.29</v>
      </c>
      <c r="AH1367" s="36"/>
      <c r="AI1367" s="124"/>
      <c r="AJ1367" s="122" t="s">
        <v>3221</v>
      </c>
      <c r="AK1367" s="129" t="str">
        <f t="shared" ca="1" si="159"/>
        <v>Late</v>
      </c>
      <c r="AL1367" s="268" t="str">
        <f t="shared" si="160"/>
        <v>May</v>
      </c>
      <c r="AM1367" s="133">
        <f>YEAR(Table1[[#This Row],[ETA
As requested
dd.mm.yyyy]])</f>
        <v>2025</v>
      </c>
    </row>
    <row r="1368" spans="1:40" hidden="1">
      <c r="A1368" s="123" t="s">
        <v>27</v>
      </c>
      <c r="B1368" s="36" t="s">
        <v>1170</v>
      </c>
      <c r="C1368" s="117">
        <v>5500511016</v>
      </c>
      <c r="D1368" s="165">
        <v>45467</v>
      </c>
      <c r="E1368" s="117" t="s">
        <v>34</v>
      </c>
      <c r="F1368" s="36" t="str">
        <f>IFERROR(VLOOKUP(Table1[[#This Row],[Part Number]],DATABASE_FG!$C$6:D11357,2,FALSE)," ")</f>
        <v>HOUSING            DBD.10P1X/</v>
      </c>
      <c r="G1368" s="117" t="str">
        <f>IFERROR(_xlfn.XLOOKUP(Table1[[#This Row],[Part Number]],Table3[Part number],Table3[Drawing
 Revision]),"")</f>
        <v>AH</v>
      </c>
      <c r="H1368" s="118" cm="1">
        <f t="array" ref="H1368">IFERROR(INDEX(PDB!$C:$AT,MATCH(E1368,PDB!$B:$B,0),MATCH(YEAR(K1368),0+PDB!$C$1:$AT$1,0)),"")</f>
        <v>22.29</v>
      </c>
      <c r="I1368" s="36">
        <v>31</v>
      </c>
      <c r="J1368" s="125">
        <f>IFERROR(Table1[[#This Row],[Quantity]]*Table1[[#This Row],[Price/Unit
EUR]]," ")</f>
        <v>690.99</v>
      </c>
      <c r="K1368" s="126">
        <v>45807</v>
      </c>
      <c r="L1368" s="36">
        <f>WEEKNUM(Table1[[#This Row],[ETA
As requested
dd.mm.yyyy]])</f>
        <v>22</v>
      </c>
      <c r="M1368" s="36">
        <f>YEAR(Table1[[#This Row],[ETA
As requested
dd.mm.yyyy]])</f>
        <v>2025</v>
      </c>
      <c r="N1368" s="36">
        <f>IFERROR(INDEX(DATABASE_FG!$H$5:$H$367, MATCH(E1368, DATABASE_FG!$C$5:$C$367, 0)), " ")</f>
        <v>51</v>
      </c>
      <c r="O1368" s="129" t="str">
        <f>IF(E1368&lt;&gt;"", _xlfn.XLOOKUP(E1368, DATABASE_FG!C:C, DATABASE_FG!F:F), " ")</f>
        <v>DBD.10</v>
      </c>
      <c r="P1368" s="129">
        <f>IFERROR(INDEX(DATABASE_FG!$G$5:$G$367, MATCH(E1368, DATABASE_FG!$C$5:$C$367, 0)), "Not Found")</f>
        <v>120</v>
      </c>
      <c r="Q1368" s="36">
        <v>60</v>
      </c>
      <c r="R1368" s="125" t="s">
        <v>678</v>
      </c>
      <c r="S1368" s="123">
        <f>IFERROR(INDEX(DATABASE_FG!$L$5:$L$367, MATCH(E1368, DATABASE_FG!$C$5:$C$367, 0)), " ")</f>
        <v>56</v>
      </c>
      <c r="T1368" s="36" t="s">
        <v>677</v>
      </c>
      <c r="U1368" s="36"/>
      <c r="V1368" s="36"/>
      <c r="W1368" s="129"/>
      <c r="X1368" s="36"/>
      <c r="Y1368" s="36"/>
      <c r="Z1368" s="36"/>
      <c r="AA1368" s="125" t="s">
        <v>121</v>
      </c>
      <c r="AB1368" s="173">
        <v>45842</v>
      </c>
      <c r="AC1368" s="119">
        <v>251015</v>
      </c>
      <c r="AD1368" s="36">
        <f t="shared" si="156"/>
        <v>5500511016</v>
      </c>
      <c r="AE1368" s="36" t="str">
        <f t="shared" si="157"/>
        <v>R900305231</v>
      </c>
      <c r="AF1368" s="36">
        <v>31</v>
      </c>
      <c r="AG1368" s="120">
        <f t="shared" si="158"/>
        <v>690.99</v>
      </c>
      <c r="AH1368" s="36"/>
      <c r="AI1368" s="124"/>
      <c r="AJ1368" s="122" t="s">
        <v>3222</v>
      </c>
      <c r="AK1368" s="129" t="str">
        <f t="shared" ca="1" si="159"/>
        <v>Late</v>
      </c>
      <c r="AL1368" s="268" t="str">
        <f t="shared" si="160"/>
        <v>May</v>
      </c>
      <c r="AM1368" s="133">
        <f>YEAR(Table1[[#This Row],[ETA
As requested
dd.mm.yyyy]])</f>
        <v>2025</v>
      </c>
    </row>
    <row r="1369" spans="1:40" hidden="1">
      <c r="A1369" s="123" t="s">
        <v>27</v>
      </c>
      <c r="B1369" s="36" t="s">
        <v>1170</v>
      </c>
      <c r="C1369" s="117">
        <v>5500511016</v>
      </c>
      <c r="D1369" s="165">
        <v>45467</v>
      </c>
      <c r="E1369" s="117" t="s">
        <v>34</v>
      </c>
      <c r="F1369" s="36" t="str">
        <f>IFERROR(VLOOKUP(Table1[[#This Row],[Part Number]],DATABASE_FG!$C$6:D11358,2,FALSE)," ")</f>
        <v>HOUSING            DBD.10P1X/</v>
      </c>
      <c r="G1369" s="117" t="str">
        <f>IFERROR(_xlfn.XLOOKUP(Table1[[#This Row],[Part Number]],Table3[Part number],Table3[Drawing
 Revision]),"")</f>
        <v>AH</v>
      </c>
      <c r="H1369" s="118" cm="1">
        <f t="array" ref="H1369">IFERROR(INDEX(PDB!$C:$AT,MATCH(E1369,PDB!$B:$B,0),MATCH(YEAR(K1369),0+PDB!$C$1:$AT$1,0)),"")</f>
        <v>22.29</v>
      </c>
      <c r="I1369" s="36">
        <v>60</v>
      </c>
      <c r="J1369" s="125">
        <f>IFERROR(Table1[[#This Row],[Quantity]]*Table1[[#This Row],[Price/Unit
EUR]]," ")</f>
        <v>1337.3999999999999</v>
      </c>
      <c r="K1369" s="126">
        <v>45843</v>
      </c>
      <c r="L1369" s="36">
        <f>WEEKNUM(Table1[[#This Row],[ETA
As requested
dd.mm.yyyy]])</f>
        <v>27</v>
      </c>
      <c r="M1369" s="36">
        <f>YEAR(Table1[[#This Row],[ETA
As requested
dd.mm.yyyy]])</f>
        <v>2025</v>
      </c>
      <c r="N1369" s="36">
        <f>IFERROR(INDEX(DATABASE_FG!$H$5:$H$367, MATCH(E1369, DATABASE_FG!$C$5:$C$367, 0)), " ")</f>
        <v>51</v>
      </c>
      <c r="O1369" s="129" t="str">
        <f>IF(E1369&lt;&gt;"", _xlfn.XLOOKUP(E1369, DATABASE_FG!C:C, DATABASE_FG!F:F), " ")</f>
        <v>DBD.10</v>
      </c>
      <c r="P1369" s="129">
        <f>IFERROR(INDEX(DATABASE_FG!$G$5:$G$367, MATCH(E1369, DATABASE_FG!$C$5:$C$367, 0)), "Not Found")</f>
        <v>120</v>
      </c>
      <c r="Q1369" s="36">
        <v>60</v>
      </c>
      <c r="R1369" s="125" t="s">
        <v>678</v>
      </c>
      <c r="S1369" s="123">
        <f>IFERROR(INDEX(DATABASE_FG!$L$5:$L$367, MATCH(E1369, DATABASE_FG!$C$5:$C$367, 0)), " ")</f>
        <v>56</v>
      </c>
      <c r="T1369" s="36" t="s">
        <v>677</v>
      </c>
      <c r="U1369" s="36"/>
      <c r="V1369" s="36"/>
      <c r="W1369" s="129"/>
      <c r="X1369" s="36"/>
      <c r="Y1369" s="36"/>
      <c r="Z1369" s="36"/>
      <c r="AA1369" s="125" t="s">
        <v>121</v>
      </c>
      <c r="AB1369" s="173">
        <v>45866</v>
      </c>
      <c r="AC1369" s="119">
        <v>251097</v>
      </c>
      <c r="AD1369" s="36">
        <f t="shared" si="156"/>
        <v>5500511016</v>
      </c>
      <c r="AE1369" s="36" t="str">
        <f t="shared" si="157"/>
        <v>R900305231</v>
      </c>
      <c r="AF1369" s="36">
        <v>60</v>
      </c>
      <c r="AG1369" s="120">
        <f t="shared" si="158"/>
        <v>1337.3999999999999</v>
      </c>
      <c r="AH1369" s="36"/>
      <c r="AI1369" s="124"/>
      <c r="AJ1369" s="122" t="s">
        <v>3396</v>
      </c>
      <c r="AK1369" s="129" t="str">
        <f t="shared" ca="1" si="159"/>
        <v>Late</v>
      </c>
      <c r="AL1369" s="268" t="str">
        <f t="shared" si="160"/>
        <v>July</v>
      </c>
      <c r="AM1369" s="133">
        <f>YEAR(Table1[[#This Row],[ETA
As requested
dd.mm.yyyy]])</f>
        <v>2025</v>
      </c>
    </row>
    <row r="1370" spans="1:40" hidden="1">
      <c r="A1370" s="123" t="s">
        <v>27</v>
      </c>
      <c r="B1370" s="36" t="s">
        <v>1170</v>
      </c>
      <c r="C1370" s="117">
        <v>5500511016</v>
      </c>
      <c r="D1370" s="165">
        <v>45467</v>
      </c>
      <c r="E1370" s="117" t="s">
        <v>34</v>
      </c>
      <c r="F1370" s="36" t="str">
        <f>IFERROR(VLOOKUP(Table1[[#This Row],[Part Number]],DATABASE_FG!$C$6:D11359,2,FALSE)," ")</f>
        <v>HOUSING            DBD.10P1X/</v>
      </c>
      <c r="G1370" s="117" t="str">
        <f>IFERROR(_xlfn.XLOOKUP(Table1[[#This Row],[Part Number]],Table3[Part number],Table3[Drawing
 Revision]),"")</f>
        <v>AH</v>
      </c>
      <c r="H1370" s="118" cm="1">
        <f t="array" ref="H1370">IFERROR(INDEX(PDB!$C:$AT,MATCH(E1370,PDB!$B:$B,0),MATCH(YEAR(K1370),0+PDB!$C$1:$AT$1,0)),"")</f>
        <v>22.29</v>
      </c>
      <c r="I1370" s="36">
        <f>296-181-2-31-60</f>
        <v>22</v>
      </c>
      <c r="J1370" s="125">
        <f>IFERROR(Table1[[#This Row],[Quantity]]*Table1[[#This Row],[Price/Unit
EUR]]," ")</f>
        <v>490.38</v>
      </c>
      <c r="K1370" s="126">
        <v>45843</v>
      </c>
      <c r="L1370" s="36">
        <f>WEEKNUM(Table1[[#This Row],[ETA
As requested
dd.mm.yyyy]])</f>
        <v>27</v>
      </c>
      <c r="M1370" s="36">
        <f>YEAR(Table1[[#This Row],[ETA
As requested
dd.mm.yyyy]])</f>
        <v>2025</v>
      </c>
      <c r="N1370" s="36">
        <f>IFERROR(INDEX(DATABASE_FG!$H$5:$H$367, MATCH(E1370, DATABASE_FG!$C$5:$C$367, 0)), " ")</f>
        <v>51</v>
      </c>
      <c r="O1370" s="129" t="str">
        <f>IF(E1370&lt;&gt;"", _xlfn.XLOOKUP(E1370, DATABASE_FG!C:C, DATABASE_FG!F:F), " ")</f>
        <v>DBD.10</v>
      </c>
      <c r="P1370" s="129">
        <f>IFERROR(INDEX(DATABASE_FG!$G$5:$G$367, MATCH(E1370, DATABASE_FG!$C$5:$C$367, 0)), "Not Found")</f>
        <v>120</v>
      </c>
      <c r="Q1370" s="36">
        <v>60</v>
      </c>
      <c r="R1370" s="125" t="s">
        <v>678</v>
      </c>
      <c r="S1370" s="123">
        <f>IFERROR(INDEX(DATABASE_FG!$L$5:$L$367, MATCH(E1370, DATABASE_FG!$C$5:$C$367, 0)), " ")</f>
        <v>56</v>
      </c>
      <c r="T1370" s="36" t="s">
        <v>677</v>
      </c>
      <c r="U1370" s="36"/>
      <c r="V1370" s="36"/>
      <c r="W1370" s="129"/>
      <c r="X1370" s="36"/>
      <c r="Y1370" s="36" t="s">
        <v>3397</v>
      </c>
      <c r="Z1370" s="36"/>
      <c r="AA1370" s="125" t="s">
        <v>121</v>
      </c>
      <c r="AB1370" s="173">
        <v>45869</v>
      </c>
      <c r="AC1370" s="119">
        <v>251118</v>
      </c>
      <c r="AD1370" s="36">
        <f t="shared" si="156"/>
        <v>5500511016</v>
      </c>
      <c r="AE1370" s="36" t="str">
        <f t="shared" si="157"/>
        <v>R900305231</v>
      </c>
      <c r="AF1370" s="36">
        <v>22</v>
      </c>
      <c r="AG1370" s="120">
        <f t="shared" si="158"/>
        <v>490.38</v>
      </c>
      <c r="AH1370" s="36"/>
      <c r="AI1370" s="124"/>
      <c r="AJ1370" s="122" t="s">
        <v>3398</v>
      </c>
      <c r="AK1370" s="129" t="str">
        <f t="shared" ca="1" si="159"/>
        <v>Late</v>
      </c>
      <c r="AL1370" s="268" t="str">
        <f t="shared" si="160"/>
        <v>July</v>
      </c>
      <c r="AM1370" s="133">
        <f>YEAR(Table1[[#This Row],[ETA
As requested
dd.mm.yyyy]])</f>
        <v>2025</v>
      </c>
    </row>
    <row r="1371" spans="1:40" hidden="1">
      <c r="A1371" s="123" t="s">
        <v>27</v>
      </c>
      <c r="B1371" s="36" t="s">
        <v>1170</v>
      </c>
      <c r="C1371" s="117">
        <v>5500511016</v>
      </c>
      <c r="D1371" s="165">
        <v>45467</v>
      </c>
      <c r="E1371" s="117" t="s">
        <v>34</v>
      </c>
      <c r="F1371" s="36" t="str">
        <f>IFERROR(VLOOKUP(Table1[[#This Row],[Part Number]],DATABASE_FG!$C$6:D11360,2,FALSE)," ")</f>
        <v>HOUSING            DBD.10P1X/</v>
      </c>
      <c r="G1371" s="117" t="str">
        <f>IFERROR(_xlfn.XLOOKUP(Table1[[#This Row],[Part Number]],Table3[Part number],Table3[Drawing
 Revision]),"")</f>
        <v>AH</v>
      </c>
      <c r="H1371" s="118" cm="1">
        <f t="array" ref="H1371">IFERROR(INDEX(PDB!$C:$AT,MATCH(E1371,PDB!$B:$B,0),MATCH(YEAR(K1371),0+PDB!$C$1:$AT$1,0)),"")</f>
        <v>22.29</v>
      </c>
      <c r="I1371" s="36">
        <f>96+35</f>
        <v>131</v>
      </c>
      <c r="J1371" s="125">
        <f>IFERROR(Table1[[#This Row],[Quantity]]*Table1[[#This Row],[Price/Unit
EUR]]," ")</f>
        <v>2919.99</v>
      </c>
      <c r="K1371" s="126">
        <v>45863</v>
      </c>
      <c r="L1371" s="36">
        <f>WEEKNUM(Table1[[#This Row],[ETA
As requested
dd.mm.yyyy]])</f>
        <v>30</v>
      </c>
      <c r="M1371" s="36">
        <f>YEAR(Table1[[#This Row],[ETA
As requested
dd.mm.yyyy]])</f>
        <v>2025</v>
      </c>
      <c r="N1371" s="36">
        <f>IFERROR(INDEX(DATABASE_FG!$H$5:$H$367, MATCH(E1371, DATABASE_FG!$C$5:$C$367, 0)), " ")</f>
        <v>51</v>
      </c>
      <c r="O1371" s="129" t="str">
        <f>IF(E1371&lt;&gt;"", _xlfn.XLOOKUP(E1371, DATABASE_FG!C:C, DATABASE_FG!F:F), " ")</f>
        <v>DBD.10</v>
      </c>
      <c r="P1371" s="129">
        <f>IFERROR(INDEX(DATABASE_FG!$G$5:$G$367, MATCH(E1371, DATABASE_FG!$C$5:$C$367, 0)), "Not Found")</f>
        <v>120</v>
      </c>
      <c r="Q1371" s="36">
        <v>60</v>
      </c>
      <c r="R1371" s="125" t="s">
        <v>678</v>
      </c>
      <c r="S1371" s="123">
        <f>IFERROR(INDEX(DATABASE_FG!$L$5:$L$367, MATCH(E1371, DATABASE_FG!$C$5:$C$367, 0)), " ")</f>
        <v>56</v>
      </c>
      <c r="T1371" s="36" t="s">
        <v>677</v>
      </c>
      <c r="U1371" s="36"/>
      <c r="V1371" s="36"/>
      <c r="W1371" s="129"/>
      <c r="X1371" s="36"/>
      <c r="Y1371" s="36"/>
      <c r="Z1371" s="36"/>
      <c r="AA1371" s="125" t="s">
        <v>121</v>
      </c>
      <c r="AB1371" s="173">
        <v>45869</v>
      </c>
      <c r="AC1371" s="119">
        <v>251118</v>
      </c>
      <c r="AD1371" s="36">
        <f t="shared" si="156"/>
        <v>5500511016</v>
      </c>
      <c r="AE1371" s="36" t="str">
        <f t="shared" si="157"/>
        <v>R900305231</v>
      </c>
      <c r="AF1371" s="36">
        <v>131</v>
      </c>
      <c r="AG1371" s="120">
        <f t="shared" si="158"/>
        <v>2919.99</v>
      </c>
      <c r="AH1371" s="36"/>
      <c r="AI1371" s="124"/>
      <c r="AJ1371" s="122" t="s">
        <v>3398</v>
      </c>
      <c r="AK1371" s="129" t="str">
        <f t="shared" ca="1" si="159"/>
        <v>Late</v>
      </c>
      <c r="AL1371" s="268" t="str">
        <f t="shared" si="160"/>
        <v>July</v>
      </c>
      <c r="AM1371" s="133">
        <f>YEAR(Table1[[#This Row],[ETA
As requested
dd.mm.yyyy]])</f>
        <v>2025</v>
      </c>
    </row>
    <row r="1372" spans="1:40" hidden="1">
      <c r="A1372" s="123" t="s">
        <v>27</v>
      </c>
      <c r="B1372" s="36" t="s">
        <v>1170</v>
      </c>
      <c r="C1372" s="117">
        <v>5500511016</v>
      </c>
      <c r="D1372" s="165">
        <v>45467</v>
      </c>
      <c r="E1372" s="117" t="s">
        <v>34</v>
      </c>
      <c r="F1372" s="36" t="str">
        <f>IFERROR(VLOOKUP(Table1[[#This Row],[Part Number]],DATABASE_FG!$C$6:D11361,2,FALSE)," ")</f>
        <v>HOUSING            DBD.10P1X/</v>
      </c>
      <c r="G1372" s="117" t="str">
        <f>IFERROR(_xlfn.XLOOKUP(Table1[[#This Row],[Part Number]],Table3[Part number],Table3[Drawing
 Revision]),"")</f>
        <v>AH</v>
      </c>
      <c r="H1372" s="118" cm="1">
        <f t="array" ref="H1372">IFERROR(INDEX(PDB!$C:$AT,MATCH(E1372,PDB!$B:$B,0),MATCH(YEAR(K1372),0+PDB!$C$1:$AT$1,0)),"")</f>
        <v>22.29</v>
      </c>
      <c r="I1372" s="36">
        <f>96-35</f>
        <v>61</v>
      </c>
      <c r="J1372" s="125">
        <f>IFERROR(Table1[[#This Row],[Quantity]]*Table1[[#This Row],[Price/Unit
EUR]]," ")</f>
        <v>1359.69</v>
      </c>
      <c r="K1372" s="126">
        <v>45863</v>
      </c>
      <c r="L1372" s="36">
        <f>WEEKNUM(Table1[[#This Row],[ETA
As requested
dd.mm.yyyy]])</f>
        <v>30</v>
      </c>
      <c r="M1372" s="36">
        <f>YEAR(Table1[[#This Row],[ETA
As requested
dd.mm.yyyy]])</f>
        <v>2025</v>
      </c>
      <c r="N1372" s="36">
        <f>IFERROR(INDEX(DATABASE_FG!$H$5:$H$367, MATCH(E1372, DATABASE_FG!$C$5:$C$367, 0)), " ")</f>
        <v>51</v>
      </c>
      <c r="O1372" s="129" t="str">
        <f>IF(E1372&lt;&gt;"", _xlfn.XLOOKUP(E1372, DATABASE_FG!C:C, DATABASE_FG!F:F), " ")</f>
        <v>DBD.10</v>
      </c>
      <c r="P1372" s="129">
        <f>IFERROR(INDEX(DATABASE_FG!$G$5:$G$367, MATCH(E1372, DATABASE_FG!$C$5:$C$367, 0)), "Not Found")</f>
        <v>120</v>
      </c>
      <c r="Q1372" s="36">
        <v>60</v>
      </c>
      <c r="R1372" s="125" t="s">
        <v>678</v>
      </c>
      <c r="S1372" s="123">
        <f>IFERROR(INDEX(DATABASE_FG!$L$5:$L$367, MATCH(E1372, DATABASE_FG!$C$5:$C$367, 0)), " ")</f>
        <v>56</v>
      </c>
      <c r="T1372" s="36" t="s">
        <v>677</v>
      </c>
      <c r="U1372" s="36"/>
      <c r="V1372" s="36"/>
      <c r="W1372" s="129"/>
      <c r="X1372" s="36"/>
      <c r="Y1372" s="36"/>
      <c r="Z1372" s="36"/>
      <c r="AA1372" s="125" t="s">
        <v>121</v>
      </c>
      <c r="AB1372" s="173">
        <v>45895</v>
      </c>
      <c r="AC1372" s="119">
        <v>251138</v>
      </c>
      <c r="AD1372" s="36">
        <f t="shared" si="156"/>
        <v>5500511016</v>
      </c>
      <c r="AE1372" s="36" t="str">
        <f t="shared" si="157"/>
        <v>R900305231</v>
      </c>
      <c r="AF1372" s="36">
        <v>61</v>
      </c>
      <c r="AG1372" s="120">
        <f t="shared" si="158"/>
        <v>1359.69</v>
      </c>
      <c r="AH1372" s="36"/>
      <c r="AI1372" s="124"/>
      <c r="AJ1372" s="122" t="s">
        <v>3456</v>
      </c>
      <c r="AK1372" s="129" t="str">
        <f t="shared" ca="1" si="159"/>
        <v>Late</v>
      </c>
      <c r="AL1372" s="268" t="str">
        <f t="shared" si="160"/>
        <v>July</v>
      </c>
      <c r="AM1372" s="133">
        <f>YEAR(Table1[[#This Row],[ETA
As requested
dd.mm.yyyy]])</f>
        <v>2025</v>
      </c>
    </row>
    <row r="1373" spans="1:40" hidden="1">
      <c r="A1373" s="123" t="s">
        <v>27</v>
      </c>
      <c r="B1373" s="36" t="s">
        <v>1170</v>
      </c>
      <c r="C1373" s="117">
        <v>5500511016</v>
      </c>
      <c r="D1373" s="165">
        <v>45467</v>
      </c>
      <c r="E1373" s="117" t="s">
        <v>34</v>
      </c>
      <c r="F1373" s="36" t="str">
        <f>IFERROR(VLOOKUP(Table1[[#This Row],[Part Number]],DATABASE_FG!$C$6:D11362,2,FALSE)," ")</f>
        <v>HOUSING            DBD.10P1X/</v>
      </c>
      <c r="G1373" s="117" t="str">
        <f>IFERROR(_xlfn.XLOOKUP(Table1[[#This Row],[Part Number]],Table3[Part number],Table3[Drawing
 Revision]),"")</f>
        <v>AH</v>
      </c>
      <c r="H1373" s="118" cm="1">
        <f t="array" ref="H1373">IFERROR(INDEX(PDB!$C:$AT,MATCH(E1373,PDB!$B:$B,0),MATCH(YEAR(K1373),0+PDB!$C$1:$AT$1,0)),"")</f>
        <v>22.29</v>
      </c>
      <c r="I1373" s="36">
        <f>96-22</f>
        <v>74</v>
      </c>
      <c r="J1373" s="125">
        <f>IFERROR(Table1[[#This Row],[Quantity]]*Table1[[#This Row],[Price/Unit
EUR]]," ")</f>
        <v>1649.46</v>
      </c>
      <c r="K1373" s="126">
        <v>45870</v>
      </c>
      <c r="L1373" s="36">
        <f>WEEKNUM(Table1[[#This Row],[ETA
As requested
dd.mm.yyyy]])</f>
        <v>31</v>
      </c>
      <c r="M1373" s="36">
        <f>YEAR(Table1[[#This Row],[ETA
As requested
dd.mm.yyyy]])</f>
        <v>2025</v>
      </c>
      <c r="N1373" s="36">
        <f>IFERROR(INDEX(DATABASE_FG!$H$5:$H$367, MATCH(E1373, DATABASE_FG!$C$5:$C$367, 0)), " ")</f>
        <v>51</v>
      </c>
      <c r="O1373" s="129" t="str">
        <f>IF(E1373&lt;&gt;"", _xlfn.XLOOKUP(E1373, DATABASE_FG!C:C, DATABASE_FG!F:F), " ")</f>
        <v>DBD.10</v>
      </c>
      <c r="P1373" s="129">
        <f>IFERROR(INDEX(DATABASE_FG!$G$5:$G$367, MATCH(E1373, DATABASE_FG!$C$5:$C$367, 0)), "Not Found")</f>
        <v>120</v>
      </c>
      <c r="Q1373" s="36">
        <v>60</v>
      </c>
      <c r="R1373" s="125" t="s">
        <v>678</v>
      </c>
      <c r="S1373" s="123">
        <f>IFERROR(INDEX(DATABASE_FG!$L$5:$L$367, MATCH(E1373, DATABASE_FG!$C$5:$C$367, 0)), " ")</f>
        <v>56</v>
      </c>
      <c r="T1373" s="36" t="s">
        <v>677</v>
      </c>
      <c r="U1373" s="36"/>
      <c r="V1373" s="36"/>
      <c r="W1373" s="129"/>
      <c r="X1373" s="36"/>
      <c r="Y1373" s="36"/>
      <c r="Z1373" s="36"/>
      <c r="AA1373" s="125" t="s">
        <v>121</v>
      </c>
      <c r="AB1373" s="173">
        <v>45924</v>
      </c>
      <c r="AC1373" s="119">
        <v>251160</v>
      </c>
      <c r="AD1373" s="36">
        <f t="shared" si="156"/>
        <v>5500511016</v>
      </c>
      <c r="AE1373" s="36" t="str">
        <f t="shared" si="157"/>
        <v>R900305231</v>
      </c>
      <c r="AF1373" s="36">
        <v>74</v>
      </c>
      <c r="AG1373" s="120">
        <f t="shared" si="158"/>
        <v>1649.46</v>
      </c>
      <c r="AH1373" s="36"/>
      <c r="AI1373" s="124"/>
      <c r="AJ1373" s="122" t="s">
        <v>3513</v>
      </c>
      <c r="AK1373" s="129" t="str">
        <f t="shared" ca="1" si="159"/>
        <v>Late</v>
      </c>
      <c r="AL1373" s="268" t="str">
        <f t="shared" si="160"/>
        <v>August</v>
      </c>
      <c r="AM1373" s="133">
        <f>YEAR(Table1[[#This Row],[ETA
As requested
dd.mm.yyyy]])</f>
        <v>2025</v>
      </c>
    </row>
    <row r="1374" spans="1:40" hidden="1">
      <c r="A1374" s="123" t="s">
        <v>27</v>
      </c>
      <c r="B1374" s="36" t="s">
        <v>2464</v>
      </c>
      <c r="C1374" s="117">
        <v>5500511016</v>
      </c>
      <c r="D1374" s="165">
        <v>45467</v>
      </c>
      <c r="E1374" s="117" t="s">
        <v>34</v>
      </c>
      <c r="F1374" s="36" t="str">
        <f>IFERROR(VLOOKUP(Table1[[#This Row],[Part Number]],DATABASE_FG!$C$6:D11363,2,FALSE)," ")</f>
        <v>HOUSING            DBD.10P1X/</v>
      </c>
      <c r="G1374" s="117" t="str">
        <f>IFERROR(_xlfn.XLOOKUP(Table1[[#This Row],[Part Number]],Table3[Part number],Table3[Drawing
 Revision]),"")</f>
        <v>AH</v>
      </c>
      <c r="H1374" s="118" cm="1">
        <f t="array" ref="H1374">IFERROR(INDEX(PDB!$C:$AT,MATCH(E1374,PDB!$B:$B,0),MATCH(YEAR(K1374),0+PDB!$C$1:$AT$1,0)),"")</f>
        <v>22.29</v>
      </c>
      <c r="I1374" s="36">
        <v>22</v>
      </c>
      <c r="J1374" s="125">
        <f>IFERROR(Table1[[#This Row],[Quantity]]*Table1[[#This Row],[Price/Unit
EUR]]," ")</f>
        <v>490.38</v>
      </c>
      <c r="K1374" s="126">
        <v>45870</v>
      </c>
      <c r="L1374" s="36">
        <f>WEEKNUM(Table1[[#This Row],[ETA
As requested
dd.mm.yyyy]])</f>
        <v>31</v>
      </c>
      <c r="M1374" s="36">
        <f>YEAR(Table1[[#This Row],[ETA
As requested
dd.mm.yyyy]])</f>
        <v>2025</v>
      </c>
      <c r="N1374" s="36">
        <f>IFERROR(INDEX(DATABASE_FG!$H$5:$H$367, MATCH(E1374, DATABASE_FG!$C$5:$C$367, 0)), " ")</f>
        <v>51</v>
      </c>
      <c r="O1374" s="129" t="str">
        <f>IF(E1374&lt;&gt;"", _xlfn.XLOOKUP(E1374, DATABASE_FG!C:C, DATABASE_FG!F:F), " ")</f>
        <v>DBD.10</v>
      </c>
      <c r="P1374" s="129">
        <f>IFERROR(INDEX(DATABASE_FG!$G$5:$G$367, MATCH(E1374, DATABASE_FG!$C$5:$C$367, 0)), "Not Found")</f>
        <v>120</v>
      </c>
      <c r="Q1374" s="36">
        <v>60</v>
      </c>
      <c r="R1374" s="125" t="s">
        <v>678</v>
      </c>
      <c r="S1374" s="123">
        <f>Table1[[#This Row],[Quantity]]/48</f>
        <v>0.45833333333333331</v>
      </c>
      <c r="T1374" s="36"/>
      <c r="U1374" s="36"/>
      <c r="V1374" s="36"/>
      <c r="W1374" s="129"/>
      <c r="X1374" s="36"/>
      <c r="Y1374" s="36"/>
      <c r="Z1374" s="36"/>
      <c r="AA1374" s="125" t="s">
        <v>121</v>
      </c>
      <c r="AB1374" s="173">
        <v>45924</v>
      </c>
      <c r="AC1374" s="119">
        <v>251160</v>
      </c>
      <c r="AD1374" s="36">
        <f t="shared" si="156"/>
        <v>5500511016</v>
      </c>
      <c r="AE1374" s="36" t="str">
        <f t="shared" si="157"/>
        <v>R900305231</v>
      </c>
      <c r="AF1374" s="36">
        <v>22</v>
      </c>
      <c r="AG1374" s="120">
        <f t="shared" si="158"/>
        <v>490.38</v>
      </c>
      <c r="AH1374" s="36"/>
      <c r="AI1374" s="124"/>
      <c r="AJ1374" s="122" t="s">
        <v>3513</v>
      </c>
      <c r="AK1374" s="129" t="str">
        <f t="shared" ca="1" si="159"/>
        <v>Late</v>
      </c>
      <c r="AL1374" s="268" t="str">
        <f t="shared" si="160"/>
        <v>August</v>
      </c>
      <c r="AM1374" s="133">
        <f>YEAR(Table1[[#This Row],[ETA
As requested
dd.mm.yyyy]])</f>
        <v>2025</v>
      </c>
      <c r="AN1374" s="191"/>
    </row>
    <row r="1375" spans="1:40" hidden="1">
      <c r="A1375" s="123" t="s">
        <v>27</v>
      </c>
      <c r="B1375" s="36" t="s">
        <v>2464</v>
      </c>
      <c r="C1375" s="117">
        <v>5500511016</v>
      </c>
      <c r="D1375" s="165">
        <v>45467</v>
      </c>
      <c r="E1375" s="117" t="s">
        <v>34</v>
      </c>
      <c r="F1375" s="36" t="str">
        <f>IFERROR(VLOOKUP(Table1[[#This Row],[Part Number]],DATABASE_FG!$C$6:D11364,2,FALSE)," ")</f>
        <v>HOUSING            DBD.10P1X/</v>
      </c>
      <c r="G1375" s="117" t="str">
        <f>IFERROR(_xlfn.XLOOKUP(Table1[[#This Row],[Part Number]],Table3[Part number],Table3[Drawing
 Revision]),"")</f>
        <v>AH</v>
      </c>
      <c r="H1375" s="118" cm="1">
        <f t="array" ref="H1375">IFERROR(INDEX(PDB!$C:$AT,MATCH(E1375,PDB!$B:$B,0),MATCH(YEAR(K1375),0+PDB!$C$1:$AT$1,0)),"")</f>
        <v>22.29</v>
      </c>
      <c r="I1375" s="36">
        <v>54</v>
      </c>
      <c r="J1375" s="125">
        <v>490.38</v>
      </c>
      <c r="K1375" s="126">
        <v>45870</v>
      </c>
      <c r="L1375" s="36">
        <f>WEEKNUM(Table1[[#This Row],[ETA
As requested
dd.mm.yyyy]])</f>
        <v>31</v>
      </c>
      <c r="M1375" s="36">
        <v>2025</v>
      </c>
      <c r="N1375" s="36">
        <v>51</v>
      </c>
      <c r="O1375" s="129" t="s">
        <v>32</v>
      </c>
      <c r="P1375" s="129">
        <v>120</v>
      </c>
      <c r="Q1375" s="36">
        <v>60</v>
      </c>
      <c r="R1375" s="125" t="s">
        <v>678</v>
      </c>
      <c r="S1375" s="123" t="s">
        <v>121</v>
      </c>
      <c r="T1375" s="36">
        <v>45924</v>
      </c>
      <c r="U1375" s="36">
        <v>251160</v>
      </c>
      <c r="V1375" s="36">
        <v>5500511016</v>
      </c>
      <c r="W1375" s="129" t="s">
        <v>34</v>
      </c>
      <c r="X1375" s="36">
        <v>22</v>
      </c>
      <c r="Y1375" s="36">
        <v>490.38</v>
      </c>
      <c r="Z1375" s="36"/>
      <c r="AA1375" s="125" t="s">
        <v>121</v>
      </c>
      <c r="AB1375" s="173">
        <v>45924</v>
      </c>
      <c r="AC1375" s="119">
        <v>251160</v>
      </c>
      <c r="AD1375" s="36">
        <f t="shared" si="156"/>
        <v>5500511016</v>
      </c>
      <c r="AE1375" s="36" t="str">
        <f t="shared" si="157"/>
        <v>R900305231</v>
      </c>
      <c r="AF1375" s="36">
        <v>54</v>
      </c>
      <c r="AG1375" s="120">
        <f t="shared" si="158"/>
        <v>1203.6599999999999</v>
      </c>
      <c r="AH1375" s="36"/>
      <c r="AI1375" s="124"/>
      <c r="AJ1375" s="122" t="s">
        <v>3513</v>
      </c>
      <c r="AK1375" s="129" t="str">
        <f t="shared" ca="1" si="159"/>
        <v>Late</v>
      </c>
      <c r="AL1375" s="268" t="str">
        <f t="shared" si="160"/>
        <v>August</v>
      </c>
      <c r="AM1375" s="133">
        <f>YEAR(Table1[[#This Row],[ETA
As requested
dd.mm.yyyy]])</f>
        <v>2025</v>
      </c>
      <c r="AN1375" s="191"/>
    </row>
    <row r="1376" spans="1:40" hidden="1">
      <c r="A1376" s="123" t="s">
        <v>27</v>
      </c>
      <c r="B1376" s="36" t="s">
        <v>1170</v>
      </c>
      <c r="C1376" s="117">
        <v>5500511016</v>
      </c>
      <c r="D1376" s="165">
        <v>45467</v>
      </c>
      <c r="E1376" s="117" t="s">
        <v>34</v>
      </c>
      <c r="F1376" s="36" t="str">
        <f>IFERROR(VLOOKUP(Table1[[#This Row],[Part Number]],DATABASE_FG!$C$6:D11365,2,FALSE)," ")</f>
        <v>HOUSING            DBD.10P1X/</v>
      </c>
      <c r="G1376" s="117" t="str">
        <f>IFERROR(_xlfn.XLOOKUP(Table1[[#This Row],[Part Number]],Table3[Part number],Table3[Drawing
 Revision]),"")</f>
        <v>AH</v>
      </c>
      <c r="H1376" s="118" cm="1">
        <f t="array" ref="H1376">IFERROR(INDEX(PDB!$C:$AT,MATCH(E1376,PDB!$B:$B,0),MATCH(YEAR(K1376),0+PDB!$C$1:$AT$1,0)),"")</f>
        <v>22.29</v>
      </c>
      <c r="I1376" s="36">
        <v>12</v>
      </c>
      <c r="J1376" s="125">
        <f>IFERROR(Table1[[#This Row],[Quantity]]*Table1[[#This Row],[Price/Unit
EUR]]," ")</f>
        <v>267.48</v>
      </c>
      <c r="K1376" s="126">
        <v>45896</v>
      </c>
      <c r="L1376" s="36">
        <f>WEEKNUM(Table1[[#This Row],[ETA
As requested
dd.mm.yyyy]])</f>
        <v>35</v>
      </c>
      <c r="M1376" s="36">
        <f>YEAR(Table1[[#This Row],[ETA
As requested
dd.mm.yyyy]])</f>
        <v>2025</v>
      </c>
      <c r="N1376" s="36">
        <f>IFERROR(INDEX(DATABASE_FG!$H$5:$H$367, MATCH(E1376, DATABASE_FG!$C$5:$C$367, 0)), " ")</f>
        <v>51</v>
      </c>
      <c r="O1376" s="129" t="str">
        <f>IF(E1376&lt;&gt;"", _xlfn.XLOOKUP(E1376, DATABASE_FG!C:C, DATABASE_FG!F:F), " ")</f>
        <v>DBD.10</v>
      </c>
      <c r="P1376" s="129">
        <f>IFERROR(INDEX(DATABASE_FG!$G$5:$G$367, MATCH(E1376, DATABASE_FG!$C$5:$C$367, 0)), "Not Found")</f>
        <v>120</v>
      </c>
      <c r="Q1376" s="36">
        <v>60</v>
      </c>
      <c r="R1376" s="125" t="s">
        <v>678</v>
      </c>
      <c r="S1376" s="123">
        <f>IFERROR(INDEX(DATABASE_FG!$L$5:$L$367, MATCH(E1376, DATABASE_FG!$C$5:$C$367, 0)), " ")</f>
        <v>56</v>
      </c>
      <c r="T1376" s="36" t="s">
        <v>677</v>
      </c>
      <c r="U1376" s="36"/>
      <c r="V1376" s="36"/>
      <c r="W1376" s="129"/>
      <c r="X1376" s="36"/>
      <c r="Y1376" s="36"/>
      <c r="Z1376" s="194"/>
      <c r="AA1376" s="198" t="s">
        <v>121</v>
      </c>
      <c r="AB1376" s="173">
        <v>45895</v>
      </c>
      <c r="AC1376" s="119">
        <v>251138</v>
      </c>
      <c r="AD1376" s="194">
        <f t="shared" si="156"/>
        <v>5500511016</v>
      </c>
      <c r="AE1376" s="194" t="str">
        <f t="shared" si="157"/>
        <v>R900305231</v>
      </c>
      <c r="AF1376" s="194">
        <v>12</v>
      </c>
      <c r="AG1376" s="120">
        <f t="shared" si="158"/>
        <v>267.48</v>
      </c>
      <c r="AH1376" s="194"/>
      <c r="AI1376" s="202"/>
      <c r="AJ1376" s="122" t="s">
        <v>3456</v>
      </c>
      <c r="AK1376" s="129" t="str">
        <f t="shared" ca="1" si="159"/>
        <v>On Time</v>
      </c>
      <c r="AL1376" s="268" t="str">
        <f t="shared" si="160"/>
        <v>August</v>
      </c>
      <c r="AM1376" s="133">
        <f>YEAR(Table1[[#This Row],[ETA
As requested
dd.mm.yyyy]])</f>
        <v>2025</v>
      </c>
    </row>
    <row r="1377" spans="1:40" hidden="1">
      <c r="A1377" s="123" t="s">
        <v>27</v>
      </c>
      <c r="B1377" s="36" t="s">
        <v>1170</v>
      </c>
      <c r="C1377" s="117">
        <v>5500511016</v>
      </c>
      <c r="D1377" s="165">
        <v>45467</v>
      </c>
      <c r="E1377" s="117" t="s">
        <v>34</v>
      </c>
      <c r="F1377" s="36" t="str">
        <f>IFERROR(VLOOKUP(Table1[[#This Row],[Part Number]],DATABASE_FG!$C$6:D11366,2,FALSE)," ")</f>
        <v>HOUSING            DBD.10P1X/</v>
      </c>
      <c r="G1377" s="117" t="str">
        <f>IFERROR(_xlfn.XLOOKUP(Table1[[#This Row],[Part Number]],Table3[Part number],Table3[Drawing
 Revision]),"")</f>
        <v>AH</v>
      </c>
      <c r="H1377" s="118" cm="1">
        <f t="array" ref="H1377">IFERROR(INDEX(PDB!$C:$AT,MATCH(E1377,PDB!$B:$B,0),MATCH(YEAR(K1377),0+PDB!$C$1:$AT$1,0)),"")</f>
        <v>22.29</v>
      </c>
      <c r="I1377" s="36">
        <v>22</v>
      </c>
      <c r="J1377" s="125">
        <f>IFERROR(Table1[[#This Row],[Quantity]]*Table1[[#This Row],[Price/Unit
EUR]]," ")</f>
        <v>490.38</v>
      </c>
      <c r="K1377" s="126">
        <v>45896</v>
      </c>
      <c r="L1377" s="36">
        <f>WEEKNUM(Table1[[#This Row],[ETA
As requested
dd.mm.yyyy]])</f>
        <v>35</v>
      </c>
      <c r="M1377" s="36">
        <f>YEAR(Table1[[#This Row],[ETA
As requested
dd.mm.yyyy]])</f>
        <v>2025</v>
      </c>
      <c r="N1377" s="36">
        <f>IFERROR(INDEX(DATABASE_FG!$H$5:$H$367, MATCH(E1377, DATABASE_FG!$C$5:$C$367, 0)), " ")</f>
        <v>51</v>
      </c>
      <c r="O1377" s="129" t="str">
        <f>IF(E1377&lt;&gt;"", _xlfn.XLOOKUP(E1377, DATABASE_FG!C:C, DATABASE_FG!F:F), " ")</f>
        <v>DBD.10</v>
      </c>
      <c r="P1377" s="129">
        <f>IFERROR(INDEX(DATABASE_FG!$G$5:$G$367, MATCH(E1377, DATABASE_FG!$C$5:$C$367, 0)), "Not Found")</f>
        <v>120</v>
      </c>
      <c r="Q1377" s="36">
        <v>60</v>
      </c>
      <c r="R1377" s="125" t="s">
        <v>678</v>
      </c>
      <c r="S1377" s="123">
        <f>IFERROR(INDEX(DATABASE_FG!$L$5:$L$367, MATCH(E1377, DATABASE_FG!$C$5:$C$367, 0)), " ")</f>
        <v>56</v>
      </c>
      <c r="T1377" s="36" t="s">
        <v>677</v>
      </c>
      <c r="U1377" s="36"/>
      <c r="V1377" s="36"/>
      <c r="W1377" s="129"/>
      <c r="X1377" s="36"/>
      <c r="Y1377" s="36"/>
      <c r="Z1377" s="36"/>
      <c r="AA1377" s="198" t="s">
        <v>121</v>
      </c>
      <c r="AB1377" s="173">
        <v>45915</v>
      </c>
      <c r="AC1377" s="119">
        <v>251152</v>
      </c>
      <c r="AD1377" s="194">
        <f t="shared" si="156"/>
        <v>5500511016</v>
      </c>
      <c r="AE1377" s="194" t="str">
        <f t="shared" si="157"/>
        <v>R900305231</v>
      </c>
      <c r="AF1377" s="194">
        <v>22</v>
      </c>
      <c r="AG1377" s="120">
        <f t="shared" si="158"/>
        <v>490.38</v>
      </c>
      <c r="AH1377" s="194"/>
      <c r="AI1377" s="202"/>
      <c r="AJ1377" s="122" t="s">
        <v>3626</v>
      </c>
      <c r="AK1377" s="129" t="str">
        <f t="shared" ca="1" si="159"/>
        <v>Late</v>
      </c>
      <c r="AL1377" s="268" t="str">
        <f t="shared" si="160"/>
        <v>August</v>
      </c>
      <c r="AM1377" s="133">
        <f>YEAR(Table1[[#This Row],[ETA
As requested
dd.mm.yyyy]])</f>
        <v>2025</v>
      </c>
    </row>
    <row r="1378" spans="1:40" hidden="1">
      <c r="A1378" s="123" t="s">
        <v>27</v>
      </c>
      <c r="B1378" s="36" t="s">
        <v>2464</v>
      </c>
      <c r="C1378" s="117">
        <v>5500511016</v>
      </c>
      <c r="D1378" s="165">
        <v>45467</v>
      </c>
      <c r="E1378" s="117" t="s">
        <v>34</v>
      </c>
      <c r="F1378" s="36" t="str">
        <f>IFERROR(VLOOKUP(Table1[[#This Row],[Part Number]],DATABASE_FG!$C$6:D11367,2,FALSE)," ")</f>
        <v>HOUSING            DBD.10P1X/</v>
      </c>
      <c r="G1378" s="117" t="str">
        <f>IFERROR(_xlfn.XLOOKUP(Table1[[#This Row],[Part Number]],Table3[Part number],Table3[Drawing
 Revision]),"")</f>
        <v>AH</v>
      </c>
      <c r="H1378" s="118" cm="1">
        <f t="array" ref="H1378">IFERROR(INDEX(PDB!$C:$AT,MATCH(E1378,PDB!$B:$B,0),MATCH(YEAR(K1378),0+PDB!$C$1:$AT$1,0)),"")</f>
        <v>22.29</v>
      </c>
      <c r="I1378" s="36">
        <v>25</v>
      </c>
      <c r="J1378" s="125">
        <f>IFERROR(Table1[[#This Row],[Quantity]]*Table1[[#This Row],[Price/Unit
EUR]]," ")</f>
        <v>557.25</v>
      </c>
      <c r="K1378" s="126">
        <v>45903</v>
      </c>
      <c r="L1378" s="36">
        <f>WEEKNUM(Table1[[#This Row],[ETA
As requested
dd.mm.yyyy]])</f>
        <v>36</v>
      </c>
      <c r="M1378" s="36">
        <f>YEAR(Table1[[#This Row],[ETA
As requested
dd.mm.yyyy]])</f>
        <v>2025</v>
      </c>
      <c r="N1378" s="36">
        <f>IFERROR(INDEX(DATABASE_FG!$H$5:$H$367, MATCH(E1378, DATABASE_FG!$C$5:$C$367, 0)), " ")</f>
        <v>51</v>
      </c>
      <c r="O1378" s="129" t="str">
        <f>IF(E1378&lt;&gt;"", _xlfn.XLOOKUP(E1378, DATABASE_FG!C:C, DATABASE_FG!F:F), " ")</f>
        <v>DBD.10</v>
      </c>
      <c r="P1378" s="129">
        <f>IFERROR(INDEX(DATABASE_FG!$G$5:$G$367, MATCH(E1378, DATABASE_FG!$C$5:$C$367, 0)), "Not Found")</f>
        <v>120</v>
      </c>
      <c r="Q1378" s="36">
        <v>60</v>
      </c>
      <c r="R1378" s="125" t="s">
        <v>678</v>
      </c>
      <c r="S1378" s="123">
        <f>Table1[[#This Row],[Quantity]]/48</f>
        <v>0.52083333333333337</v>
      </c>
      <c r="T1378" s="36"/>
      <c r="U1378" s="36"/>
      <c r="V1378" s="36"/>
      <c r="W1378" s="129"/>
      <c r="X1378" s="36"/>
      <c r="Y1378" s="36"/>
      <c r="Z1378" s="36"/>
      <c r="AA1378" s="125" t="s">
        <v>121</v>
      </c>
      <c r="AB1378" s="173">
        <v>45930</v>
      </c>
      <c r="AC1378" s="119">
        <v>251167</v>
      </c>
      <c r="AD1378" s="36">
        <f t="shared" si="156"/>
        <v>5500511016</v>
      </c>
      <c r="AE1378" s="36" t="str">
        <f t="shared" si="157"/>
        <v>R900305231</v>
      </c>
      <c r="AF1378" s="36">
        <v>25</v>
      </c>
      <c r="AG1378" s="120">
        <f t="shared" si="158"/>
        <v>557.25</v>
      </c>
      <c r="AH1378" s="36"/>
      <c r="AI1378" s="124"/>
      <c r="AJ1378" s="122" t="s">
        <v>3662</v>
      </c>
      <c r="AK1378" s="129" t="str">
        <f t="shared" ca="1" si="159"/>
        <v>Late</v>
      </c>
      <c r="AL1378" s="268" t="str">
        <f t="shared" si="160"/>
        <v>September</v>
      </c>
      <c r="AM1378" s="133">
        <f>YEAR(Table1[[#This Row],[ETA
As requested
dd.mm.yyyy]])</f>
        <v>2025</v>
      </c>
      <c r="AN1378" s="191"/>
    </row>
    <row r="1379" spans="1:40" hidden="1">
      <c r="A1379" s="123" t="s">
        <v>27</v>
      </c>
      <c r="B1379" s="36" t="s">
        <v>2464</v>
      </c>
      <c r="C1379" s="117">
        <v>5500511016</v>
      </c>
      <c r="D1379" s="165">
        <v>45467</v>
      </c>
      <c r="E1379" s="117" t="s">
        <v>34</v>
      </c>
      <c r="F1379" s="36" t="str">
        <f>IFERROR(VLOOKUP(Table1[[#This Row],[Part Number]],DATABASE_FG!$C$6:D11368,2,FALSE)," ")</f>
        <v>HOUSING            DBD.10P1X/</v>
      </c>
      <c r="G1379" s="117" t="str">
        <f>IFERROR(_xlfn.XLOOKUP(Table1[[#This Row],[Part Number]],Table3[Part number],Table3[Drawing
 Revision]),"")</f>
        <v>AH</v>
      </c>
      <c r="H1379" s="118" cm="1">
        <f t="array" ref="H1379">IFERROR(INDEX(PDB!$C:$AT,MATCH(E1379,PDB!$B:$B,0),MATCH(YEAR(K1379),0+PDB!$C$1:$AT$1,0)),"")</f>
        <v>22.29</v>
      </c>
      <c r="I1379" s="36">
        <f>96-25</f>
        <v>71</v>
      </c>
      <c r="J1379" s="125">
        <f>IFERROR(Table1[[#This Row],[Quantity]]*Table1[[#This Row],[Price/Unit
EUR]]," ")</f>
        <v>1582.59</v>
      </c>
      <c r="K1379" s="126">
        <v>45903</v>
      </c>
      <c r="L1379" s="36">
        <f>WEEKNUM(Table1[[#This Row],[ETA
As requested
dd.mm.yyyy]])</f>
        <v>36</v>
      </c>
      <c r="M1379" s="36">
        <f>YEAR(Table1[[#This Row],[ETA
As requested
dd.mm.yyyy]])</f>
        <v>2025</v>
      </c>
      <c r="N1379" s="36">
        <f>IFERROR(INDEX(DATABASE_FG!$H$5:$H$367, MATCH(E1379, DATABASE_FG!$C$5:$C$367, 0)), " ")</f>
        <v>51</v>
      </c>
      <c r="O1379" s="129" t="str">
        <f>IF(E1379&lt;&gt;"", _xlfn.XLOOKUP(E1379, DATABASE_FG!C:C, DATABASE_FG!F:F), " ")</f>
        <v>DBD.10</v>
      </c>
      <c r="P1379" s="129">
        <f>IFERROR(INDEX(DATABASE_FG!$G$5:$G$367, MATCH(E1379, DATABASE_FG!$C$5:$C$367, 0)), "Not Found")</f>
        <v>120</v>
      </c>
      <c r="Q1379" s="36">
        <v>60</v>
      </c>
      <c r="R1379" s="125" t="s">
        <v>678</v>
      </c>
      <c r="S1379" s="123">
        <f>IFERROR(INDEX(DATABASE_FG!$L$5:$L$367, MATCH(E1379, DATABASE_FG!$C$5:$C$367, 0)), " ")</f>
        <v>56</v>
      </c>
      <c r="T1379" s="36" t="s">
        <v>677</v>
      </c>
      <c r="U1379" s="36"/>
      <c r="V1379" s="36"/>
      <c r="W1379" s="129"/>
      <c r="X1379" s="36"/>
      <c r="Y1379" s="36"/>
      <c r="Z1379" s="36"/>
      <c r="AA1379" s="125" t="s">
        <v>121</v>
      </c>
      <c r="AB1379" s="126">
        <v>45950</v>
      </c>
      <c r="AC1379" s="119">
        <v>251199</v>
      </c>
      <c r="AD1379" s="36">
        <f t="shared" si="156"/>
        <v>5500511016</v>
      </c>
      <c r="AE1379" s="36" t="str">
        <f t="shared" si="157"/>
        <v>R900305231</v>
      </c>
      <c r="AF1379" s="36">
        <v>71</v>
      </c>
      <c r="AG1379" s="120">
        <f t="shared" si="158"/>
        <v>1582.59</v>
      </c>
      <c r="AH1379" s="36"/>
      <c r="AI1379" s="124"/>
      <c r="AJ1379" s="122" t="s">
        <v>4396</v>
      </c>
      <c r="AK1379" s="129" t="str">
        <f t="shared" ca="1" si="159"/>
        <v>Late</v>
      </c>
      <c r="AL1379" s="268" t="str">
        <f t="shared" si="160"/>
        <v>September</v>
      </c>
      <c r="AM1379" s="133">
        <f>YEAR(Table1[[#This Row],[ETA
As requested
dd.mm.yyyy]])</f>
        <v>2025</v>
      </c>
    </row>
    <row r="1380" spans="1:40" hidden="1">
      <c r="A1380" s="123" t="s">
        <v>27</v>
      </c>
      <c r="B1380" s="36" t="s">
        <v>2464</v>
      </c>
      <c r="C1380" s="117">
        <v>5500511016</v>
      </c>
      <c r="D1380" s="165">
        <v>45467</v>
      </c>
      <c r="E1380" s="117" t="s">
        <v>34</v>
      </c>
      <c r="F1380" s="36" t="str">
        <f>IFERROR(VLOOKUP(Table1[[#This Row],[Part Number]],DATABASE_FG!$C$6:D11369,2,FALSE)," ")</f>
        <v>HOUSING            DBD.10P1X/</v>
      </c>
      <c r="G1380" s="117" t="str">
        <f>IFERROR(_xlfn.XLOOKUP(Table1[[#This Row],[Part Number]],Table3[Part number],Table3[Drawing
 Revision]),"")</f>
        <v>AH</v>
      </c>
      <c r="H1380" s="118" cm="1">
        <f t="array" ref="H1380">IFERROR(INDEX(PDB!$C:$AT,MATCH(E1380,PDB!$B:$B,0),MATCH(YEAR(K1380),0+PDB!$C$1:$AT$1,0)),"")</f>
        <v>22.29</v>
      </c>
      <c r="I1380" s="36">
        <v>96</v>
      </c>
      <c r="J1380" s="125">
        <f>IFERROR(Table1[[#This Row],[Quantity]]*Table1[[#This Row],[Price/Unit
EUR]]," ")</f>
        <v>2139.84</v>
      </c>
      <c r="K1380" s="126">
        <v>45943</v>
      </c>
      <c r="L1380" s="36">
        <f>WEEKNUM(Table1[[#This Row],[ETA
As requested
dd.mm.yyyy]])</f>
        <v>42</v>
      </c>
      <c r="M1380" s="36">
        <f>YEAR(Table1[[#This Row],[ETA
As requested
dd.mm.yyyy]])</f>
        <v>2025</v>
      </c>
      <c r="N1380" s="36">
        <f>IFERROR(INDEX(DATABASE_FG!$H$5:$H$367, MATCH(E1380, DATABASE_FG!$C$5:$C$367, 0)), " ")</f>
        <v>51</v>
      </c>
      <c r="O1380" s="129" t="str">
        <f>IF(E1380&lt;&gt;"", _xlfn.XLOOKUP(E1380, DATABASE_FG!C:C, DATABASE_FG!F:F), " ")</f>
        <v>DBD.10</v>
      </c>
      <c r="P1380" s="129">
        <f>IFERROR(INDEX(DATABASE_FG!$G$5:$G$367, MATCH(E1380, DATABASE_FG!$C$5:$C$367, 0)), "Not Found")</f>
        <v>120</v>
      </c>
      <c r="Q1380" s="36">
        <v>60</v>
      </c>
      <c r="R1380" s="125" t="s">
        <v>678</v>
      </c>
      <c r="S1380" s="123">
        <f>IFERROR(INDEX(DATABASE_FG!$L$5:$L$367, MATCH(E1380, DATABASE_FG!$C$5:$C$367, 0)), " ")</f>
        <v>56</v>
      </c>
      <c r="T1380" s="36" t="s">
        <v>677</v>
      </c>
      <c r="U1380" s="36"/>
      <c r="V1380" s="36"/>
      <c r="W1380" s="129"/>
      <c r="X1380" s="36"/>
      <c r="Y1380" s="36"/>
      <c r="Z1380" s="36"/>
      <c r="AA1380" s="125" t="s">
        <v>121</v>
      </c>
      <c r="AB1380" s="126">
        <v>45950</v>
      </c>
      <c r="AC1380" s="119">
        <v>251199</v>
      </c>
      <c r="AD1380" s="36">
        <f t="shared" si="156"/>
        <v>5500511016</v>
      </c>
      <c r="AE1380" s="36" t="str">
        <f t="shared" si="157"/>
        <v>R900305231</v>
      </c>
      <c r="AF1380" s="36">
        <v>96</v>
      </c>
      <c r="AG1380" s="120">
        <f t="shared" si="158"/>
        <v>2139.84</v>
      </c>
      <c r="AH1380" s="36"/>
      <c r="AI1380" s="124"/>
      <c r="AJ1380" s="122" t="s">
        <v>4396</v>
      </c>
      <c r="AK1380" s="129" t="str">
        <f t="shared" ca="1" si="159"/>
        <v>Late</v>
      </c>
      <c r="AL1380" s="268" t="str">
        <f t="shared" si="160"/>
        <v>October</v>
      </c>
      <c r="AM1380" s="133">
        <f>YEAR(Table1[[#This Row],[ETA
As requested
dd.mm.yyyy]])</f>
        <v>2025</v>
      </c>
    </row>
    <row r="1381" spans="1:40" hidden="1">
      <c r="A1381" s="123" t="s">
        <v>27</v>
      </c>
      <c r="B1381" s="36" t="s">
        <v>2464</v>
      </c>
      <c r="C1381" s="117">
        <v>5500511016</v>
      </c>
      <c r="D1381" s="165">
        <v>45467</v>
      </c>
      <c r="E1381" s="117" t="s">
        <v>34</v>
      </c>
      <c r="F1381" s="36" t="str">
        <f>IFERROR(VLOOKUP(Table1[[#This Row],[Part Number]],DATABASE_FG!$C$6:D11370,2,FALSE)," ")</f>
        <v>HOUSING            DBD.10P1X/</v>
      </c>
      <c r="G1381" s="117" t="str">
        <f>IFERROR(_xlfn.XLOOKUP(Table1[[#This Row],[Part Number]],Table3[Part number],Table3[Drawing
 Revision]),"")</f>
        <v>AH</v>
      </c>
      <c r="H1381" s="118" cm="1">
        <f t="array" ref="H1381">IFERROR(INDEX(PDB!$C:$AT,MATCH(E1381,PDB!$B:$B,0),MATCH(YEAR(K1381),0+PDB!$C$1:$AT$1,0)),"")</f>
        <v>22.29</v>
      </c>
      <c r="I1381" s="36">
        <v>31</v>
      </c>
      <c r="J1381" s="125">
        <f>IFERROR(Table1[[#This Row],[Quantity]]*Table1[[#This Row],[Price/Unit
EUR]]," ")</f>
        <v>690.99</v>
      </c>
      <c r="K1381" s="126">
        <v>45964</v>
      </c>
      <c r="L1381" s="36">
        <f>WEEKNUM(Table1[[#This Row],[ETA
As requested
dd.mm.yyyy]])</f>
        <v>45</v>
      </c>
      <c r="M1381" s="36">
        <f>YEAR(Table1[[#This Row],[ETA
As requested
dd.mm.yyyy]])</f>
        <v>2025</v>
      </c>
      <c r="N1381" s="36">
        <f>IFERROR(INDEX(DATABASE_FG!$H$5:$H$367, MATCH(E1381, DATABASE_FG!$C$5:$C$367, 0)), " ")</f>
        <v>51</v>
      </c>
      <c r="O1381" s="129" t="str">
        <f>IF(E1381&lt;&gt;"", _xlfn.XLOOKUP(E1381, DATABASE_FG!C:C, DATABASE_FG!F:F), " ")</f>
        <v>DBD.10</v>
      </c>
      <c r="P1381" s="129">
        <f>IFERROR(INDEX(DATABASE_FG!$G$5:$G$367, MATCH(E1381, DATABASE_FG!$C$5:$C$367, 0)), "Not Found")</f>
        <v>120</v>
      </c>
      <c r="Q1381" s="36">
        <v>60</v>
      </c>
      <c r="R1381" s="125" t="s">
        <v>678</v>
      </c>
      <c r="S1381" s="123">
        <f>Table1[[#This Row],[Quantity]]/48</f>
        <v>0.64583333333333337</v>
      </c>
      <c r="T1381" s="36"/>
      <c r="U1381" s="36"/>
      <c r="V1381" s="36"/>
      <c r="W1381" s="129"/>
      <c r="X1381" s="36"/>
      <c r="Y1381" s="36"/>
      <c r="Z1381" s="36"/>
      <c r="AA1381" s="125" t="s">
        <v>121</v>
      </c>
      <c r="AB1381" s="126">
        <v>45950</v>
      </c>
      <c r="AC1381" s="119">
        <v>251199</v>
      </c>
      <c r="AD1381" s="36">
        <f t="shared" si="156"/>
        <v>5500511016</v>
      </c>
      <c r="AE1381" s="36" t="str">
        <f t="shared" si="157"/>
        <v>R900305231</v>
      </c>
      <c r="AF1381" s="36">
        <v>31</v>
      </c>
      <c r="AG1381" s="120">
        <f t="shared" si="158"/>
        <v>690.99</v>
      </c>
      <c r="AH1381" s="36"/>
      <c r="AI1381" s="124"/>
      <c r="AJ1381" s="122" t="s">
        <v>4396</v>
      </c>
      <c r="AK1381" s="129" t="str">
        <f t="shared" ca="1" si="159"/>
        <v>On Time</v>
      </c>
      <c r="AL1381" s="268" t="str">
        <f t="shared" si="160"/>
        <v>November</v>
      </c>
      <c r="AM1381" s="133">
        <f>YEAR(Table1[[#This Row],[ETA
As requested
dd.mm.yyyy]])</f>
        <v>2025</v>
      </c>
      <c r="AN1381" s="191"/>
    </row>
    <row r="1382" spans="1:40" hidden="1">
      <c r="A1382" s="123" t="s">
        <v>27</v>
      </c>
      <c r="B1382" s="36" t="s">
        <v>2464</v>
      </c>
      <c r="C1382" s="117">
        <v>5500511016</v>
      </c>
      <c r="D1382" s="165">
        <v>45467</v>
      </c>
      <c r="E1382" s="117" t="s">
        <v>34</v>
      </c>
      <c r="F1382" s="36" t="str">
        <f>IFERROR(VLOOKUP(Table1[[#This Row],[Part Number]],DATABASE_FG!$C$6:D11371,2,FALSE)," ")</f>
        <v>HOUSING            DBD.10P1X/</v>
      </c>
      <c r="G1382" s="117" t="str">
        <f>IFERROR(_xlfn.XLOOKUP(Table1[[#This Row],[Part Number]],Table3[Part number],Table3[Drawing
 Revision]),"")</f>
        <v>AH</v>
      </c>
      <c r="H1382" s="118" cm="1">
        <f t="array" ref="H1382">IFERROR(INDEX(PDB!$C:$AT,MATCH(E1382,PDB!$B:$B,0),MATCH(YEAR(K1382),0+PDB!$C$1:$AT$1,0)),"")</f>
        <v>22.29</v>
      </c>
      <c r="I1382" s="36">
        <f>96-33</f>
        <v>63</v>
      </c>
      <c r="J1382" s="125">
        <f>IFERROR(Table1[[#This Row],[Quantity]]*Table1[[#This Row],[Price/Unit
EUR]]," ")</f>
        <v>1404.27</v>
      </c>
      <c r="K1382" s="126">
        <v>45978</v>
      </c>
      <c r="L1382" s="36">
        <f>WEEKNUM(Table1[[#This Row],[ETA
As requested
dd.mm.yyyy]])</f>
        <v>47</v>
      </c>
      <c r="M1382" s="36">
        <f>YEAR(Table1[[#This Row],[ETA
As requested
dd.mm.yyyy]])</f>
        <v>2025</v>
      </c>
      <c r="N1382" s="36">
        <f>IFERROR(INDEX(DATABASE_FG!$H$5:$H$367, MATCH(E1382, DATABASE_FG!$C$5:$C$367, 0)), " ")</f>
        <v>51</v>
      </c>
      <c r="O1382" s="129" t="str">
        <f>IF(E1382&lt;&gt;"", _xlfn.XLOOKUP(E1382, DATABASE_FG!C:C, DATABASE_FG!F:F), " ")</f>
        <v>DBD.10</v>
      </c>
      <c r="P1382" s="129">
        <f>IFERROR(INDEX(DATABASE_FG!$G$5:$G$367, MATCH(E1382, DATABASE_FG!$C$5:$C$367, 0)), "Not Found")</f>
        <v>120</v>
      </c>
      <c r="Q1382" s="36">
        <v>60</v>
      </c>
      <c r="R1382" s="125" t="s">
        <v>678</v>
      </c>
      <c r="S1382" s="123">
        <f>IFERROR(INDEX(DATABASE_FG!$L$5:$L$367, MATCH(E1382, DATABASE_FG!$C$5:$C$367, 0)), " ")</f>
        <v>56</v>
      </c>
      <c r="T1382" s="36" t="s">
        <v>677</v>
      </c>
      <c r="U1382" s="36"/>
      <c r="V1382" s="36"/>
      <c r="W1382" s="129"/>
      <c r="X1382" s="36"/>
      <c r="Y1382" s="36"/>
      <c r="Z1382" s="36"/>
      <c r="AA1382" s="125" t="s">
        <v>3</v>
      </c>
      <c r="AB1382" s="173"/>
      <c r="AC1382" s="119"/>
      <c r="AD1382" s="36" t="str">
        <f t="shared" si="156"/>
        <v/>
      </c>
      <c r="AE1382" s="36" t="str">
        <f t="shared" si="157"/>
        <v/>
      </c>
      <c r="AF1382" s="36"/>
      <c r="AG1382" s="120">
        <f t="shared" si="158"/>
        <v>0</v>
      </c>
      <c r="AH1382" s="36"/>
      <c r="AI1382" s="124"/>
      <c r="AJ1382" s="122"/>
      <c r="AK1382" s="129" t="str">
        <f t="shared" ca="1" si="159"/>
        <v/>
      </c>
      <c r="AL1382" s="268" t="str">
        <f t="shared" si="160"/>
        <v>November</v>
      </c>
      <c r="AM1382" s="133">
        <f>YEAR(Table1[[#This Row],[ETA
As requested
dd.mm.yyyy]])</f>
        <v>2025</v>
      </c>
    </row>
    <row r="1383" spans="1:40" ht="14.25" hidden="1" customHeight="1">
      <c r="A1383" s="123" t="s">
        <v>27</v>
      </c>
      <c r="B1383" s="36" t="s">
        <v>2464</v>
      </c>
      <c r="C1383" s="117">
        <v>5500511016</v>
      </c>
      <c r="D1383" s="165">
        <v>45467</v>
      </c>
      <c r="E1383" s="117" t="s">
        <v>34</v>
      </c>
      <c r="F1383" s="36" t="str">
        <f>IFERROR(VLOOKUP(Table1[[#This Row],[Part Number]],DATABASE_FG!$C$6:D11372,2,FALSE)," ")</f>
        <v>HOUSING            DBD.10P1X/</v>
      </c>
      <c r="G1383" s="117" t="str">
        <f>IFERROR(_xlfn.XLOOKUP(Table1[[#This Row],[Part Number]],Table3[Part number],Table3[Drawing
 Revision]),"")</f>
        <v>AH</v>
      </c>
      <c r="H1383" s="118" cm="1">
        <f t="array" ref="H1383">IFERROR(INDEX(PDB!$C:$AT,MATCH(E1383,PDB!$B:$B,0),MATCH(YEAR(K1383),0+PDB!$C$1:$AT$1,0)),"")</f>
        <v>0</v>
      </c>
      <c r="I1383" s="36">
        <v>96</v>
      </c>
      <c r="J1383" s="125">
        <f>IFERROR(Table1[[#This Row],[Quantity]]*Table1[[#This Row],[Price/Unit
EUR]]," ")</f>
        <v>0</v>
      </c>
      <c r="K1383" s="126">
        <v>46023</v>
      </c>
      <c r="L1383" s="36">
        <f>WEEKNUM(Table1[[#This Row],[ETA
As requested
dd.mm.yyyy]])</f>
        <v>1</v>
      </c>
      <c r="M1383" s="36">
        <f>YEAR(Table1[[#This Row],[ETA
As requested
dd.mm.yyyy]])</f>
        <v>2026</v>
      </c>
      <c r="N1383" s="36">
        <f>IFERROR(INDEX(DATABASE_FG!$H$5:$H$367, MATCH(E1383, DATABASE_FG!$C$5:$C$367, 0)), " ")</f>
        <v>51</v>
      </c>
      <c r="O1383" s="129" t="s">
        <v>32</v>
      </c>
      <c r="P1383" s="129">
        <f>IFERROR(INDEX(DATABASE_FG!$G$5:$G$367, MATCH(E1383, DATABASE_FG!$C$5:$C$367, 0)), "Not Found")</f>
        <v>120</v>
      </c>
      <c r="Q1383" s="36">
        <v>60</v>
      </c>
      <c r="R1383" s="125" t="s">
        <v>678</v>
      </c>
      <c r="S1383" s="123" t="s">
        <v>3</v>
      </c>
      <c r="T1383" s="36"/>
      <c r="U1383" s="36"/>
      <c r="V1383" s="36" t="s">
        <v>2720</v>
      </c>
      <c r="W1383" s="129" t="s">
        <v>2720</v>
      </c>
      <c r="X1383" s="36"/>
      <c r="Y1383" s="36">
        <v>0</v>
      </c>
      <c r="Z1383" s="36"/>
      <c r="AA1383" s="125" t="s">
        <v>3</v>
      </c>
      <c r="AB1383" s="173"/>
      <c r="AC1383" s="119" t="s">
        <v>2720</v>
      </c>
      <c r="AD1383" s="36"/>
      <c r="AE1383" s="36"/>
      <c r="AF1383" s="36"/>
      <c r="AG1383" s="120">
        <f t="shared" si="158"/>
        <v>0</v>
      </c>
      <c r="AH1383" s="36"/>
      <c r="AI1383" s="124"/>
      <c r="AJ1383" s="122"/>
      <c r="AK1383" s="129"/>
      <c r="AL1383" s="268" t="str">
        <f t="shared" ref="AL1383" si="161">TEXT(K1383,"mmmm")</f>
        <v>January</v>
      </c>
      <c r="AM1383" s="133">
        <f>YEAR(Table1[[#This Row],[ETA
As requested
dd.mm.yyyy]])</f>
        <v>2026</v>
      </c>
      <c r="AN1383" s="191"/>
    </row>
    <row r="1384" spans="1:40" ht="14.25" hidden="1" customHeight="1">
      <c r="A1384" s="123" t="s">
        <v>27</v>
      </c>
      <c r="B1384" s="36" t="s">
        <v>2464</v>
      </c>
      <c r="C1384" s="117">
        <v>5500511016</v>
      </c>
      <c r="D1384" s="165">
        <v>45467</v>
      </c>
      <c r="E1384" s="117" t="s">
        <v>34</v>
      </c>
      <c r="F1384" s="36" t="str">
        <f>IFERROR(VLOOKUP(Table1[[#This Row],[Part Number]],DATABASE_FG!$C$6:D11373,2,FALSE)," ")</f>
        <v>HOUSING            DBD.10P1X/</v>
      </c>
      <c r="G1384" s="117" t="str">
        <f>IFERROR(_xlfn.XLOOKUP(Table1[[#This Row],[Part Number]],Table3[Part number],Table3[Drawing
 Revision]),"")</f>
        <v>AH</v>
      </c>
      <c r="H1384" s="118" cm="1">
        <f t="array" ref="H1384">IFERROR(INDEX(PDB!$C:$AT,MATCH(E1384,PDB!$B:$B,0),MATCH(YEAR(K1384),0+PDB!$C$1:$AT$1,0)),"")</f>
        <v>0</v>
      </c>
      <c r="I1384" s="36">
        <v>96</v>
      </c>
      <c r="J1384" s="125">
        <f>IFERROR(Table1[[#This Row],[Quantity]]*Table1[[#This Row],[Price/Unit
EUR]]," ")</f>
        <v>0</v>
      </c>
      <c r="K1384" s="126">
        <v>46023</v>
      </c>
      <c r="L1384" s="36">
        <f>WEEKNUM(Table1[[#This Row],[ETA
As requested
dd.mm.yyyy]])</f>
        <v>1</v>
      </c>
      <c r="M1384" s="36">
        <f>YEAR(Table1[[#This Row],[ETA
As requested
dd.mm.yyyy]])</f>
        <v>2026</v>
      </c>
      <c r="N1384" s="36">
        <f>IFERROR(INDEX(DATABASE_FG!$H$5:$H$367, MATCH(E1384, DATABASE_FG!$C$5:$C$367, 0)), " ")</f>
        <v>51</v>
      </c>
      <c r="O1384" s="129" t="s">
        <v>32</v>
      </c>
      <c r="P1384" s="129">
        <f>IFERROR(INDEX(DATABASE_FG!$G$5:$G$367, MATCH(E1384, DATABASE_FG!$C$5:$C$367, 0)), "Not Found")</f>
        <v>120</v>
      </c>
      <c r="Q1384" s="36">
        <v>60</v>
      </c>
      <c r="R1384" s="125" t="s">
        <v>678</v>
      </c>
      <c r="S1384" s="123" t="s">
        <v>3</v>
      </c>
      <c r="T1384" s="36"/>
      <c r="U1384" s="36"/>
      <c r="V1384" s="36" t="s">
        <v>2720</v>
      </c>
      <c r="W1384" s="129" t="s">
        <v>2720</v>
      </c>
      <c r="X1384" s="36"/>
      <c r="Y1384" s="36">
        <v>0</v>
      </c>
      <c r="Z1384" s="36"/>
      <c r="AA1384" s="125" t="s">
        <v>3</v>
      </c>
      <c r="AB1384" s="173"/>
      <c r="AC1384" s="119" t="s">
        <v>2720</v>
      </c>
      <c r="AD1384" s="36"/>
      <c r="AE1384" s="36"/>
      <c r="AF1384" s="36"/>
      <c r="AG1384" s="120">
        <f t="shared" si="158"/>
        <v>0</v>
      </c>
      <c r="AH1384" s="36"/>
      <c r="AI1384" s="124"/>
      <c r="AJ1384" s="122"/>
      <c r="AK1384" s="129"/>
      <c r="AL1384" s="268" t="str">
        <f t="shared" ref="AL1384" si="162">TEXT(K1384,"mmmm")</f>
        <v>January</v>
      </c>
      <c r="AM1384" s="133">
        <f>YEAR(Table1[[#This Row],[ETA
As requested
dd.mm.yyyy]])</f>
        <v>2026</v>
      </c>
      <c r="AN1384" s="191"/>
    </row>
    <row r="1385" spans="1:40" hidden="1">
      <c r="A1385" s="123" t="s">
        <v>27</v>
      </c>
      <c r="B1385" s="36" t="s">
        <v>2464</v>
      </c>
      <c r="C1385" s="117">
        <v>5500511016</v>
      </c>
      <c r="D1385" s="165">
        <v>45467</v>
      </c>
      <c r="E1385" s="117" t="s">
        <v>34</v>
      </c>
      <c r="F1385" s="36" t="str">
        <f>IFERROR(VLOOKUP(Table1[[#This Row],[Part Number]],DATABASE_FG!$C$6:D11374,2,FALSE)," ")</f>
        <v>HOUSING            DBD.10P1X/</v>
      </c>
      <c r="G1385" s="117" t="str">
        <f>IFERROR(_xlfn.XLOOKUP(Table1[[#This Row],[Part Number]],Table3[Part number],Table3[Drawing
 Revision]),"")</f>
        <v>AH</v>
      </c>
      <c r="H1385" s="118" cm="1">
        <f t="array" ref="H1385">IFERROR(INDEX(PDB!$C:$AT,MATCH(E1385,PDB!$B:$B,0),MATCH(YEAR(K1385),0+PDB!$C$1:$AT$1,0)),"")</f>
        <v>0</v>
      </c>
      <c r="I1385" s="36">
        <v>96</v>
      </c>
      <c r="J1385" s="125">
        <f>IFERROR(Table1[[#This Row],[Quantity]]*Table1[[#This Row],[Price/Unit
EUR]]," ")</f>
        <v>0</v>
      </c>
      <c r="K1385" s="126">
        <v>46023</v>
      </c>
      <c r="L1385" s="36">
        <f>WEEKNUM(Table1[[#This Row],[ETA
As requested
dd.mm.yyyy]])</f>
        <v>1</v>
      </c>
      <c r="M1385" s="36">
        <f>YEAR(Table1[[#This Row],[ETA
As requested
dd.mm.yyyy]])</f>
        <v>2026</v>
      </c>
      <c r="N1385" s="36">
        <f>IFERROR(INDEX(DATABASE_FG!$H$5:$H$367, MATCH(E1385, DATABASE_FG!$C$5:$C$367, 0)), " ")</f>
        <v>51</v>
      </c>
      <c r="O1385" s="129" t="str">
        <f>IF(E1385&lt;&gt;"", _xlfn.XLOOKUP(E1385, DATABASE_FG!C:C, DATABASE_FG!F:F), " ")</f>
        <v>DBD.10</v>
      </c>
      <c r="P1385" s="129">
        <f>IFERROR(INDEX(DATABASE_FG!$G$5:$G$367, MATCH(E1385, DATABASE_FG!$C$5:$C$367, 0)), "Not Found")</f>
        <v>120</v>
      </c>
      <c r="Q1385" s="36">
        <v>60</v>
      </c>
      <c r="R1385" s="125" t="s">
        <v>678</v>
      </c>
      <c r="S1385" s="123">
        <f>IFERROR(INDEX(DATABASE_FG!$L$5:$L$367, MATCH(E1385, DATABASE_FG!$C$5:$C$367, 0)), " ")</f>
        <v>56</v>
      </c>
      <c r="T1385" s="36" t="s">
        <v>677</v>
      </c>
      <c r="U1385" s="36"/>
      <c r="V1385" s="36"/>
      <c r="W1385" s="129"/>
      <c r="X1385" s="36"/>
      <c r="Y1385" s="36"/>
      <c r="Z1385" s="36"/>
      <c r="AA1385" s="125" t="s">
        <v>3</v>
      </c>
      <c r="AB1385" s="173"/>
      <c r="AC1385" s="119"/>
      <c r="AD1385" s="36" t="str">
        <f t="shared" si="156"/>
        <v/>
      </c>
      <c r="AE1385" s="36" t="str">
        <f t="shared" si="157"/>
        <v/>
      </c>
      <c r="AF1385" s="36"/>
      <c r="AG1385" s="120">
        <f t="shared" si="158"/>
        <v>0</v>
      </c>
      <c r="AH1385" s="36"/>
      <c r="AI1385" s="124"/>
      <c r="AJ1385" s="122"/>
      <c r="AK1385" s="129" t="str">
        <f t="shared" ca="1" si="159"/>
        <v/>
      </c>
      <c r="AL1385" s="268" t="str">
        <f t="shared" si="160"/>
        <v>January</v>
      </c>
      <c r="AM1385" s="133">
        <f>YEAR(Table1[[#This Row],[ETA
As requested
dd.mm.yyyy]])</f>
        <v>2026</v>
      </c>
    </row>
    <row r="1386" spans="1:40" hidden="1">
      <c r="A1386" s="123" t="s">
        <v>27</v>
      </c>
      <c r="B1386" s="36" t="s">
        <v>1170</v>
      </c>
      <c r="C1386" s="117">
        <v>5500511017</v>
      </c>
      <c r="D1386" s="165">
        <v>45446</v>
      </c>
      <c r="E1386" s="117" t="s">
        <v>179</v>
      </c>
      <c r="F1386" s="36" t="str">
        <f>IFERROR(VLOOKUP(Table1[[#This Row],[Part Number]],DATABASE_FG!$C$6:D11375,2,FALSE)," ")</f>
        <v>HOUSING            DBD.10P1X/V</v>
      </c>
      <c r="G1386" s="117" t="str">
        <f>IFERROR(_xlfn.XLOOKUP(Table1[[#This Row],[Part Number]],Table3[Part number],Table3[Drawing
 Revision]),"")</f>
        <v>AH</v>
      </c>
      <c r="H1386" s="118" cm="1">
        <f t="array" ref="H1386">IFERROR(INDEX(PDB!$C:$AT,MATCH(E1386,PDB!$B:$B,0),MATCH(YEAR(K1386),0+PDB!$C$1:$AT$1,0)),"")</f>
        <v>39.82</v>
      </c>
      <c r="I1386" s="36">
        <v>18</v>
      </c>
      <c r="J1386" s="125">
        <f>IFERROR(Table1[[#This Row],[Quantity]]*Table1[[#This Row],[Price/Unit
EUR]]," ")</f>
        <v>716.76</v>
      </c>
      <c r="K1386" s="126">
        <v>45462</v>
      </c>
      <c r="L1386" s="36">
        <f>WEEKNUM(Table1[[#This Row],[ETA
As requested
dd.mm.yyyy]])</f>
        <v>25</v>
      </c>
      <c r="M1386" s="36">
        <f>YEAR(Table1[[#This Row],[ETA
As requested
dd.mm.yyyy]])</f>
        <v>2024</v>
      </c>
      <c r="N1386" s="36">
        <f>IFERROR(INDEX(DATABASE_FG!$H$5:$H$367, MATCH(E1386, DATABASE_FG!$C$5:$C$367, 0)), " ")</f>
        <v>74</v>
      </c>
      <c r="O1386" s="129" t="str">
        <f>IF(E1386&lt;&gt;"", _xlfn.XLOOKUP(E1386, DATABASE_FG!C:C, DATABASE_FG!F:F), " ")</f>
        <v>DBD.10</v>
      </c>
      <c r="P1386" s="129">
        <f>IFERROR(INDEX(DATABASE_FG!$G$5:$G$367, MATCH(E1386, DATABASE_FG!$C$5:$C$367, 0)), "Not Found")</f>
        <v>20</v>
      </c>
      <c r="Q1386" s="36">
        <v>60</v>
      </c>
      <c r="R1386" s="125" t="s">
        <v>678</v>
      </c>
      <c r="S1386" s="123">
        <f>IFERROR(INDEX(DATABASE_FG!$L$5:$L$367, MATCH(E1386, DATABASE_FG!$C$5:$C$367, 0)), " ")</f>
        <v>56</v>
      </c>
      <c r="T1386" s="36" t="s">
        <v>677</v>
      </c>
      <c r="U1386" s="36"/>
      <c r="V1386" s="36"/>
      <c r="W1386" s="129"/>
      <c r="X1386" s="36"/>
      <c r="Y1386" s="36"/>
      <c r="Z1386" s="36">
        <v>241716</v>
      </c>
      <c r="AA1386" s="125" t="s">
        <v>121</v>
      </c>
      <c r="AB1386" s="173">
        <v>45469</v>
      </c>
      <c r="AC1386" s="119">
        <v>2024726</v>
      </c>
      <c r="AD1386" s="36">
        <f t="shared" ref="AD1386" si="163">IF(NOT(ISBLANK(AC1386)), C1386, "")</f>
        <v>5500511017</v>
      </c>
      <c r="AE1386" s="36" t="str">
        <f t="shared" si="153"/>
        <v>R900305232</v>
      </c>
      <c r="AF1386" s="36">
        <v>18</v>
      </c>
      <c r="AG1386" s="120">
        <f t="shared" si="151"/>
        <v>716.76</v>
      </c>
      <c r="AH1386" s="36"/>
      <c r="AI1386" s="124"/>
      <c r="AJ1386" s="122" t="s">
        <v>1706</v>
      </c>
      <c r="AK1386" s="129" t="str">
        <f t="shared" ref="AK1386:AK1450" ca="1" si="164">IF(AB1386="", IF(K1386 &lt; TODAY(), "Late", ""), IF(AB1386 &lt;= K1386 + 2, "On Time", "Late"))</f>
        <v>Late</v>
      </c>
      <c r="AL1386" s="268" t="str">
        <f t="shared" ref="AL1386:AL1444" si="165">TEXT(K1386,"mmmm")</f>
        <v>June</v>
      </c>
      <c r="AM1386" s="133">
        <f>YEAR(Table1[[#This Row],[ETA
As requested
dd.mm.yyyy]])</f>
        <v>2024</v>
      </c>
    </row>
    <row r="1387" spans="1:40" hidden="1">
      <c r="A1387" s="123" t="s">
        <v>27</v>
      </c>
      <c r="B1387" s="36" t="s">
        <v>1170</v>
      </c>
      <c r="C1387" s="117">
        <v>5500511017</v>
      </c>
      <c r="D1387" s="165">
        <v>45446</v>
      </c>
      <c r="E1387" s="117" t="s">
        <v>179</v>
      </c>
      <c r="F1387" s="36" t="str">
        <f>IFERROR(VLOOKUP(Table1[[#This Row],[Part Number]],DATABASE_FG!$C$6:D11376,2,FALSE)," ")</f>
        <v>HOUSING            DBD.10P1X/V</v>
      </c>
      <c r="G1387" s="117" t="str">
        <f>IFERROR(_xlfn.XLOOKUP(Table1[[#This Row],[Part Number]],Table3[Part number],Table3[Drawing
 Revision]),"")</f>
        <v>AH</v>
      </c>
      <c r="H1387" s="118" cm="1">
        <f t="array" ref="H1387">IFERROR(INDEX(PDB!$C:$AT,MATCH(E1387,PDB!$B:$B,0),MATCH(YEAR(K1387),0+PDB!$C$1:$AT$1,0)),"")</f>
        <v>39.82</v>
      </c>
      <c r="I1387" s="36">
        <v>19</v>
      </c>
      <c r="J1387" s="125">
        <f>IFERROR(Table1[[#This Row],[Quantity]]*Table1[[#This Row],[Price/Unit
EUR]]," ")</f>
        <v>756.58</v>
      </c>
      <c r="K1387" s="126">
        <v>45467</v>
      </c>
      <c r="L1387" s="36">
        <f>WEEKNUM(Table1[[#This Row],[ETA
As requested
dd.mm.yyyy]])</f>
        <v>26</v>
      </c>
      <c r="M1387" s="36">
        <f>YEAR(Table1[[#This Row],[ETA
As requested
dd.mm.yyyy]])</f>
        <v>2024</v>
      </c>
      <c r="N1387" s="36">
        <f>IFERROR(INDEX(DATABASE_FG!$H$5:$H$367, MATCH(E1387, DATABASE_FG!$C$5:$C$367, 0)), " ")</f>
        <v>74</v>
      </c>
      <c r="O1387" s="129" t="str">
        <f>IF(E1387&lt;&gt;"", _xlfn.XLOOKUP(E1387, DATABASE_FG!C:C, DATABASE_FG!F:F), " ")</f>
        <v>DBD.10</v>
      </c>
      <c r="P1387" s="129">
        <f>IFERROR(INDEX(DATABASE_FG!$G$5:$G$367, MATCH(E1387, DATABASE_FG!$C$5:$C$367, 0)), "Not Found")</f>
        <v>20</v>
      </c>
      <c r="Q1387" s="36">
        <v>60</v>
      </c>
      <c r="R1387" s="125" t="s">
        <v>678</v>
      </c>
      <c r="S1387" s="123">
        <f>IFERROR(INDEX(DATABASE_FG!$L$5:$L$367, MATCH(E1387, DATABASE_FG!$C$5:$C$367, 0)), " ")</f>
        <v>56</v>
      </c>
      <c r="T1387" s="36" t="s">
        <v>677</v>
      </c>
      <c r="U1387" s="36"/>
      <c r="V1387" s="36"/>
      <c r="W1387" s="129"/>
      <c r="X1387" s="36"/>
      <c r="Y1387" s="36"/>
      <c r="Z1387" s="36">
        <v>242408</v>
      </c>
      <c r="AA1387" s="125" t="s">
        <v>121</v>
      </c>
      <c r="AB1387" s="173">
        <v>45471</v>
      </c>
      <c r="AC1387" s="119">
        <v>2024740</v>
      </c>
      <c r="AD1387" s="36">
        <f t="shared" ref="AD1387:AD1418" si="166">IF(NOT(ISBLANK(AC1387)), C1387, "")</f>
        <v>5500511017</v>
      </c>
      <c r="AE1387" s="36" t="str">
        <f t="shared" si="153"/>
        <v>R900305232</v>
      </c>
      <c r="AF1387" s="36">
        <v>19</v>
      </c>
      <c r="AG1387" s="120">
        <f t="shared" si="151"/>
        <v>756.58</v>
      </c>
      <c r="AH1387" s="36"/>
      <c r="AI1387" s="124"/>
      <c r="AJ1387" s="122" t="s">
        <v>1718</v>
      </c>
      <c r="AK1387" s="129" t="str">
        <f t="shared" ca="1" si="164"/>
        <v>Late</v>
      </c>
      <c r="AL1387" s="268" t="str">
        <f t="shared" si="165"/>
        <v>June</v>
      </c>
      <c r="AM1387" s="133">
        <f>YEAR(Table1[[#This Row],[ETA
As requested
dd.mm.yyyy]])</f>
        <v>2024</v>
      </c>
    </row>
    <row r="1388" spans="1:40" hidden="1">
      <c r="A1388" s="123" t="s">
        <v>27</v>
      </c>
      <c r="B1388" s="36" t="s">
        <v>1170</v>
      </c>
      <c r="C1388" s="117">
        <v>5500511017</v>
      </c>
      <c r="D1388" s="165">
        <v>45446</v>
      </c>
      <c r="E1388" s="117" t="s">
        <v>179</v>
      </c>
      <c r="F1388" s="36" t="str">
        <f>IFERROR(VLOOKUP(Table1[[#This Row],[Part Number]],DATABASE_FG!$C$6:D11377,2,FALSE)," ")</f>
        <v>HOUSING            DBD.10P1X/V</v>
      </c>
      <c r="G1388" s="117" t="str">
        <f>IFERROR(_xlfn.XLOOKUP(Table1[[#This Row],[Part Number]],Table3[Part number],Table3[Drawing
 Revision]),"")</f>
        <v>AH</v>
      </c>
      <c r="H1388" s="118" cm="1">
        <f t="array" ref="H1388">IFERROR(INDEX(PDB!$C:$AT,MATCH(E1388,PDB!$B:$B,0),MATCH(YEAR(K1388),0+PDB!$C$1:$AT$1,0)),"")</f>
        <v>39.82</v>
      </c>
      <c r="I1388" s="36">
        <v>39</v>
      </c>
      <c r="J1388" s="125">
        <f>IFERROR(Table1[[#This Row],[Quantity]]*Table1[[#This Row],[Price/Unit
EUR]]," ")</f>
        <v>1552.98</v>
      </c>
      <c r="K1388" s="126">
        <v>45546</v>
      </c>
      <c r="L1388" s="36">
        <f>WEEKNUM(Table1[[#This Row],[ETA
As requested
dd.mm.yyyy]])</f>
        <v>37</v>
      </c>
      <c r="M1388" s="36">
        <f>YEAR(Table1[[#This Row],[ETA
As requested
dd.mm.yyyy]])</f>
        <v>2024</v>
      </c>
      <c r="N1388" s="36">
        <f>IFERROR(INDEX(DATABASE_FG!$H$5:$H$367, MATCH(E1388, DATABASE_FG!$C$5:$C$367, 0)), " ")</f>
        <v>74</v>
      </c>
      <c r="O1388" s="129" t="str">
        <f>IF(E1388&lt;&gt;"", _xlfn.XLOOKUP(E1388, DATABASE_FG!C:C, DATABASE_FG!F:F), " ")</f>
        <v>DBD.10</v>
      </c>
      <c r="P1388" s="129">
        <f>IFERROR(INDEX(DATABASE_FG!$G$5:$G$367, MATCH(E1388, DATABASE_FG!$C$5:$C$367, 0)), "Not Found")</f>
        <v>20</v>
      </c>
      <c r="Q1388" s="36">
        <v>60</v>
      </c>
      <c r="R1388" s="125" t="s">
        <v>678</v>
      </c>
      <c r="S1388" s="123">
        <f>IFERROR(INDEX(DATABASE_FG!$L$5:$L$367, MATCH(E1388, DATABASE_FG!$C$5:$C$367, 0)), " ")</f>
        <v>56</v>
      </c>
      <c r="T1388" s="36" t="s">
        <v>677</v>
      </c>
      <c r="U1388" s="36"/>
      <c r="V1388" s="36"/>
      <c r="W1388" s="129"/>
      <c r="X1388" s="36"/>
      <c r="Y1388" s="36"/>
      <c r="Z1388" s="36">
        <v>242707</v>
      </c>
      <c r="AA1388" s="125" t="s">
        <v>121</v>
      </c>
      <c r="AB1388" s="173">
        <v>45541</v>
      </c>
      <c r="AC1388" s="119">
        <v>202401112</v>
      </c>
      <c r="AD1388" s="36">
        <f t="shared" si="166"/>
        <v>5500511017</v>
      </c>
      <c r="AE1388" s="36" t="str">
        <f t="shared" si="153"/>
        <v>R900305232</v>
      </c>
      <c r="AF1388" s="36">
        <v>39</v>
      </c>
      <c r="AG1388" s="120">
        <f t="shared" si="151"/>
        <v>1552.98</v>
      </c>
      <c r="AH1388" s="36"/>
      <c r="AI1388" s="124"/>
      <c r="AJ1388" s="122" t="s">
        <v>2372</v>
      </c>
      <c r="AK1388" s="129" t="str">
        <f t="shared" ca="1" si="164"/>
        <v>On Time</v>
      </c>
      <c r="AL1388" s="268" t="str">
        <f t="shared" si="165"/>
        <v>September</v>
      </c>
      <c r="AM1388" s="133">
        <f>YEAR(Table1[[#This Row],[ETA
As requested
dd.mm.yyyy]])</f>
        <v>2024</v>
      </c>
    </row>
    <row r="1389" spans="1:40" hidden="1">
      <c r="A1389" s="123" t="s">
        <v>27</v>
      </c>
      <c r="B1389" s="36" t="s">
        <v>1170</v>
      </c>
      <c r="C1389" s="117">
        <v>5500511017</v>
      </c>
      <c r="D1389" s="165">
        <v>45446</v>
      </c>
      <c r="E1389" s="117" t="s">
        <v>179</v>
      </c>
      <c r="F1389" s="36" t="str">
        <f>IFERROR(VLOOKUP(Table1[[#This Row],[Part Number]],DATABASE_FG!$C$6:D11378,2,FALSE)," ")</f>
        <v>HOUSING            DBD.10P1X/V</v>
      </c>
      <c r="G1389" s="117" t="str">
        <f>IFERROR(_xlfn.XLOOKUP(Table1[[#This Row],[Part Number]],Table3[Part number],Table3[Drawing
 Revision]),"")</f>
        <v>AH</v>
      </c>
      <c r="H1389" s="118" cm="1">
        <f t="array" ref="H1389">IFERROR(INDEX(PDB!$C:$AT,MATCH(E1389,PDB!$B:$B,0),MATCH(YEAR(K1389),0+PDB!$C$1:$AT$1,0)),"")</f>
        <v>36.53</v>
      </c>
      <c r="I1389" s="36">
        <v>40</v>
      </c>
      <c r="J1389" s="125">
        <f>IFERROR(Table1[[#This Row],[Quantity]]*Table1[[#This Row],[Price/Unit
EUR]]," ")</f>
        <v>1461.2</v>
      </c>
      <c r="K1389" s="126">
        <v>45680</v>
      </c>
      <c r="L1389" s="36">
        <f>WEEKNUM(Table1[[#This Row],[ETA
As requested
dd.mm.yyyy]])</f>
        <v>4</v>
      </c>
      <c r="M1389" s="36">
        <f>YEAR(Table1[[#This Row],[ETA
As requested
dd.mm.yyyy]])</f>
        <v>2025</v>
      </c>
      <c r="N1389" s="36">
        <f>IFERROR(INDEX(DATABASE_FG!$H$5:$H$367, MATCH(E1389, DATABASE_FG!$C$5:$C$367, 0)), " ")</f>
        <v>74</v>
      </c>
      <c r="O1389" s="129" t="str">
        <f>IF(E1389&lt;&gt;"", _xlfn.XLOOKUP(E1389, DATABASE_FG!C:C, DATABASE_FG!F:F), " ")</f>
        <v>DBD.10</v>
      </c>
      <c r="P1389" s="129">
        <f>IFERROR(INDEX(DATABASE_FG!$G$5:$G$367, MATCH(E1389, DATABASE_FG!$C$5:$C$367, 0)), "Not Found")</f>
        <v>20</v>
      </c>
      <c r="Q1389" s="36">
        <v>60</v>
      </c>
      <c r="R1389" s="125" t="s">
        <v>678</v>
      </c>
      <c r="S1389" s="123">
        <f>IFERROR(INDEX(DATABASE_FG!$L$5:$L$367, MATCH(E1389, DATABASE_FG!$C$5:$C$367, 0)), " ")</f>
        <v>56</v>
      </c>
      <c r="T1389" s="36" t="s">
        <v>677</v>
      </c>
      <c r="U1389" s="36"/>
      <c r="V1389" s="36"/>
      <c r="W1389" s="129"/>
      <c r="X1389" s="36"/>
      <c r="Y1389" s="36"/>
      <c r="Z1389" s="36"/>
      <c r="AA1389" s="125" t="s">
        <v>121</v>
      </c>
      <c r="AB1389" s="173">
        <v>45675</v>
      </c>
      <c r="AC1389" s="119" t="s">
        <v>2752</v>
      </c>
      <c r="AD1389" s="36">
        <f t="shared" si="166"/>
        <v>5500511017</v>
      </c>
      <c r="AE1389" s="36" t="str">
        <f t="shared" si="153"/>
        <v>R900305232</v>
      </c>
      <c r="AF1389" s="36">
        <v>40</v>
      </c>
      <c r="AG1389" s="120">
        <f t="shared" si="151"/>
        <v>1461.2</v>
      </c>
      <c r="AH1389" s="36"/>
      <c r="AI1389" s="124"/>
      <c r="AJ1389" s="122" t="s">
        <v>2753</v>
      </c>
      <c r="AK1389" s="129" t="str">
        <f t="shared" ca="1" si="164"/>
        <v>On Time</v>
      </c>
      <c r="AL1389" s="268" t="str">
        <f t="shared" si="165"/>
        <v>January</v>
      </c>
      <c r="AM1389" s="133">
        <f>YEAR(Table1[[#This Row],[ETA
As requested
dd.mm.yyyy]])</f>
        <v>2025</v>
      </c>
    </row>
    <row r="1390" spans="1:40" hidden="1">
      <c r="A1390" s="123" t="s">
        <v>27</v>
      </c>
      <c r="B1390" s="36" t="s">
        <v>1170</v>
      </c>
      <c r="C1390" s="117">
        <v>5500511017</v>
      </c>
      <c r="D1390" s="165">
        <v>45446</v>
      </c>
      <c r="E1390" s="117" t="s">
        <v>179</v>
      </c>
      <c r="F1390" s="36" t="str">
        <f>IFERROR(VLOOKUP(Table1[[#This Row],[Part Number]],DATABASE_FG!$C$6:D11379,2,FALSE)," ")</f>
        <v>HOUSING            DBD.10P1X/V</v>
      </c>
      <c r="G1390" s="117" t="str">
        <f>IFERROR(_xlfn.XLOOKUP(Table1[[#This Row],[Part Number]],Table3[Part number],Table3[Drawing
 Revision]),"")</f>
        <v>AH</v>
      </c>
      <c r="H1390" s="118" cm="1">
        <f t="array" ref="H1390">IFERROR(INDEX(PDB!$C:$AT,MATCH(E1390,PDB!$B:$B,0),MATCH(YEAR(K1390),0+PDB!$C$1:$AT$1,0)),"")</f>
        <v>36.53</v>
      </c>
      <c r="I1390" s="36">
        <v>3</v>
      </c>
      <c r="J1390" s="125">
        <f>IFERROR(Table1[[#This Row],[Quantity]]*Table1[[#This Row],[Price/Unit
EUR]]," ")</f>
        <v>109.59</v>
      </c>
      <c r="K1390" s="126">
        <v>45716</v>
      </c>
      <c r="L1390" s="36">
        <f>WEEKNUM(Table1[[#This Row],[ETA
As requested
dd.mm.yyyy]])</f>
        <v>9</v>
      </c>
      <c r="M1390" s="36">
        <f>YEAR(Table1[[#This Row],[ETA
As requested
dd.mm.yyyy]])</f>
        <v>2025</v>
      </c>
      <c r="N1390" s="36">
        <f>IFERROR(INDEX(DATABASE_FG!$H$5:$H$367, MATCH(E1390, DATABASE_FG!$C$5:$C$367, 0)), " ")</f>
        <v>74</v>
      </c>
      <c r="O1390" s="129" t="str">
        <f>IF(E1390&lt;&gt;"", _xlfn.XLOOKUP(E1390, DATABASE_FG!C:C, DATABASE_FG!F:F), " ")</f>
        <v>DBD.10</v>
      </c>
      <c r="P1390" s="129">
        <f>IFERROR(INDEX(DATABASE_FG!$G$5:$G$367, MATCH(E1390, DATABASE_FG!$C$5:$C$367, 0)), "Not Found")</f>
        <v>20</v>
      </c>
      <c r="Q1390" s="36">
        <v>60</v>
      </c>
      <c r="R1390" s="125" t="s">
        <v>678</v>
      </c>
      <c r="S1390" s="123">
        <f>IFERROR(INDEX(DATABASE_FG!$L$5:$L$367, MATCH(E1390, DATABASE_FG!$C$5:$C$367, 0)), " ")</f>
        <v>56</v>
      </c>
      <c r="T1390" s="36" t="s">
        <v>677</v>
      </c>
      <c r="U1390" s="36"/>
      <c r="V1390" s="36"/>
      <c r="W1390" s="129"/>
      <c r="X1390" s="36"/>
      <c r="Y1390" s="36" t="s">
        <v>677</v>
      </c>
      <c r="Z1390" s="36"/>
      <c r="AA1390" s="125" t="s">
        <v>121</v>
      </c>
      <c r="AB1390" s="172">
        <v>45735</v>
      </c>
      <c r="AC1390" s="119">
        <v>25405</v>
      </c>
      <c r="AD1390" s="36">
        <f t="shared" si="166"/>
        <v>5500511017</v>
      </c>
      <c r="AE1390" s="36" t="str">
        <f t="shared" si="153"/>
        <v>R900305232</v>
      </c>
      <c r="AF1390" s="36">
        <v>3</v>
      </c>
      <c r="AG1390" s="120">
        <f t="shared" si="151"/>
        <v>109.59</v>
      </c>
      <c r="AH1390" s="36"/>
      <c r="AI1390" s="124"/>
      <c r="AJ1390" s="122" t="s">
        <v>2901</v>
      </c>
      <c r="AK1390" s="129" t="str">
        <f t="shared" ca="1" si="164"/>
        <v>Late</v>
      </c>
      <c r="AL1390" s="268" t="str">
        <f t="shared" si="165"/>
        <v>February</v>
      </c>
      <c r="AM1390" s="133">
        <f>YEAR(Table1[[#This Row],[ETA
As requested
dd.mm.yyyy]])</f>
        <v>2025</v>
      </c>
    </row>
    <row r="1391" spans="1:40" hidden="1">
      <c r="A1391" s="123" t="s">
        <v>27</v>
      </c>
      <c r="B1391" s="36" t="s">
        <v>1170</v>
      </c>
      <c r="C1391" s="117">
        <v>5500511017</v>
      </c>
      <c r="D1391" s="165">
        <v>45446</v>
      </c>
      <c r="E1391" s="117" t="s">
        <v>179</v>
      </c>
      <c r="F1391" s="36" t="str">
        <f>IFERROR(VLOOKUP(Table1[[#This Row],[Part Number]],DATABASE_FG!$C$6:D11380,2,FALSE)," ")</f>
        <v>HOUSING            DBD.10P1X/V</v>
      </c>
      <c r="G1391" s="117" t="str">
        <f>IFERROR(_xlfn.XLOOKUP(Table1[[#This Row],[Part Number]],Table3[Part number],Table3[Drawing
 Revision]),"")</f>
        <v>AH</v>
      </c>
      <c r="H1391" s="118" cm="1">
        <f t="array" ref="H1391">IFERROR(INDEX(PDB!$C:$AT,MATCH(E1391,PDB!$B:$B,0),MATCH(YEAR(K1391),0+PDB!$C$1:$AT$1,0)),"")</f>
        <v>36.53</v>
      </c>
      <c r="I1391" s="36">
        <v>4</v>
      </c>
      <c r="J1391" s="125">
        <f>IFERROR(Table1[[#This Row],[Quantity]]*Table1[[#This Row],[Price/Unit
EUR]]," ")</f>
        <v>146.12</v>
      </c>
      <c r="K1391" s="126">
        <v>45716</v>
      </c>
      <c r="L1391" s="36">
        <f>WEEKNUM(Table1[[#This Row],[ETA
As requested
dd.mm.yyyy]])</f>
        <v>9</v>
      </c>
      <c r="M1391" s="36">
        <f>YEAR(Table1[[#This Row],[ETA
As requested
dd.mm.yyyy]])</f>
        <v>2025</v>
      </c>
      <c r="N1391" s="36">
        <f>IFERROR(INDEX(DATABASE_FG!$H$5:$H$367, MATCH(E1391, DATABASE_FG!$C$5:$C$367, 0)), " ")</f>
        <v>74</v>
      </c>
      <c r="O1391" s="129" t="str">
        <f>IF(E1391&lt;&gt;"", _xlfn.XLOOKUP(E1391, DATABASE_FG!C:C, DATABASE_FG!F:F), " ")</f>
        <v>DBD.10</v>
      </c>
      <c r="P1391" s="129">
        <f>IFERROR(INDEX(DATABASE_FG!$G$5:$G$367, MATCH(E1391, DATABASE_FG!$C$5:$C$367, 0)), "Not Found")</f>
        <v>20</v>
      </c>
      <c r="Q1391" s="36">
        <v>60</v>
      </c>
      <c r="R1391" s="125" t="s">
        <v>678</v>
      </c>
      <c r="S1391" s="123">
        <f>IFERROR(INDEX(DATABASE_FG!$L$5:$L$367, MATCH(E1391, DATABASE_FG!$C$5:$C$367, 0)), " ")</f>
        <v>56</v>
      </c>
      <c r="T1391" s="36" t="s">
        <v>677</v>
      </c>
      <c r="U1391" s="36"/>
      <c r="V1391" s="36"/>
      <c r="W1391" s="129"/>
      <c r="X1391" s="36"/>
      <c r="Y1391" s="36" t="s">
        <v>677</v>
      </c>
      <c r="Z1391" s="36"/>
      <c r="AA1391" s="125" t="s">
        <v>121</v>
      </c>
      <c r="AB1391" s="173">
        <v>45744</v>
      </c>
      <c r="AC1391" s="119">
        <v>25481</v>
      </c>
      <c r="AD1391" s="36">
        <f t="shared" si="166"/>
        <v>5500511017</v>
      </c>
      <c r="AE1391" s="36" t="str">
        <f t="shared" si="153"/>
        <v>R900305232</v>
      </c>
      <c r="AF1391" s="36">
        <v>4</v>
      </c>
      <c r="AG1391" s="120">
        <f t="shared" si="151"/>
        <v>146.12</v>
      </c>
      <c r="AH1391" s="36"/>
      <c r="AI1391" s="124"/>
      <c r="AJ1391" s="122" t="s">
        <v>2904</v>
      </c>
      <c r="AK1391" s="129" t="str">
        <f t="shared" ca="1" si="164"/>
        <v>Late</v>
      </c>
      <c r="AL1391" s="268" t="str">
        <f t="shared" si="165"/>
        <v>February</v>
      </c>
      <c r="AM1391" s="133">
        <f>YEAR(Table1[[#This Row],[ETA
As requested
dd.mm.yyyy]])</f>
        <v>2025</v>
      </c>
    </row>
    <row r="1392" spans="1:40" hidden="1">
      <c r="A1392" s="123" t="s">
        <v>27</v>
      </c>
      <c r="B1392" s="36" t="s">
        <v>1170</v>
      </c>
      <c r="C1392" s="117">
        <v>5500511017</v>
      </c>
      <c r="D1392" s="165">
        <v>45446</v>
      </c>
      <c r="E1392" s="117" t="s">
        <v>179</v>
      </c>
      <c r="F1392" s="36" t="str">
        <f>IFERROR(VLOOKUP(Table1[[#This Row],[Part Number]],DATABASE_FG!$C$6:D11381,2,FALSE)," ")</f>
        <v>HOUSING            DBD.10P1X/V</v>
      </c>
      <c r="G1392" s="117" t="str">
        <f>IFERROR(_xlfn.XLOOKUP(Table1[[#This Row],[Part Number]],Table3[Part number],Table3[Drawing
 Revision]),"")</f>
        <v>AH</v>
      </c>
      <c r="H1392" s="118" cm="1">
        <f t="array" ref="H1392">IFERROR(INDEX(PDB!$C:$AT,MATCH(E1392,PDB!$B:$B,0),MATCH(YEAR(K1392),0+PDB!$C$1:$AT$1,0)),"")</f>
        <v>36.53</v>
      </c>
      <c r="I1392" s="36">
        <v>9</v>
      </c>
      <c r="J1392" s="125">
        <f>IFERROR(Table1[[#This Row],[Quantity]]*Table1[[#This Row],[Price/Unit
EUR]]," ")</f>
        <v>328.77</v>
      </c>
      <c r="K1392" s="126">
        <v>45747</v>
      </c>
      <c r="L1392" s="36">
        <f>WEEKNUM(Table1[[#This Row],[ETA
As requested
dd.mm.yyyy]])</f>
        <v>14</v>
      </c>
      <c r="M1392" s="36">
        <f>YEAR(Table1[[#This Row],[ETA
As requested
dd.mm.yyyy]])</f>
        <v>2025</v>
      </c>
      <c r="N1392" s="36">
        <f>IFERROR(INDEX(DATABASE_FG!$H$5:$H$367, MATCH(E1392, DATABASE_FG!$C$5:$C$367, 0)), " ")</f>
        <v>74</v>
      </c>
      <c r="O1392" s="129" t="str">
        <f>IF(E1392&lt;&gt;"", _xlfn.XLOOKUP(E1392, DATABASE_FG!C:C, DATABASE_FG!F:F), " ")</f>
        <v>DBD.10</v>
      </c>
      <c r="P1392" s="129">
        <f>IFERROR(INDEX(DATABASE_FG!$G$5:$G$367, MATCH(E1392, DATABASE_FG!$C$5:$C$367, 0)), "Not Found")</f>
        <v>20</v>
      </c>
      <c r="Q1392" s="36">
        <v>60</v>
      </c>
      <c r="R1392" s="125" t="s">
        <v>678</v>
      </c>
      <c r="S1392" s="123">
        <f>IFERROR(INDEX(DATABASE_FG!$L$5:$L$367, MATCH(E1392, DATABASE_FG!$C$5:$C$367, 0)), " ")</f>
        <v>56</v>
      </c>
      <c r="T1392" s="36" t="s">
        <v>677</v>
      </c>
      <c r="U1392" s="36"/>
      <c r="V1392" s="36"/>
      <c r="W1392" s="129"/>
      <c r="X1392" s="36"/>
      <c r="Y1392" s="36" t="s">
        <v>677</v>
      </c>
      <c r="Z1392" s="36"/>
      <c r="AA1392" s="125" t="s">
        <v>121</v>
      </c>
      <c r="AB1392" s="173">
        <v>45764</v>
      </c>
      <c r="AC1392" s="119">
        <v>25640</v>
      </c>
      <c r="AD1392" s="36">
        <f t="shared" si="166"/>
        <v>5500511017</v>
      </c>
      <c r="AE1392" s="36" t="str">
        <f t="shared" si="153"/>
        <v>R900305232</v>
      </c>
      <c r="AF1392" s="36">
        <v>9</v>
      </c>
      <c r="AG1392" s="120">
        <f t="shared" ref="AG1392:AG1457" si="167">AF1392*H1392</f>
        <v>328.77</v>
      </c>
      <c r="AH1392" s="36"/>
      <c r="AI1392" s="124"/>
      <c r="AJ1392" s="122" t="s">
        <v>3026</v>
      </c>
      <c r="AK1392" s="129" t="str">
        <f t="shared" ca="1" si="164"/>
        <v>Late</v>
      </c>
      <c r="AL1392" s="268" t="str">
        <f t="shared" si="165"/>
        <v>March</v>
      </c>
      <c r="AM1392" s="133">
        <f>YEAR(Table1[[#This Row],[ETA
As requested
dd.mm.yyyy]])</f>
        <v>2025</v>
      </c>
    </row>
    <row r="1393" spans="1:39" hidden="1">
      <c r="A1393" s="123" t="s">
        <v>27</v>
      </c>
      <c r="B1393" s="36" t="s">
        <v>1170</v>
      </c>
      <c r="C1393" s="117">
        <v>5500511017</v>
      </c>
      <c r="D1393" s="165">
        <v>45446</v>
      </c>
      <c r="E1393" s="117" t="s">
        <v>179</v>
      </c>
      <c r="F1393" s="36" t="str">
        <f>IFERROR(VLOOKUP(Table1[[#This Row],[Part Number]],DATABASE_FG!$C$6:D11382,2,FALSE)," ")</f>
        <v>HOUSING            DBD.10P1X/V</v>
      </c>
      <c r="G1393" s="117" t="str">
        <f>IFERROR(_xlfn.XLOOKUP(Table1[[#This Row],[Part Number]],Table3[Part number],Table3[Drawing
 Revision]),"")</f>
        <v>AH</v>
      </c>
      <c r="H1393" s="118" cm="1">
        <f t="array" ref="H1393">IFERROR(INDEX(PDB!$C:$AT,MATCH(E1393,PDB!$B:$B,0),MATCH(YEAR(K1393),0+PDB!$C$1:$AT$1,0)),"")</f>
        <v>36.53</v>
      </c>
      <c r="I1393" s="36">
        <v>25</v>
      </c>
      <c r="J1393" s="125">
        <f>IFERROR(Table1[[#This Row],[Quantity]]*Table1[[#This Row],[Price/Unit
EUR]]," ")</f>
        <v>913.25</v>
      </c>
      <c r="K1393" s="126">
        <v>45814</v>
      </c>
      <c r="L1393" s="36">
        <f>WEEKNUM(Table1[[#This Row],[ETA
As requested
dd.mm.yyyy]])</f>
        <v>23</v>
      </c>
      <c r="M1393" s="36">
        <f>YEAR(Table1[[#This Row],[ETA
As requested
dd.mm.yyyy]])</f>
        <v>2025</v>
      </c>
      <c r="N1393" s="36">
        <f>IFERROR(INDEX(DATABASE_FG!$H$5:$H$367, MATCH(E1393, DATABASE_FG!$C$5:$C$367, 0)), " ")</f>
        <v>74</v>
      </c>
      <c r="O1393" s="129" t="str">
        <f>IF(E1393&lt;&gt;"", _xlfn.XLOOKUP(E1393, DATABASE_FG!C:C, DATABASE_FG!F:F), " ")</f>
        <v>DBD.10</v>
      </c>
      <c r="P1393" s="129">
        <f>IFERROR(INDEX(DATABASE_FG!$G$5:$G$367, MATCH(E1393, DATABASE_FG!$C$5:$C$367, 0)), "Not Found")</f>
        <v>20</v>
      </c>
      <c r="Q1393" s="36">
        <v>60</v>
      </c>
      <c r="R1393" s="125" t="s">
        <v>678</v>
      </c>
      <c r="S1393" s="123">
        <f>IFERROR(INDEX(DATABASE_FG!$L$5:$L$367, MATCH(E1393, DATABASE_FG!$C$5:$C$367, 0)), " ")</f>
        <v>56</v>
      </c>
      <c r="T1393" s="36" t="s">
        <v>677</v>
      </c>
      <c r="U1393" s="36"/>
      <c r="V1393" s="36"/>
      <c r="W1393" s="129"/>
      <c r="X1393" s="36"/>
      <c r="Y1393" s="36"/>
      <c r="Z1393" s="36"/>
      <c r="AA1393" s="125" t="s">
        <v>121</v>
      </c>
      <c r="AB1393" s="173">
        <v>45800</v>
      </c>
      <c r="AC1393" s="119">
        <v>25819</v>
      </c>
      <c r="AD1393" s="36">
        <f t="shared" si="166"/>
        <v>5500511017</v>
      </c>
      <c r="AE1393" s="36" t="str">
        <f t="shared" si="153"/>
        <v>R900305232</v>
      </c>
      <c r="AF1393" s="36">
        <v>25</v>
      </c>
      <c r="AG1393" s="120">
        <f t="shared" si="167"/>
        <v>913.25</v>
      </c>
      <c r="AH1393" s="36"/>
      <c r="AI1393" s="124"/>
      <c r="AJ1393" s="122" t="s">
        <v>3239</v>
      </c>
      <c r="AK1393" s="129" t="str">
        <f t="shared" ca="1" si="164"/>
        <v>On Time</v>
      </c>
      <c r="AL1393" s="268" t="str">
        <f t="shared" si="165"/>
        <v>June</v>
      </c>
      <c r="AM1393" s="133">
        <f>YEAR(Table1[[#This Row],[ETA
As requested
dd.mm.yyyy]])</f>
        <v>2025</v>
      </c>
    </row>
    <row r="1394" spans="1:39" hidden="1">
      <c r="A1394" s="123" t="s">
        <v>27</v>
      </c>
      <c r="B1394" s="36" t="s">
        <v>1170</v>
      </c>
      <c r="C1394" s="117">
        <v>5500511017</v>
      </c>
      <c r="D1394" s="165">
        <v>45446</v>
      </c>
      <c r="E1394" s="117" t="s">
        <v>179</v>
      </c>
      <c r="F1394" s="36" t="str">
        <f>IFERROR(VLOOKUP(Table1[[#This Row],[Part Number]],DATABASE_FG!$C$6:D11383,2,FALSE)," ")</f>
        <v>HOUSING            DBD.10P1X/V</v>
      </c>
      <c r="G1394" s="117" t="str">
        <f>IFERROR(_xlfn.XLOOKUP(Table1[[#This Row],[Part Number]],Table3[Part number],Table3[Drawing
 Revision]),"")</f>
        <v>AH</v>
      </c>
      <c r="H1394" s="118" cm="1">
        <f t="array" ref="H1394">IFERROR(INDEX(PDB!$C:$AT,MATCH(E1394,PDB!$B:$B,0),MATCH(YEAR(K1394),0+PDB!$C$1:$AT$1,0)),"")</f>
        <v>36.53</v>
      </c>
      <c r="I1394" s="36">
        <v>4</v>
      </c>
      <c r="J1394" s="125">
        <f>IFERROR(Table1[[#This Row],[Quantity]]*Table1[[#This Row],[Price/Unit
EUR]]," ")</f>
        <v>146.12</v>
      </c>
      <c r="K1394" s="126">
        <v>45834</v>
      </c>
      <c r="L1394" s="36">
        <f>WEEKNUM(Table1[[#This Row],[ETA
As requested
dd.mm.yyyy]])</f>
        <v>26</v>
      </c>
      <c r="M1394" s="36">
        <f>YEAR(Table1[[#This Row],[ETA
As requested
dd.mm.yyyy]])</f>
        <v>2025</v>
      </c>
      <c r="N1394" s="36">
        <f>IFERROR(INDEX(DATABASE_FG!$H$5:$H$367, MATCH(E1394, DATABASE_FG!$C$5:$C$367, 0)), " ")</f>
        <v>74</v>
      </c>
      <c r="O1394" s="129" t="str">
        <f>IF(E1394&lt;&gt;"", _xlfn.XLOOKUP(E1394, DATABASE_FG!C:C, DATABASE_FG!F:F), " ")</f>
        <v>DBD.10</v>
      </c>
      <c r="P1394" s="129">
        <f>IFERROR(INDEX(DATABASE_FG!$G$5:$G$367, MATCH(E1394, DATABASE_FG!$C$5:$C$367, 0)), "Not Found")</f>
        <v>20</v>
      </c>
      <c r="Q1394" s="36">
        <v>60</v>
      </c>
      <c r="R1394" s="125" t="s">
        <v>678</v>
      </c>
      <c r="S1394" s="123">
        <f>IFERROR(INDEX(DATABASE_FG!$L$5:$L$367, MATCH(E1394, DATABASE_FG!$C$5:$C$367, 0)), " ")</f>
        <v>56</v>
      </c>
      <c r="T1394" s="36" t="s">
        <v>677</v>
      </c>
      <c r="U1394" s="36"/>
      <c r="V1394" s="36"/>
      <c r="W1394" s="129"/>
      <c r="X1394" s="36"/>
      <c r="Y1394" s="36"/>
      <c r="Z1394" s="36"/>
      <c r="AA1394" s="125" t="s">
        <v>121</v>
      </c>
      <c r="AB1394" s="173">
        <v>45807</v>
      </c>
      <c r="AC1394" s="119">
        <v>25854</v>
      </c>
      <c r="AD1394" s="36">
        <f t="shared" si="166"/>
        <v>5500511017</v>
      </c>
      <c r="AE1394" s="36" t="str">
        <f t="shared" si="153"/>
        <v>R900305232</v>
      </c>
      <c r="AF1394" s="36">
        <v>4</v>
      </c>
      <c r="AG1394" s="120">
        <f t="shared" si="167"/>
        <v>146.12</v>
      </c>
      <c r="AH1394" s="36"/>
      <c r="AI1394" s="124"/>
      <c r="AJ1394" s="122" t="s">
        <v>3316</v>
      </c>
      <c r="AK1394" s="129" t="str">
        <f t="shared" ca="1" si="164"/>
        <v>On Time</v>
      </c>
      <c r="AL1394" s="268" t="str">
        <f t="shared" si="165"/>
        <v>June</v>
      </c>
      <c r="AM1394" s="133">
        <f>YEAR(Table1[[#This Row],[ETA
As requested
dd.mm.yyyy]])</f>
        <v>2025</v>
      </c>
    </row>
    <row r="1395" spans="1:39" hidden="1">
      <c r="A1395" s="123" t="s">
        <v>27</v>
      </c>
      <c r="B1395" s="36" t="s">
        <v>1170</v>
      </c>
      <c r="C1395" s="117">
        <v>5500511017</v>
      </c>
      <c r="D1395" s="165">
        <v>45446</v>
      </c>
      <c r="E1395" s="117" t="s">
        <v>179</v>
      </c>
      <c r="F1395" s="36" t="str">
        <f>IFERROR(VLOOKUP(Table1[[#This Row],[Part Number]],DATABASE_FG!$C$6:D11384,2,FALSE)," ")</f>
        <v>HOUSING            DBD.10P1X/V</v>
      </c>
      <c r="G1395" s="117" t="str">
        <f>IFERROR(_xlfn.XLOOKUP(Table1[[#This Row],[Part Number]],Table3[Part number],Table3[Drawing
 Revision]),"")</f>
        <v>AH</v>
      </c>
      <c r="H1395" s="118" cm="1">
        <f t="array" ref="H1395">IFERROR(INDEX(PDB!$C:$AT,MATCH(E1395,PDB!$B:$B,0),MATCH(YEAR(K1395),0+PDB!$C$1:$AT$1,0)),"")</f>
        <v>36.53</v>
      </c>
      <c r="I1395" s="36">
        <v>25</v>
      </c>
      <c r="J1395" s="125">
        <f>IFERROR(Table1[[#This Row],[Quantity]]*Table1[[#This Row],[Price/Unit
EUR]]," ")</f>
        <v>913.25</v>
      </c>
      <c r="K1395" s="126">
        <v>45834</v>
      </c>
      <c r="L1395" s="36">
        <f>WEEKNUM(Table1[[#This Row],[ETA
As requested
dd.mm.yyyy]])</f>
        <v>26</v>
      </c>
      <c r="M1395" s="36">
        <f>YEAR(Table1[[#This Row],[ETA
As requested
dd.mm.yyyy]])</f>
        <v>2025</v>
      </c>
      <c r="N1395" s="36">
        <f>IFERROR(INDEX(DATABASE_FG!$H$5:$H$367, MATCH(E1395, DATABASE_FG!$C$5:$C$367, 0)), " ")</f>
        <v>74</v>
      </c>
      <c r="O1395" s="129" t="str">
        <f>IF(E1395&lt;&gt;"", _xlfn.XLOOKUP(E1395, DATABASE_FG!C:C, DATABASE_FG!F:F), " ")</f>
        <v>DBD.10</v>
      </c>
      <c r="P1395" s="129">
        <f>IFERROR(INDEX(DATABASE_FG!$G$5:$G$367, MATCH(E1395, DATABASE_FG!$C$5:$C$367, 0)), "Not Found")</f>
        <v>20</v>
      </c>
      <c r="Q1395" s="36">
        <v>60</v>
      </c>
      <c r="R1395" s="125" t="s">
        <v>678</v>
      </c>
      <c r="S1395" s="123">
        <f>IFERROR(INDEX(DATABASE_FG!$L$5:$L$367, MATCH(E1395, DATABASE_FG!$C$5:$C$367, 0)), " ")</f>
        <v>56</v>
      </c>
      <c r="T1395" s="36" t="s">
        <v>677</v>
      </c>
      <c r="U1395" s="36"/>
      <c r="V1395" s="36"/>
      <c r="W1395" s="129"/>
      <c r="X1395" s="36"/>
      <c r="Y1395" s="36"/>
      <c r="Z1395" s="36"/>
      <c r="AA1395" s="125" t="s">
        <v>121</v>
      </c>
      <c r="AB1395" s="173">
        <v>45838</v>
      </c>
      <c r="AC1395" s="119">
        <v>260019</v>
      </c>
      <c r="AD1395" s="36">
        <f t="shared" si="166"/>
        <v>5500511017</v>
      </c>
      <c r="AE1395" s="36" t="str">
        <f t="shared" si="153"/>
        <v>R900305232</v>
      </c>
      <c r="AF1395" s="36">
        <v>25</v>
      </c>
      <c r="AG1395" s="120">
        <f t="shared" si="167"/>
        <v>913.25</v>
      </c>
      <c r="AH1395" s="36"/>
      <c r="AI1395" s="124"/>
      <c r="AJ1395" s="122" t="s">
        <v>4430</v>
      </c>
      <c r="AK1395" s="129" t="str">
        <f t="shared" ca="1" si="164"/>
        <v>Late</v>
      </c>
      <c r="AL1395" s="268" t="str">
        <f t="shared" si="165"/>
        <v>June</v>
      </c>
      <c r="AM1395" s="133">
        <f>YEAR(Table1[[#This Row],[ETA
As requested
dd.mm.yyyy]])</f>
        <v>2025</v>
      </c>
    </row>
    <row r="1396" spans="1:39" hidden="1">
      <c r="A1396" s="123" t="s">
        <v>27</v>
      </c>
      <c r="B1396" s="36" t="s">
        <v>1170</v>
      </c>
      <c r="C1396" s="117">
        <v>5500511017</v>
      </c>
      <c r="D1396" s="165">
        <v>45446</v>
      </c>
      <c r="E1396" s="117" t="s">
        <v>179</v>
      </c>
      <c r="F1396" s="36" t="str">
        <f>IFERROR(VLOOKUP(Table1[[#This Row],[Part Number]],DATABASE_FG!$C$6:D11385,2,FALSE)," ")</f>
        <v>HOUSING            DBD.10P1X/V</v>
      </c>
      <c r="G1396" s="117" t="str">
        <f>IFERROR(_xlfn.XLOOKUP(Table1[[#This Row],[Part Number]],Table3[Part number],Table3[Drawing
 Revision]),"")</f>
        <v>AH</v>
      </c>
      <c r="H1396" s="118" cm="1">
        <f t="array" ref="H1396">IFERROR(INDEX(PDB!$C:$AT,MATCH(E1396,PDB!$B:$B,0),MATCH(YEAR(K1396),0+PDB!$C$1:$AT$1,0)),"")</f>
        <v>36.53</v>
      </c>
      <c r="I1396" s="36">
        <v>5</v>
      </c>
      <c r="J1396" s="125">
        <f>IFERROR(Table1[[#This Row],[Quantity]]*Table1[[#This Row],[Price/Unit
EUR]]," ")</f>
        <v>182.65</v>
      </c>
      <c r="K1396" s="126">
        <v>45834</v>
      </c>
      <c r="L1396" s="36">
        <f>WEEKNUM(Table1[[#This Row],[ETA
As requested
dd.mm.yyyy]])</f>
        <v>26</v>
      </c>
      <c r="M1396" s="36">
        <f>YEAR(Table1[[#This Row],[ETA
As requested
dd.mm.yyyy]])</f>
        <v>2025</v>
      </c>
      <c r="N1396" s="36">
        <f>IFERROR(INDEX(DATABASE_FG!$H$5:$H$367, MATCH(E1396, DATABASE_FG!$C$5:$C$367, 0)), " ")</f>
        <v>74</v>
      </c>
      <c r="O1396" s="129" t="str">
        <f>IF(E1396&lt;&gt;"", _xlfn.XLOOKUP(E1396, DATABASE_FG!C:C, DATABASE_FG!F:F), " ")</f>
        <v>DBD.10</v>
      </c>
      <c r="P1396" s="129">
        <f>IFERROR(INDEX(DATABASE_FG!$G$5:$G$367, MATCH(E1396, DATABASE_FG!$C$5:$C$367, 0)), "Not Found")</f>
        <v>20</v>
      </c>
      <c r="Q1396" s="36">
        <v>60</v>
      </c>
      <c r="R1396" s="125" t="s">
        <v>678</v>
      </c>
      <c r="S1396" s="123">
        <f>IFERROR(INDEX(DATABASE_FG!$L$5:$L$367, MATCH(E1396, DATABASE_FG!$C$5:$C$367, 0)), " ")</f>
        <v>56</v>
      </c>
      <c r="T1396" s="36" t="s">
        <v>677</v>
      </c>
      <c r="U1396" s="36"/>
      <c r="V1396" s="36"/>
      <c r="W1396" s="129"/>
      <c r="X1396" s="36"/>
      <c r="Y1396" s="36"/>
      <c r="Z1396" s="36"/>
      <c r="AA1396" s="125" t="s">
        <v>121</v>
      </c>
      <c r="AB1396" s="173">
        <v>45842</v>
      </c>
      <c r="AC1396" s="119">
        <v>251020</v>
      </c>
      <c r="AD1396" s="36">
        <f t="shared" si="166"/>
        <v>5500511017</v>
      </c>
      <c r="AE1396" s="36" t="str">
        <f t="shared" si="153"/>
        <v>R900305232</v>
      </c>
      <c r="AF1396" s="36">
        <v>5</v>
      </c>
      <c r="AG1396" s="120">
        <f t="shared" si="167"/>
        <v>182.65</v>
      </c>
      <c r="AH1396" s="36"/>
      <c r="AI1396" s="124" t="s">
        <v>3320</v>
      </c>
      <c r="AJ1396" s="122" t="s">
        <v>3321</v>
      </c>
      <c r="AK1396" s="129" t="str">
        <f t="shared" ca="1" si="164"/>
        <v>Late</v>
      </c>
      <c r="AL1396" s="268" t="str">
        <f t="shared" si="165"/>
        <v>June</v>
      </c>
      <c r="AM1396" s="133">
        <f>YEAR(Table1[[#This Row],[ETA
As requested
dd.mm.yyyy]])</f>
        <v>2025</v>
      </c>
    </row>
    <row r="1397" spans="1:39" hidden="1">
      <c r="A1397" s="123" t="s">
        <v>27</v>
      </c>
      <c r="B1397" s="36" t="s">
        <v>2464</v>
      </c>
      <c r="C1397" s="117">
        <v>5500511017</v>
      </c>
      <c r="D1397" s="165">
        <v>45446</v>
      </c>
      <c r="E1397" s="117" t="s">
        <v>179</v>
      </c>
      <c r="F1397" s="36" t="str">
        <f>IFERROR(VLOOKUP(Table1[[#This Row],[Part Number]],DATABASE_FG!$C$6:D11386,2,FALSE)," ")</f>
        <v>HOUSING            DBD.10P1X/V</v>
      </c>
      <c r="G1397" s="117" t="str">
        <f>IFERROR(_xlfn.XLOOKUP(Table1[[#This Row],[Part Number]],Table3[Part number],Table3[Drawing
 Revision]),"")</f>
        <v>AH</v>
      </c>
      <c r="H1397" s="118" cm="1">
        <f t="array" ref="H1397">IFERROR(INDEX(PDB!$C:$AT,MATCH(E1397,PDB!$B:$B,0),MATCH(YEAR(K1397),0+PDB!$C$1:$AT$1,0)),"")</f>
        <v>36.53</v>
      </c>
      <c r="I1397" s="36">
        <v>4</v>
      </c>
      <c r="J1397" s="125">
        <f>IFERROR(Table1[[#This Row],[Quantity]]*Table1[[#This Row],[Price/Unit
EUR]]," ")</f>
        <v>146.12</v>
      </c>
      <c r="K1397" s="126">
        <v>45887</v>
      </c>
      <c r="L1397" s="36">
        <f>WEEKNUM(Table1[[#This Row],[ETA
As requested
dd.mm.yyyy]])</f>
        <v>34</v>
      </c>
      <c r="M1397" s="36">
        <f>YEAR(Table1[[#This Row],[ETA
As requested
dd.mm.yyyy]])</f>
        <v>2025</v>
      </c>
      <c r="N1397" s="36">
        <f>IFERROR(INDEX(DATABASE_FG!$H$5:$H$367, MATCH(E1397, DATABASE_FG!$C$5:$C$367, 0)), " ")</f>
        <v>74</v>
      </c>
      <c r="O1397" s="129" t="str">
        <f>IF(E1397&lt;&gt;"", _xlfn.XLOOKUP(E1397, DATABASE_FG!C:C, DATABASE_FG!F:F), " ")</f>
        <v>DBD.10</v>
      </c>
      <c r="P1397" s="129">
        <f>IFERROR(INDEX(DATABASE_FG!$G$5:$G$367, MATCH(E1397, DATABASE_FG!$C$5:$C$367, 0)), "Not Found")</f>
        <v>20</v>
      </c>
      <c r="Q1397" s="36">
        <v>60</v>
      </c>
      <c r="R1397" s="125" t="s">
        <v>678</v>
      </c>
      <c r="S1397" s="123">
        <f>IFERROR(INDEX(DATABASE_FG!$L$5:$L$367, MATCH(E1397, DATABASE_FG!$C$5:$C$367, 0)), " ")</f>
        <v>56</v>
      </c>
      <c r="T1397" s="36" t="s">
        <v>677</v>
      </c>
      <c r="U1397" s="36"/>
      <c r="V1397" s="36"/>
      <c r="W1397" s="129"/>
      <c r="X1397" s="36"/>
      <c r="Y1397" s="36"/>
      <c r="Z1397" s="36"/>
      <c r="AA1397" s="125" t="s">
        <v>121</v>
      </c>
      <c r="AB1397" s="173">
        <v>45915</v>
      </c>
      <c r="AC1397" s="119">
        <v>251151</v>
      </c>
      <c r="AD1397" s="36">
        <f t="shared" si="166"/>
        <v>5500511017</v>
      </c>
      <c r="AE1397" s="36" t="str">
        <f t="shared" si="153"/>
        <v>R900305232</v>
      </c>
      <c r="AF1397" s="36">
        <v>4</v>
      </c>
      <c r="AG1397" s="120">
        <f t="shared" si="167"/>
        <v>146.12</v>
      </c>
      <c r="AH1397" s="36"/>
      <c r="AI1397" s="124"/>
      <c r="AJ1397" s="122"/>
      <c r="AK1397" s="129" t="str">
        <f t="shared" ca="1" si="164"/>
        <v>Late</v>
      </c>
      <c r="AL1397" s="268" t="str">
        <f t="shared" si="165"/>
        <v>August</v>
      </c>
      <c r="AM1397" s="133">
        <f>YEAR(Table1[[#This Row],[ETA
As requested
dd.mm.yyyy]])</f>
        <v>2025</v>
      </c>
    </row>
    <row r="1398" spans="1:39" hidden="1">
      <c r="A1398" s="123" t="s">
        <v>27</v>
      </c>
      <c r="B1398" s="36" t="s">
        <v>2464</v>
      </c>
      <c r="C1398" s="117">
        <v>5500511017</v>
      </c>
      <c r="D1398" s="165">
        <v>45446</v>
      </c>
      <c r="E1398" s="117" t="s">
        <v>179</v>
      </c>
      <c r="F1398" s="36" t="str">
        <f>IFERROR(VLOOKUP(Table1[[#This Row],[Part Number]],DATABASE_FG!$C$6:D11387,2,FALSE)," ")</f>
        <v>HOUSING            DBD.10P1X/V</v>
      </c>
      <c r="G1398" s="117" t="str">
        <f>IFERROR(_xlfn.XLOOKUP(Table1[[#This Row],[Part Number]],Table3[Part number],Table3[Drawing
 Revision]),"")</f>
        <v>AH</v>
      </c>
      <c r="H1398" s="118" cm="1">
        <f t="array" ref="H1398">IFERROR(INDEX(PDB!$C:$AT,MATCH(E1398,PDB!$B:$B,0),MATCH(YEAR(K1398),0+PDB!$C$1:$AT$1,0)),"")</f>
        <v>36.53</v>
      </c>
      <c r="I1398" s="36">
        <v>63</v>
      </c>
      <c r="J1398" s="125">
        <f>IFERROR(Table1[[#This Row],[Quantity]]*Table1[[#This Row],[Price/Unit
EUR]]," ")</f>
        <v>2301.39</v>
      </c>
      <c r="K1398" s="126">
        <v>45911</v>
      </c>
      <c r="L1398" s="36">
        <f>WEEKNUM(Table1[[#This Row],[ETA
As requested
dd.mm.yyyy]])</f>
        <v>37</v>
      </c>
      <c r="M1398" s="36">
        <f>YEAR(Table1[[#This Row],[ETA
As requested
dd.mm.yyyy]])</f>
        <v>2025</v>
      </c>
      <c r="N1398" s="36">
        <f>IFERROR(INDEX(DATABASE_FG!$H$5:$H$367, MATCH(E1398, DATABASE_FG!$C$5:$C$367, 0)), " ")</f>
        <v>74</v>
      </c>
      <c r="O1398" s="129" t="str">
        <f>IF(E1398&lt;&gt;"", _xlfn.XLOOKUP(E1398, DATABASE_FG!C:C, DATABASE_FG!F:F), " ")</f>
        <v>DBD.10</v>
      </c>
      <c r="P1398" s="129">
        <f>IFERROR(INDEX(DATABASE_FG!$G$5:$G$367, MATCH(E1398, DATABASE_FG!$C$5:$C$367, 0)), "Not Found")</f>
        <v>20</v>
      </c>
      <c r="Q1398" s="36">
        <v>60</v>
      </c>
      <c r="R1398" s="125" t="s">
        <v>678</v>
      </c>
      <c r="S1398" s="123">
        <f>IFERROR(INDEX(DATABASE_FG!$L$5:$L$367, MATCH(E1398, DATABASE_FG!$C$5:$C$367, 0)), " ")</f>
        <v>56</v>
      </c>
      <c r="T1398" s="36" t="s">
        <v>677</v>
      </c>
      <c r="U1398" s="36"/>
      <c r="V1398" s="36"/>
      <c r="W1398" s="129"/>
      <c r="X1398" s="36"/>
      <c r="Y1398" s="36"/>
      <c r="Z1398" s="36"/>
      <c r="AA1398" s="125" t="s">
        <v>121</v>
      </c>
      <c r="AB1398" s="173">
        <v>45915</v>
      </c>
      <c r="AC1398" s="119">
        <v>251151</v>
      </c>
      <c r="AD1398" s="36">
        <f t="shared" si="166"/>
        <v>5500511017</v>
      </c>
      <c r="AE1398" s="36" t="str">
        <f t="shared" si="153"/>
        <v>R900305232</v>
      </c>
      <c r="AF1398" s="36">
        <v>63</v>
      </c>
      <c r="AG1398" s="120">
        <f t="shared" si="167"/>
        <v>2301.39</v>
      </c>
      <c r="AH1398" s="36"/>
      <c r="AI1398" s="124"/>
      <c r="AJ1398" s="122"/>
      <c r="AK1398" s="129" t="str">
        <f t="shared" ca="1" si="164"/>
        <v>Late</v>
      </c>
      <c r="AL1398" s="268" t="str">
        <f t="shared" si="165"/>
        <v>September</v>
      </c>
      <c r="AM1398" s="133">
        <f>YEAR(Table1[[#This Row],[ETA
As requested
dd.mm.yyyy]])</f>
        <v>2025</v>
      </c>
    </row>
    <row r="1399" spans="1:39" hidden="1">
      <c r="A1399" s="123" t="s">
        <v>27</v>
      </c>
      <c r="B1399" s="36" t="s">
        <v>2464</v>
      </c>
      <c r="C1399" s="117">
        <v>5500511017</v>
      </c>
      <c r="D1399" s="165">
        <v>45446</v>
      </c>
      <c r="E1399" s="117" t="s">
        <v>179</v>
      </c>
      <c r="F1399" s="36" t="str">
        <f>IFERROR(VLOOKUP(Table1[[#This Row],[Part Number]],DATABASE_FG!$C$6:D11388,2,FALSE)," ")</f>
        <v>HOUSING            DBD.10P1X/V</v>
      </c>
      <c r="G1399" s="117" t="str">
        <f>IFERROR(_xlfn.XLOOKUP(Table1[[#This Row],[Part Number]],Table3[Part number],Table3[Drawing
 Revision]),"")</f>
        <v>AH</v>
      </c>
      <c r="H1399" s="118" cm="1">
        <f t="array" ref="H1399">IFERROR(INDEX(PDB!$C:$AT,MATCH(E1399,PDB!$B:$B,0),MATCH(YEAR(K1399),0+PDB!$C$1:$AT$1,0)),"")</f>
        <v>0</v>
      </c>
      <c r="I1399" s="36">
        <v>32</v>
      </c>
      <c r="J1399" s="125">
        <f>IFERROR(Table1[[#This Row],[Quantity]]*Table1[[#This Row],[Price/Unit
EUR]]," ")</f>
        <v>0</v>
      </c>
      <c r="K1399" s="126">
        <v>46076</v>
      </c>
      <c r="L1399" s="36">
        <f>WEEKNUM(Table1[[#This Row],[ETA
As requested
dd.mm.yyyy]])</f>
        <v>9</v>
      </c>
      <c r="M1399" s="36">
        <f>YEAR(Table1[[#This Row],[ETA
As requested
dd.mm.yyyy]])</f>
        <v>2026</v>
      </c>
      <c r="N1399" s="36">
        <f>IFERROR(INDEX(DATABASE_FG!$H$5:$H$367, MATCH(E1399, DATABASE_FG!$C$5:$C$367, 0)), " ")</f>
        <v>74</v>
      </c>
      <c r="O1399" s="129" t="str">
        <f>IF(E1399&lt;&gt;"", _xlfn.XLOOKUP(E1399, DATABASE_FG!C:C, DATABASE_FG!F:F), " ")</f>
        <v>DBD.10</v>
      </c>
      <c r="P1399" s="129">
        <f>IFERROR(INDEX(DATABASE_FG!$G$5:$G$367, MATCH(E1399, DATABASE_FG!$C$5:$C$367, 0)), "Not Found")</f>
        <v>20</v>
      </c>
      <c r="Q1399" s="36">
        <v>60</v>
      </c>
      <c r="R1399" s="125" t="s">
        <v>678</v>
      </c>
      <c r="S1399" s="123">
        <f>IFERROR(INDEX(DATABASE_FG!$L$5:$L$367, MATCH(E1399, DATABASE_FG!$C$5:$C$367, 0)), " ")</f>
        <v>56</v>
      </c>
      <c r="T1399" s="36" t="s">
        <v>677</v>
      </c>
      <c r="U1399" s="36"/>
      <c r="V1399" s="36"/>
      <c r="W1399" s="129"/>
      <c r="X1399" s="36"/>
      <c r="Y1399" s="36"/>
      <c r="Z1399" s="36"/>
      <c r="AA1399" s="125" t="s">
        <v>3</v>
      </c>
      <c r="AB1399" s="173"/>
      <c r="AC1399" s="119"/>
      <c r="AD1399" s="36" t="str">
        <f t="shared" si="166"/>
        <v/>
      </c>
      <c r="AE1399" s="36" t="str">
        <f t="shared" si="153"/>
        <v/>
      </c>
      <c r="AF1399" s="36"/>
      <c r="AG1399" s="120">
        <f t="shared" si="167"/>
        <v>0</v>
      </c>
      <c r="AH1399" s="36"/>
      <c r="AI1399" s="124"/>
      <c r="AJ1399" s="122"/>
      <c r="AK1399" s="129" t="str">
        <f t="shared" ca="1" si="164"/>
        <v/>
      </c>
      <c r="AL1399" s="268" t="str">
        <f t="shared" si="165"/>
        <v>February</v>
      </c>
      <c r="AM1399" s="133">
        <f>YEAR(Table1[[#This Row],[ETA
As requested
dd.mm.yyyy]])</f>
        <v>2026</v>
      </c>
    </row>
    <row r="1400" spans="1:39" hidden="1">
      <c r="A1400" s="123" t="s">
        <v>27</v>
      </c>
      <c r="B1400" s="36" t="s">
        <v>1170</v>
      </c>
      <c r="C1400" s="117">
        <v>5500511018</v>
      </c>
      <c r="D1400" s="165">
        <v>45446</v>
      </c>
      <c r="E1400" s="117" t="s">
        <v>38</v>
      </c>
      <c r="F1400" s="36" t="str">
        <f>IFERROR(VLOOKUP(Table1[[#This Row],[Part Number]],DATABASE_FG!$C$6:D11389,2,FALSE)," ")</f>
        <v>HOUSING            DBD.15G1X/</v>
      </c>
      <c r="G1400" s="117" t="str">
        <f>IFERROR(_xlfn.XLOOKUP(Table1[[#This Row],[Part Number]],Table3[Part number],Table3[Drawing
 Revision]),"")</f>
        <v>g</v>
      </c>
      <c r="H1400" s="118" cm="1">
        <f t="array" ref="H1400">IFERROR(INDEX(PDB!$C:$AT,MATCH(E1400,PDB!$B:$B,0),MATCH(YEAR(K1400),0+PDB!$C$1:$AT$1,0)),"")</f>
        <v>42.67</v>
      </c>
      <c r="I1400" s="36">
        <v>41</v>
      </c>
      <c r="J1400" s="125">
        <f>IFERROR(Table1[[#This Row],[Quantity]]*Table1[[#This Row],[Price/Unit
EUR]]," ")</f>
        <v>1749.47</v>
      </c>
      <c r="K1400" s="126">
        <v>45639</v>
      </c>
      <c r="L1400" s="36">
        <f>WEEKNUM(Table1[[#This Row],[ETA
As requested
dd.mm.yyyy]])</f>
        <v>50</v>
      </c>
      <c r="M1400" s="36">
        <f>YEAR(Table1[[#This Row],[ETA
As requested
dd.mm.yyyy]])</f>
        <v>2024</v>
      </c>
      <c r="N1400" s="36">
        <f>IFERROR(INDEX(DATABASE_FG!$H$5:$H$367, MATCH(E1400, DATABASE_FG!$C$5:$C$367, 0)), " ")</f>
        <v>67</v>
      </c>
      <c r="O1400" s="129" t="str">
        <f>IF(E1400&lt;&gt;"", _xlfn.XLOOKUP(E1400, DATABASE_FG!C:C, DATABASE_FG!F:F), " ")</f>
        <v>DBD.15</v>
      </c>
      <c r="P1400" s="129">
        <f>IFERROR(INDEX(DATABASE_FG!$G$5:$G$367, MATCH(E1400, DATABASE_FG!$C$5:$C$367, 0)), "Not Found")</f>
        <v>64</v>
      </c>
      <c r="Q1400" s="36">
        <v>60</v>
      </c>
      <c r="R1400" s="125" t="s">
        <v>678</v>
      </c>
      <c r="S1400" s="123">
        <f>IFERROR(INDEX(DATABASE_FG!$L$5:$L$367, MATCH(E1400, DATABASE_FG!$C$5:$C$367, 0)), " ")</f>
        <v>56</v>
      </c>
      <c r="T1400" s="36" t="s">
        <v>677</v>
      </c>
      <c r="U1400" s="36"/>
      <c r="V1400" s="36"/>
      <c r="W1400" s="129"/>
      <c r="X1400" s="36"/>
      <c r="Y1400" s="36"/>
      <c r="Z1400" s="36"/>
      <c r="AA1400" s="125" t="s">
        <v>121</v>
      </c>
      <c r="AB1400" s="173">
        <v>45638</v>
      </c>
      <c r="AC1400" s="119">
        <v>202401526</v>
      </c>
      <c r="AD1400" s="36">
        <f t="shared" si="166"/>
        <v>5500511018</v>
      </c>
      <c r="AE1400" s="36" t="str">
        <f t="shared" si="153"/>
        <v>R900305233</v>
      </c>
      <c r="AF1400" s="36">
        <v>41</v>
      </c>
      <c r="AG1400" s="120">
        <f t="shared" si="167"/>
        <v>1749.47</v>
      </c>
      <c r="AH1400" s="36"/>
      <c r="AI1400" s="124"/>
      <c r="AJ1400" s="122" t="s">
        <v>2667</v>
      </c>
      <c r="AK1400" s="129" t="str">
        <f t="shared" ca="1" si="164"/>
        <v>On Time</v>
      </c>
      <c r="AL1400" s="268" t="str">
        <f t="shared" si="165"/>
        <v>December</v>
      </c>
      <c r="AM1400" s="133">
        <f>YEAR(Table1[[#This Row],[ETA
As requested
dd.mm.yyyy]])</f>
        <v>2024</v>
      </c>
    </row>
    <row r="1401" spans="1:39" hidden="1">
      <c r="A1401" s="123" t="s">
        <v>27</v>
      </c>
      <c r="B1401" s="36" t="s">
        <v>1170</v>
      </c>
      <c r="C1401" s="117">
        <v>5500511018</v>
      </c>
      <c r="D1401" s="165">
        <v>45446</v>
      </c>
      <c r="E1401" s="117" t="s">
        <v>38</v>
      </c>
      <c r="F1401" s="36" t="str">
        <f>IFERROR(VLOOKUP(Table1[[#This Row],[Part Number]],DATABASE_FG!$C$6:D11390,2,FALSE)," ")</f>
        <v>HOUSING            DBD.15G1X/</v>
      </c>
      <c r="G1401" s="117" t="str">
        <f>IFERROR(_xlfn.XLOOKUP(Table1[[#This Row],[Part Number]],Table3[Part number],Table3[Drawing
 Revision]),"")</f>
        <v>g</v>
      </c>
      <c r="H1401" s="118" cm="1">
        <f t="array" ref="H1401">IFERROR(INDEX(PDB!$C:$AT,MATCH(E1401,PDB!$B:$B,0),MATCH(YEAR(K1401),0+PDB!$C$1:$AT$1,0)),"")</f>
        <v>42.46</v>
      </c>
      <c r="I1401" s="36">
        <v>16</v>
      </c>
      <c r="J1401" s="125">
        <f>IFERROR(Table1[[#This Row],[Quantity]]*Table1[[#This Row],[Price/Unit
EUR]]," ")</f>
        <v>679.36</v>
      </c>
      <c r="K1401" s="126">
        <v>45692</v>
      </c>
      <c r="L1401" s="36">
        <f>WEEKNUM(Table1[[#This Row],[ETA
As requested
dd.mm.yyyy]])</f>
        <v>6</v>
      </c>
      <c r="M1401" s="36">
        <f>YEAR(Table1[[#This Row],[ETA
As requested
dd.mm.yyyy]])</f>
        <v>2025</v>
      </c>
      <c r="N1401" s="36">
        <f>IFERROR(INDEX(DATABASE_FG!$H$5:$H$367, MATCH(E1401, DATABASE_FG!$C$5:$C$367, 0)), " ")</f>
        <v>67</v>
      </c>
      <c r="O1401" s="129" t="str">
        <f>IF(E1401&lt;&gt;"", _xlfn.XLOOKUP(E1401, DATABASE_FG!C:C, DATABASE_FG!F:F), " ")</f>
        <v>DBD.15</v>
      </c>
      <c r="P1401" s="129">
        <f>IFERROR(INDEX(DATABASE_FG!$G$5:$G$367, MATCH(E1401, DATABASE_FG!$C$5:$C$367, 0)), "Not Found")</f>
        <v>64</v>
      </c>
      <c r="Q1401" s="36">
        <v>60</v>
      </c>
      <c r="R1401" s="125" t="s">
        <v>678</v>
      </c>
      <c r="S1401" s="123">
        <f>IFERROR(INDEX(DATABASE_FG!$L$5:$L$367, MATCH(E1401, DATABASE_FG!$C$5:$C$367, 0)), " ")</f>
        <v>56</v>
      </c>
      <c r="T1401" s="36" t="s">
        <v>677</v>
      </c>
      <c r="U1401" s="36"/>
      <c r="V1401" s="36"/>
      <c r="W1401" s="129"/>
      <c r="X1401" s="36"/>
      <c r="Y1401" s="36"/>
      <c r="Z1401" s="36"/>
      <c r="AA1401" s="125" t="s">
        <v>121</v>
      </c>
      <c r="AB1401" s="173">
        <v>45640</v>
      </c>
      <c r="AC1401" s="119">
        <v>202401555</v>
      </c>
      <c r="AD1401" s="36">
        <f t="shared" si="166"/>
        <v>5500511018</v>
      </c>
      <c r="AE1401" s="36" t="str">
        <f t="shared" si="153"/>
        <v>R900305233</v>
      </c>
      <c r="AF1401" s="36">
        <v>16</v>
      </c>
      <c r="AG1401" s="120">
        <f t="shared" si="167"/>
        <v>679.36</v>
      </c>
      <c r="AH1401" s="36"/>
      <c r="AI1401" s="124"/>
      <c r="AJ1401" s="122" t="s">
        <v>2768</v>
      </c>
      <c r="AK1401" s="129" t="str">
        <f t="shared" ca="1" si="164"/>
        <v>On Time</v>
      </c>
      <c r="AL1401" s="268" t="str">
        <f t="shared" si="165"/>
        <v>February</v>
      </c>
      <c r="AM1401" s="133">
        <f>YEAR(Table1[[#This Row],[ETA
As requested
dd.mm.yyyy]])</f>
        <v>2025</v>
      </c>
    </row>
    <row r="1402" spans="1:39" hidden="1">
      <c r="A1402" s="123" t="s">
        <v>27</v>
      </c>
      <c r="B1402" s="36" t="s">
        <v>1170</v>
      </c>
      <c r="C1402" s="117">
        <v>5500511018</v>
      </c>
      <c r="D1402" s="165">
        <v>45446</v>
      </c>
      <c r="E1402" s="117" t="s">
        <v>38</v>
      </c>
      <c r="F1402" s="36" t="str">
        <f>IFERROR(VLOOKUP(Table1[[#This Row],[Part Number]],DATABASE_FG!$C$6:D11391,2,FALSE)," ")</f>
        <v>HOUSING            DBD.15G1X/</v>
      </c>
      <c r="G1402" s="117" t="str">
        <f>IFERROR(_xlfn.XLOOKUP(Table1[[#This Row],[Part Number]],Table3[Part number],Table3[Drawing
 Revision]),"")</f>
        <v>g</v>
      </c>
      <c r="H1402" s="118" cm="1">
        <f t="array" ref="H1402">IFERROR(INDEX(PDB!$C:$AT,MATCH(E1402,PDB!$B:$B,0),MATCH(YEAR(K1402),0+PDB!$C$1:$AT$1,0)),"")</f>
        <v>42.46</v>
      </c>
      <c r="I1402" s="36">
        <v>8</v>
      </c>
      <c r="J1402" s="125">
        <f>IFERROR(Table1[[#This Row],[Quantity]]*Table1[[#This Row],[Price/Unit
EUR]]," ")</f>
        <v>339.68</v>
      </c>
      <c r="K1402" s="126">
        <v>45705</v>
      </c>
      <c r="L1402" s="36">
        <f>WEEKNUM(Table1[[#This Row],[ETA
As requested
dd.mm.yyyy]])</f>
        <v>8</v>
      </c>
      <c r="M1402" s="36">
        <f>YEAR(Table1[[#This Row],[ETA
As requested
dd.mm.yyyy]])</f>
        <v>2025</v>
      </c>
      <c r="N1402" s="36">
        <f>IFERROR(INDEX(DATABASE_FG!$H$5:$H$367, MATCH(E1402, DATABASE_FG!$C$5:$C$367, 0)), " ")</f>
        <v>67</v>
      </c>
      <c r="O1402" s="129" t="str">
        <f>IF(E1402&lt;&gt;"", _xlfn.XLOOKUP(E1402, DATABASE_FG!C:C, DATABASE_FG!F:F), " ")</f>
        <v>DBD.15</v>
      </c>
      <c r="P1402" s="129">
        <f>IFERROR(INDEX(DATABASE_FG!$G$5:$G$367, MATCH(E1402, DATABASE_FG!$C$5:$C$367, 0)), "Not Found")</f>
        <v>64</v>
      </c>
      <c r="Q1402" s="36">
        <v>60</v>
      </c>
      <c r="R1402" s="125" t="s">
        <v>678</v>
      </c>
      <c r="S1402" s="123">
        <f>IFERROR(INDEX(DATABASE_FG!$L$5:$L$367, MATCH(E1402, DATABASE_FG!$C$5:$C$367, 0)), " ")</f>
        <v>56</v>
      </c>
      <c r="T1402" s="36" t="s">
        <v>677</v>
      </c>
      <c r="U1402" s="36"/>
      <c r="V1402" s="36"/>
      <c r="W1402" s="129"/>
      <c r="X1402" s="36"/>
      <c r="Y1402" s="36"/>
      <c r="Z1402" s="36"/>
      <c r="AA1402" s="125" t="s">
        <v>121</v>
      </c>
      <c r="AB1402" s="173">
        <v>45715</v>
      </c>
      <c r="AC1402" s="119">
        <v>25269</v>
      </c>
      <c r="AD1402" s="36">
        <f t="shared" si="166"/>
        <v>5500511018</v>
      </c>
      <c r="AE1402" s="36" t="str">
        <f t="shared" si="153"/>
        <v>R900305233</v>
      </c>
      <c r="AF1402" s="36">
        <v>8</v>
      </c>
      <c r="AG1402" s="120">
        <f t="shared" si="167"/>
        <v>339.68</v>
      </c>
      <c r="AH1402" s="36"/>
      <c r="AI1402" s="124"/>
      <c r="AJ1402" s="122" t="s">
        <v>2821</v>
      </c>
      <c r="AK1402" s="129" t="str">
        <f t="shared" ca="1" si="164"/>
        <v>Late</v>
      </c>
      <c r="AL1402" s="268" t="str">
        <f t="shared" si="165"/>
        <v>February</v>
      </c>
      <c r="AM1402" s="133">
        <f>YEAR(Table1[[#This Row],[ETA
As requested
dd.mm.yyyy]])</f>
        <v>2025</v>
      </c>
    </row>
    <row r="1403" spans="1:39" hidden="1">
      <c r="A1403" s="123" t="s">
        <v>27</v>
      </c>
      <c r="B1403" s="36" t="s">
        <v>1170</v>
      </c>
      <c r="C1403" s="117">
        <v>5500511018</v>
      </c>
      <c r="D1403" s="165">
        <v>45446</v>
      </c>
      <c r="E1403" s="117" t="s">
        <v>38</v>
      </c>
      <c r="F1403" s="36" t="str">
        <f>IFERROR(VLOOKUP(Table1[[#This Row],[Part Number]],DATABASE_FG!$C$6:D11392,2,FALSE)," ")</f>
        <v>HOUSING            DBD.15G1X/</v>
      </c>
      <c r="G1403" s="117" t="str">
        <f>IFERROR(_xlfn.XLOOKUP(Table1[[#This Row],[Part Number]],Table3[Part number],Table3[Drawing
 Revision]),"")</f>
        <v>g</v>
      </c>
      <c r="H1403" s="118" cm="1">
        <f t="array" ref="H1403">IFERROR(INDEX(PDB!$C:$AT,MATCH(E1403,PDB!$B:$B,0),MATCH(YEAR(K1403),0+PDB!$C$1:$AT$1,0)),"")</f>
        <v>42.46</v>
      </c>
      <c r="I1403" s="36">
        <v>69</v>
      </c>
      <c r="J1403" s="125">
        <f>IFERROR(Table1[[#This Row],[Quantity]]*Table1[[#This Row],[Price/Unit
EUR]]," ")</f>
        <v>2929.7400000000002</v>
      </c>
      <c r="K1403" s="126">
        <v>45784</v>
      </c>
      <c r="L1403" s="36">
        <v>20</v>
      </c>
      <c r="M1403" s="36">
        <f>YEAR(Table1[[#This Row],[ETA
As requested
dd.mm.yyyy]])</f>
        <v>2025</v>
      </c>
      <c r="N1403" s="36">
        <f>IFERROR(INDEX(DATABASE_FG!$H$5:$H$367, MATCH(E1403, DATABASE_FG!$C$5:$C$367, 0)), " ")</f>
        <v>67</v>
      </c>
      <c r="O1403" s="129" t="str">
        <f>IF(E1403&lt;&gt;"", _xlfn.XLOOKUP(E1403, DATABASE_FG!C:C, DATABASE_FG!F:F), " ")</f>
        <v>DBD.15</v>
      </c>
      <c r="P1403" s="129">
        <f>IFERROR(INDEX(DATABASE_FG!$G$5:$G$367, MATCH(E1403, DATABASE_FG!$C$5:$C$367, 0)), "Not Found")</f>
        <v>64</v>
      </c>
      <c r="Q1403" s="36">
        <v>61</v>
      </c>
      <c r="R1403" s="125" t="s">
        <v>678</v>
      </c>
      <c r="S1403" s="123">
        <f>IFERROR(INDEX(DATABASE_FG!$L$5:$L$367, MATCH(E1403, DATABASE_FG!$C$5:$C$367, 0)), " ")</f>
        <v>56</v>
      </c>
      <c r="T1403" s="36" t="s">
        <v>677</v>
      </c>
      <c r="U1403" s="36"/>
      <c r="V1403" s="36"/>
      <c r="W1403" s="129"/>
      <c r="X1403" s="36"/>
      <c r="Y1403" s="36"/>
      <c r="Z1403" s="36"/>
      <c r="AA1403" s="125" t="s">
        <v>121</v>
      </c>
      <c r="AB1403" s="173">
        <v>45807</v>
      </c>
      <c r="AC1403" s="119">
        <v>25859</v>
      </c>
      <c r="AD1403" s="36">
        <f t="shared" si="166"/>
        <v>5500511018</v>
      </c>
      <c r="AE1403" s="36" t="str">
        <f t="shared" si="153"/>
        <v>R900305233</v>
      </c>
      <c r="AF1403" s="36">
        <v>69</v>
      </c>
      <c r="AG1403" s="120">
        <f t="shared" si="167"/>
        <v>2929.7400000000002</v>
      </c>
      <c r="AH1403" s="36"/>
      <c r="AI1403" s="124"/>
      <c r="AJ1403" s="122" t="s">
        <v>3160</v>
      </c>
      <c r="AK1403" s="129" t="str">
        <f t="shared" ca="1" si="164"/>
        <v>Late</v>
      </c>
      <c r="AL1403" s="268" t="str">
        <f t="shared" si="165"/>
        <v>May</v>
      </c>
      <c r="AM1403" s="133">
        <f>YEAR(Table1[[#This Row],[ETA
As requested
dd.mm.yyyy]])</f>
        <v>2025</v>
      </c>
    </row>
    <row r="1404" spans="1:39" hidden="1">
      <c r="A1404" s="123" t="s">
        <v>27</v>
      </c>
      <c r="B1404" s="36" t="s">
        <v>1170</v>
      </c>
      <c r="C1404" s="117">
        <v>5500511018</v>
      </c>
      <c r="D1404" s="165">
        <v>45446</v>
      </c>
      <c r="E1404" s="117" t="s">
        <v>38</v>
      </c>
      <c r="F1404" s="36" t="str">
        <f>IFERROR(VLOOKUP(Table1[[#This Row],[Part Number]],DATABASE_FG!$C$6:D11393,2,FALSE)," ")</f>
        <v>HOUSING            DBD.15G1X/</v>
      </c>
      <c r="G1404" s="117" t="str">
        <f>IFERROR(_xlfn.XLOOKUP(Table1[[#This Row],[Part Number]],Table3[Part number],Table3[Drawing
 Revision]),"")</f>
        <v>g</v>
      </c>
      <c r="H1404" s="118" cm="1">
        <f t="array" ref="H1404">IFERROR(INDEX(PDB!$C:$AT,MATCH(E1404,PDB!$B:$B,0),MATCH(YEAR(K1404),0+PDB!$C$1:$AT$1,0)),"")</f>
        <v>42.46</v>
      </c>
      <c r="I1404" s="36">
        <v>30</v>
      </c>
      <c r="J1404" s="125">
        <f>IFERROR(Table1[[#This Row],[Quantity]]*Table1[[#This Row],[Price/Unit
EUR]]," ")</f>
        <v>1273.8</v>
      </c>
      <c r="K1404" s="126">
        <v>45810</v>
      </c>
      <c r="L1404" s="36">
        <f>WEEKNUM(Table1[[#This Row],[ETA
As requested
dd.mm.yyyy]])</f>
        <v>23</v>
      </c>
      <c r="M1404" s="36">
        <f>YEAR(Table1[[#This Row],[ETA
As requested
dd.mm.yyyy]])</f>
        <v>2025</v>
      </c>
      <c r="N1404" s="36">
        <f>IFERROR(INDEX(DATABASE_FG!$H$5:$H$367, MATCH(E1404, DATABASE_FG!$C$5:$C$367, 0)), " ")</f>
        <v>67</v>
      </c>
      <c r="O1404" s="129" t="str">
        <f>IF(E1404&lt;&gt;"", _xlfn.XLOOKUP(E1404, DATABASE_FG!C:C, DATABASE_FG!F:F), " ")</f>
        <v>DBD.15</v>
      </c>
      <c r="P1404" s="129">
        <f>IFERROR(INDEX(DATABASE_FG!$G$5:$G$367, MATCH(E1404, DATABASE_FG!$C$5:$C$367, 0)), "Not Found")</f>
        <v>64</v>
      </c>
      <c r="Q1404" s="36">
        <v>62</v>
      </c>
      <c r="R1404" s="125" t="s">
        <v>678</v>
      </c>
      <c r="S1404" s="123">
        <f>Table1[[#This Row],[Quantity]]/48</f>
        <v>0.625</v>
      </c>
      <c r="T1404" s="36"/>
      <c r="U1404" s="36"/>
      <c r="V1404" s="36"/>
      <c r="W1404" s="129"/>
      <c r="X1404" s="36"/>
      <c r="Y1404" s="36"/>
      <c r="Z1404" s="36"/>
      <c r="AA1404" s="125" t="s">
        <v>121</v>
      </c>
      <c r="AB1404" s="173">
        <v>45838</v>
      </c>
      <c r="AC1404" s="119">
        <v>260022</v>
      </c>
      <c r="AD1404" s="36">
        <f t="shared" si="166"/>
        <v>5500511018</v>
      </c>
      <c r="AE1404" s="36" t="str">
        <f t="shared" si="153"/>
        <v>R900305233</v>
      </c>
      <c r="AF1404" s="36">
        <v>30</v>
      </c>
      <c r="AG1404" s="120">
        <f t="shared" si="167"/>
        <v>1273.8</v>
      </c>
      <c r="AH1404" s="36"/>
      <c r="AI1404" s="124"/>
      <c r="AJ1404" s="122" t="s">
        <v>4432</v>
      </c>
      <c r="AK1404" s="129" t="str">
        <f t="shared" ca="1" si="164"/>
        <v>Late</v>
      </c>
      <c r="AL1404" s="268" t="str">
        <f t="shared" si="165"/>
        <v>June</v>
      </c>
      <c r="AM1404" s="133">
        <f>YEAR(Table1[[#This Row],[ETA
As requested
dd.mm.yyyy]])</f>
        <v>2025</v>
      </c>
    </row>
    <row r="1405" spans="1:39" hidden="1">
      <c r="A1405" s="123" t="s">
        <v>27</v>
      </c>
      <c r="B1405" s="36" t="s">
        <v>1170</v>
      </c>
      <c r="C1405" s="117">
        <v>5500511018</v>
      </c>
      <c r="D1405" s="165">
        <v>45446</v>
      </c>
      <c r="E1405" s="117" t="s">
        <v>38</v>
      </c>
      <c r="F1405" s="36" t="str">
        <f>IFERROR(VLOOKUP(Table1[[#This Row],[Part Number]],DATABASE_FG!$C$6:D11394,2,FALSE)," ")</f>
        <v>HOUSING            DBD.15G1X/</v>
      </c>
      <c r="G1405" s="117" t="str">
        <f>IFERROR(_xlfn.XLOOKUP(Table1[[#This Row],[Part Number]],Table3[Part number],Table3[Drawing
 Revision]),"")</f>
        <v>g</v>
      </c>
      <c r="H1405" s="118" cm="1">
        <f t="array" ref="H1405">IFERROR(INDEX(PDB!$C:$AT,MATCH(E1405,PDB!$B:$B,0),MATCH(YEAR(K1405),0+PDB!$C$1:$AT$1,0)),"")</f>
        <v>42.46</v>
      </c>
      <c r="I1405" s="36">
        <v>77</v>
      </c>
      <c r="J1405" s="125">
        <f>IFERROR(Table1[[#This Row],[Quantity]]*Table1[[#This Row],[Price/Unit
EUR]]," ")</f>
        <v>3269.42</v>
      </c>
      <c r="K1405" s="126">
        <v>45810</v>
      </c>
      <c r="L1405" s="36">
        <f>WEEKNUM(Table1[[#This Row],[ETA
As requested
dd.mm.yyyy]])</f>
        <v>23</v>
      </c>
      <c r="M1405" s="36">
        <f>YEAR(Table1[[#This Row],[ETA
As requested
dd.mm.yyyy]])</f>
        <v>2025</v>
      </c>
      <c r="N1405" s="36">
        <f>IFERROR(INDEX(DATABASE_FG!$H$5:$H$367, MATCH(E1405, DATABASE_FG!$C$5:$C$367, 0)), " ")</f>
        <v>67</v>
      </c>
      <c r="O1405" s="129" t="str">
        <f>IF(E1405&lt;&gt;"", _xlfn.XLOOKUP(E1405, DATABASE_FG!C:C, DATABASE_FG!F:F), " ")</f>
        <v>DBD.15</v>
      </c>
      <c r="P1405" s="129">
        <f>IFERROR(INDEX(DATABASE_FG!$G$5:$G$367, MATCH(E1405, DATABASE_FG!$C$5:$C$367, 0)), "Not Found")</f>
        <v>64</v>
      </c>
      <c r="Q1405" s="36">
        <v>62</v>
      </c>
      <c r="R1405" s="125" t="s">
        <v>678</v>
      </c>
      <c r="S1405" s="123">
        <f>Table1[[#This Row],[Quantity]]/48</f>
        <v>1.6041666666666667</v>
      </c>
      <c r="T1405" s="36"/>
      <c r="U1405" s="36"/>
      <c r="V1405" s="36"/>
      <c r="W1405" s="129"/>
      <c r="X1405" s="36"/>
      <c r="Y1405" s="36"/>
      <c r="Z1405" s="36"/>
      <c r="AA1405" s="125" t="s">
        <v>121</v>
      </c>
      <c r="AB1405" s="173">
        <v>45842</v>
      </c>
      <c r="AC1405" s="119">
        <v>251022</v>
      </c>
      <c r="AD1405" s="36">
        <f t="shared" si="166"/>
        <v>5500511018</v>
      </c>
      <c r="AE1405" s="36" t="str">
        <f t="shared" si="153"/>
        <v>R900305233</v>
      </c>
      <c r="AF1405" s="36">
        <v>77</v>
      </c>
      <c r="AG1405" s="120">
        <f t="shared" si="167"/>
        <v>3269.42</v>
      </c>
      <c r="AH1405" s="36"/>
      <c r="AI1405" s="124"/>
      <c r="AJ1405" s="122" t="s">
        <v>3226</v>
      </c>
      <c r="AK1405" s="129" t="str">
        <f t="shared" ca="1" si="164"/>
        <v>Late</v>
      </c>
      <c r="AL1405" s="268" t="str">
        <f t="shared" si="165"/>
        <v>June</v>
      </c>
      <c r="AM1405" s="133">
        <f>YEAR(Table1[[#This Row],[ETA
As requested
dd.mm.yyyy]])</f>
        <v>2025</v>
      </c>
    </row>
    <row r="1406" spans="1:39" hidden="1">
      <c r="A1406" s="123" t="s">
        <v>27</v>
      </c>
      <c r="B1406" s="36" t="s">
        <v>1170</v>
      </c>
      <c r="C1406" s="117">
        <v>5500511018</v>
      </c>
      <c r="D1406" s="165">
        <v>45446</v>
      </c>
      <c r="E1406" s="117" t="s">
        <v>38</v>
      </c>
      <c r="F1406" s="36" t="str">
        <f>IFERROR(VLOOKUP(Table1[[#This Row],[Part Number]],DATABASE_FG!$C$6:D11395,2,FALSE)," ")</f>
        <v>HOUSING            DBD.15G1X/</v>
      </c>
      <c r="G1406" s="117" t="str">
        <f>IFERROR(_xlfn.XLOOKUP(Table1[[#This Row],[Part Number]],Table3[Part number],Table3[Drawing
 Revision]),"")</f>
        <v>g</v>
      </c>
      <c r="H1406" s="118" cm="1">
        <f t="array" ref="H1406">IFERROR(INDEX(PDB!$C:$AT,MATCH(E1406,PDB!$B:$B,0),MATCH(YEAR(K1406),0+PDB!$C$1:$AT$1,0)),"")</f>
        <v>42.46</v>
      </c>
      <c r="I1406" s="36">
        <f>60-1</f>
        <v>59</v>
      </c>
      <c r="J1406" s="125">
        <f>IFERROR(Table1[[#This Row],[Quantity]]*Table1[[#This Row],[Price/Unit
EUR]]," ")</f>
        <v>2505.14</v>
      </c>
      <c r="K1406" s="126">
        <v>45968</v>
      </c>
      <c r="L1406" s="36">
        <f>WEEKNUM(Table1[[#This Row],[ETA
As requested
dd.mm.yyyy]])</f>
        <v>45</v>
      </c>
      <c r="M1406" s="36">
        <f>YEAR(Table1[[#This Row],[ETA
As requested
dd.mm.yyyy]])</f>
        <v>2025</v>
      </c>
      <c r="N1406" s="36">
        <f>IFERROR(INDEX(DATABASE_FG!$H$5:$H$367, MATCH(E1406, DATABASE_FG!$C$5:$C$367, 0)), " ")</f>
        <v>67</v>
      </c>
      <c r="O1406" s="129" t="str">
        <f>IF(E1406&lt;&gt;"", _xlfn.XLOOKUP(E1406, DATABASE_FG!C:C, DATABASE_FG!F:F), " ")</f>
        <v>DBD.15</v>
      </c>
      <c r="P1406" s="129">
        <f>IFERROR(INDEX(DATABASE_FG!$G$5:$G$367, MATCH(E1406, DATABASE_FG!$C$5:$C$367, 0)), "Not Found")</f>
        <v>64</v>
      </c>
      <c r="Q1406" s="36">
        <v>60</v>
      </c>
      <c r="R1406" s="125" t="s">
        <v>678</v>
      </c>
      <c r="S1406" s="123">
        <f>IFERROR(INDEX(DATABASE_FG!$L$5:$L$367, MATCH(E1406, DATABASE_FG!$C$5:$C$367, 0)), " ")</f>
        <v>56</v>
      </c>
      <c r="T1406" s="36" t="s">
        <v>677</v>
      </c>
      <c r="U1406" s="36"/>
      <c r="V1406" s="36"/>
      <c r="W1406" s="129"/>
      <c r="X1406" s="36"/>
      <c r="Y1406" s="36"/>
      <c r="Z1406" s="36"/>
      <c r="AA1406" s="125" t="s">
        <v>121</v>
      </c>
      <c r="AB1406" s="173">
        <v>45961</v>
      </c>
      <c r="AC1406" s="119">
        <v>251221</v>
      </c>
      <c r="AD1406" s="36">
        <f t="shared" si="166"/>
        <v>5500511018</v>
      </c>
      <c r="AE1406" s="36" t="str">
        <f t="shared" si="153"/>
        <v>R900305233</v>
      </c>
      <c r="AF1406" s="36">
        <v>59</v>
      </c>
      <c r="AG1406" s="120">
        <f t="shared" si="167"/>
        <v>2505.14</v>
      </c>
      <c r="AH1406" s="36"/>
      <c r="AI1406" s="124"/>
      <c r="AJ1406" s="122" t="s">
        <v>4484</v>
      </c>
      <c r="AK1406" s="129" t="str">
        <f t="shared" ca="1" si="164"/>
        <v>On Time</v>
      </c>
      <c r="AL1406" s="268" t="str">
        <f t="shared" si="165"/>
        <v>November</v>
      </c>
      <c r="AM1406" s="133">
        <f>YEAR(Table1[[#This Row],[ETA
As requested
dd.mm.yyyy]])</f>
        <v>2025</v>
      </c>
    </row>
    <row r="1407" spans="1:39" hidden="1">
      <c r="A1407" s="123" t="s">
        <v>27</v>
      </c>
      <c r="B1407" s="36" t="s">
        <v>1170</v>
      </c>
      <c r="C1407" s="117">
        <v>5500511018</v>
      </c>
      <c r="D1407" s="165">
        <v>45446</v>
      </c>
      <c r="E1407" s="117" t="s">
        <v>38</v>
      </c>
      <c r="F1407" s="36" t="str">
        <f>IFERROR(VLOOKUP(Table1[[#This Row],[Part Number]],DATABASE_FG!$C$6:D11396,2,FALSE)," ")</f>
        <v>HOUSING            DBD.15G1X/</v>
      </c>
      <c r="G1407" s="117" t="str">
        <f>IFERROR(_xlfn.XLOOKUP(Table1[[#This Row],[Part Number]],Table3[Part number],Table3[Drawing
 Revision]),"")</f>
        <v>g</v>
      </c>
      <c r="H1407" s="118" cm="1">
        <f t="array" ref="H1407">IFERROR(INDEX(PDB!$C:$AT,MATCH(E1407,PDB!$B:$B,0),MATCH(YEAR(K1407),0+PDB!$C$1:$AT$1,0)),"")</f>
        <v>0</v>
      </c>
      <c r="I1407" s="36">
        <f>60+1</f>
        <v>61</v>
      </c>
      <c r="J1407" s="125">
        <f>IFERROR(Table1[[#This Row],[Quantity]]*Table1[[#This Row],[Price/Unit
EUR]]," ")</f>
        <v>0</v>
      </c>
      <c r="K1407" s="126">
        <v>46042</v>
      </c>
      <c r="L1407" s="36">
        <f>WEEKNUM(Table1[[#This Row],[ETA
As requested
dd.mm.yyyy]])</f>
        <v>4</v>
      </c>
      <c r="M1407" s="36">
        <f>YEAR(Table1[[#This Row],[ETA
As requested
dd.mm.yyyy]])</f>
        <v>2026</v>
      </c>
      <c r="N1407" s="36">
        <f>IFERROR(INDEX(DATABASE_FG!$H$5:$H$367, MATCH(E1407, DATABASE_FG!$C$5:$C$367, 0)), " ")</f>
        <v>67</v>
      </c>
      <c r="O1407" s="129" t="str">
        <f>IF(E1407&lt;&gt;"", _xlfn.XLOOKUP(E1407, DATABASE_FG!C:C, DATABASE_FG!F:F), " ")</f>
        <v>DBD.15</v>
      </c>
      <c r="P1407" s="129">
        <f>IFERROR(INDEX(DATABASE_FG!$G$5:$G$367, MATCH(E1407, DATABASE_FG!$C$5:$C$367, 0)), "Not Found")</f>
        <v>64</v>
      </c>
      <c r="Q1407" s="36">
        <v>60</v>
      </c>
      <c r="R1407" s="125" t="s">
        <v>678</v>
      </c>
      <c r="S1407" s="123">
        <f>IFERROR(INDEX(DATABASE_FG!$L$5:$L$367, MATCH(E1407, DATABASE_FG!$C$5:$C$367, 0)), " ")</f>
        <v>56</v>
      </c>
      <c r="T1407" s="36" t="s">
        <v>677</v>
      </c>
      <c r="U1407" s="36"/>
      <c r="V1407" s="36"/>
      <c r="W1407" s="129"/>
      <c r="X1407" s="36"/>
      <c r="Y1407" s="36"/>
      <c r="Z1407" s="36"/>
      <c r="AA1407" s="125" t="s">
        <v>3</v>
      </c>
      <c r="AB1407" s="173"/>
      <c r="AC1407" s="119"/>
      <c r="AD1407" s="36" t="str">
        <f t="shared" si="166"/>
        <v/>
      </c>
      <c r="AE1407" s="36" t="str">
        <f t="shared" ref="AE1407:AE1472" si="168">IF(NOT(ISBLANK(AC1407)), E1407, "")</f>
        <v/>
      </c>
      <c r="AF1407" s="36"/>
      <c r="AG1407" s="120">
        <f t="shared" si="167"/>
        <v>0</v>
      </c>
      <c r="AH1407" s="36"/>
      <c r="AI1407" s="124"/>
      <c r="AJ1407" s="122"/>
      <c r="AK1407" s="129" t="str">
        <f t="shared" ca="1" si="164"/>
        <v/>
      </c>
      <c r="AL1407" s="268" t="str">
        <f t="shared" si="165"/>
        <v>January</v>
      </c>
      <c r="AM1407" s="133">
        <f>YEAR(Table1[[#This Row],[ETA
As requested
dd.mm.yyyy]])</f>
        <v>2026</v>
      </c>
    </row>
    <row r="1408" spans="1:39" hidden="1">
      <c r="A1408" s="123" t="s">
        <v>27</v>
      </c>
      <c r="B1408" s="36" t="s">
        <v>1170</v>
      </c>
      <c r="C1408" s="117">
        <v>5500511019</v>
      </c>
      <c r="D1408" s="165">
        <v>45439</v>
      </c>
      <c r="E1408" s="117" t="s">
        <v>40</v>
      </c>
      <c r="F1408" s="36" t="str">
        <f>IFERROR(VLOOKUP(Table1[[#This Row],[Part Number]],DATABASE_FG!$C$6:D11397,2,FALSE)," ")</f>
        <v>HOUSING            DBD.20G1X/</v>
      </c>
      <c r="G1408" s="117" t="str">
        <f>IFERROR(_xlfn.XLOOKUP(Table1[[#This Row],[Part Number]],Table3[Part number],Table3[Drawing
 Revision]),"")</f>
        <v>G</v>
      </c>
      <c r="H1408" s="118" cm="1">
        <f t="array" ref="H1408">IFERROR(INDEX(PDB!$C:$AT,MATCH(E1408,PDB!$B:$B,0),MATCH(YEAR(K1408),0+PDB!$C$1:$AT$1,0)),"")</f>
        <v>41.64</v>
      </c>
      <c r="I1408" s="36">
        <v>12</v>
      </c>
      <c r="J1408" s="125">
        <f>IFERROR(Table1[[#This Row],[Quantity]]*Table1[[#This Row],[Price/Unit
EUR]]," ")</f>
        <v>499.68</v>
      </c>
      <c r="K1408" s="126">
        <v>45434</v>
      </c>
      <c r="L1408" s="36">
        <f>WEEKNUM(Table1[[#This Row],[ETA
As requested
dd.mm.yyyy]])</f>
        <v>21</v>
      </c>
      <c r="M1408" s="36">
        <f>YEAR(Table1[[#This Row],[ETA
As requested
dd.mm.yyyy]])</f>
        <v>2024</v>
      </c>
      <c r="N1408" s="36">
        <f>IFERROR(INDEX(DATABASE_FG!$H$5:$H$367, MATCH(E1408, DATABASE_FG!$C$5:$C$367, 0)), " ")</f>
        <v>20</v>
      </c>
      <c r="O1408" s="129" t="str">
        <f>IF(E1408&lt;&gt;"", _xlfn.XLOOKUP(E1408, DATABASE_FG!C:C, DATABASE_FG!F:F), " ")</f>
        <v>DBD.20</v>
      </c>
      <c r="P1408" s="129">
        <f>IFERROR(INDEX(DATABASE_FG!$G$5:$G$367, MATCH(E1408, DATABASE_FG!$C$5:$C$367, 0)), "Not Found")</f>
        <v>64</v>
      </c>
      <c r="Q1408" s="36">
        <v>60</v>
      </c>
      <c r="R1408" s="125" t="s">
        <v>678</v>
      </c>
      <c r="S1408" s="123">
        <f>IFERROR(INDEX(DATABASE_FG!$L$5:$L$367, MATCH(E1408, DATABASE_FG!$C$5:$C$367, 0)), " ")</f>
        <v>56</v>
      </c>
      <c r="T1408" s="36" t="s">
        <v>677</v>
      </c>
      <c r="U1408" s="36"/>
      <c r="V1408" s="36"/>
      <c r="W1408" s="129"/>
      <c r="X1408" s="36"/>
      <c r="Y1408" s="36"/>
      <c r="Z1408" s="36" t="s">
        <v>1540</v>
      </c>
      <c r="AA1408" s="125" t="s">
        <v>121</v>
      </c>
      <c r="AB1408" s="173">
        <v>45429</v>
      </c>
      <c r="AC1408" s="119">
        <v>2024500</v>
      </c>
      <c r="AD1408" s="36">
        <f t="shared" si="166"/>
        <v>5500511019</v>
      </c>
      <c r="AE1408" s="36" t="str">
        <f t="shared" si="168"/>
        <v>R900305236</v>
      </c>
      <c r="AF1408" s="36">
        <v>12</v>
      </c>
      <c r="AG1408" s="120">
        <f t="shared" si="167"/>
        <v>499.68</v>
      </c>
      <c r="AH1408" s="36"/>
      <c r="AI1408" s="124"/>
      <c r="AJ1408" s="122" t="s">
        <v>1541</v>
      </c>
      <c r="AK1408" s="129" t="str">
        <f t="shared" ca="1" si="164"/>
        <v>On Time</v>
      </c>
      <c r="AL1408" s="268" t="str">
        <f t="shared" si="165"/>
        <v>May</v>
      </c>
      <c r="AM1408" s="133">
        <f>YEAR(Table1[[#This Row],[ETA
As requested
dd.mm.yyyy]])</f>
        <v>2024</v>
      </c>
    </row>
    <row r="1409" spans="1:39" hidden="1">
      <c r="A1409" s="123" t="s">
        <v>27</v>
      </c>
      <c r="B1409" s="36" t="s">
        <v>1170</v>
      </c>
      <c r="C1409" s="117">
        <v>5500511019</v>
      </c>
      <c r="D1409" s="165">
        <v>45446</v>
      </c>
      <c r="E1409" s="117" t="s">
        <v>40</v>
      </c>
      <c r="F1409" s="36" t="str">
        <f>IFERROR(VLOOKUP(Table1[[#This Row],[Part Number]],DATABASE_FG!$C$6:D11398,2,FALSE)," ")</f>
        <v>HOUSING            DBD.20G1X/</v>
      </c>
      <c r="G1409" s="117" t="str">
        <f>IFERROR(_xlfn.XLOOKUP(Table1[[#This Row],[Part Number]],Table3[Part number],Table3[Drawing
 Revision]),"")</f>
        <v>G</v>
      </c>
      <c r="H1409" s="118" cm="1">
        <f t="array" ref="H1409">IFERROR(INDEX(PDB!$C:$AT,MATCH(E1409,PDB!$B:$B,0),MATCH(YEAR(K1409),0+PDB!$C$1:$AT$1,0)),"")</f>
        <v>41.64</v>
      </c>
      <c r="I1409" s="36">
        <v>50</v>
      </c>
      <c r="J1409" s="125">
        <f>IFERROR(Table1[[#This Row],[Quantity]]*Table1[[#This Row],[Price/Unit
EUR]]," ")</f>
        <v>2082</v>
      </c>
      <c r="K1409" s="126">
        <v>45456</v>
      </c>
      <c r="L1409" s="36">
        <f>WEEKNUM(Table1[[#This Row],[ETA
As requested
dd.mm.yyyy]])</f>
        <v>24</v>
      </c>
      <c r="M1409" s="36">
        <f>YEAR(Table1[[#This Row],[ETA
As requested
dd.mm.yyyy]])</f>
        <v>2024</v>
      </c>
      <c r="N1409" s="36">
        <f>IFERROR(INDEX(DATABASE_FG!$H$5:$H$367, MATCH(E1409, DATABASE_FG!$C$5:$C$367, 0)), " ")</f>
        <v>20</v>
      </c>
      <c r="O1409" s="129" t="str">
        <f>IF(E1409&lt;&gt;"", _xlfn.XLOOKUP(E1409, DATABASE_FG!C:C, DATABASE_FG!F:F), " ")</f>
        <v>DBD.20</v>
      </c>
      <c r="P1409" s="129">
        <f>IFERROR(INDEX(DATABASE_FG!$G$5:$G$367, MATCH(E1409, DATABASE_FG!$C$5:$C$367, 0)), "Not Found")</f>
        <v>64</v>
      </c>
      <c r="Q1409" s="36">
        <v>60</v>
      </c>
      <c r="R1409" s="125" t="s">
        <v>678</v>
      </c>
      <c r="S1409" s="123">
        <f>IFERROR(INDEX(DATABASE_FG!$L$5:$L$367, MATCH(E1409, DATABASE_FG!$C$5:$C$367, 0)), " ")</f>
        <v>56</v>
      </c>
      <c r="T1409" s="36" t="s">
        <v>677</v>
      </c>
      <c r="U1409" s="36"/>
      <c r="V1409" s="36"/>
      <c r="W1409" s="129"/>
      <c r="X1409" s="36"/>
      <c r="Y1409" s="36"/>
      <c r="Z1409" s="36" t="s">
        <v>1540</v>
      </c>
      <c r="AA1409" s="125" t="s">
        <v>121</v>
      </c>
      <c r="AB1409" s="173">
        <v>45447</v>
      </c>
      <c r="AC1409" s="119">
        <v>20245603</v>
      </c>
      <c r="AD1409" s="36">
        <f t="shared" si="166"/>
        <v>5500511019</v>
      </c>
      <c r="AE1409" s="36" t="str">
        <f t="shared" si="168"/>
        <v>R900305236</v>
      </c>
      <c r="AF1409" s="36">
        <v>37</v>
      </c>
      <c r="AG1409" s="120">
        <f t="shared" si="167"/>
        <v>1540.68</v>
      </c>
      <c r="AH1409" s="36"/>
      <c r="AI1409" s="124"/>
      <c r="AJ1409" s="122" t="s">
        <v>1677</v>
      </c>
      <c r="AK1409" s="129" t="str">
        <f t="shared" ca="1" si="164"/>
        <v>On Time</v>
      </c>
      <c r="AL1409" s="268" t="str">
        <f t="shared" si="165"/>
        <v>June</v>
      </c>
      <c r="AM1409" s="133">
        <f>YEAR(Table1[[#This Row],[ETA
As requested
dd.mm.yyyy]])</f>
        <v>2024</v>
      </c>
    </row>
    <row r="1410" spans="1:39" hidden="1">
      <c r="A1410" s="123" t="s">
        <v>27</v>
      </c>
      <c r="B1410" s="36" t="s">
        <v>1170</v>
      </c>
      <c r="C1410" s="117">
        <v>5500511019</v>
      </c>
      <c r="D1410" s="165">
        <v>45447</v>
      </c>
      <c r="E1410" s="117" t="s">
        <v>40</v>
      </c>
      <c r="F1410" s="36" t="str">
        <f>IFERROR(VLOOKUP(Table1[[#This Row],[Part Number]],DATABASE_FG!$C$6:D11399,2,FALSE)," ")</f>
        <v>HOUSING            DBD.20G1X/</v>
      </c>
      <c r="G1410" s="117" t="str">
        <f>IFERROR(_xlfn.XLOOKUP(Table1[[#This Row],[Part Number]],Table3[Part number],Table3[Drawing
 Revision]),"")</f>
        <v>G</v>
      </c>
      <c r="H1410" s="118" cm="1">
        <f t="array" ref="H1410">IFERROR(INDEX(PDB!$C:$AT,MATCH(E1410,PDB!$B:$B,0),MATCH(YEAR(K1410),0+PDB!$C$1:$AT$1,0)),"")</f>
        <v>41.64</v>
      </c>
      <c r="I1410" s="36"/>
      <c r="J1410" s="125">
        <f>IFERROR(Table1[[#This Row],[Quantity]]*Table1[[#This Row],[Price/Unit
EUR]]," ")</f>
        <v>0</v>
      </c>
      <c r="K1410" s="126">
        <v>45456</v>
      </c>
      <c r="L1410" s="36">
        <f>WEEKNUM(Table1[[#This Row],[ETA
As requested
dd.mm.yyyy]])</f>
        <v>24</v>
      </c>
      <c r="M1410" s="36">
        <f>YEAR(Table1[[#This Row],[ETA
As requested
dd.mm.yyyy]])</f>
        <v>2024</v>
      </c>
      <c r="N1410" s="36">
        <f>IFERROR(INDEX(DATABASE_FG!$H$5:$H$367, MATCH(E1410, DATABASE_FG!$C$5:$C$367, 0)), " ")</f>
        <v>20</v>
      </c>
      <c r="O1410" s="129" t="str">
        <f>IF(E1410&lt;&gt;"", _xlfn.XLOOKUP(E1410, DATABASE_FG!C:C, DATABASE_FG!F:F), " ")</f>
        <v>DBD.20</v>
      </c>
      <c r="P1410" s="129">
        <f>IFERROR(INDEX(DATABASE_FG!$G$5:$G$367, MATCH(E1410, DATABASE_FG!$C$5:$C$367, 0)), "Not Found")</f>
        <v>64</v>
      </c>
      <c r="Q1410" s="36">
        <v>60</v>
      </c>
      <c r="R1410" s="125" t="s">
        <v>678</v>
      </c>
      <c r="S1410" s="123">
        <f>Table1[[#This Row],[Quantity]]/48</f>
        <v>0</v>
      </c>
      <c r="T1410" s="36" t="s">
        <v>677</v>
      </c>
      <c r="U1410" s="36"/>
      <c r="V1410" s="36"/>
      <c r="W1410" s="129"/>
      <c r="X1410" s="36"/>
      <c r="Y1410" s="36"/>
      <c r="Z1410" s="36"/>
      <c r="AA1410" s="125" t="s">
        <v>121</v>
      </c>
      <c r="AB1410" s="173">
        <v>45455</v>
      </c>
      <c r="AC1410" s="119">
        <v>2024645</v>
      </c>
      <c r="AD1410" s="36">
        <f t="shared" si="166"/>
        <v>5500511019</v>
      </c>
      <c r="AE1410" s="36" t="str">
        <f t="shared" si="168"/>
        <v>R900305236</v>
      </c>
      <c r="AF1410" s="36">
        <v>13</v>
      </c>
      <c r="AG1410" s="120">
        <f t="shared" si="167"/>
        <v>541.32000000000005</v>
      </c>
      <c r="AH1410" s="36"/>
      <c r="AI1410" s="124"/>
      <c r="AJ1410" s="122" t="s">
        <v>1679</v>
      </c>
      <c r="AK1410" s="129" t="str">
        <f t="shared" ca="1" si="164"/>
        <v>On Time</v>
      </c>
      <c r="AL1410" s="268" t="str">
        <f t="shared" si="165"/>
        <v>June</v>
      </c>
      <c r="AM1410" s="133">
        <f>YEAR(Table1[[#This Row],[ETA
As requested
dd.mm.yyyy]])</f>
        <v>2024</v>
      </c>
    </row>
    <row r="1411" spans="1:39" hidden="1">
      <c r="A1411" s="123" t="s">
        <v>27</v>
      </c>
      <c r="B1411" s="36" t="s">
        <v>1170</v>
      </c>
      <c r="C1411" s="117">
        <v>5500511019</v>
      </c>
      <c r="D1411" s="165">
        <v>45446</v>
      </c>
      <c r="E1411" s="117" t="s">
        <v>40</v>
      </c>
      <c r="F1411" s="36" t="str">
        <f>IFERROR(VLOOKUP(Table1[[#This Row],[Part Number]],DATABASE_FG!$C$6:D11400,2,FALSE)," ")</f>
        <v>HOUSING            DBD.20G1X/</v>
      </c>
      <c r="G1411" s="117" t="str">
        <f>IFERROR(_xlfn.XLOOKUP(Table1[[#This Row],[Part Number]],Table3[Part number],Table3[Drawing
 Revision]),"")</f>
        <v>G</v>
      </c>
      <c r="H1411" s="118" cm="1">
        <f t="array" ref="H1411">IFERROR(INDEX(PDB!$C:$AT,MATCH(E1411,PDB!$B:$B,0),MATCH(YEAR(K1411),0+PDB!$C$1:$AT$1,0)),"")</f>
        <v>41.64</v>
      </c>
      <c r="I1411" s="36">
        <v>170</v>
      </c>
      <c r="J1411" s="125">
        <f>IFERROR(Table1[[#This Row],[Quantity]]*Table1[[#This Row],[Price/Unit
EUR]]," ")</f>
        <v>7078.8</v>
      </c>
      <c r="K1411" s="126">
        <v>45467</v>
      </c>
      <c r="L1411" s="36">
        <f>WEEKNUM(Table1[[#This Row],[ETA
As requested
dd.mm.yyyy]])</f>
        <v>26</v>
      </c>
      <c r="M1411" s="36">
        <f>YEAR(Table1[[#This Row],[ETA
As requested
dd.mm.yyyy]])</f>
        <v>2024</v>
      </c>
      <c r="N1411" s="36">
        <f>IFERROR(INDEX(DATABASE_FG!$H$5:$H$367, MATCH(E1411, DATABASE_FG!$C$5:$C$367, 0)), " ")</f>
        <v>20</v>
      </c>
      <c r="O1411" s="129" t="str">
        <f>IF(E1411&lt;&gt;"", _xlfn.XLOOKUP(E1411, DATABASE_FG!C:C, DATABASE_FG!F:F), " ")</f>
        <v>DBD.20</v>
      </c>
      <c r="P1411" s="129">
        <f>IFERROR(INDEX(DATABASE_FG!$G$5:$G$367, MATCH(E1411, DATABASE_FG!$C$5:$C$367, 0)), "Not Found")</f>
        <v>64</v>
      </c>
      <c r="Q1411" s="36">
        <v>60</v>
      </c>
      <c r="R1411" s="125" t="s">
        <v>678</v>
      </c>
      <c r="S1411" s="123">
        <f>IFERROR(INDEX(DATABASE_FG!$L$5:$L$367, MATCH(E1411, DATABASE_FG!$C$5:$C$367, 0)), " ")</f>
        <v>56</v>
      </c>
      <c r="T1411" s="36" t="s">
        <v>677</v>
      </c>
      <c r="U1411" s="36"/>
      <c r="V1411" s="36"/>
      <c r="W1411" s="129"/>
      <c r="X1411" s="36"/>
      <c r="Y1411" s="36"/>
      <c r="Z1411" s="36" t="s">
        <v>1540</v>
      </c>
      <c r="AA1411" s="125" t="s">
        <v>121</v>
      </c>
      <c r="AB1411" s="173">
        <v>45455</v>
      </c>
      <c r="AC1411" s="119">
        <v>2024645</v>
      </c>
      <c r="AD1411" s="36">
        <f t="shared" si="166"/>
        <v>5500511019</v>
      </c>
      <c r="AE1411" s="36" t="str">
        <f t="shared" si="168"/>
        <v>R900305236</v>
      </c>
      <c r="AF1411" s="36">
        <v>15</v>
      </c>
      <c r="AG1411" s="120">
        <f t="shared" si="167"/>
        <v>624.6</v>
      </c>
      <c r="AH1411" s="36"/>
      <c r="AI1411" s="124"/>
      <c r="AJ1411" s="122" t="s">
        <v>1679</v>
      </c>
      <c r="AK1411" s="129" t="str">
        <f t="shared" ca="1" si="164"/>
        <v>On Time</v>
      </c>
      <c r="AL1411" s="268" t="str">
        <f t="shared" si="165"/>
        <v>June</v>
      </c>
      <c r="AM1411" s="133">
        <f>YEAR(Table1[[#This Row],[ETA
As requested
dd.mm.yyyy]])</f>
        <v>2024</v>
      </c>
    </row>
    <row r="1412" spans="1:39" hidden="1">
      <c r="A1412" s="123" t="s">
        <v>27</v>
      </c>
      <c r="B1412" s="36" t="s">
        <v>1170</v>
      </c>
      <c r="C1412" s="117">
        <v>5500511019</v>
      </c>
      <c r="D1412" s="165">
        <v>45446</v>
      </c>
      <c r="E1412" s="117" t="s">
        <v>40</v>
      </c>
      <c r="F1412" s="36" t="str">
        <f>IFERROR(VLOOKUP(Table1[[#This Row],[Part Number]],DATABASE_FG!$C$6:D11401,2,FALSE)," ")</f>
        <v>HOUSING            DBD.20G1X/</v>
      </c>
      <c r="G1412" s="117" t="str">
        <f>IFERROR(_xlfn.XLOOKUP(Table1[[#This Row],[Part Number]],Table3[Part number],Table3[Drawing
 Revision]),"")</f>
        <v>G</v>
      </c>
      <c r="H1412" s="118" cm="1">
        <f t="array" ref="H1412">IFERROR(INDEX(PDB!$C:$AT,MATCH(E1412,PDB!$B:$B,0),MATCH(YEAR(K1412),0+PDB!$C$1:$AT$1,0)),"")</f>
        <v>41.64</v>
      </c>
      <c r="I1412" s="36"/>
      <c r="J1412" s="125">
        <f>IFERROR(Table1[[#This Row],[Quantity]]*Table1[[#This Row],[Price/Unit
EUR]]," ")</f>
        <v>0</v>
      </c>
      <c r="K1412" s="126">
        <v>45467</v>
      </c>
      <c r="L1412" s="36">
        <f>WEEKNUM(Table1[[#This Row],[ETA
As requested
dd.mm.yyyy]])</f>
        <v>26</v>
      </c>
      <c r="M1412" s="36">
        <f>YEAR(Table1[[#This Row],[ETA
As requested
dd.mm.yyyy]])</f>
        <v>2024</v>
      </c>
      <c r="N1412" s="36">
        <f>IFERROR(INDEX(DATABASE_FG!$H$5:$H$367, MATCH(E1412, DATABASE_FG!$C$5:$C$367, 0)), " ")</f>
        <v>20</v>
      </c>
      <c r="O1412" s="129" t="str">
        <f>IF(E1412&lt;&gt;"", _xlfn.XLOOKUP(E1412, DATABASE_FG!C:C, DATABASE_FG!F:F), " ")</f>
        <v>DBD.20</v>
      </c>
      <c r="P1412" s="129">
        <f>IFERROR(INDEX(DATABASE_FG!$G$5:$G$367, MATCH(E1412, DATABASE_FG!$C$5:$C$367, 0)), "Not Found")</f>
        <v>64</v>
      </c>
      <c r="Q1412" s="36">
        <v>60</v>
      </c>
      <c r="R1412" s="125" t="s">
        <v>678</v>
      </c>
      <c r="S1412" s="123">
        <f>IFERROR(INDEX(DATABASE_FG!$L$5:$L$367, MATCH(E1412, DATABASE_FG!$C$5:$C$367, 0)), " ")</f>
        <v>56</v>
      </c>
      <c r="T1412" s="36" t="s">
        <v>677</v>
      </c>
      <c r="U1412" s="36"/>
      <c r="V1412" s="36"/>
      <c r="W1412" s="129"/>
      <c r="X1412" s="36"/>
      <c r="Y1412" s="36"/>
      <c r="Z1412" s="36"/>
      <c r="AA1412" s="125" t="s">
        <v>121</v>
      </c>
      <c r="AB1412" s="173">
        <v>45457</v>
      </c>
      <c r="AC1412" s="119">
        <v>2024658</v>
      </c>
      <c r="AD1412" s="36">
        <f t="shared" si="166"/>
        <v>5500511019</v>
      </c>
      <c r="AE1412" s="36" t="str">
        <f t="shared" si="168"/>
        <v>R900305236</v>
      </c>
      <c r="AF1412" s="36">
        <v>91</v>
      </c>
      <c r="AG1412" s="120">
        <f t="shared" si="167"/>
        <v>3789.2400000000002</v>
      </c>
      <c r="AH1412" s="36"/>
      <c r="AI1412" s="124"/>
      <c r="AJ1412" s="122" t="s">
        <v>1713</v>
      </c>
      <c r="AK1412" s="129" t="str">
        <f t="shared" ca="1" si="164"/>
        <v>On Time</v>
      </c>
      <c r="AL1412" s="268" t="str">
        <f t="shared" si="165"/>
        <v>June</v>
      </c>
      <c r="AM1412" s="133">
        <f>YEAR(Table1[[#This Row],[ETA
As requested
dd.mm.yyyy]])</f>
        <v>2024</v>
      </c>
    </row>
    <row r="1413" spans="1:39" hidden="1">
      <c r="A1413" s="123" t="s">
        <v>27</v>
      </c>
      <c r="B1413" s="36" t="s">
        <v>1170</v>
      </c>
      <c r="C1413" s="117">
        <v>5500511019</v>
      </c>
      <c r="D1413" s="165">
        <v>45446</v>
      </c>
      <c r="E1413" s="117" t="s">
        <v>40</v>
      </c>
      <c r="F1413" s="36" t="str">
        <f>IFERROR(VLOOKUP(Table1[[#This Row],[Part Number]],DATABASE_FG!$C$6:D11402,2,FALSE)," ")</f>
        <v>HOUSING            DBD.20G1X/</v>
      </c>
      <c r="G1413" s="117" t="str">
        <f>IFERROR(_xlfn.XLOOKUP(Table1[[#This Row],[Part Number]],Table3[Part number],Table3[Drawing
 Revision]),"")</f>
        <v>G</v>
      </c>
      <c r="H1413" s="118" cm="1">
        <f t="array" ref="H1413">IFERROR(INDEX(PDB!$C:$AT,MATCH(E1413,PDB!$B:$B,0),MATCH(YEAR(K1413),0+PDB!$C$1:$AT$1,0)),"")</f>
        <v>41.64</v>
      </c>
      <c r="I1413" s="36"/>
      <c r="J1413" s="125">
        <f>IFERROR(Table1[[#This Row],[Quantity]]*Table1[[#This Row],[Price/Unit
EUR]]," ")</f>
        <v>0</v>
      </c>
      <c r="K1413" s="126">
        <v>45467</v>
      </c>
      <c r="L1413" s="36">
        <f>WEEKNUM(Table1[[#This Row],[ETA
As requested
dd.mm.yyyy]])</f>
        <v>26</v>
      </c>
      <c r="M1413" s="36">
        <f>YEAR(Table1[[#This Row],[ETA
As requested
dd.mm.yyyy]])</f>
        <v>2024</v>
      </c>
      <c r="N1413" s="36">
        <f>IFERROR(INDEX(DATABASE_FG!$H$5:$H$367, MATCH(E1413, DATABASE_FG!$C$5:$C$367, 0)), " ")</f>
        <v>20</v>
      </c>
      <c r="O1413" s="129" t="str">
        <f>IF(E1413&lt;&gt;"", _xlfn.XLOOKUP(E1413, DATABASE_FG!C:C, DATABASE_FG!F:F), " ")</f>
        <v>DBD.20</v>
      </c>
      <c r="P1413" s="129">
        <f>IFERROR(INDEX(DATABASE_FG!$G$5:$G$367, MATCH(E1413, DATABASE_FG!$C$5:$C$367, 0)), "Not Found")</f>
        <v>64</v>
      </c>
      <c r="Q1413" s="36">
        <v>60</v>
      </c>
      <c r="R1413" s="125" t="s">
        <v>678</v>
      </c>
      <c r="S1413" s="123">
        <f>IFERROR(INDEX(DATABASE_FG!$L$5:$L$367, MATCH(E1413, DATABASE_FG!$C$5:$C$367, 0)), " ")</f>
        <v>56</v>
      </c>
      <c r="T1413" s="36" t="s">
        <v>677</v>
      </c>
      <c r="U1413" s="36"/>
      <c r="V1413" s="36"/>
      <c r="W1413" s="129"/>
      <c r="X1413" s="36"/>
      <c r="Y1413" s="36"/>
      <c r="Z1413" s="36"/>
      <c r="AA1413" s="125" t="s">
        <v>121</v>
      </c>
      <c r="AB1413" s="173">
        <v>45460</v>
      </c>
      <c r="AC1413" s="119">
        <v>2024669</v>
      </c>
      <c r="AD1413" s="36">
        <f t="shared" si="166"/>
        <v>5500511019</v>
      </c>
      <c r="AE1413" s="36" t="str">
        <f t="shared" si="168"/>
        <v>R900305236</v>
      </c>
      <c r="AF1413" s="36">
        <v>51</v>
      </c>
      <c r="AG1413" s="120">
        <f t="shared" si="167"/>
        <v>2123.64</v>
      </c>
      <c r="AH1413" s="36"/>
      <c r="AI1413" s="124"/>
      <c r="AJ1413" s="122" t="s">
        <v>1715</v>
      </c>
      <c r="AK1413" s="129" t="str">
        <f t="shared" ca="1" si="164"/>
        <v>On Time</v>
      </c>
      <c r="AL1413" s="268" t="str">
        <f t="shared" si="165"/>
        <v>June</v>
      </c>
      <c r="AM1413" s="133">
        <f>YEAR(Table1[[#This Row],[ETA
As requested
dd.mm.yyyy]])</f>
        <v>2024</v>
      </c>
    </row>
    <row r="1414" spans="1:39" hidden="1">
      <c r="A1414" s="123" t="s">
        <v>27</v>
      </c>
      <c r="B1414" s="36" t="s">
        <v>1170</v>
      </c>
      <c r="C1414" s="117">
        <v>5500511019</v>
      </c>
      <c r="D1414" s="165">
        <v>45446</v>
      </c>
      <c r="E1414" s="117" t="s">
        <v>40</v>
      </c>
      <c r="F1414" s="36" t="str">
        <f>IFERROR(VLOOKUP(Table1[[#This Row],[Part Number]],DATABASE_FG!$C$6:D11403,2,FALSE)," ")</f>
        <v>HOUSING            DBD.20G1X/</v>
      </c>
      <c r="G1414" s="117" t="str">
        <f>IFERROR(_xlfn.XLOOKUP(Table1[[#This Row],[Part Number]],Table3[Part number],Table3[Drawing
 Revision]),"")</f>
        <v>G</v>
      </c>
      <c r="H1414" s="118" cm="1">
        <f t="array" ref="H1414">IFERROR(INDEX(PDB!$C:$AT,MATCH(E1414,PDB!$B:$B,0),MATCH(YEAR(K1414),0+PDB!$C$1:$AT$1,0)),"")</f>
        <v>41.64</v>
      </c>
      <c r="I1414" s="36"/>
      <c r="J1414" s="125">
        <f>IFERROR(Table1[[#This Row],[Quantity]]*Table1[[#This Row],[Price/Unit
EUR]]," ")</f>
        <v>0</v>
      </c>
      <c r="K1414" s="126">
        <v>45467</v>
      </c>
      <c r="L1414" s="36">
        <f>WEEKNUM(Table1[[#This Row],[ETA
As requested
dd.mm.yyyy]])</f>
        <v>26</v>
      </c>
      <c r="M1414" s="36">
        <f>YEAR(Table1[[#This Row],[ETA
As requested
dd.mm.yyyy]])</f>
        <v>2024</v>
      </c>
      <c r="N1414" s="36">
        <f>IFERROR(INDEX(DATABASE_FG!$H$5:$H$367, MATCH(E1414, DATABASE_FG!$C$5:$C$367, 0)), " ")</f>
        <v>20</v>
      </c>
      <c r="O1414" s="129" t="str">
        <f>IF(E1414&lt;&gt;"", _xlfn.XLOOKUP(E1414, DATABASE_FG!C:C, DATABASE_FG!F:F), " ")</f>
        <v>DBD.20</v>
      </c>
      <c r="P1414" s="129">
        <f>IFERROR(INDEX(DATABASE_FG!$G$5:$G$367, MATCH(E1414, DATABASE_FG!$C$5:$C$367, 0)), "Not Found")</f>
        <v>64</v>
      </c>
      <c r="Q1414" s="36">
        <v>60</v>
      </c>
      <c r="R1414" s="125" t="s">
        <v>678</v>
      </c>
      <c r="S1414" s="123">
        <f>IFERROR(INDEX(DATABASE_FG!$L$5:$L$367, MATCH(E1414, DATABASE_FG!$C$5:$C$367, 0)), " ")</f>
        <v>56</v>
      </c>
      <c r="T1414" s="36" t="s">
        <v>677</v>
      </c>
      <c r="U1414" s="36"/>
      <c r="V1414" s="36"/>
      <c r="W1414" s="129"/>
      <c r="X1414" s="36"/>
      <c r="Y1414" s="36"/>
      <c r="Z1414" s="36"/>
      <c r="AA1414" s="125" t="s">
        <v>121</v>
      </c>
      <c r="AB1414" s="173">
        <v>45471</v>
      </c>
      <c r="AC1414" s="119">
        <v>2024739</v>
      </c>
      <c r="AD1414" s="36">
        <f t="shared" si="166"/>
        <v>5500511019</v>
      </c>
      <c r="AE1414" s="36" t="str">
        <f t="shared" si="168"/>
        <v>R900305236</v>
      </c>
      <c r="AF1414" s="36">
        <v>13</v>
      </c>
      <c r="AG1414" s="120">
        <f t="shared" si="167"/>
        <v>541.32000000000005</v>
      </c>
      <c r="AH1414" s="36"/>
      <c r="AI1414" s="124"/>
      <c r="AJ1414" s="122" t="s">
        <v>1719</v>
      </c>
      <c r="AK1414" s="129" t="str">
        <f t="shared" ca="1" si="164"/>
        <v>Late</v>
      </c>
      <c r="AL1414" s="268" t="str">
        <f t="shared" si="165"/>
        <v>June</v>
      </c>
      <c r="AM1414" s="133">
        <f>YEAR(Table1[[#This Row],[ETA
As requested
dd.mm.yyyy]])</f>
        <v>2024</v>
      </c>
    </row>
    <row r="1415" spans="1:39" hidden="1">
      <c r="A1415" s="123" t="s">
        <v>27</v>
      </c>
      <c r="B1415" s="36" t="s">
        <v>1170</v>
      </c>
      <c r="C1415" s="117">
        <v>5500511019</v>
      </c>
      <c r="D1415" s="165">
        <v>45446</v>
      </c>
      <c r="E1415" s="117" t="s">
        <v>40</v>
      </c>
      <c r="F1415" s="36" t="str">
        <f>IFERROR(VLOOKUP(Table1[[#This Row],[Part Number]],DATABASE_FG!$C$6:D11404,2,FALSE)," ")</f>
        <v>HOUSING            DBD.20G1X/</v>
      </c>
      <c r="G1415" s="117" t="str">
        <f>IFERROR(_xlfn.XLOOKUP(Table1[[#This Row],[Part Number]],Table3[Part number],Table3[Drawing
 Revision]),"")</f>
        <v>G</v>
      </c>
      <c r="H1415" s="118" cm="1">
        <f t="array" ref="H1415">IFERROR(INDEX(PDB!$C:$AT,MATCH(E1415,PDB!$B:$B,0),MATCH(YEAR(K1415),0+PDB!$C$1:$AT$1,0)),"")</f>
        <v>41.64</v>
      </c>
      <c r="I1415" s="36">
        <v>78</v>
      </c>
      <c r="J1415" s="125">
        <f>IFERROR(Table1[[#This Row],[Quantity]]*Table1[[#This Row],[Price/Unit
EUR]]," ")</f>
        <v>3247.92</v>
      </c>
      <c r="K1415" s="126">
        <v>45478</v>
      </c>
      <c r="L1415" s="36">
        <f>WEEKNUM(Table1[[#This Row],[ETA
As requested
dd.mm.yyyy]])</f>
        <v>27</v>
      </c>
      <c r="M1415" s="36">
        <f>YEAR(Table1[[#This Row],[ETA
As requested
dd.mm.yyyy]])</f>
        <v>2024</v>
      </c>
      <c r="N1415" s="36">
        <f>IFERROR(INDEX(DATABASE_FG!$H$5:$H$367, MATCH(E1415, DATABASE_FG!$C$5:$C$367, 0)), " ")</f>
        <v>20</v>
      </c>
      <c r="O1415" s="129" t="str">
        <f>IF(E1415&lt;&gt;"", _xlfn.XLOOKUP(E1415, DATABASE_FG!C:C, DATABASE_FG!F:F), " ")</f>
        <v>DBD.20</v>
      </c>
      <c r="P1415" s="129">
        <f>IFERROR(INDEX(DATABASE_FG!$G$5:$G$367, MATCH(E1415, DATABASE_FG!$C$5:$C$367, 0)), "Not Found")</f>
        <v>64</v>
      </c>
      <c r="Q1415" s="36">
        <v>60</v>
      </c>
      <c r="R1415" s="125" t="s">
        <v>678</v>
      </c>
      <c r="S1415" s="123">
        <f>IFERROR(INDEX(DATABASE_FG!$L$5:$L$367, MATCH(E1415, DATABASE_FG!$C$5:$C$367, 0)), " ")</f>
        <v>56</v>
      </c>
      <c r="T1415" s="36" t="s">
        <v>677</v>
      </c>
      <c r="U1415" s="36"/>
      <c r="V1415" s="36"/>
      <c r="W1415" s="129"/>
      <c r="X1415" s="36"/>
      <c r="Y1415" s="36"/>
      <c r="Z1415" s="36">
        <v>242806</v>
      </c>
      <c r="AA1415" s="125" t="s">
        <v>121</v>
      </c>
      <c r="AB1415" s="173">
        <v>45471</v>
      </c>
      <c r="AC1415" s="119">
        <v>2024739</v>
      </c>
      <c r="AD1415" s="36">
        <f t="shared" si="166"/>
        <v>5500511019</v>
      </c>
      <c r="AE1415" s="36" t="str">
        <f t="shared" si="168"/>
        <v>R900305236</v>
      </c>
      <c r="AF1415" s="36">
        <v>23</v>
      </c>
      <c r="AG1415" s="120">
        <f t="shared" si="167"/>
        <v>957.72</v>
      </c>
      <c r="AH1415" s="36"/>
      <c r="AI1415" s="124"/>
      <c r="AJ1415" s="122" t="s">
        <v>1719</v>
      </c>
      <c r="AK1415" s="129" t="str">
        <f t="shared" ca="1" si="164"/>
        <v>On Time</v>
      </c>
      <c r="AL1415" s="268" t="str">
        <f t="shared" si="165"/>
        <v>July</v>
      </c>
      <c r="AM1415" s="133">
        <f>YEAR(Table1[[#This Row],[ETA
As requested
dd.mm.yyyy]])</f>
        <v>2024</v>
      </c>
    </row>
    <row r="1416" spans="1:39" hidden="1">
      <c r="A1416" s="123" t="s">
        <v>27</v>
      </c>
      <c r="B1416" s="36" t="s">
        <v>1170</v>
      </c>
      <c r="C1416" s="117">
        <v>5500511019</v>
      </c>
      <c r="D1416" s="165">
        <v>45446</v>
      </c>
      <c r="E1416" s="117" t="s">
        <v>40</v>
      </c>
      <c r="F1416" s="36" t="str">
        <f>IFERROR(VLOOKUP(Table1[[#This Row],[Part Number]],DATABASE_FG!$C$6:D11405,2,FALSE)," ")</f>
        <v>HOUSING            DBD.20G1X/</v>
      </c>
      <c r="G1416" s="117" t="str">
        <f>IFERROR(_xlfn.XLOOKUP(Table1[[#This Row],[Part Number]],Table3[Part number],Table3[Drawing
 Revision]),"")</f>
        <v>G</v>
      </c>
      <c r="H1416" s="118" cm="1">
        <f t="array" ref="H1416">IFERROR(INDEX(PDB!$C:$AT,MATCH(E1416,PDB!$B:$B,0),MATCH(YEAR(K1416),0+PDB!$C$1:$AT$1,0)),"")</f>
        <v>41.64</v>
      </c>
      <c r="I1416" s="36"/>
      <c r="J1416" s="125">
        <f>IFERROR(Table1[[#This Row],[Quantity]]*Table1[[#This Row],[Price/Unit
EUR]]," ")</f>
        <v>0</v>
      </c>
      <c r="K1416" s="126">
        <v>45478</v>
      </c>
      <c r="L1416" s="36">
        <f>WEEKNUM(Table1[[#This Row],[ETA
As requested
dd.mm.yyyy]])</f>
        <v>27</v>
      </c>
      <c r="M1416" s="36">
        <f>YEAR(Table1[[#This Row],[ETA
As requested
dd.mm.yyyy]])</f>
        <v>2024</v>
      </c>
      <c r="N1416" s="36">
        <f>IFERROR(INDEX(DATABASE_FG!$H$5:$H$367, MATCH(E1416, DATABASE_FG!$C$5:$C$367, 0)), " ")</f>
        <v>20</v>
      </c>
      <c r="O1416" s="129" t="str">
        <f>IF(E1416&lt;&gt;"", _xlfn.XLOOKUP(E1416, DATABASE_FG!C:C, DATABASE_FG!F:F), " ")</f>
        <v>DBD.20</v>
      </c>
      <c r="P1416" s="129">
        <f>IFERROR(INDEX(DATABASE_FG!$G$5:$G$367, MATCH(E1416, DATABASE_FG!$C$5:$C$367, 0)), "Not Found")</f>
        <v>64</v>
      </c>
      <c r="Q1416" s="36">
        <v>60</v>
      </c>
      <c r="R1416" s="125" t="s">
        <v>678</v>
      </c>
      <c r="S1416" s="123">
        <f>IFERROR(INDEX(DATABASE_FG!$L$5:$L$367, MATCH(E1416, DATABASE_FG!$C$5:$C$367, 0)), " ")</f>
        <v>56</v>
      </c>
      <c r="T1416" s="36" t="s">
        <v>677</v>
      </c>
      <c r="U1416" s="36"/>
      <c r="V1416" s="36"/>
      <c r="W1416" s="129"/>
      <c r="X1416" s="36"/>
      <c r="Y1416" s="36"/>
      <c r="Z1416" s="36"/>
      <c r="AA1416" s="125" t="s">
        <v>121</v>
      </c>
      <c r="AB1416" s="173">
        <v>45483</v>
      </c>
      <c r="AC1416" s="119">
        <v>2024832</v>
      </c>
      <c r="AD1416" s="36">
        <f t="shared" si="166"/>
        <v>5500511019</v>
      </c>
      <c r="AE1416" s="36" t="str">
        <f t="shared" si="168"/>
        <v>R900305236</v>
      </c>
      <c r="AF1416" s="36">
        <v>55</v>
      </c>
      <c r="AG1416" s="120">
        <f t="shared" si="167"/>
        <v>2290.1999999999998</v>
      </c>
      <c r="AH1416" s="36"/>
      <c r="AI1416" s="124"/>
      <c r="AJ1416" s="122" t="s">
        <v>1789</v>
      </c>
      <c r="AK1416" s="129" t="str">
        <f t="shared" ca="1" si="164"/>
        <v>Late</v>
      </c>
      <c r="AL1416" s="268" t="str">
        <f t="shared" si="165"/>
        <v>July</v>
      </c>
      <c r="AM1416" s="133">
        <f>YEAR(Table1[[#This Row],[ETA
As requested
dd.mm.yyyy]])</f>
        <v>2024</v>
      </c>
    </row>
    <row r="1417" spans="1:39" hidden="1">
      <c r="A1417" s="123" t="s">
        <v>27</v>
      </c>
      <c r="B1417" s="36" t="s">
        <v>1170</v>
      </c>
      <c r="C1417" s="117">
        <v>5500511019</v>
      </c>
      <c r="D1417" s="165">
        <v>45446</v>
      </c>
      <c r="E1417" s="117" t="s">
        <v>40</v>
      </c>
      <c r="F1417" s="36" t="str">
        <f>IFERROR(VLOOKUP(Table1[[#This Row],[Part Number]],DATABASE_FG!$C$6:D11406,2,FALSE)," ")</f>
        <v>HOUSING            DBD.20G1X/</v>
      </c>
      <c r="G1417" s="117" t="str">
        <f>IFERROR(_xlfn.XLOOKUP(Table1[[#This Row],[Part Number]],Table3[Part number],Table3[Drawing
 Revision]),"")</f>
        <v>G</v>
      </c>
      <c r="H1417" s="118" cm="1">
        <f t="array" ref="H1417">IFERROR(INDEX(PDB!$C:$AT,MATCH(E1417,PDB!$B:$B,0),MATCH(YEAR(K1417),0+PDB!$C$1:$AT$1,0)),"")</f>
        <v>41.64</v>
      </c>
      <c r="I1417" s="36">
        <v>82</v>
      </c>
      <c r="J1417" s="125">
        <f>IFERROR(Table1[[#This Row],[Quantity]]*Table1[[#This Row],[Price/Unit
EUR]]," ")</f>
        <v>3414.48</v>
      </c>
      <c r="K1417" s="126">
        <v>45495</v>
      </c>
      <c r="L1417" s="36">
        <f>WEEKNUM(Table1[[#This Row],[ETA
As requested
dd.mm.yyyy]])</f>
        <v>30</v>
      </c>
      <c r="M1417" s="36">
        <f>YEAR(Table1[[#This Row],[ETA
As requested
dd.mm.yyyy]])</f>
        <v>2024</v>
      </c>
      <c r="N1417" s="36">
        <f>IFERROR(INDEX(DATABASE_FG!$H$5:$H$367, MATCH(E1417, DATABASE_FG!$C$5:$C$367, 0)), " ")</f>
        <v>20</v>
      </c>
      <c r="O1417" s="129" t="str">
        <f>IF(E1417&lt;&gt;"", _xlfn.XLOOKUP(E1417, DATABASE_FG!C:C, DATABASE_FG!F:F), " ")</f>
        <v>DBD.20</v>
      </c>
      <c r="P1417" s="129">
        <f>IFERROR(INDEX(DATABASE_FG!$G$5:$G$367, MATCH(E1417, DATABASE_FG!$C$5:$C$367, 0)), "Not Found")</f>
        <v>64</v>
      </c>
      <c r="Q1417" s="36">
        <v>60</v>
      </c>
      <c r="R1417" s="125" t="s">
        <v>678</v>
      </c>
      <c r="S1417" s="123">
        <f>IFERROR(INDEX(DATABASE_FG!$L$5:$L$367, MATCH(E1417, DATABASE_FG!$C$5:$C$367, 0)), " ")</f>
        <v>56</v>
      </c>
      <c r="T1417" s="36" t="s">
        <v>677</v>
      </c>
      <c r="U1417" s="36"/>
      <c r="V1417" s="36"/>
      <c r="W1417" s="129"/>
      <c r="X1417" s="36"/>
      <c r="Y1417" s="36"/>
      <c r="Z1417" s="36">
        <v>242806</v>
      </c>
      <c r="AA1417" s="125" t="s">
        <v>121</v>
      </c>
      <c r="AB1417" s="173">
        <v>45483</v>
      </c>
      <c r="AC1417" s="119">
        <v>2024832</v>
      </c>
      <c r="AD1417" s="36">
        <f t="shared" si="166"/>
        <v>5500511019</v>
      </c>
      <c r="AE1417" s="36" t="str">
        <f t="shared" si="168"/>
        <v>R900305236</v>
      </c>
      <c r="AF1417" s="36">
        <v>25</v>
      </c>
      <c r="AG1417" s="120">
        <f t="shared" si="167"/>
        <v>1041</v>
      </c>
      <c r="AH1417" s="36"/>
      <c r="AI1417" s="124"/>
      <c r="AJ1417" s="122" t="s">
        <v>1789</v>
      </c>
      <c r="AK1417" s="129" t="str">
        <f t="shared" ca="1" si="164"/>
        <v>On Time</v>
      </c>
      <c r="AL1417" s="268" t="str">
        <f t="shared" si="165"/>
        <v>July</v>
      </c>
      <c r="AM1417" s="133">
        <f>YEAR(Table1[[#This Row],[ETA
As requested
dd.mm.yyyy]])</f>
        <v>2024</v>
      </c>
    </row>
    <row r="1418" spans="1:39" hidden="1">
      <c r="A1418" s="123" t="s">
        <v>27</v>
      </c>
      <c r="B1418" s="36" t="s">
        <v>1170</v>
      </c>
      <c r="C1418" s="117">
        <v>5500511019</v>
      </c>
      <c r="D1418" s="165">
        <v>45446</v>
      </c>
      <c r="E1418" s="117" t="s">
        <v>40</v>
      </c>
      <c r="F1418" s="36" t="str">
        <f>IFERROR(VLOOKUP(Table1[[#This Row],[Part Number]],DATABASE_FG!$C$6:D11407,2,FALSE)," ")</f>
        <v>HOUSING            DBD.20G1X/</v>
      </c>
      <c r="G1418" s="117" t="str">
        <f>IFERROR(_xlfn.XLOOKUP(Table1[[#This Row],[Part Number]],Table3[Part number],Table3[Drawing
 Revision]),"")</f>
        <v>G</v>
      </c>
      <c r="H1418" s="118" cm="1">
        <f t="array" ref="H1418">IFERROR(INDEX(PDB!$C:$AT,MATCH(E1418,PDB!$B:$B,0),MATCH(YEAR(K1418),0+PDB!$C$1:$AT$1,0)),"")</f>
        <v>41.64</v>
      </c>
      <c r="I1418" s="36"/>
      <c r="J1418" s="125">
        <f>IFERROR(Table1[[#This Row],[Quantity]]*Table1[[#This Row],[Price/Unit
EUR]]," ")</f>
        <v>0</v>
      </c>
      <c r="K1418" s="126">
        <v>45496</v>
      </c>
      <c r="L1418" s="36">
        <f>WEEKNUM(Table1[[#This Row],[ETA
As requested
dd.mm.yyyy]])</f>
        <v>30</v>
      </c>
      <c r="M1418" s="36">
        <f>YEAR(Table1[[#This Row],[ETA
As requested
dd.mm.yyyy]])</f>
        <v>2024</v>
      </c>
      <c r="N1418" s="36">
        <f>IFERROR(INDEX(DATABASE_FG!$H$5:$H$367, MATCH(E1418, DATABASE_FG!$C$5:$C$367, 0)), " ")</f>
        <v>20</v>
      </c>
      <c r="O1418" s="129" t="str">
        <f>IF(E1418&lt;&gt;"", _xlfn.XLOOKUP(E1418, DATABASE_FG!C:C, DATABASE_FG!F:F), " ")</f>
        <v>DBD.20</v>
      </c>
      <c r="P1418" s="129">
        <f>IFERROR(INDEX(DATABASE_FG!$G$5:$G$367, MATCH(E1418, DATABASE_FG!$C$5:$C$367, 0)), "Not Found")</f>
        <v>64</v>
      </c>
      <c r="Q1418" s="36">
        <v>60</v>
      </c>
      <c r="R1418" s="125" t="s">
        <v>678</v>
      </c>
      <c r="S1418" s="123">
        <f>IFERROR(INDEX(DATABASE_FG!$L$5:$L$367, MATCH(E1418, DATABASE_FG!$C$5:$C$367, 0)), " ")</f>
        <v>56</v>
      </c>
      <c r="T1418" s="36" t="s">
        <v>677</v>
      </c>
      <c r="U1418" s="36"/>
      <c r="V1418" s="36"/>
      <c r="W1418" s="129"/>
      <c r="X1418" s="36"/>
      <c r="Y1418" s="36"/>
      <c r="Z1418" s="36"/>
      <c r="AA1418" s="125" t="s">
        <v>121</v>
      </c>
      <c r="AB1418" s="173">
        <v>45485</v>
      </c>
      <c r="AC1418" s="119">
        <v>2024845</v>
      </c>
      <c r="AD1418" s="36">
        <f t="shared" si="166"/>
        <v>5500511019</v>
      </c>
      <c r="AE1418" s="36" t="str">
        <f t="shared" si="168"/>
        <v>R900305236</v>
      </c>
      <c r="AF1418" s="36">
        <v>62</v>
      </c>
      <c r="AG1418" s="120">
        <f t="shared" si="167"/>
        <v>2581.6799999999998</v>
      </c>
      <c r="AH1418" s="36"/>
      <c r="AI1418" s="124"/>
      <c r="AJ1418" s="122" t="s">
        <v>1853</v>
      </c>
      <c r="AK1418" s="129" t="str">
        <f t="shared" ca="1" si="164"/>
        <v>On Time</v>
      </c>
      <c r="AL1418" s="268" t="str">
        <f t="shared" si="165"/>
        <v>July</v>
      </c>
      <c r="AM1418" s="133">
        <f>YEAR(Table1[[#This Row],[ETA
As requested
dd.mm.yyyy]])</f>
        <v>2024</v>
      </c>
    </row>
    <row r="1419" spans="1:39" hidden="1">
      <c r="A1419" s="123" t="s">
        <v>27</v>
      </c>
      <c r="B1419" s="36" t="s">
        <v>1170</v>
      </c>
      <c r="C1419" s="117">
        <v>5500511019</v>
      </c>
      <c r="D1419" s="165">
        <v>45474</v>
      </c>
      <c r="E1419" s="117" t="s">
        <v>40</v>
      </c>
      <c r="F1419" s="36" t="str">
        <f>IFERROR(VLOOKUP(Table1[[#This Row],[Part Number]],DATABASE_FG!$C$6:D11408,2,FALSE)," ")</f>
        <v>HOUSING            DBD.20G1X/</v>
      </c>
      <c r="G1419" s="117" t="str">
        <f>IFERROR(_xlfn.XLOOKUP(Table1[[#This Row],[Part Number]],Table3[Part number],Table3[Drawing
 Revision]),"")</f>
        <v>G</v>
      </c>
      <c r="H1419" s="118" cm="1">
        <f t="array" ref="H1419">IFERROR(INDEX(PDB!$C:$AT,MATCH(E1419,PDB!$B:$B,0),MATCH(YEAR(K1419),0+PDB!$C$1:$AT$1,0)),"")</f>
        <v>41.64</v>
      </c>
      <c r="I1419" s="36">
        <v>147</v>
      </c>
      <c r="J1419" s="125">
        <f>IFERROR(Table1[[#This Row],[Quantity]]*Table1[[#This Row],[Price/Unit
EUR]]," ")</f>
        <v>6121.08</v>
      </c>
      <c r="K1419" s="126">
        <v>45517</v>
      </c>
      <c r="L1419" s="36">
        <f>WEEKNUM(Table1[[#This Row],[ETA
As requested
dd.mm.yyyy]])</f>
        <v>33</v>
      </c>
      <c r="M1419" s="36">
        <f>YEAR(Table1[[#This Row],[ETA
As requested
dd.mm.yyyy]])</f>
        <v>2024</v>
      </c>
      <c r="N1419" s="36">
        <f>IFERROR(INDEX(DATABASE_FG!$H$5:$H$367, MATCH(E1419, DATABASE_FG!$C$5:$C$367, 0)), " ")</f>
        <v>20</v>
      </c>
      <c r="O1419" s="129" t="str">
        <f>IF(E1419&lt;&gt;"", _xlfn.XLOOKUP(E1419, DATABASE_FG!C:C, DATABASE_FG!F:F), " ")</f>
        <v>DBD.20</v>
      </c>
      <c r="P1419" s="129">
        <f>IFERROR(INDEX(DATABASE_FG!$G$5:$G$367, MATCH(E1419, DATABASE_FG!$C$5:$C$367, 0)), "Not Found")</f>
        <v>64</v>
      </c>
      <c r="Q1419" s="36">
        <v>60</v>
      </c>
      <c r="R1419" s="125" t="s">
        <v>678</v>
      </c>
      <c r="S1419" s="123">
        <f>IFERROR(INDEX(DATABASE_FG!$L$5:$L$367, MATCH(E1419, DATABASE_FG!$C$5:$C$367, 0)), " ")</f>
        <v>56</v>
      </c>
      <c r="T1419" s="36" t="s">
        <v>677</v>
      </c>
      <c r="U1419" s="36"/>
      <c r="V1419" s="36"/>
      <c r="W1419" s="129"/>
      <c r="X1419" s="36"/>
      <c r="Y1419" s="36"/>
      <c r="Z1419" s="36">
        <v>243006</v>
      </c>
      <c r="AA1419" s="125" t="s">
        <v>121</v>
      </c>
      <c r="AB1419" s="173">
        <v>45499</v>
      </c>
      <c r="AC1419" s="119">
        <v>2024925</v>
      </c>
      <c r="AD1419" s="36">
        <f t="shared" ref="AD1419:AD1441" si="169">IF(NOT(ISBLANK(AC1419)), C1419, "")</f>
        <v>5500511019</v>
      </c>
      <c r="AE1419" s="36" t="str">
        <f t="shared" si="168"/>
        <v>R900305236</v>
      </c>
      <c r="AF1419" s="36">
        <v>105</v>
      </c>
      <c r="AG1419" s="120">
        <f t="shared" si="167"/>
        <v>4372.2</v>
      </c>
      <c r="AH1419" s="36"/>
      <c r="AI1419" s="124"/>
      <c r="AJ1419" s="122" t="s">
        <v>1940</v>
      </c>
      <c r="AK1419" s="129" t="str">
        <f t="shared" ca="1" si="164"/>
        <v>On Time</v>
      </c>
      <c r="AL1419" s="268" t="str">
        <f t="shared" si="165"/>
        <v>August</v>
      </c>
      <c r="AM1419" s="133">
        <f>YEAR(Table1[[#This Row],[ETA
As requested
dd.mm.yyyy]])</f>
        <v>2024</v>
      </c>
    </row>
    <row r="1420" spans="1:39" hidden="1">
      <c r="A1420" s="123" t="s">
        <v>27</v>
      </c>
      <c r="B1420" s="36" t="s">
        <v>1170</v>
      </c>
      <c r="C1420" s="117">
        <v>5500511019</v>
      </c>
      <c r="D1420" s="165">
        <v>45474</v>
      </c>
      <c r="E1420" s="117" t="s">
        <v>40</v>
      </c>
      <c r="F1420" s="36" t="str">
        <f>IFERROR(VLOOKUP(Table1[[#This Row],[Part Number]],DATABASE_FG!$C$6:D11409,2,FALSE)," ")</f>
        <v>HOUSING            DBD.20G1X/</v>
      </c>
      <c r="G1420" s="117" t="str">
        <f>IFERROR(_xlfn.XLOOKUP(Table1[[#This Row],[Part Number]],Table3[Part number],Table3[Drawing
 Revision]),"")</f>
        <v>G</v>
      </c>
      <c r="H1420" s="118" cm="1">
        <f t="array" ref="H1420">IFERROR(INDEX(PDB!$C:$AT,MATCH(E1420,PDB!$B:$B,0),MATCH(YEAR(K1420),0+PDB!$C$1:$AT$1,0)),"")</f>
        <v>41.64</v>
      </c>
      <c r="I1420" s="36">
        <v>0</v>
      </c>
      <c r="J1420" s="125">
        <f>IFERROR(Table1[[#This Row],[Quantity]]*Table1[[#This Row],[Price/Unit
EUR]]," ")</f>
        <v>0</v>
      </c>
      <c r="K1420" s="126">
        <v>45517</v>
      </c>
      <c r="L1420" s="36">
        <f>WEEKNUM(Table1[[#This Row],[ETA
As requested
dd.mm.yyyy]])</f>
        <v>33</v>
      </c>
      <c r="M1420" s="36">
        <f>YEAR(Table1[[#This Row],[ETA
As requested
dd.mm.yyyy]])</f>
        <v>2024</v>
      </c>
      <c r="N1420" s="36">
        <f>IFERROR(INDEX(DATABASE_FG!$H$5:$H$367, MATCH(E1420, DATABASE_FG!$C$5:$C$367, 0)), " ")</f>
        <v>20</v>
      </c>
      <c r="O1420" s="129" t="str">
        <f>IF(E1420&lt;&gt;"", _xlfn.XLOOKUP(E1420, DATABASE_FG!C:C, DATABASE_FG!F:F), " ")</f>
        <v>DBD.20</v>
      </c>
      <c r="P1420" s="129">
        <f>IFERROR(INDEX(DATABASE_FG!$G$5:$G$367, MATCH(E1420, DATABASE_FG!$C$5:$C$367, 0)), "Not Found")</f>
        <v>64</v>
      </c>
      <c r="Q1420" s="36">
        <v>60</v>
      </c>
      <c r="R1420" s="125" t="s">
        <v>678</v>
      </c>
      <c r="S1420" s="123">
        <f>IFERROR(INDEX(DATABASE_FG!$L$5:$L$367, MATCH(E1420, DATABASE_FG!$C$5:$C$367, 0)), " ")</f>
        <v>56</v>
      </c>
      <c r="T1420" s="36" t="s">
        <v>677</v>
      </c>
      <c r="U1420" s="36"/>
      <c r="V1420" s="36"/>
      <c r="W1420" s="129"/>
      <c r="X1420" s="36"/>
      <c r="Y1420" s="36"/>
      <c r="Z1420" s="36"/>
      <c r="AA1420" s="125" t="s">
        <v>121</v>
      </c>
      <c r="AB1420" s="173">
        <v>45504</v>
      </c>
      <c r="AC1420" s="119">
        <v>2024949</v>
      </c>
      <c r="AD1420" s="36">
        <f t="shared" si="169"/>
        <v>5500511019</v>
      </c>
      <c r="AE1420" s="36" t="str">
        <f t="shared" si="168"/>
        <v>R900305236</v>
      </c>
      <c r="AF1420" s="36">
        <v>24</v>
      </c>
      <c r="AG1420" s="120">
        <f t="shared" si="167"/>
        <v>999.36</v>
      </c>
      <c r="AH1420" s="36"/>
      <c r="AI1420" s="124"/>
      <c r="AJ1420" s="122" t="s">
        <v>1941</v>
      </c>
      <c r="AK1420" s="129" t="str">
        <f t="shared" ca="1" si="164"/>
        <v>On Time</v>
      </c>
      <c r="AL1420" s="268" t="str">
        <f t="shared" si="165"/>
        <v>August</v>
      </c>
      <c r="AM1420" s="133">
        <f>YEAR(Table1[[#This Row],[ETA
As requested
dd.mm.yyyy]])</f>
        <v>2024</v>
      </c>
    </row>
    <row r="1421" spans="1:39" hidden="1">
      <c r="A1421" s="123" t="s">
        <v>27</v>
      </c>
      <c r="B1421" s="36" t="s">
        <v>1170</v>
      </c>
      <c r="C1421" s="117">
        <v>5500511019</v>
      </c>
      <c r="D1421" s="165">
        <v>45474</v>
      </c>
      <c r="E1421" s="117" t="s">
        <v>40</v>
      </c>
      <c r="F1421" s="36" t="str">
        <f>IFERROR(VLOOKUP(Table1[[#This Row],[Part Number]],DATABASE_FG!$C$6:D11410,2,FALSE)," ")</f>
        <v>HOUSING            DBD.20G1X/</v>
      </c>
      <c r="G1421" s="117" t="str">
        <f>IFERROR(_xlfn.XLOOKUP(Table1[[#This Row],[Part Number]],Table3[Part number],Table3[Drawing
 Revision]),"")</f>
        <v>G</v>
      </c>
      <c r="H1421" s="118" cm="1">
        <f t="array" ref="H1421">IFERROR(INDEX(PDB!$C:$AT,MATCH(E1421,PDB!$B:$B,0),MATCH(YEAR(K1421),0+PDB!$C$1:$AT$1,0)),"")</f>
        <v>41.64</v>
      </c>
      <c r="I1421" s="36">
        <v>0</v>
      </c>
      <c r="J1421" s="125">
        <f>IFERROR(Table1[[#This Row],[Quantity]]*Table1[[#This Row],[Price/Unit
EUR]]," ")</f>
        <v>0</v>
      </c>
      <c r="K1421" s="126">
        <v>45517</v>
      </c>
      <c r="L1421" s="36">
        <f>WEEKNUM(Table1[[#This Row],[ETA
As requested
dd.mm.yyyy]])</f>
        <v>33</v>
      </c>
      <c r="M1421" s="36">
        <f>YEAR(Table1[[#This Row],[ETA
As requested
dd.mm.yyyy]])</f>
        <v>2024</v>
      </c>
      <c r="N1421" s="36">
        <f>IFERROR(INDEX(DATABASE_FG!$H$5:$H$367, MATCH(E1421, DATABASE_FG!$C$5:$C$367, 0)), " ")</f>
        <v>20</v>
      </c>
      <c r="O1421" s="129" t="str">
        <f>IF(E1421&lt;&gt;"", _xlfn.XLOOKUP(E1421, DATABASE_FG!C:C, DATABASE_FG!F:F), " ")</f>
        <v>DBD.20</v>
      </c>
      <c r="P1421" s="129">
        <f>IFERROR(INDEX(DATABASE_FG!$G$5:$G$367, MATCH(E1421, DATABASE_FG!$C$5:$C$367, 0)), "Not Found")</f>
        <v>64</v>
      </c>
      <c r="Q1421" s="36">
        <v>60</v>
      </c>
      <c r="R1421" s="125" t="s">
        <v>678</v>
      </c>
      <c r="S1421" s="123">
        <f>IFERROR(INDEX(DATABASE_FG!$L$5:$L$367, MATCH(E1421, DATABASE_FG!$C$5:$C$367, 0)), " ")</f>
        <v>56</v>
      </c>
      <c r="T1421" s="36" t="s">
        <v>677</v>
      </c>
      <c r="U1421" s="36"/>
      <c r="V1421" s="36"/>
      <c r="W1421" s="129"/>
      <c r="X1421" s="36"/>
      <c r="Y1421" s="36"/>
      <c r="Z1421" s="36"/>
      <c r="AA1421" s="125" t="s">
        <v>121</v>
      </c>
      <c r="AB1421" s="173">
        <v>45506</v>
      </c>
      <c r="AC1421" s="119">
        <v>2024983</v>
      </c>
      <c r="AD1421" s="36">
        <f t="shared" si="169"/>
        <v>5500511019</v>
      </c>
      <c r="AE1421" s="36" t="str">
        <f t="shared" si="168"/>
        <v>R900305236</v>
      </c>
      <c r="AF1421" s="36">
        <v>18</v>
      </c>
      <c r="AG1421" s="120">
        <f t="shared" si="167"/>
        <v>749.52</v>
      </c>
      <c r="AH1421" s="36"/>
      <c r="AI1421" s="124"/>
      <c r="AJ1421" s="122" t="s">
        <v>1942</v>
      </c>
      <c r="AK1421" s="129" t="str">
        <f t="shared" ca="1" si="164"/>
        <v>On Time</v>
      </c>
      <c r="AL1421" s="268" t="str">
        <f t="shared" si="165"/>
        <v>August</v>
      </c>
      <c r="AM1421" s="133">
        <f>YEAR(Table1[[#This Row],[ETA
As requested
dd.mm.yyyy]])</f>
        <v>2024</v>
      </c>
    </row>
    <row r="1422" spans="1:39" hidden="1">
      <c r="A1422" s="123" t="s">
        <v>27</v>
      </c>
      <c r="B1422" s="36" t="s">
        <v>1170</v>
      </c>
      <c r="C1422" s="117">
        <v>5500511019</v>
      </c>
      <c r="D1422" s="165">
        <v>45446</v>
      </c>
      <c r="E1422" s="117" t="s">
        <v>40</v>
      </c>
      <c r="F1422" s="36" t="str">
        <f>IFERROR(VLOOKUP(Table1[[#This Row],[Part Number]],DATABASE_FG!$C$6:D11411,2,FALSE)," ")</f>
        <v>HOUSING            DBD.20G1X/</v>
      </c>
      <c r="G1422" s="117" t="str">
        <f>IFERROR(_xlfn.XLOOKUP(Table1[[#This Row],[Part Number]],Table3[Part number],Table3[Drawing
 Revision]),"")</f>
        <v>G</v>
      </c>
      <c r="H1422" s="118" cm="1">
        <f t="array" ref="H1422">IFERROR(INDEX(PDB!$C:$AT,MATCH(E1422,PDB!$B:$B,0),MATCH(YEAR(K1422),0+PDB!$C$1:$AT$1,0)),"")</f>
        <v>41.64</v>
      </c>
      <c r="I1422" s="36">
        <v>20</v>
      </c>
      <c r="J1422" s="125">
        <f>IFERROR(Table1[[#This Row],[Quantity]]*Table1[[#This Row],[Price/Unit
EUR]]," ")</f>
        <v>832.8</v>
      </c>
      <c r="K1422" s="126">
        <v>45546</v>
      </c>
      <c r="L1422" s="36">
        <f>WEEKNUM(Table1[[#This Row],[ETA
As requested
dd.mm.yyyy]])</f>
        <v>37</v>
      </c>
      <c r="M1422" s="36">
        <f>YEAR(Table1[[#This Row],[ETA
As requested
dd.mm.yyyy]])</f>
        <v>2024</v>
      </c>
      <c r="N1422" s="36">
        <f>IFERROR(INDEX(DATABASE_FG!$H$5:$H$367, MATCH(E1422, DATABASE_FG!$C$5:$C$367, 0)), " ")</f>
        <v>20</v>
      </c>
      <c r="O1422" s="129" t="str">
        <f>IF(E1422&lt;&gt;"", _xlfn.XLOOKUP(E1422, DATABASE_FG!C:C, DATABASE_FG!F:F), " ")</f>
        <v>DBD.20</v>
      </c>
      <c r="P1422" s="129">
        <f>IFERROR(INDEX(DATABASE_FG!$G$5:$G$367, MATCH(E1422, DATABASE_FG!$C$5:$C$367, 0)), "Not Found")</f>
        <v>64</v>
      </c>
      <c r="Q1422" s="36">
        <v>60</v>
      </c>
      <c r="R1422" s="125" t="s">
        <v>678</v>
      </c>
      <c r="S1422" s="123">
        <f>IFERROR(INDEX(DATABASE_FG!$L$5:$L$367, MATCH(E1422, DATABASE_FG!$C$5:$C$367, 0)), " ")</f>
        <v>56</v>
      </c>
      <c r="T1422" s="36" t="s">
        <v>677</v>
      </c>
      <c r="U1422" s="36"/>
      <c r="V1422" s="36"/>
      <c r="W1422" s="129"/>
      <c r="X1422" s="36"/>
      <c r="Y1422" s="36"/>
      <c r="Z1422" s="36"/>
      <c r="AA1422" s="125" t="s">
        <v>121</v>
      </c>
      <c r="AB1422" s="173">
        <v>45506</v>
      </c>
      <c r="AC1422" s="119">
        <v>2024983</v>
      </c>
      <c r="AD1422" s="36">
        <f t="shared" si="169"/>
        <v>5500511019</v>
      </c>
      <c r="AE1422" s="36" t="str">
        <f t="shared" si="168"/>
        <v>R900305236</v>
      </c>
      <c r="AF1422" s="36">
        <v>4</v>
      </c>
      <c r="AG1422" s="120">
        <f t="shared" si="167"/>
        <v>166.56</v>
      </c>
      <c r="AH1422" s="36"/>
      <c r="AI1422" s="124"/>
      <c r="AJ1422" s="122" t="s">
        <v>1942</v>
      </c>
      <c r="AK1422" s="129" t="str">
        <f t="shared" ca="1" si="164"/>
        <v>On Time</v>
      </c>
      <c r="AL1422" s="268" t="str">
        <f t="shared" si="165"/>
        <v>September</v>
      </c>
      <c r="AM1422" s="133">
        <f>YEAR(Table1[[#This Row],[ETA
As requested
dd.mm.yyyy]])</f>
        <v>2024</v>
      </c>
    </row>
    <row r="1423" spans="1:39" hidden="1">
      <c r="A1423" s="123" t="s">
        <v>27</v>
      </c>
      <c r="B1423" s="36" t="s">
        <v>1170</v>
      </c>
      <c r="C1423" s="117">
        <v>5500511019</v>
      </c>
      <c r="D1423" s="165">
        <v>45446</v>
      </c>
      <c r="E1423" s="117" t="s">
        <v>40</v>
      </c>
      <c r="F1423" s="36" t="str">
        <f>IFERROR(VLOOKUP(Table1[[#This Row],[Part Number]],DATABASE_FG!$C$6:D11412,2,FALSE)," ")</f>
        <v>HOUSING            DBD.20G1X/</v>
      </c>
      <c r="G1423" s="117" t="str">
        <f>IFERROR(_xlfn.XLOOKUP(Table1[[#This Row],[Part Number]],Table3[Part number],Table3[Drawing
 Revision]),"")</f>
        <v>G</v>
      </c>
      <c r="H1423" s="118" cm="1">
        <f t="array" ref="H1423">IFERROR(INDEX(PDB!$C:$AT,MATCH(E1423,PDB!$B:$B,0),MATCH(YEAR(K1423),0+PDB!$C$1:$AT$1,0)),"")</f>
        <v>41.64</v>
      </c>
      <c r="I1423" s="36">
        <v>0</v>
      </c>
      <c r="J1423" s="125">
        <f>IFERROR(Table1[[#This Row],[Quantity]]*Table1[[#This Row],[Price/Unit
EUR]]," ")</f>
        <v>0</v>
      </c>
      <c r="K1423" s="126">
        <v>45546</v>
      </c>
      <c r="L1423" s="36">
        <f>WEEKNUM(Table1[[#This Row],[ETA
As requested
dd.mm.yyyy]])</f>
        <v>37</v>
      </c>
      <c r="M1423" s="36">
        <f>YEAR(Table1[[#This Row],[ETA
As requested
dd.mm.yyyy]])</f>
        <v>2024</v>
      </c>
      <c r="N1423" s="36">
        <f>IFERROR(INDEX(DATABASE_FG!$H$5:$H$367, MATCH(E1423, DATABASE_FG!$C$5:$C$367, 0)), " ")</f>
        <v>20</v>
      </c>
      <c r="O1423" s="129" t="str">
        <f>IF(E1423&lt;&gt;"", _xlfn.XLOOKUP(E1423, DATABASE_FG!C:C, DATABASE_FG!F:F), " ")</f>
        <v>DBD.20</v>
      </c>
      <c r="P1423" s="129">
        <f>IFERROR(INDEX(DATABASE_FG!$G$5:$G$367, MATCH(E1423, DATABASE_FG!$C$5:$C$367, 0)), "Not Found")</f>
        <v>64</v>
      </c>
      <c r="Q1423" s="36">
        <v>60</v>
      </c>
      <c r="R1423" s="125" t="s">
        <v>678</v>
      </c>
      <c r="S1423" s="123">
        <f>IFERROR(INDEX(DATABASE_FG!$L$5:$L$367, MATCH(E1423, DATABASE_FG!$C$5:$C$367, 0)), " ")</f>
        <v>56</v>
      </c>
      <c r="T1423" s="36" t="s">
        <v>677</v>
      </c>
      <c r="U1423" s="36"/>
      <c r="V1423" s="36"/>
      <c r="W1423" s="129"/>
      <c r="X1423" s="36"/>
      <c r="Y1423" s="36"/>
      <c r="Z1423" s="36"/>
      <c r="AA1423" s="125" t="s">
        <v>121</v>
      </c>
      <c r="AB1423" s="173">
        <v>45541</v>
      </c>
      <c r="AC1423" s="119">
        <v>202401113</v>
      </c>
      <c r="AD1423" s="36">
        <f t="shared" si="169"/>
        <v>5500511019</v>
      </c>
      <c r="AE1423" s="36" t="str">
        <f t="shared" si="168"/>
        <v>R900305236</v>
      </c>
      <c r="AF1423" s="36">
        <v>16</v>
      </c>
      <c r="AG1423" s="120">
        <f t="shared" si="167"/>
        <v>666.24</v>
      </c>
      <c r="AH1423" s="36"/>
      <c r="AI1423" s="124"/>
      <c r="AJ1423" s="122" t="s">
        <v>2373</v>
      </c>
      <c r="AK1423" s="129" t="str">
        <f t="shared" ca="1" si="164"/>
        <v>On Time</v>
      </c>
      <c r="AL1423" s="268" t="str">
        <f t="shared" si="165"/>
        <v>September</v>
      </c>
      <c r="AM1423" s="133">
        <f>YEAR(Table1[[#This Row],[ETA
As requested
dd.mm.yyyy]])</f>
        <v>2024</v>
      </c>
    </row>
    <row r="1424" spans="1:39" hidden="1">
      <c r="A1424" s="123" t="s">
        <v>27</v>
      </c>
      <c r="B1424" s="36" t="s">
        <v>1170</v>
      </c>
      <c r="C1424" s="117">
        <v>5500511019</v>
      </c>
      <c r="D1424" s="165">
        <v>45446</v>
      </c>
      <c r="E1424" s="117" t="s">
        <v>40</v>
      </c>
      <c r="F1424" s="36" t="str">
        <f>IFERROR(VLOOKUP(Table1[[#This Row],[Part Number]],DATABASE_FG!$C$6:D11413,2,FALSE)," ")</f>
        <v>HOUSING            DBD.20G1X/</v>
      </c>
      <c r="G1424" s="117" t="str">
        <f>IFERROR(_xlfn.XLOOKUP(Table1[[#This Row],[Part Number]],Table3[Part number],Table3[Drawing
 Revision]),"")</f>
        <v>G</v>
      </c>
      <c r="H1424" s="118" cm="1">
        <f t="array" ref="H1424">IFERROR(INDEX(PDB!$C:$AT,MATCH(E1424,PDB!$B:$B,0),MATCH(YEAR(K1424),0+PDB!$C$1:$AT$1,0)),"")</f>
        <v>41.64</v>
      </c>
      <c r="I1424" s="36">
        <v>32</v>
      </c>
      <c r="J1424" s="125">
        <f>IFERROR(Table1[[#This Row],[Quantity]]*Table1[[#This Row],[Price/Unit
EUR]]," ")</f>
        <v>1332.48</v>
      </c>
      <c r="K1424" s="126">
        <v>45546</v>
      </c>
      <c r="L1424" s="36">
        <f>WEEKNUM(Table1[[#This Row],[ETA
As requested
dd.mm.yyyy]])</f>
        <v>37</v>
      </c>
      <c r="M1424" s="36">
        <f>YEAR(Table1[[#This Row],[ETA
As requested
dd.mm.yyyy]])</f>
        <v>2024</v>
      </c>
      <c r="N1424" s="36">
        <f>IFERROR(INDEX(DATABASE_FG!$H$5:$H$367, MATCH(E1424, DATABASE_FG!$C$5:$C$367, 0)), " ")</f>
        <v>20</v>
      </c>
      <c r="O1424" s="129" t="str">
        <f>IF(E1424&lt;&gt;"", _xlfn.XLOOKUP(E1424, DATABASE_FG!C:C, DATABASE_FG!F:F), " ")</f>
        <v>DBD.20</v>
      </c>
      <c r="P1424" s="129">
        <f>IFERROR(INDEX(DATABASE_FG!$G$5:$G$367, MATCH(E1424, DATABASE_FG!$C$5:$C$367, 0)), "Not Found")</f>
        <v>64</v>
      </c>
      <c r="Q1424" s="36">
        <v>60</v>
      </c>
      <c r="R1424" s="125" t="s">
        <v>678</v>
      </c>
      <c r="S1424" s="123">
        <f>IFERROR(INDEX(DATABASE_FG!$L$5:$L$367, MATCH(E1424, DATABASE_FG!$C$5:$C$367, 0)), " ")</f>
        <v>56</v>
      </c>
      <c r="T1424" s="36" t="s">
        <v>677</v>
      </c>
      <c r="U1424" s="36"/>
      <c r="V1424" s="36"/>
      <c r="W1424" s="129"/>
      <c r="X1424" s="36"/>
      <c r="Y1424" s="36"/>
      <c r="Z1424" s="36"/>
      <c r="AA1424" s="125" t="s">
        <v>121</v>
      </c>
      <c r="AB1424" s="173">
        <v>45541</v>
      </c>
      <c r="AC1424" s="119">
        <v>202401113</v>
      </c>
      <c r="AD1424" s="36">
        <f t="shared" si="169"/>
        <v>5500511019</v>
      </c>
      <c r="AE1424" s="36" t="str">
        <f t="shared" si="168"/>
        <v>R900305236</v>
      </c>
      <c r="AF1424" s="36">
        <v>32</v>
      </c>
      <c r="AG1424" s="120">
        <f t="shared" si="167"/>
        <v>1332.48</v>
      </c>
      <c r="AH1424" s="36"/>
      <c r="AI1424" s="124"/>
      <c r="AJ1424" s="122" t="s">
        <v>2373</v>
      </c>
      <c r="AK1424" s="129" t="str">
        <f t="shared" ca="1" si="164"/>
        <v>On Time</v>
      </c>
      <c r="AL1424" s="268" t="str">
        <f t="shared" si="165"/>
        <v>September</v>
      </c>
      <c r="AM1424" s="133">
        <f>YEAR(Table1[[#This Row],[ETA
As requested
dd.mm.yyyy]])</f>
        <v>2024</v>
      </c>
    </row>
    <row r="1425" spans="1:39" hidden="1">
      <c r="A1425" s="123" t="s">
        <v>27</v>
      </c>
      <c r="B1425" s="36" t="s">
        <v>1170</v>
      </c>
      <c r="C1425" s="117">
        <v>5500511019</v>
      </c>
      <c r="D1425" s="165">
        <v>45446</v>
      </c>
      <c r="E1425" s="117" t="s">
        <v>40</v>
      </c>
      <c r="F1425" s="36" t="str">
        <f>IFERROR(VLOOKUP(Table1[[#This Row],[Part Number]],DATABASE_FG!$C$6:D11414,2,FALSE)," ")</f>
        <v>HOUSING            DBD.20G1X/</v>
      </c>
      <c r="G1425" s="117" t="str">
        <f>IFERROR(_xlfn.XLOOKUP(Table1[[#This Row],[Part Number]],Table3[Part number],Table3[Drawing
 Revision]),"")</f>
        <v>G</v>
      </c>
      <c r="H1425" s="118" cm="1">
        <f t="array" ref="H1425">IFERROR(INDEX(PDB!$C:$AT,MATCH(E1425,PDB!$B:$B,0),MATCH(YEAR(K1425),0+PDB!$C$1:$AT$1,0)),"")</f>
        <v>41.64</v>
      </c>
      <c r="I1425" s="36">
        <v>56</v>
      </c>
      <c r="J1425" s="125">
        <f>IFERROR(Table1[[#This Row],[Quantity]]*Table1[[#This Row],[Price/Unit
EUR]]," ")</f>
        <v>2331.84</v>
      </c>
      <c r="K1425" s="126">
        <v>45572</v>
      </c>
      <c r="L1425" s="36">
        <f>WEEKNUM(Table1[[#This Row],[ETA
As requested
dd.mm.yyyy]])</f>
        <v>41</v>
      </c>
      <c r="M1425" s="36">
        <f>YEAR(Table1[[#This Row],[ETA
As requested
dd.mm.yyyy]])</f>
        <v>2024</v>
      </c>
      <c r="N1425" s="36">
        <f>IFERROR(INDEX(DATABASE_FG!$H$5:$H$367, MATCH(E1425, DATABASE_FG!$C$5:$C$367, 0)), " ")</f>
        <v>20</v>
      </c>
      <c r="O1425" s="129" t="str">
        <f>IF(E1425&lt;&gt;"", _xlfn.XLOOKUP(E1425, DATABASE_FG!C:C, DATABASE_FG!F:F), " ")</f>
        <v>DBD.20</v>
      </c>
      <c r="P1425" s="129">
        <f>IFERROR(INDEX(DATABASE_FG!$G$5:$G$367, MATCH(E1425, DATABASE_FG!$C$5:$C$367, 0)), "Not Found")</f>
        <v>64</v>
      </c>
      <c r="Q1425" s="36">
        <v>60</v>
      </c>
      <c r="R1425" s="125" t="s">
        <v>678</v>
      </c>
      <c r="S1425" s="123">
        <f>IFERROR(INDEX(DATABASE_FG!$L$5:$L$367, MATCH(E1425, DATABASE_FG!$C$5:$C$367, 0)), " ")</f>
        <v>56</v>
      </c>
      <c r="T1425" s="36" t="s">
        <v>677</v>
      </c>
      <c r="U1425" s="36"/>
      <c r="V1425" s="36"/>
      <c r="W1425" s="129"/>
      <c r="X1425" s="36"/>
      <c r="Y1425" s="36"/>
      <c r="Z1425" s="36"/>
      <c r="AA1425" s="125" t="s">
        <v>121</v>
      </c>
      <c r="AB1425" s="173">
        <v>45545</v>
      </c>
      <c r="AC1425" s="119">
        <v>202401117</v>
      </c>
      <c r="AD1425" s="36">
        <f t="shared" si="169"/>
        <v>5500511019</v>
      </c>
      <c r="AE1425" s="36" t="str">
        <f t="shared" si="168"/>
        <v>R900305236</v>
      </c>
      <c r="AF1425" s="36">
        <v>23</v>
      </c>
      <c r="AG1425" s="120">
        <f t="shared" si="167"/>
        <v>957.72</v>
      </c>
      <c r="AH1425" s="36"/>
      <c r="AI1425" s="124"/>
      <c r="AJ1425" s="122" t="s">
        <v>2436</v>
      </c>
      <c r="AK1425" s="129" t="str">
        <f t="shared" ca="1" si="164"/>
        <v>On Time</v>
      </c>
      <c r="AL1425" s="268" t="str">
        <f t="shared" si="165"/>
        <v>October</v>
      </c>
      <c r="AM1425" s="133">
        <f>YEAR(Table1[[#This Row],[ETA
As requested
dd.mm.yyyy]])</f>
        <v>2024</v>
      </c>
    </row>
    <row r="1426" spans="1:39" hidden="1">
      <c r="A1426" s="123" t="s">
        <v>27</v>
      </c>
      <c r="B1426" s="36" t="s">
        <v>1170</v>
      </c>
      <c r="C1426" s="117">
        <v>5500511019</v>
      </c>
      <c r="D1426" s="165">
        <v>45446</v>
      </c>
      <c r="E1426" s="117" t="s">
        <v>40</v>
      </c>
      <c r="F1426" s="36" t="str">
        <f>IFERROR(VLOOKUP(Table1[[#This Row],[Part Number]],DATABASE_FG!$C$6:D11415,2,FALSE)," ")</f>
        <v>HOUSING            DBD.20G1X/</v>
      </c>
      <c r="G1426" s="117" t="str">
        <f>IFERROR(_xlfn.XLOOKUP(Table1[[#This Row],[Part Number]],Table3[Part number],Table3[Drawing
 Revision]),"")</f>
        <v>G</v>
      </c>
      <c r="H1426" s="118" cm="1">
        <f t="array" ref="H1426">IFERROR(INDEX(PDB!$C:$AT,MATCH(E1426,PDB!$B:$B,0),MATCH(YEAR(K1426),0+PDB!$C$1:$AT$1,0)),"")</f>
        <v>41.64</v>
      </c>
      <c r="I1426" s="36">
        <v>0</v>
      </c>
      <c r="J1426" s="125">
        <f>IFERROR(Table1[[#This Row],[Quantity]]*Table1[[#This Row],[Price/Unit
EUR]]," ")</f>
        <v>0</v>
      </c>
      <c r="K1426" s="126">
        <v>45572</v>
      </c>
      <c r="L1426" s="36">
        <f>WEEKNUM(Table1[[#This Row],[ETA
As requested
dd.mm.yyyy]])</f>
        <v>41</v>
      </c>
      <c r="M1426" s="36">
        <f>YEAR(Table1[[#This Row],[ETA
As requested
dd.mm.yyyy]])</f>
        <v>2024</v>
      </c>
      <c r="N1426" s="36">
        <f>IFERROR(INDEX(DATABASE_FG!$H$5:$H$367, MATCH(E1426, DATABASE_FG!$C$5:$C$367, 0)), " ")</f>
        <v>20</v>
      </c>
      <c r="O1426" s="129" t="str">
        <f>IF(E1426&lt;&gt;"", _xlfn.XLOOKUP(E1426, DATABASE_FG!C:C, DATABASE_FG!F:F), " ")</f>
        <v>DBD.20</v>
      </c>
      <c r="P1426" s="129">
        <f>IFERROR(INDEX(DATABASE_FG!$G$5:$G$367, MATCH(E1426, DATABASE_FG!$C$5:$C$367, 0)), "Not Found")</f>
        <v>64</v>
      </c>
      <c r="Q1426" s="36">
        <v>60</v>
      </c>
      <c r="R1426" s="125" t="s">
        <v>678</v>
      </c>
      <c r="S1426" s="123">
        <f>IFERROR(INDEX(DATABASE_FG!$L$5:$L$367, MATCH(E1426, DATABASE_FG!$C$5:$C$367, 0)), " ")</f>
        <v>56</v>
      </c>
      <c r="T1426" s="36" t="s">
        <v>677</v>
      </c>
      <c r="U1426" s="36"/>
      <c r="V1426" s="36"/>
      <c r="W1426" s="129"/>
      <c r="X1426" s="36"/>
      <c r="Y1426" s="36"/>
      <c r="Z1426" s="36"/>
      <c r="AA1426" s="125" t="s">
        <v>121</v>
      </c>
      <c r="AB1426" s="173">
        <v>45548</v>
      </c>
      <c r="AC1426" s="119">
        <v>202401130</v>
      </c>
      <c r="AD1426" s="36">
        <f t="shared" si="169"/>
        <v>5500511019</v>
      </c>
      <c r="AE1426" s="36" t="str">
        <f t="shared" si="168"/>
        <v>R900305236</v>
      </c>
      <c r="AF1426" s="36">
        <v>3</v>
      </c>
      <c r="AG1426" s="120">
        <f t="shared" si="167"/>
        <v>124.92</v>
      </c>
      <c r="AH1426" s="36"/>
      <c r="AI1426" s="124"/>
      <c r="AJ1426" s="122" t="s">
        <v>2437</v>
      </c>
      <c r="AK1426" s="129" t="str">
        <f t="shared" ca="1" si="164"/>
        <v>On Time</v>
      </c>
      <c r="AL1426" s="268" t="str">
        <f t="shared" si="165"/>
        <v>October</v>
      </c>
      <c r="AM1426" s="133">
        <f>YEAR(Table1[[#This Row],[ETA
As requested
dd.mm.yyyy]])</f>
        <v>2024</v>
      </c>
    </row>
    <row r="1427" spans="1:39" hidden="1">
      <c r="A1427" s="123" t="s">
        <v>27</v>
      </c>
      <c r="B1427" s="36" t="s">
        <v>1170</v>
      </c>
      <c r="C1427" s="117">
        <v>5500511019</v>
      </c>
      <c r="D1427" s="165">
        <v>45446</v>
      </c>
      <c r="E1427" s="117" t="s">
        <v>40</v>
      </c>
      <c r="F1427" s="36" t="str">
        <f>IFERROR(VLOOKUP(Table1[[#This Row],[Part Number]],DATABASE_FG!$C$6:D11416,2,FALSE)," ")</f>
        <v>HOUSING            DBD.20G1X/</v>
      </c>
      <c r="G1427" s="117" t="str">
        <f>IFERROR(_xlfn.XLOOKUP(Table1[[#This Row],[Part Number]],Table3[Part number],Table3[Drawing
 Revision]),"")</f>
        <v>G</v>
      </c>
      <c r="H1427" s="118" cm="1">
        <f t="array" ref="H1427">IFERROR(INDEX(PDB!$C:$AT,MATCH(E1427,PDB!$B:$B,0),MATCH(YEAR(K1427),0+PDB!$C$1:$AT$1,0)),"")</f>
        <v>41.64</v>
      </c>
      <c r="I1427" s="36">
        <v>0</v>
      </c>
      <c r="J1427" s="125">
        <f>IFERROR(Table1[[#This Row],[Quantity]]*Table1[[#This Row],[Price/Unit
EUR]]," ")</f>
        <v>0</v>
      </c>
      <c r="K1427" s="126">
        <v>45572</v>
      </c>
      <c r="L1427" s="36">
        <f>WEEKNUM(Table1[[#This Row],[ETA
As requested
dd.mm.yyyy]])</f>
        <v>41</v>
      </c>
      <c r="M1427" s="36">
        <f>YEAR(Table1[[#This Row],[ETA
As requested
dd.mm.yyyy]])</f>
        <v>2024</v>
      </c>
      <c r="N1427" s="36">
        <f>IFERROR(INDEX(DATABASE_FG!$H$5:$H$367, MATCH(E1427, DATABASE_FG!$C$5:$C$367, 0)), " ")</f>
        <v>20</v>
      </c>
      <c r="O1427" s="129" t="str">
        <f>IF(E1427&lt;&gt;"", _xlfn.XLOOKUP(E1427, DATABASE_FG!C:C, DATABASE_FG!F:F), " ")</f>
        <v>DBD.20</v>
      </c>
      <c r="P1427" s="129">
        <f>IFERROR(INDEX(DATABASE_FG!$G$5:$G$367, MATCH(E1427, DATABASE_FG!$C$5:$C$367, 0)), "Not Found")</f>
        <v>64</v>
      </c>
      <c r="Q1427" s="36">
        <v>60</v>
      </c>
      <c r="R1427" s="125" t="s">
        <v>678</v>
      </c>
      <c r="S1427" s="123">
        <f>IFERROR(INDEX(DATABASE_FG!$L$5:$L$367, MATCH(E1427, DATABASE_FG!$C$5:$C$367, 0)), " ")</f>
        <v>56</v>
      </c>
      <c r="T1427" s="36" t="s">
        <v>677</v>
      </c>
      <c r="U1427" s="36"/>
      <c r="V1427" s="36"/>
      <c r="W1427" s="129"/>
      <c r="X1427" s="36"/>
      <c r="Y1427" s="36"/>
      <c r="Z1427" s="36"/>
      <c r="AA1427" s="125" t="s">
        <v>121</v>
      </c>
      <c r="AB1427" s="173">
        <v>45562</v>
      </c>
      <c r="AC1427" s="119">
        <v>202401171</v>
      </c>
      <c r="AD1427" s="36">
        <f t="shared" si="169"/>
        <v>5500511019</v>
      </c>
      <c r="AE1427" s="36" t="str">
        <f t="shared" si="168"/>
        <v>R900305236</v>
      </c>
      <c r="AF1427" s="36">
        <v>30</v>
      </c>
      <c r="AG1427" s="120">
        <f t="shared" si="167"/>
        <v>1249.2</v>
      </c>
      <c r="AH1427" s="36"/>
      <c r="AI1427" s="124"/>
      <c r="AJ1427" s="122" t="s">
        <v>2438</v>
      </c>
      <c r="AK1427" s="129" t="str">
        <f t="shared" ca="1" si="164"/>
        <v>On Time</v>
      </c>
      <c r="AL1427" s="268" t="str">
        <f t="shared" si="165"/>
        <v>October</v>
      </c>
      <c r="AM1427" s="133">
        <f>YEAR(Table1[[#This Row],[ETA
As requested
dd.mm.yyyy]])</f>
        <v>2024</v>
      </c>
    </row>
    <row r="1428" spans="1:39" hidden="1">
      <c r="A1428" s="123" t="s">
        <v>27</v>
      </c>
      <c r="B1428" s="36" t="s">
        <v>1170</v>
      </c>
      <c r="C1428" s="117">
        <v>5500511019</v>
      </c>
      <c r="D1428" s="165">
        <v>45446</v>
      </c>
      <c r="E1428" s="117" t="s">
        <v>40</v>
      </c>
      <c r="F1428" s="36" t="str">
        <f>IFERROR(VLOOKUP(Table1[[#This Row],[Part Number]],DATABASE_FG!$C$6:D11417,2,FALSE)," ")</f>
        <v>HOUSING            DBD.20G1X/</v>
      </c>
      <c r="G1428" s="117" t="str">
        <f>IFERROR(_xlfn.XLOOKUP(Table1[[#This Row],[Part Number]],Table3[Part number],Table3[Drawing
 Revision]),"")</f>
        <v>G</v>
      </c>
      <c r="H1428" s="118" cm="1">
        <f t="array" ref="H1428">IFERROR(INDEX(PDB!$C:$AT,MATCH(E1428,PDB!$B:$B,0),MATCH(YEAR(K1428),0+PDB!$C$1:$AT$1,0)),"")</f>
        <v>41.64</v>
      </c>
      <c r="I1428" s="36">
        <v>21</v>
      </c>
      <c r="J1428" s="125">
        <f>IFERROR(Table1[[#This Row],[Quantity]]*Table1[[#This Row],[Price/Unit
EUR]]," ")</f>
        <v>874.44</v>
      </c>
      <c r="K1428" s="126">
        <v>45628</v>
      </c>
      <c r="L1428" s="36">
        <f>WEEKNUM(Table1[[#This Row],[ETA
As requested
dd.mm.yyyy]])</f>
        <v>49</v>
      </c>
      <c r="M1428" s="36">
        <f>YEAR(Table1[[#This Row],[ETA
As requested
dd.mm.yyyy]])</f>
        <v>2024</v>
      </c>
      <c r="N1428" s="36">
        <f>IFERROR(INDEX(DATABASE_FG!$H$5:$H$367, MATCH(E1428, DATABASE_FG!$C$5:$C$367, 0)), " ")</f>
        <v>20</v>
      </c>
      <c r="O1428" s="129" t="str">
        <f>IF(E1428&lt;&gt;"", _xlfn.XLOOKUP(E1428, DATABASE_FG!C:C, DATABASE_FG!F:F), " ")</f>
        <v>DBD.20</v>
      </c>
      <c r="P1428" s="129">
        <f>IFERROR(INDEX(DATABASE_FG!$G$5:$G$367, MATCH(E1428, DATABASE_FG!$C$5:$C$367, 0)), "Not Found")</f>
        <v>64</v>
      </c>
      <c r="Q1428" s="36">
        <v>60</v>
      </c>
      <c r="R1428" s="125" t="s">
        <v>678</v>
      </c>
      <c r="S1428" s="123">
        <f>IFERROR(INDEX(DATABASE_FG!$L$5:$L$367, MATCH(E1428, DATABASE_FG!$C$5:$C$367, 0)), " ")</f>
        <v>56</v>
      </c>
      <c r="T1428" s="36" t="s">
        <v>677</v>
      </c>
      <c r="U1428" s="36"/>
      <c r="V1428" s="36"/>
      <c r="W1428" s="129"/>
      <c r="X1428" s="36"/>
      <c r="Y1428" s="36"/>
      <c r="Z1428" s="36"/>
      <c r="AA1428" s="125" t="s">
        <v>121</v>
      </c>
      <c r="AB1428" s="173">
        <v>45604</v>
      </c>
      <c r="AC1428" s="119">
        <v>202401352</v>
      </c>
      <c r="AD1428" s="36">
        <f t="shared" si="169"/>
        <v>5500511019</v>
      </c>
      <c r="AE1428" s="36" t="str">
        <f t="shared" si="168"/>
        <v>R900305236</v>
      </c>
      <c r="AF1428" s="36">
        <v>21</v>
      </c>
      <c r="AG1428" s="120">
        <f t="shared" si="167"/>
        <v>874.44</v>
      </c>
      <c r="AH1428" s="36"/>
      <c r="AI1428" s="124"/>
      <c r="AJ1428" s="122" t="s">
        <v>2635</v>
      </c>
      <c r="AK1428" s="129" t="str">
        <f t="shared" ca="1" si="164"/>
        <v>On Time</v>
      </c>
      <c r="AL1428" s="268" t="str">
        <f t="shared" si="165"/>
        <v>December</v>
      </c>
      <c r="AM1428" s="133">
        <f>YEAR(Table1[[#This Row],[ETA
As requested
dd.mm.yyyy]])</f>
        <v>2024</v>
      </c>
    </row>
    <row r="1429" spans="1:39" hidden="1">
      <c r="A1429" s="123" t="s">
        <v>27</v>
      </c>
      <c r="B1429" s="36" t="s">
        <v>1170</v>
      </c>
      <c r="C1429" s="117">
        <v>5500511019</v>
      </c>
      <c r="D1429" s="165">
        <v>45446</v>
      </c>
      <c r="E1429" s="117" t="s">
        <v>40</v>
      </c>
      <c r="F1429" s="36" t="str">
        <f>IFERROR(VLOOKUP(Table1[[#This Row],[Part Number]],DATABASE_FG!$C$6:D11418,2,FALSE)," ")</f>
        <v>HOUSING            DBD.20G1X/</v>
      </c>
      <c r="G1429" s="117" t="str">
        <f>IFERROR(_xlfn.XLOOKUP(Table1[[#This Row],[Part Number]],Table3[Part number],Table3[Drawing
 Revision]),"")</f>
        <v>G</v>
      </c>
      <c r="H1429" s="118" cm="1">
        <f t="array" ref="H1429">IFERROR(INDEX(PDB!$C:$AT,MATCH(E1429,PDB!$B:$B,0),MATCH(YEAR(K1429),0+PDB!$C$1:$AT$1,0)),"")</f>
        <v>41.64</v>
      </c>
      <c r="I1429" s="36">
        <v>40</v>
      </c>
      <c r="J1429" s="125">
        <f>IFERROR(Table1[[#This Row],[Quantity]]*Table1[[#This Row],[Price/Unit
EUR]]," ")</f>
        <v>1665.6</v>
      </c>
      <c r="K1429" s="126">
        <v>45631</v>
      </c>
      <c r="L1429" s="36">
        <f>WEEKNUM(Table1[[#This Row],[ETA
As requested
dd.mm.yyyy]])</f>
        <v>49</v>
      </c>
      <c r="M1429" s="36">
        <f>YEAR(Table1[[#This Row],[ETA
As requested
dd.mm.yyyy]])</f>
        <v>2024</v>
      </c>
      <c r="N1429" s="36">
        <f>IFERROR(INDEX(DATABASE_FG!$H$5:$H$367, MATCH(E1429, DATABASE_FG!$C$5:$C$367, 0)), " ")</f>
        <v>20</v>
      </c>
      <c r="O1429" s="129" t="str">
        <f>IF(E1429&lt;&gt;"", _xlfn.XLOOKUP(E1429, DATABASE_FG!C:C, DATABASE_FG!F:F), " ")</f>
        <v>DBD.20</v>
      </c>
      <c r="P1429" s="129">
        <f>IFERROR(INDEX(DATABASE_FG!$G$5:$G$367, MATCH(E1429, DATABASE_FG!$C$5:$C$367, 0)), "Not Found")</f>
        <v>64</v>
      </c>
      <c r="Q1429" s="36">
        <v>60</v>
      </c>
      <c r="R1429" s="125" t="s">
        <v>678</v>
      </c>
      <c r="S1429" s="123">
        <f>IFERROR(INDEX(DATABASE_FG!$L$5:$L$367, MATCH(E1429, DATABASE_FG!$C$5:$C$367, 0)), " ")</f>
        <v>56</v>
      </c>
      <c r="T1429" s="36" t="s">
        <v>677</v>
      </c>
      <c r="U1429" s="36"/>
      <c r="V1429" s="36"/>
      <c r="W1429" s="129"/>
      <c r="X1429" s="36"/>
      <c r="Y1429" s="36"/>
      <c r="Z1429" s="36"/>
      <c r="AA1429" s="125" t="s">
        <v>121</v>
      </c>
      <c r="AB1429" s="173">
        <v>45640</v>
      </c>
      <c r="AC1429" s="119">
        <v>202401536</v>
      </c>
      <c r="AD1429" s="36">
        <f t="shared" si="169"/>
        <v>5500511019</v>
      </c>
      <c r="AE1429" s="36" t="str">
        <f t="shared" si="168"/>
        <v>R900305236</v>
      </c>
      <c r="AF1429" s="36">
        <v>40</v>
      </c>
      <c r="AG1429" s="120">
        <f t="shared" si="167"/>
        <v>1665.6</v>
      </c>
      <c r="AH1429" s="36"/>
      <c r="AI1429" s="124"/>
      <c r="AJ1429" s="122" t="s">
        <v>2651</v>
      </c>
      <c r="AK1429" s="129" t="str">
        <f t="shared" ca="1" si="164"/>
        <v>Late</v>
      </c>
      <c r="AL1429" s="268" t="str">
        <f t="shared" si="165"/>
        <v>December</v>
      </c>
      <c r="AM1429" s="133">
        <f>YEAR(Table1[[#This Row],[ETA
As requested
dd.mm.yyyy]])</f>
        <v>2024</v>
      </c>
    </row>
    <row r="1430" spans="1:39" hidden="1">
      <c r="A1430" s="123" t="s">
        <v>27</v>
      </c>
      <c r="B1430" s="36" t="s">
        <v>1170</v>
      </c>
      <c r="C1430" s="117">
        <v>5500511019</v>
      </c>
      <c r="D1430" s="165">
        <v>45446</v>
      </c>
      <c r="E1430" s="117" t="s">
        <v>40</v>
      </c>
      <c r="F1430" s="36" t="str">
        <f>IFERROR(VLOOKUP(Table1[[#This Row],[Part Number]],DATABASE_FG!$C$6:D11419,2,FALSE)," ")</f>
        <v>HOUSING            DBD.20G1X/</v>
      </c>
      <c r="G1430" s="117" t="str">
        <f>IFERROR(_xlfn.XLOOKUP(Table1[[#This Row],[Part Number]],Table3[Part number],Table3[Drawing
 Revision]),"")</f>
        <v>G</v>
      </c>
      <c r="H1430" s="118" cm="1">
        <f t="array" ref="H1430">IFERROR(INDEX(PDB!$C:$AT,MATCH(E1430,PDB!$B:$B,0),MATCH(YEAR(K1430),0+PDB!$C$1:$AT$1,0)),"")</f>
        <v>41.43</v>
      </c>
      <c r="I1430" s="36">
        <v>13</v>
      </c>
      <c r="J1430" s="125">
        <f>IFERROR(Table1[[#This Row],[Quantity]]*Table1[[#This Row],[Price/Unit
EUR]]," ")</f>
        <v>538.59</v>
      </c>
      <c r="K1430" s="126">
        <v>45716</v>
      </c>
      <c r="L1430" s="36">
        <f>WEEKNUM(Table1[[#This Row],[ETA
As requested
dd.mm.yyyy]])</f>
        <v>9</v>
      </c>
      <c r="M1430" s="36">
        <f>YEAR(Table1[[#This Row],[ETA
As requested
dd.mm.yyyy]])</f>
        <v>2025</v>
      </c>
      <c r="N1430" s="36">
        <f>IFERROR(INDEX(DATABASE_FG!$H$5:$H$367, MATCH(E1430, DATABASE_FG!$C$5:$C$367, 0)), " ")</f>
        <v>20</v>
      </c>
      <c r="O1430" s="129" t="str">
        <f>IF(E1430&lt;&gt;"", _xlfn.XLOOKUP(E1430, DATABASE_FG!C:C, DATABASE_FG!F:F), " ")</f>
        <v>DBD.20</v>
      </c>
      <c r="P1430" s="129">
        <f>IFERROR(INDEX(DATABASE_FG!$G$5:$G$367, MATCH(E1430, DATABASE_FG!$C$5:$C$367, 0)), "Not Found")</f>
        <v>64</v>
      </c>
      <c r="Q1430" s="36">
        <v>60</v>
      </c>
      <c r="R1430" s="125" t="s">
        <v>678</v>
      </c>
      <c r="S1430" s="123">
        <f>IFERROR(INDEX(DATABASE_FG!$L$5:$L$367, MATCH(E1430, DATABASE_FG!$C$5:$C$367, 0)), " ")</f>
        <v>56</v>
      </c>
      <c r="T1430" s="36" t="s">
        <v>677</v>
      </c>
      <c r="U1430" s="36"/>
      <c r="V1430" s="36"/>
      <c r="W1430" s="129"/>
      <c r="X1430" s="36"/>
      <c r="Y1430" s="36"/>
      <c r="Z1430" s="36"/>
      <c r="AA1430" s="125" t="s">
        <v>121</v>
      </c>
      <c r="AB1430" s="173">
        <v>45737</v>
      </c>
      <c r="AC1430" s="119" t="s">
        <v>2902</v>
      </c>
      <c r="AD1430" s="36">
        <f t="shared" si="169"/>
        <v>5500511019</v>
      </c>
      <c r="AE1430" s="36" t="str">
        <f t="shared" si="168"/>
        <v>R900305236</v>
      </c>
      <c r="AF1430" s="36">
        <v>13</v>
      </c>
      <c r="AG1430" s="120">
        <f t="shared" si="167"/>
        <v>538.59</v>
      </c>
      <c r="AH1430" s="36"/>
      <c r="AI1430" s="124"/>
      <c r="AJ1430" s="122" t="s">
        <v>2903</v>
      </c>
      <c r="AK1430" s="129" t="str">
        <f t="shared" ca="1" si="164"/>
        <v>Late</v>
      </c>
      <c r="AL1430" s="268" t="str">
        <f t="shared" si="165"/>
        <v>February</v>
      </c>
      <c r="AM1430" s="133">
        <f>YEAR(Table1[[#This Row],[ETA
As requested
dd.mm.yyyy]])</f>
        <v>2025</v>
      </c>
    </row>
    <row r="1431" spans="1:39" hidden="1">
      <c r="A1431" s="123" t="s">
        <v>27</v>
      </c>
      <c r="B1431" s="36" t="s">
        <v>1170</v>
      </c>
      <c r="C1431" s="117">
        <v>5500511019</v>
      </c>
      <c r="D1431" s="165">
        <v>45446</v>
      </c>
      <c r="E1431" s="117" t="s">
        <v>40</v>
      </c>
      <c r="F1431" s="36" t="str">
        <f>IFERROR(VLOOKUP(Table1[[#This Row],[Part Number]],DATABASE_FG!$C$6:D11420,2,FALSE)," ")</f>
        <v>HOUSING            DBD.20G1X/</v>
      </c>
      <c r="G1431" s="117" t="str">
        <f>IFERROR(_xlfn.XLOOKUP(Table1[[#This Row],[Part Number]],Table3[Part number],Table3[Drawing
 Revision]),"")</f>
        <v>G</v>
      </c>
      <c r="H1431" s="118" cm="1">
        <f t="array" ref="H1431">IFERROR(INDEX(PDB!$C:$AT,MATCH(E1431,PDB!$B:$B,0),MATCH(YEAR(K1431),0+PDB!$C$1:$AT$1,0)),"")</f>
        <v>41.43</v>
      </c>
      <c r="I1431" s="36">
        <f>51-16-13</f>
        <v>22</v>
      </c>
      <c r="J1431" s="125">
        <f>IFERROR(Table1[[#This Row],[Quantity]]*Table1[[#This Row],[Price/Unit
EUR]]," ")</f>
        <v>911.46</v>
      </c>
      <c r="K1431" s="126">
        <v>45716</v>
      </c>
      <c r="L1431" s="36">
        <f>WEEKNUM(Table1[[#This Row],[ETA
As requested
dd.mm.yyyy]])</f>
        <v>9</v>
      </c>
      <c r="M1431" s="36">
        <f>YEAR(Table1[[#This Row],[ETA
As requested
dd.mm.yyyy]])</f>
        <v>2025</v>
      </c>
      <c r="N1431" s="36">
        <f>IFERROR(INDEX(DATABASE_FG!$H$5:$H$367, MATCH(E1431, DATABASE_FG!$C$5:$C$367, 0)), " ")</f>
        <v>20</v>
      </c>
      <c r="O1431" s="129" t="str">
        <f>IF(E1431&lt;&gt;"", _xlfn.XLOOKUP(E1431, DATABASE_FG!C:C, DATABASE_FG!F:F), " ")</f>
        <v>DBD.20</v>
      </c>
      <c r="P1431" s="129">
        <f>IFERROR(INDEX(DATABASE_FG!$G$5:$G$367, MATCH(E1431, DATABASE_FG!$C$5:$C$367, 0)), "Not Found")</f>
        <v>64</v>
      </c>
      <c r="Q1431" s="36">
        <v>60</v>
      </c>
      <c r="R1431" s="125" t="s">
        <v>678</v>
      </c>
      <c r="S1431" s="123">
        <f>IFERROR(INDEX(DATABASE_FG!$L$5:$L$367, MATCH(E1431, DATABASE_FG!$C$5:$C$367, 0)), " ")</f>
        <v>56</v>
      </c>
      <c r="T1431" s="36" t="s">
        <v>677</v>
      </c>
      <c r="U1431" s="36"/>
      <c r="V1431" s="36"/>
      <c r="W1431" s="129"/>
      <c r="X1431" s="36"/>
      <c r="Y1431" s="36" t="s">
        <v>677</v>
      </c>
      <c r="Z1431" s="36"/>
      <c r="AA1431" s="125" t="s">
        <v>121</v>
      </c>
      <c r="AB1431" s="173">
        <v>45744</v>
      </c>
      <c r="AC1431" s="119">
        <v>25482</v>
      </c>
      <c r="AD1431" s="36">
        <f t="shared" si="169"/>
        <v>5500511019</v>
      </c>
      <c r="AE1431" s="36" t="str">
        <f t="shared" si="168"/>
        <v>R900305236</v>
      </c>
      <c r="AF1431" s="36">
        <f>22-22</f>
        <v>0</v>
      </c>
      <c r="AG1431" s="120">
        <f t="shared" si="167"/>
        <v>0</v>
      </c>
      <c r="AH1431" s="36"/>
      <c r="AI1431" s="124" t="s">
        <v>2905</v>
      </c>
      <c r="AJ1431" s="122" t="s">
        <v>2906</v>
      </c>
      <c r="AK1431" s="129" t="str">
        <f t="shared" ca="1" si="164"/>
        <v>Late</v>
      </c>
      <c r="AL1431" s="268" t="str">
        <f t="shared" si="165"/>
        <v>February</v>
      </c>
      <c r="AM1431" s="133">
        <f>YEAR(Table1[[#This Row],[ETA
As requested
dd.mm.yyyy]])</f>
        <v>2025</v>
      </c>
    </row>
    <row r="1432" spans="1:39" hidden="1">
      <c r="A1432" s="123" t="s">
        <v>27</v>
      </c>
      <c r="B1432" s="36" t="s">
        <v>1170</v>
      </c>
      <c r="C1432" s="117">
        <v>5500511019</v>
      </c>
      <c r="D1432" s="165">
        <v>45447</v>
      </c>
      <c r="E1432" s="117" t="s">
        <v>40</v>
      </c>
      <c r="F1432" s="36" t="str">
        <f>IFERROR(VLOOKUP(Table1[[#This Row],[Part Number]],DATABASE_FG!$C$6:D11421,2,FALSE)," ")</f>
        <v>HOUSING            DBD.20G1X/</v>
      </c>
      <c r="G1432" s="117" t="str">
        <f>IFERROR(_xlfn.XLOOKUP(Table1[[#This Row],[Part Number]],Table3[Part number],Table3[Drawing
 Revision]),"")</f>
        <v>G</v>
      </c>
      <c r="H1432" s="118" cm="1">
        <f t="array" ref="H1432">IFERROR(INDEX(PDB!$C:$AT,MATCH(E1432,PDB!$B:$B,0),MATCH(YEAR(K1432),0+PDB!$C$1:$AT$1,0)),"")</f>
        <v>41.43</v>
      </c>
      <c r="I1432" s="36">
        <v>17</v>
      </c>
      <c r="J1432" s="125">
        <f>IFERROR(Table1[[#This Row],[Quantity]]*Table1[[#This Row],[Price/Unit
EUR]]," ")</f>
        <v>704.31</v>
      </c>
      <c r="K1432" s="126">
        <v>45716</v>
      </c>
      <c r="L1432" s="36">
        <f>WEEKNUM(Table1[[#This Row],[ETA
As requested
dd.mm.yyyy]])</f>
        <v>9</v>
      </c>
      <c r="M1432" s="36">
        <f>YEAR(Table1[[#This Row],[ETA
As requested
dd.mm.yyyy]])</f>
        <v>2025</v>
      </c>
      <c r="N1432" s="36">
        <f>IFERROR(INDEX(DATABASE_FG!$H$5:$H$367, MATCH(E1432, DATABASE_FG!$C$5:$C$367, 0)), " ")</f>
        <v>20</v>
      </c>
      <c r="O1432" s="129" t="str">
        <f>IF(E1432&lt;&gt;"", _xlfn.XLOOKUP(E1432, DATABASE_FG!C:C, DATABASE_FG!F:F), " ")</f>
        <v>DBD.20</v>
      </c>
      <c r="P1432" s="129">
        <f>IFERROR(INDEX(DATABASE_FG!$G$5:$G$367, MATCH(E1432, DATABASE_FG!$C$5:$C$367, 0)), "Not Found")</f>
        <v>64</v>
      </c>
      <c r="Q1432" s="36">
        <v>60</v>
      </c>
      <c r="R1432" s="125" t="s">
        <v>678</v>
      </c>
      <c r="S1432" s="123">
        <f>IFERROR(INDEX(DATABASE_FG!$L$5:$L$367, MATCH(E1432, DATABASE_FG!$C$5:$C$367, 0)), " ")</f>
        <v>56</v>
      </c>
      <c r="T1432" s="36" t="s">
        <v>677</v>
      </c>
      <c r="U1432" s="36"/>
      <c r="V1432" s="36"/>
      <c r="W1432" s="129"/>
      <c r="X1432" s="36"/>
      <c r="Y1432" s="36" t="s">
        <v>677</v>
      </c>
      <c r="Z1432" s="36"/>
      <c r="AA1432" s="125" t="s">
        <v>121</v>
      </c>
      <c r="AB1432" s="173">
        <v>45744</v>
      </c>
      <c r="AC1432" s="119">
        <v>25482</v>
      </c>
      <c r="AD1432" s="36">
        <f t="shared" si="169"/>
        <v>5500511019</v>
      </c>
      <c r="AE1432" s="36" t="str">
        <f t="shared" si="168"/>
        <v>R900305236</v>
      </c>
      <c r="AF1432" s="36">
        <f>17-17</f>
        <v>0</v>
      </c>
      <c r="AG1432" s="120">
        <f t="shared" si="167"/>
        <v>0</v>
      </c>
      <c r="AH1432" s="36"/>
      <c r="AI1432" s="124" t="s">
        <v>2907</v>
      </c>
      <c r="AJ1432" s="122" t="s">
        <v>2906</v>
      </c>
      <c r="AK1432" s="129" t="str">
        <f t="shared" ca="1" si="164"/>
        <v>Late</v>
      </c>
      <c r="AL1432" s="268" t="str">
        <f t="shared" si="165"/>
        <v>February</v>
      </c>
      <c r="AM1432" s="133">
        <f>YEAR(Table1[[#This Row],[ETA
As requested
dd.mm.yyyy]])</f>
        <v>2025</v>
      </c>
    </row>
    <row r="1433" spans="1:39" hidden="1">
      <c r="A1433" s="123" t="s">
        <v>27</v>
      </c>
      <c r="B1433" s="36" t="s">
        <v>1170</v>
      </c>
      <c r="C1433" s="117">
        <v>5500511019</v>
      </c>
      <c r="D1433" s="165">
        <v>45446</v>
      </c>
      <c r="E1433" s="117" t="s">
        <v>40</v>
      </c>
      <c r="F1433" s="36" t="str">
        <f>IFERROR(VLOOKUP(Table1[[#This Row],[Part Number]],DATABASE_FG!$C$6:D11422,2,FALSE)," ")</f>
        <v>HOUSING            DBD.20G1X/</v>
      </c>
      <c r="G1433" s="117" t="str">
        <f>IFERROR(_xlfn.XLOOKUP(Table1[[#This Row],[Part Number]],Table3[Part number],Table3[Drawing
 Revision]),"")</f>
        <v>G</v>
      </c>
      <c r="H1433" s="118" cm="1">
        <f t="array" ref="H1433">IFERROR(INDEX(PDB!$C:$AT,MATCH(E1433,PDB!$B:$B,0),MATCH(YEAR(K1433),0+PDB!$C$1:$AT$1,0)),"")</f>
        <v>41.43</v>
      </c>
      <c r="I1433" s="36">
        <f>51-16-13</f>
        <v>22</v>
      </c>
      <c r="J1433" s="125">
        <f>IFERROR(Table1[[#This Row],[Quantity]]*Table1[[#This Row],[Price/Unit
EUR]]," ")</f>
        <v>911.46</v>
      </c>
      <c r="K1433" s="126">
        <v>45716</v>
      </c>
      <c r="L1433" s="36">
        <f>WEEKNUM(Table1[[#This Row],[ETA
As requested
dd.mm.yyyy]])</f>
        <v>9</v>
      </c>
      <c r="M1433" s="36">
        <f>YEAR(Table1[[#This Row],[ETA
As requested
dd.mm.yyyy]])</f>
        <v>2025</v>
      </c>
      <c r="N1433" s="36">
        <f>IFERROR(INDEX(DATABASE_FG!$H$5:$H$367, MATCH(E1433, DATABASE_FG!$C$5:$C$367, 0)), " ")</f>
        <v>20</v>
      </c>
      <c r="O1433" s="129" t="str">
        <f>IF(E1433&lt;&gt;"", _xlfn.XLOOKUP(E1433, DATABASE_FG!C:C, DATABASE_FG!F:F), " ")</f>
        <v>DBD.20</v>
      </c>
      <c r="P1433" s="129">
        <f>IFERROR(INDEX(DATABASE_FG!$G$5:$G$367, MATCH(E1433, DATABASE_FG!$C$5:$C$367, 0)), "Not Found")</f>
        <v>64</v>
      </c>
      <c r="Q1433" s="36">
        <v>60</v>
      </c>
      <c r="R1433" s="125" t="s">
        <v>678</v>
      </c>
      <c r="S1433" s="123">
        <f>IFERROR(INDEX(DATABASE_FG!$L$5:$L$367, MATCH(E1433, DATABASE_FG!$C$5:$C$367, 0)), " ")</f>
        <v>56</v>
      </c>
      <c r="T1433" s="36" t="s">
        <v>677</v>
      </c>
      <c r="U1433" s="36"/>
      <c r="V1433" s="36"/>
      <c r="W1433" s="129"/>
      <c r="X1433" s="36"/>
      <c r="Y1433" s="36" t="s">
        <v>677</v>
      </c>
      <c r="Z1433" s="36"/>
      <c r="AA1433" s="125" t="s">
        <v>121</v>
      </c>
      <c r="AB1433" s="173">
        <v>45744</v>
      </c>
      <c r="AC1433" s="119">
        <v>25528</v>
      </c>
      <c r="AD1433" s="36">
        <f t="shared" si="169"/>
        <v>5500511019</v>
      </c>
      <c r="AE1433" s="36" t="str">
        <f t="shared" si="168"/>
        <v>R900305236</v>
      </c>
      <c r="AF1433" s="36">
        <v>22</v>
      </c>
      <c r="AG1433" s="120">
        <f t="shared" si="167"/>
        <v>911.46</v>
      </c>
      <c r="AH1433" s="36"/>
      <c r="AI1433" s="124"/>
      <c r="AJ1433" s="122" t="s">
        <v>2908</v>
      </c>
      <c r="AK1433" s="129" t="str">
        <f t="shared" ca="1" si="164"/>
        <v>Late</v>
      </c>
      <c r="AL1433" s="268" t="str">
        <f t="shared" si="165"/>
        <v>February</v>
      </c>
      <c r="AM1433" s="133">
        <f>YEAR(Table1[[#This Row],[ETA
As requested
dd.mm.yyyy]])</f>
        <v>2025</v>
      </c>
    </row>
    <row r="1434" spans="1:39" hidden="1">
      <c r="A1434" s="123" t="s">
        <v>27</v>
      </c>
      <c r="B1434" s="36" t="s">
        <v>1170</v>
      </c>
      <c r="C1434" s="117">
        <v>5500511019</v>
      </c>
      <c r="D1434" s="165">
        <v>45447</v>
      </c>
      <c r="E1434" s="117" t="s">
        <v>40</v>
      </c>
      <c r="F1434" s="36" t="str">
        <f>IFERROR(VLOOKUP(Table1[[#This Row],[Part Number]],DATABASE_FG!$C$6:D11423,2,FALSE)," ")</f>
        <v>HOUSING            DBD.20G1X/</v>
      </c>
      <c r="G1434" s="117" t="str">
        <f>IFERROR(_xlfn.XLOOKUP(Table1[[#This Row],[Part Number]],Table3[Part number],Table3[Drawing
 Revision]),"")</f>
        <v>G</v>
      </c>
      <c r="H1434" s="118" cm="1">
        <f t="array" ref="H1434">IFERROR(INDEX(PDB!$C:$AT,MATCH(E1434,PDB!$B:$B,0),MATCH(YEAR(K1434),0+PDB!$C$1:$AT$1,0)),"")</f>
        <v>41.43</v>
      </c>
      <c r="I1434" s="36">
        <v>17</v>
      </c>
      <c r="J1434" s="125">
        <f>IFERROR(Table1[[#This Row],[Quantity]]*Table1[[#This Row],[Price/Unit
EUR]]," ")</f>
        <v>704.31</v>
      </c>
      <c r="K1434" s="126">
        <v>45716</v>
      </c>
      <c r="L1434" s="36">
        <f>WEEKNUM(Table1[[#This Row],[ETA
As requested
dd.mm.yyyy]])</f>
        <v>9</v>
      </c>
      <c r="M1434" s="36">
        <f>YEAR(Table1[[#This Row],[ETA
As requested
dd.mm.yyyy]])</f>
        <v>2025</v>
      </c>
      <c r="N1434" s="36">
        <f>IFERROR(INDEX(DATABASE_FG!$H$5:$H$367, MATCH(E1434, DATABASE_FG!$C$5:$C$367, 0)), " ")</f>
        <v>20</v>
      </c>
      <c r="O1434" s="129" t="str">
        <f>IF(E1434&lt;&gt;"", _xlfn.XLOOKUP(E1434, DATABASE_FG!C:C, DATABASE_FG!F:F), " ")</f>
        <v>DBD.20</v>
      </c>
      <c r="P1434" s="129">
        <f>IFERROR(INDEX(DATABASE_FG!$G$5:$G$367, MATCH(E1434, DATABASE_FG!$C$5:$C$367, 0)), "Not Found")</f>
        <v>64</v>
      </c>
      <c r="Q1434" s="36">
        <v>60</v>
      </c>
      <c r="R1434" s="125" t="s">
        <v>678</v>
      </c>
      <c r="S1434" s="123">
        <f>IFERROR(INDEX(DATABASE_FG!$L$5:$L$367, MATCH(E1434, DATABASE_FG!$C$5:$C$367, 0)), " ")</f>
        <v>56</v>
      </c>
      <c r="T1434" s="36" t="s">
        <v>677</v>
      </c>
      <c r="U1434" s="36"/>
      <c r="V1434" s="36"/>
      <c r="W1434" s="129"/>
      <c r="X1434" s="36"/>
      <c r="Y1434" s="36" t="s">
        <v>677</v>
      </c>
      <c r="Z1434" s="36"/>
      <c r="AA1434" s="125" t="s">
        <v>121</v>
      </c>
      <c r="AB1434" s="173">
        <v>45744</v>
      </c>
      <c r="AC1434" s="119">
        <v>25528</v>
      </c>
      <c r="AD1434" s="36">
        <f t="shared" si="169"/>
        <v>5500511019</v>
      </c>
      <c r="AE1434" s="36" t="str">
        <f t="shared" si="168"/>
        <v>R900305236</v>
      </c>
      <c r="AF1434" s="36">
        <v>17</v>
      </c>
      <c r="AG1434" s="120">
        <f t="shared" si="167"/>
        <v>704.31</v>
      </c>
      <c r="AH1434" s="36"/>
      <c r="AI1434" s="124"/>
      <c r="AJ1434" s="122" t="s">
        <v>2908</v>
      </c>
      <c r="AK1434" s="129" t="str">
        <f t="shared" ca="1" si="164"/>
        <v>Late</v>
      </c>
      <c r="AL1434" s="268" t="str">
        <f t="shared" si="165"/>
        <v>February</v>
      </c>
      <c r="AM1434" s="133">
        <f>YEAR(Table1[[#This Row],[ETA
As requested
dd.mm.yyyy]])</f>
        <v>2025</v>
      </c>
    </row>
    <row r="1435" spans="1:39" hidden="1">
      <c r="A1435" s="123" t="s">
        <v>27</v>
      </c>
      <c r="B1435" s="36" t="s">
        <v>1170</v>
      </c>
      <c r="C1435" s="117">
        <v>5500511019</v>
      </c>
      <c r="D1435" s="165">
        <v>45446</v>
      </c>
      <c r="E1435" s="117" t="s">
        <v>40</v>
      </c>
      <c r="F1435" s="36" t="str">
        <f>IFERROR(VLOOKUP(Table1[[#This Row],[Part Number]],DATABASE_FG!$C$6:D11424,2,FALSE)," ")</f>
        <v>HOUSING            DBD.20G1X/</v>
      </c>
      <c r="G1435" s="117" t="str">
        <f>IFERROR(_xlfn.XLOOKUP(Table1[[#This Row],[Part Number]],Table3[Part number],Table3[Drawing
 Revision]),"")</f>
        <v>G</v>
      </c>
      <c r="H1435" s="118" cm="1">
        <f t="array" ref="H1435">IFERROR(INDEX(PDB!$C:$AT,MATCH(E1435,PDB!$B:$B,0),MATCH(YEAR(K1435),0+PDB!$C$1:$AT$1,0)),"")</f>
        <v>41.43</v>
      </c>
      <c r="I1435" s="36">
        <v>16</v>
      </c>
      <c r="J1435" s="125">
        <f>IFERROR(Table1[[#This Row],[Quantity]]*Table1[[#This Row],[Price/Unit
EUR]]," ")</f>
        <v>662.88</v>
      </c>
      <c r="K1435" s="126">
        <v>45736</v>
      </c>
      <c r="L1435" s="36">
        <f>WEEKNUM(Table1[[#This Row],[ETA
As requested
dd.mm.yyyy]])</f>
        <v>12</v>
      </c>
      <c r="M1435" s="36">
        <f>YEAR(Table1[[#This Row],[ETA
As requested
dd.mm.yyyy]])</f>
        <v>2025</v>
      </c>
      <c r="N1435" s="36">
        <f>IFERROR(INDEX(DATABASE_FG!$H$5:$H$367, MATCH(E1435, DATABASE_FG!$C$5:$C$367, 0)), " ")</f>
        <v>20</v>
      </c>
      <c r="O1435" s="129" t="str">
        <f>IF(E1435&lt;&gt;"", _xlfn.XLOOKUP(E1435, DATABASE_FG!C:C, DATABASE_FG!F:F), " ")</f>
        <v>DBD.20</v>
      </c>
      <c r="P1435" s="129">
        <f>IFERROR(INDEX(DATABASE_FG!$G$5:$G$367, MATCH(E1435, DATABASE_FG!$C$5:$C$367, 0)), "Not Found")</f>
        <v>64</v>
      </c>
      <c r="Q1435" s="36">
        <v>60</v>
      </c>
      <c r="R1435" s="125" t="s">
        <v>678</v>
      </c>
      <c r="S1435" s="123">
        <f>IFERROR(INDEX(DATABASE_FG!$L$5:$L$367, MATCH(E1435, DATABASE_FG!$C$5:$C$367, 0)), " ")</f>
        <v>56</v>
      </c>
      <c r="T1435" s="36" t="s">
        <v>677</v>
      </c>
      <c r="U1435" s="36"/>
      <c r="V1435" s="36"/>
      <c r="W1435" s="129"/>
      <c r="X1435" s="36"/>
      <c r="Y1435" s="36" t="s">
        <v>677</v>
      </c>
      <c r="Z1435" s="36"/>
      <c r="AA1435" s="125" t="s">
        <v>121</v>
      </c>
      <c r="AB1435" s="173">
        <v>45696</v>
      </c>
      <c r="AC1435" s="119">
        <v>25177</v>
      </c>
      <c r="AD1435" s="36">
        <f t="shared" si="169"/>
        <v>5500511019</v>
      </c>
      <c r="AE1435" s="36" t="str">
        <f t="shared" si="168"/>
        <v>R900305236</v>
      </c>
      <c r="AF1435" s="36">
        <v>16</v>
      </c>
      <c r="AG1435" s="120">
        <f t="shared" si="167"/>
        <v>662.88</v>
      </c>
      <c r="AH1435" s="36"/>
      <c r="AI1435" s="124"/>
      <c r="AJ1435" s="122" t="s">
        <v>2977</v>
      </c>
      <c r="AK1435" s="129" t="str">
        <f t="shared" ca="1" si="164"/>
        <v>On Time</v>
      </c>
      <c r="AL1435" s="268" t="str">
        <f t="shared" si="165"/>
        <v>March</v>
      </c>
      <c r="AM1435" s="133">
        <f>YEAR(Table1[[#This Row],[ETA
As requested
dd.mm.yyyy]])</f>
        <v>2025</v>
      </c>
    </row>
    <row r="1436" spans="1:39" hidden="1">
      <c r="A1436" s="123" t="s">
        <v>27</v>
      </c>
      <c r="B1436" s="36" t="s">
        <v>1170</v>
      </c>
      <c r="C1436" s="117">
        <v>5500511019</v>
      </c>
      <c r="D1436" s="165">
        <v>45474</v>
      </c>
      <c r="E1436" s="117" t="s">
        <v>40</v>
      </c>
      <c r="F1436" s="36" t="str">
        <f>IFERROR(VLOOKUP(Table1[[#This Row],[Part Number]],DATABASE_FG!$C$6:D11425,2,FALSE)," ")</f>
        <v>HOUSING            DBD.20G1X/</v>
      </c>
      <c r="G1436" s="117" t="str">
        <f>IFERROR(_xlfn.XLOOKUP(Table1[[#This Row],[Part Number]],Table3[Part number],Table3[Drawing
 Revision]),"")</f>
        <v>G</v>
      </c>
      <c r="H1436" s="118" cm="1">
        <f t="array" ref="H1436">IFERROR(INDEX(PDB!$C:$AT,MATCH(E1436,PDB!$B:$B,0),MATCH(YEAR(K1436),0+PDB!$C$1:$AT$1,0)),"")</f>
        <v>41.43</v>
      </c>
      <c r="I1436" s="36">
        <v>2</v>
      </c>
      <c r="J1436" s="125">
        <f>IFERROR(Table1[[#This Row],[Quantity]]*Table1[[#This Row],[Price/Unit
EUR]]," ")</f>
        <v>82.86</v>
      </c>
      <c r="K1436" s="126">
        <v>45751</v>
      </c>
      <c r="L1436" s="36">
        <f>WEEKNUM(Table1[[#This Row],[ETA
As requested
dd.mm.yyyy]])</f>
        <v>14</v>
      </c>
      <c r="M1436" s="36">
        <f>YEAR(Table1[[#This Row],[ETA
As requested
dd.mm.yyyy]])</f>
        <v>2025</v>
      </c>
      <c r="N1436" s="36">
        <f>IFERROR(INDEX(DATABASE_FG!$H$5:$H$367, MATCH(E1436, DATABASE_FG!$C$5:$C$367, 0)), " ")</f>
        <v>20</v>
      </c>
      <c r="O1436" s="129" t="str">
        <f>IF(E1436&lt;&gt;"", _xlfn.XLOOKUP(E1436, DATABASE_FG!C:C, DATABASE_FG!F:F), " ")</f>
        <v>DBD.20</v>
      </c>
      <c r="P1436" s="129">
        <f>IFERROR(INDEX(DATABASE_FG!$G$5:$G$367, MATCH(E1436, DATABASE_FG!$C$5:$C$367, 0)), "Not Found")</f>
        <v>64</v>
      </c>
      <c r="Q1436" s="36">
        <v>60</v>
      </c>
      <c r="R1436" s="125" t="s">
        <v>678</v>
      </c>
      <c r="S1436" s="123">
        <f>IFERROR(INDEX(DATABASE_FG!$L$5:$L$367, MATCH(E1436, DATABASE_FG!$C$5:$C$367, 0)), " ")</f>
        <v>56</v>
      </c>
      <c r="T1436" s="36" t="s">
        <v>677</v>
      </c>
      <c r="U1436" s="36"/>
      <c r="V1436" s="36"/>
      <c r="W1436" s="129"/>
      <c r="X1436" s="36"/>
      <c r="Y1436" s="36" t="s">
        <v>677</v>
      </c>
      <c r="Z1436" s="36"/>
      <c r="AA1436" s="125" t="s">
        <v>121</v>
      </c>
      <c r="AB1436" s="173">
        <v>45744</v>
      </c>
      <c r="AC1436" s="119">
        <v>25482</v>
      </c>
      <c r="AD1436" s="36">
        <f t="shared" si="169"/>
        <v>5500511019</v>
      </c>
      <c r="AE1436" s="36" t="str">
        <f t="shared" si="168"/>
        <v>R900305236</v>
      </c>
      <c r="AF1436" s="36">
        <f>2-2</f>
        <v>0</v>
      </c>
      <c r="AG1436" s="120">
        <f t="shared" si="167"/>
        <v>0</v>
      </c>
      <c r="AH1436" s="36"/>
      <c r="AI1436" s="124" t="s">
        <v>2907</v>
      </c>
      <c r="AJ1436" s="122" t="s">
        <v>2906</v>
      </c>
      <c r="AK1436" s="129" t="str">
        <f t="shared" ca="1" si="164"/>
        <v>On Time</v>
      </c>
      <c r="AL1436" s="268" t="str">
        <f t="shared" si="165"/>
        <v>April</v>
      </c>
      <c r="AM1436" s="133">
        <f>YEAR(Table1[[#This Row],[ETA
As requested
dd.mm.yyyy]])</f>
        <v>2025</v>
      </c>
    </row>
    <row r="1437" spans="1:39" hidden="1">
      <c r="A1437" s="123" t="s">
        <v>27</v>
      </c>
      <c r="B1437" s="36" t="s">
        <v>1170</v>
      </c>
      <c r="C1437" s="117">
        <v>5500511019</v>
      </c>
      <c r="D1437" s="165">
        <v>45474</v>
      </c>
      <c r="E1437" s="117" t="s">
        <v>40</v>
      </c>
      <c r="F1437" s="36" t="str">
        <f>IFERROR(VLOOKUP(Table1[[#This Row],[Part Number]],DATABASE_FG!$C$6:D11426,2,FALSE)," ")</f>
        <v>HOUSING            DBD.20G1X/</v>
      </c>
      <c r="G1437" s="117" t="str">
        <f>IFERROR(_xlfn.XLOOKUP(Table1[[#This Row],[Part Number]],Table3[Part number],Table3[Drawing
 Revision]),"")</f>
        <v>G</v>
      </c>
      <c r="H1437" s="118" cm="1">
        <f t="array" ref="H1437">IFERROR(INDEX(PDB!$C:$AT,MATCH(E1437,PDB!$B:$B,0),MATCH(YEAR(K1437),0+PDB!$C$1:$AT$1,0)),"")</f>
        <v>41.43</v>
      </c>
      <c r="I1437" s="36">
        <v>1</v>
      </c>
      <c r="J1437" s="125">
        <f>IFERROR(Table1[[#This Row],[Quantity]]*Table1[[#This Row],[Price/Unit
EUR]]," ")</f>
        <v>41.43</v>
      </c>
      <c r="K1437" s="126">
        <v>45751</v>
      </c>
      <c r="L1437" s="36">
        <f>WEEKNUM(Table1[[#This Row],[ETA
As requested
dd.mm.yyyy]])</f>
        <v>14</v>
      </c>
      <c r="M1437" s="36">
        <f>YEAR(Table1[[#This Row],[ETA
As requested
dd.mm.yyyy]])</f>
        <v>2025</v>
      </c>
      <c r="N1437" s="36">
        <f>IFERROR(INDEX(DATABASE_FG!$H$5:$H$367, MATCH(E1437, DATABASE_FG!$C$5:$C$367, 0)), " ")</f>
        <v>20</v>
      </c>
      <c r="O1437" s="129" t="str">
        <f>IF(E1437&lt;&gt;"", _xlfn.XLOOKUP(E1437, DATABASE_FG!C:C, DATABASE_FG!F:F), " ")</f>
        <v>DBD.20</v>
      </c>
      <c r="P1437" s="129">
        <f>IFERROR(INDEX(DATABASE_FG!$G$5:$G$367, MATCH(E1437, DATABASE_FG!$C$5:$C$367, 0)), "Not Found")</f>
        <v>64</v>
      </c>
      <c r="Q1437" s="36">
        <v>60</v>
      </c>
      <c r="R1437" s="125" t="s">
        <v>678</v>
      </c>
      <c r="S1437" s="123">
        <f>IFERROR(INDEX(DATABASE_FG!$L$5:$L$367, MATCH(E1437, DATABASE_FG!$C$5:$C$367, 0)), " ")</f>
        <v>56</v>
      </c>
      <c r="T1437" s="36" t="s">
        <v>677</v>
      </c>
      <c r="U1437" s="36"/>
      <c r="V1437" s="36"/>
      <c r="W1437" s="129"/>
      <c r="X1437" s="36"/>
      <c r="Y1437" s="36" t="s">
        <v>677</v>
      </c>
      <c r="Z1437" s="36"/>
      <c r="AA1437" s="125" t="s">
        <v>121</v>
      </c>
      <c r="AB1437" s="173">
        <v>45744</v>
      </c>
      <c r="AC1437" s="119">
        <v>25528</v>
      </c>
      <c r="AD1437" s="36">
        <f t="shared" si="169"/>
        <v>5500511019</v>
      </c>
      <c r="AE1437" s="36" t="str">
        <f t="shared" si="168"/>
        <v>R900305236</v>
      </c>
      <c r="AF1437" s="36">
        <v>1</v>
      </c>
      <c r="AG1437" s="120">
        <f t="shared" si="167"/>
        <v>41.43</v>
      </c>
      <c r="AH1437" s="36"/>
      <c r="AI1437" s="124"/>
      <c r="AJ1437" s="122" t="s">
        <v>2908</v>
      </c>
      <c r="AK1437" s="129" t="str">
        <f t="shared" ca="1" si="164"/>
        <v>On Time</v>
      </c>
      <c r="AL1437" s="268" t="str">
        <f t="shared" si="165"/>
        <v>April</v>
      </c>
      <c r="AM1437" s="133">
        <f>YEAR(Table1[[#This Row],[ETA
As requested
dd.mm.yyyy]])</f>
        <v>2025</v>
      </c>
    </row>
    <row r="1438" spans="1:39" hidden="1">
      <c r="A1438" s="123" t="s">
        <v>27</v>
      </c>
      <c r="B1438" s="36" t="s">
        <v>1170</v>
      </c>
      <c r="C1438" s="117">
        <v>5500511019</v>
      </c>
      <c r="D1438" s="165">
        <v>45474</v>
      </c>
      <c r="E1438" s="117" t="s">
        <v>40</v>
      </c>
      <c r="F1438" s="36" t="str">
        <f>IFERROR(VLOOKUP(Table1[[#This Row],[Part Number]],DATABASE_FG!$C$6:D11427,2,FALSE)," ")</f>
        <v>HOUSING            DBD.20G1X/</v>
      </c>
      <c r="G1438" s="117" t="str">
        <f>IFERROR(_xlfn.XLOOKUP(Table1[[#This Row],[Part Number]],Table3[Part number],Table3[Drawing
 Revision]),"")</f>
        <v>G</v>
      </c>
      <c r="H1438" s="118" cm="1">
        <f t="array" ref="H1438">IFERROR(INDEX(PDB!$C:$AT,MATCH(E1438,PDB!$B:$B,0),MATCH(YEAR(K1438),0+PDB!$C$1:$AT$1,0)),"")</f>
        <v>41.43</v>
      </c>
      <c r="I1438" s="36">
        <v>68</v>
      </c>
      <c r="J1438" s="125">
        <f>IFERROR(Table1[[#This Row],[Quantity]]*Table1[[#This Row],[Price/Unit
EUR]]," ")</f>
        <v>2817.24</v>
      </c>
      <c r="K1438" s="126">
        <v>45758</v>
      </c>
      <c r="L1438" s="36">
        <f>WEEKNUM(Table1[[#This Row],[ETA
As requested
dd.mm.yyyy]])</f>
        <v>15</v>
      </c>
      <c r="M1438" s="36">
        <f>YEAR(Table1[[#This Row],[ETA
As requested
dd.mm.yyyy]])</f>
        <v>2025</v>
      </c>
      <c r="N1438" s="36">
        <f>IFERROR(INDEX(DATABASE_FG!$H$5:$H$367, MATCH(E1438, DATABASE_FG!$C$5:$C$367, 0)), " ")</f>
        <v>20</v>
      </c>
      <c r="O1438" s="129" t="str">
        <f>IF(E1438&lt;&gt;"", _xlfn.XLOOKUP(E1438, DATABASE_FG!C:C, DATABASE_FG!F:F), " ")</f>
        <v>DBD.20</v>
      </c>
      <c r="P1438" s="129">
        <f>IFERROR(INDEX(DATABASE_FG!$G$5:$G$367, MATCH(E1438, DATABASE_FG!$C$5:$C$367, 0)), "Not Found")</f>
        <v>64</v>
      </c>
      <c r="Q1438" s="36">
        <v>60</v>
      </c>
      <c r="R1438" s="125" t="s">
        <v>678</v>
      </c>
      <c r="S1438" s="123">
        <f>IFERROR(INDEX(DATABASE_FG!$L$5:$L$367, MATCH(E1438, DATABASE_FG!$C$5:$C$367, 0)), " ")</f>
        <v>56</v>
      </c>
      <c r="T1438" s="36" t="s">
        <v>677</v>
      </c>
      <c r="U1438" s="36"/>
      <c r="V1438" s="36"/>
      <c r="W1438" s="129"/>
      <c r="X1438" s="36"/>
      <c r="Y1438" s="36" t="s">
        <v>677</v>
      </c>
      <c r="Z1438" s="36"/>
      <c r="AA1438" s="125" t="s">
        <v>121</v>
      </c>
      <c r="AB1438" s="173">
        <v>45764</v>
      </c>
      <c r="AC1438" s="119">
        <v>25644</v>
      </c>
      <c r="AD1438" s="36">
        <f t="shared" si="169"/>
        <v>5500511019</v>
      </c>
      <c r="AE1438" s="36" t="str">
        <f t="shared" si="168"/>
        <v>R900305236</v>
      </c>
      <c r="AF1438" s="36">
        <v>68</v>
      </c>
      <c r="AG1438" s="120">
        <f t="shared" si="167"/>
        <v>2817.24</v>
      </c>
      <c r="AH1438" s="36"/>
      <c r="AI1438" s="124"/>
      <c r="AJ1438" s="122" t="s">
        <v>3067</v>
      </c>
      <c r="AK1438" s="129" t="str">
        <f t="shared" ca="1" si="164"/>
        <v>Late</v>
      </c>
      <c r="AL1438" s="268" t="str">
        <f t="shared" si="165"/>
        <v>April</v>
      </c>
      <c r="AM1438" s="133">
        <f>YEAR(Table1[[#This Row],[ETA
As requested
dd.mm.yyyy]])</f>
        <v>2025</v>
      </c>
    </row>
    <row r="1439" spans="1:39" hidden="1">
      <c r="A1439" s="123" t="s">
        <v>27</v>
      </c>
      <c r="B1439" s="36" t="s">
        <v>1170</v>
      </c>
      <c r="C1439" s="117">
        <v>5500511019</v>
      </c>
      <c r="D1439" s="165">
        <v>45474</v>
      </c>
      <c r="E1439" s="117" t="s">
        <v>40</v>
      </c>
      <c r="F1439" s="36" t="str">
        <f>IFERROR(VLOOKUP(Table1[[#This Row],[Part Number]],DATABASE_FG!$C$6:D11428,2,FALSE)," ")</f>
        <v>HOUSING            DBD.20G1X/</v>
      </c>
      <c r="G1439" s="117" t="str">
        <f>IFERROR(_xlfn.XLOOKUP(Table1[[#This Row],[Part Number]],Table3[Part number],Table3[Drawing
 Revision]),"")</f>
        <v>G</v>
      </c>
      <c r="H1439" s="118" cm="1">
        <f t="array" ref="H1439">IFERROR(INDEX(PDB!$C:$AT,MATCH(E1439,PDB!$B:$B,0),MATCH(YEAR(K1439),0+PDB!$C$1:$AT$1,0)),"")</f>
        <v>41.43</v>
      </c>
      <c r="I1439" s="36">
        <v>141</v>
      </c>
      <c r="J1439" s="125">
        <f>IFERROR(Table1[[#This Row],[Quantity]]*Table1[[#This Row],[Price/Unit
EUR]]," ")</f>
        <v>5841.63</v>
      </c>
      <c r="K1439" s="126">
        <v>45758</v>
      </c>
      <c r="L1439" s="36">
        <f>WEEKNUM(Table1[[#This Row],[ETA
As requested
dd.mm.yyyy]])</f>
        <v>15</v>
      </c>
      <c r="M1439" s="36">
        <f>YEAR(Table1[[#This Row],[ETA
As requested
dd.mm.yyyy]])</f>
        <v>2025</v>
      </c>
      <c r="N1439" s="36">
        <f>IFERROR(INDEX(DATABASE_FG!$H$5:$H$367, MATCH(E1439, DATABASE_FG!$C$5:$C$367, 0)), " ")</f>
        <v>20</v>
      </c>
      <c r="O1439" s="129" t="str">
        <f>IF(E1439&lt;&gt;"", _xlfn.XLOOKUP(E1439, DATABASE_FG!C:C, DATABASE_FG!F:F), " ")</f>
        <v>DBD.20</v>
      </c>
      <c r="P1439" s="129">
        <f>IFERROR(INDEX(DATABASE_FG!$G$5:$G$367, MATCH(E1439, DATABASE_FG!$C$5:$C$367, 0)), "Not Found")</f>
        <v>64</v>
      </c>
      <c r="Q1439" s="36">
        <v>60</v>
      </c>
      <c r="R1439" s="125" t="s">
        <v>678</v>
      </c>
      <c r="S1439" s="123">
        <f>Table1[[#This Row],[Quantity]]/48</f>
        <v>2.9375</v>
      </c>
      <c r="T1439" s="36" t="s">
        <v>677</v>
      </c>
      <c r="U1439" s="36"/>
      <c r="V1439" s="36"/>
      <c r="W1439" s="129"/>
      <c r="X1439" s="36"/>
      <c r="Y1439" s="36"/>
      <c r="Z1439" s="36"/>
      <c r="AA1439" s="125" t="s">
        <v>121</v>
      </c>
      <c r="AB1439" s="173">
        <v>45778</v>
      </c>
      <c r="AC1439" s="119">
        <v>25706</v>
      </c>
      <c r="AD1439" s="36">
        <f t="shared" si="169"/>
        <v>5500511019</v>
      </c>
      <c r="AE1439" s="36" t="str">
        <f t="shared" si="168"/>
        <v>R900305236</v>
      </c>
      <c r="AF1439" s="36">
        <v>141</v>
      </c>
      <c r="AG1439" s="120">
        <f t="shared" si="167"/>
        <v>5841.63</v>
      </c>
      <c r="AH1439" s="36"/>
      <c r="AI1439" s="124"/>
      <c r="AJ1439" s="122" t="s">
        <v>3070</v>
      </c>
      <c r="AK1439" s="129" t="str">
        <f t="shared" ca="1" si="164"/>
        <v>Late</v>
      </c>
      <c r="AL1439" s="268" t="str">
        <f t="shared" si="165"/>
        <v>April</v>
      </c>
      <c r="AM1439" s="133">
        <f>YEAR(Table1[[#This Row],[ETA
As requested
dd.mm.yyyy]])</f>
        <v>2025</v>
      </c>
    </row>
    <row r="1440" spans="1:39" hidden="1">
      <c r="A1440" s="123" t="s">
        <v>27</v>
      </c>
      <c r="B1440" s="36" t="s">
        <v>1170</v>
      </c>
      <c r="C1440" s="117">
        <v>5500511019</v>
      </c>
      <c r="D1440" s="165">
        <v>45446</v>
      </c>
      <c r="E1440" s="117" t="s">
        <v>40</v>
      </c>
      <c r="F1440" s="36" t="str">
        <f>IFERROR(VLOOKUP(Table1[[#This Row],[Part Number]],DATABASE_FG!$C$6:D11429,2,FALSE)," ")</f>
        <v>HOUSING            DBD.20G1X/</v>
      </c>
      <c r="G1440" s="117" t="str">
        <f>IFERROR(_xlfn.XLOOKUP(Table1[[#This Row],[Part Number]],Table3[Part number],Table3[Drawing
 Revision]),"")</f>
        <v>G</v>
      </c>
      <c r="H1440" s="118" cm="1">
        <f t="array" ref="H1440">IFERROR(INDEX(PDB!$C:$AT,MATCH(E1440,PDB!$B:$B,0),MATCH(YEAR(K1440),0+PDB!$C$1:$AT$1,0)),"")</f>
        <v>41.43</v>
      </c>
      <c r="I1440" s="36">
        <v>125</v>
      </c>
      <c r="J1440" s="125">
        <f>IFERROR(Table1[[#This Row],[Quantity]]*Table1[[#This Row],[Price/Unit
EUR]]," ")</f>
        <v>5178.75</v>
      </c>
      <c r="K1440" s="126">
        <v>45819</v>
      </c>
      <c r="L1440" s="36">
        <f>WEEKNUM(Table1[[#This Row],[ETA
As requested
dd.mm.yyyy]])</f>
        <v>24</v>
      </c>
      <c r="M1440" s="36">
        <f>YEAR(Table1[[#This Row],[ETA
As requested
dd.mm.yyyy]])</f>
        <v>2025</v>
      </c>
      <c r="N1440" s="36">
        <f>IFERROR(INDEX(DATABASE_FG!$H$5:$H$367, MATCH(E1440, DATABASE_FG!$C$5:$C$367, 0)), " ")</f>
        <v>20</v>
      </c>
      <c r="O1440" s="129" t="str">
        <f>IF(E1440&lt;&gt;"", _xlfn.XLOOKUP(E1440, DATABASE_FG!C:C, DATABASE_FG!F:F), " ")</f>
        <v>DBD.20</v>
      </c>
      <c r="P1440" s="129">
        <f>IFERROR(INDEX(DATABASE_FG!$G$5:$G$367, MATCH(E1440, DATABASE_FG!$C$5:$C$367, 0)), "Not Found")</f>
        <v>64</v>
      </c>
      <c r="Q1440" s="36">
        <v>60</v>
      </c>
      <c r="R1440" s="125" t="s">
        <v>678</v>
      </c>
      <c r="S1440" s="123">
        <f>IFERROR(INDEX(DATABASE_FG!$L$5:$L$367, MATCH(E1440, DATABASE_FG!$C$5:$C$367, 0)), " ")</f>
        <v>56</v>
      </c>
      <c r="T1440" s="36" t="s">
        <v>677</v>
      </c>
      <c r="U1440" s="36"/>
      <c r="V1440" s="36"/>
      <c r="W1440" s="129"/>
      <c r="X1440" s="36"/>
      <c r="Y1440" s="36"/>
      <c r="Z1440" s="36"/>
      <c r="AA1440" s="125" t="s">
        <v>121</v>
      </c>
      <c r="AB1440" s="173">
        <v>45793</v>
      </c>
      <c r="AC1440" s="119">
        <v>25783</v>
      </c>
      <c r="AD1440" s="36">
        <f t="shared" si="169"/>
        <v>5500511019</v>
      </c>
      <c r="AE1440" s="36" t="str">
        <f t="shared" si="168"/>
        <v>R900305236</v>
      </c>
      <c r="AF1440" s="36">
        <v>125</v>
      </c>
      <c r="AG1440" s="120">
        <f t="shared" si="167"/>
        <v>5178.75</v>
      </c>
      <c r="AH1440" s="36"/>
      <c r="AI1440" s="124"/>
      <c r="AJ1440" s="122" t="s">
        <v>3251</v>
      </c>
      <c r="AK1440" s="129" t="str">
        <f t="shared" ca="1" si="164"/>
        <v>On Time</v>
      </c>
      <c r="AL1440" s="268" t="str">
        <f t="shared" si="165"/>
        <v>June</v>
      </c>
      <c r="AM1440" s="133">
        <f>YEAR(Table1[[#This Row],[ETA
As requested
dd.mm.yyyy]])</f>
        <v>2025</v>
      </c>
    </row>
    <row r="1441" spans="1:40" hidden="1">
      <c r="A1441" s="123" t="s">
        <v>27</v>
      </c>
      <c r="B1441" s="36" t="s">
        <v>1170</v>
      </c>
      <c r="C1441" s="117">
        <v>5500511019</v>
      </c>
      <c r="D1441" s="165">
        <v>45446</v>
      </c>
      <c r="E1441" s="117" t="s">
        <v>40</v>
      </c>
      <c r="F1441" s="36" t="str">
        <f>IFERROR(VLOOKUP(Table1[[#This Row],[Part Number]],DATABASE_FG!$C$6:D11430,2,FALSE)," ")</f>
        <v>HOUSING            DBD.20G1X/</v>
      </c>
      <c r="G1441" s="117" t="str">
        <f>IFERROR(_xlfn.XLOOKUP(Table1[[#This Row],[Part Number]],Table3[Part number],Table3[Drawing
 Revision]),"")</f>
        <v>G</v>
      </c>
      <c r="H1441" s="118" cm="1">
        <f t="array" ref="H1441">IFERROR(INDEX(PDB!$C:$AT,MATCH(E1441,PDB!$B:$B,0),MATCH(YEAR(K1441),0+PDB!$C$1:$AT$1,0)),"")</f>
        <v>41.43</v>
      </c>
      <c r="I1441" s="36">
        <v>20</v>
      </c>
      <c r="J1441" s="125">
        <f>IFERROR(Table1[[#This Row],[Quantity]]*Table1[[#This Row],[Price/Unit
EUR]]," ")</f>
        <v>828.6</v>
      </c>
      <c r="K1441" s="126">
        <v>45902</v>
      </c>
      <c r="L1441" s="36">
        <f>WEEKNUM(Table1[[#This Row],[ETA
As requested
dd.mm.yyyy]])</f>
        <v>36</v>
      </c>
      <c r="M1441" s="36">
        <f>YEAR(Table1[[#This Row],[ETA
As requested
dd.mm.yyyy]])</f>
        <v>2025</v>
      </c>
      <c r="N1441" s="36">
        <f>IFERROR(INDEX(DATABASE_FG!$H$5:$H$367, MATCH(E1441, DATABASE_FG!$C$5:$C$367, 0)), " ")</f>
        <v>20</v>
      </c>
      <c r="O1441" s="129" t="str">
        <f>IF(E1441&lt;&gt;"", _xlfn.XLOOKUP(E1441, DATABASE_FG!C:C, DATABASE_FG!F:F), " ")</f>
        <v>DBD.20</v>
      </c>
      <c r="P1441" s="129">
        <f>IFERROR(INDEX(DATABASE_FG!$G$5:$G$367, MATCH(E1441, DATABASE_FG!$C$5:$C$367, 0)), "Not Found")</f>
        <v>64</v>
      </c>
      <c r="Q1441" s="36">
        <v>61</v>
      </c>
      <c r="R1441" s="125" t="s">
        <v>678</v>
      </c>
      <c r="S1441" s="123">
        <f>Table1[[#This Row],[Quantity]]/48</f>
        <v>0.41666666666666669</v>
      </c>
      <c r="T1441" s="36" t="s">
        <v>677</v>
      </c>
      <c r="U1441" s="36"/>
      <c r="V1441" s="36"/>
      <c r="W1441" s="129"/>
      <c r="X1441" s="36"/>
      <c r="Y1441" s="36"/>
      <c r="Z1441" s="36"/>
      <c r="AA1441" s="125" t="s">
        <v>121</v>
      </c>
      <c r="AB1441" s="173">
        <v>45838</v>
      </c>
      <c r="AC1441" s="119">
        <v>260021</v>
      </c>
      <c r="AD1441" s="36">
        <f t="shared" si="169"/>
        <v>5500511019</v>
      </c>
      <c r="AE1441" s="36" t="str">
        <f t="shared" si="168"/>
        <v>R900305236</v>
      </c>
      <c r="AF1441" s="36">
        <v>20</v>
      </c>
      <c r="AG1441" s="120">
        <f t="shared" si="167"/>
        <v>828.6</v>
      </c>
      <c r="AH1441" s="36"/>
      <c r="AI1441" s="124"/>
      <c r="AJ1441" s="122" t="s">
        <v>4433</v>
      </c>
      <c r="AK1441" s="129" t="str">
        <f t="shared" ca="1" si="164"/>
        <v>On Time</v>
      </c>
      <c r="AL1441" s="268" t="str">
        <f t="shared" si="165"/>
        <v>September</v>
      </c>
      <c r="AM1441" s="133">
        <f>YEAR(Table1[[#This Row],[ETA
As requested
dd.mm.yyyy]])</f>
        <v>2025</v>
      </c>
    </row>
    <row r="1442" spans="1:40" hidden="1">
      <c r="A1442" s="123" t="s">
        <v>27</v>
      </c>
      <c r="B1442" s="36" t="s">
        <v>1170</v>
      </c>
      <c r="C1442" s="117">
        <v>5500511019</v>
      </c>
      <c r="D1442" s="165">
        <v>45446</v>
      </c>
      <c r="E1442" s="117" t="s">
        <v>40</v>
      </c>
      <c r="F1442" s="36" t="str">
        <f>IFERROR(VLOOKUP(Table1[[#This Row],[Part Number]],DATABASE_FG!$C$6:D11431,2,FALSE)," ")</f>
        <v>HOUSING            DBD.20G1X/</v>
      </c>
      <c r="G1442" s="117" t="str">
        <f>IFERROR(_xlfn.XLOOKUP(Table1[[#This Row],[Part Number]],Table3[Part number],Table3[Drawing
 Revision]),"")</f>
        <v>G</v>
      </c>
      <c r="H1442" s="118" cm="1">
        <f t="array" ref="H1442">IFERROR(INDEX(PDB!$C:$AT,MATCH(E1442,PDB!$B:$B,0),MATCH(YEAR(K1442),0+PDB!$C$1:$AT$1,0)),"")</f>
        <v>41.43</v>
      </c>
      <c r="I1442" s="36">
        <v>4</v>
      </c>
      <c r="J1442" s="125">
        <f>IFERROR(Table1[[#This Row],[Quantity]]*Table1[[#This Row],[Price/Unit
EUR]]," ")</f>
        <v>165.72</v>
      </c>
      <c r="K1442" s="126">
        <v>45902</v>
      </c>
      <c r="L1442" s="36">
        <f>WEEKNUM(Table1[[#This Row],[ETA
As requested
dd.mm.yyyy]])</f>
        <v>36</v>
      </c>
      <c r="M1442" s="36">
        <f>YEAR(Table1[[#This Row],[ETA
As requested
dd.mm.yyyy]])</f>
        <v>2025</v>
      </c>
      <c r="N1442" s="36">
        <f>IFERROR(INDEX(DATABASE_FG!$H$5:$H$367, MATCH(E1442, DATABASE_FG!$C$5:$C$367, 0)), " ")</f>
        <v>20</v>
      </c>
      <c r="O1442" s="129" t="str">
        <f>IF(E1442&lt;&gt;"", _xlfn.XLOOKUP(E1442, DATABASE_FG!C:C, DATABASE_FG!F:F), " ")</f>
        <v>DBD.20</v>
      </c>
      <c r="P1442" s="129">
        <f>IFERROR(INDEX(DATABASE_FG!$G$5:$G$367, MATCH(E1442, DATABASE_FG!$C$5:$C$367, 0)), "Not Found")</f>
        <v>64</v>
      </c>
      <c r="Q1442" s="36">
        <v>61</v>
      </c>
      <c r="R1442" s="125" t="s">
        <v>678</v>
      </c>
      <c r="S1442" s="123">
        <f>Table1[[#This Row],[Quantity]]/48</f>
        <v>8.3333333333333329E-2</v>
      </c>
      <c r="T1442" s="36" t="s">
        <v>677</v>
      </c>
      <c r="U1442" s="36"/>
      <c r="V1442" s="36"/>
      <c r="W1442" s="129"/>
      <c r="X1442" s="36"/>
      <c r="Y1442" s="36"/>
      <c r="Z1442" s="36"/>
      <c r="AA1442" s="125" t="s">
        <v>121</v>
      </c>
      <c r="AB1442" s="173">
        <v>45842</v>
      </c>
      <c r="AC1442" s="119">
        <v>251021</v>
      </c>
      <c r="AD1442" s="36">
        <f t="shared" ref="AD1442:AD1445" si="170">IF(NOT(ISBLANK(AC1442)), C1442, "")</f>
        <v>5500511019</v>
      </c>
      <c r="AE1442" s="36" t="str">
        <f t="shared" si="168"/>
        <v>R900305236</v>
      </c>
      <c r="AF1442" s="36">
        <v>4</v>
      </c>
      <c r="AG1442" s="120">
        <f t="shared" si="167"/>
        <v>165.72</v>
      </c>
      <c r="AH1442" s="36"/>
      <c r="AI1442" s="124"/>
      <c r="AJ1442" s="122" t="s">
        <v>3656</v>
      </c>
      <c r="AK1442" s="129" t="str">
        <f t="shared" ca="1" si="164"/>
        <v>On Time</v>
      </c>
      <c r="AL1442" s="268" t="str">
        <f t="shared" si="165"/>
        <v>September</v>
      </c>
      <c r="AM1442" s="133">
        <f>YEAR(Table1[[#This Row],[ETA
As requested
dd.mm.yyyy]])</f>
        <v>2025</v>
      </c>
    </row>
    <row r="1443" spans="1:40" hidden="1">
      <c r="A1443" s="123" t="s">
        <v>27</v>
      </c>
      <c r="B1443" s="36" t="s">
        <v>1170</v>
      </c>
      <c r="C1443" s="117">
        <v>5500511019</v>
      </c>
      <c r="D1443" s="165">
        <v>45446</v>
      </c>
      <c r="E1443" s="117" t="s">
        <v>40</v>
      </c>
      <c r="F1443" s="36" t="str">
        <f>IFERROR(VLOOKUP(Table1[[#This Row],[Part Number]],DATABASE_FG!$C$6:D11432,2,FALSE)," ")</f>
        <v>HOUSING            DBD.20G1X/</v>
      </c>
      <c r="G1443" s="117" t="str">
        <f>IFERROR(_xlfn.XLOOKUP(Table1[[#This Row],[Part Number]],Table3[Part number],Table3[Drawing
 Revision]),"")</f>
        <v>G</v>
      </c>
      <c r="H1443" s="118" cm="1">
        <f t="array" ref="H1443">IFERROR(INDEX(PDB!$C:$AT,MATCH(E1443,PDB!$B:$B,0),MATCH(YEAR(K1443),0+PDB!$C$1:$AT$1,0)),"")</f>
        <v>41.43</v>
      </c>
      <c r="I1443" s="36">
        <v>16</v>
      </c>
      <c r="J1443" s="125">
        <f>IFERROR(Table1[[#This Row],[Quantity]]*Table1[[#This Row],[Price/Unit
EUR]]," ")</f>
        <v>662.88</v>
      </c>
      <c r="K1443" s="126">
        <v>45902</v>
      </c>
      <c r="L1443" s="36">
        <f>WEEKNUM(Table1[[#This Row],[ETA
As requested
dd.mm.yyyy]])</f>
        <v>36</v>
      </c>
      <c r="M1443" s="36">
        <f>YEAR(Table1[[#This Row],[ETA
As requested
dd.mm.yyyy]])</f>
        <v>2025</v>
      </c>
      <c r="N1443" s="36">
        <f>IFERROR(INDEX(DATABASE_FG!$H$5:$H$367, MATCH(E1443, DATABASE_FG!$C$5:$C$367, 0)), " ")</f>
        <v>20</v>
      </c>
      <c r="O1443" s="129" t="str">
        <f>IF(E1443&lt;&gt;"", _xlfn.XLOOKUP(E1443, DATABASE_FG!C:C, DATABASE_FG!F:F), " ")</f>
        <v>DBD.20</v>
      </c>
      <c r="P1443" s="129">
        <f>IFERROR(INDEX(DATABASE_FG!$G$5:$G$367, MATCH(E1443, DATABASE_FG!$C$5:$C$367, 0)), "Not Found")</f>
        <v>64</v>
      </c>
      <c r="Q1443" s="36">
        <v>61</v>
      </c>
      <c r="R1443" s="125" t="s">
        <v>678</v>
      </c>
      <c r="S1443" s="123">
        <f>Table1[[#This Row],[Quantity]]/48</f>
        <v>0.33333333333333331</v>
      </c>
      <c r="T1443" s="36" t="s">
        <v>677</v>
      </c>
      <c r="U1443" s="36"/>
      <c r="V1443" s="36"/>
      <c r="W1443" s="129"/>
      <c r="X1443" s="36"/>
      <c r="Y1443" s="36"/>
      <c r="Z1443" s="36"/>
      <c r="AA1443" s="125" t="s">
        <v>121</v>
      </c>
      <c r="AB1443" s="173">
        <v>45869</v>
      </c>
      <c r="AC1443" s="119">
        <v>251110</v>
      </c>
      <c r="AD1443" s="36">
        <f t="shared" si="170"/>
        <v>5500511019</v>
      </c>
      <c r="AE1443" s="36" t="str">
        <f t="shared" si="168"/>
        <v>R900305236</v>
      </c>
      <c r="AF1443" s="36">
        <v>16</v>
      </c>
      <c r="AG1443" s="120">
        <f t="shared" si="167"/>
        <v>662.88</v>
      </c>
      <c r="AH1443" s="36"/>
      <c r="AI1443" s="124"/>
      <c r="AJ1443" s="122" t="s">
        <v>4437</v>
      </c>
      <c r="AK1443" s="129" t="str">
        <f t="shared" ca="1" si="164"/>
        <v>On Time</v>
      </c>
      <c r="AL1443" s="268" t="str">
        <f t="shared" si="165"/>
        <v>September</v>
      </c>
      <c r="AM1443" s="133">
        <f>YEAR(Table1[[#This Row],[ETA
As requested
dd.mm.yyyy]])</f>
        <v>2025</v>
      </c>
    </row>
    <row r="1444" spans="1:40" hidden="1">
      <c r="A1444" s="123" t="s">
        <v>27</v>
      </c>
      <c r="B1444" s="36" t="s">
        <v>2464</v>
      </c>
      <c r="C1444" s="117">
        <v>5500511019</v>
      </c>
      <c r="D1444" s="165">
        <v>45446</v>
      </c>
      <c r="E1444" s="117" t="s">
        <v>40</v>
      </c>
      <c r="F1444" s="36" t="str">
        <f>IFERROR(VLOOKUP(Table1[[#This Row],[Part Number]],DATABASE_FG!$C$6:D11433,2,FALSE)," ")</f>
        <v>HOUSING            DBD.20G1X/</v>
      </c>
      <c r="G1444" s="117" t="str">
        <f>IFERROR(_xlfn.XLOOKUP(Table1[[#This Row],[Part Number]],Table3[Part number],Table3[Drawing
 Revision]),"")</f>
        <v>G</v>
      </c>
      <c r="H1444" s="118" cm="1">
        <f t="array" ref="H1444">IFERROR(INDEX(PDB!$C:$AT,MATCH(E1444,PDB!$B:$B,0),MATCH(YEAR(K1444),0+PDB!$C$1:$AT$1,0)),"")</f>
        <v>41.43</v>
      </c>
      <c r="I1444" s="36">
        <f>67-16</f>
        <v>51</v>
      </c>
      <c r="J1444" s="125">
        <f>IFERROR(Table1[[#This Row],[Quantity]]*Table1[[#This Row],[Price/Unit
EUR]]," ")</f>
        <v>2112.9299999999998</v>
      </c>
      <c r="K1444" s="126">
        <v>45902</v>
      </c>
      <c r="L1444" s="36">
        <f>WEEKNUM(Table1[[#This Row],[ETA
As requested
dd.mm.yyyy]])</f>
        <v>36</v>
      </c>
      <c r="M1444" s="36">
        <f>YEAR(Table1[[#This Row],[ETA
As requested
dd.mm.yyyy]])</f>
        <v>2025</v>
      </c>
      <c r="N1444" s="36">
        <f>IFERROR(INDEX(DATABASE_FG!$H$5:$H$367, MATCH(E1444, DATABASE_FG!$C$5:$C$367, 0)), " ")</f>
        <v>20</v>
      </c>
      <c r="O1444" s="129" t="str">
        <f>IF(E1444&lt;&gt;"", _xlfn.XLOOKUP(E1444, DATABASE_FG!C:C, DATABASE_FG!F:F), " ")</f>
        <v>DBD.20</v>
      </c>
      <c r="P1444" s="129">
        <f>IFERROR(INDEX(DATABASE_FG!$G$5:$G$367, MATCH(E1444, DATABASE_FG!$C$5:$C$367, 0)), "Not Found")</f>
        <v>64</v>
      </c>
      <c r="Q1444" s="36">
        <v>60</v>
      </c>
      <c r="R1444" s="125" t="s">
        <v>678</v>
      </c>
      <c r="S1444" s="123">
        <f>IFERROR(INDEX(DATABASE_FG!$L$5:$L$367, MATCH(E1444, DATABASE_FG!$C$5:$C$367, 0)), " ")</f>
        <v>56</v>
      </c>
      <c r="T1444" s="36" t="s">
        <v>677</v>
      </c>
      <c r="U1444" s="36"/>
      <c r="V1444" s="36"/>
      <c r="W1444" s="129"/>
      <c r="X1444" s="36"/>
      <c r="Y1444" s="36"/>
      <c r="Z1444" s="36"/>
      <c r="AA1444" s="125" t="s">
        <v>121</v>
      </c>
      <c r="AB1444" s="126">
        <v>45958</v>
      </c>
      <c r="AC1444" s="119">
        <v>251204</v>
      </c>
      <c r="AD1444" s="36">
        <f t="shared" si="170"/>
        <v>5500511019</v>
      </c>
      <c r="AE1444" s="36" t="str">
        <f t="shared" si="168"/>
        <v>R900305236</v>
      </c>
      <c r="AF1444" s="36">
        <v>51</v>
      </c>
      <c r="AG1444" s="120">
        <f t="shared" si="167"/>
        <v>2112.9299999999998</v>
      </c>
      <c r="AH1444" s="36"/>
      <c r="AI1444" s="124"/>
      <c r="AJ1444" s="122" t="s">
        <v>4445</v>
      </c>
      <c r="AK1444" s="129" t="str">
        <f t="shared" ca="1" si="164"/>
        <v>Late</v>
      </c>
      <c r="AL1444" s="268" t="str">
        <f t="shared" si="165"/>
        <v>September</v>
      </c>
      <c r="AM1444" s="133">
        <f>YEAR(Table1[[#This Row],[ETA
As requested
dd.mm.yyyy]])</f>
        <v>2025</v>
      </c>
    </row>
    <row r="1445" spans="1:40" hidden="1">
      <c r="A1445" s="123" t="s">
        <v>27</v>
      </c>
      <c r="B1445" s="36" t="s">
        <v>1170</v>
      </c>
      <c r="C1445" s="117">
        <v>5500511019</v>
      </c>
      <c r="D1445" s="165">
        <v>45446</v>
      </c>
      <c r="E1445" s="117" t="s">
        <v>40</v>
      </c>
      <c r="F1445" s="36" t="str">
        <f>IFERROR(VLOOKUP(Table1[[#This Row],[Part Number]],DATABASE_FG!$C$6:D11434,2,FALSE)," ")</f>
        <v>HOUSING            DBD.20G1X/</v>
      </c>
      <c r="G1445" s="117" t="str">
        <f>IFERROR(_xlfn.XLOOKUP(Table1[[#This Row],[Part Number]],Table3[Part number],Table3[Drawing
 Revision]),"")</f>
        <v>G</v>
      </c>
      <c r="H1445" s="118" cm="1">
        <f t="array" ref="H1445">IFERROR(INDEX(PDB!$C:$AT,MATCH(E1445,PDB!$B:$B,0),MATCH(YEAR(K1445),0+PDB!$C$1:$AT$1,0)),"")</f>
        <v>41.43</v>
      </c>
      <c r="I1445" s="36">
        <v>63</v>
      </c>
      <c r="J1445" s="125">
        <f>IFERROR(Table1[[#This Row],[Quantity]]*Table1[[#This Row],[Price/Unit
EUR]]," ")</f>
        <v>2610.09</v>
      </c>
      <c r="K1445" s="126">
        <v>45924</v>
      </c>
      <c r="L1445" s="36">
        <f>WEEKNUM(Table1[[#This Row],[ETA
As requested
dd.mm.yyyy]])</f>
        <v>39</v>
      </c>
      <c r="M1445" s="36">
        <f>YEAR(Table1[[#This Row],[ETA
As requested
dd.mm.yyyy]])</f>
        <v>2025</v>
      </c>
      <c r="N1445" s="36">
        <f>IFERROR(INDEX(DATABASE_FG!$H$5:$H$367, MATCH(E1445, DATABASE_FG!$C$5:$C$367, 0)), " ")</f>
        <v>20</v>
      </c>
      <c r="O1445" s="129" t="str">
        <f>IF(E1445&lt;&gt;"", _xlfn.XLOOKUP(E1445, DATABASE_FG!C:C, DATABASE_FG!F:F), " ")</f>
        <v>DBD.20</v>
      </c>
      <c r="P1445" s="129">
        <f>IFERROR(INDEX(DATABASE_FG!$G$5:$G$367, MATCH(E1445, DATABASE_FG!$C$5:$C$367, 0)), "Not Found")</f>
        <v>64</v>
      </c>
      <c r="Q1445" s="36">
        <v>60</v>
      </c>
      <c r="R1445" s="125" t="s">
        <v>678</v>
      </c>
      <c r="S1445" s="123">
        <f>IFERROR(INDEX(DATABASE_FG!$L$5:$L$367, MATCH(E1445, DATABASE_FG!$C$5:$C$367, 0)), " ")</f>
        <v>56</v>
      </c>
      <c r="T1445" s="36" t="s">
        <v>677</v>
      </c>
      <c r="U1445" s="36"/>
      <c r="V1445" s="36"/>
      <c r="W1445" s="129"/>
      <c r="X1445" s="36"/>
      <c r="Y1445" s="36"/>
      <c r="Z1445" s="36"/>
      <c r="AA1445" s="125" t="s">
        <v>121</v>
      </c>
      <c r="AB1445" s="173">
        <v>45800</v>
      </c>
      <c r="AC1445" s="119">
        <v>25815</v>
      </c>
      <c r="AD1445" s="36">
        <f t="shared" si="170"/>
        <v>5500511019</v>
      </c>
      <c r="AE1445" s="36" t="str">
        <f t="shared" si="168"/>
        <v>R900305236</v>
      </c>
      <c r="AF1445" s="36">
        <v>63</v>
      </c>
      <c r="AG1445" s="120">
        <f>AF1445*H1445</f>
        <v>2610.09</v>
      </c>
      <c r="AH1445" s="36"/>
      <c r="AI1445" s="124"/>
      <c r="AJ1445" s="122" t="s">
        <v>3717</v>
      </c>
      <c r="AK1445" s="129" t="str">
        <f t="shared" ca="1" si="164"/>
        <v>On Time</v>
      </c>
      <c r="AL1445" s="268" t="str">
        <f t="shared" ref="AL1445:AL1510" si="171">TEXT(K1445,"mmmm")</f>
        <v>September</v>
      </c>
      <c r="AM1445" s="133">
        <f>YEAR(Table1[[#This Row],[ETA
As requested
dd.mm.yyyy]])</f>
        <v>2025</v>
      </c>
    </row>
    <row r="1446" spans="1:40" hidden="1">
      <c r="A1446" s="123" t="s">
        <v>27</v>
      </c>
      <c r="B1446" s="36" t="s">
        <v>1170</v>
      </c>
      <c r="C1446" s="117">
        <v>5500511019</v>
      </c>
      <c r="D1446" s="165">
        <v>45446</v>
      </c>
      <c r="E1446" s="117" t="s">
        <v>40</v>
      </c>
      <c r="F1446" s="36" t="str">
        <f>IFERROR(VLOOKUP(Table1[[#This Row],[Part Number]],DATABASE_FG!$C$6:D11435,2,FALSE)," ")</f>
        <v>HOUSING            DBD.20G1X/</v>
      </c>
      <c r="G1446" s="117" t="str">
        <f>IFERROR(_xlfn.XLOOKUP(Table1[[#This Row],[Part Number]],Table3[Part number],Table3[Drawing
 Revision]),"")</f>
        <v>G</v>
      </c>
      <c r="H1446" s="118" cm="1">
        <f t="array" ref="H1446">IFERROR(INDEX(PDB!$C:$AT,MATCH(E1446,PDB!$B:$B,0),MATCH(YEAR(K1446),0+PDB!$C$1:$AT$1,0)),"")</f>
        <v>41.43</v>
      </c>
      <c r="I1446" s="36">
        <v>41</v>
      </c>
      <c r="J1446" s="125">
        <f>IFERROR(Table1[[#This Row],[Quantity]]*Table1[[#This Row],[Price/Unit
EUR]]," ")</f>
        <v>1698.6299999999999</v>
      </c>
      <c r="K1446" s="126">
        <v>45943</v>
      </c>
      <c r="L1446" s="36">
        <f>WEEKNUM(Table1[[#This Row],[ETA
As requested
dd.mm.yyyy]])</f>
        <v>42</v>
      </c>
      <c r="M1446" s="36">
        <f>YEAR(Table1[[#This Row],[ETA
As requested
dd.mm.yyyy]])</f>
        <v>2025</v>
      </c>
      <c r="N1446" s="36">
        <f>IFERROR(INDEX(DATABASE_FG!$H$5:$H$367, MATCH(E1446, DATABASE_FG!$C$5:$C$367, 0)), " ")</f>
        <v>20</v>
      </c>
      <c r="O1446" s="129" t="str">
        <f>IF(E1446&lt;&gt;"", _xlfn.XLOOKUP(E1446, DATABASE_FG!C:C, DATABASE_FG!F:F), " ")</f>
        <v>DBD.20</v>
      </c>
      <c r="P1446" s="129">
        <f>IFERROR(INDEX(DATABASE_FG!$G$5:$G$367, MATCH(E1446, DATABASE_FG!$C$5:$C$367, 0)), "Not Found")</f>
        <v>64</v>
      </c>
      <c r="Q1446" s="36">
        <v>60</v>
      </c>
      <c r="R1446" s="125" t="s">
        <v>678</v>
      </c>
      <c r="S1446" s="123">
        <f>IFERROR(INDEX(DATABASE_FG!$L$5:$L$367, MATCH(E1446, DATABASE_FG!$C$5:$C$367, 0)), " ")</f>
        <v>56</v>
      </c>
      <c r="T1446" s="36" t="s">
        <v>677</v>
      </c>
      <c r="U1446" s="36"/>
      <c r="V1446" s="36"/>
      <c r="W1446" s="129"/>
      <c r="X1446" s="36"/>
      <c r="Y1446" s="36"/>
      <c r="Z1446" s="36"/>
      <c r="AA1446" s="125" t="s">
        <v>121</v>
      </c>
      <c r="AB1446" s="173">
        <v>45807</v>
      </c>
      <c r="AC1446" s="119">
        <v>25852</v>
      </c>
      <c r="AD1446" s="36">
        <f>IF(NOT(ISBLANK(AC1446)), C1446, "")</f>
        <v>5500511019</v>
      </c>
      <c r="AE1446" s="36" t="str">
        <f t="shared" si="168"/>
        <v>R900305236</v>
      </c>
      <c r="AF1446" s="36">
        <v>41</v>
      </c>
      <c r="AG1446" s="120">
        <f>AF1446*H1446</f>
        <v>1698.6299999999999</v>
      </c>
      <c r="AH1446" s="36"/>
      <c r="AI1446" s="124"/>
      <c r="AJ1446" s="122" t="s">
        <v>3809</v>
      </c>
      <c r="AK1446" s="129" t="str">
        <f t="shared" ca="1" si="164"/>
        <v>On Time</v>
      </c>
      <c r="AL1446" s="268" t="str">
        <f t="shared" si="171"/>
        <v>October</v>
      </c>
      <c r="AM1446" s="133">
        <f>YEAR(Table1[[#This Row],[ETA
As requested
dd.mm.yyyy]])</f>
        <v>2025</v>
      </c>
    </row>
    <row r="1447" spans="1:40" hidden="1">
      <c r="A1447" s="123" t="s">
        <v>27</v>
      </c>
      <c r="B1447" s="36" t="s">
        <v>2464</v>
      </c>
      <c r="C1447" s="117">
        <v>5500511019</v>
      </c>
      <c r="D1447" s="165">
        <v>45446</v>
      </c>
      <c r="E1447" s="117" t="s">
        <v>40</v>
      </c>
      <c r="F1447" s="36" t="str">
        <f>IFERROR(VLOOKUP(Table1[[#This Row],[Part Number]],DATABASE_FG!$C$6:D11436,2,FALSE)," ")</f>
        <v>HOUSING            DBD.20G1X/</v>
      </c>
      <c r="G1447" s="117" t="str">
        <f>IFERROR(_xlfn.XLOOKUP(Table1[[#This Row],[Part Number]],Table3[Part number],Table3[Drawing
 Revision]),"")</f>
        <v>G</v>
      </c>
      <c r="H1447" s="118" cm="1">
        <f t="array" ref="H1447">IFERROR(INDEX(PDB!$C:$AT,MATCH(E1447,PDB!$B:$B,0),MATCH(YEAR(K1447),0+PDB!$C$1:$AT$1,0)),"")</f>
        <v>41.43</v>
      </c>
      <c r="I1447" s="36">
        <v>119</v>
      </c>
      <c r="J1447" s="125">
        <f>IFERROR(Table1[[#This Row],[Quantity]]*Table1[[#This Row],[Price/Unit
EUR]]," ")</f>
        <v>4930.17</v>
      </c>
      <c r="K1447" s="126">
        <v>45951</v>
      </c>
      <c r="L1447" s="36">
        <f>WEEKNUM(Table1[[#This Row],[ETA
As requested
dd.mm.yyyy]])</f>
        <v>43</v>
      </c>
      <c r="M1447" s="36">
        <f>YEAR(Table1[[#This Row],[ETA
As requested
dd.mm.yyyy]])</f>
        <v>2025</v>
      </c>
      <c r="N1447" s="36">
        <f>IFERROR(INDEX(DATABASE_FG!$H$5:$H$367, MATCH(E1447, DATABASE_FG!$C$5:$C$367, 0)), " ")</f>
        <v>20</v>
      </c>
      <c r="O1447" s="129" t="str">
        <f>IF(E1447&lt;&gt;"", _xlfn.XLOOKUP(E1447, DATABASE_FG!C:C, DATABASE_FG!F:F), " ")</f>
        <v>DBD.20</v>
      </c>
      <c r="P1447" s="129">
        <f>IFERROR(INDEX(DATABASE_FG!$G$5:$G$367, MATCH(E1447, DATABASE_FG!$C$5:$C$367, 0)), "Not Found")</f>
        <v>64</v>
      </c>
      <c r="Q1447" s="36">
        <v>60</v>
      </c>
      <c r="R1447" s="125" t="s">
        <v>678</v>
      </c>
      <c r="S1447" s="123">
        <f>Table1[[#This Row],[Quantity]]/48</f>
        <v>2.4791666666666665</v>
      </c>
      <c r="T1447" s="36"/>
      <c r="U1447" s="36"/>
      <c r="V1447" s="36"/>
      <c r="W1447" s="129"/>
      <c r="X1447" s="36"/>
      <c r="Y1447" s="36"/>
      <c r="Z1447" s="36"/>
      <c r="AA1447" s="125" t="s">
        <v>121</v>
      </c>
      <c r="AB1447" s="126">
        <v>45958</v>
      </c>
      <c r="AC1447" s="119">
        <v>251204</v>
      </c>
      <c r="AD1447" s="36">
        <f>IF(NOT(ISBLANK(AC1447)), C1447, "")</f>
        <v>5500511019</v>
      </c>
      <c r="AE1447" s="36" t="str">
        <f>IF(NOT(ISBLANK(AC1447)), E1447, "")</f>
        <v>R900305236</v>
      </c>
      <c r="AF1447" s="36">
        <v>119</v>
      </c>
      <c r="AG1447" s="120">
        <f>AF1447*H1447</f>
        <v>4930.17</v>
      </c>
      <c r="AH1447" s="36"/>
      <c r="AI1447" s="124"/>
      <c r="AJ1447" s="122" t="s">
        <v>4445</v>
      </c>
      <c r="AK1447" s="129" t="str">
        <f ca="1">IF(AB1447="", IF(K1447 &lt; TODAY(), "Late", ""), IF(AB1447 &lt;= K1447 + 2, "On Time", "Late"))</f>
        <v>Late</v>
      </c>
      <c r="AL1447" s="268" t="str">
        <f>TEXT(K1447,"mmmm")</f>
        <v>October</v>
      </c>
      <c r="AM1447" s="133">
        <f>YEAR(Table1[[#This Row],[ETA
As requested
dd.mm.yyyy]])</f>
        <v>2025</v>
      </c>
      <c r="AN1447" s="191"/>
    </row>
    <row r="1448" spans="1:40" hidden="1">
      <c r="A1448" s="123" t="s">
        <v>27</v>
      </c>
      <c r="B1448" s="36" t="s">
        <v>2464</v>
      </c>
      <c r="C1448" s="117">
        <v>5500511019</v>
      </c>
      <c r="D1448" s="165">
        <v>45446</v>
      </c>
      <c r="E1448" s="117" t="s">
        <v>40</v>
      </c>
      <c r="F1448" s="36" t="str">
        <f>IFERROR(VLOOKUP(Table1[[#This Row],[Part Number]],DATABASE_FG!$C$6:D11437,2,FALSE)," ")</f>
        <v>HOUSING            DBD.20G1X/</v>
      </c>
      <c r="G1448" s="117" t="str">
        <f>IFERROR(_xlfn.XLOOKUP(Table1[[#This Row],[Part Number]],Table3[Part number],Table3[Drawing
 Revision]),"")</f>
        <v>G</v>
      </c>
      <c r="H1448" s="118" cm="1">
        <f t="array" ref="H1448">IFERROR(INDEX(PDB!$C:$AT,MATCH(E1448,PDB!$B:$B,0),MATCH(YEAR(K1448),0+PDB!$C$1:$AT$1,0)),"")</f>
        <v>41.43</v>
      </c>
      <c r="I1448" s="36">
        <f>120-119</f>
        <v>1</v>
      </c>
      <c r="J1448" s="125">
        <f>IFERROR(Table1[[#This Row],[Quantity]]*Table1[[#This Row],[Price/Unit
EUR]]," ")</f>
        <v>41.43</v>
      </c>
      <c r="K1448" s="126">
        <v>45951</v>
      </c>
      <c r="L1448" s="36">
        <f>WEEKNUM(Table1[[#This Row],[ETA
As requested
dd.mm.yyyy]])</f>
        <v>43</v>
      </c>
      <c r="M1448" s="36">
        <f>YEAR(Table1[[#This Row],[ETA
As requested
dd.mm.yyyy]])</f>
        <v>2025</v>
      </c>
      <c r="N1448" s="36">
        <f>IFERROR(INDEX(DATABASE_FG!$H$5:$H$367, MATCH(E1448, DATABASE_FG!$C$5:$C$367, 0)), " ")</f>
        <v>20</v>
      </c>
      <c r="O1448" s="129" t="str">
        <f>IF(E1448&lt;&gt;"", _xlfn.XLOOKUP(E1448, DATABASE_FG!C:C, DATABASE_FG!F:F), " ")</f>
        <v>DBD.20</v>
      </c>
      <c r="P1448" s="129">
        <f>IFERROR(INDEX(DATABASE_FG!$G$5:$G$367, MATCH(E1448, DATABASE_FG!$C$5:$C$367, 0)), "Not Found")</f>
        <v>64</v>
      </c>
      <c r="Q1448" s="36">
        <v>60</v>
      </c>
      <c r="R1448" s="125" t="s">
        <v>678</v>
      </c>
      <c r="S1448" s="123">
        <f>IFERROR(INDEX(DATABASE_FG!$L$5:$L$367, MATCH(E1448, DATABASE_FG!$C$5:$C$367, 0)), " ")</f>
        <v>56</v>
      </c>
      <c r="T1448" s="36" t="s">
        <v>677</v>
      </c>
      <c r="U1448" s="36"/>
      <c r="V1448" s="36"/>
      <c r="W1448" s="129"/>
      <c r="X1448" s="36"/>
      <c r="Y1448" s="36"/>
      <c r="Z1448" s="36"/>
      <c r="AA1448" s="125" t="s">
        <v>121</v>
      </c>
      <c r="AB1448" s="126">
        <v>45961</v>
      </c>
      <c r="AC1448" s="119">
        <v>251220</v>
      </c>
      <c r="AD1448" s="36">
        <f>IF(NOT(ISBLANK(AC1448)), C1448, "")</f>
        <v>5500511019</v>
      </c>
      <c r="AE1448" s="36" t="str">
        <f t="shared" si="168"/>
        <v>R900305236</v>
      </c>
      <c r="AF1448">
        <v>1</v>
      </c>
      <c r="AG1448" s="120">
        <f>AF1448*H1448</f>
        <v>41.43</v>
      </c>
      <c r="AH1448" s="36"/>
      <c r="AI1448" s="124"/>
      <c r="AJ1448" s="122" t="s">
        <v>4483</v>
      </c>
      <c r="AK1448" s="129" t="str">
        <f ca="1">IF(AB1448="", IF(K1448 &lt; TODAY(), "Late", ""), IF(AB1448 &lt;= K1448 + 2, "On Time", "Late"))</f>
        <v>Late</v>
      </c>
      <c r="AL1448" s="268" t="str">
        <f t="shared" si="171"/>
        <v>October</v>
      </c>
      <c r="AM1448" s="133">
        <f>YEAR(Table1[[#This Row],[ETA
As requested
dd.mm.yyyy]])</f>
        <v>2025</v>
      </c>
    </row>
    <row r="1449" spans="1:40" hidden="1">
      <c r="A1449" s="123" t="s">
        <v>27</v>
      </c>
      <c r="B1449" s="36" t="s">
        <v>2464</v>
      </c>
      <c r="C1449" s="117">
        <v>5500511019</v>
      </c>
      <c r="D1449" s="165">
        <v>45446</v>
      </c>
      <c r="E1449" s="117" t="s">
        <v>40</v>
      </c>
      <c r="F1449" s="36" t="str">
        <f>IFERROR(VLOOKUP(Table1[[#This Row],[Part Number]],DATABASE_FG!$C$6:D11438,2,FALSE)," ")</f>
        <v>HOUSING            DBD.20G1X/</v>
      </c>
      <c r="G1449" s="117" t="str">
        <f>IFERROR(_xlfn.XLOOKUP(Table1[[#This Row],[Part Number]],Table3[Part number],Table3[Drawing
 Revision]),"")</f>
        <v>G</v>
      </c>
      <c r="H1449" s="118" cm="1">
        <f t="array" ref="H1449">IFERROR(INDEX(PDB!$C:$AT,MATCH(E1449,PDB!$B:$B,0),MATCH(YEAR(K1449),0+PDB!$C$1:$AT$1,0)),"")</f>
        <v>41.43</v>
      </c>
      <c r="I1449" s="36">
        <v>5</v>
      </c>
      <c r="J1449" s="125">
        <v>4996.8</v>
      </c>
      <c r="K1449" s="126">
        <v>45982</v>
      </c>
      <c r="L1449" s="36">
        <v>43</v>
      </c>
      <c r="M1449" s="36">
        <v>2025</v>
      </c>
      <c r="N1449" s="36">
        <v>20</v>
      </c>
      <c r="O1449" s="129" t="s">
        <v>39</v>
      </c>
      <c r="P1449" s="129">
        <v>64</v>
      </c>
      <c r="Q1449" s="36">
        <v>60</v>
      </c>
      <c r="R1449" s="125" t="s">
        <v>678</v>
      </c>
      <c r="S1449" s="123">
        <f>Table1[[#This Row],[Quantity]]/48</f>
        <v>0.10416666666666667</v>
      </c>
      <c r="T1449" s="36"/>
      <c r="U1449" s="36"/>
      <c r="V1449" s="36"/>
      <c r="W1449" s="129"/>
      <c r="X1449" s="36"/>
      <c r="Y1449" s="36"/>
      <c r="Z1449" s="36"/>
      <c r="AA1449" s="125" t="s">
        <v>121</v>
      </c>
      <c r="AB1449" s="126">
        <v>45961</v>
      </c>
      <c r="AC1449" s="119">
        <v>251220</v>
      </c>
      <c r="AD1449" s="36">
        <f>IF(NOT(ISBLANK(AC1449)), C1449, "")</f>
        <v>5500511019</v>
      </c>
      <c r="AE1449" s="36" t="str">
        <f>IF(NOT(ISBLANK(AC1449)), E1449, "")</f>
        <v>R900305236</v>
      </c>
      <c r="AF1449" s="36">
        <v>5</v>
      </c>
      <c r="AG1449" s="120">
        <f>AF1449*H1449</f>
        <v>207.15</v>
      </c>
      <c r="AH1449" s="36"/>
      <c r="AI1449" s="124"/>
      <c r="AJ1449" s="122" t="s">
        <v>4483</v>
      </c>
      <c r="AK1449" s="129" t="str">
        <f ca="1">IF(AB1449="", IF(K1449 &lt; TODAY(), "Late", ""), IF(AB1449 &lt;= K1449 + 2, "On Time", "Late"))</f>
        <v>On Time</v>
      </c>
      <c r="AL1449" s="268" t="str">
        <f>TEXT(K1449,"mmmm")</f>
        <v>November</v>
      </c>
      <c r="AM1449" s="133">
        <f>YEAR(Table1[[#This Row],[ETA
As requested
dd.mm.yyyy]])</f>
        <v>2025</v>
      </c>
      <c r="AN1449" s="191"/>
    </row>
    <row r="1450" spans="1:40" hidden="1">
      <c r="A1450" s="123" t="s">
        <v>27</v>
      </c>
      <c r="B1450" s="36" t="s">
        <v>2464</v>
      </c>
      <c r="C1450" s="117">
        <v>5500511019</v>
      </c>
      <c r="D1450" s="165">
        <v>45446</v>
      </c>
      <c r="E1450" s="117" t="s">
        <v>40</v>
      </c>
      <c r="F1450" s="36" t="str">
        <f>IFERROR(VLOOKUP(Table1[[#This Row],[Part Number]],DATABASE_FG!$C$6:D11439,2,FALSE)," ")</f>
        <v>HOUSING            DBD.20G1X/</v>
      </c>
      <c r="G1450" s="117" t="str">
        <f>IFERROR(_xlfn.XLOOKUP(Table1[[#This Row],[Part Number]],Table3[Part number],Table3[Drawing
 Revision]),"")</f>
        <v>G</v>
      </c>
      <c r="H1450" s="118" cm="1">
        <f t="array" ref="H1450">IFERROR(INDEX(PDB!$C:$AT,MATCH(E1450,PDB!$B:$B,0),MATCH(YEAR(K1450),0+PDB!$C$1:$AT$1,0)),"")</f>
        <v>41.43</v>
      </c>
      <c r="I1450" s="36">
        <f>120-5</f>
        <v>115</v>
      </c>
      <c r="J1450" s="125">
        <v>4996.8</v>
      </c>
      <c r="K1450" s="126">
        <v>45982</v>
      </c>
      <c r="L1450" s="36">
        <v>43</v>
      </c>
      <c r="M1450" s="36">
        <v>2025</v>
      </c>
      <c r="N1450" s="36">
        <v>20</v>
      </c>
      <c r="O1450" s="129" t="s">
        <v>39</v>
      </c>
      <c r="P1450" s="129">
        <v>64</v>
      </c>
      <c r="Q1450" s="36">
        <v>60</v>
      </c>
      <c r="R1450" s="125" t="s">
        <v>678</v>
      </c>
      <c r="S1450" s="123" t="s">
        <v>3</v>
      </c>
      <c r="T1450" s="36"/>
      <c r="U1450" s="36"/>
      <c r="V1450" s="36" t="s">
        <v>2720</v>
      </c>
      <c r="W1450" s="129" t="s">
        <v>2720</v>
      </c>
      <c r="X1450" s="36"/>
      <c r="Y1450" s="36">
        <v>0</v>
      </c>
      <c r="Z1450" s="36"/>
      <c r="AA1450" s="125" t="s">
        <v>3</v>
      </c>
      <c r="AB1450" s="173"/>
      <c r="AC1450" s="119"/>
      <c r="AD1450" s="36"/>
      <c r="AE1450" s="36" t="str">
        <f t="shared" si="168"/>
        <v/>
      </c>
      <c r="AF1450" s="36"/>
      <c r="AG1450" s="120">
        <f t="shared" si="167"/>
        <v>0</v>
      </c>
      <c r="AH1450" s="36"/>
      <c r="AI1450" s="124"/>
      <c r="AJ1450" s="122"/>
      <c r="AK1450" s="129" t="str">
        <f t="shared" ca="1" si="164"/>
        <v/>
      </c>
      <c r="AL1450" s="268" t="str">
        <f t="shared" si="171"/>
        <v>November</v>
      </c>
      <c r="AM1450" s="133">
        <f>YEAR(Table1[[#This Row],[ETA
As requested
dd.mm.yyyy]])</f>
        <v>2025</v>
      </c>
      <c r="AN1450" s="191"/>
    </row>
    <row r="1451" spans="1:40" hidden="1">
      <c r="A1451" s="123" t="s">
        <v>27</v>
      </c>
      <c r="B1451" s="36" t="s">
        <v>2464</v>
      </c>
      <c r="C1451" s="117">
        <v>5500511019</v>
      </c>
      <c r="D1451" s="165">
        <v>45446</v>
      </c>
      <c r="E1451" s="117" t="s">
        <v>40</v>
      </c>
      <c r="F1451" s="36" t="str">
        <f>IFERROR(VLOOKUP(Table1[[#This Row],[Part Number]],DATABASE_FG!$C$6:D11440,2,FALSE)," ")</f>
        <v>HOUSING            DBD.20G1X/</v>
      </c>
      <c r="G1451" s="117" t="str">
        <f>IFERROR(_xlfn.XLOOKUP(Table1[[#This Row],[Part Number]],Table3[Part number],Table3[Drawing
 Revision]),"")</f>
        <v>G</v>
      </c>
      <c r="H1451" s="118" cm="1">
        <f t="array" ref="H1451">IFERROR(INDEX(PDB!$C:$AT,MATCH(E1451,PDB!$B:$B,0),MATCH(YEAR(K1451),0+PDB!$C$1:$AT$1,0)),"")</f>
        <v>41.43</v>
      </c>
      <c r="I1451" s="36">
        <v>180</v>
      </c>
      <c r="J1451" s="125">
        <v>7495.2</v>
      </c>
      <c r="K1451" s="126">
        <v>46008</v>
      </c>
      <c r="L1451" s="36">
        <v>51</v>
      </c>
      <c r="M1451" s="36">
        <v>2025</v>
      </c>
      <c r="N1451" s="36">
        <v>20</v>
      </c>
      <c r="O1451" s="129" t="s">
        <v>39</v>
      </c>
      <c r="P1451" s="129">
        <v>64</v>
      </c>
      <c r="Q1451" s="36">
        <v>60</v>
      </c>
      <c r="R1451" s="125" t="s">
        <v>678</v>
      </c>
      <c r="S1451" s="123" t="s">
        <v>3</v>
      </c>
      <c r="T1451" s="36"/>
      <c r="U1451" s="36"/>
      <c r="V1451" s="36" t="s">
        <v>2720</v>
      </c>
      <c r="W1451" s="129" t="s">
        <v>2720</v>
      </c>
      <c r="X1451" s="36"/>
      <c r="Y1451" s="36">
        <v>0</v>
      </c>
      <c r="Z1451" s="36"/>
      <c r="AA1451" s="125" t="s">
        <v>3</v>
      </c>
      <c r="AB1451" s="173"/>
      <c r="AC1451" s="119"/>
      <c r="AD1451" s="36"/>
      <c r="AE1451" s="36" t="str">
        <f t="shared" si="168"/>
        <v/>
      </c>
      <c r="AF1451" s="36"/>
      <c r="AG1451" s="120">
        <f t="shared" si="167"/>
        <v>0</v>
      </c>
      <c r="AH1451" s="36"/>
      <c r="AI1451" s="124"/>
      <c r="AJ1451" s="122"/>
      <c r="AK1451" s="129" t="str">
        <f t="shared" ref="AK1451:AK1514" ca="1" si="172">IF(AB1451="", IF(K1451 &lt; TODAY(), "Late", ""), IF(AB1451 &lt;= K1451 + 2, "On Time", "Late"))</f>
        <v/>
      </c>
      <c r="AL1451" s="268" t="str">
        <f t="shared" si="171"/>
        <v>December</v>
      </c>
      <c r="AM1451" s="133">
        <f>YEAR(Table1[[#This Row],[ETA
As requested
dd.mm.yyyy]])</f>
        <v>2025</v>
      </c>
      <c r="AN1451" s="191"/>
    </row>
    <row r="1452" spans="1:40" hidden="1">
      <c r="A1452" s="123" t="s">
        <v>27</v>
      </c>
      <c r="B1452" s="36" t="s">
        <v>2464</v>
      </c>
      <c r="C1452" s="117">
        <v>5500511019</v>
      </c>
      <c r="D1452" s="165">
        <v>45446</v>
      </c>
      <c r="E1452" s="117" t="s">
        <v>40</v>
      </c>
      <c r="F1452" s="36" t="str">
        <f>IFERROR(VLOOKUP(Table1[[#This Row],[Part Number]],DATABASE_FG!$C$6:D11441,2,FALSE)," ")</f>
        <v>HOUSING            DBD.20G1X/</v>
      </c>
      <c r="G1452" s="117" t="str">
        <f>IFERROR(_xlfn.XLOOKUP(Table1[[#This Row],[Part Number]],Table3[Part number],Table3[Drawing
 Revision]),"")</f>
        <v>G</v>
      </c>
      <c r="H1452" s="118" cm="1">
        <f t="array" ref="H1452">IFERROR(INDEX(PDB!$C:$AT,MATCH(E1452,PDB!$B:$B,0),MATCH(YEAR(K1452),0+PDB!$C$1:$AT$1,0)),"")</f>
        <v>0</v>
      </c>
      <c r="I1452" s="36">
        <v>180</v>
      </c>
      <c r="J1452" s="125">
        <f>IFERROR(Table1[[#This Row],[Quantity]]*Table1[[#This Row],[Price/Unit
EUR]]," ")</f>
        <v>0</v>
      </c>
      <c r="K1452" s="126">
        <v>46087</v>
      </c>
      <c r="L1452" s="36">
        <f>WEEKNUM(Table1[[#This Row],[ETA
As requested
dd.mm.yyyy]])</f>
        <v>10</v>
      </c>
      <c r="M1452" s="36">
        <f>YEAR(Table1[[#This Row],[ETA
As requested
dd.mm.yyyy]])</f>
        <v>2026</v>
      </c>
      <c r="N1452" s="36">
        <f>IFERROR(INDEX(DATABASE_FG!$H$5:$H$367, MATCH(E1452, DATABASE_FG!$C$5:$C$367, 0)), " ")</f>
        <v>20</v>
      </c>
      <c r="O1452" s="129" t="str">
        <f>IF(E1452&lt;&gt;"", _xlfn.XLOOKUP(E1452, DATABASE_FG!C:C, DATABASE_FG!F:F), " ")</f>
        <v>DBD.20</v>
      </c>
      <c r="P1452" s="129">
        <f>IFERROR(INDEX(DATABASE_FG!$G$5:$G$367, MATCH(E1452, DATABASE_FG!$C$5:$C$367, 0)), "Not Found")</f>
        <v>64</v>
      </c>
      <c r="Q1452" s="36">
        <v>60</v>
      </c>
      <c r="R1452" s="125" t="s">
        <v>678</v>
      </c>
      <c r="S1452" s="123">
        <f>IFERROR(INDEX(DATABASE_FG!$L$5:$L$367, MATCH(E1452, DATABASE_FG!$C$5:$C$367, 0)), " ")</f>
        <v>56</v>
      </c>
      <c r="T1452" s="36" t="s">
        <v>677</v>
      </c>
      <c r="U1452" s="36"/>
      <c r="V1452" s="36"/>
      <c r="W1452" s="129"/>
      <c r="X1452" s="36"/>
      <c r="Y1452" s="36"/>
      <c r="Z1452" s="36"/>
      <c r="AA1452" s="125" t="s">
        <v>3</v>
      </c>
      <c r="AB1452" s="173"/>
      <c r="AC1452" s="119"/>
      <c r="AD1452" s="36" t="str">
        <f t="shared" ref="AD1452:AD1469" si="173">IF(NOT(ISBLANK(AC1452)), C1452, "")</f>
        <v/>
      </c>
      <c r="AE1452" s="36" t="str">
        <f t="shared" si="168"/>
        <v/>
      </c>
      <c r="AF1452" s="36"/>
      <c r="AG1452" s="120">
        <f t="shared" si="167"/>
        <v>0</v>
      </c>
      <c r="AH1452" s="36"/>
      <c r="AI1452" s="124"/>
      <c r="AJ1452" s="122"/>
      <c r="AK1452" s="129" t="str">
        <f t="shared" ca="1" si="172"/>
        <v/>
      </c>
      <c r="AL1452" s="268" t="str">
        <f t="shared" si="171"/>
        <v>March</v>
      </c>
      <c r="AM1452" s="133">
        <f>YEAR(Table1[[#This Row],[ETA
As requested
dd.mm.yyyy]])</f>
        <v>2026</v>
      </c>
    </row>
    <row r="1453" spans="1:40" hidden="1">
      <c r="A1453" s="123" t="s">
        <v>27</v>
      </c>
      <c r="B1453" s="36" t="s">
        <v>1170</v>
      </c>
      <c r="C1453" s="117">
        <v>5500511020</v>
      </c>
      <c r="D1453" s="165">
        <v>45446</v>
      </c>
      <c r="E1453" s="117" t="s">
        <v>670</v>
      </c>
      <c r="F1453" s="36" t="str">
        <f>IFERROR(VLOOKUP(Table1[[#This Row],[Part Number]],DATABASE_FG!$C$6:D11442,2,FALSE)," ")</f>
        <v>HOUSING            DBD.20P1X/</v>
      </c>
      <c r="G1453" s="117" t="str">
        <f>IFERROR(_xlfn.XLOOKUP(Table1[[#This Row],[Part Number]],Table3[Part number],Table3[Drawing
 Revision]),"")</f>
        <v>AF</v>
      </c>
      <c r="H1453" s="118" cm="1">
        <f t="array" ref="H1453">IFERROR(INDEX(PDB!$C:$AT,MATCH(E1453,PDB!$B:$B,0),MATCH(YEAR(K1453),0+PDB!$C$1:$AT$1,0)),"")</f>
        <v>45.32</v>
      </c>
      <c r="I1453" s="36">
        <v>50</v>
      </c>
      <c r="J1453" s="125">
        <f>IFERROR(Table1[[#This Row],[Quantity]]*Table1[[#This Row],[Price/Unit
EUR]]," ")</f>
        <v>2266</v>
      </c>
      <c r="K1453" s="126">
        <v>45582</v>
      </c>
      <c r="L1453" s="36">
        <f>WEEKNUM(Table1[[#This Row],[ETA
As requested
dd.mm.yyyy]])</f>
        <v>42</v>
      </c>
      <c r="M1453" s="36">
        <f>YEAR(Table1[[#This Row],[ETA
As requested
dd.mm.yyyy]])</f>
        <v>2024</v>
      </c>
      <c r="N1453" s="36">
        <f>IFERROR(INDEX(DATABASE_FG!$H$5:$H$367, MATCH(E1453, DATABASE_FG!$C$5:$C$367, 0)), " ")</f>
        <v>71</v>
      </c>
      <c r="O1453" s="129" t="str">
        <f>IF(E1453&lt;&gt;"", _xlfn.XLOOKUP(E1453, DATABASE_FG!C:C, DATABASE_FG!F:F), " ")</f>
        <v>DBD.20</v>
      </c>
      <c r="P1453" s="129">
        <f>IFERROR(INDEX(DATABASE_FG!$G$5:$G$367, MATCH(E1453, DATABASE_FG!$C$5:$C$367, 0)), "Not Found")</f>
        <v>64</v>
      </c>
      <c r="Q1453" s="36">
        <v>60</v>
      </c>
      <c r="R1453" s="125" t="s">
        <v>678</v>
      </c>
      <c r="S1453" s="123">
        <f>IFERROR(INDEX(DATABASE_FG!$L$5:$L$367, MATCH(E1453, DATABASE_FG!$C$5:$C$367, 0)), " ")</f>
        <v>56</v>
      </c>
      <c r="T1453" s="36" t="s">
        <v>677</v>
      </c>
      <c r="U1453" s="36"/>
      <c r="V1453" s="36"/>
      <c r="W1453" s="129"/>
      <c r="X1453" s="36"/>
      <c r="Y1453" s="36"/>
      <c r="Z1453" s="36"/>
      <c r="AA1453" s="125" t="s">
        <v>121</v>
      </c>
      <c r="AB1453" s="172">
        <v>45583</v>
      </c>
      <c r="AC1453" s="119">
        <v>202401255</v>
      </c>
      <c r="AD1453" s="36">
        <f t="shared" si="173"/>
        <v>5500511020</v>
      </c>
      <c r="AE1453" s="36" t="str">
        <f t="shared" si="168"/>
        <v>R900305239</v>
      </c>
      <c r="AF1453" s="36">
        <v>50</v>
      </c>
      <c r="AG1453" s="120">
        <f t="shared" si="167"/>
        <v>2266</v>
      </c>
      <c r="AH1453" s="36"/>
      <c r="AI1453" s="124"/>
      <c r="AJ1453" s="122" t="s">
        <v>2481</v>
      </c>
      <c r="AK1453" s="129" t="str">
        <f t="shared" ca="1" si="172"/>
        <v>On Time</v>
      </c>
      <c r="AL1453" s="268" t="str">
        <f t="shared" si="171"/>
        <v>October</v>
      </c>
      <c r="AM1453" s="133">
        <f>YEAR(Table1[[#This Row],[ETA
As requested
dd.mm.yyyy]])</f>
        <v>2024</v>
      </c>
    </row>
    <row r="1454" spans="1:40" hidden="1">
      <c r="A1454" s="123" t="s">
        <v>27</v>
      </c>
      <c r="B1454" s="36" t="s">
        <v>1170</v>
      </c>
      <c r="C1454" s="117">
        <v>5500511020</v>
      </c>
      <c r="D1454" s="165">
        <v>45446</v>
      </c>
      <c r="E1454" s="117" t="s">
        <v>670</v>
      </c>
      <c r="F1454" s="36" t="str">
        <f>IFERROR(VLOOKUP(Table1[[#This Row],[Part Number]],DATABASE_FG!$C$6:D11443,2,FALSE)," ")</f>
        <v>HOUSING            DBD.20P1X/</v>
      </c>
      <c r="G1454" s="117" t="str">
        <f>IFERROR(_xlfn.XLOOKUP(Table1[[#This Row],[Part Number]],Table3[Part number],Table3[Drawing
 Revision]),"")</f>
        <v>AF</v>
      </c>
      <c r="H1454" s="118" cm="1">
        <f t="array" ref="H1454">IFERROR(INDEX(PDB!$C:$AT,MATCH(E1454,PDB!$B:$B,0),MATCH(YEAR(K1454),0+PDB!$C$1:$AT$1,0)),"")</f>
        <v>45.32</v>
      </c>
      <c r="I1454" s="36">
        <v>33</v>
      </c>
      <c r="J1454" s="125">
        <f>IFERROR(Table1[[#This Row],[Quantity]]*Table1[[#This Row],[Price/Unit
EUR]]," ")</f>
        <v>1495.56</v>
      </c>
      <c r="K1454" s="126">
        <v>45582</v>
      </c>
      <c r="L1454" s="36">
        <f>WEEKNUM(Table1[[#This Row],[ETA
As requested
dd.mm.yyyy]])</f>
        <v>42</v>
      </c>
      <c r="M1454" s="36">
        <f>YEAR(Table1[[#This Row],[ETA
As requested
dd.mm.yyyy]])</f>
        <v>2024</v>
      </c>
      <c r="N1454" s="36">
        <f>IFERROR(INDEX(DATABASE_FG!$H$5:$H$367, MATCH(E1454, DATABASE_FG!$C$5:$C$367, 0)), " ")</f>
        <v>71</v>
      </c>
      <c r="O1454" s="129" t="str">
        <f>IF(E1454&lt;&gt;"", _xlfn.XLOOKUP(E1454, DATABASE_FG!C:C, DATABASE_FG!F:F), " ")</f>
        <v>DBD.20</v>
      </c>
      <c r="P1454" s="129">
        <f>IFERROR(INDEX(DATABASE_FG!$G$5:$G$367, MATCH(E1454, DATABASE_FG!$C$5:$C$367, 0)), "Not Found")</f>
        <v>64</v>
      </c>
      <c r="Q1454" s="36">
        <v>60</v>
      </c>
      <c r="R1454" s="125" t="s">
        <v>678</v>
      </c>
      <c r="S1454" s="123">
        <f>IFERROR(INDEX(DATABASE_FG!$L$5:$L$367, MATCH(E1454, DATABASE_FG!$C$5:$C$367, 0)), " ")</f>
        <v>56</v>
      </c>
      <c r="T1454" s="36" t="s">
        <v>677</v>
      </c>
      <c r="U1454" s="36"/>
      <c r="V1454" s="36"/>
      <c r="W1454" s="129"/>
      <c r="X1454" s="36"/>
      <c r="Y1454" s="36"/>
      <c r="Z1454" s="36"/>
      <c r="AA1454" s="125" t="s">
        <v>121</v>
      </c>
      <c r="AB1454" s="172">
        <v>45583</v>
      </c>
      <c r="AC1454" s="119">
        <v>202401255</v>
      </c>
      <c r="AD1454" s="36">
        <f t="shared" si="173"/>
        <v>5500511020</v>
      </c>
      <c r="AE1454" s="36" t="str">
        <f t="shared" si="168"/>
        <v>R900305239</v>
      </c>
      <c r="AF1454" s="36">
        <v>33</v>
      </c>
      <c r="AG1454" s="120">
        <f t="shared" si="167"/>
        <v>1495.56</v>
      </c>
      <c r="AH1454" s="36"/>
      <c r="AI1454" s="124"/>
      <c r="AJ1454" s="122" t="s">
        <v>2481</v>
      </c>
      <c r="AK1454" s="129" t="str">
        <f t="shared" ca="1" si="172"/>
        <v>On Time</v>
      </c>
      <c r="AL1454" s="268" t="str">
        <f t="shared" si="171"/>
        <v>October</v>
      </c>
      <c r="AM1454" s="133">
        <f>YEAR(Table1[[#This Row],[ETA
As requested
dd.mm.yyyy]])</f>
        <v>2024</v>
      </c>
    </row>
    <row r="1455" spans="1:40" hidden="1">
      <c r="A1455" s="123" t="s">
        <v>27</v>
      </c>
      <c r="B1455" s="36" t="s">
        <v>1170</v>
      </c>
      <c r="C1455" s="117">
        <v>5500511020</v>
      </c>
      <c r="D1455" s="165">
        <v>45446</v>
      </c>
      <c r="E1455" s="117" t="s">
        <v>670</v>
      </c>
      <c r="F1455" s="36" t="str">
        <f>IFERROR(VLOOKUP(Table1[[#This Row],[Part Number]],DATABASE_FG!$C$6:D11444,2,FALSE)," ")</f>
        <v>HOUSING            DBD.20P1X/</v>
      </c>
      <c r="G1455" s="117" t="str">
        <f>IFERROR(_xlfn.XLOOKUP(Table1[[#This Row],[Part Number]],Table3[Part number],Table3[Drawing
 Revision]),"")</f>
        <v>AF</v>
      </c>
      <c r="H1455" s="118" cm="1">
        <f t="array" ref="H1455">IFERROR(INDEX(PDB!$C:$AT,MATCH(E1455,PDB!$B:$B,0),MATCH(YEAR(K1455),0+PDB!$C$1:$AT$1,0)),"")</f>
        <v>45.32</v>
      </c>
      <c r="I1455" s="36">
        <v>16</v>
      </c>
      <c r="J1455" s="125">
        <f>IFERROR(Table1[[#This Row],[Quantity]]*Table1[[#This Row],[Price/Unit
EUR]]," ")</f>
        <v>725.12</v>
      </c>
      <c r="K1455" s="126">
        <v>45582</v>
      </c>
      <c r="L1455" s="36">
        <f>WEEKNUM(Table1[[#This Row],[ETA
As requested
dd.mm.yyyy]])</f>
        <v>42</v>
      </c>
      <c r="M1455" s="36">
        <f>YEAR(Table1[[#This Row],[ETA
As requested
dd.mm.yyyy]])</f>
        <v>2024</v>
      </c>
      <c r="N1455" s="36">
        <f>IFERROR(INDEX(DATABASE_FG!$H$5:$H$367, MATCH(E1455, DATABASE_FG!$C$5:$C$367, 0)), " ")</f>
        <v>71</v>
      </c>
      <c r="O1455" s="129" t="str">
        <f>IF(E1455&lt;&gt;"", _xlfn.XLOOKUP(E1455, DATABASE_FG!C:C, DATABASE_FG!F:F), " ")</f>
        <v>DBD.20</v>
      </c>
      <c r="P1455" s="129">
        <f>IFERROR(INDEX(DATABASE_FG!$G$5:$G$367, MATCH(E1455, DATABASE_FG!$C$5:$C$367, 0)), "Not Found")</f>
        <v>64</v>
      </c>
      <c r="Q1455" s="36">
        <v>60</v>
      </c>
      <c r="R1455" s="125" t="s">
        <v>678</v>
      </c>
      <c r="S1455" s="123">
        <f>IFERROR(INDEX(DATABASE_FG!$L$5:$L$367, MATCH(E1455, DATABASE_FG!$C$5:$C$367, 0)), " ")</f>
        <v>56</v>
      </c>
      <c r="T1455" s="36" t="s">
        <v>677</v>
      </c>
      <c r="U1455" s="36"/>
      <c r="V1455" s="36"/>
      <c r="W1455" s="129"/>
      <c r="X1455" s="36"/>
      <c r="Y1455" s="36"/>
      <c r="Z1455" s="36"/>
      <c r="AA1455" s="125" t="s">
        <v>121</v>
      </c>
      <c r="AB1455" s="172">
        <v>45593</v>
      </c>
      <c r="AC1455" s="119">
        <v>202401285</v>
      </c>
      <c r="AD1455" s="36">
        <f t="shared" si="173"/>
        <v>5500511020</v>
      </c>
      <c r="AE1455" s="36" t="str">
        <f t="shared" si="168"/>
        <v>R900305239</v>
      </c>
      <c r="AF1455" s="36">
        <v>16</v>
      </c>
      <c r="AG1455" s="120">
        <f t="shared" si="167"/>
        <v>725.12</v>
      </c>
      <c r="AH1455" s="36"/>
      <c r="AI1455" s="124"/>
      <c r="AJ1455" s="122" t="s">
        <v>2482</v>
      </c>
      <c r="AK1455" s="129" t="str">
        <f t="shared" ca="1" si="172"/>
        <v>Late</v>
      </c>
      <c r="AL1455" s="268" t="str">
        <f t="shared" si="171"/>
        <v>October</v>
      </c>
      <c r="AM1455" s="133">
        <f>YEAR(Table1[[#This Row],[ETA
As requested
dd.mm.yyyy]])</f>
        <v>2024</v>
      </c>
    </row>
    <row r="1456" spans="1:40" hidden="1">
      <c r="A1456" s="123" t="s">
        <v>27</v>
      </c>
      <c r="B1456" s="36" t="s">
        <v>1170</v>
      </c>
      <c r="C1456" s="117">
        <v>5500511020</v>
      </c>
      <c r="D1456" s="165">
        <v>45446</v>
      </c>
      <c r="E1456" s="117" t="s">
        <v>670</v>
      </c>
      <c r="F1456" s="36" t="str">
        <f>IFERROR(VLOOKUP(Table1[[#This Row],[Part Number]],DATABASE_FG!$C$6:D11445,2,FALSE)," ")</f>
        <v>HOUSING            DBD.20P1X/</v>
      </c>
      <c r="G1456" s="117" t="str">
        <f>IFERROR(_xlfn.XLOOKUP(Table1[[#This Row],[Part Number]],Table3[Part number],Table3[Drawing
 Revision]),"")</f>
        <v>AF</v>
      </c>
      <c r="H1456" s="118" cm="1">
        <f t="array" ref="H1456">IFERROR(INDEX(PDB!$C:$AT,MATCH(E1456,PDB!$B:$B,0),MATCH(YEAR(K1456),0+PDB!$C$1:$AT$1,0)),"")</f>
        <v>45.32</v>
      </c>
      <c r="I1456" s="36">
        <v>1</v>
      </c>
      <c r="J1456" s="125">
        <f>IFERROR(Table1[[#This Row],[Quantity]]*Table1[[#This Row],[Price/Unit
EUR]]," ")</f>
        <v>45.32</v>
      </c>
      <c r="K1456" s="126">
        <v>45582</v>
      </c>
      <c r="L1456" s="36">
        <f>WEEKNUM(Table1[[#This Row],[ETA
As requested
dd.mm.yyyy]])</f>
        <v>42</v>
      </c>
      <c r="M1456" s="36">
        <f>YEAR(Table1[[#This Row],[ETA
As requested
dd.mm.yyyy]])</f>
        <v>2024</v>
      </c>
      <c r="N1456" s="36">
        <f>IFERROR(INDEX(DATABASE_FG!$H$5:$H$367, MATCH(E1456, DATABASE_FG!$C$5:$C$367, 0)), " ")</f>
        <v>71</v>
      </c>
      <c r="O1456" s="129" t="str">
        <f>IF(E1456&lt;&gt;"", _xlfn.XLOOKUP(E1456, DATABASE_FG!C:C, DATABASE_FG!F:F), " ")</f>
        <v>DBD.20</v>
      </c>
      <c r="P1456" s="129">
        <f>IFERROR(INDEX(DATABASE_FG!$G$5:$G$367, MATCH(E1456, DATABASE_FG!$C$5:$C$367, 0)), "Not Found")</f>
        <v>64</v>
      </c>
      <c r="Q1456" s="36">
        <v>60</v>
      </c>
      <c r="R1456" s="125" t="s">
        <v>678</v>
      </c>
      <c r="S1456" s="123">
        <f>IFERROR(INDEX(DATABASE_FG!$L$5:$L$367, MATCH(E1456, DATABASE_FG!$C$5:$C$367, 0)), " ")</f>
        <v>56</v>
      </c>
      <c r="T1456" s="36" t="s">
        <v>677</v>
      </c>
      <c r="U1456" s="36"/>
      <c r="V1456" s="36"/>
      <c r="W1456" s="129"/>
      <c r="X1456" s="36"/>
      <c r="Y1456" s="36"/>
      <c r="Z1456" s="36"/>
      <c r="AA1456" s="125" t="s">
        <v>121</v>
      </c>
      <c r="AB1456" s="173">
        <v>45604</v>
      </c>
      <c r="AC1456" s="119">
        <v>202401353</v>
      </c>
      <c r="AD1456" s="36">
        <f t="shared" si="173"/>
        <v>5500511020</v>
      </c>
      <c r="AE1456" s="36" t="str">
        <f t="shared" si="168"/>
        <v>R900305239</v>
      </c>
      <c r="AF1456" s="36">
        <v>1</v>
      </c>
      <c r="AG1456" s="120">
        <f t="shared" si="167"/>
        <v>45.32</v>
      </c>
      <c r="AH1456" s="36"/>
      <c r="AI1456" s="124"/>
      <c r="AJ1456" s="122" t="s">
        <v>2483</v>
      </c>
      <c r="AK1456" s="129" t="str">
        <f t="shared" ca="1" si="172"/>
        <v>Late</v>
      </c>
      <c r="AL1456" s="268" t="str">
        <f t="shared" si="171"/>
        <v>October</v>
      </c>
      <c r="AM1456" s="133">
        <f>YEAR(Table1[[#This Row],[ETA
As requested
dd.mm.yyyy]])</f>
        <v>2024</v>
      </c>
    </row>
    <row r="1457" spans="1:40" hidden="1">
      <c r="A1457" s="123" t="s">
        <v>27</v>
      </c>
      <c r="B1457" s="36" t="s">
        <v>1170</v>
      </c>
      <c r="C1457" s="117">
        <v>5500511020</v>
      </c>
      <c r="D1457" s="165">
        <v>45446</v>
      </c>
      <c r="E1457" s="117" t="s">
        <v>670</v>
      </c>
      <c r="F1457" s="36" t="str">
        <f>IFERROR(VLOOKUP(Table1[[#This Row],[Part Number]],DATABASE_FG!$C$6:D11446,2,FALSE)," ")</f>
        <v>HOUSING            DBD.20P1X/</v>
      </c>
      <c r="G1457" s="117" t="str">
        <f>IFERROR(_xlfn.XLOOKUP(Table1[[#This Row],[Part Number]],Table3[Part number],Table3[Drawing
 Revision]),"")</f>
        <v>AF</v>
      </c>
      <c r="H1457" s="118" cm="1">
        <f t="array" ref="H1457">IFERROR(INDEX(PDB!$C:$AT,MATCH(E1457,PDB!$B:$B,0),MATCH(YEAR(K1457),0+PDB!$C$1:$AT$1,0)),"")</f>
        <v>45.32</v>
      </c>
      <c r="I1457" s="36">
        <v>14</v>
      </c>
      <c r="J1457" s="125">
        <f>IFERROR(Table1[[#This Row],[Quantity]]*Table1[[#This Row],[Price/Unit
EUR]]," ")</f>
        <v>634.48</v>
      </c>
      <c r="K1457" s="126">
        <v>45582</v>
      </c>
      <c r="L1457" s="36">
        <f>WEEKNUM(Table1[[#This Row],[ETA
As requested
dd.mm.yyyy]])</f>
        <v>42</v>
      </c>
      <c r="M1457" s="36">
        <f>YEAR(Table1[[#This Row],[ETA
As requested
dd.mm.yyyy]])</f>
        <v>2024</v>
      </c>
      <c r="N1457" s="36">
        <f>IFERROR(INDEX(DATABASE_FG!$H$5:$H$367, MATCH(E1457, DATABASE_FG!$C$5:$C$367, 0)), " ")</f>
        <v>71</v>
      </c>
      <c r="O1457" s="129" t="str">
        <f>IF(E1457&lt;&gt;"", _xlfn.XLOOKUP(E1457, DATABASE_FG!C:C, DATABASE_FG!F:F), " ")</f>
        <v>DBD.20</v>
      </c>
      <c r="P1457" s="129">
        <f>IFERROR(INDEX(DATABASE_FG!$G$5:$G$367, MATCH(E1457, DATABASE_FG!$C$5:$C$367, 0)), "Not Found")</f>
        <v>64</v>
      </c>
      <c r="Q1457" s="36">
        <v>60</v>
      </c>
      <c r="R1457" s="125" t="s">
        <v>678</v>
      </c>
      <c r="S1457" s="123">
        <f>IFERROR(INDEX(DATABASE_FG!$L$5:$L$367, MATCH(E1457, DATABASE_FG!$C$5:$C$367, 0)), " ")</f>
        <v>56</v>
      </c>
      <c r="T1457" s="36" t="s">
        <v>677</v>
      </c>
      <c r="U1457" s="36"/>
      <c r="V1457" s="36"/>
      <c r="W1457" s="129"/>
      <c r="X1457" s="36"/>
      <c r="Y1457" s="36"/>
      <c r="Z1457" s="36"/>
      <c r="AA1457" s="125" t="s">
        <v>121</v>
      </c>
      <c r="AB1457" s="173">
        <v>45604</v>
      </c>
      <c r="AC1457" s="119">
        <v>202401353</v>
      </c>
      <c r="AD1457" s="36">
        <f t="shared" si="173"/>
        <v>5500511020</v>
      </c>
      <c r="AE1457" s="36" t="str">
        <f t="shared" si="168"/>
        <v>R900305239</v>
      </c>
      <c r="AF1457" s="36">
        <v>14</v>
      </c>
      <c r="AG1457" s="120">
        <f t="shared" si="167"/>
        <v>634.48</v>
      </c>
      <c r="AH1457" s="36"/>
      <c r="AI1457" s="124"/>
      <c r="AJ1457" s="122" t="s">
        <v>2483</v>
      </c>
      <c r="AK1457" s="129" t="str">
        <f t="shared" ca="1" si="172"/>
        <v>Late</v>
      </c>
      <c r="AL1457" s="268" t="str">
        <f t="shared" si="171"/>
        <v>October</v>
      </c>
      <c r="AM1457" s="133">
        <f>YEAR(Table1[[#This Row],[ETA
As requested
dd.mm.yyyy]])</f>
        <v>2024</v>
      </c>
    </row>
    <row r="1458" spans="1:40" hidden="1">
      <c r="A1458" s="123" t="s">
        <v>27</v>
      </c>
      <c r="B1458" s="36" t="s">
        <v>1170</v>
      </c>
      <c r="C1458" s="117">
        <v>5500511020</v>
      </c>
      <c r="D1458" s="165">
        <v>45446</v>
      </c>
      <c r="E1458" s="117" t="s">
        <v>670</v>
      </c>
      <c r="F1458" s="36" t="str">
        <f>IFERROR(VLOOKUP(Table1[[#This Row],[Part Number]],DATABASE_FG!$C$6:D11447,2,FALSE)," ")</f>
        <v>HOUSING            DBD.20P1X/</v>
      </c>
      <c r="G1458" s="117" t="str">
        <f>IFERROR(_xlfn.XLOOKUP(Table1[[#This Row],[Part Number]],Table3[Part number],Table3[Drawing
 Revision]),"")</f>
        <v>AF</v>
      </c>
      <c r="H1458" s="118" cm="1">
        <f t="array" ref="H1458">IFERROR(INDEX(PDB!$C:$AT,MATCH(E1458,PDB!$B:$B,0),MATCH(YEAR(K1458),0+PDB!$C$1:$AT$1,0)),"")</f>
        <v>45.32</v>
      </c>
      <c r="I1458" s="36">
        <v>12</v>
      </c>
      <c r="J1458" s="125">
        <f>IFERROR(Table1[[#This Row],[Quantity]]*Table1[[#This Row],[Price/Unit
EUR]]," ")</f>
        <v>543.84</v>
      </c>
      <c r="K1458" s="126">
        <v>45613</v>
      </c>
      <c r="L1458" s="36">
        <f>WEEKNUM(Table1[[#This Row],[ETA
As requested
dd.mm.yyyy]])</f>
        <v>47</v>
      </c>
      <c r="M1458" s="36">
        <f>YEAR(Table1[[#This Row],[ETA
As requested
dd.mm.yyyy]])</f>
        <v>2024</v>
      </c>
      <c r="N1458" s="36">
        <f>IFERROR(INDEX(DATABASE_FG!$H$5:$H$367, MATCH(E1458, DATABASE_FG!$C$5:$C$367, 0)), " ")</f>
        <v>71</v>
      </c>
      <c r="O1458" s="129" t="str">
        <f>IF(E1458&lt;&gt;"", _xlfn.XLOOKUP(E1458, DATABASE_FG!C:C, DATABASE_FG!F:F), " ")</f>
        <v>DBD.20</v>
      </c>
      <c r="P1458" s="129">
        <f>IFERROR(INDEX(DATABASE_FG!$G$5:$G$367, MATCH(E1458, DATABASE_FG!$C$5:$C$367, 0)), "Not Found")</f>
        <v>64</v>
      </c>
      <c r="Q1458" s="36">
        <v>60</v>
      </c>
      <c r="R1458" s="125" t="s">
        <v>678</v>
      </c>
      <c r="S1458" s="123">
        <f>IFERROR(INDEX(DATABASE_FG!$L$5:$L$367, MATCH(E1458, DATABASE_FG!$C$5:$C$367, 0)), " ")</f>
        <v>56</v>
      </c>
      <c r="T1458" s="36" t="s">
        <v>677</v>
      </c>
      <c r="U1458" s="36"/>
      <c r="V1458" s="36"/>
      <c r="W1458" s="129"/>
      <c r="X1458" s="36"/>
      <c r="Y1458" s="36"/>
      <c r="Z1458" s="36"/>
      <c r="AA1458" s="125" t="s">
        <v>121</v>
      </c>
      <c r="AB1458" s="173">
        <v>45675</v>
      </c>
      <c r="AC1458" s="119" t="s">
        <v>2601</v>
      </c>
      <c r="AD1458" s="36">
        <f t="shared" si="173"/>
        <v>5500511020</v>
      </c>
      <c r="AE1458" s="36" t="str">
        <f t="shared" si="168"/>
        <v>R900305239</v>
      </c>
      <c r="AF1458" s="36">
        <v>12</v>
      </c>
      <c r="AG1458" s="120">
        <f t="shared" ref="AG1458:AG1521" si="174">AF1458*H1458</f>
        <v>543.84</v>
      </c>
      <c r="AH1458" s="36"/>
      <c r="AI1458" s="124"/>
      <c r="AJ1458" s="122" t="s">
        <v>2602</v>
      </c>
      <c r="AK1458" s="129" t="str">
        <f t="shared" ca="1" si="172"/>
        <v>Late</v>
      </c>
      <c r="AL1458" s="268" t="str">
        <f t="shared" si="171"/>
        <v>November</v>
      </c>
      <c r="AM1458" s="133">
        <f>YEAR(Table1[[#This Row],[ETA
As requested
dd.mm.yyyy]])</f>
        <v>2024</v>
      </c>
    </row>
    <row r="1459" spans="1:40" hidden="1">
      <c r="A1459" s="123" t="s">
        <v>27</v>
      </c>
      <c r="B1459" s="36" t="s">
        <v>1170</v>
      </c>
      <c r="C1459" s="117">
        <v>5500511020</v>
      </c>
      <c r="D1459" s="165">
        <v>45446</v>
      </c>
      <c r="E1459" s="117" t="s">
        <v>670</v>
      </c>
      <c r="F1459" s="36" t="str">
        <f>IFERROR(VLOOKUP(Table1[[#This Row],[Part Number]],DATABASE_FG!$C$6:D11448,2,FALSE)," ")</f>
        <v>HOUSING            DBD.20P1X/</v>
      </c>
      <c r="G1459" s="117" t="str">
        <f>IFERROR(_xlfn.XLOOKUP(Table1[[#This Row],[Part Number]],Table3[Part number],Table3[Drawing
 Revision]),"")</f>
        <v>AF</v>
      </c>
      <c r="H1459" s="118" cm="1">
        <f t="array" ref="H1459">IFERROR(INDEX(PDB!$C:$AT,MATCH(E1459,PDB!$B:$B,0),MATCH(YEAR(K1459),0+PDB!$C$1:$AT$1,0)),"")</f>
        <v>45.32</v>
      </c>
      <c r="I1459" s="36">
        <v>45</v>
      </c>
      <c r="J1459" s="125">
        <f>IFERROR(Table1[[#This Row],[Quantity]]*Table1[[#This Row],[Price/Unit
EUR]]," ")</f>
        <v>2039.4</v>
      </c>
      <c r="K1459" s="126">
        <v>45621</v>
      </c>
      <c r="L1459" s="36">
        <f>WEEKNUM(Table1[[#This Row],[ETA
As requested
dd.mm.yyyy]])</f>
        <v>48</v>
      </c>
      <c r="M1459" s="36">
        <f>YEAR(Table1[[#This Row],[ETA
As requested
dd.mm.yyyy]])</f>
        <v>2024</v>
      </c>
      <c r="N1459" s="36">
        <f>IFERROR(INDEX(DATABASE_FG!$H$5:$H$367, MATCH(E1459, DATABASE_FG!$C$5:$C$367, 0)), " ")</f>
        <v>71</v>
      </c>
      <c r="O1459" s="129" t="str">
        <f>IF(E1459&lt;&gt;"", _xlfn.XLOOKUP(E1459, DATABASE_FG!C:C, DATABASE_FG!F:F), " ")</f>
        <v>DBD.20</v>
      </c>
      <c r="P1459" s="129">
        <f>IFERROR(INDEX(DATABASE_FG!$G$5:$G$367, MATCH(E1459, DATABASE_FG!$C$5:$C$367, 0)), "Not Found")</f>
        <v>64</v>
      </c>
      <c r="Q1459" s="36">
        <v>60</v>
      </c>
      <c r="R1459" s="125" t="s">
        <v>678</v>
      </c>
      <c r="S1459" s="123">
        <f>IFERROR(INDEX(DATABASE_FG!$L$5:$L$367, MATCH(E1459, DATABASE_FG!$C$5:$C$367, 0)), " ")</f>
        <v>56</v>
      </c>
      <c r="T1459" s="36" t="s">
        <v>677</v>
      </c>
      <c r="U1459" s="36"/>
      <c r="V1459" s="36"/>
      <c r="W1459" s="129"/>
      <c r="X1459" s="36"/>
      <c r="Y1459" s="36"/>
      <c r="Z1459" s="36"/>
      <c r="AA1459" s="125" t="s">
        <v>121</v>
      </c>
      <c r="AB1459" s="173">
        <v>45638</v>
      </c>
      <c r="AC1459" s="119">
        <v>202401525</v>
      </c>
      <c r="AD1459" s="36">
        <f t="shared" si="173"/>
        <v>5500511020</v>
      </c>
      <c r="AE1459" s="36" t="str">
        <f t="shared" si="168"/>
        <v>R900305239</v>
      </c>
      <c r="AF1459" s="36">
        <v>45</v>
      </c>
      <c r="AG1459" s="120">
        <f t="shared" si="174"/>
        <v>2039.4</v>
      </c>
      <c r="AH1459" s="36"/>
      <c r="AI1459" s="124"/>
      <c r="AJ1459" s="122" t="s">
        <v>2627</v>
      </c>
      <c r="AK1459" s="129" t="str">
        <f t="shared" ca="1" si="172"/>
        <v>Late</v>
      </c>
      <c r="AL1459" s="268" t="str">
        <f t="shared" si="171"/>
        <v>November</v>
      </c>
      <c r="AM1459" s="133">
        <f>YEAR(Table1[[#This Row],[ETA
As requested
dd.mm.yyyy]])</f>
        <v>2024</v>
      </c>
    </row>
    <row r="1460" spans="1:40" hidden="1">
      <c r="A1460" s="123" t="s">
        <v>27</v>
      </c>
      <c r="B1460" s="36" t="s">
        <v>1170</v>
      </c>
      <c r="C1460" s="117">
        <v>5500511020</v>
      </c>
      <c r="D1460" s="165">
        <v>45446</v>
      </c>
      <c r="E1460" s="117" t="s">
        <v>670</v>
      </c>
      <c r="F1460" s="36" t="str">
        <f>IFERROR(VLOOKUP(Table1[[#This Row],[Part Number]],DATABASE_FG!$C$6:D11449,2,FALSE)," ")</f>
        <v>HOUSING            DBD.20P1X/</v>
      </c>
      <c r="G1460" s="117" t="str">
        <f>IFERROR(_xlfn.XLOOKUP(Table1[[#This Row],[Part Number]],Table3[Part number],Table3[Drawing
 Revision]),"")</f>
        <v>AF</v>
      </c>
      <c r="H1460" s="118" cm="1">
        <f t="array" ref="H1460">IFERROR(INDEX(PDB!$C:$AT,MATCH(E1460,PDB!$B:$B,0),MATCH(YEAR(K1460),0+PDB!$C$1:$AT$1,0)),"")</f>
        <v>43.11</v>
      </c>
      <c r="I1460" s="36">
        <v>27</v>
      </c>
      <c r="J1460" s="125">
        <f>IFERROR(Table1[[#This Row],[Quantity]]*Table1[[#This Row],[Price/Unit
EUR]]," ")</f>
        <v>1163.97</v>
      </c>
      <c r="K1460" s="126">
        <v>45674</v>
      </c>
      <c r="L1460" s="36">
        <f>WEEKNUM(Table1[[#This Row],[ETA
As requested
dd.mm.yyyy]])</f>
        <v>3</v>
      </c>
      <c r="M1460" s="36">
        <f>YEAR(Table1[[#This Row],[ETA
As requested
dd.mm.yyyy]])</f>
        <v>2025</v>
      </c>
      <c r="N1460" s="36">
        <f>IFERROR(INDEX(DATABASE_FG!$H$5:$H$367, MATCH(E1460, DATABASE_FG!$C$5:$C$367, 0)), " ")</f>
        <v>71</v>
      </c>
      <c r="O1460" s="129" t="str">
        <f>IF(E1460&lt;&gt;"", _xlfn.XLOOKUP(E1460, DATABASE_FG!C:C, DATABASE_FG!F:F), " ")</f>
        <v>DBD.20</v>
      </c>
      <c r="P1460" s="129">
        <f>IFERROR(INDEX(DATABASE_FG!$G$5:$G$367, MATCH(E1460, DATABASE_FG!$C$5:$C$367, 0)), "Not Found")</f>
        <v>64</v>
      </c>
      <c r="Q1460" s="36">
        <v>60</v>
      </c>
      <c r="R1460" s="125" t="s">
        <v>678</v>
      </c>
      <c r="S1460" s="123">
        <f>IFERROR(INDEX(DATABASE_FG!$L$5:$L$367, MATCH(E1460, DATABASE_FG!$C$5:$C$367, 0)), " ")</f>
        <v>56</v>
      </c>
      <c r="T1460" s="36" t="s">
        <v>677</v>
      </c>
      <c r="U1460" s="36"/>
      <c r="V1460" s="36"/>
      <c r="W1460" s="129"/>
      <c r="X1460" s="36"/>
      <c r="Y1460" s="36"/>
      <c r="Z1460" s="36"/>
      <c r="AA1460" s="125" t="s">
        <v>121</v>
      </c>
      <c r="AB1460" s="173">
        <v>45675</v>
      </c>
      <c r="AC1460" s="119" t="s">
        <v>2601</v>
      </c>
      <c r="AD1460" s="36">
        <f t="shared" si="173"/>
        <v>5500511020</v>
      </c>
      <c r="AE1460" s="36" t="str">
        <f t="shared" si="168"/>
        <v>R900305239</v>
      </c>
      <c r="AF1460" s="36">
        <v>27</v>
      </c>
      <c r="AG1460" s="120">
        <f t="shared" si="174"/>
        <v>1163.97</v>
      </c>
      <c r="AH1460" s="36"/>
      <c r="AI1460" s="124"/>
      <c r="AJ1460" s="122" t="s">
        <v>2602</v>
      </c>
      <c r="AK1460" s="129" t="str">
        <f t="shared" ca="1" si="172"/>
        <v>On Time</v>
      </c>
      <c r="AL1460" s="268" t="str">
        <f t="shared" si="171"/>
        <v>January</v>
      </c>
      <c r="AM1460" s="133">
        <f>YEAR(Table1[[#This Row],[ETA
As requested
dd.mm.yyyy]])</f>
        <v>2025</v>
      </c>
    </row>
    <row r="1461" spans="1:40" hidden="1">
      <c r="A1461" s="123" t="s">
        <v>27</v>
      </c>
      <c r="B1461" s="36" t="s">
        <v>1170</v>
      </c>
      <c r="C1461" s="117">
        <v>5500511020</v>
      </c>
      <c r="D1461" s="165">
        <v>45446</v>
      </c>
      <c r="E1461" s="117" t="s">
        <v>670</v>
      </c>
      <c r="F1461" s="36" t="str">
        <f>IFERROR(VLOOKUP(Table1[[#This Row],[Part Number]],DATABASE_FG!$C$6:D11450,2,FALSE)," ")</f>
        <v>HOUSING            DBD.20P1X/</v>
      </c>
      <c r="G1461" s="117" t="str">
        <f>IFERROR(_xlfn.XLOOKUP(Table1[[#This Row],[Part Number]],Table3[Part number],Table3[Drawing
 Revision]),"")</f>
        <v>AF</v>
      </c>
      <c r="H1461" s="118" cm="1">
        <f t="array" ref="H1461">IFERROR(INDEX(PDB!$C:$AT,MATCH(E1461,PDB!$B:$B,0),MATCH(YEAR(K1461),0+PDB!$C$1:$AT$1,0)),"")</f>
        <v>43.11</v>
      </c>
      <c r="I1461" s="36">
        <v>17</v>
      </c>
      <c r="J1461" s="125">
        <f>IFERROR(Table1[[#This Row],[Quantity]]*Table1[[#This Row],[Price/Unit
EUR]]," ")</f>
        <v>732.87</v>
      </c>
      <c r="K1461" s="126">
        <v>45674</v>
      </c>
      <c r="L1461" s="36">
        <f>WEEKNUM(Table1[[#This Row],[ETA
As requested
dd.mm.yyyy]])</f>
        <v>3</v>
      </c>
      <c r="M1461" s="36">
        <f>YEAR(Table1[[#This Row],[ETA
As requested
dd.mm.yyyy]])</f>
        <v>2025</v>
      </c>
      <c r="N1461" s="36">
        <f>IFERROR(INDEX(DATABASE_FG!$H$5:$H$367, MATCH(E1461, DATABASE_FG!$C$5:$C$367, 0)), " ")</f>
        <v>71</v>
      </c>
      <c r="O1461" s="129" t="str">
        <f>IF(E1461&lt;&gt;"", _xlfn.XLOOKUP(E1461, DATABASE_FG!C:C, DATABASE_FG!F:F), " ")</f>
        <v>DBD.20</v>
      </c>
      <c r="P1461" s="129">
        <f>IFERROR(INDEX(DATABASE_FG!$G$5:$G$367, MATCH(E1461, DATABASE_FG!$C$5:$C$367, 0)), "Not Found")</f>
        <v>64</v>
      </c>
      <c r="Q1461" s="36">
        <v>60</v>
      </c>
      <c r="R1461" s="125" t="s">
        <v>678</v>
      </c>
      <c r="S1461" s="123">
        <f>IFERROR(INDEX(DATABASE_FG!$L$5:$L$367, MATCH(E1461, DATABASE_FG!$C$5:$C$367, 0)), " ")</f>
        <v>56</v>
      </c>
      <c r="T1461" s="36" t="s">
        <v>677</v>
      </c>
      <c r="U1461" s="36"/>
      <c r="V1461" s="36"/>
      <c r="W1461" s="129"/>
      <c r="X1461" s="36"/>
      <c r="Y1461" s="36"/>
      <c r="Z1461" s="36"/>
      <c r="AA1461" s="125" t="s">
        <v>121</v>
      </c>
      <c r="AB1461" s="173">
        <v>45686</v>
      </c>
      <c r="AC1461" s="119">
        <v>25113</v>
      </c>
      <c r="AD1461" s="36">
        <f t="shared" si="173"/>
        <v>5500511020</v>
      </c>
      <c r="AE1461" s="36" t="str">
        <f t="shared" si="168"/>
        <v>R900305239</v>
      </c>
      <c r="AF1461" s="36">
        <v>17</v>
      </c>
      <c r="AG1461" s="120">
        <f t="shared" si="174"/>
        <v>732.87</v>
      </c>
      <c r="AH1461" s="36"/>
      <c r="AI1461" s="124"/>
      <c r="AJ1461" s="122" t="s">
        <v>2732</v>
      </c>
      <c r="AK1461" s="129" t="str">
        <f t="shared" ca="1" si="172"/>
        <v>Late</v>
      </c>
      <c r="AL1461" s="268" t="str">
        <f t="shared" si="171"/>
        <v>January</v>
      </c>
      <c r="AM1461" s="133">
        <f>YEAR(Table1[[#This Row],[ETA
As requested
dd.mm.yyyy]])</f>
        <v>2025</v>
      </c>
    </row>
    <row r="1462" spans="1:40" hidden="1">
      <c r="A1462" s="123" t="s">
        <v>27</v>
      </c>
      <c r="B1462" s="36" t="s">
        <v>1170</v>
      </c>
      <c r="C1462" s="117">
        <v>5500511020</v>
      </c>
      <c r="D1462" s="165">
        <v>45446</v>
      </c>
      <c r="E1462" s="117" t="s">
        <v>670</v>
      </c>
      <c r="F1462" s="36" t="str">
        <f>IFERROR(VLOOKUP(Table1[[#This Row],[Part Number]],DATABASE_FG!$C$6:D11451,2,FALSE)," ")</f>
        <v>HOUSING            DBD.20P1X/</v>
      </c>
      <c r="G1462" s="117" t="str">
        <f>IFERROR(_xlfn.XLOOKUP(Table1[[#This Row],[Part Number]],Table3[Part number],Table3[Drawing
 Revision]),"")</f>
        <v>AF</v>
      </c>
      <c r="H1462" s="118" cm="1">
        <f t="array" ref="H1462">IFERROR(INDEX(PDB!$C:$AT,MATCH(E1462,PDB!$B:$B,0),MATCH(YEAR(K1462),0+PDB!$C$1:$AT$1,0)),"")</f>
        <v>43.11</v>
      </c>
      <c r="I1462" s="36">
        <v>20</v>
      </c>
      <c r="J1462" s="125">
        <f>IFERROR(Table1[[#This Row],[Quantity]]*Table1[[#This Row],[Price/Unit
EUR]]," ")</f>
        <v>862.2</v>
      </c>
      <c r="K1462" s="126">
        <v>45789</v>
      </c>
      <c r="L1462" s="36">
        <f>WEEKNUM(Table1[[#This Row],[ETA
As requested
dd.mm.yyyy]])</f>
        <v>20</v>
      </c>
      <c r="M1462" s="36">
        <f>YEAR(Table1[[#This Row],[ETA
As requested
dd.mm.yyyy]])</f>
        <v>2025</v>
      </c>
      <c r="N1462" s="36">
        <f>IFERROR(INDEX(DATABASE_FG!$H$5:$H$367, MATCH(E1462, DATABASE_FG!$C$5:$C$367, 0)), " ")</f>
        <v>71</v>
      </c>
      <c r="O1462" s="129" t="str">
        <f>IF(E1462&lt;&gt;"", _xlfn.XLOOKUP(E1462, DATABASE_FG!C:C, DATABASE_FG!F:F), " ")</f>
        <v>DBD.20</v>
      </c>
      <c r="P1462" s="129">
        <f>IFERROR(INDEX(DATABASE_FG!$G$5:$G$367, MATCH(E1462, DATABASE_FG!$C$5:$C$367, 0)), "Not Found")</f>
        <v>64</v>
      </c>
      <c r="Q1462" s="36">
        <v>60</v>
      </c>
      <c r="R1462" s="125" t="s">
        <v>678</v>
      </c>
      <c r="S1462" s="123">
        <f>IFERROR(INDEX(DATABASE_FG!$L$5:$L$367, MATCH(E1462, DATABASE_FG!$C$5:$C$367, 0)), " ")</f>
        <v>56</v>
      </c>
      <c r="T1462" s="36" t="s">
        <v>677</v>
      </c>
      <c r="U1462" s="36"/>
      <c r="V1462" s="36"/>
      <c r="W1462" s="129"/>
      <c r="X1462" s="36"/>
      <c r="Y1462" s="36" t="s">
        <v>677</v>
      </c>
      <c r="Z1462" s="36"/>
      <c r="AA1462" s="125" t="s">
        <v>121</v>
      </c>
      <c r="AB1462" s="173">
        <v>45828</v>
      </c>
      <c r="AC1462" s="119">
        <v>25961</v>
      </c>
      <c r="AD1462" s="36">
        <f t="shared" si="173"/>
        <v>5500511020</v>
      </c>
      <c r="AE1462" s="36" t="str">
        <f t="shared" si="168"/>
        <v>R900305239</v>
      </c>
      <c r="AF1462" s="36">
        <v>20</v>
      </c>
      <c r="AG1462" s="120">
        <f t="shared" si="174"/>
        <v>862.2</v>
      </c>
      <c r="AH1462" s="36"/>
      <c r="AI1462" s="124"/>
      <c r="AJ1462" s="122" t="s">
        <v>3190</v>
      </c>
      <c r="AK1462" s="129" t="str">
        <f t="shared" ca="1" si="172"/>
        <v>Late</v>
      </c>
      <c r="AL1462" s="268" t="str">
        <f t="shared" si="171"/>
        <v>May</v>
      </c>
      <c r="AM1462" s="133">
        <f>YEAR(Table1[[#This Row],[ETA
As requested
dd.mm.yyyy]])</f>
        <v>2025</v>
      </c>
    </row>
    <row r="1463" spans="1:40" hidden="1">
      <c r="A1463" s="123" t="s">
        <v>27</v>
      </c>
      <c r="B1463" s="36" t="s">
        <v>1170</v>
      </c>
      <c r="C1463" s="117">
        <v>5500511020</v>
      </c>
      <c r="D1463" s="165">
        <v>45446</v>
      </c>
      <c r="E1463" s="117" t="s">
        <v>670</v>
      </c>
      <c r="F1463" s="36" t="str">
        <f>IFERROR(VLOOKUP(Table1[[#This Row],[Part Number]],DATABASE_FG!$C$6:D11452,2,FALSE)," ")</f>
        <v>HOUSING            DBD.20P1X/</v>
      </c>
      <c r="G1463" s="117" t="str">
        <f>IFERROR(_xlfn.XLOOKUP(Table1[[#This Row],[Part Number]],Table3[Part number],Table3[Drawing
 Revision]),"")</f>
        <v>AF</v>
      </c>
      <c r="H1463" s="118" cm="1">
        <f t="array" ref="H1463">IFERROR(INDEX(PDB!$C:$AT,MATCH(E1463,PDB!$B:$B,0),MATCH(YEAR(K1463),0+PDB!$C$1:$AT$1,0)),"")</f>
        <v>43.11</v>
      </c>
      <c r="I1463" s="36">
        <v>37</v>
      </c>
      <c r="J1463" s="125">
        <f>IFERROR(Table1[[#This Row],[Quantity]]*Table1[[#This Row],[Price/Unit
EUR]]," ")</f>
        <v>1595.07</v>
      </c>
      <c r="K1463" s="126">
        <v>45789</v>
      </c>
      <c r="L1463" s="36">
        <f>WEEKNUM(Table1[[#This Row],[ETA
As requested
dd.mm.yyyy]])</f>
        <v>20</v>
      </c>
      <c r="M1463" s="36">
        <f>YEAR(Table1[[#This Row],[ETA
As requested
dd.mm.yyyy]])</f>
        <v>2025</v>
      </c>
      <c r="N1463" s="36">
        <f>IFERROR(INDEX(DATABASE_FG!$H$5:$H$367, MATCH(E1463, DATABASE_FG!$C$5:$C$367, 0)), " ")</f>
        <v>71</v>
      </c>
      <c r="O1463" s="129" t="str">
        <f>IF(E1463&lt;&gt;"", _xlfn.XLOOKUP(E1463, DATABASE_FG!C:C, DATABASE_FG!F:F), " ")</f>
        <v>DBD.20</v>
      </c>
      <c r="P1463" s="129">
        <f>IFERROR(INDEX(DATABASE_FG!$G$5:$G$367, MATCH(E1463, DATABASE_FG!$C$5:$C$367, 0)), "Not Found")</f>
        <v>64</v>
      </c>
      <c r="Q1463" s="36">
        <v>60</v>
      </c>
      <c r="R1463" s="125" t="s">
        <v>678</v>
      </c>
      <c r="S1463" s="123">
        <f>IFERROR(INDEX(DATABASE_FG!$L$5:$L$367, MATCH(E1463, DATABASE_FG!$C$5:$C$367, 0)), " ")</f>
        <v>56</v>
      </c>
      <c r="T1463" s="36" t="s">
        <v>677</v>
      </c>
      <c r="U1463" s="36"/>
      <c r="V1463" s="36"/>
      <c r="W1463" s="129"/>
      <c r="X1463" s="36"/>
      <c r="Y1463" s="36" t="s">
        <v>677</v>
      </c>
      <c r="Z1463" s="36"/>
      <c r="AA1463" s="125" t="s">
        <v>121</v>
      </c>
      <c r="AB1463" s="173">
        <v>45828</v>
      </c>
      <c r="AC1463" s="119">
        <v>25961</v>
      </c>
      <c r="AD1463" s="36">
        <f t="shared" si="173"/>
        <v>5500511020</v>
      </c>
      <c r="AE1463" s="36" t="str">
        <f t="shared" si="168"/>
        <v>R900305239</v>
      </c>
      <c r="AF1463" s="36">
        <v>37</v>
      </c>
      <c r="AG1463" s="120">
        <f t="shared" si="174"/>
        <v>1595.07</v>
      </c>
      <c r="AH1463" s="36"/>
      <c r="AI1463" s="124"/>
      <c r="AJ1463" s="122" t="s">
        <v>3190</v>
      </c>
      <c r="AK1463" s="129" t="str">
        <f t="shared" ca="1" si="172"/>
        <v>Late</v>
      </c>
      <c r="AL1463" s="268" t="str">
        <f t="shared" si="171"/>
        <v>May</v>
      </c>
      <c r="AM1463" s="133">
        <f>YEAR(Table1[[#This Row],[ETA
As requested
dd.mm.yyyy]])</f>
        <v>2025</v>
      </c>
    </row>
    <row r="1464" spans="1:40" hidden="1">
      <c r="A1464" s="123" t="s">
        <v>27</v>
      </c>
      <c r="B1464" s="36" t="s">
        <v>1170</v>
      </c>
      <c r="C1464" s="117">
        <v>5500511020</v>
      </c>
      <c r="D1464" s="165">
        <v>45446</v>
      </c>
      <c r="E1464" s="117" t="s">
        <v>670</v>
      </c>
      <c r="F1464" s="36" t="str">
        <f>IFERROR(VLOOKUP(Table1[[#This Row],[Part Number]],DATABASE_FG!$C$6:D11453,2,FALSE)," ")</f>
        <v>HOUSING            DBD.20P1X/</v>
      </c>
      <c r="G1464" s="117" t="str">
        <f>IFERROR(_xlfn.XLOOKUP(Table1[[#This Row],[Part Number]],Table3[Part number],Table3[Drawing
 Revision]),"")</f>
        <v>AF</v>
      </c>
      <c r="H1464" s="118" cm="1">
        <f t="array" ref="H1464">IFERROR(INDEX(PDB!$C:$AT,MATCH(E1464,PDB!$B:$B,0),MATCH(YEAR(K1464),0+PDB!$C$1:$AT$1,0)),"")</f>
        <v>43.11</v>
      </c>
      <c r="I1464" s="36">
        <v>80</v>
      </c>
      <c r="J1464" s="125">
        <f>IFERROR(Table1[[#This Row],[Quantity]]*Table1[[#This Row],[Price/Unit
EUR]]," ")</f>
        <v>3448.8</v>
      </c>
      <c r="K1464" s="126">
        <v>45867</v>
      </c>
      <c r="L1464" s="36">
        <f>WEEKNUM(Table1[[#This Row],[ETA
As requested
dd.mm.yyyy]])</f>
        <v>31</v>
      </c>
      <c r="M1464" s="36">
        <f>YEAR(Table1[[#This Row],[ETA
As requested
dd.mm.yyyy]])</f>
        <v>2025</v>
      </c>
      <c r="N1464" s="36">
        <f>IFERROR(INDEX(DATABASE_FG!$H$5:$H$367, MATCH(E1464, DATABASE_FG!$C$5:$C$367, 0)), " ")</f>
        <v>71</v>
      </c>
      <c r="O1464" s="129" t="str">
        <f>IF(E1464&lt;&gt;"", _xlfn.XLOOKUP(E1464, DATABASE_FG!C:C, DATABASE_FG!F:F), " ")</f>
        <v>DBD.20</v>
      </c>
      <c r="P1464" s="129">
        <f>IFERROR(INDEX(DATABASE_FG!$G$5:$G$367, MATCH(E1464, DATABASE_FG!$C$5:$C$367, 0)), "Not Found")</f>
        <v>64</v>
      </c>
      <c r="Q1464" s="36">
        <v>60</v>
      </c>
      <c r="R1464" s="125" t="s">
        <v>678</v>
      </c>
      <c r="S1464" s="123">
        <f>IFERROR(INDEX(DATABASE_FG!$L$5:$L$367, MATCH(E1464, DATABASE_FG!$C$5:$C$367, 0)), " ")</f>
        <v>56</v>
      </c>
      <c r="T1464" s="36" t="s">
        <v>677</v>
      </c>
      <c r="U1464" s="36"/>
      <c r="V1464" s="36"/>
      <c r="W1464" s="129"/>
      <c r="X1464" s="36"/>
      <c r="Y1464" s="36" t="s">
        <v>677</v>
      </c>
      <c r="Z1464" s="36"/>
      <c r="AA1464" s="125" t="s">
        <v>121</v>
      </c>
      <c r="AB1464" s="173">
        <v>45849</v>
      </c>
      <c r="AC1464" s="119">
        <v>251056</v>
      </c>
      <c r="AD1464" s="36">
        <f t="shared" si="173"/>
        <v>5500511020</v>
      </c>
      <c r="AE1464" s="36" t="str">
        <f t="shared" si="168"/>
        <v>R900305239</v>
      </c>
      <c r="AF1464" s="36">
        <v>80</v>
      </c>
      <c r="AG1464" s="120">
        <f t="shared" si="174"/>
        <v>3448.8</v>
      </c>
      <c r="AH1464" s="36"/>
      <c r="AI1464" s="124"/>
      <c r="AJ1464" s="122" t="s">
        <v>3464</v>
      </c>
      <c r="AK1464" s="129" t="str">
        <f t="shared" ca="1" si="172"/>
        <v>On Time</v>
      </c>
      <c r="AL1464" s="268" t="str">
        <f t="shared" si="171"/>
        <v>July</v>
      </c>
      <c r="AM1464" s="133">
        <f>YEAR(Table1[[#This Row],[ETA
As requested
dd.mm.yyyy]])</f>
        <v>2025</v>
      </c>
    </row>
    <row r="1465" spans="1:40" hidden="1">
      <c r="A1465" s="123" t="s">
        <v>27</v>
      </c>
      <c r="B1465" s="36" t="s">
        <v>1170</v>
      </c>
      <c r="C1465" s="117">
        <v>5500511020</v>
      </c>
      <c r="D1465" s="165">
        <v>45446</v>
      </c>
      <c r="E1465" s="117" t="s">
        <v>670</v>
      </c>
      <c r="F1465" s="36" t="str">
        <f>IFERROR(VLOOKUP(Table1[[#This Row],[Part Number]],DATABASE_FG!$C$6:D11454,2,FALSE)," ")</f>
        <v>HOUSING            DBD.20P1X/</v>
      </c>
      <c r="G1465" s="117" t="str">
        <f>IFERROR(_xlfn.XLOOKUP(Table1[[#This Row],[Part Number]],Table3[Part number],Table3[Drawing
 Revision]),"")</f>
        <v>AF</v>
      </c>
      <c r="H1465" s="118" cm="1">
        <f t="array" ref="H1465">IFERROR(INDEX(PDB!$C:$AT,MATCH(E1465,PDB!$B:$B,0),MATCH(YEAR(K1465),0+PDB!$C$1:$AT$1,0)),"")</f>
        <v>43.11</v>
      </c>
      <c r="I1465" s="36">
        <f>80+2</f>
        <v>82</v>
      </c>
      <c r="J1465" s="125">
        <f>IFERROR(Table1[[#This Row],[Quantity]]*Table1[[#This Row],[Price/Unit
EUR]]," ")</f>
        <v>3535.02</v>
      </c>
      <c r="K1465" s="126">
        <v>45880</v>
      </c>
      <c r="L1465" s="36">
        <f>WEEKNUM(Table1[[#This Row],[ETA
As requested
dd.mm.yyyy]])</f>
        <v>33</v>
      </c>
      <c r="M1465" s="36">
        <f>YEAR(Table1[[#This Row],[ETA
As requested
dd.mm.yyyy]])</f>
        <v>2025</v>
      </c>
      <c r="N1465" s="36">
        <f>IFERROR(INDEX(DATABASE_FG!$H$5:$H$367, MATCH(E1465, DATABASE_FG!$C$5:$C$367, 0)), " ")</f>
        <v>71</v>
      </c>
      <c r="O1465" s="129" t="str">
        <f>IF(E1465&lt;&gt;"", _xlfn.XLOOKUP(E1465, DATABASE_FG!C:C, DATABASE_FG!F:F), " ")</f>
        <v>DBD.20</v>
      </c>
      <c r="P1465" s="129">
        <f>IFERROR(INDEX(DATABASE_FG!$G$5:$G$367, MATCH(E1465, DATABASE_FG!$C$5:$C$367, 0)), "Not Found")</f>
        <v>64</v>
      </c>
      <c r="Q1465" s="36">
        <v>60</v>
      </c>
      <c r="R1465" s="125" t="s">
        <v>678</v>
      </c>
      <c r="S1465" s="123">
        <f>IFERROR(INDEX(DATABASE_FG!$L$5:$L$367, MATCH(E1465, DATABASE_FG!$C$5:$C$367, 0)), " ")</f>
        <v>56</v>
      </c>
      <c r="T1465" s="36" t="s">
        <v>677</v>
      </c>
      <c r="U1465" s="36"/>
      <c r="V1465" s="36"/>
      <c r="W1465" s="129"/>
      <c r="X1465" s="36"/>
      <c r="Y1465" s="36"/>
      <c r="Z1465" s="36"/>
      <c r="AA1465" s="125" t="s">
        <v>121</v>
      </c>
      <c r="AB1465" s="173">
        <v>45859</v>
      </c>
      <c r="AC1465" s="119">
        <v>251076</v>
      </c>
      <c r="AD1465" s="36">
        <f t="shared" si="173"/>
        <v>5500511020</v>
      </c>
      <c r="AE1465" s="36" t="str">
        <f t="shared" si="168"/>
        <v>R900305239</v>
      </c>
      <c r="AF1465" s="36">
        <v>82</v>
      </c>
      <c r="AG1465" s="120">
        <f t="shared" si="174"/>
        <v>3535.02</v>
      </c>
      <c r="AH1465" s="36"/>
      <c r="AI1465" s="124"/>
      <c r="AJ1465" s="122" t="s">
        <v>3530</v>
      </c>
      <c r="AK1465" s="129" t="str">
        <f t="shared" ca="1" si="172"/>
        <v>On Time</v>
      </c>
      <c r="AL1465" s="268" t="str">
        <f t="shared" si="171"/>
        <v>August</v>
      </c>
      <c r="AM1465" s="133">
        <f>YEAR(Table1[[#This Row],[ETA
As requested
dd.mm.yyyy]])</f>
        <v>2025</v>
      </c>
    </row>
    <row r="1466" spans="1:40" hidden="1">
      <c r="A1466" s="123" t="s">
        <v>27</v>
      </c>
      <c r="B1466" s="36" t="s">
        <v>1170</v>
      </c>
      <c r="C1466" s="117">
        <v>5500511020</v>
      </c>
      <c r="D1466" s="165">
        <v>45446</v>
      </c>
      <c r="E1466" s="117" t="s">
        <v>670</v>
      </c>
      <c r="F1466" s="36" t="str">
        <f>IFERROR(VLOOKUP(Table1[[#This Row],[Part Number]],DATABASE_FG!$C$6:D11455,2,FALSE)," ")</f>
        <v>HOUSING            DBD.20P1X/</v>
      </c>
      <c r="G1466" s="117" t="str">
        <f>IFERROR(_xlfn.XLOOKUP(Table1[[#This Row],[Part Number]],Table3[Part number],Table3[Drawing
 Revision]),"")</f>
        <v>AF</v>
      </c>
      <c r="H1466" s="118" cm="1">
        <f t="array" ref="H1466">IFERROR(INDEX(PDB!$C:$AT,MATCH(E1466,PDB!$B:$B,0),MATCH(YEAR(K1466),0+PDB!$C$1:$AT$1,0)),"")</f>
        <v>43.11</v>
      </c>
      <c r="I1466" s="36">
        <v>7</v>
      </c>
      <c r="J1466" s="125">
        <f>IFERROR(Table1[[#This Row],[Quantity]]*Table1[[#This Row],[Price/Unit
EUR]]," ")</f>
        <v>301.77</v>
      </c>
      <c r="K1466" s="126">
        <v>45960</v>
      </c>
      <c r="L1466" s="36">
        <f>WEEKNUM(Table1[[#This Row],[ETA
As requested
dd.mm.yyyy]])</f>
        <v>44</v>
      </c>
      <c r="M1466" s="36">
        <f>YEAR(Table1[[#This Row],[ETA
As requested
dd.mm.yyyy]])</f>
        <v>2025</v>
      </c>
      <c r="N1466" s="36">
        <f>IFERROR(INDEX(DATABASE_FG!$H$5:$H$367, MATCH(E1466, DATABASE_FG!$C$5:$C$367, 0)), " ")</f>
        <v>71</v>
      </c>
      <c r="O1466" s="129" t="str">
        <f>IF(E1466&lt;&gt;"", _xlfn.XLOOKUP(E1466, DATABASE_FG!C:C, DATABASE_FG!F:F), " ")</f>
        <v>DBD.20</v>
      </c>
      <c r="P1466" s="129">
        <f>IFERROR(INDEX(DATABASE_FG!$G$5:$G$367, MATCH(E1466, DATABASE_FG!$C$5:$C$367, 0)), "Not Found")</f>
        <v>64</v>
      </c>
      <c r="Q1466" s="36">
        <v>60</v>
      </c>
      <c r="R1466" s="125" t="s">
        <v>678</v>
      </c>
      <c r="S1466" s="123">
        <f>IFERROR(INDEX(DATABASE_FG!$L$5:$L$367, MATCH(E1466, DATABASE_FG!$C$5:$C$367, 0)), " ")</f>
        <v>56</v>
      </c>
      <c r="T1466" s="36" t="s">
        <v>677</v>
      </c>
      <c r="U1466" s="36"/>
      <c r="V1466" s="36"/>
      <c r="W1466" s="129"/>
      <c r="X1466" s="36"/>
      <c r="Y1466" s="36"/>
      <c r="Z1466" s="36"/>
      <c r="AA1466" s="125" t="s">
        <v>121</v>
      </c>
      <c r="AB1466" s="173">
        <v>45869</v>
      </c>
      <c r="AC1466" s="119">
        <v>251115</v>
      </c>
      <c r="AD1466" s="36">
        <f t="shared" si="173"/>
        <v>5500511020</v>
      </c>
      <c r="AE1466" s="36" t="str">
        <f t="shared" si="168"/>
        <v>R900305239</v>
      </c>
      <c r="AF1466" s="36">
        <v>7</v>
      </c>
      <c r="AG1466" s="120">
        <f t="shared" si="174"/>
        <v>301.77</v>
      </c>
      <c r="AH1466" s="36"/>
      <c r="AI1466" s="124"/>
      <c r="AJ1466" s="122" t="s">
        <v>4436</v>
      </c>
      <c r="AK1466" s="129" t="str">
        <f t="shared" ca="1" si="172"/>
        <v>On Time</v>
      </c>
      <c r="AL1466" s="268" t="str">
        <f t="shared" si="171"/>
        <v>October</v>
      </c>
      <c r="AM1466" s="133">
        <f>YEAR(Table1[[#This Row],[ETA
As requested
dd.mm.yyyy]])</f>
        <v>2025</v>
      </c>
    </row>
    <row r="1467" spans="1:40" hidden="1">
      <c r="A1467" s="123" t="s">
        <v>27</v>
      </c>
      <c r="B1467" s="36" t="s">
        <v>1170</v>
      </c>
      <c r="C1467" s="117">
        <v>5500511020</v>
      </c>
      <c r="D1467" s="165">
        <v>45446</v>
      </c>
      <c r="E1467" s="117" t="s">
        <v>670</v>
      </c>
      <c r="F1467" s="36" t="str">
        <f>IFERROR(VLOOKUP(Table1[[#This Row],[Part Number]],DATABASE_FG!$C$6:D11456,2,FALSE)," ")</f>
        <v>HOUSING            DBD.20P1X/</v>
      </c>
      <c r="G1467" s="117" t="str">
        <f>IFERROR(_xlfn.XLOOKUP(Table1[[#This Row],[Part Number]],Table3[Part number],Table3[Drawing
 Revision]),"")</f>
        <v>AF</v>
      </c>
      <c r="H1467" s="118" cm="1">
        <f t="array" ref="H1467">IFERROR(INDEX(PDB!$C:$AT,MATCH(E1467,PDB!$B:$B,0),MATCH(YEAR(K1467),0+PDB!$C$1:$AT$1,0)),"")</f>
        <v>43.11</v>
      </c>
      <c r="I1467" s="36">
        <f>60-2-7</f>
        <v>51</v>
      </c>
      <c r="J1467" s="125">
        <f>IFERROR(Table1[[#This Row],[Quantity]]*Table1[[#This Row],[Price/Unit
EUR]]," ")</f>
        <v>2198.61</v>
      </c>
      <c r="K1467" s="126">
        <v>45960</v>
      </c>
      <c r="L1467" s="36">
        <f>WEEKNUM(Table1[[#This Row],[ETA
As requested
dd.mm.yyyy]])</f>
        <v>44</v>
      </c>
      <c r="M1467" s="36">
        <f>YEAR(Table1[[#This Row],[ETA
As requested
dd.mm.yyyy]])</f>
        <v>2025</v>
      </c>
      <c r="N1467" s="36">
        <f>IFERROR(INDEX(DATABASE_FG!$H$5:$H$367, MATCH(E1467, DATABASE_FG!$C$5:$C$367, 0)), " ")</f>
        <v>71</v>
      </c>
      <c r="O1467" s="129" t="str">
        <f>IF(E1467&lt;&gt;"", _xlfn.XLOOKUP(E1467, DATABASE_FG!C:C, DATABASE_FG!F:F), " ")</f>
        <v>DBD.20</v>
      </c>
      <c r="P1467" s="129">
        <f>IFERROR(INDEX(DATABASE_FG!$G$5:$G$367, MATCH(E1467, DATABASE_FG!$C$5:$C$367, 0)), "Not Found")</f>
        <v>64</v>
      </c>
      <c r="Q1467" s="36">
        <v>60</v>
      </c>
      <c r="R1467" s="125" t="s">
        <v>678</v>
      </c>
      <c r="S1467" s="123">
        <f>IFERROR(INDEX(DATABASE_FG!$L$5:$L$367, MATCH(E1467, DATABASE_FG!$C$5:$C$367, 0)), " ")</f>
        <v>56</v>
      </c>
      <c r="T1467" s="36" t="s">
        <v>677</v>
      </c>
      <c r="U1467" s="36"/>
      <c r="V1467" s="36"/>
      <c r="W1467" s="129"/>
      <c r="X1467" s="36"/>
      <c r="Y1467" s="36"/>
      <c r="Z1467" s="36"/>
      <c r="AA1467" s="125" t="s">
        <v>121</v>
      </c>
      <c r="AB1467" s="173">
        <v>45915</v>
      </c>
      <c r="AC1467" s="119">
        <v>251150</v>
      </c>
      <c r="AD1467" s="36">
        <f t="shared" si="173"/>
        <v>5500511020</v>
      </c>
      <c r="AE1467" s="36" t="str">
        <f t="shared" si="168"/>
        <v>R900305239</v>
      </c>
      <c r="AF1467" s="36">
        <v>51</v>
      </c>
      <c r="AG1467" s="120">
        <f t="shared" si="174"/>
        <v>2198.61</v>
      </c>
      <c r="AH1467" s="36"/>
      <c r="AI1467" s="124"/>
      <c r="AJ1467" s="122" t="s">
        <v>3826</v>
      </c>
      <c r="AK1467" s="129" t="str">
        <f t="shared" ca="1" si="172"/>
        <v>On Time</v>
      </c>
      <c r="AL1467" s="268" t="str">
        <f t="shared" si="171"/>
        <v>October</v>
      </c>
      <c r="AM1467" s="133">
        <f>YEAR(Table1[[#This Row],[ETA
As requested
dd.mm.yyyy]])</f>
        <v>2025</v>
      </c>
    </row>
    <row r="1468" spans="1:40" hidden="1">
      <c r="A1468" s="123" t="s">
        <v>27</v>
      </c>
      <c r="B1468" s="36" t="s">
        <v>1170</v>
      </c>
      <c r="C1468" s="117">
        <v>5500511020</v>
      </c>
      <c r="D1468" s="165">
        <v>45446</v>
      </c>
      <c r="E1468" s="117" t="s">
        <v>670</v>
      </c>
      <c r="F1468" s="36" t="str">
        <f>IFERROR(VLOOKUP(Table1[[#This Row],[Part Number]],DATABASE_FG!$C$6:D11457,2,FALSE)," ")</f>
        <v>HOUSING            DBD.20P1X/</v>
      </c>
      <c r="G1468" s="117" t="str">
        <f>IFERROR(_xlfn.XLOOKUP(Table1[[#This Row],[Part Number]],Table3[Part number],Table3[Drawing
 Revision]),"")</f>
        <v>AF</v>
      </c>
      <c r="H1468" s="118" cm="1">
        <f t="array" ref="H1468">IFERROR(INDEX(PDB!$C:$AT,MATCH(E1468,PDB!$B:$B,0),MATCH(YEAR(K1468),0+PDB!$C$1:$AT$1,0)),"")</f>
        <v>43.11</v>
      </c>
      <c r="I1468" s="36">
        <v>30</v>
      </c>
      <c r="J1468" s="125">
        <f>IFERROR(Table1[[#This Row],[Quantity]]*Table1[[#This Row],[Price/Unit
EUR]]," ")</f>
        <v>1293.3</v>
      </c>
      <c r="K1468" s="126">
        <v>45970</v>
      </c>
      <c r="L1468" s="36">
        <f>WEEKNUM(Table1[[#This Row],[ETA
As requested
dd.mm.yyyy]])</f>
        <v>46</v>
      </c>
      <c r="M1468" s="36">
        <f>YEAR(Table1[[#This Row],[ETA
As requested
dd.mm.yyyy]])</f>
        <v>2025</v>
      </c>
      <c r="N1468" s="36">
        <f>IFERROR(INDEX(DATABASE_FG!$H$5:$H$367, MATCH(E1468, DATABASE_FG!$C$5:$C$367, 0)), " ")</f>
        <v>71</v>
      </c>
      <c r="O1468" s="129" t="str">
        <f>IF(E1468&lt;&gt;"", _xlfn.XLOOKUP(E1468, DATABASE_FG!C:C, DATABASE_FG!F:F), " ")</f>
        <v>DBD.20</v>
      </c>
      <c r="P1468" s="129">
        <f>IFERROR(INDEX(DATABASE_FG!$G$5:$G$367, MATCH(E1468, DATABASE_FG!$C$5:$C$367, 0)), "Not Found")</f>
        <v>64</v>
      </c>
      <c r="Q1468" s="36">
        <v>60</v>
      </c>
      <c r="R1468" s="125" t="s">
        <v>678</v>
      </c>
      <c r="S1468" s="123">
        <f>IFERROR(INDEX(DATABASE_FG!$L$5:$L$367, MATCH(E1468, DATABASE_FG!$C$5:$C$367, 0)), " ")</f>
        <v>56</v>
      </c>
      <c r="T1468" s="36" t="s">
        <v>677</v>
      </c>
      <c r="U1468" s="36"/>
      <c r="V1468" s="36"/>
      <c r="W1468" s="129"/>
      <c r="X1468" s="36"/>
      <c r="Y1468" s="36"/>
      <c r="Z1468" s="36"/>
      <c r="AA1468" s="125" t="s">
        <v>121</v>
      </c>
      <c r="AB1468" s="173">
        <v>45915</v>
      </c>
      <c r="AC1468" s="119">
        <v>251150</v>
      </c>
      <c r="AD1468" s="36">
        <f t="shared" si="173"/>
        <v>5500511020</v>
      </c>
      <c r="AE1468" s="36" t="str">
        <f t="shared" si="168"/>
        <v>R900305239</v>
      </c>
      <c r="AF1468" s="36">
        <v>30</v>
      </c>
      <c r="AG1468" s="120">
        <f t="shared" si="174"/>
        <v>1293.3</v>
      </c>
      <c r="AH1468" s="36"/>
      <c r="AI1468" s="124"/>
      <c r="AJ1468" s="122" t="s">
        <v>3826</v>
      </c>
      <c r="AK1468" s="129" t="str">
        <f t="shared" ca="1" si="172"/>
        <v>On Time</v>
      </c>
      <c r="AL1468" s="268" t="str">
        <f t="shared" si="171"/>
        <v>November</v>
      </c>
      <c r="AM1468" s="133">
        <f>YEAR(Table1[[#This Row],[ETA
As requested
dd.mm.yyyy]])</f>
        <v>2025</v>
      </c>
    </row>
    <row r="1469" spans="1:40" hidden="1">
      <c r="A1469" s="123" t="s">
        <v>27</v>
      </c>
      <c r="B1469" s="36" t="s">
        <v>1170</v>
      </c>
      <c r="C1469" s="117">
        <v>5500511020</v>
      </c>
      <c r="D1469" s="165">
        <v>45446</v>
      </c>
      <c r="E1469" s="117" t="s">
        <v>670</v>
      </c>
      <c r="F1469" s="36" t="str">
        <f>IFERROR(VLOOKUP(Table1[[#This Row],[Part Number]],DATABASE_FG!$C$6:D11458,2,FALSE)," ")</f>
        <v>HOUSING            DBD.20P1X/</v>
      </c>
      <c r="G1469" s="117" t="str">
        <f>IFERROR(_xlfn.XLOOKUP(Table1[[#This Row],[Part Number]],Table3[Part number],Table3[Drawing
 Revision]),"")</f>
        <v>AF</v>
      </c>
      <c r="H1469" s="118" cm="1">
        <f t="array" ref="H1469">IFERROR(INDEX(PDB!$C:$AT,MATCH(E1469,PDB!$B:$B,0),MATCH(YEAR(K1469),0+PDB!$C$1:$AT$1,0)),"")</f>
        <v>0</v>
      </c>
      <c r="I1469" s="36">
        <v>9</v>
      </c>
      <c r="J1469" s="125">
        <f>IFERROR(Table1[[#This Row],[Quantity]]*Table1[[#This Row],[Price/Unit
EUR]]," ")</f>
        <v>0</v>
      </c>
      <c r="K1469" s="126">
        <v>46023</v>
      </c>
      <c r="L1469" s="36">
        <f>WEEKNUM(Table1[[#This Row],[ETA
As requested
dd.mm.yyyy]])</f>
        <v>1</v>
      </c>
      <c r="M1469" s="36">
        <f>YEAR(Table1[[#This Row],[ETA
As requested
dd.mm.yyyy]])</f>
        <v>2026</v>
      </c>
      <c r="N1469" s="36">
        <f>IFERROR(INDEX(DATABASE_FG!$H$5:$H$367, MATCH(E1469, DATABASE_FG!$C$5:$C$367, 0)), " ")</f>
        <v>71</v>
      </c>
      <c r="O1469" s="129" t="str">
        <f>IF(E1469&lt;&gt;"", _xlfn.XLOOKUP(E1469, DATABASE_FG!C:C, DATABASE_FG!F:F), " ")</f>
        <v>DBD.20</v>
      </c>
      <c r="P1469" s="129">
        <f>IFERROR(INDEX(DATABASE_FG!$G$5:$G$367, MATCH(E1469, DATABASE_FG!$C$5:$C$367, 0)), "Not Found")</f>
        <v>64</v>
      </c>
      <c r="Q1469" s="36">
        <v>60</v>
      </c>
      <c r="R1469" s="125" t="s">
        <v>678</v>
      </c>
      <c r="S1469" s="123">
        <f>IFERROR(INDEX(DATABASE_FG!$L$5:$L$367, MATCH(E1469, DATABASE_FG!$C$5:$C$367, 0)), " ")</f>
        <v>56</v>
      </c>
      <c r="T1469" s="36" t="s">
        <v>677</v>
      </c>
      <c r="U1469" s="36"/>
      <c r="V1469" s="36"/>
      <c r="W1469" s="129"/>
      <c r="X1469" s="36"/>
      <c r="Y1469" s="36"/>
      <c r="Z1469" s="36"/>
      <c r="AA1469" s="125" t="s">
        <v>121</v>
      </c>
      <c r="AB1469" s="173">
        <v>45915</v>
      </c>
      <c r="AC1469" s="119">
        <v>251150</v>
      </c>
      <c r="AD1469" s="36">
        <f t="shared" si="173"/>
        <v>5500511020</v>
      </c>
      <c r="AE1469" s="36" t="str">
        <f t="shared" si="168"/>
        <v>R900305239</v>
      </c>
      <c r="AF1469" s="36">
        <v>9</v>
      </c>
      <c r="AG1469" s="120">
        <f t="shared" si="174"/>
        <v>0</v>
      </c>
      <c r="AH1469" s="36"/>
      <c r="AI1469" s="124"/>
      <c r="AJ1469" s="122" t="s">
        <v>3826</v>
      </c>
      <c r="AK1469" s="129" t="str">
        <f t="shared" ca="1" si="172"/>
        <v>On Time</v>
      </c>
      <c r="AL1469" s="268" t="str">
        <f t="shared" si="171"/>
        <v>January</v>
      </c>
      <c r="AM1469" s="133">
        <f>YEAR(Table1[[#This Row],[ETA
As requested
dd.mm.yyyy]])</f>
        <v>2026</v>
      </c>
    </row>
    <row r="1470" spans="1:40" hidden="1">
      <c r="A1470" s="123" t="s">
        <v>27</v>
      </c>
      <c r="B1470" s="36" t="s">
        <v>1170</v>
      </c>
      <c r="C1470" s="117">
        <v>5500511020</v>
      </c>
      <c r="D1470" s="165">
        <v>45446</v>
      </c>
      <c r="E1470" s="117" t="s">
        <v>670</v>
      </c>
      <c r="F1470" s="36" t="str">
        <f>IFERROR(VLOOKUP(Table1[[#This Row],[Part Number]],DATABASE_FG!$C$6:D11459,2,FALSE)," ")</f>
        <v>HOUSING            DBD.20P1X/</v>
      </c>
      <c r="G1470" s="117" t="str">
        <f>IFERROR(_xlfn.XLOOKUP(Table1[[#This Row],[Part Number]],Table3[Part number],Table3[Drawing
 Revision]),"")</f>
        <v>AF</v>
      </c>
      <c r="H1470" s="118" cm="1">
        <f t="array" ref="H1470">IFERROR(INDEX(PDB!$C:$AT,MATCH(E1470,PDB!$B:$B,0),MATCH(YEAR(K1470),0+PDB!$C$1:$AT$1,0)),"")</f>
        <v>0</v>
      </c>
      <c r="I1470" s="36">
        <v>60</v>
      </c>
      <c r="J1470" s="125">
        <v>2311.3200000000002</v>
      </c>
      <c r="K1470" s="126">
        <v>46023</v>
      </c>
      <c r="L1470" s="36">
        <v>1</v>
      </c>
      <c r="M1470" s="36">
        <v>2026</v>
      </c>
      <c r="N1470" s="36">
        <v>71</v>
      </c>
      <c r="O1470" s="129" t="s">
        <v>39</v>
      </c>
      <c r="P1470" s="129">
        <v>64</v>
      </c>
      <c r="Q1470" s="36">
        <v>60</v>
      </c>
      <c r="R1470" s="125" t="s">
        <v>678</v>
      </c>
      <c r="S1470" s="123" t="s">
        <v>3</v>
      </c>
      <c r="T1470" s="36"/>
      <c r="U1470" s="36"/>
      <c r="V1470" s="36" t="s">
        <v>2720</v>
      </c>
      <c r="W1470" s="129" t="s">
        <v>2720</v>
      </c>
      <c r="X1470" s="36"/>
      <c r="Y1470" s="36">
        <v>0</v>
      </c>
      <c r="Z1470" s="36"/>
      <c r="AA1470" s="125" t="s">
        <v>3</v>
      </c>
      <c r="AB1470" s="173"/>
      <c r="AC1470" s="119"/>
      <c r="AD1470" s="36"/>
      <c r="AE1470" s="36" t="str">
        <f t="shared" si="168"/>
        <v/>
      </c>
      <c r="AF1470" s="36"/>
      <c r="AG1470" s="120">
        <f t="shared" si="174"/>
        <v>0</v>
      </c>
      <c r="AH1470" s="36"/>
      <c r="AI1470" s="124"/>
      <c r="AJ1470" s="122"/>
      <c r="AK1470" s="129" t="str">
        <f t="shared" ca="1" si="172"/>
        <v/>
      </c>
      <c r="AL1470" s="268" t="str">
        <f t="shared" si="171"/>
        <v>January</v>
      </c>
      <c r="AM1470" s="133">
        <f>YEAR(Table1[[#This Row],[ETA
As requested
dd.mm.yyyy]])</f>
        <v>2026</v>
      </c>
      <c r="AN1470" s="191"/>
    </row>
    <row r="1471" spans="1:40" hidden="1">
      <c r="A1471" s="123" t="s">
        <v>27</v>
      </c>
      <c r="B1471" s="36" t="s">
        <v>1170</v>
      </c>
      <c r="C1471" s="117">
        <v>5500511020</v>
      </c>
      <c r="D1471" s="165">
        <v>45446</v>
      </c>
      <c r="E1471" s="117" t="s">
        <v>670</v>
      </c>
      <c r="F1471" s="36" t="str">
        <f>IFERROR(VLOOKUP(Table1[[#This Row],[Part Number]],DATABASE_FG!$C$6:D11460,2,FALSE)," ")</f>
        <v>HOUSING            DBD.20P1X/</v>
      </c>
      <c r="G1471" s="117" t="str">
        <f>IFERROR(_xlfn.XLOOKUP(Table1[[#This Row],[Part Number]],Table3[Part number],Table3[Drawing
 Revision]),"")</f>
        <v>AF</v>
      </c>
      <c r="H1471" s="118" cm="1">
        <f t="array" ref="H1471">IFERROR(INDEX(PDB!$C:$AT,MATCH(E1471,PDB!$B:$B,0),MATCH(YEAR(K1471),0+PDB!$C$1:$AT$1,0)),"")</f>
        <v>0</v>
      </c>
      <c r="I1471" s="36">
        <v>60</v>
      </c>
      <c r="J1471" s="125">
        <f>IFERROR(Table1[[#This Row],[Quantity]]*Table1[[#This Row],[Price/Unit
EUR]]," ")</f>
        <v>0</v>
      </c>
      <c r="K1471" s="126">
        <v>46091</v>
      </c>
      <c r="L1471" s="36">
        <f>WEEKNUM(Table1[[#This Row],[ETA
As requested
dd.mm.yyyy]])</f>
        <v>11</v>
      </c>
      <c r="M1471" s="36">
        <f>YEAR(Table1[[#This Row],[ETA
As requested
dd.mm.yyyy]])</f>
        <v>2026</v>
      </c>
      <c r="N1471" s="36">
        <f>IFERROR(INDEX(DATABASE_FG!$H$5:$H$367, MATCH(E1471, DATABASE_FG!$C$5:$C$367, 0)), " ")</f>
        <v>71</v>
      </c>
      <c r="O1471" s="129" t="str">
        <f>IF(E1471&lt;&gt;"", _xlfn.XLOOKUP(E1471, DATABASE_FG!C:C, DATABASE_FG!F:F), " ")</f>
        <v>DBD.20</v>
      </c>
      <c r="P1471" s="129">
        <f>IFERROR(INDEX(DATABASE_FG!$G$5:$G$367, MATCH(E1471, DATABASE_FG!$C$5:$C$367, 0)), "Not Found")</f>
        <v>64</v>
      </c>
      <c r="Q1471" s="36">
        <v>60</v>
      </c>
      <c r="R1471" s="125" t="s">
        <v>678</v>
      </c>
      <c r="S1471" s="123">
        <f>IFERROR(INDEX(DATABASE_FG!$L$5:$L$367, MATCH(E1471, DATABASE_FG!$C$5:$C$367, 0)), " ")</f>
        <v>56</v>
      </c>
      <c r="T1471" s="36" t="s">
        <v>677</v>
      </c>
      <c r="U1471" s="36"/>
      <c r="V1471" s="36"/>
      <c r="W1471" s="129"/>
      <c r="X1471" s="36"/>
      <c r="Y1471" s="36"/>
      <c r="Z1471" s="36"/>
      <c r="AA1471" s="125" t="s">
        <v>3</v>
      </c>
      <c r="AB1471" s="173"/>
      <c r="AC1471" s="119"/>
      <c r="AD1471" s="36" t="str">
        <f t="shared" ref="AD1471:AD1534" si="175">IF(NOT(ISBLANK(AC1471)), C1471, "")</f>
        <v/>
      </c>
      <c r="AE1471" s="36" t="str">
        <f t="shared" si="168"/>
        <v/>
      </c>
      <c r="AF1471" s="36"/>
      <c r="AG1471" s="120">
        <f t="shared" si="174"/>
        <v>0</v>
      </c>
      <c r="AH1471" s="36"/>
      <c r="AI1471" s="124"/>
      <c r="AJ1471" s="122"/>
      <c r="AK1471" s="129" t="str">
        <f t="shared" ca="1" si="172"/>
        <v/>
      </c>
      <c r="AL1471" s="268" t="str">
        <f t="shared" si="171"/>
        <v>March</v>
      </c>
      <c r="AM1471" s="133">
        <f>YEAR(Table1[[#This Row],[ETA
As requested
dd.mm.yyyy]])</f>
        <v>2026</v>
      </c>
    </row>
    <row r="1472" spans="1:40" hidden="1">
      <c r="A1472" s="123" t="s">
        <v>27</v>
      </c>
      <c r="B1472" s="36" t="s">
        <v>1170</v>
      </c>
      <c r="C1472" s="117">
        <v>5500511021</v>
      </c>
      <c r="D1472" s="165">
        <v>45446</v>
      </c>
      <c r="E1472" s="117" t="s">
        <v>41</v>
      </c>
      <c r="F1472" s="36" t="str">
        <f>IFERROR(VLOOKUP(Table1[[#This Row],[Part Number]],DATABASE_FG!$C$6:D11461,2,FALSE)," ")</f>
        <v>HOUSING            DBD.20P1X/V</v>
      </c>
      <c r="G1472" s="117" t="str">
        <f>IFERROR(_xlfn.XLOOKUP(Table1[[#This Row],[Part Number]],Table3[Part number],Table3[Drawing
 Revision]),"")</f>
        <v>g</v>
      </c>
      <c r="H1472" s="118" cm="1">
        <f t="array" ref="H1472">IFERROR(INDEX(PDB!$C:$AT,MATCH(E1472,PDB!$B:$B,0),MATCH(YEAR(K1472),0+PDB!$C$1:$AT$1,0)),"")</f>
        <v>45.57</v>
      </c>
      <c r="I1472" s="36">
        <v>27</v>
      </c>
      <c r="J1472" s="125">
        <f>IFERROR(Table1[[#This Row],[Quantity]]*Table1[[#This Row],[Price/Unit
EUR]]," ")</f>
        <v>1230.3900000000001</v>
      </c>
      <c r="K1472" s="126">
        <v>45467</v>
      </c>
      <c r="L1472" s="36">
        <f>WEEKNUM(Table1[[#This Row],[ETA
As requested
dd.mm.yyyy]])</f>
        <v>26</v>
      </c>
      <c r="M1472" s="36">
        <f>YEAR(Table1[[#This Row],[ETA
As requested
dd.mm.yyyy]])</f>
        <v>2024</v>
      </c>
      <c r="N1472" s="36">
        <f>IFERROR(INDEX(DATABASE_FG!$H$5:$H$367, MATCH(E1472, DATABASE_FG!$C$5:$C$367, 0)), " ")</f>
        <v>109</v>
      </c>
      <c r="O1472" s="129" t="str">
        <f>IF(E1472&lt;&gt;"", _xlfn.XLOOKUP(E1472, DATABASE_FG!C:C, DATABASE_FG!F:F), " ")</f>
        <v>DBD.20</v>
      </c>
      <c r="P1472" s="129">
        <f>IFERROR(INDEX(DATABASE_FG!$G$5:$G$367, MATCH(E1472, DATABASE_FG!$C$5:$C$367, 0)), "Not Found")</f>
        <v>20</v>
      </c>
      <c r="Q1472" s="36">
        <v>60</v>
      </c>
      <c r="R1472" s="125" t="s">
        <v>678</v>
      </c>
      <c r="S1472" s="123">
        <f>IFERROR(INDEX(DATABASE_FG!$L$5:$L$367, MATCH(E1472, DATABASE_FG!$C$5:$C$367, 0)), " ")</f>
        <v>56</v>
      </c>
      <c r="T1472" s="36" t="s">
        <v>677</v>
      </c>
      <c r="U1472" s="36"/>
      <c r="V1472" s="36"/>
      <c r="W1472" s="129"/>
      <c r="X1472" s="36"/>
      <c r="Y1472" s="36"/>
      <c r="Z1472" s="36">
        <v>242205</v>
      </c>
      <c r="AA1472" s="125" t="s">
        <v>121</v>
      </c>
      <c r="AB1472" s="173">
        <v>45469</v>
      </c>
      <c r="AC1472" s="119">
        <v>2024725</v>
      </c>
      <c r="AD1472" s="36">
        <f t="shared" si="175"/>
        <v>5500511021</v>
      </c>
      <c r="AE1472" s="36" t="str">
        <f t="shared" si="168"/>
        <v>R900305240</v>
      </c>
      <c r="AF1472" s="36">
        <v>27</v>
      </c>
      <c r="AG1472" s="120">
        <f t="shared" si="174"/>
        <v>1230.3900000000001</v>
      </c>
      <c r="AH1472" s="36"/>
      <c r="AI1472" s="124"/>
      <c r="AJ1472" s="122" t="s">
        <v>1717</v>
      </c>
      <c r="AK1472" s="129" t="str">
        <f t="shared" ca="1" si="172"/>
        <v>On Time</v>
      </c>
      <c r="AL1472" s="268" t="str">
        <f t="shared" si="171"/>
        <v>June</v>
      </c>
      <c r="AM1472" s="133">
        <f>YEAR(Table1[[#This Row],[ETA
As requested
dd.mm.yyyy]])</f>
        <v>2024</v>
      </c>
    </row>
    <row r="1473" spans="1:40" hidden="1">
      <c r="A1473" s="123" t="s">
        <v>27</v>
      </c>
      <c r="B1473" s="36" t="s">
        <v>1170</v>
      </c>
      <c r="C1473" s="117">
        <v>5500511021</v>
      </c>
      <c r="D1473" s="165">
        <v>45561</v>
      </c>
      <c r="E1473" s="117" t="s">
        <v>41</v>
      </c>
      <c r="F1473" s="36" t="str">
        <f>IFERROR(VLOOKUP(Table1[[#This Row],[Part Number]],DATABASE_FG!$C$6:D11462,2,FALSE)," ")</f>
        <v>HOUSING            DBD.20P1X/V</v>
      </c>
      <c r="G1473" s="117" t="str">
        <f>IFERROR(_xlfn.XLOOKUP(Table1[[#This Row],[Part Number]],Table3[Part number],Table3[Drawing
 Revision]),"")</f>
        <v>g</v>
      </c>
      <c r="H1473" s="118" cm="1">
        <f t="array" ref="H1473">IFERROR(INDEX(PDB!$C:$AT,MATCH(E1473,PDB!$B:$B,0),MATCH(YEAR(K1473),0+PDB!$C$1:$AT$1,0)),"")</f>
        <v>45.57</v>
      </c>
      <c r="I1473" s="36">
        <v>3</v>
      </c>
      <c r="J1473" s="125">
        <f>IFERROR(Table1[[#This Row],[Quantity]]*Table1[[#This Row],[Price/Unit
EUR]]," ")</f>
        <v>136.71</v>
      </c>
      <c r="K1473" s="126">
        <v>45562</v>
      </c>
      <c r="L1473" s="36">
        <f>WEEKNUM(Table1[[#This Row],[ETA
As requested
dd.mm.yyyy]])</f>
        <v>39</v>
      </c>
      <c r="M1473" s="36">
        <f>YEAR(Table1[[#This Row],[ETA
As requested
dd.mm.yyyy]])</f>
        <v>2024</v>
      </c>
      <c r="N1473" s="36">
        <f>IFERROR(INDEX(DATABASE_FG!$H$5:$H$367, MATCH(E1473, DATABASE_FG!$C$5:$C$367, 0)), " ")</f>
        <v>109</v>
      </c>
      <c r="O1473" s="129" t="str">
        <f>IF(E1473&lt;&gt;"", _xlfn.XLOOKUP(E1473, DATABASE_FG!C:C, DATABASE_FG!F:F), " ")</f>
        <v>DBD.20</v>
      </c>
      <c r="P1473" s="129">
        <f>IFERROR(INDEX(DATABASE_FG!$G$5:$G$367, MATCH(E1473, DATABASE_FG!$C$5:$C$367, 0)), "Not Found")</f>
        <v>20</v>
      </c>
      <c r="Q1473" s="36">
        <v>60</v>
      </c>
      <c r="R1473" s="125" t="s">
        <v>678</v>
      </c>
      <c r="S1473" s="123">
        <f>IFERROR(INDEX(DATABASE_FG!$L$5:$L$367, MATCH(E1473, DATABASE_FG!$C$5:$C$367, 0)), " ")</f>
        <v>56</v>
      </c>
      <c r="T1473" s="36" t="s">
        <v>677</v>
      </c>
      <c r="U1473" s="36"/>
      <c r="V1473" s="36"/>
      <c r="W1473" s="129"/>
      <c r="X1473" s="36"/>
      <c r="Y1473" s="36"/>
      <c r="Z1473" s="36"/>
      <c r="AA1473" s="125" t="s">
        <v>121</v>
      </c>
      <c r="AB1473" s="173">
        <v>45562</v>
      </c>
      <c r="AC1473" s="119">
        <v>202401169</v>
      </c>
      <c r="AD1473" s="36">
        <f t="shared" si="175"/>
        <v>5500511021</v>
      </c>
      <c r="AE1473" s="36" t="str">
        <f t="shared" ref="AE1473:AE1536" si="176">IF(NOT(ISBLANK(AC1473)), E1473, "")</f>
        <v>R900305240</v>
      </c>
      <c r="AF1473" s="36">
        <v>3</v>
      </c>
      <c r="AG1473" s="120">
        <f t="shared" si="174"/>
        <v>136.71</v>
      </c>
      <c r="AH1473" s="36"/>
      <c r="AI1473" s="124"/>
      <c r="AJ1473" s="122" t="s">
        <v>2397</v>
      </c>
      <c r="AK1473" s="129" t="str">
        <f t="shared" ca="1" si="172"/>
        <v>On Time</v>
      </c>
      <c r="AL1473" s="268" t="str">
        <f t="shared" si="171"/>
        <v>September</v>
      </c>
      <c r="AM1473" s="133">
        <f>YEAR(Table1[[#This Row],[ETA
As requested
dd.mm.yyyy]])</f>
        <v>2024</v>
      </c>
    </row>
    <row r="1474" spans="1:40" hidden="1">
      <c r="A1474" s="123" t="s">
        <v>27</v>
      </c>
      <c r="B1474" s="36" t="s">
        <v>2464</v>
      </c>
      <c r="C1474" s="117">
        <v>5500511021</v>
      </c>
      <c r="D1474" s="165">
        <v>45561</v>
      </c>
      <c r="E1474" s="117" t="s">
        <v>41</v>
      </c>
      <c r="F1474" s="36" t="str">
        <f>IFERROR(VLOOKUP(Table1[[#This Row],[Part Number]],DATABASE_FG!$C$6:D11463,2,FALSE)," ")</f>
        <v>HOUSING            DBD.20P1X/V</v>
      </c>
      <c r="G1474" s="117" t="str">
        <f>IFERROR(_xlfn.XLOOKUP(Table1[[#This Row],[Part Number]],Table3[Part number],Table3[Drawing
 Revision]),"")</f>
        <v>g</v>
      </c>
      <c r="H1474" s="118" cm="1">
        <f t="array" ref="H1474">IFERROR(INDEX(PDB!$C:$AT,MATCH(E1474,PDB!$B:$B,0),MATCH(YEAR(K1474),0+PDB!$C$1:$AT$1,0)),"")</f>
        <v>45.25</v>
      </c>
      <c r="I1474" s="36">
        <v>20</v>
      </c>
      <c r="J1474" s="125">
        <f>IFERROR(Table1[[#This Row],[Quantity]]*Table1[[#This Row],[Price/Unit
EUR]]," ")</f>
        <v>905</v>
      </c>
      <c r="K1474" s="126">
        <v>45889</v>
      </c>
      <c r="L1474" s="36">
        <f>WEEKNUM(Table1[[#This Row],[ETA
As requested
dd.mm.yyyy]])</f>
        <v>34</v>
      </c>
      <c r="M1474" s="36">
        <f>YEAR(Table1[[#This Row],[ETA
As requested
dd.mm.yyyy]])</f>
        <v>2025</v>
      </c>
      <c r="N1474" s="36">
        <f>IFERROR(INDEX(DATABASE_FG!$H$5:$H$367, MATCH(E1474, DATABASE_FG!$C$5:$C$367, 0)), " ")</f>
        <v>109</v>
      </c>
      <c r="O1474" s="129" t="str">
        <f>IF(E1474&lt;&gt;"", _xlfn.XLOOKUP(E1474, DATABASE_FG!C:C, DATABASE_FG!F:F), " ")</f>
        <v>DBD.20</v>
      </c>
      <c r="P1474" s="129">
        <f>IFERROR(INDEX(DATABASE_FG!$G$5:$G$367, MATCH(E1474, DATABASE_FG!$C$5:$C$367, 0)), "Not Found")</f>
        <v>20</v>
      </c>
      <c r="Q1474" s="36">
        <v>60</v>
      </c>
      <c r="R1474" s="125" t="s">
        <v>678</v>
      </c>
      <c r="S1474" s="123">
        <f>IFERROR(INDEX(DATABASE_FG!$L$5:$L$367, MATCH(E1474, DATABASE_FG!$C$5:$C$367, 0)), " ")</f>
        <v>56</v>
      </c>
      <c r="T1474" s="36" t="s">
        <v>677</v>
      </c>
      <c r="U1474" s="36"/>
      <c r="V1474" s="36"/>
      <c r="W1474" s="129"/>
      <c r="X1474" s="36"/>
      <c r="Y1474" s="36"/>
      <c r="Z1474" s="36"/>
      <c r="AA1474" s="125" t="s">
        <v>121</v>
      </c>
      <c r="AB1474" s="173">
        <v>45945</v>
      </c>
      <c r="AC1474" s="119">
        <v>251187</v>
      </c>
      <c r="AD1474" s="36">
        <f t="shared" si="175"/>
        <v>5500511021</v>
      </c>
      <c r="AE1474" s="36" t="str">
        <f t="shared" si="176"/>
        <v>R900305240</v>
      </c>
      <c r="AF1474" s="36">
        <v>20</v>
      </c>
      <c r="AG1474" s="120">
        <f t="shared" si="174"/>
        <v>905</v>
      </c>
      <c r="AH1474" s="36"/>
      <c r="AI1474" s="124"/>
      <c r="AJ1474" s="122" t="s">
        <v>4364</v>
      </c>
      <c r="AK1474" s="129" t="str">
        <f t="shared" ca="1" si="172"/>
        <v>Late</v>
      </c>
      <c r="AL1474" s="268" t="str">
        <f t="shared" si="171"/>
        <v>August</v>
      </c>
      <c r="AM1474" s="133">
        <f>YEAR(Table1[[#This Row],[ETA
As requested
dd.mm.yyyy]])</f>
        <v>2025</v>
      </c>
    </row>
    <row r="1475" spans="1:40" hidden="1">
      <c r="A1475" s="195" t="s">
        <v>27</v>
      </c>
      <c r="B1475" s="194" t="s">
        <v>2464</v>
      </c>
      <c r="C1475" s="197">
        <v>5500511021</v>
      </c>
      <c r="D1475" s="196">
        <v>45561</v>
      </c>
      <c r="E1475" s="269" t="s">
        <v>41</v>
      </c>
      <c r="F1475" s="36" t="str">
        <f>IFERROR(VLOOKUP(Table1[[#This Row],[Part Number]],DATABASE_FG!$C$6:D11464,2,FALSE)," ")</f>
        <v>HOUSING            DBD.20P1X/V</v>
      </c>
      <c r="G1475" s="117" t="str">
        <f>IFERROR(_xlfn.XLOOKUP(Table1[[#This Row],[Part Number]],Table3[Part number],Table3[Drawing
 Revision]),"")</f>
        <v>g</v>
      </c>
      <c r="H1475" s="118" cm="1">
        <f t="array" ref="H1475">IFERROR(INDEX(PDB!$C:$AT,MATCH(E1475,PDB!$B:$B,0),MATCH(YEAR(K1475),0+PDB!$C$1:$AT$1,0)),"")</f>
        <v>45.25</v>
      </c>
      <c r="I1475" s="194">
        <v>40</v>
      </c>
      <c r="J1475" s="125">
        <f>IFERROR(Table1[[#This Row],[Quantity]]*Table1[[#This Row],[Price/Unit
EUR]]," ")</f>
        <v>1810</v>
      </c>
      <c r="K1475" s="126">
        <v>45926</v>
      </c>
      <c r="L1475" s="194">
        <v>44</v>
      </c>
      <c r="M1475" s="194">
        <v>2025</v>
      </c>
      <c r="N1475" s="194">
        <v>109</v>
      </c>
      <c r="O1475" s="129" t="s">
        <v>39</v>
      </c>
      <c r="P1475" s="129">
        <v>20</v>
      </c>
      <c r="Q1475" s="194">
        <v>60</v>
      </c>
      <c r="R1475" s="125" t="s">
        <v>678</v>
      </c>
      <c r="S1475" s="123" t="s">
        <v>3</v>
      </c>
      <c r="T1475" s="36"/>
      <c r="U1475" s="194"/>
      <c r="V1475" s="194" t="s">
        <v>2720</v>
      </c>
      <c r="W1475" s="204" t="s">
        <v>2720</v>
      </c>
      <c r="X1475" s="194"/>
      <c r="Y1475" s="194">
        <v>0</v>
      </c>
      <c r="Z1475" s="194"/>
      <c r="AA1475" s="125" t="s">
        <v>121</v>
      </c>
      <c r="AB1475" s="205">
        <v>45945</v>
      </c>
      <c r="AC1475" s="201">
        <v>251187</v>
      </c>
      <c r="AD1475" s="36">
        <f t="shared" si="175"/>
        <v>5500511021</v>
      </c>
      <c r="AE1475" s="36" t="str">
        <f t="shared" si="176"/>
        <v>R900305240</v>
      </c>
      <c r="AF1475" s="194">
        <v>40</v>
      </c>
      <c r="AG1475" s="120">
        <f t="shared" si="174"/>
        <v>1810</v>
      </c>
      <c r="AH1475" s="194"/>
      <c r="AI1475" s="202"/>
      <c r="AJ1475" s="122" t="s">
        <v>4364</v>
      </c>
      <c r="AK1475" s="129" t="str">
        <f t="shared" ca="1" si="172"/>
        <v>Late</v>
      </c>
      <c r="AL1475" s="268" t="str">
        <f t="shared" si="171"/>
        <v>September</v>
      </c>
      <c r="AM1475" s="133">
        <f>YEAR(Table1[[#This Row],[ETA
As requested
dd.mm.yyyy]])</f>
        <v>2025</v>
      </c>
      <c r="AN1475" s="191"/>
    </row>
    <row r="1476" spans="1:40" hidden="1">
      <c r="A1476" s="123" t="s">
        <v>27</v>
      </c>
      <c r="B1476" s="36" t="s">
        <v>2464</v>
      </c>
      <c r="C1476" s="117">
        <v>5500511021</v>
      </c>
      <c r="D1476" s="165">
        <v>45561</v>
      </c>
      <c r="E1476" s="117" t="s">
        <v>41</v>
      </c>
      <c r="F1476" s="36" t="str">
        <f>IFERROR(VLOOKUP(Table1[[#This Row],[Part Number]],DATABASE_FG!$C$6:D11465,2,FALSE)," ")</f>
        <v>HOUSING            DBD.20P1X/V</v>
      </c>
      <c r="G1476" s="117" t="str">
        <f>IFERROR(_xlfn.XLOOKUP(Table1[[#This Row],[Part Number]],Table3[Part number],Table3[Drawing
 Revision]),"")</f>
        <v>g</v>
      </c>
      <c r="H1476" s="118" cm="1">
        <f t="array" ref="H1476">IFERROR(INDEX(PDB!$C:$AT,MATCH(E1476,PDB!$B:$B,0),MATCH(YEAR(K1476),0+PDB!$C$1:$AT$1,0)),"")</f>
        <v>45.25</v>
      </c>
      <c r="I1476" s="36">
        <v>2</v>
      </c>
      <c r="J1476" s="125">
        <f>IFERROR(Table1[[#This Row],[Quantity]]*Table1[[#This Row],[Price/Unit
EUR]]," ")</f>
        <v>90.5</v>
      </c>
      <c r="K1476" s="126">
        <v>45985</v>
      </c>
      <c r="L1476" s="36">
        <f>WEEKNUM(Table1[[#This Row],[ETA
As requested
dd.mm.yyyy]])</f>
        <v>48</v>
      </c>
      <c r="M1476" s="36">
        <f>YEAR(Table1[[#This Row],[ETA
As requested
dd.mm.yyyy]])</f>
        <v>2025</v>
      </c>
      <c r="N1476" s="36">
        <f>IFERROR(INDEX(DATABASE_FG!$H$5:$H$367, MATCH(E1476, DATABASE_FG!$C$5:$C$367, 0)), " ")</f>
        <v>109</v>
      </c>
      <c r="O1476" s="129" t="str">
        <f>IF(E1476&lt;&gt;"", _xlfn.XLOOKUP(E1476, DATABASE_FG!C:C, DATABASE_FG!F:F), " ")</f>
        <v>DBD.20</v>
      </c>
      <c r="P1476" s="129">
        <f>IFERROR(INDEX(DATABASE_FG!$G$5:$G$367, MATCH(E1476, DATABASE_FG!$C$5:$C$367, 0)), "Not Found")</f>
        <v>20</v>
      </c>
      <c r="Q1476" s="36">
        <v>60</v>
      </c>
      <c r="R1476" s="125" t="s">
        <v>678</v>
      </c>
      <c r="S1476" s="123">
        <f>Table1[[#This Row],[Quantity]]/48</f>
        <v>4.1666666666666664E-2</v>
      </c>
      <c r="T1476" s="36"/>
      <c r="U1476" s="36"/>
      <c r="V1476" s="36"/>
      <c r="W1476" s="129"/>
      <c r="X1476" s="36"/>
      <c r="Y1476" s="36"/>
      <c r="Z1476" s="36"/>
      <c r="AA1476" s="125" t="s">
        <v>121</v>
      </c>
      <c r="AB1476" s="205">
        <v>45945</v>
      </c>
      <c r="AC1476" s="201">
        <v>251187</v>
      </c>
      <c r="AD1476" s="36">
        <f t="shared" si="175"/>
        <v>5500511021</v>
      </c>
      <c r="AE1476" s="36" t="str">
        <f t="shared" si="176"/>
        <v>R900305240</v>
      </c>
      <c r="AF1476" s="36">
        <v>2</v>
      </c>
      <c r="AG1476" s="120">
        <f t="shared" si="174"/>
        <v>90.5</v>
      </c>
      <c r="AH1476" s="36"/>
      <c r="AI1476" s="124"/>
      <c r="AJ1476" s="122" t="s">
        <v>4364</v>
      </c>
      <c r="AK1476" s="129" t="str">
        <f t="shared" ca="1" si="172"/>
        <v>On Time</v>
      </c>
      <c r="AL1476" s="268" t="str">
        <f t="shared" si="171"/>
        <v>November</v>
      </c>
      <c r="AM1476" s="133">
        <f>YEAR(Table1[[#This Row],[ETA
As requested
dd.mm.yyyy]])</f>
        <v>2025</v>
      </c>
      <c r="AN1476" s="191"/>
    </row>
    <row r="1477" spans="1:40" hidden="1">
      <c r="A1477" s="123" t="s">
        <v>27</v>
      </c>
      <c r="B1477" s="36" t="s">
        <v>2464</v>
      </c>
      <c r="C1477" s="117">
        <v>5500511021</v>
      </c>
      <c r="D1477" s="165">
        <v>45561</v>
      </c>
      <c r="E1477" s="117" t="s">
        <v>41</v>
      </c>
      <c r="F1477" s="36" t="str">
        <f>IFERROR(VLOOKUP(Table1[[#This Row],[Part Number]],DATABASE_FG!$C$6:D11466,2,FALSE)," ")</f>
        <v>HOUSING            DBD.20P1X/V</v>
      </c>
      <c r="G1477" s="117" t="str">
        <f>IFERROR(_xlfn.XLOOKUP(Table1[[#This Row],[Part Number]],Table3[Part number],Table3[Drawing
 Revision]),"")</f>
        <v>g</v>
      </c>
      <c r="H1477" s="118" cm="1">
        <f t="array" ref="H1477">IFERROR(INDEX(PDB!$C:$AT,MATCH(E1477,PDB!$B:$B,0),MATCH(YEAR(K1477),0+PDB!$C$1:$AT$1,0)),"")</f>
        <v>45.25</v>
      </c>
      <c r="I1477" s="36">
        <f>20-2</f>
        <v>18</v>
      </c>
      <c r="J1477" s="125">
        <f>IFERROR(Table1[[#This Row],[Quantity]]*Table1[[#This Row],[Price/Unit
EUR]]," ")</f>
        <v>814.5</v>
      </c>
      <c r="K1477" s="126">
        <v>45985</v>
      </c>
      <c r="L1477" s="36">
        <f>WEEKNUM(Table1[[#This Row],[ETA
As requested
dd.mm.yyyy]])</f>
        <v>48</v>
      </c>
      <c r="M1477" s="36">
        <f>YEAR(Table1[[#This Row],[ETA
As requested
dd.mm.yyyy]])</f>
        <v>2025</v>
      </c>
      <c r="N1477" s="36">
        <f>IFERROR(INDEX(DATABASE_FG!$H$5:$H$367, MATCH(E1477, DATABASE_FG!$C$5:$C$367, 0)), " ")</f>
        <v>109</v>
      </c>
      <c r="O1477" s="129" t="str">
        <f>IF(E1477&lt;&gt;"", _xlfn.XLOOKUP(E1477, DATABASE_FG!C:C, DATABASE_FG!F:F), " ")</f>
        <v>DBD.20</v>
      </c>
      <c r="P1477" s="129">
        <f>IFERROR(INDEX(DATABASE_FG!$G$5:$G$367, MATCH(E1477, DATABASE_FG!$C$5:$C$367, 0)), "Not Found")</f>
        <v>20</v>
      </c>
      <c r="Q1477" s="36">
        <v>60</v>
      </c>
      <c r="R1477" s="125" t="s">
        <v>678</v>
      </c>
      <c r="S1477" s="123">
        <f>IFERROR(INDEX(DATABASE_FG!$L$5:$L$367, MATCH(E1477, DATABASE_FG!$C$5:$C$367, 0)), " ")</f>
        <v>56</v>
      </c>
      <c r="T1477" s="36" t="s">
        <v>677</v>
      </c>
      <c r="U1477" s="36"/>
      <c r="V1477" s="36"/>
      <c r="W1477" s="129"/>
      <c r="X1477" s="36"/>
      <c r="Y1477" s="36"/>
      <c r="Z1477" s="36"/>
      <c r="AA1477" s="125" t="s">
        <v>3</v>
      </c>
      <c r="AB1477" s="173"/>
      <c r="AC1477" s="119"/>
      <c r="AD1477" s="36" t="str">
        <f t="shared" si="175"/>
        <v/>
      </c>
      <c r="AE1477" s="36" t="str">
        <f t="shared" si="176"/>
        <v/>
      </c>
      <c r="AF1477" s="36"/>
      <c r="AG1477" s="120">
        <f t="shared" si="174"/>
        <v>0</v>
      </c>
      <c r="AH1477" s="36"/>
      <c r="AI1477" s="124"/>
      <c r="AJ1477" s="122"/>
      <c r="AK1477" s="129" t="str">
        <f t="shared" ca="1" si="172"/>
        <v/>
      </c>
      <c r="AL1477" s="268" t="str">
        <f t="shared" si="171"/>
        <v>November</v>
      </c>
      <c r="AM1477" s="133">
        <f>YEAR(Table1[[#This Row],[ETA
As requested
dd.mm.yyyy]])</f>
        <v>2025</v>
      </c>
    </row>
    <row r="1478" spans="1:40" hidden="1">
      <c r="A1478" s="123" t="s">
        <v>27</v>
      </c>
      <c r="B1478" s="36" t="s">
        <v>1170</v>
      </c>
      <c r="C1478" s="117">
        <v>5500511022</v>
      </c>
      <c r="D1478" s="165">
        <v>45369</v>
      </c>
      <c r="E1478" s="117" t="s">
        <v>46</v>
      </c>
      <c r="F1478" s="36" t="str">
        <f>IFERROR(VLOOKUP(Table1[[#This Row],[Part Number]],DATABASE_FG!$C$6:D11467,2,FALSE)," ")</f>
        <v>HOUSING            DBD.25G1X/</v>
      </c>
      <c r="G1478" s="117" t="str">
        <f>IFERROR(_xlfn.XLOOKUP(Table1[[#This Row],[Part Number]],Table3[Part number],Table3[Drawing
 Revision]),"")</f>
        <v>f</v>
      </c>
      <c r="H1478" s="118" cm="1">
        <f t="array" ref="H1478">IFERROR(INDEX(PDB!$C:$AT,MATCH(E1478,PDB!$B:$B,0),MATCH(YEAR(K1478),0+PDB!$C$1:$AT$1,0)),"")</f>
        <v>118.15</v>
      </c>
      <c r="I1478" s="36">
        <v>50</v>
      </c>
      <c r="J1478" s="125">
        <f>IFERROR(Table1[[#This Row],[Quantity]]*Table1[[#This Row],[Price/Unit
EUR]]," ")</f>
        <v>5907.5</v>
      </c>
      <c r="K1478" s="126">
        <v>45398</v>
      </c>
      <c r="L1478" s="36">
        <f>WEEKNUM(Table1[[#This Row],[ETA
As requested
dd.mm.yyyy]])</f>
        <v>16</v>
      </c>
      <c r="M1478" s="36">
        <f>YEAR(Table1[[#This Row],[ETA
As requested
dd.mm.yyyy]])</f>
        <v>2024</v>
      </c>
      <c r="N1478" s="36">
        <f>IFERROR(INDEX(DATABASE_FG!$H$5:$H$367, MATCH(E1478, DATABASE_FG!$C$5:$C$367, 0)), " ")</f>
        <v>33</v>
      </c>
      <c r="O1478" s="129" t="str">
        <f>IF(E1478&lt;&gt;"", _xlfn.XLOOKUP(E1478, DATABASE_FG!C:C, DATABASE_FG!F:F), " ")</f>
        <v>DBD.25</v>
      </c>
      <c r="P1478" s="129">
        <f>IFERROR(INDEX(DATABASE_FG!$G$5:$G$367, MATCH(E1478, DATABASE_FG!$C$5:$C$367, 0)), "Not Found")</f>
        <v>12</v>
      </c>
      <c r="Q1478" s="36">
        <v>60</v>
      </c>
      <c r="R1478" s="125" t="s">
        <v>678</v>
      </c>
      <c r="S1478" s="123">
        <f>IFERROR(INDEX(DATABASE_FG!$L$5:$L$367, MATCH(E1478, DATABASE_FG!$C$5:$C$367, 0)), " ")</f>
        <v>42</v>
      </c>
      <c r="T1478" s="36" t="s">
        <v>679</v>
      </c>
      <c r="U1478" s="36"/>
      <c r="V1478" s="36"/>
      <c r="W1478" s="129"/>
      <c r="X1478" s="36"/>
      <c r="Y1478" s="36"/>
      <c r="Z1478" s="36" t="s">
        <v>1350</v>
      </c>
      <c r="AA1478" s="125" t="s">
        <v>121</v>
      </c>
      <c r="AB1478" s="173">
        <v>45393</v>
      </c>
      <c r="AC1478" s="119">
        <v>2024329</v>
      </c>
      <c r="AD1478" s="36">
        <f t="shared" si="175"/>
        <v>5500511022</v>
      </c>
      <c r="AE1478" s="36" t="str">
        <f t="shared" si="176"/>
        <v>R900305241</v>
      </c>
      <c r="AF1478" s="36">
        <v>50</v>
      </c>
      <c r="AG1478" s="120">
        <f t="shared" si="174"/>
        <v>5907.5</v>
      </c>
      <c r="AH1478" s="36"/>
      <c r="AI1478" s="124"/>
      <c r="AJ1478" s="122" t="s">
        <v>1351</v>
      </c>
      <c r="AK1478" s="129" t="str">
        <f t="shared" ca="1" si="172"/>
        <v>On Time</v>
      </c>
      <c r="AL1478" s="268" t="str">
        <f t="shared" si="171"/>
        <v>April</v>
      </c>
      <c r="AM1478" s="133">
        <f>YEAR(Table1[[#This Row],[ETA
As requested
dd.mm.yyyy]])</f>
        <v>2024</v>
      </c>
    </row>
    <row r="1479" spans="1:40" hidden="1">
      <c r="A1479" s="123" t="s">
        <v>27</v>
      </c>
      <c r="B1479" s="36" t="s">
        <v>1170</v>
      </c>
      <c r="C1479" s="117">
        <v>5500511022</v>
      </c>
      <c r="D1479" s="165">
        <v>45404</v>
      </c>
      <c r="E1479" s="117" t="s">
        <v>46</v>
      </c>
      <c r="F1479" s="36" t="str">
        <f>IFERROR(VLOOKUP(Table1[[#This Row],[Part Number]],DATABASE_FG!$C$6:D11468,2,FALSE)," ")</f>
        <v>HOUSING            DBD.25G1X/</v>
      </c>
      <c r="G1479" s="117" t="str">
        <f>IFERROR(_xlfn.XLOOKUP(Table1[[#This Row],[Part Number]],Table3[Part number],Table3[Drawing
 Revision]),"")</f>
        <v>f</v>
      </c>
      <c r="H1479" s="118" cm="1">
        <f t="array" ref="H1479">IFERROR(INDEX(PDB!$C:$AT,MATCH(E1479,PDB!$B:$B,0),MATCH(YEAR(K1479),0+PDB!$C$1:$AT$1,0)),"")</f>
        <v>118.15</v>
      </c>
      <c r="I1479" s="36">
        <v>50</v>
      </c>
      <c r="J1479" s="125">
        <f>IFERROR(Table1[[#This Row],[Quantity]]*Table1[[#This Row],[Price/Unit
EUR]]," ")</f>
        <v>5907.5</v>
      </c>
      <c r="K1479" s="126">
        <v>45408</v>
      </c>
      <c r="L1479" s="36">
        <f>WEEKNUM(Table1[[#This Row],[ETA
As requested
dd.mm.yyyy]])</f>
        <v>17</v>
      </c>
      <c r="M1479" s="36">
        <f>YEAR(Table1[[#This Row],[ETA
As requested
dd.mm.yyyy]])</f>
        <v>2024</v>
      </c>
      <c r="N1479" s="36">
        <f>IFERROR(INDEX(DATABASE_FG!$H$5:$H$367, MATCH(E1479, DATABASE_FG!$C$5:$C$367, 0)), " ")</f>
        <v>33</v>
      </c>
      <c r="O1479" s="129" t="str">
        <f>IF(E1479&lt;&gt;"", _xlfn.XLOOKUP(E1479, DATABASE_FG!C:C, DATABASE_FG!F:F), " ")</f>
        <v>DBD.25</v>
      </c>
      <c r="P1479" s="129">
        <f>IFERROR(INDEX(DATABASE_FG!$G$5:$G$367, MATCH(E1479, DATABASE_FG!$C$5:$C$367, 0)), "Not Found")</f>
        <v>12</v>
      </c>
      <c r="Q1479" s="36">
        <v>60</v>
      </c>
      <c r="R1479" s="125" t="s">
        <v>678</v>
      </c>
      <c r="S1479" s="123">
        <f>IFERROR(INDEX(DATABASE_FG!$L$5:$L$367, MATCH(E1479, DATABASE_FG!$C$5:$C$367, 0)), " ")</f>
        <v>42</v>
      </c>
      <c r="T1479" s="36" t="s">
        <v>679</v>
      </c>
      <c r="U1479" s="36"/>
      <c r="V1479" s="36"/>
      <c r="W1479" s="129"/>
      <c r="X1479" s="36"/>
      <c r="Y1479" s="36"/>
      <c r="Z1479" s="36" t="s">
        <v>1406</v>
      </c>
      <c r="AA1479" s="125" t="s">
        <v>121</v>
      </c>
      <c r="AB1479" s="173">
        <v>45406</v>
      </c>
      <c r="AC1479" s="119">
        <v>2024392</v>
      </c>
      <c r="AD1479" s="36">
        <f t="shared" si="175"/>
        <v>5500511022</v>
      </c>
      <c r="AE1479" s="36" t="str">
        <f t="shared" si="176"/>
        <v>R900305241</v>
      </c>
      <c r="AF1479" s="36">
        <v>50</v>
      </c>
      <c r="AG1479" s="120">
        <f t="shared" si="174"/>
        <v>5907.5</v>
      </c>
      <c r="AH1479" s="36"/>
      <c r="AI1479" s="124" t="s">
        <v>1407</v>
      </c>
      <c r="AJ1479" s="122" t="s">
        <v>1408</v>
      </c>
      <c r="AK1479" s="129" t="str">
        <f t="shared" ca="1" si="172"/>
        <v>On Time</v>
      </c>
      <c r="AL1479" s="268" t="str">
        <f t="shared" si="171"/>
        <v>April</v>
      </c>
      <c r="AM1479" s="133">
        <f>YEAR(Table1[[#This Row],[ETA
As requested
dd.mm.yyyy]])</f>
        <v>2024</v>
      </c>
    </row>
    <row r="1480" spans="1:40" hidden="1">
      <c r="A1480" s="123" t="s">
        <v>27</v>
      </c>
      <c r="B1480" s="36" t="s">
        <v>1170</v>
      </c>
      <c r="C1480" s="117">
        <v>5500511022</v>
      </c>
      <c r="D1480" s="165">
        <v>45404</v>
      </c>
      <c r="E1480" s="117" t="s">
        <v>46</v>
      </c>
      <c r="F1480" s="36" t="str">
        <f>IFERROR(VLOOKUP(Table1[[#This Row],[Part Number]],DATABASE_FG!$C$6:D11469,2,FALSE)," ")</f>
        <v>HOUSING            DBD.25G1X/</v>
      </c>
      <c r="G1480" s="117" t="str">
        <f>IFERROR(_xlfn.XLOOKUP(Table1[[#This Row],[Part Number]],Table3[Part number],Table3[Drawing
 Revision]),"")</f>
        <v>f</v>
      </c>
      <c r="H1480" s="118" cm="1">
        <f t="array" ref="H1480">IFERROR(INDEX(PDB!$C:$AT,MATCH(E1480,PDB!$B:$B,0),MATCH(YEAR(K1480),0+PDB!$C$1:$AT$1,0)),"")</f>
        <v>118.15</v>
      </c>
      <c r="I1480" s="36">
        <v>46</v>
      </c>
      <c r="J1480" s="125">
        <f>IFERROR(Table1[[#This Row],[Quantity]]*Table1[[#This Row],[Price/Unit
EUR]]," ")</f>
        <v>5434.9000000000005</v>
      </c>
      <c r="K1480" s="126">
        <v>45429</v>
      </c>
      <c r="L1480" s="36">
        <f>WEEKNUM(Table1[[#This Row],[ETA
As requested
dd.mm.yyyy]])</f>
        <v>20</v>
      </c>
      <c r="M1480" s="36">
        <f>YEAR(Table1[[#This Row],[ETA
As requested
dd.mm.yyyy]])</f>
        <v>2024</v>
      </c>
      <c r="N1480" s="36">
        <f>IFERROR(INDEX(DATABASE_FG!$H$5:$H$367, MATCH(E1480, DATABASE_FG!$C$5:$C$367, 0)), " ")</f>
        <v>33</v>
      </c>
      <c r="O1480" s="129" t="str">
        <f>IF(E1480&lt;&gt;"", _xlfn.XLOOKUP(E1480, DATABASE_FG!C:C, DATABASE_FG!F:F), " ")</f>
        <v>DBD.25</v>
      </c>
      <c r="P1480" s="129">
        <f>IFERROR(INDEX(DATABASE_FG!$G$5:$G$367, MATCH(E1480, DATABASE_FG!$C$5:$C$367, 0)), "Not Found")</f>
        <v>12</v>
      </c>
      <c r="Q1480" s="36">
        <v>60</v>
      </c>
      <c r="R1480" s="125" t="s">
        <v>678</v>
      </c>
      <c r="S1480" s="123">
        <f>IFERROR(INDEX(DATABASE_FG!$L$5:$L$367, MATCH(E1480, DATABASE_FG!$C$5:$C$367, 0)), " ")</f>
        <v>42</v>
      </c>
      <c r="T1480" s="36" t="s">
        <v>679</v>
      </c>
      <c r="U1480" s="36"/>
      <c r="V1480" s="36"/>
      <c r="W1480" s="129"/>
      <c r="X1480" s="36"/>
      <c r="Y1480" s="36"/>
      <c r="Z1480" s="36" t="s">
        <v>1523</v>
      </c>
      <c r="AA1480" s="125" t="s">
        <v>121</v>
      </c>
      <c r="AB1480" s="173">
        <v>45406</v>
      </c>
      <c r="AC1480" s="119">
        <v>2024393</v>
      </c>
      <c r="AD1480" s="36">
        <f t="shared" si="175"/>
        <v>5500511022</v>
      </c>
      <c r="AE1480" s="36" t="str">
        <f t="shared" si="176"/>
        <v>R900305241</v>
      </c>
      <c r="AF1480" s="36">
        <v>10</v>
      </c>
      <c r="AG1480" s="120">
        <f t="shared" si="174"/>
        <v>1181.5</v>
      </c>
      <c r="AH1480" s="36"/>
      <c r="AI1480" s="124"/>
      <c r="AJ1480" s="122" t="s">
        <v>1524</v>
      </c>
      <c r="AK1480" s="129" t="str">
        <f t="shared" ca="1" si="172"/>
        <v>On Time</v>
      </c>
      <c r="AL1480" s="268" t="str">
        <f t="shared" si="171"/>
        <v>May</v>
      </c>
      <c r="AM1480" s="133">
        <f>YEAR(Table1[[#This Row],[ETA
As requested
dd.mm.yyyy]])</f>
        <v>2024</v>
      </c>
    </row>
    <row r="1481" spans="1:40" hidden="1">
      <c r="A1481" s="123" t="s">
        <v>27</v>
      </c>
      <c r="B1481" s="36" t="s">
        <v>1170</v>
      </c>
      <c r="C1481" s="117">
        <v>5500511022</v>
      </c>
      <c r="D1481" s="165">
        <v>45404</v>
      </c>
      <c r="E1481" s="117" t="s">
        <v>46</v>
      </c>
      <c r="F1481" s="36" t="str">
        <f>IFERROR(VLOOKUP(Table1[[#This Row],[Part Number]],DATABASE_FG!$C$6:D11470,2,FALSE)," ")</f>
        <v>HOUSING            DBD.25G1X/</v>
      </c>
      <c r="G1481" s="117" t="str">
        <f>IFERROR(_xlfn.XLOOKUP(Table1[[#This Row],[Part Number]],Table3[Part number],Table3[Drawing
 Revision]),"")</f>
        <v>f</v>
      </c>
      <c r="H1481" s="118" cm="1">
        <f t="array" ref="H1481">IFERROR(INDEX(PDB!$C:$AT,MATCH(E1481,PDB!$B:$B,0),MATCH(YEAR(K1481),0+PDB!$C$1:$AT$1,0)),"")</f>
        <v>118.15</v>
      </c>
      <c r="I1481" s="36">
        <v>36</v>
      </c>
      <c r="J1481" s="125">
        <f>IFERROR(Table1[[#This Row],[Quantity]]*Table1[[#This Row],[Price/Unit
EUR]]," ")</f>
        <v>4253.4000000000005</v>
      </c>
      <c r="K1481" s="126">
        <v>45429</v>
      </c>
      <c r="L1481" s="36">
        <f>WEEKNUM(Table1[[#This Row],[ETA
As requested
dd.mm.yyyy]])</f>
        <v>20</v>
      </c>
      <c r="M1481" s="36">
        <f>YEAR(Table1[[#This Row],[ETA
As requested
dd.mm.yyyy]])</f>
        <v>2024</v>
      </c>
      <c r="N1481" s="36">
        <f>IFERROR(INDEX(DATABASE_FG!$H$5:$H$367, MATCH(E1481, DATABASE_FG!$C$5:$C$367, 0)), " ")</f>
        <v>33</v>
      </c>
      <c r="O1481" s="129" t="str">
        <f>IF(E1481&lt;&gt;"", _xlfn.XLOOKUP(E1481, DATABASE_FG!C:C, DATABASE_FG!F:F), " ")</f>
        <v>DBD.25</v>
      </c>
      <c r="P1481" s="129">
        <f>IFERROR(INDEX(DATABASE_FG!$G$5:$G$367, MATCH(E1481, DATABASE_FG!$C$5:$C$367, 0)), "Not Found")</f>
        <v>12</v>
      </c>
      <c r="Q1481" s="36">
        <v>60</v>
      </c>
      <c r="R1481" s="125" t="s">
        <v>678</v>
      </c>
      <c r="S1481" s="123">
        <f>IFERROR(INDEX(DATABASE_FG!$L$5:$L$367, MATCH(E1481, DATABASE_FG!$C$5:$C$367, 0)), " ")</f>
        <v>42</v>
      </c>
      <c r="T1481" s="36" t="s">
        <v>679</v>
      </c>
      <c r="U1481" s="36"/>
      <c r="V1481" s="36"/>
      <c r="W1481" s="129"/>
      <c r="X1481" s="36"/>
      <c r="Y1481" s="36"/>
      <c r="Z1481" s="36"/>
      <c r="AA1481" s="125" t="s">
        <v>121</v>
      </c>
      <c r="AB1481" s="173">
        <v>45407</v>
      </c>
      <c r="AC1481" s="119">
        <v>2024399</v>
      </c>
      <c r="AD1481" s="36">
        <f t="shared" si="175"/>
        <v>5500511022</v>
      </c>
      <c r="AE1481" s="36" t="str">
        <f t="shared" si="176"/>
        <v>R900305241</v>
      </c>
      <c r="AF1481" s="36">
        <v>36</v>
      </c>
      <c r="AG1481" s="120">
        <f t="shared" si="174"/>
        <v>4253.4000000000005</v>
      </c>
      <c r="AH1481" s="36"/>
      <c r="AI1481" s="124" t="s">
        <v>1525</v>
      </c>
      <c r="AJ1481" s="122" t="s">
        <v>1526</v>
      </c>
      <c r="AK1481" s="129" t="str">
        <f t="shared" ca="1" si="172"/>
        <v>On Time</v>
      </c>
      <c r="AL1481" s="268" t="str">
        <f t="shared" si="171"/>
        <v>May</v>
      </c>
      <c r="AM1481" s="133">
        <f>YEAR(Table1[[#This Row],[ETA
As requested
dd.mm.yyyy]])</f>
        <v>2024</v>
      </c>
    </row>
    <row r="1482" spans="1:40" hidden="1">
      <c r="A1482" s="123" t="s">
        <v>27</v>
      </c>
      <c r="B1482" s="36" t="s">
        <v>1170</v>
      </c>
      <c r="C1482" s="117">
        <v>5500511022</v>
      </c>
      <c r="D1482" s="165">
        <v>45561</v>
      </c>
      <c r="E1482" s="117" t="s">
        <v>46</v>
      </c>
      <c r="F1482" s="36" t="str">
        <f>IFERROR(VLOOKUP(Table1[[#This Row],[Part Number]],DATABASE_FG!$C$6:D11471,2,FALSE)," ")</f>
        <v>HOUSING            DBD.25G1X/</v>
      </c>
      <c r="G1482" s="117" t="str">
        <f>IFERROR(_xlfn.XLOOKUP(Table1[[#This Row],[Part Number]],Table3[Part number],Table3[Drawing
 Revision]),"")</f>
        <v>f</v>
      </c>
      <c r="H1482" s="118" cm="1">
        <f t="array" ref="H1482">IFERROR(INDEX(PDB!$C:$AT,MATCH(E1482,PDB!$B:$B,0),MATCH(YEAR(K1482),0+PDB!$C$1:$AT$1,0)),"")</f>
        <v>118.15</v>
      </c>
      <c r="I1482" s="36">
        <v>5</v>
      </c>
      <c r="J1482" s="125">
        <f>IFERROR(Table1[[#This Row],[Quantity]]*Table1[[#This Row],[Price/Unit
EUR]]," ")</f>
        <v>590.75</v>
      </c>
      <c r="K1482" s="126">
        <v>45562</v>
      </c>
      <c r="L1482" s="36">
        <f>WEEKNUM(Table1[[#This Row],[ETA
As requested
dd.mm.yyyy]])</f>
        <v>39</v>
      </c>
      <c r="M1482" s="36">
        <f>YEAR(Table1[[#This Row],[ETA
As requested
dd.mm.yyyy]])</f>
        <v>2024</v>
      </c>
      <c r="N1482" s="36">
        <f>IFERROR(INDEX(DATABASE_FG!$H$5:$H$367, MATCH(E1482, DATABASE_FG!$C$5:$C$367, 0)), " ")</f>
        <v>33</v>
      </c>
      <c r="O1482" s="129" t="str">
        <f>IF(E1482&lt;&gt;"", _xlfn.XLOOKUP(E1482, DATABASE_FG!C:C, DATABASE_FG!F:F), " ")</f>
        <v>DBD.25</v>
      </c>
      <c r="P1482" s="129">
        <f>IFERROR(INDEX(DATABASE_FG!$G$5:$G$367, MATCH(E1482, DATABASE_FG!$C$5:$C$367, 0)), "Not Found")</f>
        <v>12</v>
      </c>
      <c r="Q1482" s="36">
        <v>60</v>
      </c>
      <c r="R1482" s="125" t="s">
        <v>678</v>
      </c>
      <c r="S1482" s="123">
        <f>IFERROR(INDEX(DATABASE_FG!$L$5:$L$367, MATCH(E1482, DATABASE_FG!$C$5:$C$367, 0)), " ")</f>
        <v>42</v>
      </c>
      <c r="T1482" s="36" t="s">
        <v>679</v>
      </c>
      <c r="U1482" s="36"/>
      <c r="V1482" s="36"/>
      <c r="W1482" s="129"/>
      <c r="X1482" s="36"/>
      <c r="Y1482" s="36"/>
      <c r="Z1482" s="36"/>
      <c r="AA1482" s="125" t="s">
        <v>121</v>
      </c>
      <c r="AB1482" s="173">
        <v>45562</v>
      </c>
      <c r="AC1482" s="119">
        <v>202401168</v>
      </c>
      <c r="AD1482" s="36">
        <f t="shared" si="175"/>
        <v>5500511022</v>
      </c>
      <c r="AE1482" s="36" t="str">
        <f t="shared" si="176"/>
        <v>R900305241</v>
      </c>
      <c r="AF1482" s="36">
        <v>5</v>
      </c>
      <c r="AG1482" s="120">
        <f t="shared" si="174"/>
        <v>590.75</v>
      </c>
      <c r="AH1482" s="36"/>
      <c r="AI1482" s="124"/>
      <c r="AJ1482" s="122" t="s">
        <v>2398</v>
      </c>
      <c r="AK1482" s="129" t="str">
        <f t="shared" ca="1" si="172"/>
        <v>On Time</v>
      </c>
      <c r="AL1482" s="268" t="str">
        <f t="shared" si="171"/>
        <v>September</v>
      </c>
      <c r="AM1482" s="133">
        <f>YEAR(Table1[[#This Row],[ETA
As requested
dd.mm.yyyy]])</f>
        <v>2024</v>
      </c>
    </row>
    <row r="1483" spans="1:40" hidden="1">
      <c r="A1483" s="123" t="s">
        <v>27</v>
      </c>
      <c r="B1483" s="36" t="s">
        <v>1170</v>
      </c>
      <c r="C1483" s="117">
        <v>5500511022</v>
      </c>
      <c r="D1483" s="165">
        <v>45561</v>
      </c>
      <c r="E1483" s="117" t="s">
        <v>46</v>
      </c>
      <c r="F1483" s="36" t="str">
        <f>IFERROR(VLOOKUP(Table1[[#This Row],[Part Number]],DATABASE_FG!$C$6:D11472,2,FALSE)," ")</f>
        <v>HOUSING            DBD.25G1X/</v>
      </c>
      <c r="G1483" s="117" t="str">
        <f>IFERROR(_xlfn.XLOOKUP(Table1[[#This Row],[Part Number]],Table3[Part number],Table3[Drawing
 Revision]),"")</f>
        <v>f</v>
      </c>
      <c r="H1483" s="118" cm="1">
        <f t="array" ref="H1483">IFERROR(INDEX(PDB!$C:$AT,MATCH(E1483,PDB!$B:$B,0),MATCH(YEAR(K1483),0+PDB!$C$1:$AT$1,0)),"")</f>
        <v>118.15</v>
      </c>
      <c r="I1483" s="36">
        <v>60</v>
      </c>
      <c r="J1483" s="125">
        <f>IFERROR(Table1[[#This Row],[Quantity]]*Table1[[#This Row],[Price/Unit
EUR]]," ")</f>
        <v>7089</v>
      </c>
      <c r="K1483" s="126">
        <v>45939</v>
      </c>
      <c r="L1483" s="36">
        <f>WEEKNUM(Table1[[#This Row],[ETA
As requested
dd.mm.yyyy]])</f>
        <v>41</v>
      </c>
      <c r="M1483" s="36">
        <f>YEAR(Table1[[#This Row],[ETA
As requested
dd.mm.yyyy]])</f>
        <v>2025</v>
      </c>
      <c r="N1483" s="36">
        <f>IFERROR(INDEX(DATABASE_FG!$H$5:$H$367, MATCH(E1483, DATABASE_FG!$C$5:$C$367, 0)), " ")</f>
        <v>33</v>
      </c>
      <c r="O1483" s="129" t="str">
        <f>IF(E1483&lt;&gt;"", _xlfn.XLOOKUP(E1483, DATABASE_FG!C:C, DATABASE_FG!F:F), " ")</f>
        <v>DBD.25</v>
      </c>
      <c r="P1483" s="129">
        <f>IFERROR(INDEX(DATABASE_FG!$G$5:$G$367, MATCH(E1483, DATABASE_FG!$C$5:$C$367, 0)), "Not Found")</f>
        <v>12</v>
      </c>
      <c r="Q1483" s="36">
        <v>60</v>
      </c>
      <c r="R1483" s="125" t="s">
        <v>678</v>
      </c>
      <c r="S1483" s="123">
        <f>IFERROR(INDEX(DATABASE_FG!$L$5:$L$367, MATCH(E1483, DATABASE_FG!$C$5:$C$367, 0)), " ")</f>
        <v>42</v>
      </c>
      <c r="T1483" s="36" t="s">
        <v>679</v>
      </c>
      <c r="U1483" s="36"/>
      <c r="V1483" s="36"/>
      <c r="W1483" s="129"/>
      <c r="X1483" s="36"/>
      <c r="Y1483" s="36"/>
      <c r="Z1483" s="36"/>
      <c r="AA1483" s="125" t="s">
        <v>3</v>
      </c>
      <c r="AB1483" s="173"/>
      <c r="AC1483" s="119"/>
      <c r="AD1483" s="36" t="str">
        <f t="shared" si="175"/>
        <v/>
      </c>
      <c r="AE1483" s="36" t="str">
        <f t="shared" si="176"/>
        <v/>
      </c>
      <c r="AF1483" s="36"/>
      <c r="AG1483" s="120">
        <f t="shared" si="174"/>
        <v>0</v>
      </c>
      <c r="AH1483" s="36"/>
      <c r="AI1483" s="124"/>
      <c r="AJ1483" s="122"/>
      <c r="AK1483" s="129" t="str">
        <f t="shared" ca="1" si="172"/>
        <v>Late</v>
      </c>
      <c r="AL1483" s="268" t="str">
        <f t="shared" si="171"/>
        <v>October</v>
      </c>
      <c r="AM1483" s="133">
        <f>YEAR(Table1[[#This Row],[ETA
As requested
dd.mm.yyyy]])</f>
        <v>2025</v>
      </c>
    </row>
    <row r="1484" spans="1:40" ht="60" hidden="1">
      <c r="A1484" s="123" t="s">
        <v>27</v>
      </c>
      <c r="B1484" s="36" t="s">
        <v>1170</v>
      </c>
      <c r="C1484" s="117">
        <v>5500511023</v>
      </c>
      <c r="D1484" s="165">
        <v>45446</v>
      </c>
      <c r="E1484" s="117" t="s">
        <v>650</v>
      </c>
      <c r="F1484" s="36" t="str">
        <f>IFERROR(VLOOKUP(Table1[[#This Row],[Part Number]],DATABASE_FG!$C$6:D11473,2,FALSE)," ")</f>
        <v>HOUSING            DBD.30G1X/</v>
      </c>
      <c r="G1484" s="117" t="str">
        <f>IFERROR(_xlfn.XLOOKUP(Table1[[#This Row],[Part Number]],Table3[Part number],Table3[Drawing
 Revision]),"")</f>
        <v>B</v>
      </c>
      <c r="H1484" s="118" cm="1">
        <f t="array" ref="H1484">IFERROR(INDEX(PDB!$C:$AT,MATCH(E1484,PDB!$B:$B,0),MATCH(YEAR(K1484),0+PDB!$C$1:$AT$1,0)),"")</f>
        <v>118.16</v>
      </c>
      <c r="I1484" s="36">
        <v>101</v>
      </c>
      <c r="J1484" s="125">
        <f>IFERROR(Table1[[#This Row],[Quantity]]*Table1[[#This Row],[Price/Unit
EUR]]," ")</f>
        <v>11934.16</v>
      </c>
      <c r="K1484" s="126">
        <v>45572</v>
      </c>
      <c r="L1484" s="36">
        <f>WEEKNUM(Table1[[#This Row],[ETA
As requested
dd.mm.yyyy]])</f>
        <v>41</v>
      </c>
      <c r="M1484" s="36">
        <f>YEAR(Table1[[#This Row],[ETA
As requested
dd.mm.yyyy]])</f>
        <v>2024</v>
      </c>
      <c r="N1484" s="36">
        <f>IFERROR(INDEX(DATABASE_FG!$H$5:$H$367, MATCH(E1484, DATABASE_FG!$C$5:$C$367, 0)), " ")</f>
        <v>49</v>
      </c>
      <c r="O1484" s="129" t="str">
        <f>IF(E1484&lt;&gt;"", _xlfn.XLOOKUP(E1484, DATABASE_FG!C:C, DATABASE_FG!F:F), " ")</f>
        <v>DBD.30</v>
      </c>
      <c r="P1484" s="129">
        <f>IFERROR(INDEX(DATABASE_FG!$G$5:$G$367, MATCH(E1484, DATABASE_FG!$C$5:$C$367, 0)), "Not Found")</f>
        <v>32</v>
      </c>
      <c r="Q1484" s="36">
        <v>60</v>
      </c>
      <c r="R1484" s="125" t="s">
        <v>678</v>
      </c>
      <c r="S1484" s="123">
        <f>IFERROR(INDEX(DATABASE_FG!$L$5:$L$367, MATCH(E1484, DATABASE_FG!$C$5:$C$367, 0)), " ")</f>
        <v>42</v>
      </c>
      <c r="T1484" s="36" t="s">
        <v>679</v>
      </c>
      <c r="U1484" s="36"/>
      <c r="V1484" s="36"/>
      <c r="W1484" s="129"/>
      <c r="X1484" s="36"/>
      <c r="Y1484" s="36"/>
      <c r="Z1484" s="36"/>
      <c r="AA1484" s="125" t="s">
        <v>121</v>
      </c>
      <c r="AB1484" s="173">
        <v>45593</v>
      </c>
      <c r="AC1484" s="119">
        <v>202401286</v>
      </c>
      <c r="AD1484" s="36">
        <f t="shared" si="175"/>
        <v>5500511023</v>
      </c>
      <c r="AE1484" s="36" t="str">
        <f t="shared" si="176"/>
        <v>R900305244</v>
      </c>
      <c r="AF1484" s="36">
        <v>101</v>
      </c>
      <c r="AG1484" s="120">
        <f t="shared" si="174"/>
        <v>11934.16</v>
      </c>
      <c r="AH1484" s="36"/>
      <c r="AI1484" s="175" t="s">
        <v>2439</v>
      </c>
      <c r="AJ1484" s="122" t="s">
        <v>2440</v>
      </c>
      <c r="AK1484" s="129" t="str">
        <f t="shared" ca="1" si="172"/>
        <v>Late</v>
      </c>
      <c r="AL1484" s="268" t="str">
        <f t="shared" si="171"/>
        <v>October</v>
      </c>
      <c r="AM1484" s="133">
        <f>YEAR(Table1[[#This Row],[ETA
As requested
dd.mm.yyyy]])</f>
        <v>2024</v>
      </c>
    </row>
    <row r="1485" spans="1:40" hidden="1">
      <c r="A1485" s="123" t="s">
        <v>27</v>
      </c>
      <c r="B1485" s="36" t="s">
        <v>1635</v>
      </c>
      <c r="C1485" s="117">
        <v>5500511023</v>
      </c>
      <c r="D1485" s="165">
        <v>45600</v>
      </c>
      <c r="E1485" s="117" t="s">
        <v>650</v>
      </c>
      <c r="F1485" s="36" t="str">
        <f>IFERROR(VLOOKUP(Table1[[#This Row],[Part Number]],DATABASE_FG!$C$6:D11474,2,FALSE)," ")</f>
        <v>HOUSING            DBD.30G1X/</v>
      </c>
      <c r="G1485" s="117" t="str">
        <f>IFERROR(_xlfn.XLOOKUP(Table1[[#This Row],[Part Number]],Table3[Part number],Table3[Drawing
 Revision]),"")</f>
        <v>B</v>
      </c>
      <c r="H1485" s="118" cm="1">
        <f t="array" ref="H1485">IFERROR(INDEX(PDB!$C:$AT,MATCH(E1485,PDB!$B:$B,0),MATCH(YEAR(K1485),0+PDB!$C$1:$AT$1,0)),"")</f>
        <v>118.16</v>
      </c>
      <c r="I1485" s="36">
        <v>21</v>
      </c>
      <c r="J1485" s="125">
        <f>IFERROR(Table1[[#This Row],[Quantity]]*Table1[[#This Row],[Price/Unit
EUR]]," ")</f>
        <v>2481.36</v>
      </c>
      <c r="K1485" s="126">
        <v>45964</v>
      </c>
      <c r="L1485" s="36">
        <f>WEEKNUM(Table1[[#This Row],[ETA
As requested
dd.mm.yyyy]])</f>
        <v>45</v>
      </c>
      <c r="M1485" s="36">
        <f>YEAR(Table1[[#This Row],[ETA
As requested
dd.mm.yyyy]])</f>
        <v>2025</v>
      </c>
      <c r="N1485" s="36">
        <f>IFERROR(INDEX(DATABASE_FG!$H$5:$H$367, MATCH(E1485, DATABASE_FG!$C$5:$C$367, 0)), " ")</f>
        <v>49</v>
      </c>
      <c r="O1485" s="129" t="str">
        <f>IF(E1485&lt;&gt;"", _xlfn.XLOOKUP(E1485, DATABASE_FG!C:C, DATABASE_FG!F:F), " ")</f>
        <v>DBD.30</v>
      </c>
      <c r="P1485" s="129">
        <f>IFERROR(INDEX(DATABASE_FG!$G$5:$G$367, MATCH(E1485, DATABASE_FG!$C$5:$C$367, 0)), "Not Found")</f>
        <v>32</v>
      </c>
      <c r="Q1485" s="36">
        <v>60</v>
      </c>
      <c r="R1485" s="125" t="s">
        <v>678</v>
      </c>
      <c r="S1485" s="123">
        <f>IFERROR(INDEX(DATABASE_FG!$L$5:$L$367, MATCH(E1485, DATABASE_FG!$C$5:$C$367, 0)), " ")</f>
        <v>42</v>
      </c>
      <c r="T1485" s="36" t="s">
        <v>677</v>
      </c>
      <c r="U1485" s="36"/>
      <c r="V1485" s="36"/>
      <c r="W1485" s="129"/>
      <c r="X1485" s="36"/>
      <c r="Y1485" s="36"/>
      <c r="Z1485" s="36"/>
      <c r="AA1485" s="125" t="s">
        <v>121</v>
      </c>
      <c r="AB1485" s="173">
        <v>45915</v>
      </c>
      <c r="AC1485" s="119">
        <v>251149</v>
      </c>
      <c r="AD1485" s="36">
        <f t="shared" si="175"/>
        <v>5500511023</v>
      </c>
      <c r="AE1485" s="36" t="str">
        <f t="shared" si="176"/>
        <v>R900305244</v>
      </c>
      <c r="AF1485" s="36">
        <v>21</v>
      </c>
      <c r="AG1485" s="120">
        <f t="shared" si="174"/>
        <v>2481.36</v>
      </c>
      <c r="AH1485" s="36"/>
      <c r="AI1485" s="175" t="s">
        <v>3828</v>
      </c>
      <c r="AJ1485" s="122" t="s">
        <v>3829</v>
      </c>
      <c r="AK1485" s="129" t="str">
        <f t="shared" ca="1" si="172"/>
        <v>On Time</v>
      </c>
      <c r="AL1485" s="268" t="str">
        <f t="shared" si="171"/>
        <v>November</v>
      </c>
      <c r="AM1485" s="133">
        <f>YEAR(Table1[[#This Row],[ETA
As requested
dd.mm.yyyy]])</f>
        <v>2025</v>
      </c>
    </row>
    <row r="1486" spans="1:40" hidden="1">
      <c r="A1486" s="123" t="s">
        <v>27</v>
      </c>
      <c r="B1486" s="36" t="s">
        <v>1635</v>
      </c>
      <c r="C1486" s="117">
        <v>5500511023</v>
      </c>
      <c r="D1486" s="165">
        <v>45600</v>
      </c>
      <c r="E1486" s="117" t="s">
        <v>650</v>
      </c>
      <c r="F1486" s="36" t="str">
        <f>IFERROR(VLOOKUP(Table1[[#This Row],[Part Number]],DATABASE_FG!$C$6:D11475,2,FALSE)," ")</f>
        <v>HOUSING            DBD.30G1X/</v>
      </c>
      <c r="G1486" s="117" t="str">
        <f>IFERROR(_xlfn.XLOOKUP(Table1[[#This Row],[Part Number]],Table3[Part number],Table3[Drawing
 Revision]),"")</f>
        <v>B</v>
      </c>
      <c r="H1486" s="118" cm="1">
        <f t="array" ref="H1486">IFERROR(INDEX(PDB!$C:$AT,MATCH(E1486,PDB!$B:$B,0),MATCH(YEAR(K1486),0+PDB!$C$1:$AT$1,0)),"")</f>
        <v>118.16</v>
      </c>
      <c r="I1486" s="36">
        <f>40-21+1</f>
        <v>20</v>
      </c>
      <c r="J1486" s="125">
        <f>IFERROR(Table1[[#This Row],[Quantity]]*Table1[[#This Row],[Price/Unit
EUR]]," ")</f>
        <v>2363.1999999999998</v>
      </c>
      <c r="K1486" s="126">
        <v>45964</v>
      </c>
      <c r="L1486" s="36">
        <f>WEEKNUM(Table1[[#This Row],[ETA
As requested
dd.mm.yyyy]])</f>
        <v>45</v>
      </c>
      <c r="M1486" s="36">
        <f>YEAR(Table1[[#This Row],[ETA
As requested
dd.mm.yyyy]])</f>
        <v>2025</v>
      </c>
      <c r="N1486" s="36">
        <f>IFERROR(INDEX(DATABASE_FG!$H$5:$H$367, MATCH(E1486, DATABASE_FG!$C$5:$C$367, 0)), " ")</f>
        <v>49</v>
      </c>
      <c r="O1486" s="129" t="str">
        <f>IF(E1486&lt;&gt;"", _xlfn.XLOOKUP(E1486, DATABASE_FG!C:C, DATABASE_FG!F:F), " ")</f>
        <v>DBD.30</v>
      </c>
      <c r="P1486" s="129">
        <f>IFERROR(INDEX(DATABASE_FG!$G$5:$G$367, MATCH(E1486, DATABASE_FG!$C$5:$C$367, 0)), "Not Found")</f>
        <v>32</v>
      </c>
      <c r="Q1486" s="36">
        <v>60</v>
      </c>
      <c r="R1486" s="125" t="s">
        <v>678</v>
      </c>
      <c r="S1486" s="123">
        <f>IFERROR(INDEX(DATABASE_FG!$L$5:$L$367, MATCH(E1486, DATABASE_FG!$C$5:$C$367, 0)), " ")</f>
        <v>42</v>
      </c>
      <c r="T1486" s="36" t="s">
        <v>677</v>
      </c>
      <c r="U1486" s="36"/>
      <c r="V1486" s="36"/>
      <c r="W1486" s="129"/>
      <c r="X1486" s="36"/>
      <c r="Y1486" s="36"/>
      <c r="Z1486" s="36"/>
      <c r="AA1486" s="125" t="s">
        <v>121</v>
      </c>
      <c r="AB1486" s="173">
        <v>45930</v>
      </c>
      <c r="AC1486" s="119">
        <v>251168</v>
      </c>
      <c r="AD1486" s="36">
        <f t="shared" si="175"/>
        <v>5500511023</v>
      </c>
      <c r="AE1486" s="36" t="str">
        <f t="shared" si="176"/>
        <v>R900305244</v>
      </c>
      <c r="AF1486" s="36">
        <v>20</v>
      </c>
      <c r="AG1486" s="120">
        <f t="shared" si="174"/>
        <v>2363.1999999999998</v>
      </c>
      <c r="AH1486" s="36"/>
      <c r="AI1486" s="124"/>
      <c r="AJ1486" s="122" t="s">
        <v>3830</v>
      </c>
      <c r="AK1486" s="129" t="str">
        <f t="shared" ca="1" si="172"/>
        <v>On Time</v>
      </c>
      <c r="AL1486" s="268" t="str">
        <f t="shared" si="171"/>
        <v>November</v>
      </c>
      <c r="AM1486" s="133">
        <f>YEAR(Table1[[#This Row],[ETA
As requested
dd.mm.yyyy]])</f>
        <v>2025</v>
      </c>
    </row>
    <row r="1487" spans="1:40" hidden="1">
      <c r="A1487" s="123" t="s">
        <v>27</v>
      </c>
      <c r="B1487" s="36" t="s">
        <v>1170</v>
      </c>
      <c r="C1487" s="117">
        <v>5500511024</v>
      </c>
      <c r="D1487" s="165">
        <v>45572</v>
      </c>
      <c r="E1487" s="117" t="s">
        <v>48</v>
      </c>
      <c r="F1487" s="36" t="str">
        <f>IFERROR(VLOOKUP(Table1[[#This Row],[Part Number]],DATABASE_FG!$C$6:D11476,2,FALSE)," ")</f>
        <v>HOUSING DBD.30P1X/</v>
      </c>
      <c r="G1487" s="117" t="str">
        <f>IFERROR(_xlfn.XLOOKUP(Table1[[#This Row],[Part Number]],Table3[Part number],Table3[Drawing
 Revision]),"")</f>
        <v>h</v>
      </c>
      <c r="H1487" s="118" cm="1">
        <f t="array" ref="H1487">IFERROR(INDEX(PDB!$C:$AT,MATCH(E1487,PDB!$B:$B,0),MATCH(YEAR(K1487),0+PDB!$C$1:$AT$1,0)),"")</f>
        <v>121.64</v>
      </c>
      <c r="I1487" s="36">
        <v>1</v>
      </c>
      <c r="J1487" s="125">
        <f>IFERROR(Table1[[#This Row],[Quantity]]*Table1[[#This Row],[Price/Unit
EUR]]," ")</f>
        <v>121.64</v>
      </c>
      <c r="K1487" s="126">
        <v>45665</v>
      </c>
      <c r="L1487" s="36">
        <f>WEEKNUM(Table1[[#This Row],[ETA
As requested
dd.mm.yyyy]])</f>
        <v>2</v>
      </c>
      <c r="M1487" s="36">
        <f>YEAR(Table1[[#This Row],[ETA
As requested
dd.mm.yyyy]])</f>
        <v>2025</v>
      </c>
      <c r="N1487" s="36">
        <f>IFERROR(INDEX(DATABASE_FG!$H$5:$H$367, MATCH(E1487, DATABASE_FG!$C$5:$C$367, 0)), " ")</f>
        <v>46</v>
      </c>
      <c r="O1487" s="129" t="str">
        <f>IF(E1487&lt;&gt;"", _xlfn.XLOOKUP(E1487, DATABASE_FG!C:C, DATABASE_FG!F:F), " ")</f>
        <v>DBD.30</v>
      </c>
      <c r="P1487" s="129">
        <f>IFERROR(INDEX(DATABASE_FG!$G$5:$G$367, MATCH(E1487, DATABASE_FG!$C$5:$C$367, 0)), "Not Found")</f>
        <v>12</v>
      </c>
      <c r="Q1487" s="36">
        <v>60</v>
      </c>
      <c r="R1487" s="125" t="s">
        <v>678</v>
      </c>
      <c r="S1487" s="123">
        <f>IFERROR(INDEX(DATABASE_FG!$L$5:$L$367, MATCH(E1487, DATABASE_FG!$C$5:$C$367, 0)), " ")</f>
        <v>56</v>
      </c>
      <c r="T1487" s="36" t="s">
        <v>677</v>
      </c>
      <c r="U1487" s="36"/>
      <c r="V1487" s="36"/>
      <c r="W1487" s="129"/>
      <c r="X1487" s="36"/>
      <c r="Y1487" s="36"/>
      <c r="Z1487" s="36"/>
      <c r="AA1487" s="125" t="s">
        <v>121</v>
      </c>
      <c r="AB1487" s="173">
        <v>45680</v>
      </c>
      <c r="AC1487" s="119" t="s">
        <v>2684</v>
      </c>
      <c r="AD1487" s="36">
        <f t="shared" si="175"/>
        <v>5500511024</v>
      </c>
      <c r="AE1487" s="36" t="str">
        <f t="shared" si="176"/>
        <v>R900305247</v>
      </c>
      <c r="AF1487" s="36">
        <v>1</v>
      </c>
      <c r="AG1487" s="120">
        <f t="shared" si="174"/>
        <v>121.64</v>
      </c>
      <c r="AH1487" s="36"/>
      <c r="AI1487" s="124"/>
      <c r="AJ1487" s="122" t="s">
        <v>2685</v>
      </c>
      <c r="AK1487" s="129" t="str">
        <f t="shared" ca="1" si="172"/>
        <v>Late</v>
      </c>
      <c r="AL1487" s="268" t="str">
        <f t="shared" si="171"/>
        <v>January</v>
      </c>
      <c r="AM1487" s="133">
        <f>YEAR(Table1[[#This Row],[ETA
As requested
dd.mm.yyyy]])</f>
        <v>2025</v>
      </c>
    </row>
    <row r="1488" spans="1:40" hidden="1">
      <c r="A1488" s="123" t="s">
        <v>27</v>
      </c>
      <c r="B1488" s="36" t="s">
        <v>1170</v>
      </c>
      <c r="C1488" s="117">
        <v>5500511024</v>
      </c>
      <c r="D1488" s="165">
        <v>45572</v>
      </c>
      <c r="E1488" s="117" t="s">
        <v>48</v>
      </c>
      <c r="F1488" s="36" t="str">
        <f>IFERROR(VLOOKUP(Table1[[#This Row],[Part Number]],DATABASE_FG!$C$6:D11477,2,FALSE)," ")</f>
        <v>HOUSING DBD.30P1X/</v>
      </c>
      <c r="G1488" s="117" t="str">
        <f>IFERROR(_xlfn.XLOOKUP(Table1[[#This Row],[Part Number]],Table3[Part number],Table3[Drawing
 Revision]),"")</f>
        <v>h</v>
      </c>
      <c r="H1488" s="118" cm="1">
        <f t="array" ref="H1488">IFERROR(INDEX(PDB!$C:$AT,MATCH(E1488,PDB!$B:$B,0),MATCH(YEAR(K1488),0+PDB!$C$1:$AT$1,0)),"")</f>
        <v>121.64</v>
      </c>
      <c r="I1488" s="36">
        <v>32</v>
      </c>
      <c r="J1488" s="125">
        <f>IFERROR(Table1[[#This Row],[Quantity]]*Table1[[#This Row],[Price/Unit
EUR]]," ")</f>
        <v>3892.48</v>
      </c>
      <c r="K1488" s="126">
        <v>45665</v>
      </c>
      <c r="L1488" s="36">
        <f>WEEKNUM(Table1[[#This Row],[ETA
As requested
dd.mm.yyyy]])</f>
        <v>2</v>
      </c>
      <c r="M1488" s="36">
        <f>YEAR(Table1[[#This Row],[ETA
As requested
dd.mm.yyyy]])</f>
        <v>2025</v>
      </c>
      <c r="N1488" s="36">
        <f>IFERROR(INDEX(DATABASE_FG!$H$5:$H$367, MATCH(E1488, DATABASE_FG!$C$5:$C$367, 0)), " ")</f>
        <v>46</v>
      </c>
      <c r="O1488" s="129" t="str">
        <f>IF(E1488&lt;&gt;"", _xlfn.XLOOKUP(E1488, DATABASE_FG!C:C, DATABASE_FG!F:F), " ")</f>
        <v>DBD.30</v>
      </c>
      <c r="P1488" s="129">
        <f>IFERROR(INDEX(DATABASE_FG!$G$5:$G$367, MATCH(E1488, DATABASE_FG!$C$5:$C$367, 0)), "Not Found")</f>
        <v>12</v>
      </c>
      <c r="Q1488" s="36">
        <v>60</v>
      </c>
      <c r="R1488" s="125" t="s">
        <v>678</v>
      </c>
      <c r="S1488" s="123">
        <f>IFERROR(INDEX(DATABASE_FG!$L$5:$L$367, MATCH(E1488, DATABASE_FG!$C$5:$C$367, 0)), " ")</f>
        <v>56</v>
      </c>
      <c r="T1488" s="36" t="s">
        <v>677</v>
      </c>
      <c r="U1488" s="36"/>
      <c r="V1488" s="36"/>
      <c r="W1488" s="129"/>
      <c r="X1488" s="36"/>
      <c r="Y1488" s="36"/>
      <c r="Z1488" s="36"/>
      <c r="AA1488" s="125" t="s">
        <v>121</v>
      </c>
      <c r="AB1488" s="173">
        <v>45680</v>
      </c>
      <c r="AC1488" s="119" t="s">
        <v>2684</v>
      </c>
      <c r="AD1488" s="36">
        <f t="shared" si="175"/>
        <v>5500511024</v>
      </c>
      <c r="AE1488" s="36" t="str">
        <f t="shared" si="176"/>
        <v>R900305247</v>
      </c>
      <c r="AF1488" s="36">
        <v>32</v>
      </c>
      <c r="AG1488" s="120">
        <f t="shared" si="174"/>
        <v>3892.48</v>
      </c>
      <c r="AH1488" s="36"/>
      <c r="AI1488" s="124"/>
      <c r="AJ1488" s="122" t="s">
        <v>2685</v>
      </c>
      <c r="AK1488" s="129" t="str">
        <f t="shared" ca="1" si="172"/>
        <v>Late</v>
      </c>
      <c r="AL1488" s="268" t="str">
        <f t="shared" si="171"/>
        <v>January</v>
      </c>
      <c r="AM1488" s="133">
        <f>YEAR(Table1[[#This Row],[ETA
As requested
dd.mm.yyyy]])</f>
        <v>2025</v>
      </c>
    </row>
    <row r="1489" spans="1:40" hidden="1">
      <c r="A1489" s="123" t="s">
        <v>27</v>
      </c>
      <c r="B1489" s="36" t="s">
        <v>1170</v>
      </c>
      <c r="C1489" s="117">
        <v>5500511024</v>
      </c>
      <c r="D1489" s="165">
        <v>45572</v>
      </c>
      <c r="E1489" s="117" t="s">
        <v>48</v>
      </c>
      <c r="F1489" s="36" t="str">
        <f>IFERROR(VLOOKUP(Table1[[#This Row],[Part Number]],DATABASE_FG!$C$6:D11478,2,FALSE)," ")</f>
        <v>HOUSING DBD.30P1X/</v>
      </c>
      <c r="G1489" s="117" t="str">
        <f>IFERROR(_xlfn.XLOOKUP(Table1[[#This Row],[Part Number]],Table3[Part number],Table3[Drawing
 Revision]),"")</f>
        <v>h</v>
      </c>
      <c r="H1489" s="118" cm="1">
        <f t="array" ref="H1489">IFERROR(INDEX(PDB!$C:$AT,MATCH(E1489,PDB!$B:$B,0),MATCH(YEAR(K1489),0+PDB!$C$1:$AT$1,0)),"")</f>
        <v>121.64</v>
      </c>
      <c r="I1489" s="36">
        <v>28</v>
      </c>
      <c r="J1489" s="125">
        <f>IFERROR(Table1[[#This Row],[Quantity]]*Table1[[#This Row],[Price/Unit
EUR]]," ")</f>
        <v>3405.92</v>
      </c>
      <c r="K1489" s="126">
        <v>45968</v>
      </c>
      <c r="L1489" s="36">
        <f>WEEKNUM(Table1[[#This Row],[ETA
As requested
dd.mm.yyyy]])</f>
        <v>45</v>
      </c>
      <c r="M1489" s="36">
        <f>YEAR(Table1[[#This Row],[ETA
As requested
dd.mm.yyyy]])</f>
        <v>2025</v>
      </c>
      <c r="N1489" s="36">
        <f>IFERROR(INDEX(DATABASE_FG!$H$5:$H$367, MATCH(E1489, DATABASE_FG!$C$5:$C$367, 0)), " ")</f>
        <v>46</v>
      </c>
      <c r="O1489" s="129" t="str">
        <f>IF(E1489&lt;&gt;"", _xlfn.XLOOKUP(E1489, DATABASE_FG!C:C, DATABASE_FG!F:F), " ")</f>
        <v>DBD.30</v>
      </c>
      <c r="P1489" s="129">
        <f>IFERROR(INDEX(DATABASE_FG!$G$5:$G$367, MATCH(E1489, DATABASE_FG!$C$5:$C$367, 0)), "Not Found")</f>
        <v>12</v>
      </c>
      <c r="Q1489" s="36">
        <v>60</v>
      </c>
      <c r="R1489" s="125" t="s">
        <v>678</v>
      </c>
      <c r="S1489" s="123">
        <f>IFERROR(INDEX(DATABASE_FG!$L$5:$L$367, MATCH(E1489, DATABASE_FG!$C$5:$C$367, 0)), " ")</f>
        <v>56</v>
      </c>
      <c r="T1489" s="36" t="s">
        <v>677</v>
      </c>
      <c r="U1489" s="36"/>
      <c r="V1489" s="36"/>
      <c r="W1489" s="129"/>
      <c r="X1489" s="36"/>
      <c r="Y1489" s="36"/>
      <c r="Z1489" s="36"/>
      <c r="AA1489" s="125" t="s">
        <v>121</v>
      </c>
      <c r="AB1489" s="173">
        <v>45895</v>
      </c>
      <c r="AC1489" s="119">
        <v>251136</v>
      </c>
      <c r="AD1489" s="36">
        <f t="shared" si="175"/>
        <v>5500511024</v>
      </c>
      <c r="AE1489" s="36" t="str">
        <f t="shared" si="176"/>
        <v>R900305247</v>
      </c>
      <c r="AF1489" s="36">
        <v>28</v>
      </c>
      <c r="AG1489" s="120">
        <f t="shared" si="174"/>
        <v>3405.92</v>
      </c>
      <c r="AH1489" s="36"/>
      <c r="AI1489" s="124"/>
      <c r="AJ1489" s="122" t="s">
        <v>3831</v>
      </c>
      <c r="AK1489" s="129" t="str">
        <f t="shared" ca="1" si="172"/>
        <v>On Time</v>
      </c>
      <c r="AL1489" s="268" t="str">
        <f t="shared" si="171"/>
        <v>November</v>
      </c>
      <c r="AM1489" s="133">
        <f>YEAR(Table1[[#This Row],[ETA
As requested
dd.mm.yyyy]])</f>
        <v>2025</v>
      </c>
    </row>
    <row r="1490" spans="1:40" hidden="1">
      <c r="A1490" s="123" t="s">
        <v>27</v>
      </c>
      <c r="B1490" s="36" t="s">
        <v>1170</v>
      </c>
      <c r="C1490" s="117">
        <v>5500511024</v>
      </c>
      <c r="D1490" s="165">
        <v>45572</v>
      </c>
      <c r="E1490" s="117" t="s">
        <v>48</v>
      </c>
      <c r="F1490" s="36" t="str">
        <f>IFERROR(VLOOKUP(Table1[[#This Row],[Part Number]],DATABASE_FG!$C$6:D11479,2,FALSE)," ")</f>
        <v>HOUSING DBD.30P1X/</v>
      </c>
      <c r="G1490" s="117" t="str">
        <f>IFERROR(_xlfn.XLOOKUP(Table1[[#This Row],[Part Number]],Table3[Part number],Table3[Drawing
 Revision]),"")</f>
        <v>h</v>
      </c>
      <c r="H1490" s="118" cm="1">
        <f t="array" ref="H1490">IFERROR(INDEX(PDB!$C:$AT,MATCH(E1490,PDB!$B:$B,0),MATCH(YEAR(K1490),0+PDB!$C$1:$AT$1,0)),"")</f>
        <v>121.64</v>
      </c>
      <c r="I1490" s="36">
        <f>40-28</f>
        <v>12</v>
      </c>
      <c r="J1490" s="125">
        <f>IFERROR(Table1[[#This Row],[Quantity]]*Table1[[#This Row],[Price/Unit
EUR]]," ")</f>
        <v>1459.68</v>
      </c>
      <c r="K1490" s="126">
        <v>45968</v>
      </c>
      <c r="L1490" s="36">
        <f>WEEKNUM(Table1[[#This Row],[ETA
As requested
dd.mm.yyyy]])</f>
        <v>45</v>
      </c>
      <c r="M1490" s="36">
        <f>YEAR(Table1[[#This Row],[ETA
As requested
dd.mm.yyyy]])</f>
        <v>2025</v>
      </c>
      <c r="N1490" s="36">
        <f>IFERROR(INDEX(DATABASE_FG!$H$5:$H$367, MATCH(E1490, DATABASE_FG!$C$5:$C$367, 0)), " ")</f>
        <v>46</v>
      </c>
      <c r="O1490" s="129" t="str">
        <f>IF(E1490&lt;&gt;"", _xlfn.XLOOKUP(E1490, DATABASE_FG!C:C, DATABASE_FG!F:F), " ")</f>
        <v>DBD.30</v>
      </c>
      <c r="P1490" s="129">
        <f>IFERROR(INDEX(DATABASE_FG!$G$5:$G$367, MATCH(E1490, DATABASE_FG!$C$5:$C$367, 0)), "Not Found")</f>
        <v>12</v>
      </c>
      <c r="Q1490" s="36">
        <v>60</v>
      </c>
      <c r="R1490" s="125" t="s">
        <v>678</v>
      </c>
      <c r="S1490" s="123">
        <f>IFERROR(INDEX(DATABASE_FG!$L$5:$L$367, MATCH(E1490, DATABASE_FG!$C$5:$C$367, 0)), " ")</f>
        <v>56</v>
      </c>
      <c r="T1490" s="36" t="s">
        <v>677</v>
      </c>
      <c r="U1490" s="36"/>
      <c r="V1490" s="36"/>
      <c r="W1490" s="129"/>
      <c r="X1490" s="36"/>
      <c r="Y1490" s="36"/>
      <c r="Z1490" s="36"/>
      <c r="AA1490" s="125" t="s">
        <v>3</v>
      </c>
      <c r="AB1490" s="173"/>
      <c r="AC1490" s="119"/>
      <c r="AD1490" s="36" t="str">
        <f t="shared" si="175"/>
        <v/>
      </c>
      <c r="AE1490" s="36" t="str">
        <f t="shared" si="176"/>
        <v/>
      </c>
      <c r="AF1490" s="36"/>
      <c r="AG1490" s="120">
        <f t="shared" si="174"/>
        <v>0</v>
      </c>
      <c r="AH1490" s="36"/>
      <c r="AI1490" s="124"/>
      <c r="AJ1490" s="122"/>
      <c r="AK1490" s="129" t="str">
        <f t="shared" ca="1" si="172"/>
        <v/>
      </c>
      <c r="AL1490" s="268" t="str">
        <f t="shared" si="171"/>
        <v>November</v>
      </c>
      <c r="AM1490" s="133">
        <f>YEAR(Table1[[#This Row],[ETA
As requested
dd.mm.yyyy]])</f>
        <v>2025</v>
      </c>
    </row>
    <row r="1491" spans="1:40" hidden="1">
      <c r="A1491" s="123" t="s">
        <v>27</v>
      </c>
      <c r="B1491" s="36" t="s">
        <v>1170</v>
      </c>
      <c r="C1491" s="117">
        <v>5500511025</v>
      </c>
      <c r="D1491" s="165">
        <v>45446</v>
      </c>
      <c r="E1491" s="117" t="s">
        <v>397</v>
      </c>
      <c r="F1491" s="36" t="str">
        <f>IFERROR(VLOOKUP(Table1[[#This Row],[Part Number]],DATABASE_FG!$C$6:D11480,2,FALSE)," ")</f>
        <v>HOUSING            DBD.30P1X/V</v>
      </c>
      <c r="G1491" s="117" t="str">
        <f>IFERROR(_xlfn.XLOOKUP(Table1[[#This Row],[Part Number]],Table3[Part number],Table3[Drawing
 Revision]),"")</f>
        <v>f</v>
      </c>
      <c r="H1491" s="118" cm="1">
        <f t="array" ref="H1491">IFERROR(INDEX(PDB!$C:$AT,MATCH(E1491,PDB!$B:$B,0),MATCH(YEAR(K1491),0+PDB!$C$1:$AT$1,0)),"")</f>
        <v>94.43</v>
      </c>
      <c r="I1491" s="36">
        <v>12</v>
      </c>
      <c r="J1491" s="125">
        <f>IFERROR(Table1[[#This Row],[Quantity]]*Table1[[#This Row],[Price/Unit
EUR]]," ")</f>
        <v>1133.1600000000001</v>
      </c>
      <c r="K1491" s="126">
        <v>45512</v>
      </c>
      <c r="L1491" s="36">
        <f>WEEKNUM(Table1[[#This Row],[ETA
As requested
dd.mm.yyyy]])</f>
        <v>32</v>
      </c>
      <c r="M1491" s="36">
        <f>YEAR(Table1[[#This Row],[ETA
As requested
dd.mm.yyyy]])</f>
        <v>2024</v>
      </c>
      <c r="N1491" s="36">
        <f>IFERROR(INDEX(DATABASE_FG!$H$5:$H$367, MATCH(E1491, DATABASE_FG!$C$5:$C$367, 0)), " ")</f>
        <v>720</v>
      </c>
      <c r="O1491" s="129" t="str">
        <f>IF(E1491&lt;&gt;"", _xlfn.XLOOKUP(E1491, DATABASE_FG!C:C, DATABASE_FG!F:F), " ")</f>
        <v>DBD.30</v>
      </c>
      <c r="P1491" s="129">
        <f>IFERROR(INDEX(DATABASE_FG!$G$5:$G$367, MATCH(E1491, DATABASE_FG!$C$5:$C$367, 0)), "Not Found")</f>
        <v>20</v>
      </c>
      <c r="Q1491" s="36">
        <v>60</v>
      </c>
      <c r="R1491" s="125" t="s">
        <v>678</v>
      </c>
      <c r="S1491" s="123">
        <f>IFERROR(INDEX(DATABASE_FG!$L$5:$L$367, MATCH(E1491, DATABASE_FG!$C$5:$C$367, 0)), " ")</f>
        <v>56</v>
      </c>
      <c r="T1491" s="36" t="s">
        <v>677</v>
      </c>
      <c r="U1491" s="36"/>
      <c r="V1491" s="36"/>
      <c r="W1491" s="129"/>
      <c r="X1491" s="36"/>
      <c r="Y1491" s="36"/>
      <c r="Z1491" s="36">
        <v>242708</v>
      </c>
      <c r="AA1491" s="125" t="s">
        <v>121</v>
      </c>
      <c r="AB1491" s="173">
        <v>45506</v>
      </c>
      <c r="AC1491" s="119">
        <v>2024984</v>
      </c>
      <c r="AD1491" s="36">
        <f t="shared" si="175"/>
        <v>5500511025</v>
      </c>
      <c r="AE1491" s="36" t="str">
        <f t="shared" si="176"/>
        <v>R900305248</v>
      </c>
      <c r="AF1491" s="36">
        <v>12</v>
      </c>
      <c r="AG1491" s="120">
        <f t="shared" si="174"/>
        <v>1133.1600000000001</v>
      </c>
      <c r="AH1491" s="36"/>
      <c r="AI1491" s="124"/>
      <c r="AJ1491" s="122" t="s">
        <v>1925</v>
      </c>
      <c r="AK1491" s="129" t="str">
        <f t="shared" ca="1" si="172"/>
        <v>On Time</v>
      </c>
      <c r="AL1491" s="268" t="str">
        <f t="shared" si="171"/>
        <v>August</v>
      </c>
      <c r="AM1491" s="133">
        <f>YEAR(Table1[[#This Row],[ETA
As requested
dd.mm.yyyy]])</f>
        <v>2024</v>
      </c>
    </row>
    <row r="1492" spans="1:40" hidden="1">
      <c r="A1492" s="123" t="s">
        <v>27</v>
      </c>
      <c r="B1492" s="36" t="s">
        <v>1170</v>
      </c>
      <c r="C1492" s="117">
        <v>5500511025</v>
      </c>
      <c r="D1492" s="165">
        <v>45447</v>
      </c>
      <c r="E1492" s="117" t="s">
        <v>397</v>
      </c>
      <c r="F1492" s="36" t="str">
        <f>IFERROR(VLOOKUP(Table1[[#This Row],[Part Number]],DATABASE_FG!$C$6:D11481,2,FALSE)," ")</f>
        <v>HOUSING            DBD.30P1X/V</v>
      </c>
      <c r="G1492" s="117" t="str">
        <f>IFERROR(_xlfn.XLOOKUP(Table1[[#This Row],[Part Number]],Table3[Part number],Table3[Drawing
 Revision]),"")</f>
        <v>f</v>
      </c>
      <c r="H1492" s="118" cm="1">
        <f t="array" ref="H1492">IFERROR(INDEX(PDB!$C:$AT,MATCH(E1492,PDB!$B:$B,0),MATCH(YEAR(K1492),0+PDB!$C$1:$AT$1,0)),"")</f>
        <v>94.43</v>
      </c>
      <c r="I1492" s="36">
        <v>7</v>
      </c>
      <c r="J1492" s="125">
        <f>IFERROR(Table1[[#This Row],[Quantity]]*Table1[[#This Row],[Price/Unit
EUR]]," ")</f>
        <v>661.01</v>
      </c>
      <c r="K1492" s="126">
        <v>45526</v>
      </c>
      <c r="L1492" s="36">
        <f>WEEKNUM(Table1[[#This Row],[ETA
As requested
dd.mm.yyyy]])</f>
        <v>34</v>
      </c>
      <c r="M1492" s="36">
        <f>YEAR(Table1[[#This Row],[ETA
As requested
dd.mm.yyyy]])</f>
        <v>2024</v>
      </c>
      <c r="N1492" s="36">
        <f>IFERROR(INDEX(DATABASE_FG!$H$5:$H$367, MATCH(E1492, DATABASE_FG!$C$5:$C$367, 0)), " ")</f>
        <v>720</v>
      </c>
      <c r="O1492" s="129" t="str">
        <f>IF(E1492&lt;&gt;"", _xlfn.XLOOKUP(E1492, DATABASE_FG!C:C, DATABASE_FG!F:F), " ")</f>
        <v>DBD.30</v>
      </c>
      <c r="P1492" s="129">
        <f>IFERROR(INDEX(DATABASE_FG!$G$5:$G$367, MATCH(E1492, DATABASE_FG!$C$5:$C$367, 0)), "Not Found")</f>
        <v>20</v>
      </c>
      <c r="Q1492" s="36">
        <v>60</v>
      </c>
      <c r="R1492" s="125" t="s">
        <v>678</v>
      </c>
      <c r="S1492" s="123">
        <f>IFERROR(INDEX(DATABASE_FG!$L$5:$L$367, MATCH(E1492, DATABASE_FG!$C$5:$C$367, 0)), " ")</f>
        <v>56</v>
      </c>
      <c r="T1492" s="36" t="s">
        <v>677</v>
      </c>
      <c r="U1492" s="36"/>
      <c r="V1492" s="36"/>
      <c r="W1492" s="129"/>
      <c r="X1492" s="36"/>
      <c r="Y1492" s="36"/>
      <c r="Z1492" s="36"/>
      <c r="AA1492" s="125" t="s">
        <v>121</v>
      </c>
      <c r="AB1492" s="173">
        <v>45527</v>
      </c>
      <c r="AC1492" s="119">
        <v>202401057</v>
      </c>
      <c r="AD1492" s="36">
        <f t="shared" si="175"/>
        <v>5500511025</v>
      </c>
      <c r="AE1492" s="36" t="str">
        <f t="shared" si="176"/>
        <v>R900305248</v>
      </c>
      <c r="AF1492" s="36">
        <v>7</v>
      </c>
      <c r="AG1492" s="120">
        <f t="shared" si="174"/>
        <v>661.01</v>
      </c>
      <c r="AH1492" s="36"/>
      <c r="AI1492" s="124" t="s">
        <v>2112</v>
      </c>
      <c r="AJ1492" s="122" t="s">
        <v>2113</v>
      </c>
      <c r="AK1492" s="129" t="str">
        <f t="shared" ca="1" si="172"/>
        <v>On Time</v>
      </c>
      <c r="AL1492" s="268" t="str">
        <f t="shared" si="171"/>
        <v>August</v>
      </c>
      <c r="AM1492" s="133">
        <f>YEAR(Table1[[#This Row],[ETA
As requested
dd.mm.yyyy]])</f>
        <v>2024</v>
      </c>
    </row>
    <row r="1493" spans="1:40" hidden="1">
      <c r="A1493" s="123" t="s">
        <v>27</v>
      </c>
      <c r="B1493" s="36" t="s">
        <v>1170</v>
      </c>
      <c r="C1493" s="117">
        <v>5500511026</v>
      </c>
      <c r="D1493" s="165">
        <v>45439</v>
      </c>
      <c r="E1493" s="117" t="s">
        <v>936</v>
      </c>
      <c r="F1493" s="36" t="str">
        <f>IFERROR(VLOOKUP(Table1[[#This Row],[Part Number]],DATABASE_FG!$C$6:D11482,2,FALSE)," ")</f>
        <v>HOUSING            DBD.10G13/V</v>
      </c>
      <c r="G1493" s="117" t="str">
        <f>IFERROR(_xlfn.XLOOKUP(Table1[[#This Row],[Part Number]],Table3[Part number],Table3[Drawing
 Revision]),"")</f>
        <v>h</v>
      </c>
      <c r="H1493" s="118" cm="1">
        <f t="array" ref="H1493">IFERROR(INDEX(PDB!$C:$AT,MATCH(E1493,PDB!$B:$B,0),MATCH(YEAR(K1493),0+PDB!$C$1:$AT$1,0)),"")</f>
        <v>27.56</v>
      </c>
      <c r="I1493" s="36">
        <v>27</v>
      </c>
      <c r="J1493" s="125">
        <f>IFERROR(Table1[[#This Row],[Quantity]]*Table1[[#This Row],[Price/Unit
EUR]]," ")</f>
        <v>744.12</v>
      </c>
      <c r="K1493" s="126">
        <v>45581</v>
      </c>
      <c r="L1493" s="36">
        <f>WEEKNUM(Table1[[#This Row],[ETA
As requested
dd.mm.yyyy]])</f>
        <v>42</v>
      </c>
      <c r="M1493" s="36">
        <f>YEAR(Table1[[#This Row],[ETA
As requested
dd.mm.yyyy]])</f>
        <v>2024</v>
      </c>
      <c r="N1493" s="36">
        <f>IFERROR(INDEX(DATABASE_FG!$H$5:$H$367, MATCH(E1493, DATABASE_FG!$C$5:$C$367, 0)), " ")</f>
        <v>0</v>
      </c>
      <c r="O1493" s="129" t="str">
        <f>IF(E1493&lt;&gt;"", _xlfn.XLOOKUP(E1493, DATABASE_FG!C:C, DATABASE_FG!F:F), " ")</f>
        <v>DBD.10</v>
      </c>
      <c r="P1493" s="129">
        <f>IFERROR(INDEX(DATABASE_FG!$G$5:$G$367, MATCH(E1493, DATABASE_FG!$C$5:$C$367, 0)), "Not Found")</f>
        <v>150</v>
      </c>
      <c r="Q1493" s="36"/>
      <c r="R1493" s="125" t="s">
        <v>678</v>
      </c>
      <c r="S1493" s="123">
        <f>IFERROR(INDEX(DATABASE_FG!$L$5:$L$367, MATCH(E1493, DATABASE_FG!$C$5:$C$367, 0)), " ")</f>
        <v>56</v>
      </c>
      <c r="T1493" s="36" t="s">
        <v>677</v>
      </c>
      <c r="U1493" s="36"/>
      <c r="V1493" s="36"/>
      <c r="W1493" s="129"/>
      <c r="X1493" s="36"/>
      <c r="Y1493" s="36"/>
      <c r="Z1493" s="36"/>
      <c r="AA1493" s="125" t="s">
        <v>121</v>
      </c>
      <c r="AB1493" s="173">
        <v>45600</v>
      </c>
      <c r="AC1493" s="119">
        <v>202401321</v>
      </c>
      <c r="AD1493" s="36">
        <f t="shared" si="175"/>
        <v>5500511026</v>
      </c>
      <c r="AE1493" s="36" t="str">
        <f t="shared" si="176"/>
        <v>R900320547</v>
      </c>
      <c r="AF1493" s="36">
        <v>27</v>
      </c>
      <c r="AG1493" s="120">
        <f t="shared" si="174"/>
        <v>744.12</v>
      </c>
      <c r="AH1493" s="36"/>
      <c r="AI1493" s="124" t="s">
        <v>2476</v>
      </c>
      <c r="AJ1493" s="122" t="s">
        <v>2477</v>
      </c>
      <c r="AK1493" s="129" t="str">
        <f t="shared" ca="1" si="172"/>
        <v>Late</v>
      </c>
      <c r="AL1493" s="268" t="str">
        <f t="shared" si="171"/>
        <v>October</v>
      </c>
      <c r="AM1493" s="133">
        <f>YEAR(Table1[[#This Row],[ETA
As requested
dd.mm.yyyy]])</f>
        <v>2024</v>
      </c>
    </row>
    <row r="1494" spans="1:40" hidden="1">
      <c r="A1494" s="123" t="s">
        <v>27</v>
      </c>
      <c r="B1494" s="36" t="s">
        <v>1170</v>
      </c>
      <c r="C1494" s="117">
        <v>5500511026</v>
      </c>
      <c r="D1494" s="165">
        <v>45439</v>
      </c>
      <c r="E1494" s="117" t="s">
        <v>936</v>
      </c>
      <c r="F1494" s="36" t="str">
        <f>IFERROR(VLOOKUP(Table1[[#This Row],[Part Number]],DATABASE_FG!$C$6:D11483,2,FALSE)," ")</f>
        <v>HOUSING            DBD.10G13/V</v>
      </c>
      <c r="G1494" s="117" t="str">
        <f>IFERROR(_xlfn.XLOOKUP(Table1[[#This Row],[Part Number]],Table3[Part number],Table3[Drawing
 Revision]),"")</f>
        <v>h</v>
      </c>
      <c r="H1494" s="118" cm="1">
        <f t="array" ref="H1494">IFERROR(INDEX(PDB!$C:$AT,MATCH(E1494,PDB!$B:$B,0),MATCH(YEAR(K1494),0+PDB!$C$1:$AT$1,0)),"")</f>
        <v>27.56</v>
      </c>
      <c r="I1494" s="36">
        <v>32</v>
      </c>
      <c r="J1494" s="125">
        <f>IFERROR(Table1[[#This Row],[Quantity]]*Table1[[#This Row],[Price/Unit
EUR]]," ")</f>
        <v>881.92</v>
      </c>
      <c r="K1494" s="126">
        <v>45581</v>
      </c>
      <c r="L1494" s="36">
        <f>WEEKNUM(Table1[[#This Row],[ETA
As requested
dd.mm.yyyy]])</f>
        <v>42</v>
      </c>
      <c r="M1494" s="36">
        <f>YEAR(Table1[[#This Row],[ETA
As requested
dd.mm.yyyy]])</f>
        <v>2024</v>
      </c>
      <c r="N1494" s="36">
        <f>IFERROR(INDEX(DATABASE_FG!$H$5:$H$367, MATCH(E1494, DATABASE_FG!$C$5:$C$367, 0)), " ")</f>
        <v>0</v>
      </c>
      <c r="O1494" s="129" t="str">
        <f>IF(E1494&lt;&gt;"", _xlfn.XLOOKUP(E1494, DATABASE_FG!C:C, DATABASE_FG!F:F), " ")</f>
        <v>DBD.10</v>
      </c>
      <c r="P1494" s="129">
        <f>IFERROR(INDEX(DATABASE_FG!$G$5:$G$367, MATCH(E1494, DATABASE_FG!$C$5:$C$367, 0)), "Not Found")</f>
        <v>150</v>
      </c>
      <c r="Q1494" s="36">
        <v>60</v>
      </c>
      <c r="R1494" s="125" t="s">
        <v>678</v>
      </c>
      <c r="S1494" s="123">
        <f>IFERROR(INDEX(DATABASE_FG!$L$5:$L$367, MATCH(E1494, DATABASE_FG!$C$5:$C$367, 0)), " ")</f>
        <v>56</v>
      </c>
      <c r="T1494" s="36" t="s">
        <v>677</v>
      </c>
      <c r="U1494" s="36"/>
      <c r="V1494" s="36"/>
      <c r="W1494" s="129"/>
      <c r="X1494" s="36"/>
      <c r="Y1494" s="36"/>
      <c r="Z1494" s="36"/>
      <c r="AA1494" s="125" t="s">
        <v>121</v>
      </c>
      <c r="AB1494" s="173">
        <v>45632</v>
      </c>
      <c r="AC1494" s="119">
        <v>202401482</v>
      </c>
      <c r="AD1494" s="36">
        <f t="shared" si="175"/>
        <v>5500511026</v>
      </c>
      <c r="AE1494" s="36" t="str">
        <f t="shared" si="176"/>
        <v>R900320547</v>
      </c>
      <c r="AF1494" s="36">
        <v>32</v>
      </c>
      <c r="AG1494" s="120">
        <f t="shared" si="174"/>
        <v>881.92</v>
      </c>
      <c r="AH1494" s="36"/>
      <c r="AI1494" s="124"/>
      <c r="AJ1494" s="122" t="s">
        <v>2478</v>
      </c>
      <c r="AK1494" s="129" t="str">
        <f t="shared" ca="1" si="172"/>
        <v>Late</v>
      </c>
      <c r="AL1494" s="268" t="str">
        <f t="shared" si="171"/>
        <v>October</v>
      </c>
      <c r="AM1494" s="133">
        <f>YEAR(Table1[[#This Row],[ETA
As requested
dd.mm.yyyy]])</f>
        <v>2024</v>
      </c>
    </row>
    <row r="1495" spans="1:40" hidden="1">
      <c r="A1495" s="123" t="s">
        <v>27</v>
      </c>
      <c r="B1495" s="36" t="s">
        <v>1170</v>
      </c>
      <c r="C1495" s="117">
        <v>5500511026</v>
      </c>
      <c r="D1495" s="165">
        <v>45439</v>
      </c>
      <c r="E1495" s="117" t="s">
        <v>936</v>
      </c>
      <c r="F1495" s="36" t="str">
        <f>IFERROR(VLOOKUP(Table1[[#This Row],[Part Number]],DATABASE_FG!$C$6:D11484,2,FALSE)," ")</f>
        <v>HOUSING            DBD.10G13/V</v>
      </c>
      <c r="G1495" s="117" t="str">
        <f>IFERROR(_xlfn.XLOOKUP(Table1[[#This Row],[Part Number]],Table3[Part number],Table3[Drawing
 Revision]),"")</f>
        <v>h</v>
      </c>
      <c r="H1495" s="118" cm="1">
        <f t="array" ref="H1495">IFERROR(INDEX(PDB!$C:$AT,MATCH(E1495,PDB!$B:$B,0),MATCH(YEAR(K1495),0+PDB!$C$1:$AT$1,0)),"")</f>
        <v>27.56</v>
      </c>
      <c r="I1495" s="36">
        <v>2</v>
      </c>
      <c r="J1495" s="125">
        <f>IFERROR(Table1[[#This Row],[Quantity]]*Table1[[#This Row],[Price/Unit
EUR]]," ")</f>
        <v>55.12</v>
      </c>
      <c r="K1495" s="126">
        <v>45673</v>
      </c>
      <c r="L1495" s="36">
        <f>WEEKNUM(Table1[[#This Row],[ETA
As requested
dd.mm.yyyy]])</f>
        <v>3</v>
      </c>
      <c r="M1495" s="36">
        <f>YEAR(Table1[[#This Row],[ETA
As requested
dd.mm.yyyy]])</f>
        <v>2025</v>
      </c>
      <c r="N1495" s="36">
        <f>IFERROR(INDEX(DATABASE_FG!$H$5:$H$367, MATCH(E1495, DATABASE_FG!$C$5:$C$367, 0)), " ")</f>
        <v>0</v>
      </c>
      <c r="O1495" s="129" t="str">
        <f>IF(E1495&lt;&gt;"", _xlfn.XLOOKUP(E1495, DATABASE_FG!C:C, DATABASE_FG!F:F), " ")</f>
        <v>DBD.10</v>
      </c>
      <c r="P1495" s="129">
        <f>IFERROR(INDEX(DATABASE_FG!$G$5:$G$367, MATCH(E1495, DATABASE_FG!$C$5:$C$367, 0)), "Not Found")</f>
        <v>150</v>
      </c>
      <c r="Q1495" s="36">
        <v>60</v>
      </c>
      <c r="R1495" s="125" t="s">
        <v>678</v>
      </c>
      <c r="S1495" s="123">
        <f>IFERROR(INDEX(DATABASE_FG!$L$5:$L$367, MATCH(E1495, DATABASE_FG!$C$5:$C$367, 0)), " ")</f>
        <v>56</v>
      </c>
      <c r="T1495" s="36" t="s">
        <v>677</v>
      </c>
      <c r="U1495" s="36"/>
      <c r="V1495" s="36"/>
      <c r="W1495" s="129"/>
      <c r="X1495" s="36"/>
      <c r="Y1495" s="36"/>
      <c r="Z1495" s="36"/>
      <c r="AA1495" s="125" t="s">
        <v>121</v>
      </c>
      <c r="AB1495" s="173">
        <v>45675</v>
      </c>
      <c r="AC1495" s="119" t="s">
        <v>2718</v>
      </c>
      <c r="AD1495" s="36">
        <f t="shared" si="175"/>
        <v>5500511026</v>
      </c>
      <c r="AE1495" s="36" t="str">
        <f t="shared" si="176"/>
        <v>R900320547</v>
      </c>
      <c r="AF1495" s="36">
        <v>2</v>
      </c>
      <c r="AG1495" s="120">
        <f t="shared" si="174"/>
        <v>55.12</v>
      </c>
      <c r="AH1495" s="36"/>
      <c r="AI1495" s="124"/>
      <c r="AJ1495" s="122" t="s">
        <v>2719</v>
      </c>
      <c r="AK1495" s="129" t="str">
        <f t="shared" ca="1" si="172"/>
        <v>On Time</v>
      </c>
      <c r="AL1495" s="268" t="str">
        <f t="shared" si="171"/>
        <v>January</v>
      </c>
      <c r="AM1495" s="133">
        <f>YEAR(Table1[[#This Row],[ETA
As requested
dd.mm.yyyy]])</f>
        <v>2025</v>
      </c>
    </row>
    <row r="1496" spans="1:40" hidden="1">
      <c r="A1496" s="123" t="s">
        <v>27</v>
      </c>
      <c r="B1496" s="36" t="s">
        <v>1170</v>
      </c>
      <c r="C1496" s="117">
        <v>5500511026</v>
      </c>
      <c r="D1496" s="165">
        <v>45439</v>
      </c>
      <c r="E1496" s="117" t="s">
        <v>936</v>
      </c>
      <c r="F1496" s="36" t="str">
        <f>IFERROR(VLOOKUP(Table1[[#This Row],[Part Number]],DATABASE_FG!$C$6:D11485,2,FALSE)," ")</f>
        <v>HOUSING            DBD.10G13/V</v>
      </c>
      <c r="G1496" s="117" t="str">
        <f>IFERROR(_xlfn.XLOOKUP(Table1[[#This Row],[Part Number]],Table3[Part number],Table3[Drawing
 Revision]),"")</f>
        <v>h</v>
      </c>
      <c r="H1496" s="118" cm="1">
        <f t="array" ref="H1496">IFERROR(INDEX(PDB!$C:$AT,MATCH(E1496,PDB!$B:$B,0),MATCH(YEAR(K1496),0+PDB!$C$1:$AT$1,0)),"")</f>
        <v>27.56</v>
      </c>
      <c r="I1496" s="36">
        <v>14</v>
      </c>
      <c r="J1496" s="125">
        <f>IFERROR(Table1[[#This Row],[Quantity]]*Table1[[#This Row],[Price/Unit
EUR]]," ")</f>
        <v>385.84</v>
      </c>
      <c r="K1496" s="126">
        <v>45673</v>
      </c>
      <c r="L1496" s="36">
        <f>WEEKNUM(Table1[[#This Row],[ETA
As requested
dd.mm.yyyy]])</f>
        <v>3</v>
      </c>
      <c r="M1496" s="36">
        <f>YEAR(Table1[[#This Row],[ETA
As requested
dd.mm.yyyy]])</f>
        <v>2025</v>
      </c>
      <c r="N1496" s="36">
        <f>IFERROR(INDEX(DATABASE_FG!$H$5:$H$367, MATCH(E1496, DATABASE_FG!$C$5:$C$367, 0)), " ")</f>
        <v>0</v>
      </c>
      <c r="O1496" s="129" t="str">
        <f>IF(E1496&lt;&gt;"", _xlfn.XLOOKUP(E1496, DATABASE_FG!C:C, DATABASE_FG!F:F), " ")</f>
        <v>DBD.10</v>
      </c>
      <c r="P1496" s="129">
        <f>IFERROR(INDEX(DATABASE_FG!$G$5:$G$367, MATCH(E1496, DATABASE_FG!$C$5:$C$367, 0)), "Not Found")</f>
        <v>150</v>
      </c>
      <c r="Q1496" s="36">
        <v>60</v>
      </c>
      <c r="R1496" s="125" t="s">
        <v>678</v>
      </c>
      <c r="S1496" s="123">
        <f>IFERROR(INDEX(DATABASE_FG!$L$5:$L$367, MATCH(E1496, DATABASE_FG!$C$5:$C$367, 0)), " ")</f>
        <v>56</v>
      </c>
      <c r="T1496" s="36" t="s">
        <v>677</v>
      </c>
      <c r="U1496" s="36"/>
      <c r="V1496" s="36"/>
      <c r="W1496" s="129"/>
      <c r="X1496" s="36"/>
      <c r="Y1496" s="36"/>
      <c r="Z1496" s="36"/>
      <c r="AA1496" s="125" t="s">
        <v>121</v>
      </c>
      <c r="AB1496" s="173">
        <v>45696</v>
      </c>
      <c r="AC1496" s="119">
        <v>25174</v>
      </c>
      <c r="AD1496" s="36">
        <f t="shared" si="175"/>
        <v>5500511026</v>
      </c>
      <c r="AE1496" s="36" t="str">
        <f t="shared" si="176"/>
        <v>R900320547</v>
      </c>
      <c r="AF1496" s="36">
        <v>14</v>
      </c>
      <c r="AG1496" s="120">
        <f t="shared" si="174"/>
        <v>385.84</v>
      </c>
      <c r="AH1496" s="36"/>
      <c r="AI1496" s="124"/>
      <c r="AJ1496" s="122" t="s">
        <v>2728</v>
      </c>
      <c r="AK1496" s="129" t="str">
        <f t="shared" ca="1" si="172"/>
        <v>Late</v>
      </c>
      <c r="AL1496" s="268" t="str">
        <f t="shared" si="171"/>
        <v>January</v>
      </c>
      <c r="AM1496" s="133">
        <f>YEAR(Table1[[#This Row],[ETA
As requested
dd.mm.yyyy]])</f>
        <v>2025</v>
      </c>
    </row>
    <row r="1497" spans="1:40" hidden="1">
      <c r="A1497" s="123" t="s">
        <v>27</v>
      </c>
      <c r="B1497" s="36" t="s">
        <v>1170</v>
      </c>
      <c r="C1497" s="117">
        <v>5500511026</v>
      </c>
      <c r="D1497" s="165">
        <v>45439</v>
      </c>
      <c r="E1497" s="117" t="s">
        <v>936</v>
      </c>
      <c r="F1497" s="36" t="str">
        <f>IFERROR(VLOOKUP(Table1[[#This Row],[Part Number]],DATABASE_FG!$C$6:D11486,2,FALSE)," ")</f>
        <v>HOUSING            DBD.10G13/V</v>
      </c>
      <c r="G1497" s="117" t="str">
        <f>IFERROR(_xlfn.XLOOKUP(Table1[[#This Row],[Part Number]],Table3[Part number],Table3[Drawing
 Revision]),"")</f>
        <v>h</v>
      </c>
      <c r="H1497" s="118" cm="1">
        <f t="array" ref="H1497">IFERROR(INDEX(PDB!$C:$AT,MATCH(E1497,PDB!$B:$B,0),MATCH(YEAR(K1497),0+PDB!$C$1:$AT$1,0)),"")</f>
        <v>27.56</v>
      </c>
      <c r="I1497" s="36">
        <v>18</v>
      </c>
      <c r="J1497" s="125">
        <f>IFERROR(Table1[[#This Row],[Quantity]]*Table1[[#This Row],[Price/Unit
EUR]]," ")</f>
        <v>496.08</v>
      </c>
      <c r="K1497" s="126">
        <v>45719</v>
      </c>
      <c r="L1497" s="36">
        <f>WEEKNUM(Table1[[#This Row],[ETA
As requested
dd.mm.yyyy]])</f>
        <v>10</v>
      </c>
      <c r="M1497" s="36">
        <f>YEAR(Table1[[#This Row],[ETA
As requested
dd.mm.yyyy]])</f>
        <v>2025</v>
      </c>
      <c r="N1497" s="36">
        <f>IFERROR(INDEX(DATABASE_FG!$H$5:$H$367, MATCH(E1497, DATABASE_FG!$C$5:$C$367, 0)), " ")</f>
        <v>0</v>
      </c>
      <c r="O1497" s="129" t="str">
        <f>IF(E1497&lt;&gt;"", _xlfn.XLOOKUP(E1497, DATABASE_FG!C:C, DATABASE_FG!F:F), " ")</f>
        <v>DBD.10</v>
      </c>
      <c r="P1497" s="129">
        <f>IFERROR(INDEX(DATABASE_FG!$G$5:$G$367, MATCH(E1497, DATABASE_FG!$C$5:$C$367, 0)), "Not Found")</f>
        <v>150</v>
      </c>
      <c r="Q1497" s="36">
        <v>60</v>
      </c>
      <c r="R1497" s="125" t="s">
        <v>678</v>
      </c>
      <c r="S1497" s="123">
        <f>IFERROR(INDEX(DATABASE_FG!$L$5:$L$367, MATCH(E1497, DATABASE_FG!$C$5:$C$367, 0)), " ")</f>
        <v>56</v>
      </c>
      <c r="T1497" s="36" t="s">
        <v>677</v>
      </c>
      <c r="U1497" s="36"/>
      <c r="V1497" s="36"/>
      <c r="W1497" s="129"/>
      <c r="X1497" s="36"/>
      <c r="Y1497" s="36"/>
      <c r="Z1497" s="36"/>
      <c r="AA1497" s="125" t="s">
        <v>121</v>
      </c>
      <c r="AB1497" s="173">
        <v>45696</v>
      </c>
      <c r="AC1497" s="119">
        <v>25174</v>
      </c>
      <c r="AD1497" s="36">
        <f t="shared" si="175"/>
        <v>5500511026</v>
      </c>
      <c r="AE1497" s="36" t="str">
        <f t="shared" si="176"/>
        <v>R900320547</v>
      </c>
      <c r="AF1497" s="36">
        <v>18</v>
      </c>
      <c r="AG1497" s="120">
        <f t="shared" si="174"/>
        <v>496.08</v>
      </c>
      <c r="AH1497" s="36"/>
      <c r="AI1497" s="124"/>
      <c r="AJ1497" s="122" t="s">
        <v>2728</v>
      </c>
      <c r="AK1497" s="129" t="str">
        <f t="shared" ca="1" si="172"/>
        <v>On Time</v>
      </c>
      <c r="AL1497" s="268" t="str">
        <f t="shared" si="171"/>
        <v>March</v>
      </c>
      <c r="AM1497" s="133">
        <f>YEAR(Table1[[#This Row],[ETA
As requested
dd.mm.yyyy]])</f>
        <v>2025</v>
      </c>
    </row>
    <row r="1498" spans="1:40" hidden="1">
      <c r="A1498" s="123" t="s">
        <v>27</v>
      </c>
      <c r="B1498" s="36" t="s">
        <v>1170</v>
      </c>
      <c r="C1498" s="117">
        <v>5500511026</v>
      </c>
      <c r="D1498" s="165">
        <v>45439</v>
      </c>
      <c r="E1498" s="117" t="s">
        <v>936</v>
      </c>
      <c r="F1498" s="36" t="str">
        <f>IFERROR(VLOOKUP(Table1[[#This Row],[Part Number]],DATABASE_FG!$C$6:D11487,2,FALSE)," ")</f>
        <v>HOUSING            DBD.10G13/V</v>
      </c>
      <c r="G1498" s="117" t="str">
        <f>IFERROR(_xlfn.XLOOKUP(Table1[[#This Row],[Part Number]],Table3[Part number],Table3[Drawing
 Revision]),"")</f>
        <v>h</v>
      </c>
      <c r="H1498" s="118" cm="1">
        <f t="array" ref="H1498">IFERROR(INDEX(PDB!$C:$AT,MATCH(E1498,PDB!$B:$B,0),MATCH(YEAR(K1498),0+PDB!$C$1:$AT$1,0)),"")</f>
        <v>27.56</v>
      </c>
      <c r="I1498" s="36">
        <v>14</v>
      </c>
      <c r="J1498" s="125">
        <f>IFERROR(Table1[[#This Row],[Quantity]]*Table1[[#This Row],[Price/Unit
EUR]]," ")</f>
        <v>385.84</v>
      </c>
      <c r="K1498" s="126">
        <v>45754</v>
      </c>
      <c r="L1498" s="36">
        <f>WEEKNUM(Table1[[#This Row],[ETA
As requested
dd.mm.yyyy]])</f>
        <v>15</v>
      </c>
      <c r="M1498" s="36">
        <f>YEAR(Table1[[#This Row],[ETA
As requested
dd.mm.yyyy]])</f>
        <v>2025</v>
      </c>
      <c r="N1498" s="36">
        <f>IFERROR(INDEX(DATABASE_FG!$H$5:$H$367, MATCH(E1498, DATABASE_FG!$C$5:$C$367, 0)), " ")</f>
        <v>0</v>
      </c>
      <c r="O1498" s="129" t="str">
        <f>IF(E1498&lt;&gt;"", _xlfn.XLOOKUP(E1498, DATABASE_FG!C:C, DATABASE_FG!F:F), " ")</f>
        <v>DBD.10</v>
      </c>
      <c r="P1498" s="129">
        <f>IFERROR(INDEX(DATABASE_FG!$G$5:$G$367, MATCH(E1498, DATABASE_FG!$C$5:$C$367, 0)), "Not Found")</f>
        <v>150</v>
      </c>
      <c r="Q1498" s="36">
        <v>60</v>
      </c>
      <c r="R1498" s="125" t="s">
        <v>678</v>
      </c>
      <c r="S1498" s="123">
        <f>IFERROR(INDEX(DATABASE_FG!$L$5:$L$367, MATCH(E1498, DATABASE_FG!$C$5:$C$367, 0)), " ")</f>
        <v>56</v>
      </c>
      <c r="T1498" s="36" t="s">
        <v>677</v>
      </c>
      <c r="U1498" s="36"/>
      <c r="V1498" s="36"/>
      <c r="W1498" s="129"/>
      <c r="X1498" s="36"/>
      <c r="Y1498" s="36"/>
      <c r="Z1498" s="36"/>
      <c r="AA1498" s="125" t="s">
        <v>121</v>
      </c>
      <c r="AB1498" s="173">
        <v>45696</v>
      </c>
      <c r="AC1498" s="119">
        <v>25174</v>
      </c>
      <c r="AD1498" s="36">
        <f t="shared" si="175"/>
        <v>5500511026</v>
      </c>
      <c r="AE1498" s="36" t="str">
        <f t="shared" si="176"/>
        <v>R900320547</v>
      </c>
      <c r="AF1498" s="36">
        <v>14</v>
      </c>
      <c r="AG1498" s="120">
        <f t="shared" si="174"/>
        <v>385.84</v>
      </c>
      <c r="AH1498" s="36"/>
      <c r="AI1498" s="124"/>
      <c r="AJ1498" s="122" t="s">
        <v>2728</v>
      </c>
      <c r="AK1498" s="129" t="str">
        <f t="shared" ca="1" si="172"/>
        <v>On Time</v>
      </c>
      <c r="AL1498" s="268" t="str">
        <f t="shared" si="171"/>
        <v>April</v>
      </c>
      <c r="AM1498" s="133">
        <f>YEAR(Table1[[#This Row],[ETA
As requested
dd.mm.yyyy]])</f>
        <v>2025</v>
      </c>
    </row>
    <row r="1499" spans="1:40" hidden="1">
      <c r="A1499" s="123" t="s">
        <v>27</v>
      </c>
      <c r="B1499" s="36" t="s">
        <v>1170</v>
      </c>
      <c r="C1499" s="117">
        <v>5500511026</v>
      </c>
      <c r="D1499" s="165">
        <v>45439</v>
      </c>
      <c r="E1499" s="117" t="s">
        <v>936</v>
      </c>
      <c r="F1499" s="36" t="str">
        <f>IFERROR(VLOOKUP(Table1[[#This Row],[Part Number]],DATABASE_FG!$C$6:D11488,2,FALSE)," ")</f>
        <v>HOUSING            DBD.10G13/V</v>
      </c>
      <c r="G1499" s="117" t="str">
        <f>IFERROR(_xlfn.XLOOKUP(Table1[[#This Row],[Part Number]],Table3[Part number],Table3[Drawing
 Revision]),"")</f>
        <v>h</v>
      </c>
      <c r="H1499" s="118" cm="1">
        <f t="array" ref="H1499">IFERROR(INDEX(PDB!$C:$AT,MATCH(E1499,PDB!$B:$B,0),MATCH(YEAR(K1499),0+PDB!$C$1:$AT$1,0)),"")</f>
        <v>27.56</v>
      </c>
      <c r="I1499" s="36">
        <v>20</v>
      </c>
      <c r="J1499" s="125">
        <f>IFERROR(Table1[[#This Row],[Quantity]]*Table1[[#This Row],[Price/Unit
EUR]]," ")</f>
        <v>551.19999999999993</v>
      </c>
      <c r="K1499" s="126">
        <v>45870</v>
      </c>
      <c r="L1499" s="36">
        <f>WEEKNUM(Table1[[#This Row],[ETA
As requested
dd.mm.yyyy]])</f>
        <v>31</v>
      </c>
      <c r="M1499" s="36">
        <f>YEAR(Table1[[#This Row],[ETA
As requested
dd.mm.yyyy]])</f>
        <v>2025</v>
      </c>
      <c r="N1499" s="36">
        <f>IFERROR(INDEX(DATABASE_FG!$H$5:$H$367, MATCH(E1499, DATABASE_FG!$C$5:$C$367, 0)), " ")</f>
        <v>0</v>
      </c>
      <c r="O1499" s="129" t="str">
        <f>IF(E1499&lt;&gt;"", _xlfn.XLOOKUP(E1499, DATABASE_FG!C:C, DATABASE_FG!F:F), " ")</f>
        <v>DBD.10</v>
      </c>
      <c r="P1499" s="129">
        <f>IFERROR(INDEX(DATABASE_FG!$G$5:$G$367, MATCH(E1499, DATABASE_FG!$C$5:$C$367, 0)), "Not Found")</f>
        <v>150</v>
      </c>
      <c r="Q1499" s="36">
        <v>60</v>
      </c>
      <c r="R1499" s="125" t="s">
        <v>678</v>
      </c>
      <c r="S1499" s="123">
        <f>Table1[[#This Row],[Quantity]]/48</f>
        <v>0.41666666666666669</v>
      </c>
      <c r="T1499" s="36"/>
      <c r="U1499" s="36"/>
      <c r="V1499" s="36"/>
      <c r="W1499" s="129"/>
      <c r="X1499" s="36"/>
      <c r="Y1499" s="36"/>
      <c r="Z1499" s="36"/>
      <c r="AA1499" s="125" t="s">
        <v>121</v>
      </c>
      <c r="AB1499" s="173">
        <v>45924</v>
      </c>
      <c r="AC1499" s="119">
        <v>251161</v>
      </c>
      <c r="AD1499" s="36">
        <f t="shared" si="175"/>
        <v>5500511026</v>
      </c>
      <c r="AE1499" s="36" t="str">
        <f t="shared" si="176"/>
        <v>R900320547</v>
      </c>
      <c r="AF1499" s="36">
        <v>20</v>
      </c>
      <c r="AG1499" s="120">
        <f t="shared" si="174"/>
        <v>551.19999999999993</v>
      </c>
      <c r="AH1499" s="36"/>
      <c r="AI1499" s="124"/>
      <c r="AJ1499" s="122" t="s">
        <v>3511</v>
      </c>
      <c r="AK1499" s="129" t="str">
        <f t="shared" ca="1" si="172"/>
        <v>Late</v>
      </c>
      <c r="AL1499" s="268" t="str">
        <f t="shared" si="171"/>
        <v>August</v>
      </c>
      <c r="AM1499" s="133">
        <f>YEAR(Table1[[#This Row],[ETA
As requested
dd.mm.yyyy]])</f>
        <v>2025</v>
      </c>
      <c r="AN1499" s="191"/>
    </row>
    <row r="1500" spans="1:40" hidden="1">
      <c r="A1500" s="123" t="s">
        <v>27</v>
      </c>
      <c r="B1500" s="36" t="s">
        <v>1170</v>
      </c>
      <c r="C1500" s="117">
        <v>5500511026</v>
      </c>
      <c r="D1500" s="165">
        <v>45439</v>
      </c>
      <c r="E1500" s="117" t="s">
        <v>936</v>
      </c>
      <c r="F1500" s="36" t="str">
        <f>IFERROR(VLOOKUP(Table1[[#This Row],[Part Number]],DATABASE_FG!$C$6:D11489,2,FALSE)," ")</f>
        <v>HOUSING            DBD.10G13/V</v>
      </c>
      <c r="G1500" s="117" t="str">
        <f>IFERROR(_xlfn.XLOOKUP(Table1[[#This Row],[Part Number]],Table3[Part number],Table3[Drawing
 Revision]),"")</f>
        <v>h</v>
      </c>
      <c r="H1500" s="118" cm="1">
        <f t="array" ref="H1500">IFERROR(INDEX(PDB!$C:$AT,MATCH(E1500,PDB!$B:$B,0),MATCH(YEAR(K1500),0+PDB!$C$1:$AT$1,0)),"")</f>
        <v>27.56</v>
      </c>
      <c r="I1500" s="36">
        <f>32-20</f>
        <v>12</v>
      </c>
      <c r="J1500" s="125">
        <f>IFERROR(Table1[[#This Row],[Quantity]]*Table1[[#This Row],[Price/Unit
EUR]]," ")</f>
        <v>330.71999999999997</v>
      </c>
      <c r="K1500" s="126">
        <v>45870</v>
      </c>
      <c r="L1500" s="36">
        <f>WEEKNUM(Table1[[#This Row],[ETA
As requested
dd.mm.yyyy]])</f>
        <v>31</v>
      </c>
      <c r="M1500" s="36">
        <f>YEAR(Table1[[#This Row],[ETA
As requested
dd.mm.yyyy]])</f>
        <v>2025</v>
      </c>
      <c r="N1500" s="36">
        <f>IFERROR(INDEX(DATABASE_FG!$H$5:$H$367, MATCH(E1500, DATABASE_FG!$C$5:$C$367, 0)), " ")</f>
        <v>0</v>
      </c>
      <c r="O1500" s="129" t="str">
        <f>IF(E1500&lt;&gt;"", _xlfn.XLOOKUP(E1500, DATABASE_FG!C:C, DATABASE_FG!F:F), " ")</f>
        <v>DBD.10</v>
      </c>
      <c r="P1500" s="129">
        <f>IFERROR(INDEX(DATABASE_FG!$G$5:$G$367, MATCH(E1500, DATABASE_FG!$C$5:$C$367, 0)), "Not Found")</f>
        <v>150</v>
      </c>
      <c r="Q1500" s="36">
        <v>60</v>
      </c>
      <c r="R1500" s="125" t="s">
        <v>678</v>
      </c>
      <c r="S1500" s="123">
        <f>IFERROR(INDEX(DATABASE_FG!$L$5:$L$367, MATCH(E1500, DATABASE_FG!$C$5:$C$367, 0)), " ")</f>
        <v>56</v>
      </c>
      <c r="T1500" s="36" t="s">
        <v>677</v>
      </c>
      <c r="U1500" s="36"/>
      <c r="V1500" s="36"/>
      <c r="W1500" s="129"/>
      <c r="X1500" s="36"/>
      <c r="Y1500" s="36"/>
      <c r="Z1500" s="36"/>
      <c r="AA1500" s="125" t="s">
        <v>121</v>
      </c>
      <c r="AB1500" s="173">
        <v>45930</v>
      </c>
      <c r="AC1500" s="119">
        <v>251166</v>
      </c>
      <c r="AD1500" s="36">
        <f t="shared" si="175"/>
        <v>5500511026</v>
      </c>
      <c r="AE1500" s="36" t="str">
        <f t="shared" si="176"/>
        <v>R900320547</v>
      </c>
      <c r="AF1500" s="36">
        <v>12</v>
      </c>
      <c r="AG1500" s="120">
        <f t="shared" si="174"/>
        <v>330.71999999999997</v>
      </c>
      <c r="AH1500" s="36"/>
      <c r="AI1500" s="124"/>
      <c r="AJ1500" s="122" t="s">
        <v>3512</v>
      </c>
      <c r="AK1500" s="129" t="str">
        <f t="shared" ca="1" si="172"/>
        <v>Late</v>
      </c>
      <c r="AL1500" s="268" t="str">
        <f t="shared" si="171"/>
        <v>August</v>
      </c>
      <c r="AM1500" s="133">
        <f>YEAR(Table1[[#This Row],[ETA
As requested
dd.mm.yyyy]])</f>
        <v>2025</v>
      </c>
    </row>
    <row r="1501" spans="1:40" hidden="1">
      <c r="A1501" s="123" t="s">
        <v>27</v>
      </c>
      <c r="B1501" s="36" t="s">
        <v>1170</v>
      </c>
      <c r="C1501" s="117">
        <v>5500511026</v>
      </c>
      <c r="D1501" s="165">
        <v>45439</v>
      </c>
      <c r="E1501" s="117" t="s">
        <v>936</v>
      </c>
      <c r="F1501" s="36" t="str">
        <f>IFERROR(VLOOKUP(Table1[[#This Row],[Part Number]],DATABASE_FG!$C$6:D11490,2,FALSE)," ")</f>
        <v>HOUSING            DBD.10G13/V</v>
      </c>
      <c r="G1501" s="117" t="str">
        <f>IFERROR(_xlfn.XLOOKUP(Table1[[#This Row],[Part Number]],Table3[Part number],Table3[Drawing
 Revision]),"")</f>
        <v>h</v>
      </c>
      <c r="H1501" s="118" cm="1">
        <f t="array" ref="H1501">IFERROR(INDEX(PDB!$C:$AT,MATCH(E1501,PDB!$B:$B,0),MATCH(YEAR(K1501),0+PDB!$C$1:$AT$1,0)),"")</f>
        <v>27.56</v>
      </c>
      <c r="I1501" s="36">
        <v>32</v>
      </c>
      <c r="J1501" s="125">
        <f>IFERROR(Table1[[#This Row],[Quantity]]*Table1[[#This Row],[Price/Unit
EUR]]," ")</f>
        <v>881.92</v>
      </c>
      <c r="K1501" s="126">
        <v>45902</v>
      </c>
      <c r="L1501" s="36">
        <f>WEEKNUM(Table1[[#This Row],[ETA
As requested
dd.mm.yyyy]])</f>
        <v>36</v>
      </c>
      <c r="M1501" s="36">
        <f>YEAR(Table1[[#This Row],[ETA
As requested
dd.mm.yyyy]])</f>
        <v>2025</v>
      </c>
      <c r="N1501" s="36">
        <f>IFERROR(INDEX(DATABASE_FG!$H$5:$H$367, MATCH(E1501, DATABASE_FG!$C$5:$C$367, 0)), " ")</f>
        <v>0</v>
      </c>
      <c r="O1501" s="129" t="str">
        <f>IF(E1501&lt;&gt;"", _xlfn.XLOOKUP(E1501, DATABASE_FG!C:C, DATABASE_FG!F:F), " ")</f>
        <v>DBD.10</v>
      </c>
      <c r="P1501" s="129">
        <f>IFERROR(INDEX(DATABASE_FG!$G$5:$G$367, MATCH(E1501, DATABASE_FG!$C$5:$C$367, 0)), "Not Found")</f>
        <v>150</v>
      </c>
      <c r="Q1501" s="36">
        <v>61</v>
      </c>
      <c r="R1501" s="125" t="s">
        <v>678</v>
      </c>
      <c r="S1501" s="123">
        <f>IFERROR(INDEX(DATABASE_FG!$L$5:$L$367, MATCH(E1501, DATABASE_FG!$C$5:$C$367, 0)), " ")</f>
        <v>56</v>
      </c>
      <c r="T1501" s="36" t="s">
        <v>677</v>
      </c>
      <c r="U1501" s="36"/>
      <c r="V1501" s="36"/>
      <c r="W1501" s="129"/>
      <c r="X1501" s="36"/>
      <c r="Y1501" s="36"/>
      <c r="Z1501" s="36"/>
      <c r="AA1501" s="125" t="s">
        <v>121</v>
      </c>
      <c r="AB1501" s="173">
        <v>45930</v>
      </c>
      <c r="AC1501" s="119">
        <v>251166</v>
      </c>
      <c r="AD1501" s="36">
        <f t="shared" si="175"/>
        <v>5500511026</v>
      </c>
      <c r="AE1501" s="36" t="str">
        <f t="shared" si="176"/>
        <v>R900320547</v>
      </c>
      <c r="AF1501" s="36">
        <v>32</v>
      </c>
      <c r="AG1501" s="120">
        <f t="shared" si="174"/>
        <v>881.92</v>
      </c>
      <c r="AH1501" s="36"/>
      <c r="AI1501" s="124"/>
      <c r="AJ1501" s="122" t="s">
        <v>3512</v>
      </c>
      <c r="AK1501" s="129" t="str">
        <f t="shared" ca="1" si="172"/>
        <v>Late</v>
      </c>
      <c r="AL1501" s="268" t="str">
        <f t="shared" si="171"/>
        <v>September</v>
      </c>
      <c r="AM1501" s="133">
        <f>YEAR(Table1[[#This Row],[ETA
As requested
dd.mm.yyyy]])</f>
        <v>2025</v>
      </c>
    </row>
    <row r="1502" spans="1:40" hidden="1">
      <c r="A1502" s="123" t="s">
        <v>27</v>
      </c>
      <c r="B1502" s="36" t="s">
        <v>1170</v>
      </c>
      <c r="C1502" s="117">
        <v>5500511026</v>
      </c>
      <c r="D1502" s="165">
        <v>45439</v>
      </c>
      <c r="E1502" s="117" t="s">
        <v>936</v>
      </c>
      <c r="F1502" s="36" t="str">
        <f>IFERROR(VLOOKUP(Table1[[#This Row],[Part Number]],DATABASE_FG!$C$6:D11491,2,FALSE)," ")</f>
        <v>HOUSING            DBD.10G13/V</v>
      </c>
      <c r="G1502" s="117" t="str">
        <f>IFERROR(_xlfn.XLOOKUP(Table1[[#This Row],[Part Number]],Table3[Part number],Table3[Drawing
 Revision]),"")</f>
        <v>h</v>
      </c>
      <c r="H1502" s="118" cm="1">
        <f t="array" ref="H1502">IFERROR(INDEX(PDB!$C:$AT,MATCH(E1502,PDB!$B:$B,0),MATCH(YEAR(K1502),0+PDB!$C$1:$AT$1,0)),"")</f>
        <v>27.56</v>
      </c>
      <c r="I1502" s="36">
        <f>32+4</f>
        <v>36</v>
      </c>
      <c r="J1502" s="125">
        <f>IFERROR(Table1[[#This Row],[Quantity]]*Table1[[#This Row],[Price/Unit
EUR]]," ")</f>
        <v>992.16</v>
      </c>
      <c r="K1502" s="126">
        <v>45992</v>
      </c>
      <c r="L1502" s="36">
        <f>WEEKNUM(Table1[[#This Row],[ETA
As requested
dd.mm.yyyy]])</f>
        <v>49</v>
      </c>
      <c r="M1502" s="36">
        <f>YEAR(Table1[[#This Row],[ETA
As requested
dd.mm.yyyy]])</f>
        <v>2025</v>
      </c>
      <c r="N1502" s="36">
        <f>IFERROR(INDEX(DATABASE_FG!$H$5:$H$367, MATCH(E1502, DATABASE_FG!$C$5:$C$367, 0)), " ")</f>
        <v>0</v>
      </c>
      <c r="O1502" s="129" t="str">
        <f>IF(E1502&lt;&gt;"", _xlfn.XLOOKUP(E1502, DATABASE_FG!C:C, DATABASE_FG!F:F), " ")</f>
        <v>DBD.10</v>
      </c>
      <c r="P1502" s="129">
        <f>IFERROR(INDEX(DATABASE_FG!$G$5:$G$367, MATCH(E1502, DATABASE_FG!$C$5:$C$367, 0)), "Not Found")</f>
        <v>150</v>
      </c>
      <c r="Q1502" s="36">
        <v>61</v>
      </c>
      <c r="R1502" s="125" t="s">
        <v>678</v>
      </c>
      <c r="S1502" s="123">
        <f>IFERROR(INDEX(DATABASE_FG!$L$5:$L$367, MATCH(E1502, DATABASE_FG!$C$5:$C$367, 0)), " ")</f>
        <v>56</v>
      </c>
      <c r="T1502" s="36" t="s">
        <v>677</v>
      </c>
      <c r="U1502" s="36"/>
      <c r="V1502" s="36"/>
      <c r="W1502" s="129"/>
      <c r="X1502" s="36"/>
      <c r="Y1502" s="36"/>
      <c r="Z1502" s="36"/>
      <c r="AA1502" s="125" t="s">
        <v>121</v>
      </c>
      <c r="AB1502" s="173">
        <v>45930</v>
      </c>
      <c r="AC1502" s="119">
        <v>251166</v>
      </c>
      <c r="AD1502" s="36">
        <f t="shared" si="175"/>
        <v>5500511026</v>
      </c>
      <c r="AE1502" s="36" t="str">
        <f t="shared" si="176"/>
        <v>R900320547</v>
      </c>
      <c r="AF1502" s="36">
        <v>36</v>
      </c>
      <c r="AG1502" s="120">
        <f t="shared" si="174"/>
        <v>992.16</v>
      </c>
      <c r="AH1502" s="36"/>
      <c r="AI1502" s="124"/>
      <c r="AJ1502" s="122" t="s">
        <v>3512</v>
      </c>
      <c r="AK1502" s="129" t="str">
        <f t="shared" ca="1" si="172"/>
        <v>On Time</v>
      </c>
      <c r="AL1502" s="268" t="str">
        <f t="shared" si="171"/>
        <v>December</v>
      </c>
      <c r="AM1502" s="133">
        <f>YEAR(Table1[[#This Row],[ETA
As requested
dd.mm.yyyy]])</f>
        <v>2025</v>
      </c>
    </row>
    <row r="1503" spans="1:40" hidden="1">
      <c r="A1503" s="123" t="s">
        <v>27</v>
      </c>
      <c r="B1503" s="36" t="s">
        <v>1170</v>
      </c>
      <c r="C1503" s="117">
        <v>5500511027</v>
      </c>
      <c r="D1503" s="165">
        <v>45439</v>
      </c>
      <c r="E1503" s="117" t="s">
        <v>42</v>
      </c>
      <c r="F1503" s="36" t="str">
        <f>IFERROR(VLOOKUP(Table1[[#This Row],[Part Number]],DATABASE_FG!$C$6:D11492,2,FALSE)," ")</f>
        <v>HOUSING            DBD.20G1X/V</v>
      </c>
      <c r="G1503" s="117" t="str">
        <f>IFERROR(_xlfn.XLOOKUP(Table1[[#This Row],[Part Number]],Table3[Part number],Table3[Drawing
 Revision]),"")</f>
        <v>g</v>
      </c>
      <c r="H1503" s="118" cm="1">
        <f t="array" ref="H1503">IFERROR(INDEX(PDB!$C:$AT,MATCH(E1503,PDB!$B:$B,0),MATCH(YEAR(K1503),0+PDB!$C$1:$AT$1,0)),"")</f>
        <v>46.06</v>
      </c>
      <c r="I1503" s="36">
        <v>16</v>
      </c>
      <c r="J1503" s="125">
        <f>IFERROR(Table1[[#This Row],[Quantity]]*Table1[[#This Row],[Price/Unit
EUR]]," ")</f>
        <v>736.96</v>
      </c>
      <c r="K1503" s="126">
        <v>45434</v>
      </c>
      <c r="L1503" s="36">
        <f>WEEKNUM(Table1[[#This Row],[ETA
As requested
dd.mm.yyyy]])</f>
        <v>21</v>
      </c>
      <c r="M1503" s="36">
        <f>YEAR(Table1[[#This Row],[ETA
As requested
dd.mm.yyyy]])</f>
        <v>2024</v>
      </c>
      <c r="N1503" s="36">
        <f>IFERROR(INDEX(DATABASE_FG!$H$5:$H$367, MATCH(E1503, DATABASE_FG!$C$5:$C$367, 0)), " ")</f>
        <v>96</v>
      </c>
      <c r="O1503" s="129" t="str">
        <f>IF(E1503&lt;&gt;"", _xlfn.XLOOKUP(E1503, DATABASE_FG!C:C, DATABASE_FG!F:F), " ")</f>
        <v>DBD.20</v>
      </c>
      <c r="P1503" s="129">
        <f>IFERROR(INDEX(DATABASE_FG!$G$5:$G$367, MATCH(E1503, DATABASE_FG!$C$5:$C$367, 0)), "Not Found")</f>
        <v>16</v>
      </c>
      <c r="Q1503" s="36">
        <v>60</v>
      </c>
      <c r="R1503" s="125" t="s">
        <v>678</v>
      </c>
      <c r="S1503" s="123">
        <f>IFERROR(INDEX(DATABASE_FG!$L$5:$L$367, MATCH(E1503, DATABASE_FG!$C$5:$C$367, 0)), " ")</f>
        <v>56</v>
      </c>
      <c r="T1503" s="36" t="s">
        <v>677</v>
      </c>
      <c r="U1503" s="36"/>
      <c r="V1503" s="36"/>
      <c r="W1503" s="129"/>
      <c r="X1503" s="36"/>
      <c r="Y1503" s="36"/>
      <c r="Z1503" s="36" t="s">
        <v>1537</v>
      </c>
      <c r="AA1503" s="125" t="s">
        <v>121</v>
      </c>
      <c r="AB1503" s="173">
        <v>45429</v>
      </c>
      <c r="AC1503" s="119">
        <v>2024502</v>
      </c>
      <c r="AD1503" s="36">
        <f t="shared" si="175"/>
        <v>5500511027</v>
      </c>
      <c r="AE1503" s="36" t="str">
        <f t="shared" si="176"/>
        <v>R900320551</v>
      </c>
      <c r="AF1503" s="36">
        <v>16</v>
      </c>
      <c r="AG1503" s="120">
        <f t="shared" si="174"/>
        <v>736.96</v>
      </c>
      <c r="AH1503" s="36"/>
      <c r="AI1503" s="124"/>
      <c r="AJ1503" s="122" t="s">
        <v>1538</v>
      </c>
      <c r="AK1503" s="129" t="str">
        <f t="shared" ca="1" si="172"/>
        <v>On Time</v>
      </c>
      <c r="AL1503" s="268" t="str">
        <f t="shared" si="171"/>
        <v>May</v>
      </c>
      <c r="AM1503" s="133">
        <f>YEAR(Table1[[#This Row],[ETA
As requested
dd.mm.yyyy]])</f>
        <v>2024</v>
      </c>
    </row>
    <row r="1504" spans="1:40" hidden="1">
      <c r="A1504" s="123" t="s">
        <v>27</v>
      </c>
      <c r="B1504" s="36" t="s">
        <v>1170</v>
      </c>
      <c r="C1504" s="117">
        <v>5500511027</v>
      </c>
      <c r="D1504" s="165">
        <v>45446</v>
      </c>
      <c r="E1504" s="117" t="s">
        <v>42</v>
      </c>
      <c r="F1504" s="36" t="str">
        <f>IFERROR(VLOOKUP(Table1[[#This Row],[Part Number]],DATABASE_FG!$C$6:D11493,2,FALSE)," ")</f>
        <v>HOUSING            DBD.20G1X/V</v>
      </c>
      <c r="G1504" s="117" t="str">
        <f>IFERROR(_xlfn.XLOOKUP(Table1[[#This Row],[Part Number]],Table3[Part number],Table3[Drawing
 Revision]),"")</f>
        <v>g</v>
      </c>
      <c r="H1504" s="118" cm="1">
        <f t="array" ref="H1504">IFERROR(INDEX(PDB!$C:$AT,MATCH(E1504,PDB!$B:$B,0),MATCH(YEAR(K1504),0+PDB!$C$1:$AT$1,0)),"")</f>
        <v>46.06</v>
      </c>
      <c r="I1504" s="36">
        <v>16</v>
      </c>
      <c r="J1504" s="125">
        <f>IFERROR(Table1[[#This Row],[Quantity]]*Table1[[#This Row],[Price/Unit
EUR]]," ")</f>
        <v>736.96</v>
      </c>
      <c r="K1504" s="126">
        <v>45439</v>
      </c>
      <c r="L1504" s="36">
        <f>WEEKNUM(Table1[[#This Row],[ETA
As requested
dd.mm.yyyy]])</f>
        <v>22</v>
      </c>
      <c r="M1504" s="36">
        <f>YEAR(Table1[[#This Row],[ETA
As requested
dd.mm.yyyy]])</f>
        <v>2024</v>
      </c>
      <c r="N1504" s="36">
        <f>IFERROR(INDEX(DATABASE_FG!$H$5:$H$367, MATCH(E1504, DATABASE_FG!$C$5:$C$367, 0)), " ")</f>
        <v>96</v>
      </c>
      <c r="O1504" s="129" t="str">
        <f>IF(E1504&lt;&gt;"", _xlfn.XLOOKUP(E1504, DATABASE_FG!C:C, DATABASE_FG!F:F), " ")</f>
        <v>DBD.20</v>
      </c>
      <c r="P1504" s="129">
        <f>IFERROR(INDEX(DATABASE_FG!$G$5:$G$367, MATCH(E1504, DATABASE_FG!$C$5:$C$367, 0)), "Not Found")</f>
        <v>16</v>
      </c>
      <c r="Q1504" s="36">
        <v>60</v>
      </c>
      <c r="R1504" s="125" t="s">
        <v>678</v>
      </c>
      <c r="S1504" s="123">
        <f>IFERROR(INDEX(DATABASE_FG!$L$5:$L$367, MATCH(E1504, DATABASE_FG!$C$5:$C$367, 0)), " ")</f>
        <v>56</v>
      </c>
      <c r="T1504" s="36" t="s">
        <v>677</v>
      </c>
      <c r="U1504" s="36"/>
      <c r="V1504" s="36"/>
      <c r="W1504" s="129"/>
      <c r="X1504" s="36"/>
      <c r="Y1504" s="36"/>
      <c r="Z1504" s="36" t="s">
        <v>1567</v>
      </c>
      <c r="AA1504" s="125" t="s">
        <v>121</v>
      </c>
      <c r="AB1504" s="173">
        <v>45446</v>
      </c>
      <c r="AC1504" s="119">
        <v>2024589</v>
      </c>
      <c r="AD1504" s="36">
        <f t="shared" si="175"/>
        <v>5500511027</v>
      </c>
      <c r="AE1504" s="36" t="str">
        <f t="shared" si="176"/>
        <v>R900320551</v>
      </c>
      <c r="AF1504" s="36">
        <v>16</v>
      </c>
      <c r="AG1504" s="120">
        <f t="shared" si="174"/>
        <v>736.96</v>
      </c>
      <c r="AH1504" s="36"/>
      <c r="AI1504" s="124"/>
      <c r="AJ1504" s="122" t="s">
        <v>1568</v>
      </c>
      <c r="AK1504" s="129" t="str">
        <f t="shared" ca="1" si="172"/>
        <v>Late</v>
      </c>
      <c r="AL1504" s="268" t="str">
        <f t="shared" si="171"/>
        <v>May</v>
      </c>
      <c r="AM1504" s="133">
        <f>YEAR(Table1[[#This Row],[ETA
As requested
dd.mm.yyyy]])</f>
        <v>2024</v>
      </c>
    </row>
    <row r="1505" spans="1:39" hidden="1">
      <c r="A1505" s="123" t="s">
        <v>27</v>
      </c>
      <c r="B1505" s="36" t="s">
        <v>1170</v>
      </c>
      <c r="C1505" s="117">
        <v>5500511027</v>
      </c>
      <c r="D1505" s="165">
        <v>45446</v>
      </c>
      <c r="E1505" s="117" t="s">
        <v>42</v>
      </c>
      <c r="F1505" s="36" t="str">
        <f>IFERROR(VLOOKUP(Table1[[#This Row],[Part Number]],DATABASE_FG!$C$6:D11494,2,FALSE)," ")</f>
        <v>HOUSING            DBD.20G1X/V</v>
      </c>
      <c r="G1505" s="117" t="str">
        <f>IFERROR(_xlfn.XLOOKUP(Table1[[#This Row],[Part Number]],Table3[Part number],Table3[Drawing
 Revision]),"")</f>
        <v>g</v>
      </c>
      <c r="H1505" s="118" cm="1">
        <f t="array" ref="H1505">IFERROR(INDEX(PDB!$C:$AT,MATCH(E1505,PDB!$B:$B,0),MATCH(YEAR(K1505),0+PDB!$C$1:$AT$1,0)),"")</f>
        <v>46.06</v>
      </c>
      <c r="I1505" s="36">
        <v>16</v>
      </c>
      <c r="J1505" s="125">
        <f>IFERROR(Table1[[#This Row],[Quantity]]*Table1[[#This Row],[Price/Unit
EUR]]," ")</f>
        <v>736.96</v>
      </c>
      <c r="K1505" s="126">
        <v>45482</v>
      </c>
      <c r="L1505" s="36">
        <f>WEEKNUM(Table1[[#This Row],[ETA
As requested
dd.mm.yyyy]])</f>
        <v>28</v>
      </c>
      <c r="M1505" s="36">
        <f>YEAR(Table1[[#This Row],[ETA
As requested
dd.mm.yyyy]])</f>
        <v>2024</v>
      </c>
      <c r="N1505" s="36">
        <f>IFERROR(INDEX(DATABASE_FG!$H$5:$H$367, MATCH(E1505, DATABASE_FG!$C$5:$C$367, 0)), " ")</f>
        <v>96</v>
      </c>
      <c r="O1505" s="129" t="str">
        <f>IF(E1505&lt;&gt;"", _xlfn.XLOOKUP(E1505, DATABASE_FG!C:C, DATABASE_FG!F:F), " ")</f>
        <v>DBD.20</v>
      </c>
      <c r="P1505" s="129">
        <f>IFERROR(INDEX(DATABASE_FG!$G$5:$G$367, MATCH(E1505, DATABASE_FG!$C$5:$C$367, 0)), "Not Found")</f>
        <v>16</v>
      </c>
      <c r="Q1505" s="36">
        <v>60</v>
      </c>
      <c r="R1505" s="125" t="s">
        <v>678</v>
      </c>
      <c r="S1505" s="123">
        <f>IFERROR(INDEX(DATABASE_FG!$L$5:$L$367, MATCH(E1505, DATABASE_FG!$C$5:$C$367, 0)), " ")</f>
        <v>56</v>
      </c>
      <c r="T1505" s="36" t="s">
        <v>677</v>
      </c>
      <c r="U1505" s="36"/>
      <c r="V1505" s="36"/>
      <c r="W1505" s="129"/>
      <c r="X1505" s="36"/>
      <c r="Y1505" s="36"/>
      <c r="Z1505" s="36" t="s">
        <v>1800</v>
      </c>
      <c r="AA1505" s="125" t="s">
        <v>121</v>
      </c>
      <c r="AB1505" s="173">
        <v>45482</v>
      </c>
      <c r="AC1505" s="119">
        <v>2024826</v>
      </c>
      <c r="AD1505" s="36">
        <f t="shared" si="175"/>
        <v>5500511027</v>
      </c>
      <c r="AE1505" s="36" t="str">
        <f t="shared" si="176"/>
        <v>R900320551</v>
      </c>
      <c r="AF1505" s="36">
        <v>16</v>
      </c>
      <c r="AG1505" s="120">
        <f t="shared" si="174"/>
        <v>736.96</v>
      </c>
      <c r="AH1505" s="36"/>
      <c r="AI1505" s="124"/>
      <c r="AJ1505" s="122" t="s">
        <v>1801</v>
      </c>
      <c r="AK1505" s="129" t="str">
        <f t="shared" ca="1" si="172"/>
        <v>On Time</v>
      </c>
      <c r="AL1505" s="268" t="str">
        <f t="shared" si="171"/>
        <v>July</v>
      </c>
      <c r="AM1505" s="133">
        <f>YEAR(Table1[[#This Row],[ETA
As requested
dd.mm.yyyy]])</f>
        <v>2024</v>
      </c>
    </row>
    <row r="1506" spans="1:39" hidden="1">
      <c r="A1506" s="123" t="s">
        <v>27</v>
      </c>
      <c r="B1506" s="36" t="s">
        <v>1170</v>
      </c>
      <c r="C1506" s="117">
        <v>5500511027</v>
      </c>
      <c r="D1506" s="165">
        <v>45446</v>
      </c>
      <c r="E1506" s="117" t="s">
        <v>42</v>
      </c>
      <c r="F1506" s="36" t="str">
        <f>IFERROR(VLOOKUP(Table1[[#This Row],[Part Number]],DATABASE_FG!$C$6:D11495,2,FALSE)," ")</f>
        <v>HOUSING            DBD.20G1X/V</v>
      </c>
      <c r="G1506" s="117" t="str">
        <f>IFERROR(_xlfn.XLOOKUP(Table1[[#This Row],[Part Number]],Table3[Part number],Table3[Drawing
 Revision]),"")</f>
        <v>g</v>
      </c>
      <c r="H1506" s="118" cm="1">
        <f t="array" ref="H1506">IFERROR(INDEX(PDB!$C:$AT,MATCH(E1506,PDB!$B:$B,0),MATCH(YEAR(K1506),0+PDB!$C$1:$AT$1,0)),"")</f>
        <v>46.06</v>
      </c>
      <c r="I1506" s="36">
        <v>8</v>
      </c>
      <c r="J1506" s="125">
        <f>IFERROR(Table1[[#This Row],[Quantity]]*Table1[[#This Row],[Price/Unit
EUR]]," ")</f>
        <v>368.48</v>
      </c>
      <c r="K1506" s="126">
        <v>45638</v>
      </c>
      <c r="L1506" s="36">
        <f>WEEKNUM(Table1[[#This Row],[ETA
As requested
dd.mm.yyyy]])</f>
        <v>50</v>
      </c>
      <c r="M1506" s="36">
        <f>YEAR(Table1[[#This Row],[ETA
As requested
dd.mm.yyyy]])</f>
        <v>2024</v>
      </c>
      <c r="N1506" s="36">
        <f>IFERROR(INDEX(DATABASE_FG!$H$5:$H$367, MATCH(E1506, DATABASE_FG!$C$5:$C$367, 0)), " ")</f>
        <v>96</v>
      </c>
      <c r="O1506" s="129" t="str">
        <f>IF(E1506&lt;&gt;"", _xlfn.XLOOKUP(E1506, DATABASE_FG!C:C, DATABASE_FG!F:F), " ")</f>
        <v>DBD.20</v>
      </c>
      <c r="P1506" s="129">
        <f>IFERROR(INDEX(DATABASE_FG!$G$5:$G$367, MATCH(E1506, DATABASE_FG!$C$5:$C$367, 0)), "Not Found")</f>
        <v>16</v>
      </c>
      <c r="Q1506" s="36">
        <v>60</v>
      </c>
      <c r="R1506" s="125" t="s">
        <v>678</v>
      </c>
      <c r="S1506" s="123">
        <f>IFERROR(INDEX(DATABASE_FG!$L$5:$L$367, MATCH(E1506, DATABASE_FG!$C$5:$C$367, 0)), " ")</f>
        <v>56</v>
      </c>
      <c r="T1506" s="36" t="s">
        <v>677</v>
      </c>
      <c r="U1506" s="36"/>
      <c r="V1506" s="36"/>
      <c r="W1506" s="129"/>
      <c r="X1506" s="36"/>
      <c r="Y1506" s="36"/>
      <c r="Z1506" s="36"/>
      <c r="AA1506" s="125" t="s">
        <v>121</v>
      </c>
      <c r="AB1506" s="173">
        <v>45638</v>
      </c>
      <c r="AC1506" s="119">
        <v>202401527</v>
      </c>
      <c r="AD1506" s="36">
        <f t="shared" si="175"/>
        <v>5500511027</v>
      </c>
      <c r="AE1506" s="36" t="str">
        <f t="shared" si="176"/>
        <v>R900320551</v>
      </c>
      <c r="AF1506" s="36">
        <v>8</v>
      </c>
      <c r="AG1506" s="120">
        <f t="shared" si="174"/>
        <v>368.48</v>
      </c>
      <c r="AH1506" s="36"/>
      <c r="AI1506" s="124"/>
      <c r="AJ1506" s="122" t="s">
        <v>2664</v>
      </c>
      <c r="AK1506" s="129" t="str">
        <f t="shared" ca="1" si="172"/>
        <v>On Time</v>
      </c>
      <c r="AL1506" s="268" t="str">
        <f t="shared" si="171"/>
        <v>December</v>
      </c>
      <c r="AM1506" s="133">
        <f>YEAR(Table1[[#This Row],[ETA
As requested
dd.mm.yyyy]])</f>
        <v>2024</v>
      </c>
    </row>
    <row r="1507" spans="1:39" hidden="1">
      <c r="A1507" s="123" t="s">
        <v>27</v>
      </c>
      <c r="B1507" s="36" t="s">
        <v>1170</v>
      </c>
      <c r="C1507" s="117">
        <v>5500511027</v>
      </c>
      <c r="D1507" s="165">
        <v>45446</v>
      </c>
      <c r="E1507" s="117" t="s">
        <v>42</v>
      </c>
      <c r="F1507" s="36" t="str">
        <f>IFERROR(VLOOKUP(Table1[[#This Row],[Part Number]],DATABASE_FG!$C$6:D11496,2,FALSE)," ")</f>
        <v>HOUSING            DBD.20G1X/V</v>
      </c>
      <c r="G1507" s="117" t="str">
        <f>IFERROR(_xlfn.XLOOKUP(Table1[[#This Row],[Part Number]],Table3[Part number],Table3[Drawing
 Revision]),"")</f>
        <v>g</v>
      </c>
      <c r="H1507" s="118" cm="1">
        <f t="array" ref="H1507">IFERROR(INDEX(PDB!$C:$AT,MATCH(E1507,PDB!$B:$B,0),MATCH(YEAR(K1507),0+PDB!$C$1:$AT$1,0)),"")</f>
        <v>46.06</v>
      </c>
      <c r="I1507" s="36">
        <v>8</v>
      </c>
      <c r="J1507" s="125">
        <f>IFERROR(Table1[[#This Row],[Quantity]]*Table1[[#This Row],[Price/Unit
EUR]]," ")</f>
        <v>368.48</v>
      </c>
      <c r="K1507" s="126">
        <v>45638</v>
      </c>
      <c r="L1507" s="36">
        <f>WEEKNUM(Table1[[#This Row],[ETA
As requested
dd.mm.yyyy]])</f>
        <v>50</v>
      </c>
      <c r="M1507" s="36">
        <f>YEAR(Table1[[#This Row],[ETA
As requested
dd.mm.yyyy]])</f>
        <v>2024</v>
      </c>
      <c r="N1507" s="36">
        <f>IFERROR(INDEX(DATABASE_FG!$H$5:$H$367, MATCH(E1507, DATABASE_FG!$C$5:$C$367, 0)), " ")</f>
        <v>96</v>
      </c>
      <c r="O1507" s="129" t="str">
        <f>IF(E1507&lt;&gt;"", _xlfn.XLOOKUP(E1507, DATABASE_FG!C:C, DATABASE_FG!F:F), " ")</f>
        <v>DBD.20</v>
      </c>
      <c r="P1507" s="129">
        <f>IFERROR(INDEX(DATABASE_FG!$G$5:$G$367, MATCH(E1507, DATABASE_FG!$C$5:$C$367, 0)), "Not Found")</f>
        <v>16</v>
      </c>
      <c r="Q1507" s="36">
        <v>60</v>
      </c>
      <c r="R1507" s="125" t="s">
        <v>678</v>
      </c>
      <c r="S1507" s="123">
        <f>IFERROR(INDEX(DATABASE_FG!$L$5:$L$367, MATCH(E1507, DATABASE_FG!$C$5:$C$367, 0)), " ")</f>
        <v>56</v>
      </c>
      <c r="T1507" s="36" t="s">
        <v>677</v>
      </c>
      <c r="U1507" s="36"/>
      <c r="V1507" s="36"/>
      <c r="W1507" s="129"/>
      <c r="X1507" s="36"/>
      <c r="Y1507" s="36"/>
      <c r="Z1507" s="36"/>
      <c r="AA1507" s="125" t="s">
        <v>121</v>
      </c>
      <c r="AB1507" s="173">
        <v>45640</v>
      </c>
      <c r="AC1507" s="119">
        <v>202401534</v>
      </c>
      <c r="AD1507" s="36">
        <f t="shared" si="175"/>
        <v>5500511027</v>
      </c>
      <c r="AE1507" s="36" t="str">
        <f t="shared" si="176"/>
        <v>R900320551</v>
      </c>
      <c r="AF1507" s="36">
        <v>8</v>
      </c>
      <c r="AG1507" s="120">
        <f t="shared" si="174"/>
        <v>368.48</v>
      </c>
      <c r="AH1507" s="36"/>
      <c r="AI1507" s="124"/>
      <c r="AJ1507" s="122" t="s">
        <v>2665</v>
      </c>
      <c r="AK1507" s="129" t="str">
        <f t="shared" ca="1" si="172"/>
        <v>On Time</v>
      </c>
      <c r="AL1507" s="268" t="str">
        <f t="shared" si="171"/>
        <v>December</v>
      </c>
      <c r="AM1507" s="133">
        <f>YEAR(Table1[[#This Row],[ETA
As requested
dd.mm.yyyy]])</f>
        <v>2024</v>
      </c>
    </row>
    <row r="1508" spans="1:39" hidden="1">
      <c r="A1508" s="123" t="s">
        <v>27</v>
      </c>
      <c r="B1508" s="36" t="s">
        <v>1170</v>
      </c>
      <c r="C1508" s="117">
        <v>5500511027</v>
      </c>
      <c r="D1508" s="165">
        <v>45447</v>
      </c>
      <c r="E1508" s="117" t="s">
        <v>42</v>
      </c>
      <c r="F1508" s="36" t="str">
        <f>IFERROR(VLOOKUP(Table1[[#This Row],[Part Number]],DATABASE_FG!$C$6:D11497,2,FALSE)," ")</f>
        <v>HOUSING            DBD.20G1X/V</v>
      </c>
      <c r="G1508" s="117" t="str">
        <f>IFERROR(_xlfn.XLOOKUP(Table1[[#This Row],[Part Number]],Table3[Part number],Table3[Drawing
 Revision]),"")</f>
        <v>g</v>
      </c>
      <c r="H1508" s="118" cm="1">
        <f t="array" ref="H1508">IFERROR(INDEX(PDB!$C:$AT,MATCH(E1508,PDB!$B:$B,0),MATCH(YEAR(K1508),0+PDB!$C$1:$AT$1,0)),"")</f>
        <v>46.06</v>
      </c>
      <c r="I1508" s="36">
        <v>1</v>
      </c>
      <c r="J1508" s="125">
        <f>IFERROR(Table1[[#This Row],[Quantity]]*Table1[[#This Row],[Price/Unit
EUR]]," ")</f>
        <v>46.06</v>
      </c>
      <c r="K1508" s="126">
        <v>45708</v>
      </c>
      <c r="L1508" s="36">
        <f>WEEKNUM(Table1[[#This Row],[ETA
As requested
dd.mm.yyyy]])</f>
        <v>8</v>
      </c>
      <c r="M1508" s="36">
        <f>YEAR(Table1[[#This Row],[ETA
As requested
dd.mm.yyyy]])</f>
        <v>2025</v>
      </c>
      <c r="N1508" s="36">
        <f>IFERROR(INDEX(DATABASE_FG!$H$5:$H$367, MATCH(E1508, DATABASE_FG!$C$5:$C$367, 0)), " ")</f>
        <v>96</v>
      </c>
      <c r="O1508" s="129" t="str">
        <f>IF(E1508&lt;&gt;"", _xlfn.XLOOKUP(E1508, DATABASE_FG!C:C, DATABASE_FG!F:F), " ")</f>
        <v>DBD.20</v>
      </c>
      <c r="P1508" s="129">
        <f>IFERROR(INDEX(DATABASE_FG!$G$5:$G$367, MATCH(E1508, DATABASE_FG!$C$5:$C$367, 0)), "Not Found")</f>
        <v>16</v>
      </c>
      <c r="Q1508" s="36">
        <v>61</v>
      </c>
      <c r="R1508" s="125" t="s">
        <v>678</v>
      </c>
      <c r="S1508" s="123">
        <f>IFERROR(INDEX(DATABASE_FG!$L$5:$L$367, MATCH(E1508, DATABASE_FG!$C$5:$C$367, 0)), " ")</f>
        <v>56</v>
      </c>
      <c r="T1508" s="36" t="s">
        <v>677</v>
      </c>
      <c r="U1508" s="36"/>
      <c r="V1508" s="36"/>
      <c r="W1508" s="129"/>
      <c r="X1508" s="36"/>
      <c r="Y1508" s="36"/>
      <c r="Z1508" s="36"/>
      <c r="AA1508" s="125" t="s">
        <v>121</v>
      </c>
      <c r="AB1508" s="173">
        <v>45640</v>
      </c>
      <c r="AC1508" s="119">
        <v>202401556</v>
      </c>
      <c r="AD1508" s="36">
        <f t="shared" si="175"/>
        <v>5500511027</v>
      </c>
      <c r="AE1508" s="36" t="str">
        <f t="shared" si="176"/>
        <v>R900320551</v>
      </c>
      <c r="AF1508" s="36">
        <v>1</v>
      </c>
      <c r="AG1508" s="120">
        <f t="shared" si="174"/>
        <v>46.06</v>
      </c>
      <c r="AH1508" s="36"/>
      <c r="AI1508" s="124"/>
      <c r="AJ1508" s="122" t="s">
        <v>2665</v>
      </c>
      <c r="AK1508" s="129" t="str">
        <f t="shared" ca="1" si="172"/>
        <v>On Time</v>
      </c>
      <c r="AL1508" s="268" t="str">
        <f t="shared" si="171"/>
        <v>February</v>
      </c>
      <c r="AM1508" s="133">
        <f>YEAR(Table1[[#This Row],[ETA
As requested
dd.mm.yyyy]])</f>
        <v>2025</v>
      </c>
    </row>
    <row r="1509" spans="1:39" hidden="1">
      <c r="A1509" s="123" t="s">
        <v>27</v>
      </c>
      <c r="B1509" s="36" t="s">
        <v>1170</v>
      </c>
      <c r="C1509" s="117">
        <v>5500511027</v>
      </c>
      <c r="D1509" s="165">
        <v>45447</v>
      </c>
      <c r="E1509" s="117" t="s">
        <v>42</v>
      </c>
      <c r="F1509" s="36" t="str">
        <f>IFERROR(VLOOKUP(Table1[[#This Row],[Part Number]],DATABASE_FG!$C$6:D11498,2,FALSE)," ")</f>
        <v>HOUSING            DBD.20G1X/V</v>
      </c>
      <c r="G1509" s="117" t="str">
        <f>IFERROR(_xlfn.XLOOKUP(Table1[[#This Row],[Part Number]],Table3[Part number],Table3[Drawing
 Revision]),"")</f>
        <v>g</v>
      </c>
      <c r="H1509" s="118" cm="1">
        <f t="array" ref="H1509">IFERROR(INDEX(PDB!$C:$AT,MATCH(E1509,PDB!$B:$B,0),MATCH(YEAR(K1509),0+PDB!$C$1:$AT$1,0)),"")</f>
        <v>46.06</v>
      </c>
      <c r="I1509" s="36">
        <v>7</v>
      </c>
      <c r="J1509" s="125">
        <f>IFERROR(Table1[[#This Row],[Quantity]]*Table1[[#This Row],[Price/Unit
EUR]]," ")</f>
        <v>322.42</v>
      </c>
      <c r="K1509" s="126">
        <v>45708</v>
      </c>
      <c r="L1509" s="36">
        <f>WEEKNUM(Table1[[#This Row],[ETA
As requested
dd.mm.yyyy]])</f>
        <v>8</v>
      </c>
      <c r="M1509" s="36">
        <f>YEAR(Table1[[#This Row],[ETA
As requested
dd.mm.yyyy]])</f>
        <v>2025</v>
      </c>
      <c r="N1509" s="36">
        <f>IFERROR(INDEX(DATABASE_FG!$H$5:$H$367, MATCH(E1509, DATABASE_FG!$C$5:$C$367, 0)), " ")</f>
        <v>96</v>
      </c>
      <c r="O1509" s="129" t="str">
        <f>IF(E1509&lt;&gt;"", _xlfn.XLOOKUP(E1509, DATABASE_FG!C:C, DATABASE_FG!F:F), " ")</f>
        <v>DBD.20</v>
      </c>
      <c r="P1509" s="129">
        <f>IFERROR(INDEX(DATABASE_FG!$G$5:$G$367, MATCH(E1509, DATABASE_FG!$C$5:$C$367, 0)), "Not Found")</f>
        <v>16</v>
      </c>
      <c r="Q1509" s="36">
        <v>61</v>
      </c>
      <c r="R1509" s="125" t="s">
        <v>678</v>
      </c>
      <c r="S1509" s="123">
        <f>IFERROR(INDEX(DATABASE_FG!$L$5:$L$367, MATCH(E1509, DATABASE_FG!$C$5:$C$367, 0)), " ")</f>
        <v>56</v>
      </c>
      <c r="T1509" s="36" t="s">
        <v>677</v>
      </c>
      <c r="U1509" s="36"/>
      <c r="V1509" s="36"/>
      <c r="W1509" s="129"/>
      <c r="X1509" s="36"/>
      <c r="Y1509" s="36" t="s">
        <v>677</v>
      </c>
      <c r="Z1509" s="36"/>
      <c r="AA1509" s="125" t="s">
        <v>121</v>
      </c>
      <c r="AB1509" s="173">
        <v>45696</v>
      </c>
      <c r="AC1509" s="119">
        <v>25178</v>
      </c>
      <c r="AD1509" s="36">
        <f t="shared" si="175"/>
        <v>5500511027</v>
      </c>
      <c r="AE1509" s="36" t="str">
        <f t="shared" si="176"/>
        <v>R900320551</v>
      </c>
      <c r="AF1509" s="36">
        <v>7</v>
      </c>
      <c r="AG1509" s="120">
        <f t="shared" si="174"/>
        <v>322.42</v>
      </c>
      <c r="AH1509" s="36"/>
      <c r="AI1509" s="124"/>
      <c r="AJ1509" s="122" t="s">
        <v>2841</v>
      </c>
      <c r="AK1509" s="129" t="str">
        <f t="shared" ca="1" si="172"/>
        <v>On Time</v>
      </c>
      <c r="AL1509" s="268" t="str">
        <f t="shared" si="171"/>
        <v>February</v>
      </c>
      <c r="AM1509" s="133">
        <f>YEAR(Table1[[#This Row],[ETA
As requested
dd.mm.yyyy]])</f>
        <v>2025</v>
      </c>
    </row>
    <row r="1510" spans="1:39" hidden="1">
      <c r="A1510" s="123" t="s">
        <v>27</v>
      </c>
      <c r="B1510" s="36" t="s">
        <v>1170</v>
      </c>
      <c r="C1510" s="117">
        <v>5500511027</v>
      </c>
      <c r="D1510" s="165">
        <v>45447</v>
      </c>
      <c r="E1510" s="117" t="s">
        <v>42</v>
      </c>
      <c r="F1510" s="36" t="str">
        <f>IFERROR(VLOOKUP(Table1[[#This Row],[Part Number]],DATABASE_FG!$C$6:D11499,2,FALSE)," ")</f>
        <v>HOUSING            DBD.20G1X/V</v>
      </c>
      <c r="G1510" s="117" t="str">
        <f>IFERROR(_xlfn.XLOOKUP(Table1[[#This Row],[Part Number]],Table3[Part number],Table3[Drawing
 Revision]),"")</f>
        <v>g</v>
      </c>
      <c r="H1510" s="118" cm="1">
        <f t="array" ref="H1510">IFERROR(INDEX(PDB!$C:$AT,MATCH(E1510,PDB!$B:$B,0),MATCH(YEAR(K1510),0+PDB!$C$1:$AT$1,0)),"")</f>
        <v>46.06</v>
      </c>
      <c r="I1510" s="36">
        <v>9</v>
      </c>
      <c r="J1510" s="125">
        <f>IFERROR(Table1[[#This Row],[Quantity]]*Table1[[#This Row],[Price/Unit
EUR]]," ")</f>
        <v>414.54</v>
      </c>
      <c r="K1510" s="126">
        <v>45864</v>
      </c>
      <c r="L1510" s="36">
        <f>WEEKNUM(Table1[[#This Row],[ETA
As requested
dd.mm.yyyy]])</f>
        <v>30</v>
      </c>
      <c r="M1510" s="36">
        <f>YEAR(Table1[[#This Row],[ETA
As requested
dd.mm.yyyy]])</f>
        <v>2025</v>
      </c>
      <c r="N1510" s="36">
        <f>IFERROR(INDEX(DATABASE_FG!$H$5:$H$367, MATCH(E1510, DATABASE_FG!$C$5:$C$367, 0)), " ")</f>
        <v>96</v>
      </c>
      <c r="O1510" s="129" t="str">
        <f>IF(E1510&lt;&gt;"", _xlfn.XLOOKUP(E1510, DATABASE_FG!C:C, DATABASE_FG!F:F), " ")</f>
        <v>DBD.20</v>
      </c>
      <c r="P1510" s="129">
        <f>IFERROR(INDEX(DATABASE_FG!$G$5:$G$367, MATCH(E1510, DATABASE_FG!$C$5:$C$367, 0)), "Not Found")</f>
        <v>16</v>
      </c>
      <c r="Q1510" s="36">
        <v>61</v>
      </c>
      <c r="R1510" s="125" t="s">
        <v>678</v>
      </c>
      <c r="S1510" s="123">
        <f>IFERROR(INDEX(DATABASE_FG!$L$5:$L$367, MATCH(E1510, DATABASE_FG!$C$5:$C$367, 0)), " ")</f>
        <v>56</v>
      </c>
      <c r="T1510" s="36" t="s">
        <v>677</v>
      </c>
      <c r="U1510" s="36"/>
      <c r="V1510" s="36"/>
      <c r="W1510" s="129"/>
      <c r="X1510" s="36"/>
      <c r="Y1510" s="36"/>
      <c r="Z1510" s="36"/>
      <c r="AA1510" s="125" t="s">
        <v>121</v>
      </c>
      <c r="AB1510" s="173">
        <v>45849</v>
      </c>
      <c r="AC1510" s="119">
        <v>251057</v>
      </c>
      <c r="AD1510" s="36">
        <f t="shared" si="175"/>
        <v>5500511027</v>
      </c>
      <c r="AE1510" s="36" t="str">
        <f t="shared" si="176"/>
        <v>R900320551</v>
      </c>
      <c r="AF1510" s="36">
        <v>25</v>
      </c>
      <c r="AG1510" s="120">
        <f t="shared" si="174"/>
        <v>1151.5</v>
      </c>
      <c r="AH1510" s="36"/>
      <c r="AI1510" s="124"/>
      <c r="AJ1510" s="122" t="s">
        <v>3457</v>
      </c>
      <c r="AK1510" s="129" t="str">
        <f t="shared" ca="1" si="172"/>
        <v>On Time</v>
      </c>
      <c r="AL1510" s="268" t="str">
        <f t="shared" si="171"/>
        <v>July</v>
      </c>
      <c r="AM1510" s="133">
        <f>YEAR(Table1[[#This Row],[ETA
As requested
dd.mm.yyyy]])</f>
        <v>2025</v>
      </c>
    </row>
    <row r="1511" spans="1:39" hidden="1">
      <c r="A1511" s="123" t="s">
        <v>27</v>
      </c>
      <c r="B1511" s="36" t="s">
        <v>1170</v>
      </c>
      <c r="C1511" s="117">
        <v>5500511027</v>
      </c>
      <c r="D1511" s="165">
        <v>45447</v>
      </c>
      <c r="E1511" s="117" t="s">
        <v>42</v>
      </c>
      <c r="F1511" s="36" t="str">
        <f>IFERROR(VLOOKUP(Table1[[#This Row],[Part Number]],DATABASE_FG!$C$6:D11500,2,FALSE)," ")</f>
        <v>HOUSING            DBD.20G1X/V</v>
      </c>
      <c r="G1511" s="117" t="str">
        <f>IFERROR(_xlfn.XLOOKUP(Table1[[#This Row],[Part Number]],Table3[Part number],Table3[Drawing
 Revision]),"")</f>
        <v>g</v>
      </c>
      <c r="H1511" s="118" cm="1">
        <f t="array" ref="H1511">IFERROR(INDEX(PDB!$C:$AT,MATCH(E1511,PDB!$B:$B,0),MATCH(YEAR(K1511),0+PDB!$C$1:$AT$1,0)),"")</f>
        <v>46.06</v>
      </c>
      <c r="I1511" s="36">
        <v>1</v>
      </c>
      <c r="J1511" s="125">
        <f>IFERROR(Table1[[#This Row],[Quantity]]*Table1[[#This Row],[Price/Unit
EUR]]," ")</f>
        <v>46.06</v>
      </c>
      <c r="K1511" s="126">
        <v>45864</v>
      </c>
      <c r="L1511" s="36">
        <f>WEEKNUM(Table1[[#This Row],[ETA
As requested
dd.mm.yyyy]])</f>
        <v>30</v>
      </c>
      <c r="M1511" s="36">
        <f>YEAR(Table1[[#This Row],[ETA
As requested
dd.mm.yyyy]])</f>
        <v>2025</v>
      </c>
      <c r="N1511" s="36">
        <f>IFERROR(INDEX(DATABASE_FG!$H$5:$H$367, MATCH(E1511, DATABASE_FG!$C$5:$C$367, 0)), " ")</f>
        <v>96</v>
      </c>
      <c r="O1511" s="129" t="str">
        <f>IF(E1511&lt;&gt;"", _xlfn.XLOOKUP(E1511, DATABASE_FG!C:C, DATABASE_FG!F:F), " ")</f>
        <v>DBD.20</v>
      </c>
      <c r="P1511" s="129">
        <f>IFERROR(INDEX(DATABASE_FG!$G$5:$G$367, MATCH(E1511, DATABASE_FG!$C$5:$C$367, 0)), "Not Found")</f>
        <v>16</v>
      </c>
      <c r="Q1511" s="36">
        <v>61</v>
      </c>
      <c r="R1511" s="125" t="s">
        <v>678</v>
      </c>
      <c r="S1511" s="123">
        <f>IFERROR(INDEX(DATABASE_FG!$L$5:$L$367, MATCH(E1511, DATABASE_FG!$C$5:$C$367, 0)), " ")</f>
        <v>56</v>
      </c>
      <c r="T1511" s="36" t="s">
        <v>677</v>
      </c>
      <c r="U1511" s="36"/>
      <c r="V1511" s="36"/>
      <c r="W1511" s="129"/>
      <c r="X1511" s="36"/>
      <c r="Y1511" s="36"/>
      <c r="Z1511" s="36"/>
      <c r="AA1511" s="125" t="s">
        <v>121</v>
      </c>
      <c r="AB1511" s="173">
        <v>45859</v>
      </c>
      <c r="AC1511" s="119">
        <v>251079</v>
      </c>
      <c r="AD1511" s="36">
        <f t="shared" si="175"/>
        <v>5500511027</v>
      </c>
      <c r="AE1511" s="36" t="str">
        <f t="shared" si="176"/>
        <v>R900320551</v>
      </c>
      <c r="AF1511" s="36">
        <v>1</v>
      </c>
      <c r="AG1511" s="120">
        <f t="shared" si="174"/>
        <v>46.06</v>
      </c>
      <c r="AH1511" s="36"/>
      <c r="AI1511" s="124"/>
      <c r="AJ1511" s="122" t="s">
        <v>3458</v>
      </c>
      <c r="AK1511" s="129" t="str">
        <f t="shared" ca="1" si="172"/>
        <v>On Time</v>
      </c>
      <c r="AL1511" s="268" t="str">
        <f t="shared" ref="AL1511:AL1574" si="177">TEXT(K1511,"mmmm")</f>
        <v>July</v>
      </c>
      <c r="AM1511" s="133">
        <f>YEAR(Table1[[#This Row],[ETA
As requested
dd.mm.yyyy]])</f>
        <v>2025</v>
      </c>
    </row>
    <row r="1512" spans="1:39" hidden="1">
      <c r="A1512" s="123" t="s">
        <v>27</v>
      </c>
      <c r="B1512" s="36" t="s">
        <v>1170</v>
      </c>
      <c r="C1512" s="117">
        <v>5500511027</v>
      </c>
      <c r="D1512" s="165">
        <v>45447</v>
      </c>
      <c r="E1512" s="117" t="s">
        <v>42</v>
      </c>
      <c r="F1512" s="36" t="str">
        <f>IFERROR(VLOOKUP(Table1[[#This Row],[Part Number]],DATABASE_FG!$C$6:D11501,2,FALSE)," ")</f>
        <v>HOUSING            DBD.20G1X/V</v>
      </c>
      <c r="G1512" s="117" t="str">
        <f>IFERROR(_xlfn.XLOOKUP(Table1[[#This Row],[Part Number]],Table3[Part number],Table3[Drawing
 Revision]),"")</f>
        <v>g</v>
      </c>
      <c r="H1512" s="118" cm="1">
        <f t="array" ref="H1512">IFERROR(INDEX(PDB!$C:$AT,MATCH(E1512,PDB!$B:$B,0),MATCH(YEAR(K1512),0+PDB!$C$1:$AT$1,0)),"")</f>
        <v>46.06</v>
      </c>
      <c r="I1512" s="36">
        <v>15</v>
      </c>
      <c r="J1512" s="125">
        <f>IFERROR(Table1[[#This Row],[Quantity]]*Table1[[#This Row],[Price/Unit
EUR]]," ")</f>
        <v>690.90000000000009</v>
      </c>
      <c r="K1512" s="126">
        <v>45866</v>
      </c>
      <c r="L1512" s="36">
        <f>WEEKNUM(Table1[[#This Row],[ETA
As requested
dd.mm.yyyy]])</f>
        <v>31</v>
      </c>
      <c r="M1512" s="36">
        <f>YEAR(Table1[[#This Row],[ETA
As requested
dd.mm.yyyy]])</f>
        <v>2025</v>
      </c>
      <c r="N1512" s="36">
        <f>IFERROR(INDEX(DATABASE_FG!$H$5:$H$367, MATCH(E1512, DATABASE_FG!$C$5:$C$367, 0)), " ")</f>
        <v>96</v>
      </c>
      <c r="O1512" s="129" t="str">
        <f>IF(E1512&lt;&gt;"", _xlfn.XLOOKUP(E1512, DATABASE_FG!C:C, DATABASE_FG!F:F), " ")</f>
        <v>DBD.20</v>
      </c>
      <c r="P1512" s="129">
        <f>IFERROR(INDEX(DATABASE_FG!$G$5:$G$367, MATCH(E1512, DATABASE_FG!$C$5:$C$367, 0)), "Not Found")</f>
        <v>16</v>
      </c>
      <c r="Q1512" s="36">
        <v>61</v>
      </c>
      <c r="R1512" s="125" t="s">
        <v>678</v>
      </c>
      <c r="S1512" s="123">
        <f>IFERROR(INDEX(DATABASE_FG!$L$5:$L$367, MATCH(E1512, DATABASE_FG!$C$5:$C$367, 0)), " ")</f>
        <v>56</v>
      </c>
      <c r="T1512" s="36" t="s">
        <v>677</v>
      </c>
      <c r="U1512" s="36"/>
      <c r="V1512" s="36"/>
      <c r="W1512" s="129"/>
      <c r="X1512" s="36"/>
      <c r="Y1512" s="36" t="s">
        <v>677</v>
      </c>
      <c r="Z1512" s="36"/>
      <c r="AA1512" s="125" t="s">
        <v>121</v>
      </c>
      <c r="AB1512" s="173">
        <v>45744</v>
      </c>
      <c r="AC1512" s="119" t="s">
        <v>3459</v>
      </c>
      <c r="AD1512" s="36">
        <f t="shared" si="175"/>
        <v>5500511027</v>
      </c>
      <c r="AE1512" s="36" t="str">
        <f t="shared" si="176"/>
        <v>R900320551</v>
      </c>
      <c r="AF1512" s="36">
        <v>15</v>
      </c>
      <c r="AG1512" s="120">
        <f t="shared" si="174"/>
        <v>690.90000000000009</v>
      </c>
      <c r="AH1512" s="36"/>
      <c r="AI1512" s="124"/>
      <c r="AJ1512" s="122" t="s">
        <v>3460</v>
      </c>
      <c r="AK1512" s="129" t="str">
        <f t="shared" ca="1" si="172"/>
        <v>On Time</v>
      </c>
      <c r="AL1512" s="268" t="str">
        <f t="shared" si="177"/>
        <v>July</v>
      </c>
      <c r="AM1512" s="133">
        <f>YEAR(Table1[[#This Row],[ETA
As requested
dd.mm.yyyy]])</f>
        <v>2025</v>
      </c>
    </row>
    <row r="1513" spans="1:39" hidden="1">
      <c r="A1513" s="123" t="s">
        <v>27</v>
      </c>
      <c r="B1513" s="36" t="s">
        <v>1170</v>
      </c>
      <c r="C1513" s="117">
        <v>5500511027</v>
      </c>
      <c r="D1513" s="165">
        <v>45447</v>
      </c>
      <c r="E1513" s="117" t="s">
        <v>42</v>
      </c>
      <c r="F1513" s="36" t="str">
        <f>IFERROR(VLOOKUP(Table1[[#This Row],[Part Number]],DATABASE_FG!$C$6:D11502,2,FALSE)," ")</f>
        <v>HOUSING            DBD.20G1X/V</v>
      </c>
      <c r="G1513" s="117" t="str">
        <f>IFERROR(_xlfn.XLOOKUP(Table1[[#This Row],[Part Number]],Table3[Part number],Table3[Drawing
 Revision]),"")</f>
        <v>g</v>
      </c>
      <c r="H1513" s="118" cm="1">
        <f t="array" ref="H1513">IFERROR(INDEX(PDB!$C:$AT,MATCH(E1513,PDB!$B:$B,0),MATCH(YEAR(K1513),0+PDB!$C$1:$AT$1,0)),"")</f>
        <v>46.06</v>
      </c>
      <c r="I1513" s="36">
        <f>16-15</f>
        <v>1</v>
      </c>
      <c r="J1513" s="125">
        <f>IFERROR(Table1[[#This Row],[Quantity]]*Table1[[#This Row],[Price/Unit
EUR]]," ")</f>
        <v>46.06</v>
      </c>
      <c r="K1513" s="126">
        <v>45866</v>
      </c>
      <c r="L1513" s="36">
        <f>WEEKNUM(Table1[[#This Row],[ETA
As requested
dd.mm.yyyy]])</f>
        <v>31</v>
      </c>
      <c r="M1513" s="36">
        <f>YEAR(Table1[[#This Row],[ETA
As requested
dd.mm.yyyy]])</f>
        <v>2025</v>
      </c>
      <c r="N1513" s="36">
        <f>IFERROR(INDEX(DATABASE_FG!$H$5:$H$367, MATCH(E1513, DATABASE_FG!$C$5:$C$367, 0)), " ")</f>
        <v>96</v>
      </c>
      <c r="O1513" s="129" t="str">
        <f>IF(E1513&lt;&gt;"", _xlfn.XLOOKUP(E1513, DATABASE_FG!C:C, DATABASE_FG!F:F), " ")</f>
        <v>DBD.20</v>
      </c>
      <c r="P1513" s="129">
        <f>IFERROR(INDEX(DATABASE_FG!$G$5:$G$367, MATCH(E1513, DATABASE_FG!$C$5:$C$367, 0)), "Not Found")</f>
        <v>16</v>
      </c>
      <c r="Q1513" s="36">
        <v>61</v>
      </c>
      <c r="R1513" s="125" t="s">
        <v>678</v>
      </c>
      <c r="S1513" s="123">
        <f>IFERROR(INDEX(DATABASE_FG!$L$5:$L$367, MATCH(E1513, DATABASE_FG!$C$5:$C$367, 0)), " ")</f>
        <v>56</v>
      </c>
      <c r="T1513" s="36" t="s">
        <v>677</v>
      </c>
      <c r="U1513" s="36"/>
      <c r="V1513" s="36"/>
      <c r="W1513" s="129"/>
      <c r="X1513" s="36"/>
      <c r="Y1513" s="36" t="s">
        <v>677</v>
      </c>
      <c r="Z1513" s="36"/>
      <c r="AA1513" s="125" t="s">
        <v>121</v>
      </c>
      <c r="AB1513" s="173">
        <v>45750</v>
      </c>
      <c r="AC1513" s="119">
        <v>25529</v>
      </c>
      <c r="AD1513" s="36">
        <f t="shared" si="175"/>
        <v>5500511027</v>
      </c>
      <c r="AE1513" s="36" t="str">
        <f t="shared" si="176"/>
        <v>R900320551</v>
      </c>
      <c r="AF1513" s="36">
        <v>1</v>
      </c>
      <c r="AG1513" s="120">
        <f t="shared" si="174"/>
        <v>46.06</v>
      </c>
      <c r="AH1513" s="36"/>
      <c r="AI1513" s="124"/>
      <c r="AJ1513" s="122" t="s">
        <v>3461</v>
      </c>
      <c r="AK1513" s="129" t="str">
        <f t="shared" ca="1" si="172"/>
        <v>On Time</v>
      </c>
      <c r="AL1513" s="268" t="str">
        <f t="shared" si="177"/>
        <v>July</v>
      </c>
      <c r="AM1513" s="133">
        <f>YEAR(Table1[[#This Row],[ETA
As requested
dd.mm.yyyy]])</f>
        <v>2025</v>
      </c>
    </row>
    <row r="1514" spans="1:39" hidden="1">
      <c r="A1514" s="123" t="s">
        <v>27</v>
      </c>
      <c r="B1514" s="36" t="s">
        <v>1170</v>
      </c>
      <c r="C1514" s="117">
        <v>5500511027</v>
      </c>
      <c r="D1514" s="165">
        <v>45447</v>
      </c>
      <c r="E1514" s="117" t="s">
        <v>42</v>
      </c>
      <c r="F1514" s="36" t="str">
        <f>IFERROR(VLOOKUP(Table1[[#This Row],[Part Number]],DATABASE_FG!$C$6:D11503,2,FALSE)," ")</f>
        <v>HOUSING            DBD.20G1X/V</v>
      </c>
      <c r="G1514" s="117" t="str">
        <f>IFERROR(_xlfn.XLOOKUP(Table1[[#This Row],[Part Number]],Table3[Part number],Table3[Drawing
 Revision]),"")</f>
        <v>g</v>
      </c>
      <c r="H1514" s="118" cm="1">
        <f t="array" ref="H1514">IFERROR(INDEX(PDB!$C:$AT,MATCH(E1514,PDB!$B:$B,0),MATCH(YEAR(K1514),0+PDB!$C$1:$AT$1,0)),"")</f>
        <v>46.06</v>
      </c>
      <c r="I1514" s="36">
        <v>7</v>
      </c>
      <c r="J1514" s="125">
        <f>IFERROR(Table1[[#This Row],[Quantity]]*Table1[[#This Row],[Price/Unit
EUR]]," ")</f>
        <v>322.42</v>
      </c>
      <c r="K1514" s="126">
        <v>45872</v>
      </c>
      <c r="L1514" s="36">
        <f>WEEKNUM(Table1[[#This Row],[ETA
As requested
dd.mm.yyyy]])</f>
        <v>32</v>
      </c>
      <c r="M1514" s="36">
        <f>YEAR(Table1[[#This Row],[ETA
As requested
dd.mm.yyyy]])</f>
        <v>2025</v>
      </c>
      <c r="N1514" s="36">
        <f>IFERROR(INDEX(DATABASE_FG!$H$5:$H$367, MATCH(E1514, DATABASE_FG!$C$5:$C$367, 0)), " ")</f>
        <v>96</v>
      </c>
      <c r="O1514" s="129" t="str">
        <f>IF(E1514&lt;&gt;"", _xlfn.XLOOKUP(E1514, DATABASE_FG!C:C, DATABASE_FG!F:F), " ")</f>
        <v>DBD.20</v>
      </c>
      <c r="P1514" s="129">
        <f>IFERROR(INDEX(DATABASE_FG!$G$5:$G$367, MATCH(E1514, DATABASE_FG!$C$5:$C$367, 0)), "Not Found")</f>
        <v>16</v>
      </c>
      <c r="Q1514" s="36">
        <v>61</v>
      </c>
      <c r="R1514" s="125" t="s">
        <v>678</v>
      </c>
      <c r="S1514" s="123">
        <f>IFERROR(INDEX(DATABASE_FG!$L$5:$L$367, MATCH(E1514, DATABASE_FG!$C$5:$C$367, 0)), " ")</f>
        <v>56</v>
      </c>
      <c r="T1514" s="36" t="s">
        <v>677</v>
      </c>
      <c r="U1514" s="36"/>
      <c r="V1514" s="36"/>
      <c r="W1514" s="129"/>
      <c r="X1514" s="36"/>
      <c r="Y1514" s="36"/>
      <c r="Z1514" s="36"/>
      <c r="AA1514" s="125" t="s">
        <v>121</v>
      </c>
      <c r="AB1514" s="173">
        <v>45895</v>
      </c>
      <c r="AC1514" s="119">
        <v>251139</v>
      </c>
      <c r="AD1514" s="36">
        <f t="shared" si="175"/>
        <v>5500511027</v>
      </c>
      <c r="AE1514" s="36" t="str">
        <f t="shared" si="176"/>
        <v>R900320551</v>
      </c>
      <c r="AF1514" s="36">
        <v>7</v>
      </c>
      <c r="AG1514" s="120">
        <f t="shared" si="174"/>
        <v>322.42</v>
      </c>
      <c r="AH1514" s="36"/>
      <c r="AI1514" s="124"/>
      <c r="AJ1514" s="122" t="s">
        <v>3514</v>
      </c>
      <c r="AK1514" s="129" t="str">
        <f t="shared" ca="1" si="172"/>
        <v>Late</v>
      </c>
      <c r="AL1514" s="268" t="str">
        <f t="shared" si="177"/>
        <v>August</v>
      </c>
      <c r="AM1514" s="133">
        <f>YEAR(Table1[[#This Row],[ETA
As requested
dd.mm.yyyy]])</f>
        <v>2025</v>
      </c>
    </row>
    <row r="1515" spans="1:39" hidden="1">
      <c r="A1515" s="123" t="s">
        <v>27</v>
      </c>
      <c r="B1515" s="36" t="s">
        <v>1170</v>
      </c>
      <c r="C1515" s="117">
        <v>5500511027</v>
      </c>
      <c r="D1515" s="165">
        <v>45447</v>
      </c>
      <c r="E1515" s="117" t="s">
        <v>42</v>
      </c>
      <c r="F1515" s="36" t="str">
        <f>IFERROR(VLOOKUP(Table1[[#This Row],[Part Number]],DATABASE_FG!$C$6:D11504,2,FALSE)," ")</f>
        <v>HOUSING            DBD.20G1X/V</v>
      </c>
      <c r="G1515" s="117" t="str">
        <f>IFERROR(_xlfn.XLOOKUP(Table1[[#This Row],[Part Number]],Table3[Part number],Table3[Drawing
 Revision]),"")</f>
        <v>g</v>
      </c>
      <c r="H1515" s="118" cm="1">
        <f t="array" ref="H1515">IFERROR(INDEX(PDB!$C:$AT,MATCH(E1515,PDB!$B:$B,0),MATCH(YEAR(K1515),0+PDB!$C$1:$AT$1,0)),"")</f>
        <v>46.06</v>
      </c>
      <c r="I1515" s="36">
        <v>29</v>
      </c>
      <c r="J1515" s="125">
        <f>IFERROR(Table1[[#This Row],[Quantity]]*Table1[[#This Row],[Price/Unit
EUR]]," ")</f>
        <v>1335.74</v>
      </c>
      <c r="K1515" s="126">
        <v>45931</v>
      </c>
      <c r="L1515" s="36">
        <f>WEEKNUM(Table1[[#This Row],[ETA
As requested
dd.mm.yyyy]])</f>
        <v>40</v>
      </c>
      <c r="M1515" s="36">
        <f>YEAR(Table1[[#This Row],[ETA
As requested
dd.mm.yyyy]])</f>
        <v>2025</v>
      </c>
      <c r="N1515" s="36">
        <f>IFERROR(INDEX(DATABASE_FG!$H$5:$H$367, MATCH(E1515, DATABASE_FG!$C$5:$C$367, 0)), " ")</f>
        <v>96</v>
      </c>
      <c r="O1515" s="129" t="str">
        <f>IF(E1515&lt;&gt;"", _xlfn.XLOOKUP(E1515, DATABASE_FG!C:C, DATABASE_FG!F:F), " ")</f>
        <v>DBD.20</v>
      </c>
      <c r="P1515" s="129">
        <f>IFERROR(INDEX(DATABASE_FG!$G$5:$G$367, MATCH(E1515, DATABASE_FG!$C$5:$C$367, 0)), "Not Found")</f>
        <v>16</v>
      </c>
      <c r="Q1515" s="36">
        <v>61</v>
      </c>
      <c r="R1515" s="125" t="s">
        <v>678</v>
      </c>
      <c r="S1515" s="123">
        <f>IFERROR(INDEX(DATABASE_FG!$L$5:$L$367, MATCH(E1515, DATABASE_FG!$C$5:$C$367, 0)), " ")</f>
        <v>56</v>
      </c>
      <c r="T1515" s="36" t="s">
        <v>677</v>
      </c>
      <c r="U1515" s="36"/>
      <c r="V1515" s="36"/>
      <c r="W1515" s="129"/>
      <c r="X1515" s="36"/>
      <c r="Y1515" s="36"/>
      <c r="Z1515" s="36"/>
      <c r="AA1515" s="125" t="s">
        <v>121</v>
      </c>
      <c r="AB1515" s="173">
        <v>45961</v>
      </c>
      <c r="AC1515" s="119">
        <v>251218</v>
      </c>
      <c r="AD1515" s="36">
        <f t="shared" si="175"/>
        <v>5500511027</v>
      </c>
      <c r="AE1515" s="36" t="str">
        <f t="shared" si="176"/>
        <v>R900320551</v>
      </c>
      <c r="AF1515" s="36">
        <v>29</v>
      </c>
      <c r="AG1515" s="120">
        <f t="shared" si="174"/>
        <v>1335.74</v>
      </c>
      <c r="AH1515" s="36"/>
      <c r="AI1515" s="124"/>
      <c r="AJ1515" s="122" t="s">
        <v>4482</v>
      </c>
      <c r="AK1515" s="129" t="str">
        <f t="shared" ref="AK1515:AK1578" ca="1" si="178">IF(AB1515="", IF(K1515 &lt; TODAY(), "Late", ""), IF(AB1515 &lt;= K1515 + 2, "On Time", "Late"))</f>
        <v>Late</v>
      </c>
      <c r="AL1515" s="268" t="str">
        <f t="shared" si="177"/>
        <v>October</v>
      </c>
      <c r="AM1515" s="133">
        <f>YEAR(Table1[[#This Row],[ETA
As requested
dd.mm.yyyy]])</f>
        <v>2025</v>
      </c>
    </row>
    <row r="1516" spans="1:39" hidden="1">
      <c r="A1516" s="123" t="s">
        <v>27</v>
      </c>
      <c r="B1516" s="36" t="s">
        <v>1170</v>
      </c>
      <c r="C1516" s="117">
        <v>5500511027</v>
      </c>
      <c r="D1516" s="165">
        <v>45447</v>
      </c>
      <c r="E1516" s="117" t="s">
        <v>42</v>
      </c>
      <c r="F1516" s="36" t="str">
        <f>IFERROR(VLOOKUP(Table1[[#This Row],[Part Number]],DATABASE_FG!$C$6:D11505,2,FALSE)," ")</f>
        <v>HOUSING            DBD.20G1X/V</v>
      </c>
      <c r="G1516" s="117" t="str">
        <f>IFERROR(_xlfn.XLOOKUP(Table1[[#This Row],[Part Number]],Table3[Part number],Table3[Drawing
 Revision]),"")</f>
        <v>g</v>
      </c>
      <c r="H1516" s="118" cm="1">
        <f t="array" ref="H1516">IFERROR(INDEX(PDB!$C:$AT,MATCH(E1516,PDB!$B:$B,0),MATCH(YEAR(K1516),0+PDB!$C$1:$AT$1,0)),"")</f>
        <v>46.06</v>
      </c>
      <c r="I1516" s="36">
        <f>16-4</f>
        <v>12</v>
      </c>
      <c r="J1516" s="125">
        <f>IFERROR(Table1[[#This Row],[Quantity]]*Table1[[#This Row],[Price/Unit
EUR]]," ")</f>
        <v>552.72</v>
      </c>
      <c r="K1516" s="126">
        <v>45974</v>
      </c>
      <c r="L1516" s="36">
        <f>WEEKNUM(Table1[[#This Row],[ETA
As requested
dd.mm.yyyy]])</f>
        <v>46</v>
      </c>
      <c r="M1516" s="36">
        <f>YEAR(Table1[[#This Row],[ETA
As requested
dd.mm.yyyy]])</f>
        <v>2025</v>
      </c>
      <c r="N1516" s="36">
        <f>IFERROR(INDEX(DATABASE_FG!$H$5:$H$367, MATCH(E1516, DATABASE_FG!$C$5:$C$367, 0)), " ")</f>
        <v>96</v>
      </c>
      <c r="O1516" s="129" t="str">
        <f>IF(E1516&lt;&gt;"", _xlfn.XLOOKUP(E1516, DATABASE_FG!C:C, DATABASE_FG!F:F), " ")</f>
        <v>DBD.20</v>
      </c>
      <c r="P1516" s="129">
        <f>IFERROR(INDEX(DATABASE_FG!$G$5:$G$367, MATCH(E1516, DATABASE_FG!$C$5:$C$367, 0)), "Not Found")</f>
        <v>16</v>
      </c>
      <c r="Q1516" s="36">
        <v>61</v>
      </c>
      <c r="R1516" s="125" t="s">
        <v>678</v>
      </c>
      <c r="S1516" s="123">
        <f>IFERROR(INDEX(DATABASE_FG!$L$5:$L$367, MATCH(E1516, DATABASE_FG!$C$5:$C$367, 0)), " ")</f>
        <v>56</v>
      </c>
      <c r="T1516" s="36" t="s">
        <v>677</v>
      </c>
      <c r="U1516" s="36"/>
      <c r="V1516" s="36"/>
      <c r="W1516" s="129"/>
      <c r="X1516" s="36"/>
      <c r="Y1516" s="36"/>
      <c r="Z1516" s="36"/>
      <c r="AA1516" s="125" t="s">
        <v>121</v>
      </c>
      <c r="AB1516" s="173">
        <v>45961</v>
      </c>
      <c r="AC1516" s="119">
        <v>251218</v>
      </c>
      <c r="AD1516" s="36">
        <f t="shared" si="175"/>
        <v>5500511027</v>
      </c>
      <c r="AE1516" s="36" t="str">
        <f t="shared" si="176"/>
        <v>R900320551</v>
      </c>
      <c r="AF1516" s="36">
        <v>12</v>
      </c>
      <c r="AG1516" s="120">
        <f t="shared" si="174"/>
        <v>552.72</v>
      </c>
      <c r="AH1516" s="36"/>
      <c r="AI1516" s="124"/>
      <c r="AJ1516" s="122" t="s">
        <v>4482</v>
      </c>
      <c r="AK1516" s="129" t="str">
        <f t="shared" ca="1" si="178"/>
        <v>On Time</v>
      </c>
      <c r="AL1516" s="268" t="str">
        <f t="shared" si="177"/>
        <v>November</v>
      </c>
      <c r="AM1516" s="133">
        <f>YEAR(Table1[[#This Row],[ETA
As requested
dd.mm.yyyy]])</f>
        <v>2025</v>
      </c>
    </row>
    <row r="1517" spans="1:39" hidden="1">
      <c r="A1517" s="123" t="s">
        <v>27</v>
      </c>
      <c r="B1517" s="36" t="s">
        <v>2464</v>
      </c>
      <c r="C1517" s="117">
        <v>5500511027</v>
      </c>
      <c r="D1517" s="165">
        <v>45447</v>
      </c>
      <c r="E1517" s="117" t="s">
        <v>42</v>
      </c>
      <c r="F1517" s="36" t="str">
        <f>IFERROR(VLOOKUP(Table1[[#This Row],[Part Number]],DATABASE_FG!$C$6:D11506,2,FALSE)," ")</f>
        <v>HOUSING            DBD.20G1X/V</v>
      </c>
      <c r="G1517" s="117" t="str">
        <f>IFERROR(_xlfn.XLOOKUP(Table1[[#This Row],[Part Number]],Table3[Part number],Table3[Drawing
 Revision]),"")</f>
        <v>g</v>
      </c>
      <c r="H1517" s="118" cm="1">
        <f t="array" ref="H1517">IFERROR(INDEX(PDB!$C:$AT,MATCH(E1517,PDB!$B:$B,0),MATCH(YEAR(K1517),0+PDB!$C$1:$AT$1,0)),"")</f>
        <v>0</v>
      </c>
      <c r="I1517" s="36">
        <f>19+4</f>
        <v>23</v>
      </c>
      <c r="J1517" s="125">
        <f>IFERROR(Table1[[#This Row],[Quantity]]*Table1[[#This Row],[Price/Unit
EUR]]," ")</f>
        <v>0</v>
      </c>
      <c r="K1517" s="126">
        <v>46030</v>
      </c>
      <c r="L1517" s="36">
        <f>WEEKNUM(Table1[[#This Row],[ETA
As requested
dd.mm.yyyy]])</f>
        <v>2</v>
      </c>
      <c r="M1517" s="36">
        <f>YEAR(Table1[[#This Row],[ETA
As requested
dd.mm.yyyy]])</f>
        <v>2026</v>
      </c>
      <c r="N1517" s="36">
        <f>IFERROR(INDEX(DATABASE_FG!$H$5:$H$367, MATCH(E1517, DATABASE_FG!$C$5:$C$367, 0)), " ")</f>
        <v>96</v>
      </c>
      <c r="O1517" s="129" t="str">
        <f>IF(E1517&lt;&gt;"", _xlfn.XLOOKUP(E1517, DATABASE_FG!C:C, DATABASE_FG!F:F), " ")</f>
        <v>DBD.20</v>
      </c>
      <c r="P1517" s="129">
        <f>IFERROR(INDEX(DATABASE_FG!$G$5:$G$367, MATCH(E1517, DATABASE_FG!$C$5:$C$367, 0)), "Not Found")</f>
        <v>16</v>
      </c>
      <c r="Q1517" s="36">
        <v>61</v>
      </c>
      <c r="R1517" s="125" t="s">
        <v>678</v>
      </c>
      <c r="S1517" s="123">
        <f>IFERROR(INDEX(DATABASE_FG!$L$5:$L$367, MATCH(E1517, DATABASE_FG!$C$5:$C$367, 0)), " ")</f>
        <v>56</v>
      </c>
      <c r="T1517" s="36" t="s">
        <v>677</v>
      </c>
      <c r="U1517" s="36"/>
      <c r="V1517" s="36"/>
      <c r="W1517" s="129"/>
      <c r="X1517" s="36"/>
      <c r="Y1517" s="36"/>
      <c r="Z1517" s="36"/>
      <c r="AA1517" s="125" t="s">
        <v>3</v>
      </c>
      <c r="AB1517" s="173"/>
      <c r="AC1517" s="119"/>
      <c r="AD1517" s="36" t="str">
        <f t="shared" si="175"/>
        <v/>
      </c>
      <c r="AE1517" s="36" t="str">
        <f t="shared" si="176"/>
        <v/>
      </c>
      <c r="AF1517" s="36"/>
      <c r="AG1517" s="120">
        <f t="shared" si="174"/>
        <v>0</v>
      </c>
      <c r="AH1517" s="36"/>
      <c r="AI1517" s="124"/>
      <c r="AJ1517" s="122"/>
      <c r="AK1517" s="129" t="str">
        <f t="shared" ca="1" si="178"/>
        <v/>
      </c>
      <c r="AL1517" s="268" t="str">
        <f t="shared" si="177"/>
        <v>January</v>
      </c>
      <c r="AM1517" s="133">
        <f>YEAR(Table1[[#This Row],[ETA
As requested
dd.mm.yyyy]])</f>
        <v>2026</v>
      </c>
    </row>
    <row r="1518" spans="1:39" hidden="1">
      <c r="A1518" s="123" t="s">
        <v>27</v>
      </c>
      <c r="B1518" s="36" t="s">
        <v>2464</v>
      </c>
      <c r="C1518" s="117">
        <v>5500511027</v>
      </c>
      <c r="D1518" s="165">
        <v>45447</v>
      </c>
      <c r="E1518" s="117" t="s">
        <v>42</v>
      </c>
      <c r="F1518" s="36" t="str">
        <f>IFERROR(VLOOKUP(Table1[[#This Row],[Part Number]],DATABASE_FG!$C$6:D11507,2,FALSE)," ")</f>
        <v>HOUSING            DBD.20G1X/V</v>
      </c>
      <c r="G1518" s="117" t="str">
        <f>IFERROR(_xlfn.XLOOKUP(Table1[[#This Row],[Part Number]],Table3[Part number],Table3[Drawing
 Revision]),"")</f>
        <v>g</v>
      </c>
      <c r="H1518" s="118" cm="1">
        <f t="array" ref="H1518">IFERROR(INDEX(PDB!$C:$AT,MATCH(E1518,PDB!$B:$B,0),MATCH(YEAR(K1518),0+PDB!$C$1:$AT$1,0)),"")</f>
        <v>0</v>
      </c>
      <c r="I1518" s="36">
        <v>28</v>
      </c>
      <c r="J1518" s="125">
        <f>IFERROR(Table1[[#This Row],[Quantity]]*Table1[[#This Row],[Price/Unit
EUR]]," ")</f>
        <v>0</v>
      </c>
      <c r="K1518" s="126">
        <v>46079</v>
      </c>
      <c r="L1518" s="36">
        <f>WEEKNUM(Table1[[#This Row],[ETA
As requested
dd.mm.yyyy]])</f>
        <v>9</v>
      </c>
      <c r="M1518" s="36">
        <f>YEAR(Table1[[#This Row],[ETA
As requested
dd.mm.yyyy]])</f>
        <v>2026</v>
      </c>
      <c r="N1518" s="36">
        <f>IFERROR(INDEX(DATABASE_FG!$H$5:$H$367, MATCH(E1518, DATABASE_FG!$C$5:$C$367, 0)), " ")</f>
        <v>96</v>
      </c>
      <c r="O1518" s="129" t="str">
        <f>IF(E1518&lt;&gt;"", _xlfn.XLOOKUP(E1518, DATABASE_FG!C:C, DATABASE_FG!F:F), " ")</f>
        <v>DBD.20</v>
      </c>
      <c r="P1518" s="129">
        <f>IFERROR(INDEX(DATABASE_FG!$G$5:$G$367, MATCH(E1518, DATABASE_FG!$C$5:$C$367, 0)), "Not Found")</f>
        <v>16</v>
      </c>
      <c r="Q1518" s="36">
        <v>61</v>
      </c>
      <c r="R1518" s="125" t="s">
        <v>678</v>
      </c>
      <c r="S1518" s="123">
        <f>IFERROR(INDEX(DATABASE_FG!$L$5:$L$367, MATCH(E1518, DATABASE_FG!$C$5:$C$367, 0)), " ")</f>
        <v>56</v>
      </c>
      <c r="T1518" s="36" t="s">
        <v>677</v>
      </c>
      <c r="U1518" s="36"/>
      <c r="V1518" s="36"/>
      <c r="W1518" s="129"/>
      <c r="X1518" s="36"/>
      <c r="Y1518" s="36"/>
      <c r="Z1518" s="36"/>
      <c r="AA1518" s="125" t="s">
        <v>3</v>
      </c>
      <c r="AB1518" s="173"/>
      <c r="AC1518" s="119"/>
      <c r="AD1518" s="36" t="str">
        <f t="shared" si="175"/>
        <v/>
      </c>
      <c r="AE1518" s="36" t="str">
        <f t="shared" si="176"/>
        <v/>
      </c>
      <c r="AF1518" s="36"/>
      <c r="AG1518" s="120">
        <f t="shared" si="174"/>
        <v>0</v>
      </c>
      <c r="AH1518" s="36"/>
      <c r="AI1518" s="124"/>
      <c r="AJ1518" s="122"/>
      <c r="AK1518" s="129" t="str">
        <f t="shared" ca="1" si="178"/>
        <v/>
      </c>
      <c r="AL1518" s="268" t="str">
        <f t="shared" si="177"/>
        <v>February</v>
      </c>
      <c r="AM1518" s="133">
        <f>YEAR(Table1[[#This Row],[ETA
As requested
dd.mm.yyyy]])</f>
        <v>2026</v>
      </c>
    </row>
    <row r="1519" spans="1:39" hidden="1">
      <c r="A1519" s="123" t="s">
        <v>27</v>
      </c>
      <c r="B1519" s="36" t="s">
        <v>1170</v>
      </c>
      <c r="C1519" s="117">
        <v>5500511029</v>
      </c>
      <c r="D1519" s="165">
        <v>45446</v>
      </c>
      <c r="E1519" s="117" t="s">
        <v>388</v>
      </c>
      <c r="F1519" s="36" t="str">
        <f>IFERROR(VLOOKUP(Table1[[#This Row],[Part Number]],DATABASE_FG!$C$6:D11508,2,FALSE)," ")</f>
        <v>HOUSING            DBD.15G1X/./12</v>
      </c>
      <c r="G1519" s="117" t="str">
        <f>IFERROR(_xlfn.XLOOKUP(Table1[[#This Row],[Part Number]],Table3[Part number],Table3[Drawing
 Revision]),"")</f>
        <v>AF</v>
      </c>
      <c r="H1519" s="118" cm="1">
        <f t="array" ref="H1519">IFERROR(INDEX(PDB!$C:$AT,MATCH(E1519,PDB!$B:$B,0),MATCH(YEAR(K1519),0+PDB!$C$1:$AT$1,0)),"")</f>
        <v>57.53</v>
      </c>
      <c r="I1519" s="36">
        <v>7</v>
      </c>
      <c r="J1519" s="125">
        <f>IFERROR(Table1[[#This Row],[Quantity]]*Table1[[#This Row],[Price/Unit
EUR]]," ")</f>
        <v>402.71000000000004</v>
      </c>
      <c r="K1519" s="126">
        <v>45506</v>
      </c>
      <c r="L1519" s="36">
        <f>WEEKNUM(Table1[[#This Row],[ETA
As requested
dd.mm.yyyy]])</f>
        <v>31</v>
      </c>
      <c r="M1519" s="36">
        <f>YEAR(Table1[[#This Row],[ETA
As requested
dd.mm.yyyy]])</f>
        <v>2024</v>
      </c>
      <c r="N1519" s="36">
        <f>IFERROR(INDEX(DATABASE_FG!$H$5:$H$367, MATCH(E1519, DATABASE_FG!$C$5:$C$367, 0)), " ")</f>
        <v>80</v>
      </c>
      <c r="O1519" s="129" t="str">
        <f>IF(E1519&lt;&gt;"", _xlfn.XLOOKUP(E1519, DATABASE_FG!C:C, DATABASE_FG!F:F), " ")</f>
        <v>DBD.15</v>
      </c>
      <c r="P1519" s="129">
        <f>IFERROR(INDEX(DATABASE_FG!$G$5:$G$367, MATCH(E1519, DATABASE_FG!$C$5:$C$367, 0)), "Not Found")</f>
        <v>10</v>
      </c>
      <c r="Q1519" s="36">
        <v>60</v>
      </c>
      <c r="R1519" s="125" t="s">
        <v>678</v>
      </c>
      <c r="S1519" s="123">
        <f>IFERROR(INDEX(DATABASE_FG!$L$5:$L$367, MATCH(E1519, DATABASE_FG!$C$5:$C$367, 0)), " ")</f>
        <v>56</v>
      </c>
      <c r="T1519" s="36" t="s">
        <v>677</v>
      </c>
      <c r="U1519" s="36"/>
      <c r="V1519" s="36"/>
      <c r="W1519" s="129"/>
      <c r="X1519" s="36"/>
      <c r="Y1519" s="36"/>
      <c r="Z1519" s="36">
        <v>242508</v>
      </c>
      <c r="AA1519" s="125" t="s">
        <v>121</v>
      </c>
      <c r="AB1519" s="173">
        <v>45506</v>
      </c>
      <c r="AC1519" s="119">
        <v>2024977</v>
      </c>
      <c r="AD1519" s="36">
        <f t="shared" si="175"/>
        <v>5500511029</v>
      </c>
      <c r="AE1519" s="36" t="str">
        <f t="shared" si="176"/>
        <v>R900324165</v>
      </c>
      <c r="AF1519" s="36">
        <v>7</v>
      </c>
      <c r="AG1519" s="120">
        <f t="shared" si="174"/>
        <v>402.71000000000004</v>
      </c>
      <c r="AH1519" s="36"/>
      <c r="AI1519" s="124"/>
      <c r="AJ1519" s="122" t="s">
        <v>1902</v>
      </c>
      <c r="AK1519" s="129" t="str">
        <f t="shared" ca="1" si="178"/>
        <v>On Time</v>
      </c>
      <c r="AL1519" s="268" t="str">
        <f t="shared" si="177"/>
        <v>August</v>
      </c>
      <c r="AM1519" s="133">
        <f>YEAR(Table1[[#This Row],[ETA
As requested
dd.mm.yyyy]])</f>
        <v>2024</v>
      </c>
    </row>
    <row r="1520" spans="1:39" hidden="1">
      <c r="A1520" s="123" t="s">
        <v>27</v>
      </c>
      <c r="B1520" s="36" t="s">
        <v>1170</v>
      </c>
      <c r="C1520" s="180">
        <v>5500511029</v>
      </c>
      <c r="D1520" s="165">
        <v>45447</v>
      </c>
      <c r="E1520" s="117" t="s">
        <v>388</v>
      </c>
      <c r="F1520" s="36" t="str">
        <f>IFERROR(VLOOKUP(Table1[[#This Row],[Part Number]],DATABASE_FG!$C$6:D11509,2,FALSE)," ")</f>
        <v>HOUSING            DBD.15G1X/./12</v>
      </c>
      <c r="G1520" s="117" t="str">
        <f>IFERROR(_xlfn.XLOOKUP(Table1[[#This Row],[Part Number]],Table3[Part number],Table3[Drawing
 Revision]),"")</f>
        <v>AF</v>
      </c>
      <c r="H1520" s="118" cm="1">
        <f t="array" ref="H1520">IFERROR(INDEX(PDB!$C:$AT,MATCH(E1520,PDB!$B:$B,0),MATCH(YEAR(K1520),0+PDB!$C$1:$AT$1,0)),"")</f>
        <v>56.67</v>
      </c>
      <c r="I1520" s="36">
        <f>5+9</f>
        <v>14</v>
      </c>
      <c r="J1520" s="125">
        <f>IFERROR(Table1[[#This Row],[Quantity]]*Table1[[#This Row],[Price/Unit
EUR]]," ")</f>
        <v>793.38</v>
      </c>
      <c r="K1520" s="126">
        <v>45667</v>
      </c>
      <c r="L1520" s="36">
        <f>WEEKNUM(Table1[[#This Row],[ETA
As requested
dd.mm.yyyy]])</f>
        <v>2</v>
      </c>
      <c r="M1520" s="36">
        <f>YEAR(Table1[[#This Row],[ETA
As requested
dd.mm.yyyy]])</f>
        <v>2025</v>
      </c>
      <c r="N1520" s="36">
        <f>IFERROR(INDEX(DATABASE_FG!$H$5:$H$367, MATCH(E1520, DATABASE_FG!$C$5:$C$367, 0)), " ")</f>
        <v>80</v>
      </c>
      <c r="O1520" s="129" t="str">
        <f>IF(E1520&lt;&gt;"", _xlfn.XLOOKUP(E1520, DATABASE_FG!C:C, DATABASE_FG!F:F), " ")</f>
        <v>DBD.15</v>
      </c>
      <c r="P1520" s="129">
        <f>IFERROR(INDEX(DATABASE_FG!$G$5:$G$367, MATCH(E1520, DATABASE_FG!$C$5:$C$367, 0)), "Not Found")</f>
        <v>10</v>
      </c>
      <c r="Q1520" s="36">
        <v>60</v>
      </c>
      <c r="R1520" s="125" t="s">
        <v>678</v>
      </c>
      <c r="S1520" s="123">
        <f>IFERROR(INDEX(DATABASE_FG!$L$5:$L$367, MATCH(E1520, DATABASE_FG!$C$5:$C$367, 0)), " ")</f>
        <v>56</v>
      </c>
      <c r="T1520" s="36" t="s">
        <v>677</v>
      </c>
      <c r="U1520" s="36"/>
      <c r="V1520" s="36"/>
      <c r="W1520" s="129"/>
      <c r="X1520" s="36"/>
      <c r="Y1520" s="36" t="s">
        <v>677</v>
      </c>
      <c r="Z1520" s="36"/>
      <c r="AA1520" s="125" t="s">
        <v>121</v>
      </c>
      <c r="AB1520" s="173">
        <v>45838</v>
      </c>
      <c r="AC1520" s="119">
        <v>260024</v>
      </c>
      <c r="AD1520" s="36">
        <f t="shared" si="175"/>
        <v>5500511029</v>
      </c>
      <c r="AE1520" s="36" t="str">
        <f t="shared" si="176"/>
        <v>R900324165</v>
      </c>
      <c r="AF1520" s="36">
        <v>14</v>
      </c>
      <c r="AG1520" s="120">
        <f t="shared" si="174"/>
        <v>793.38</v>
      </c>
      <c r="AH1520" s="36"/>
      <c r="AI1520" s="124"/>
      <c r="AJ1520" s="122" t="s">
        <v>4431</v>
      </c>
      <c r="AK1520" s="129" t="str">
        <f t="shared" ca="1" si="178"/>
        <v>Late</v>
      </c>
      <c r="AL1520" s="268" t="str">
        <f t="shared" si="177"/>
        <v>January</v>
      </c>
      <c r="AM1520" s="133">
        <f>YEAR(Table1[[#This Row],[ETA
As requested
dd.mm.yyyy]])</f>
        <v>2025</v>
      </c>
    </row>
    <row r="1521" spans="1:40" hidden="1">
      <c r="A1521" s="177" t="s">
        <v>27</v>
      </c>
      <c r="B1521" s="178" t="s">
        <v>1170</v>
      </c>
      <c r="C1521" s="180">
        <v>5500511029</v>
      </c>
      <c r="D1521" s="179">
        <v>45447</v>
      </c>
      <c r="E1521" s="180" t="s">
        <v>388</v>
      </c>
      <c r="F1521" s="36" t="str">
        <f>IFERROR(VLOOKUP(Table1[[#This Row],[Part Number]],DATABASE_FG!$C$6:D11510,2,FALSE)," ")</f>
        <v>HOUSING            DBD.15G1X/./12</v>
      </c>
      <c r="G1521" s="117" t="str">
        <f>IFERROR(_xlfn.XLOOKUP(Table1[[#This Row],[Part Number]],Table3[Part number],Table3[Drawing
 Revision]),"")</f>
        <v>AF</v>
      </c>
      <c r="H1521" s="118" cm="1">
        <f t="array" ref="H1521">IFERROR(INDEX(PDB!$C:$AT,MATCH(E1521,PDB!$B:$B,0),MATCH(YEAR(K1521),0+PDB!$C$1:$AT$1,0)),"")</f>
        <v>56.67</v>
      </c>
      <c r="I1521" s="178">
        <v>1</v>
      </c>
      <c r="J1521" s="181">
        <f>IFERROR(Table1[[#This Row],[Quantity]]*Table1[[#This Row],[Price/Unit
EUR]]," ")</f>
        <v>56.67</v>
      </c>
      <c r="K1521" s="182">
        <v>45667</v>
      </c>
      <c r="L1521" s="36">
        <f>WEEKNUM(Table1[[#This Row],[ETA
As requested
dd.mm.yyyy]])</f>
        <v>2</v>
      </c>
      <c r="M1521" s="36">
        <f>YEAR(Table1[[#This Row],[ETA
As requested
dd.mm.yyyy]])</f>
        <v>2025</v>
      </c>
      <c r="N1521" s="36">
        <f>IFERROR(INDEX(DATABASE_FG!$H$5:$H$367, MATCH(E1521, DATABASE_FG!$C$5:$C$367, 0)), " ")</f>
        <v>80</v>
      </c>
      <c r="O1521" s="129" t="str">
        <f>IF(E1521&lt;&gt;"", _xlfn.XLOOKUP(E1521, DATABASE_FG!C:C, DATABASE_FG!F:F), " ")</f>
        <v>DBD.15</v>
      </c>
      <c r="P1521" s="129">
        <f>IFERROR(INDEX(DATABASE_FG!$G$5:$G$367, MATCH(E1521, DATABASE_FG!$C$5:$C$367, 0)), "Not Found")</f>
        <v>10</v>
      </c>
      <c r="Q1521" s="36">
        <v>60</v>
      </c>
      <c r="R1521" s="125" t="s">
        <v>678</v>
      </c>
      <c r="S1521" s="123">
        <f>IFERROR(INDEX(DATABASE_FG!$L$5:$L$367, MATCH(E1521, DATABASE_FG!$C$5:$C$367, 0)), " ")</f>
        <v>56</v>
      </c>
      <c r="T1521" s="36" t="s">
        <v>677</v>
      </c>
      <c r="U1521" s="36"/>
      <c r="V1521" s="36"/>
      <c r="W1521" s="129"/>
      <c r="X1521" s="36"/>
      <c r="Y1521" s="36" t="s">
        <v>677</v>
      </c>
      <c r="Z1521" s="36"/>
      <c r="AA1521" s="181" t="s">
        <v>121</v>
      </c>
      <c r="AB1521" s="184">
        <v>45842</v>
      </c>
      <c r="AC1521" s="185">
        <v>251019</v>
      </c>
      <c r="AD1521" s="178">
        <f t="shared" si="175"/>
        <v>5500511029</v>
      </c>
      <c r="AE1521" s="178" t="str">
        <f t="shared" si="176"/>
        <v>R900324165</v>
      </c>
      <c r="AF1521" s="178">
        <v>1</v>
      </c>
      <c r="AG1521" s="120">
        <f t="shared" si="174"/>
        <v>56.67</v>
      </c>
      <c r="AH1521" s="178"/>
      <c r="AI1521" s="188"/>
      <c r="AJ1521" s="206" t="s">
        <v>2706</v>
      </c>
      <c r="AK1521" s="129" t="str">
        <f t="shared" ca="1" si="178"/>
        <v>Late</v>
      </c>
      <c r="AL1521" s="268" t="str">
        <f t="shared" si="177"/>
        <v>January</v>
      </c>
      <c r="AM1521" s="133">
        <f>YEAR(Table1[[#This Row],[ETA
As requested
dd.mm.yyyy]])</f>
        <v>2025</v>
      </c>
    </row>
    <row r="1522" spans="1:40" hidden="1">
      <c r="A1522" s="123" t="s">
        <v>27</v>
      </c>
      <c r="B1522" s="36" t="s">
        <v>1170</v>
      </c>
      <c r="C1522" s="180">
        <v>5500511029</v>
      </c>
      <c r="D1522" s="165">
        <v>45447</v>
      </c>
      <c r="E1522" s="117" t="s">
        <v>388</v>
      </c>
      <c r="F1522" s="36" t="str">
        <f>IFERROR(VLOOKUP(Table1[[#This Row],[Part Number]],DATABASE_FG!$C$6:D11511,2,FALSE)," ")</f>
        <v>HOUSING            DBD.15G1X/./12</v>
      </c>
      <c r="G1522" s="117" t="str">
        <f>IFERROR(_xlfn.XLOOKUP(Table1[[#This Row],[Part Number]],Table3[Part number],Table3[Drawing
 Revision]),"")</f>
        <v>AF</v>
      </c>
      <c r="H1522" s="118" cm="1">
        <f t="array" ref="H1522">IFERROR(INDEX(PDB!$C:$AT,MATCH(E1522,PDB!$B:$B,0),MATCH(YEAR(K1522),0+PDB!$C$1:$AT$1,0)),"")</f>
        <v>56.67</v>
      </c>
      <c r="I1522" s="36">
        <v>5</v>
      </c>
      <c r="J1522" s="125">
        <f>IFERROR(Table1[[#This Row],[Quantity]]*Table1[[#This Row],[Price/Unit
EUR]]," ")</f>
        <v>283.35000000000002</v>
      </c>
      <c r="K1522" s="126">
        <v>45818</v>
      </c>
      <c r="L1522" s="36">
        <f>WEEKNUM(Table1[[#This Row],[ETA
As requested
dd.mm.yyyy]])</f>
        <v>24</v>
      </c>
      <c r="M1522" s="36">
        <f>YEAR(Table1[[#This Row],[ETA
As requested
dd.mm.yyyy]])</f>
        <v>2025</v>
      </c>
      <c r="N1522" s="36">
        <f>IFERROR(INDEX(DATABASE_FG!$H$5:$H$367, MATCH(E1522, DATABASE_FG!$C$5:$C$367, 0)), " ")</f>
        <v>80</v>
      </c>
      <c r="O1522" s="129" t="str">
        <f>IF(E1522&lt;&gt;"", _xlfn.XLOOKUP(E1522, DATABASE_FG!C:C, DATABASE_FG!F:F), " ")</f>
        <v>DBD.15</v>
      </c>
      <c r="P1522" s="129">
        <f>IFERROR(INDEX(DATABASE_FG!$G$5:$G$367, MATCH(E1522, DATABASE_FG!$C$5:$C$367, 0)), "Not Found")</f>
        <v>10</v>
      </c>
      <c r="Q1522" s="36">
        <v>60</v>
      </c>
      <c r="R1522" s="125" t="s">
        <v>678</v>
      </c>
      <c r="S1522" s="123">
        <f>IFERROR(INDEX(DATABASE_FG!$L$5:$L$367, MATCH(E1522, DATABASE_FG!$C$5:$C$367, 0)), " ")</f>
        <v>56</v>
      </c>
      <c r="T1522" s="36" t="s">
        <v>677</v>
      </c>
      <c r="U1522" s="36"/>
      <c r="V1522" s="36"/>
      <c r="W1522" s="129"/>
      <c r="X1522" s="36"/>
      <c r="Y1522" s="36" t="s">
        <v>677</v>
      </c>
      <c r="Z1522" s="36"/>
      <c r="AA1522" s="125" t="s">
        <v>121</v>
      </c>
      <c r="AB1522" s="173">
        <f>Table1[[#This Row],[ETA
As requested
dd.mm.yyyy]]</f>
        <v>45818</v>
      </c>
      <c r="AC1522" s="119"/>
      <c r="AD1522" s="36" t="str">
        <f t="shared" si="175"/>
        <v/>
      </c>
      <c r="AE1522" s="36" t="str">
        <f t="shared" si="176"/>
        <v/>
      </c>
      <c r="AF1522" s="36">
        <v>0</v>
      </c>
      <c r="AG1522" s="120">
        <f t="shared" ref="AG1522:AG1585" si="179">AF1522*H1522</f>
        <v>0</v>
      </c>
      <c r="AH1522" s="36"/>
      <c r="AI1522" s="124" t="s">
        <v>2620</v>
      </c>
      <c r="AJ1522" s="122" t="s">
        <v>2705</v>
      </c>
      <c r="AK1522" s="129" t="str">
        <f t="shared" ca="1" si="178"/>
        <v>On Time</v>
      </c>
      <c r="AL1522" s="268" t="str">
        <f t="shared" si="177"/>
        <v>June</v>
      </c>
      <c r="AM1522" s="133">
        <f>YEAR(Table1[[#This Row],[ETA
As requested
dd.mm.yyyy]])</f>
        <v>2025</v>
      </c>
    </row>
    <row r="1523" spans="1:40" hidden="1">
      <c r="A1523" s="123" t="s">
        <v>27</v>
      </c>
      <c r="B1523" s="36" t="s">
        <v>1170</v>
      </c>
      <c r="C1523" s="117">
        <v>5500511030</v>
      </c>
      <c r="D1523" s="165">
        <v>45446</v>
      </c>
      <c r="E1523" s="117" t="s">
        <v>671</v>
      </c>
      <c r="F1523" s="36" t="str">
        <f>IFERROR(VLOOKUP(Table1[[#This Row],[Part Number]],DATABASE_FG!$C$6:D11512,2,FALSE)," ")</f>
        <v>HOUSING            DBD.20G1X/./12</v>
      </c>
      <c r="G1523" s="117" t="str">
        <f>IFERROR(_xlfn.XLOOKUP(Table1[[#This Row],[Part Number]],Table3[Part number],Table3[Drawing
 Revision]),"")</f>
        <v>AC</v>
      </c>
      <c r="H1523" s="118" cm="1">
        <f t="array" ref="H1523">IFERROR(INDEX(PDB!$C:$AT,MATCH(E1523,PDB!$B:$B,0),MATCH(YEAR(K1523),0+PDB!$C$1:$AT$1,0)),"")</f>
        <v>55.49</v>
      </c>
      <c r="I1523" s="36">
        <v>50</v>
      </c>
      <c r="J1523" s="125">
        <f>IFERROR(Table1[[#This Row],[Quantity]]*Table1[[#This Row],[Price/Unit
EUR]]," ")</f>
        <v>2774.5</v>
      </c>
      <c r="K1523" s="126">
        <v>45783</v>
      </c>
      <c r="L1523" s="36">
        <f>WEEKNUM(Table1[[#This Row],[ETA
As requested
dd.mm.yyyy]])</f>
        <v>19</v>
      </c>
      <c r="M1523" s="36">
        <f>YEAR(Table1[[#This Row],[ETA
As requested
dd.mm.yyyy]])</f>
        <v>2025</v>
      </c>
      <c r="N1523" s="36">
        <f>IFERROR(INDEX(DATABASE_FG!$H$5:$H$367, MATCH(E1523, DATABASE_FG!$C$5:$C$367, 0)), " ")</f>
        <v>257</v>
      </c>
      <c r="O1523" s="129" t="str">
        <f>IF(E1523&lt;&gt;"", _xlfn.XLOOKUP(E1523, DATABASE_FG!C:C, DATABASE_FG!F:F), " ")</f>
        <v>DBD.20</v>
      </c>
      <c r="P1523" s="129">
        <f>IFERROR(INDEX(DATABASE_FG!$G$5:$G$367, MATCH(E1523, DATABASE_FG!$C$5:$C$367, 0)), "Not Found")</f>
        <v>5</v>
      </c>
      <c r="Q1523" s="36">
        <v>60</v>
      </c>
      <c r="R1523" s="125" t="s">
        <v>678</v>
      </c>
      <c r="S1523" s="123">
        <f>IFERROR(INDEX(DATABASE_FG!$L$5:$L$367, MATCH(E1523, DATABASE_FG!$C$5:$C$367, 0)), " ")</f>
        <v>56</v>
      </c>
      <c r="T1523" s="36" t="s">
        <v>677</v>
      </c>
      <c r="U1523" s="36"/>
      <c r="V1523" s="36"/>
      <c r="W1523" s="129"/>
      <c r="X1523" s="36"/>
      <c r="Y1523" s="36" t="s">
        <v>2888</v>
      </c>
      <c r="Z1523" s="36">
        <v>251717</v>
      </c>
      <c r="AA1523" s="125" t="s">
        <v>121</v>
      </c>
      <c r="AB1523" s="173">
        <v>45807</v>
      </c>
      <c r="AC1523" s="119">
        <v>25860</v>
      </c>
      <c r="AD1523" s="36">
        <f t="shared" si="175"/>
        <v>5500511030</v>
      </c>
      <c r="AE1523" s="36" t="str">
        <f t="shared" si="176"/>
        <v>R900324167</v>
      </c>
      <c r="AF1523" s="36">
        <v>50</v>
      </c>
      <c r="AG1523" s="120">
        <f t="shared" si="179"/>
        <v>2774.5</v>
      </c>
      <c r="AH1523" s="36"/>
      <c r="AI1523" s="124"/>
      <c r="AJ1523" s="122" t="s">
        <v>3154</v>
      </c>
      <c r="AK1523" s="129" t="str">
        <f t="shared" ca="1" si="178"/>
        <v>Late</v>
      </c>
      <c r="AL1523" s="268" t="str">
        <f t="shared" si="177"/>
        <v>May</v>
      </c>
      <c r="AM1523" s="133">
        <f>YEAR(Table1[[#This Row],[ETA
As requested
dd.mm.yyyy]])</f>
        <v>2025</v>
      </c>
    </row>
    <row r="1524" spans="1:40" hidden="1">
      <c r="A1524" s="123" t="s">
        <v>27</v>
      </c>
      <c r="B1524" s="36" t="s">
        <v>1170</v>
      </c>
      <c r="C1524" s="117">
        <v>5500511030</v>
      </c>
      <c r="D1524" s="165">
        <v>45446</v>
      </c>
      <c r="E1524" s="180" t="s">
        <v>671</v>
      </c>
      <c r="F1524" s="36" t="str">
        <f>IFERROR(VLOOKUP(Table1[[#This Row],[Part Number]],DATABASE_FG!$C$6:D11513,2,FALSE)," ")</f>
        <v>HOUSING            DBD.20G1X/./12</v>
      </c>
      <c r="G1524" s="117" t="str">
        <f>IFERROR(_xlfn.XLOOKUP(Table1[[#This Row],[Part Number]],Table3[Part number],Table3[Drawing
 Revision]),"")</f>
        <v>AC</v>
      </c>
      <c r="H1524" s="118" cm="1">
        <f t="array" ref="H1524">IFERROR(INDEX(PDB!$C:$AT,MATCH(E1524,PDB!$B:$B,0),MATCH(YEAR(K1524),0+PDB!$C$1:$AT$1,0)),"")</f>
        <v>55.49</v>
      </c>
      <c r="I1524" s="193">
        <f>12+20</f>
        <v>32</v>
      </c>
      <c r="J1524" s="125">
        <f>IFERROR(Table1[[#This Row],[Quantity]]*Table1[[#This Row],[Price/Unit
EUR]]," ")</f>
        <v>1775.68</v>
      </c>
      <c r="K1524" s="126">
        <v>45810</v>
      </c>
      <c r="L1524" s="36">
        <f>WEEKNUM(Table1[[#This Row],[ETA
As requested
dd.mm.yyyy]])</f>
        <v>23</v>
      </c>
      <c r="M1524" s="36">
        <f>YEAR(Table1[[#This Row],[ETA
As requested
dd.mm.yyyy]])</f>
        <v>2025</v>
      </c>
      <c r="N1524" s="36">
        <f>IFERROR(INDEX(DATABASE_FG!$H$5:$H$367, MATCH(E1524, DATABASE_FG!$C$5:$C$367, 0)), " ")</f>
        <v>257</v>
      </c>
      <c r="O1524" s="129" t="str">
        <f>IF(E1524&lt;&gt;"", _xlfn.XLOOKUP(E1524, DATABASE_FG!C:C, DATABASE_FG!F:F), " ")</f>
        <v>DBD.20</v>
      </c>
      <c r="P1524" s="129">
        <f>IFERROR(INDEX(DATABASE_FG!$G$5:$G$367, MATCH(E1524, DATABASE_FG!$C$5:$C$367, 0)), "Not Found")</f>
        <v>5</v>
      </c>
      <c r="Q1524" s="36">
        <v>60</v>
      </c>
      <c r="R1524" s="125" t="s">
        <v>678</v>
      </c>
      <c r="S1524" s="123">
        <f>IFERROR(INDEX(DATABASE_FG!$L$5:$L$367, MATCH(E1524, DATABASE_FG!$C$5:$C$367, 0)), " ")</f>
        <v>56</v>
      </c>
      <c r="T1524" s="36" t="s">
        <v>677</v>
      </c>
      <c r="U1524" s="36"/>
      <c r="V1524" s="36"/>
      <c r="W1524" s="129"/>
      <c r="X1524" s="36"/>
      <c r="Y1524" s="36" t="s">
        <v>2888</v>
      </c>
      <c r="Z1524" s="36">
        <v>251717</v>
      </c>
      <c r="AA1524" s="125" t="s">
        <v>121</v>
      </c>
      <c r="AB1524" s="173">
        <v>45838</v>
      </c>
      <c r="AC1524" s="119">
        <v>260023</v>
      </c>
      <c r="AD1524" s="36">
        <f t="shared" si="175"/>
        <v>5500511030</v>
      </c>
      <c r="AE1524" s="36" t="str">
        <f t="shared" si="176"/>
        <v>R900324167</v>
      </c>
      <c r="AF1524" s="192">
        <v>32</v>
      </c>
      <c r="AG1524" s="120">
        <f t="shared" si="179"/>
        <v>1775.68</v>
      </c>
      <c r="AH1524" s="36"/>
      <c r="AI1524" s="124"/>
      <c r="AJ1524" s="122" t="s">
        <v>3224</v>
      </c>
      <c r="AK1524" s="129" t="str">
        <f t="shared" ca="1" si="178"/>
        <v>Late</v>
      </c>
      <c r="AL1524" s="268" t="str">
        <f t="shared" si="177"/>
        <v>June</v>
      </c>
      <c r="AM1524" s="133">
        <f>YEAR(Table1[[#This Row],[ETA
As requested
dd.mm.yyyy]])</f>
        <v>2025</v>
      </c>
    </row>
    <row r="1525" spans="1:40" hidden="1">
      <c r="A1525" s="123" t="s">
        <v>25</v>
      </c>
      <c r="B1525" s="36" t="s">
        <v>1170</v>
      </c>
      <c r="C1525" s="117">
        <v>5500502906</v>
      </c>
      <c r="D1525" s="165"/>
      <c r="E1525" s="117" t="s">
        <v>1030</v>
      </c>
      <c r="F1525" s="36" t="str">
        <f>IFERROR(VLOOKUP(Table1[[#This Row],[Part Number]],DATABASE_FG!$C$6:D11514,2,FALSE)," ")</f>
        <v>BUSHING            M26X1,0X48,0 SW32 Z2&amp;</v>
      </c>
      <c r="G1525" s="117" t="str">
        <f>IFERROR(_xlfn.XLOOKUP(Table1[[#This Row],[Part Number]],Table3[Part number],Table3[Drawing
 Revision]),"")</f>
        <v>C</v>
      </c>
      <c r="H1525" s="118" cm="1">
        <f t="array" ref="H1525">IFERROR(INDEX(PDB!$C:$AT,MATCH(E1525,PDB!$B:$B,0),MATCH(YEAR(K1525),0+PDB!$C$1:$AT$1,0)),"")</f>
        <v>8.51</v>
      </c>
      <c r="I1525" s="36">
        <v>98</v>
      </c>
      <c r="J1525" s="125">
        <f>IFERROR(Table1[[#This Row],[Quantity]]*Table1[[#This Row],[Price/Unit
EUR]]," ")</f>
        <v>833.98</v>
      </c>
      <c r="K1525" s="126">
        <v>45849</v>
      </c>
      <c r="L1525" s="36">
        <f>WEEKNUM(Table1[[#This Row],[ETA
As requested
dd.mm.yyyy]])</f>
        <v>28</v>
      </c>
      <c r="M1525" s="36">
        <f>YEAR(Table1[[#This Row],[ETA
As requested
dd.mm.yyyy]])</f>
        <v>2025</v>
      </c>
      <c r="N1525" s="36">
        <f>IFERROR(INDEX(DATABASE_FG!$H$5:$H$367, MATCH(E1525, DATABASE_FG!$C$5:$C$367, 0)), " ")</f>
        <v>918</v>
      </c>
      <c r="O1525" s="129" t="str">
        <f>IF(E1525&lt;&gt;"", _xlfn.XLOOKUP(E1525, DATABASE_FG!C:C, DATABASE_FG!F:F), " ")</f>
        <v>BUSHING</v>
      </c>
      <c r="P1525" s="129">
        <f>IFERROR(INDEX(DATABASE_FG!$G$5:$G$367, MATCH(E1525, DATABASE_FG!$C$5:$C$367, 0)), "Not Found")</f>
        <v>500</v>
      </c>
      <c r="Q1525" s="36">
        <v>42</v>
      </c>
      <c r="R1525" s="125" t="s">
        <v>678</v>
      </c>
      <c r="S1525" s="123">
        <f>IFERROR(INDEX(DATABASE_FG!$L$5:$L$367, MATCH(E1525, DATABASE_FG!$C$5:$C$367, 0)), " ")</f>
        <v>56</v>
      </c>
      <c r="T1525" s="36" t="s">
        <v>677</v>
      </c>
      <c r="U1525" s="36">
        <v>0</v>
      </c>
      <c r="V1525" s="36"/>
      <c r="W1525" s="129"/>
      <c r="X1525" s="36"/>
      <c r="Y1525" s="36"/>
      <c r="Z1525" s="36"/>
      <c r="AA1525" s="125" t="s">
        <v>121</v>
      </c>
      <c r="AB1525" s="173">
        <v>45719</v>
      </c>
      <c r="AC1525" s="119">
        <v>25301</v>
      </c>
      <c r="AD1525" s="36">
        <f t="shared" si="175"/>
        <v>5500502906</v>
      </c>
      <c r="AE1525" s="36" t="str">
        <f t="shared" si="176"/>
        <v>R900542742</v>
      </c>
      <c r="AF1525" s="36">
        <v>98</v>
      </c>
      <c r="AG1525" s="120">
        <f t="shared" si="179"/>
        <v>833.98</v>
      </c>
      <c r="AH1525" s="36"/>
      <c r="AI1525" s="124"/>
      <c r="AJ1525" s="122" t="s">
        <v>3413</v>
      </c>
      <c r="AK1525" s="129" t="str">
        <f t="shared" ca="1" si="178"/>
        <v>On Time</v>
      </c>
      <c r="AL1525" s="268" t="str">
        <f t="shared" si="177"/>
        <v>July</v>
      </c>
      <c r="AM1525" s="133">
        <f>YEAR(Table1[[#This Row],[ETA
As requested
dd.mm.yyyy]])</f>
        <v>2025</v>
      </c>
    </row>
    <row r="1526" spans="1:40" hidden="1">
      <c r="A1526" s="123" t="s">
        <v>25</v>
      </c>
      <c r="B1526" s="36" t="s">
        <v>1170</v>
      </c>
      <c r="C1526" s="117">
        <v>5500502906</v>
      </c>
      <c r="D1526" s="165"/>
      <c r="E1526" s="117" t="s">
        <v>1030</v>
      </c>
      <c r="F1526" s="36" t="str">
        <f>IFERROR(VLOOKUP(Table1[[#This Row],[Part Number]],DATABASE_FG!$C$6:D11515,2,FALSE)," ")</f>
        <v>BUSHING            M26X1,0X48,0 SW32 Z2&amp;</v>
      </c>
      <c r="G1526" s="117" t="str">
        <f>IFERROR(_xlfn.XLOOKUP(Table1[[#This Row],[Part Number]],Table3[Part number],Table3[Drawing
 Revision]),"")</f>
        <v>C</v>
      </c>
      <c r="H1526" s="118" cm="1">
        <f t="array" ref="H1526">IFERROR(INDEX(PDB!$C:$AT,MATCH(E1526,PDB!$B:$B,0),MATCH(YEAR(K1526),0+PDB!$C$1:$AT$1,0)),"")</f>
        <v>0</v>
      </c>
      <c r="I1526" s="36">
        <v>500</v>
      </c>
      <c r="J1526" s="125">
        <f>IFERROR(Table1[[#This Row],[Quantity]]*Table1[[#This Row],[Price/Unit
EUR]]," ")</f>
        <v>0</v>
      </c>
      <c r="K1526" s="126">
        <v>46128</v>
      </c>
      <c r="L1526" s="36">
        <f>WEEKNUM(Table1[[#This Row],[ETA
As requested
dd.mm.yyyy]])</f>
        <v>16</v>
      </c>
      <c r="M1526" s="36">
        <f>YEAR(Table1[[#This Row],[ETA
As requested
dd.mm.yyyy]])</f>
        <v>2026</v>
      </c>
      <c r="N1526" s="36">
        <f>IFERROR(INDEX(DATABASE_FG!$H$5:$H$367, MATCH(E1526, DATABASE_FG!$C$5:$C$367, 0)), " ")</f>
        <v>918</v>
      </c>
      <c r="O1526" s="129" t="str">
        <f>IF(E1526&lt;&gt;"", _xlfn.XLOOKUP(E1526, DATABASE_FG!C:C, DATABASE_FG!F:F), " ")</f>
        <v>BUSHING</v>
      </c>
      <c r="P1526" s="129">
        <f>IFERROR(INDEX(DATABASE_FG!$G$5:$G$367, MATCH(E1526, DATABASE_FG!$C$5:$C$367, 0)), "Not Found")</f>
        <v>500</v>
      </c>
      <c r="Q1526" s="36">
        <v>42</v>
      </c>
      <c r="R1526" s="125" t="s">
        <v>678</v>
      </c>
      <c r="S1526" s="123">
        <f>IFERROR(INDEX(DATABASE_FG!$L$5:$L$367, MATCH(E1526, DATABASE_FG!$C$5:$C$367, 0)), " ")</f>
        <v>56</v>
      </c>
      <c r="T1526" s="36" t="s">
        <v>677</v>
      </c>
      <c r="U1526" s="36"/>
      <c r="V1526" s="36"/>
      <c r="W1526" s="129"/>
      <c r="X1526" s="36"/>
      <c r="Y1526" s="36"/>
      <c r="Z1526" s="36"/>
      <c r="AA1526" s="125" t="s">
        <v>3</v>
      </c>
      <c r="AB1526" s="173"/>
      <c r="AC1526" s="119"/>
      <c r="AD1526" s="36" t="str">
        <f t="shared" si="175"/>
        <v/>
      </c>
      <c r="AE1526" s="36" t="str">
        <f t="shared" si="176"/>
        <v/>
      </c>
      <c r="AF1526" s="36"/>
      <c r="AG1526" s="120">
        <f t="shared" si="179"/>
        <v>0</v>
      </c>
      <c r="AH1526" s="36"/>
      <c r="AI1526" s="124"/>
      <c r="AJ1526" s="122"/>
      <c r="AK1526" s="129" t="str">
        <f t="shared" ca="1" si="178"/>
        <v/>
      </c>
      <c r="AL1526" s="268" t="str">
        <f t="shared" si="177"/>
        <v>April</v>
      </c>
      <c r="AM1526" s="133">
        <f>YEAR(Table1[[#This Row],[ETA
As requested
dd.mm.yyyy]])</f>
        <v>2026</v>
      </c>
    </row>
    <row r="1527" spans="1:40" hidden="1">
      <c r="A1527" s="123" t="s">
        <v>25</v>
      </c>
      <c r="B1527" s="36" t="s">
        <v>1170</v>
      </c>
      <c r="C1527" s="117">
        <v>5500492159</v>
      </c>
      <c r="D1527" s="165">
        <v>45439</v>
      </c>
      <c r="E1527" s="117" t="s">
        <v>1032</v>
      </c>
      <c r="F1527" s="36" t="str">
        <f>IFERROR(VLOOKUP(Table1[[#This Row],[Part Number]],DATABASE_FG!$C$6:D11516,2,FALSE)," ")</f>
        <v>THROTTLE SCREW     2FRM 10-3X/</v>
      </c>
      <c r="G1527" s="117" t="str">
        <f>IFERROR(_xlfn.XLOOKUP(Table1[[#This Row],[Part Number]],Table3[Part number],Table3[Drawing
 Revision]),"")</f>
        <v>AI</v>
      </c>
      <c r="H1527" s="118" cm="1">
        <f t="array" ref="H1527">IFERROR(INDEX(PDB!$C:$AT,MATCH(E1527,PDB!$B:$B,0),MATCH(YEAR(K1527),0+PDB!$C$1:$AT$1,0)),"")</f>
        <v>12.4</v>
      </c>
      <c r="I1527" s="36">
        <v>262</v>
      </c>
      <c r="J1527" s="125">
        <f>IFERROR(Table1[[#This Row],[Quantity]]*Table1[[#This Row],[Price/Unit
EUR]]," ")</f>
        <v>3248.8</v>
      </c>
      <c r="K1527" s="126">
        <v>45317</v>
      </c>
      <c r="L1527" s="36">
        <f>WEEKNUM(Table1[[#This Row],[ETA
As requested
dd.mm.yyyy]])</f>
        <v>4</v>
      </c>
      <c r="M1527" s="36">
        <f>YEAR(Table1[[#This Row],[ETA
As requested
dd.mm.yyyy]])</f>
        <v>2024</v>
      </c>
      <c r="N1527" s="36">
        <f>IFERROR(INDEX(DATABASE_FG!$H$5:$H$367, MATCH(E1527, DATABASE_FG!$C$5:$C$367, 0)), " ")</f>
        <v>47</v>
      </c>
      <c r="O1527" s="129" t="str">
        <f>IF(E1527&lt;&gt;"", _xlfn.XLOOKUP(E1527, DATABASE_FG!C:C, DATABASE_FG!F:F), " ")</f>
        <v>Drosselboltzen</v>
      </c>
      <c r="P1527" s="129">
        <f>IFERROR(INDEX(DATABASE_FG!$G$5:$G$367, MATCH(E1527, DATABASE_FG!$C$5:$C$367, 0)), "Not Found")</f>
        <v>340</v>
      </c>
      <c r="Q1527" s="36">
        <v>42</v>
      </c>
      <c r="R1527" s="125" t="s">
        <v>678</v>
      </c>
      <c r="S1527" s="123">
        <f>IFERROR(INDEX(DATABASE_FG!$L$5:$L$367, MATCH(E1527, DATABASE_FG!$C$5:$C$367, 0)), " ")</f>
        <v>40</v>
      </c>
      <c r="T1527" s="36" t="s">
        <v>677</v>
      </c>
      <c r="U1527" s="36"/>
      <c r="V1527" s="36"/>
      <c r="W1527" s="129"/>
      <c r="X1527" s="36"/>
      <c r="Y1527" s="36"/>
      <c r="Z1527" s="36"/>
      <c r="AA1527" s="125" t="s">
        <v>121</v>
      </c>
      <c r="AB1527" s="173">
        <v>45398</v>
      </c>
      <c r="AC1527" s="119">
        <v>2024360</v>
      </c>
      <c r="AD1527" s="36">
        <f t="shared" si="175"/>
        <v>5500492159</v>
      </c>
      <c r="AE1527" s="36" t="str">
        <f t="shared" si="176"/>
        <v>R900601576 - 519</v>
      </c>
      <c r="AF1527" s="36">
        <v>47</v>
      </c>
      <c r="AG1527" s="120">
        <f t="shared" si="179"/>
        <v>582.80000000000007</v>
      </c>
      <c r="AH1527" s="36"/>
      <c r="AI1527" s="124"/>
      <c r="AJ1527" s="122" t="s">
        <v>1182</v>
      </c>
      <c r="AK1527" s="129" t="str">
        <f t="shared" ca="1" si="178"/>
        <v>Late</v>
      </c>
      <c r="AL1527" s="268" t="str">
        <f t="shared" si="177"/>
        <v>January</v>
      </c>
      <c r="AM1527" s="133">
        <f>YEAR(Table1[[#This Row],[ETA
As requested
dd.mm.yyyy]])</f>
        <v>2024</v>
      </c>
    </row>
    <row r="1528" spans="1:40" hidden="1">
      <c r="A1528" s="123" t="s">
        <v>25</v>
      </c>
      <c r="B1528" s="36" t="s">
        <v>1170</v>
      </c>
      <c r="C1528" s="117">
        <v>5500492159</v>
      </c>
      <c r="D1528" s="165">
        <v>45439</v>
      </c>
      <c r="E1528" s="117" t="s">
        <v>1032</v>
      </c>
      <c r="F1528" s="36" t="str">
        <f>IFERROR(VLOOKUP(Table1[[#This Row],[Part Number]],DATABASE_FG!$C$6:D11517,2,FALSE)," ")</f>
        <v>THROTTLE SCREW     2FRM 10-3X/</v>
      </c>
      <c r="G1528" s="117" t="str">
        <f>IFERROR(_xlfn.XLOOKUP(Table1[[#This Row],[Part Number]],Table3[Part number],Table3[Drawing
 Revision]),"")</f>
        <v>AI</v>
      </c>
      <c r="H1528" s="118" cm="1">
        <f t="array" ref="H1528">IFERROR(INDEX(PDB!$C:$AT,MATCH(E1528,PDB!$B:$B,0),MATCH(YEAR(K1528),0+PDB!$C$1:$AT$1,0)),"")</f>
        <v>12.4</v>
      </c>
      <c r="I1528" s="36"/>
      <c r="J1528" s="125">
        <f>IFERROR(Table1[[#This Row],[Quantity]]*Table1[[#This Row],[Price/Unit
EUR]]," ")</f>
        <v>0</v>
      </c>
      <c r="K1528" s="126">
        <v>45317</v>
      </c>
      <c r="L1528" s="36">
        <f>WEEKNUM(Table1[[#This Row],[ETA
As requested
dd.mm.yyyy]])</f>
        <v>4</v>
      </c>
      <c r="M1528" s="36">
        <f>YEAR(Table1[[#This Row],[ETA
As requested
dd.mm.yyyy]])</f>
        <v>2024</v>
      </c>
      <c r="N1528" s="36">
        <f>IFERROR(INDEX(DATABASE_FG!$H$5:$H$367, MATCH(E1528, DATABASE_FG!$C$5:$C$367, 0)), " ")</f>
        <v>47</v>
      </c>
      <c r="O1528" s="129" t="str">
        <f>IF(E1528&lt;&gt;"", _xlfn.XLOOKUP(E1528, DATABASE_FG!C:C, DATABASE_FG!F:F), " ")</f>
        <v>Drosselboltzen</v>
      </c>
      <c r="P1528" s="129">
        <f>IFERROR(INDEX(DATABASE_FG!$G$5:$G$367, MATCH(E1528, DATABASE_FG!$C$5:$C$367, 0)), "Not Found")</f>
        <v>340</v>
      </c>
      <c r="Q1528" s="36"/>
      <c r="R1528" s="125"/>
      <c r="S1528" s="123">
        <f>IFERROR(INDEX(DATABASE_FG!$L$5:$L$367, MATCH(E1528, DATABASE_FG!$C$5:$C$367, 0)), " ")</f>
        <v>40</v>
      </c>
      <c r="T1528" s="36"/>
      <c r="U1528" s="36"/>
      <c r="V1528" s="36"/>
      <c r="W1528" s="129"/>
      <c r="X1528" s="36"/>
      <c r="Y1528" s="36"/>
      <c r="Z1528" s="36"/>
      <c r="AA1528" s="125" t="s">
        <v>121</v>
      </c>
      <c r="AB1528" s="173">
        <v>45401</v>
      </c>
      <c r="AC1528" s="119">
        <v>2024385</v>
      </c>
      <c r="AD1528" s="36">
        <f t="shared" si="175"/>
        <v>5500492159</v>
      </c>
      <c r="AE1528" s="36" t="str">
        <f t="shared" si="176"/>
        <v>R900601576 - 519</v>
      </c>
      <c r="AF1528" s="36">
        <v>197</v>
      </c>
      <c r="AG1528" s="120">
        <f t="shared" si="179"/>
        <v>2442.8000000000002</v>
      </c>
      <c r="AH1528" s="36"/>
      <c r="AI1528" s="124"/>
      <c r="AJ1528" s="122" t="s">
        <v>1183</v>
      </c>
      <c r="AK1528" s="129" t="str">
        <f t="shared" ca="1" si="178"/>
        <v>Late</v>
      </c>
      <c r="AL1528" s="268" t="str">
        <f t="shared" si="177"/>
        <v>January</v>
      </c>
      <c r="AM1528" s="133">
        <f>YEAR(Table1[[#This Row],[ETA
As requested
dd.mm.yyyy]])</f>
        <v>2024</v>
      </c>
    </row>
    <row r="1529" spans="1:40" hidden="1">
      <c r="A1529" s="123" t="s">
        <v>25</v>
      </c>
      <c r="B1529" s="36" t="s">
        <v>1170</v>
      </c>
      <c r="C1529" s="117">
        <v>5500492159</v>
      </c>
      <c r="D1529" s="165">
        <v>45439</v>
      </c>
      <c r="E1529" s="117" t="s">
        <v>1032</v>
      </c>
      <c r="F1529" s="36" t="str">
        <f>IFERROR(VLOOKUP(Table1[[#This Row],[Part Number]],DATABASE_FG!$C$6:D11518,2,FALSE)," ")</f>
        <v>THROTTLE SCREW     2FRM 10-3X/</v>
      </c>
      <c r="G1529" s="117" t="str">
        <f>IFERROR(_xlfn.XLOOKUP(Table1[[#This Row],[Part Number]],Table3[Part number],Table3[Drawing
 Revision]),"")</f>
        <v>AI</v>
      </c>
      <c r="H1529" s="118" cm="1">
        <f t="array" ref="H1529">IFERROR(INDEX(PDB!$C:$AT,MATCH(E1529,PDB!$B:$B,0),MATCH(YEAR(K1529),0+PDB!$C$1:$AT$1,0)),"")</f>
        <v>12.4</v>
      </c>
      <c r="I1529" s="36"/>
      <c r="J1529" s="125">
        <f>IFERROR(Table1[[#This Row],[Quantity]]*Table1[[#This Row],[Price/Unit
EUR]]," ")</f>
        <v>0</v>
      </c>
      <c r="K1529" s="126">
        <v>45317</v>
      </c>
      <c r="L1529" s="36">
        <f>WEEKNUM(Table1[[#This Row],[ETA
As requested
dd.mm.yyyy]])</f>
        <v>4</v>
      </c>
      <c r="M1529" s="36">
        <f>YEAR(Table1[[#This Row],[ETA
As requested
dd.mm.yyyy]])</f>
        <v>2024</v>
      </c>
      <c r="N1529" s="36">
        <f>IFERROR(INDEX(DATABASE_FG!$H$5:$H$367, MATCH(E1529, DATABASE_FG!$C$5:$C$367, 0)), " ")</f>
        <v>47</v>
      </c>
      <c r="O1529" s="129" t="str">
        <f>IF(E1529&lt;&gt;"", _xlfn.XLOOKUP(E1529, DATABASE_FG!C:C, DATABASE_FG!F:F), " ")</f>
        <v>Drosselboltzen</v>
      </c>
      <c r="P1529" s="129">
        <f>IFERROR(INDEX(DATABASE_FG!$G$5:$G$367, MATCH(E1529, DATABASE_FG!$C$5:$C$367, 0)), "Not Found")</f>
        <v>340</v>
      </c>
      <c r="Q1529" s="36"/>
      <c r="R1529" s="125"/>
      <c r="S1529" s="123">
        <f>IFERROR(INDEX(DATABASE_FG!$L$5:$L$367, MATCH(E1529, DATABASE_FG!$C$5:$C$367, 0)), " ")</f>
        <v>40</v>
      </c>
      <c r="T1529" s="36"/>
      <c r="U1529" s="36"/>
      <c r="V1529" s="36"/>
      <c r="W1529" s="129"/>
      <c r="X1529" s="36"/>
      <c r="Y1529" s="36"/>
      <c r="Z1529" s="36"/>
      <c r="AA1529" s="125" t="s">
        <v>121</v>
      </c>
      <c r="AB1529" s="173">
        <v>45407</v>
      </c>
      <c r="AC1529" s="119">
        <v>2024402</v>
      </c>
      <c r="AD1529" s="36">
        <f t="shared" si="175"/>
        <v>5500492159</v>
      </c>
      <c r="AE1529" s="36" t="str">
        <f t="shared" si="176"/>
        <v>R900601576 - 519</v>
      </c>
      <c r="AF1529" s="36">
        <v>18</v>
      </c>
      <c r="AG1529" s="120">
        <f t="shared" si="179"/>
        <v>223.20000000000002</v>
      </c>
      <c r="AH1529" s="36"/>
      <c r="AI1529" s="124"/>
      <c r="AJ1529" s="122" t="s">
        <v>1184</v>
      </c>
      <c r="AK1529" s="129" t="str">
        <f t="shared" ca="1" si="178"/>
        <v>Late</v>
      </c>
      <c r="AL1529" s="268" t="str">
        <f t="shared" si="177"/>
        <v>January</v>
      </c>
      <c r="AM1529" s="133">
        <f>YEAR(Table1[[#This Row],[ETA
As requested
dd.mm.yyyy]])</f>
        <v>2024</v>
      </c>
    </row>
    <row r="1530" spans="1:40" hidden="1">
      <c r="A1530" s="123" t="s">
        <v>25</v>
      </c>
      <c r="B1530" s="36" t="s">
        <v>1170</v>
      </c>
      <c r="C1530" s="117">
        <v>5500492159</v>
      </c>
      <c r="D1530" s="165">
        <v>45439</v>
      </c>
      <c r="E1530" s="117" t="s">
        <v>1032</v>
      </c>
      <c r="F1530" s="36" t="str">
        <f>IFERROR(VLOOKUP(Table1[[#This Row],[Part Number]],DATABASE_FG!$C$6:D11519,2,FALSE)," ")</f>
        <v>THROTTLE SCREW     2FRM 10-3X/</v>
      </c>
      <c r="G1530" s="117" t="str">
        <f>IFERROR(_xlfn.XLOOKUP(Table1[[#This Row],[Part Number]],Table3[Part number],Table3[Drawing
 Revision]),"")</f>
        <v>AI</v>
      </c>
      <c r="H1530" s="118" cm="1">
        <f t="array" ref="H1530">IFERROR(INDEX(PDB!$C:$AT,MATCH(E1530,PDB!$B:$B,0),MATCH(YEAR(K1530),0+PDB!$C$1:$AT$1,0)),"")</f>
        <v>12.4</v>
      </c>
      <c r="I1530" s="36">
        <v>340</v>
      </c>
      <c r="J1530" s="125">
        <f>IFERROR(Table1[[#This Row],[Quantity]]*Table1[[#This Row],[Price/Unit
EUR]]," ")</f>
        <v>4216</v>
      </c>
      <c r="K1530" s="126">
        <v>45345</v>
      </c>
      <c r="L1530" s="36">
        <f>WEEKNUM(Table1[[#This Row],[ETA
As requested
dd.mm.yyyy]])</f>
        <v>8</v>
      </c>
      <c r="M1530" s="36">
        <f>YEAR(Table1[[#This Row],[ETA
As requested
dd.mm.yyyy]])</f>
        <v>2024</v>
      </c>
      <c r="N1530" s="36">
        <f>IFERROR(INDEX(DATABASE_FG!$H$5:$H$367, MATCH(E1530, DATABASE_FG!$C$5:$C$367, 0)), " ")</f>
        <v>47</v>
      </c>
      <c r="O1530" s="129" t="str">
        <f>IF(E1530&lt;&gt;"", _xlfn.XLOOKUP(E1530, DATABASE_FG!C:C, DATABASE_FG!F:F), " ")</f>
        <v>Drosselboltzen</v>
      </c>
      <c r="P1530" s="129">
        <f>IFERROR(INDEX(DATABASE_FG!$G$5:$G$367, MATCH(E1530, DATABASE_FG!$C$5:$C$367, 0)), "Not Found")</f>
        <v>340</v>
      </c>
      <c r="Q1530" s="36">
        <v>42</v>
      </c>
      <c r="R1530" s="125" t="s">
        <v>678</v>
      </c>
      <c r="S1530" s="123">
        <f>IFERROR(INDEX(DATABASE_FG!$L$5:$L$367, MATCH(E1530, DATABASE_FG!$C$5:$C$367, 0)), " ")</f>
        <v>40</v>
      </c>
      <c r="T1530" s="36" t="s">
        <v>677</v>
      </c>
      <c r="U1530" s="36"/>
      <c r="V1530" s="36"/>
      <c r="W1530" s="129"/>
      <c r="X1530" s="36"/>
      <c r="Y1530" s="36"/>
      <c r="Z1530" s="36"/>
      <c r="AA1530" s="125" t="s">
        <v>121</v>
      </c>
      <c r="AB1530" s="173">
        <v>45407</v>
      </c>
      <c r="AC1530" s="119">
        <v>2024402</v>
      </c>
      <c r="AD1530" s="36">
        <f t="shared" si="175"/>
        <v>5500492159</v>
      </c>
      <c r="AE1530" s="36" t="str">
        <f t="shared" si="176"/>
        <v>R900601576 - 519</v>
      </c>
      <c r="AF1530" s="36">
        <v>82</v>
      </c>
      <c r="AG1530" s="120">
        <f t="shared" si="179"/>
        <v>1016.8000000000001</v>
      </c>
      <c r="AH1530" s="36"/>
      <c r="AI1530" s="124"/>
      <c r="AJ1530" s="122" t="s">
        <v>1184</v>
      </c>
      <c r="AK1530" s="129" t="str">
        <f t="shared" ca="1" si="178"/>
        <v>Late</v>
      </c>
      <c r="AL1530" s="268" t="str">
        <f t="shared" si="177"/>
        <v>February</v>
      </c>
      <c r="AM1530" s="133">
        <f>YEAR(Table1[[#This Row],[ETA
As requested
dd.mm.yyyy]])</f>
        <v>2024</v>
      </c>
    </row>
    <row r="1531" spans="1:40" hidden="1">
      <c r="A1531" s="123" t="s">
        <v>25</v>
      </c>
      <c r="B1531" s="36" t="s">
        <v>1170</v>
      </c>
      <c r="C1531" s="117">
        <v>5500492159</v>
      </c>
      <c r="D1531" s="165">
        <v>45439</v>
      </c>
      <c r="E1531" s="117" t="s">
        <v>1032</v>
      </c>
      <c r="F1531" s="36" t="str">
        <f>IFERROR(VLOOKUP(Table1[[#This Row],[Part Number]],DATABASE_FG!$C$6:D11520,2,FALSE)," ")</f>
        <v>THROTTLE SCREW     2FRM 10-3X/</v>
      </c>
      <c r="G1531" s="117" t="str">
        <f>IFERROR(_xlfn.XLOOKUP(Table1[[#This Row],[Part Number]],Table3[Part number],Table3[Drawing
 Revision]),"")</f>
        <v>AI</v>
      </c>
      <c r="H1531" s="118" cm="1">
        <f t="array" ref="H1531">IFERROR(INDEX(PDB!$C:$AT,MATCH(E1531,PDB!$B:$B,0),MATCH(YEAR(K1531),0+PDB!$C$1:$AT$1,0)),"")</f>
        <v>12.4</v>
      </c>
      <c r="I1531" s="36"/>
      <c r="J1531" s="125">
        <f>IFERROR(Table1[[#This Row],[Quantity]]*Table1[[#This Row],[Price/Unit
EUR]]," ")</f>
        <v>0</v>
      </c>
      <c r="K1531" s="126">
        <v>45345</v>
      </c>
      <c r="L1531" s="36">
        <f>WEEKNUM(Table1[[#This Row],[ETA
As requested
dd.mm.yyyy]])</f>
        <v>8</v>
      </c>
      <c r="M1531" s="36">
        <f>YEAR(Table1[[#This Row],[ETA
As requested
dd.mm.yyyy]])</f>
        <v>2024</v>
      </c>
      <c r="N1531" s="36">
        <f>IFERROR(INDEX(DATABASE_FG!$H$5:$H$367, MATCH(E1531, DATABASE_FG!$C$5:$C$367, 0)), " ")</f>
        <v>47</v>
      </c>
      <c r="O1531" s="129" t="str">
        <f>IF(E1531&lt;&gt;"", _xlfn.XLOOKUP(E1531, DATABASE_FG!C:C, DATABASE_FG!F:F), " ")</f>
        <v>Drosselboltzen</v>
      </c>
      <c r="P1531" s="129">
        <f>IFERROR(INDEX(DATABASE_FG!$G$5:$G$367, MATCH(E1531, DATABASE_FG!$C$5:$C$367, 0)), "Not Found")</f>
        <v>340</v>
      </c>
      <c r="Q1531" s="36"/>
      <c r="R1531" s="125"/>
      <c r="S1531" s="123">
        <f>IFERROR(INDEX(DATABASE_FG!$L$5:$L$367, MATCH(E1531, DATABASE_FG!$C$5:$C$367, 0)), " ")</f>
        <v>40</v>
      </c>
      <c r="T1531" s="36"/>
      <c r="U1531" s="36"/>
      <c r="V1531" s="36"/>
      <c r="W1531" s="129"/>
      <c r="X1531" s="36"/>
      <c r="Y1531" s="36"/>
      <c r="Z1531" s="36"/>
      <c r="AA1531" s="125" t="s">
        <v>121</v>
      </c>
      <c r="AB1531" s="173">
        <v>45412</v>
      </c>
      <c r="AC1531" s="119">
        <v>2024419</v>
      </c>
      <c r="AD1531" s="36">
        <f t="shared" si="175"/>
        <v>5500492159</v>
      </c>
      <c r="AE1531" s="36" t="str">
        <f t="shared" si="176"/>
        <v>R900601576 - 519</v>
      </c>
      <c r="AF1531" s="36">
        <v>202</v>
      </c>
      <c r="AG1531" s="120">
        <f t="shared" si="179"/>
        <v>2504.8000000000002</v>
      </c>
      <c r="AH1531" s="36"/>
      <c r="AI1531" s="124"/>
      <c r="AJ1531" s="122" t="s">
        <v>1199</v>
      </c>
      <c r="AK1531" s="129" t="str">
        <f t="shared" ca="1" si="178"/>
        <v>Late</v>
      </c>
      <c r="AL1531" s="268" t="str">
        <f t="shared" si="177"/>
        <v>February</v>
      </c>
      <c r="AM1531" s="133">
        <f>YEAR(Table1[[#This Row],[ETA
As requested
dd.mm.yyyy]])</f>
        <v>2024</v>
      </c>
    </row>
    <row r="1532" spans="1:40" hidden="1">
      <c r="A1532" s="123" t="s">
        <v>25</v>
      </c>
      <c r="B1532" s="36" t="s">
        <v>1170</v>
      </c>
      <c r="C1532" s="117">
        <v>5500492159</v>
      </c>
      <c r="D1532" s="165">
        <v>45439</v>
      </c>
      <c r="E1532" s="117" t="s">
        <v>1032</v>
      </c>
      <c r="F1532" s="36" t="str">
        <f>IFERROR(VLOOKUP(Table1[[#This Row],[Part Number]],DATABASE_FG!$C$6:D11521,2,FALSE)," ")</f>
        <v>THROTTLE SCREW     2FRM 10-3X/</v>
      </c>
      <c r="G1532" s="117" t="str">
        <f>IFERROR(_xlfn.XLOOKUP(Table1[[#This Row],[Part Number]],Table3[Part number],Table3[Drawing
 Revision]),"")</f>
        <v>AI</v>
      </c>
      <c r="H1532" s="118" cm="1">
        <f t="array" ref="H1532">IFERROR(INDEX(PDB!$C:$AT,MATCH(E1532,PDB!$B:$B,0),MATCH(YEAR(K1532),0+PDB!$C$1:$AT$1,0)),"")</f>
        <v>12.4</v>
      </c>
      <c r="I1532" s="36"/>
      <c r="J1532" s="125">
        <f>IFERROR(Table1[[#This Row],[Quantity]]*Table1[[#This Row],[Price/Unit
EUR]]," ")</f>
        <v>0</v>
      </c>
      <c r="K1532" s="126">
        <v>45345</v>
      </c>
      <c r="L1532" s="36">
        <f>WEEKNUM(Table1[[#This Row],[ETA
As requested
dd.mm.yyyy]])</f>
        <v>8</v>
      </c>
      <c r="M1532" s="36">
        <f>YEAR(Table1[[#This Row],[ETA
As requested
dd.mm.yyyy]])</f>
        <v>2024</v>
      </c>
      <c r="N1532" s="36">
        <f>IFERROR(INDEX(DATABASE_FG!$H$5:$H$367, MATCH(E1532, DATABASE_FG!$C$5:$C$367, 0)), " ")</f>
        <v>47</v>
      </c>
      <c r="O1532" s="129" t="str">
        <f>IF(E1532&lt;&gt;"", _xlfn.XLOOKUP(E1532, DATABASE_FG!C:C, DATABASE_FG!F:F), " ")</f>
        <v>Drosselboltzen</v>
      </c>
      <c r="P1532" s="129">
        <f>IFERROR(INDEX(DATABASE_FG!$G$5:$G$367, MATCH(E1532, DATABASE_FG!$C$5:$C$367, 0)), "Not Found")</f>
        <v>340</v>
      </c>
      <c r="Q1532" s="36"/>
      <c r="R1532" s="125"/>
      <c r="S1532" s="123">
        <f>IFERROR(INDEX(DATABASE_FG!$L$5:$L$367, MATCH(E1532, DATABASE_FG!$C$5:$C$367, 0)), " ")</f>
        <v>40</v>
      </c>
      <c r="T1532" s="36"/>
      <c r="U1532" s="36"/>
      <c r="V1532" s="36"/>
      <c r="W1532" s="129"/>
      <c r="X1532" s="36"/>
      <c r="Y1532" s="36"/>
      <c r="Z1532" s="36"/>
      <c r="AA1532" s="125" t="s">
        <v>121</v>
      </c>
      <c r="AB1532" s="173">
        <v>45443</v>
      </c>
      <c r="AC1532" s="119">
        <v>2024584</v>
      </c>
      <c r="AD1532" s="36">
        <f t="shared" si="175"/>
        <v>5500492159</v>
      </c>
      <c r="AE1532" s="36" t="str">
        <f t="shared" si="176"/>
        <v>R900601576 - 519</v>
      </c>
      <c r="AF1532" s="36">
        <v>56</v>
      </c>
      <c r="AG1532" s="120">
        <f t="shared" si="179"/>
        <v>694.4</v>
      </c>
      <c r="AH1532" s="36"/>
      <c r="AI1532" s="124"/>
      <c r="AJ1532" s="122" t="s">
        <v>1200</v>
      </c>
      <c r="AK1532" s="129" t="str">
        <f t="shared" ca="1" si="178"/>
        <v>Late</v>
      </c>
      <c r="AL1532" s="268" t="str">
        <f t="shared" si="177"/>
        <v>February</v>
      </c>
      <c r="AM1532" s="133">
        <f>YEAR(Table1[[#This Row],[ETA
As requested
dd.mm.yyyy]])</f>
        <v>2024</v>
      </c>
    </row>
    <row r="1533" spans="1:40" s="76" customFormat="1" hidden="1">
      <c r="A1533" s="123" t="s">
        <v>25</v>
      </c>
      <c r="B1533" s="36" t="s">
        <v>1170</v>
      </c>
      <c r="C1533" s="117">
        <v>5500492159</v>
      </c>
      <c r="D1533" s="165">
        <v>45439</v>
      </c>
      <c r="E1533" s="117" t="s">
        <v>1032</v>
      </c>
      <c r="F1533" s="36" t="str">
        <f>IFERROR(VLOOKUP(Table1[[#This Row],[Part Number]],DATABASE_FG!$C$6:D11522,2,FALSE)," ")</f>
        <v>THROTTLE SCREW     2FRM 10-3X/</v>
      </c>
      <c r="G1533" s="117" t="str">
        <f>IFERROR(_xlfn.XLOOKUP(Table1[[#This Row],[Part Number]],Table3[Part number],Table3[Drawing
 Revision]),"")</f>
        <v>AI</v>
      </c>
      <c r="H1533" s="118" cm="1">
        <f t="array" ref="H1533">IFERROR(INDEX(PDB!$C:$AT,MATCH(E1533,PDB!$B:$B,0),MATCH(YEAR(K1533),0+PDB!$C$1:$AT$1,0)),"")</f>
        <v>12.4</v>
      </c>
      <c r="I1533" s="36">
        <v>340</v>
      </c>
      <c r="J1533" s="125">
        <f>IFERROR(Table1[[#This Row],[Quantity]]*Table1[[#This Row],[Price/Unit
EUR]]," ")</f>
        <v>4216</v>
      </c>
      <c r="K1533" s="126">
        <v>45366</v>
      </c>
      <c r="L1533" s="36">
        <f>WEEKNUM(Table1[[#This Row],[ETA
As requested
dd.mm.yyyy]])</f>
        <v>11</v>
      </c>
      <c r="M1533" s="36">
        <f>YEAR(Table1[[#This Row],[ETA
As requested
dd.mm.yyyy]])</f>
        <v>2024</v>
      </c>
      <c r="N1533" s="36">
        <f>IFERROR(INDEX(DATABASE_FG!$H$5:$H$367, MATCH(E1533, DATABASE_FG!$C$5:$C$367, 0)), " ")</f>
        <v>47</v>
      </c>
      <c r="O1533" s="129" t="str">
        <f>IF(E1533&lt;&gt;"", _xlfn.XLOOKUP(E1533, DATABASE_FG!C:C, DATABASE_FG!F:F), " ")</f>
        <v>Drosselboltzen</v>
      </c>
      <c r="P1533" s="129">
        <f>IFERROR(INDEX(DATABASE_FG!$G$5:$G$367, MATCH(E1533, DATABASE_FG!$C$5:$C$367, 0)), "Not Found")</f>
        <v>340</v>
      </c>
      <c r="Q1533" s="36">
        <v>42</v>
      </c>
      <c r="R1533" s="125" t="s">
        <v>678</v>
      </c>
      <c r="S1533" s="123">
        <f>IFERROR(INDEX(DATABASE_FG!$L$5:$L$367, MATCH(E1533, DATABASE_FG!$C$5:$C$367, 0)), " ")</f>
        <v>40</v>
      </c>
      <c r="T1533" s="36" t="s">
        <v>677</v>
      </c>
      <c r="U1533" s="36"/>
      <c r="V1533" s="36"/>
      <c r="W1533" s="129"/>
      <c r="X1533" s="36"/>
      <c r="Y1533" s="36"/>
      <c r="Z1533" s="36">
        <v>241603</v>
      </c>
      <c r="AA1533" s="125" t="s">
        <v>121</v>
      </c>
      <c r="AB1533" s="173">
        <v>45443</v>
      </c>
      <c r="AC1533" s="119">
        <v>2024584</v>
      </c>
      <c r="AD1533" s="36">
        <f t="shared" si="175"/>
        <v>5500492159</v>
      </c>
      <c r="AE1533" s="36" t="str">
        <f t="shared" si="176"/>
        <v>R900601576 - 519</v>
      </c>
      <c r="AF1533" s="36">
        <v>6</v>
      </c>
      <c r="AG1533" s="120">
        <f t="shared" si="179"/>
        <v>74.400000000000006</v>
      </c>
      <c r="AH1533" s="36"/>
      <c r="AI1533" s="124"/>
      <c r="AJ1533" s="122" t="s">
        <v>1200</v>
      </c>
      <c r="AK1533" s="129" t="str">
        <f t="shared" ca="1" si="178"/>
        <v>Late</v>
      </c>
      <c r="AL1533" s="268" t="str">
        <f t="shared" si="177"/>
        <v>March</v>
      </c>
      <c r="AM1533" s="133">
        <f>YEAR(Table1[[#This Row],[ETA
As requested
dd.mm.yyyy]])</f>
        <v>2024</v>
      </c>
      <c r="AN1533"/>
    </row>
    <row r="1534" spans="1:40" s="76" customFormat="1" hidden="1">
      <c r="A1534" s="123" t="s">
        <v>25</v>
      </c>
      <c r="B1534" s="36" t="s">
        <v>1170</v>
      </c>
      <c r="C1534" s="117">
        <v>5500492159</v>
      </c>
      <c r="D1534" s="165">
        <v>45439</v>
      </c>
      <c r="E1534" s="117" t="s">
        <v>1032</v>
      </c>
      <c r="F1534" s="36" t="str">
        <f>IFERROR(VLOOKUP(Table1[[#This Row],[Part Number]],DATABASE_FG!$C$6:D11523,2,FALSE)," ")</f>
        <v>THROTTLE SCREW     2FRM 10-3X/</v>
      </c>
      <c r="G1534" s="117" t="str">
        <f>IFERROR(_xlfn.XLOOKUP(Table1[[#This Row],[Part Number]],Table3[Part number],Table3[Drawing
 Revision]),"")</f>
        <v>AI</v>
      </c>
      <c r="H1534" s="118" cm="1">
        <f t="array" ref="H1534">IFERROR(INDEX(PDB!$C:$AT,MATCH(E1534,PDB!$B:$B,0),MATCH(YEAR(K1534),0+PDB!$C$1:$AT$1,0)),"")</f>
        <v>12.4</v>
      </c>
      <c r="I1534" s="36"/>
      <c r="J1534" s="125">
        <f>IFERROR(Table1[[#This Row],[Quantity]]*Table1[[#This Row],[Price/Unit
EUR]]," ")</f>
        <v>0</v>
      </c>
      <c r="K1534" s="126">
        <v>45366</v>
      </c>
      <c r="L1534" s="36">
        <f>WEEKNUM(Table1[[#This Row],[ETA
As requested
dd.mm.yyyy]])</f>
        <v>11</v>
      </c>
      <c r="M1534" s="36">
        <f>YEAR(Table1[[#This Row],[ETA
As requested
dd.mm.yyyy]])</f>
        <v>2024</v>
      </c>
      <c r="N1534" s="36">
        <f>IFERROR(INDEX(DATABASE_FG!$H$5:$H$367, MATCH(E1534, DATABASE_FG!$C$5:$C$367, 0)), " ")</f>
        <v>47</v>
      </c>
      <c r="O1534" s="129" t="str">
        <f>IF(E1534&lt;&gt;"", _xlfn.XLOOKUP(E1534, DATABASE_FG!C:C, DATABASE_FG!F:F), " ")</f>
        <v>Drosselboltzen</v>
      </c>
      <c r="P1534" s="129">
        <f>IFERROR(INDEX(DATABASE_FG!$G$5:$G$367, MATCH(E1534, DATABASE_FG!$C$5:$C$367, 0)), "Not Found")</f>
        <v>340</v>
      </c>
      <c r="Q1534" s="36"/>
      <c r="R1534" s="125"/>
      <c r="S1534" s="123">
        <f>IFERROR(INDEX(DATABASE_FG!$L$5:$L$367, MATCH(E1534, DATABASE_FG!$C$5:$C$367, 0)), " ")</f>
        <v>40</v>
      </c>
      <c r="T1534" s="36"/>
      <c r="U1534" s="36"/>
      <c r="V1534" s="36"/>
      <c r="W1534" s="129"/>
      <c r="X1534" s="36"/>
      <c r="Y1534" s="36"/>
      <c r="Z1534" s="36"/>
      <c r="AA1534" s="125" t="s">
        <v>121</v>
      </c>
      <c r="AB1534" s="172">
        <v>45447</v>
      </c>
      <c r="AC1534" s="119">
        <v>2024600</v>
      </c>
      <c r="AD1534" s="36">
        <f t="shared" si="175"/>
        <v>5500492159</v>
      </c>
      <c r="AE1534" s="36" t="str">
        <f t="shared" si="176"/>
        <v>R900601576 - 519</v>
      </c>
      <c r="AF1534" s="36">
        <v>135</v>
      </c>
      <c r="AG1534" s="120">
        <f t="shared" si="179"/>
        <v>1674</v>
      </c>
      <c r="AH1534" s="36"/>
      <c r="AI1534" s="124"/>
      <c r="AJ1534" s="122" t="s">
        <v>1225</v>
      </c>
      <c r="AK1534" s="129" t="str">
        <f t="shared" ca="1" si="178"/>
        <v>Late</v>
      </c>
      <c r="AL1534" s="268" t="str">
        <f t="shared" si="177"/>
        <v>March</v>
      </c>
      <c r="AM1534" s="133">
        <f>YEAR(Table1[[#This Row],[ETA
As requested
dd.mm.yyyy]])</f>
        <v>2024</v>
      </c>
      <c r="AN1534"/>
    </row>
    <row r="1535" spans="1:40" s="76" customFormat="1" hidden="1">
      <c r="A1535" s="123" t="s">
        <v>25</v>
      </c>
      <c r="B1535" s="36" t="s">
        <v>1170</v>
      </c>
      <c r="C1535" s="117">
        <v>5500492159</v>
      </c>
      <c r="D1535" s="165">
        <v>45439</v>
      </c>
      <c r="E1535" s="117" t="s">
        <v>1032</v>
      </c>
      <c r="F1535" s="36" t="str">
        <f>IFERROR(VLOOKUP(Table1[[#This Row],[Part Number]],DATABASE_FG!$C$6:D11524,2,FALSE)," ")</f>
        <v>THROTTLE SCREW     2FRM 10-3X/</v>
      </c>
      <c r="G1535" s="117" t="str">
        <f>IFERROR(_xlfn.XLOOKUP(Table1[[#This Row],[Part Number]],Table3[Part number],Table3[Drawing
 Revision]),"")</f>
        <v>AI</v>
      </c>
      <c r="H1535" s="118" cm="1">
        <f t="array" ref="H1535">IFERROR(INDEX(PDB!$C:$AT,MATCH(E1535,PDB!$B:$B,0),MATCH(YEAR(K1535),0+PDB!$C$1:$AT$1,0)),"")</f>
        <v>12.4</v>
      </c>
      <c r="I1535" s="36"/>
      <c r="J1535" s="125">
        <f>IFERROR(Table1[[#This Row],[Quantity]]*Table1[[#This Row],[Price/Unit
EUR]]," ")</f>
        <v>0</v>
      </c>
      <c r="K1535" s="126">
        <v>45366</v>
      </c>
      <c r="L1535" s="36">
        <f>WEEKNUM(Table1[[#This Row],[ETA
As requested
dd.mm.yyyy]])</f>
        <v>11</v>
      </c>
      <c r="M1535" s="36">
        <f>YEAR(Table1[[#This Row],[ETA
As requested
dd.mm.yyyy]])</f>
        <v>2024</v>
      </c>
      <c r="N1535" s="36">
        <f>IFERROR(INDEX(DATABASE_FG!$H$5:$H$367, MATCH(E1535, DATABASE_FG!$C$5:$C$367, 0)), " ")</f>
        <v>47</v>
      </c>
      <c r="O1535" s="129" t="str">
        <f>IF(E1535&lt;&gt;"", _xlfn.XLOOKUP(E1535, DATABASE_FG!C:C, DATABASE_FG!F:F), " ")</f>
        <v>Drosselboltzen</v>
      </c>
      <c r="P1535" s="129">
        <f>IFERROR(INDEX(DATABASE_FG!$G$5:$G$367, MATCH(E1535, DATABASE_FG!$C$5:$C$367, 0)), "Not Found")</f>
        <v>340</v>
      </c>
      <c r="Q1535" s="36"/>
      <c r="R1535" s="125"/>
      <c r="S1535" s="123">
        <f>IFERROR(INDEX(DATABASE_FG!$L$5:$L$367, MATCH(E1535, DATABASE_FG!$C$5:$C$367, 0)), " ")</f>
        <v>40</v>
      </c>
      <c r="T1535" s="36"/>
      <c r="U1535" s="36"/>
      <c r="V1535" s="36"/>
      <c r="W1535" s="129"/>
      <c r="X1535" s="36"/>
      <c r="Y1535" s="36"/>
      <c r="Z1535" s="36"/>
      <c r="AA1535" s="125" t="s">
        <v>121</v>
      </c>
      <c r="AB1535" s="172">
        <v>45450</v>
      </c>
      <c r="AC1535" s="119">
        <v>2024620</v>
      </c>
      <c r="AD1535" s="36">
        <f t="shared" ref="AD1535:AD1598" si="180">IF(NOT(ISBLANK(AC1535)), C1535, "")</f>
        <v>5500492159</v>
      </c>
      <c r="AE1535" s="36" t="str">
        <f t="shared" si="176"/>
        <v>R900601576 - 519</v>
      </c>
      <c r="AF1535" s="36">
        <v>152</v>
      </c>
      <c r="AG1535" s="120">
        <f t="shared" si="179"/>
        <v>1884.8</v>
      </c>
      <c r="AH1535" s="36"/>
      <c r="AI1535" s="124"/>
      <c r="AJ1535" s="122" t="s">
        <v>1226</v>
      </c>
      <c r="AK1535" s="129" t="str">
        <f t="shared" ca="1" si="178"/>
        <v>Late</v>
      </c>
      <c r="AL1535" s="268" t="str">
        <f t="shared" si="177"/>
        <v>March</v>
      </c>
      <c r="AM1535" s="133">
        <f>YEAR(Table1[[#This Row],[ETA
As requested
dd.mm.yyyy]])</f>
        <v>2024</v>
      </c>
      <c r="AN1535"/>
    </row>
    <row r="1536" spans="1:40" hidden="1">
      <c r="A1536" s="123" t="s">
        <v>25</v>
      </c>
      <c r="B1536" s="36" t="s">
        <v>1170</v>
      </c>
      <c r="C1536" s="117">
        <v>5500492159</v>
      </c>
      <c r="D1536" s="165">
        <v>45439</v>
      </c>
      <c r="E1536" s="117" t="s">
        <v>1032</v>
      </c>
      <c r="F1536" s="36" t="str">
        <f>IFERROR(VLOOKUP(Table1[[#This Row],[Part Number]],DATABASE_FG!$C$6:D11525,2,FALSE)," ")</f>
        <v>THROTTLE SCREW     2FRM 10-3X/</v>
      </c>
      <c r="G1536" s="117" t="str">
        <f>IFERROR(_xlfn.XLOOKUP(Table1[[#This Row],[Part Number]],Table3[Part number],Table3[Drawing
 Revision]),"")</f>
        <v>AI</v>
      </c>
      <c r="H1536" s="118" cm="1">
        <f t="array" ref="H1536">IFERROR(INDEX(PDB!$C:$AT,MATCH(E1536,PDB!$B:$B,0),MATCH(YEAR(K1536),0+PDB!$C$1:$AT$1,0)),"")</f>
        <v>12.4</v>
      </c>
      <c r="I1536" s="36"/>
      <c r="J1536" s="125">
        <f>IFERROR(Table1[[#This Row],[Quantity]]*Table1[[#This Row],[Price/Unit
EUR]]," ")</f>
        <v>0</v>
      </c>
      <c r="K1536" s="126">
        <v>45366</v>
      </c>
      <c r="L1536" s="36">
        <f>WEEKNUM(Table1[[#This Row],[ETA
As requested
dd.mm.yyyy]])</f>
        <v>11</v>
      </c>
      <c r="M1536" s="36">
        <f>YEAR(Table1[[#This Row],[ETA
As requested
dd.mm.yyyy]])</f>
        <v>2024</v>
      </c>
      <c r="N1536" s="36">
        <f>IFERROR(INDEX(DATABASE_FG!$H$5:$H$367, MATCH(E1536, DATABASE_FG!$C$5:$C$367, 0)), " ")</f>
        <v>47</v>
      </c>
      <c r="O1536" s="129" t="str">
        <f>IF(E1536&lt;&gt;"", _xlfn.XLOOKUP(E1536, DATABASE_FG!C:C, DATABASE_FG!F:F), " ")</f>
        <v>Drosselboltzen</v>
      </c>
      <c r="P1536" s="129">
        <f>IFERROR(INDEX(DATABASE_FG!$G$5:$G$367, MATCH(E1536, DATABASE_FG!$C$5:$C$367, 0)), "Not Found")</f>
        <v>340</v>
      </c>
      <c r="Q1536" s="36"/>
      <c r="R1536" s="125"/>
      <c r="S1536" s="123">
        <f>Table1[[#This Row],[Quantity]]/48</f>
        <v>0</v>
      </c>
      <c r="T1536" s="36"/>
      <c r="U1536" s="36"/>
      <c r="V1536" s="36"/>
      <c r="W1536" s="129"/>
      <c r="X1536" s="36"/>
      <c r="Y1536" s="36"/>
      <c r="Z1536" s="36"/>
      <c r="AA1536" s="125" t="s">
        <v>121</v>
      </c>
      <c r="AB1536" s="172">
        <v>45454</v>
      </c>
      <c r="AC1536" s="119">
        <v>2024639</v>
      </c>
      <c r="AD1536" s="36">
        <f t="shared" si="180"/>
        <v>5500492159</v>
      </c>
      <c r="AE1536" s="36" t="str">
        <f t="shared" si="176"/>
        <v>R900601576 - 519</v>
      </c>
      <c r="AF1536" s="36">
        <v>47</v>
      </c>
      <c r="AG1536" s="120">
        <f t="shared" si="179"/>
        <v>582.80000000000007</v>
      </c>
      <c r="AH1536" s="36"/>
      <c r="AI1536" s="124"/>
      <c r="AJ1536" s="122" t="s">
        <v>1227</v>
      </c>
      <c r="AK1536" s="129" t="str">
        <f t="shared" ca="1" si="178"/>
        <v>Late</v>
      </c>
      <c r="AL1536" s="268" t="str">
        <f t="shared" si="177"/>
        <v>March</v>
      </c>
      <c r="AM1536" s="133">
        <f>YEAR(Table1[[#This Row],[ETA
As requested
dd.mm.yyyy]])</f>
        <v>2024</v>
      </c>
    </row>
    <row r="1537" spans="1:39" hidden="1">
      <c r="A1537" s="123" t="s">
        <v>25</v>
      </c>
      <c r="B1537" s="36" t="s">
        <v>1170</v>
      </c>
      <c r="C1537" s="117">
        <v>5500492159</v>
      </c>
      <c r="D1537" s="165">
        <v>45439</v>
      </c>
      <c r="E1537" s="117" t="s">
        <v>1032</v>
      </c>
      <c r="F1537" s="36" t="str">
        <f>IFERROR(VLOOKUP(Table1[[#This Row],[Part Number]],DATABASE_FG!$C$6:D11526,2,FALSE)," ")</f>
        <v>THROTTLE SCREW     2FRM 10-3X/</v>
      </c>
      <c r="G1537" s="117" t="str">
        <f>IFERROR(_xlfn.XLOOKUP(Table1[[#This Row],[Part Number]],Table3[Part number],Table3[Drawing
 Revision]),"")</f>
        <v>AI</v>
      </c>
      <c r="H1537" s="118" cm="1">
        <f t="array" ref="H1537">IFERROR(INDEX(PDB!$C:$AT,MATCH(E1537,PDB!$B:$B,0),MATCH(YEAR(K1537),0+PDB!$C$1:$AT$1,0)),"")</f>
        <v>12.4</v>
      </c>
      <c r="I1537" s="36">
        <v>340</v>
      </c>
      <c r="J1537" s="125">
        <f>IFERROR(Table1[[#This Row],[Quantity]]*Table1[[#This Row],[Price/Unit
EUR]]," ")</f>
        <v>4216</v>
      </c>
      <c r="K1537" s="126">
        <v>45394</v>
      </c>
      <c r="L1537" s="36">
        <f>WEEKNUM(Table1[[#This Row],[ETA
As requested
dd.mm.yyyy]])</f>
        <v>15</v>
      </c>
      <c r="M1537" s="36">
        <f>YEAR(Table1[[#This Row],[ETA
As requested
dd.mm.yyyy]])</f>
        <v>2024</v>
      </c>
      <c r="N1537" s="36">
        <f>IFERROR(INDEX(DATABASE_FG!$H$5:$H$367, MATCH(E1537, DATABASE_FG!$C$5:$C$367, 0)), " ")</f>
        <v>47</v>
      </c>
      <c r="O1537" s="129" t="str">
        <f>IF(E1537&lt;&gt;"", _xlfn.XLOOKUP(E1537, DATABASE_FG!C:C, DATABASE_FG!F:F), " ")</f>
        <v>Drosselboltzen</v>
      </c>
      <c r="P1537" s="129">
        <f>IFERROR(INDEX(DATABASE_FG!$G$5:$G$367, MATCH(E1537, DATABASE_FG!$C$5:$C$367, 0)), "Not Found")</f>
        <v>340</v>
      </c>
      <c r="Q1537" s="36">
        <v>42</v>
      </c>
      <c r="R1537" s="125" t="s">
        <v>678</v>
      </c>
      <c r="S1537" s="123">
        <f>IFERROR(INDEX(DATABASE_FG!$L$5:$L$367, MATCH(E1537, DATABASE_FG!$C$5:$C$367, 0)), " ")</f>
        <v>40</v>
      </c>
      <c r="T1537" s="36" t="s">
        <v>677</v>
      </c>
      <c r="U1537" s="36"/>
      <c r="V1537" s="36"/>
      <c r="W1537" s="129"/>
      <c r="X1537" s="36"/>
      <c r="Y1537" s="36"/>
      <c r="Z1537" s="36" t="s">
        <v>1326</v>
      </c>
      <c r="AA1537" s="125" t="s">
        <v>121</v>
      </c>
      <c r="AB1537" s="173">
        <v>45454</v>
      </c>
      <c r="AC1537" s="119">
        <v>2024639</v>
      </c>
      <c r="AD1537" s="36">
        <f t="shared" si="180"/>
        <v>5500492159</v>
      </c>
      <c r="AE1537" s="36" t="str">
        <f t="shared" ref="AE1537:AE1600" si="181">IF(NOT(ISBLANK(AC1537)), E1537, "")</f>
        <v>R900601576 - 519</v>
      </c>
      <c r="AF1537" s="36">
        <v>17</v>
      </c>
      <c r="AG1537" s="120">
        <f t="shared" si="179"/>
        <v>210.8</v>
      </c>
      <c r="AH1537" s="36"/>
      <c r="AI1537" s="124"/>
      <c r="AJ1537" s="122" t="s">
        <v>1227</v>
      </c>
      <c r="AK1537" s="129" t="str">
        <f t="shared" ca="1" si="178"/>
        <v>Late</v>
      </c>
      <c r="AL1537" s="268" t="str">
        <f t="shared" si="177"/>
        <v>April</v>
      </c>
      <c r="AM1537" s="133">
        <f>YEAR(Table1[[#This Row],[ETA
As requested
dd.mm.yyyy]])</f>
        <v>2024</v>
      </c>
    </row>
    <row r="1538" spans="1:39" hidden="1">
      <c r="A1538" s="123" t="s">
        <v>25</v>
      </c>
      <c r="B1538" s="36" t="s">
        <v>1170</v>
      </c>
      <c r="C1538" s="117">
        <v>5500492159</v>
      </c>
      <c r="D1538" s="165">
        <v>45439</v>
      </c>
      <c r="E1538" s="117" t="s">
        <v>1032</v>
      </c>
      <c r="F1538" s="36" t="str">
        <f>IFERROR(VLOOKUP(Table1[[#This Row],[Part Number]],DATABASE_FG!$C$6:D11527,2,FALSE)," ")</f>
        <v>THROTTLE SCREW     2FRM 10-3X/</v>
      </c>
      <c r="G1538" s="117" t="str">
        <f>IFERROR(_xlfn.XLOOKUP(Table1[[#This Row],[Part Number]],Table3[Part number],Table3[Drawing
 Revision]),"")</f>
        <v>AI</v>
      </c>
      <c r="H1538" s="118" cm="1">
        <f t="array" ref="H1538">IFERROR(INDEX(PDB!$C:$AT,MATCH(E1538,PDB!$B:$B,0),MATCH(YEAR(K1538),0+PDB!$C$1:$AT$1,0)),"")</f>
        <v>12.4</v>
      </c>
      <c r="I1538" s="36"/>
      <c r="J1538" s="125">
        <f>IFERROR(Table1[[#This Row],[Quantity]]*Table1[[#This Row],[Price/Unit
EUR]]," ")</f>
        <v>0</v>
      </c>
      <c r="K1538" s="126">
        <v>45394</v>
      </c>
      <c r="L1538" s="36">
        <f>WEEKNUM(Table1[[#This Row],[ETA
As requested
dd.mm.yyyy]])</f>
        <v>15</v>
      </c>
      <c r="M1538" s="36">
        <f>YEAR(Table1[[#This Row],[ETA
As requested
dd.mm.yyyy]])</f>
        <v>2024</v>
      </c>
      <c r="N1538" s="36">
        <f>IFERROR(INDEX(DATABASE_FG!$H$5:$H$367, MATCH(E1538, DATABASE_FG!$C$5:$C$367, 0)), " ")</f>
        <v>47</v>
      </c>
      <c r="O1538" s="129" t="str">
        <f>IF(E1538&lt;&gt;"", _xlfn.XLOOKUP(E1538, DATABASE_FG!C:C, DATABASE_FG!F:F), " ")</f>
        <v>Drosselboltzen</v>
      </c>
      <c r="P1538" s="129">
        <f>IFERROR(INDEX(DATABASE_FG!$G$5:$G$367, MATCH(E1538, DATABASE_FG!$C$5:$C$367, 0)), "Not Found")</f>
        <v>340</v>
      </c>
      <c r="Q1538" s="36"/>
      <c r="R1538" s="125"/>
      <c r="S1538" s="123">
        <f>Table1[[#This Row],[Quantity]]/48</f>
        <v>0</v>
      </c>
      <c r="T1538" s="36"/>
      <c r="U1538" s="36"/>
      <c r="V1538" s="36"/>
      <c r="W1538" s="129"/>
      <c r="X1538" s="36"/>
      <c r="Y1538" s="36"/>
      <c r="Z1538" s="36"/>
      <c r="AA1538" s="125" t="s">
        <v>121</v>
      </c>
      <c r="AB1538" s="173">
        <v>45457</v>
      </c>
      <c r="AC1538" s="119">
        <v>2024659</v>
      </c>
      <c r="AD1538" s="36">
        <f t="shared" si="180"/>
        <v>5500492159</v>
      </c>
      <c r="AE1538" s="36" t="str">
        <f t="shared" si="181"/>
        <v>R900601576 - 519</v>
      </c>
      <c r="AF1538" s="36">
        <v>181</v>
      </c>
      <c r="AG1538" s="120">
        <f t="shared" si="179"/>
        <v>2244.4</v>
      </c>
      <c r="AH1538" s="36"/>
      <c r="AI1538" s="124"/>
      <c r="AJ1538" s="122" t="s">
        <v>1327</v>
      </c>
      <c r="AK1538" s="129" t="str">
        <f t="shared" ca="1" si="178"/>
        <v>Late</v>
      </c>
      <c r="AL1538" s="268" t="str">
        <f t="shared" si="177"/>
        <v>April</v>
      </c>
      <c r="AM1538" s="133">
        <f>YEAR(Table1[[#This Row],[ETA
As requested
dd.mm.yyyy]])</f>
        <v>2024</v>
      </c>
    </row>
    <row r="1539" spans="1:39" hidden="1">
      <c r="A1539" s="123" t="s">
        <v>25</v>
      </c>
      <c r="B1539" s="36" t="s">
        <v>1170</v>
      </c>
      <c r="C1539" s="117">
        <v>5500492159</v>
      </c>
      <c r="D1539" s="165">
        <v>45439</v>
      </c>
      <c r="E1539" s="117" t="s">
        <v>1032</v>
      </c>
      <c r="F1539" s="36" t="str">
        <f>IFERROR(VLOOKUP(Table1[[#This Row],[Part Number]],DATABASE_FG!$C$6:D11528,2,FALSE)," ")</f>
        <v>THROTTLE SCREW     2FRM 10-3X/</v>
      </c>
      <c r="G1539" s="117" t="str">
        <f>IFERROR(_xlfn.XLOOKUP(Table1[[#This Row],[Part Number]],Table3[Part number],Table3[Drawing
 Revision]),"")</f>
        <v>AI</v>
      </c>
      <c r="H1539" s="118" cm="1">
        <f t="array" ref="H1539">IFERROR(INDEX(PDB!$C:$AT,MATCH(E1539,PDB!$B:$B,0),MATCH(YEAR(K1539),0+PDB!$C$1:$AT$1,0)),"")</f>
        <v>12.4</v>
      </c>
      <c r="I1539" s="36"/>
      <c r="J1539" s="125">
        <f>IFERROR(Table1[[#This Row],[Quantity]]*Table1[[#This Row],[Price/Unit
EUR]]," ")</f>
        <v>0</v>
      </c>
      <c r="K1539" s="126">
        <v>45394</v>
      </c>
      <c r="L1539" s="36">
        <f>WEEKNUM(Table1[[#This Row],[ETA
As requested
dd.mm.yyyy]])</f>
        <v>15</v>
      </c>
      <c r="M1539" s="36">
        <f>YEAR(Table1[[#This Row],[ETA
As requested
dd.mm.yyyy]])</f>
        <v>2024</v>
      </c>
      <c r="N1539" s="36">
        <f>IFERROR(INDEX(DATABASE_FG!$H$5:$H$367, MATCH(E1539, DATABASE_FG!$C$5:$C$367, 0)), " ")</f>
        <v>47</v>
      </c>
      <c r="O1539" s="129" t="str">
        <f>IF(E1539&lt;&gt;"", _xlfn.XLOOKUP(E1539, DATABASE_FG!C:C, DATABASE_FG!F:F), " ")</f>
        <v>Drosselboltzen</v>
      </c>
      <c r="P1539" s="129">
        <f>IFERROR(INDEX(DATABASE_FG!$G$5:$G$367, MATCH(E1539, DATABASE_FG!$C$5:$C$367, 0)), "Not Found")</f>
        <v>340</v>
      </c>
      <c r="Q1539" s="36"/>
      <c r="R1539" s="125"/>
      <c r="S1539" s="123">
        <f>Table1[[#This Row],[Quantity]]/48</f>
        <v>0</v>
      </c>
      <c r="T1539" s="36"/>
      <c r="U1539" s="36"/>
      <c r="V1539" s="36"/>
      <c r="W1539" s="129"/>
      <c r="X1539" s="36"/>
      <c r="Y1539" s="36"/>
      <c r="Z1539" s="36"/>
      <c r="AA1539" s="125" t="s">
        <v>121</v>
      </c>
      <c r="AB1539" s="172">
        <v>45461</v>
      </c>
      <c r="AC1539" s="119">
        <v>2024676</v>
      </c>
      <c r="AD1539" s="36">
        <f t="shared" si="180"/>
        <v>5500492159</v>
      </c>
      <c r="AE1539" s="36" t="str">
        <f t="shared" si="181"/>
        <v>R900601576 - 519</v>
      </c>
      <c r="AF1539" s="36">
        <v>102</v>
      </c>
      <c r="AG1539" s="120">
        <f t="shared" si="179"/>
        <v>1264.8</v>
      </c>
      <c r="AH1539" s="36"/>
      <c r="AI1539" s="124"/>
      <c r="AJ1539" s="122" t="s">
        <v>1328</v>
      </c>
      <c r="AK1539" s="129" t="str">
        <f t="shared" ca="1" si="178"/>
        <v>Late</v>
      </c>
      <c r="AL1539" s="268" t="str">
        <f t="shared" si="177"/>
        <v>April</v>
      </c>
      <c r="AM1539" s="133">
        <f>YEAR(Table1[[#This Row],[ETA
As requested
dd.mm.yyyy]])</f>
        <v>2024</v>
      </c>
    </row>
    <row r="1540" spans="1:39" hidden="1">
      <c r="A1540" s="123" t="s">
        <v>25</v>
      </c>
      <c r="B1540" s="36" t="s">
        <v>1170</v>
      </c>
      <c r="C1540" s="117">
        <v>5500492159</v>
      </c>
      <c r="D1540" s="165">
        <v>45439</v>
      </c>
      <c r="E1540" s="117" t="s">
        <v>1032</v>
      </c>
      <c r="F1540" s="36" t="str">
        <f>IFERROR(VLOOKUP(Table1[[#This Row],[Part Number]],DATABASE_FG!$C$6:D11529,2,FALSE)," ")</f>
        <v>THROTTLE SCREW     2FRM 10-3X/</v>
      </c>
      <c r="G1540" s="117" t="str">
        <f>IFERROR(_xlfn.XLOOKUP(Table1[[#This Row],[Part Number]],Table3[Part number],Table3[Drawing
 Revision]),"")</f>
        <v>AI</v>
      </c>
      <c r="H1540" s="118" cm="1">
        <f t="array" ref="H1540">IFERROR(INDEX(PDB!$C:$AT,MATCH(E1540,PDB!$B:$B,0),MATCH(YEAR(K1540),0+PDB!$C$1:$AT$1,0)),"")</f>
        <v>12.4</v>
      </c>
      <c r="I1540" s="36"/>
      <c r="J1540" s="125">
        <f>IFERROR(Table1[[#This Row],[Quantity]]*Table1[[#This Row],[Price/Unit
EUR]]," ")</f>
        <v>0</v>
      </c>
      <c r="K1540" s="126">
        <v>45394</v>
      </c>
      <c r="L1540" s="36">
        <f>WEEKNUM(Table1[[#This Row],[ETA
As requested
dd.mm.yyyy]])</f>
        <v>15</v>
      </c>
      <c r="M1540" s="36">
        <f>YEAR(Table1[[#This Row],[ETA
As requested
dd.mm.yyyy]])</f>
        <v>2024</v>
      </c>
      <c r="N1540" s="36">
        <f>IFERROR(INDEX(DATABASE_FG!$H$5:$H$367, MATCH(E1540, DATABASE_FG!$C$5:$C$367, 0)), " ")</f>
        <v>47</v>
      </c>
      <c r="O1540" s="129" t="str">
        <f>IF(E1540&lt;&gt;"", _xlfn.XLOOKUP(E1540, DATABASE_FG!C:C, DATABASE_FG!F:F), " ")</f>
        <v>Drosselboltzen</v>
      </c>
      <c r="P1540" s="129">
        <f>IFERROR(INDEX(DATABASE_FG!$G$5:$G$367, MATCH(E1540, DATABASE_FG!$C$5:$C$367, 0)), "Not Found")</f>
        <v>340</v>
      </c>
      <c r="Q1540" s="36"/>
      <c r="R1540" s="125"/>
      <c r="S1540" s="123">
        <f>Table1[[#This Row],[Quantity]]/48</f>
        <v>0</v>
      </c>
      <c r="T1540" s="36"/>
      <c r="U1540" s="36"/>
      <c r="V1540" s="36"/>
      <c r="W1540" s="129"/>
      <c r="X1540" s="36"/>
      <c r="Y1540" s="36"/>
      <c r="Z1540" s="36"/>
      <c r="AA1540" s="125" t="s">
        <v>121</v>
      </c>
      <c r="AB1540" s="172">
        <v>45464</v>
      </c>
      <c r="AC1540" s="119">
        <v>2024700</v>
      </c>
      <c r="AD1540" s="36">
        <f t="shared" si="180"/>
        <v>5500492159</v>
      </c>
      <c r="AE1540" s="36" t="str">
        <f t="shared" si="181"/>
        <v>R900601576 - 519</v>
      </c>
      <c r="AF1540" s="36">
        <v>40</v>
      </c>
      <c r="AG1540" s="120">
        <f t="shared" si="179"/>
        <v>496</v>
      </c>
      <c r="AH1540" s="36"/>
      <c r="AI1540" s="124"/>
      <c r="AJ1540" s="122" t="s">
        <v>1329</v>
      </c>
      <c r="AK1540" s="129" t="str">
        <f t="shared" ca="1" si="178"/>
        <v>Late</v>
      </c>
      <c r="AL1540" s="268" t="str">
        <f t="shared" si="177"/>
        <v>April</v>
      </c>
      <c r="AM1540" s="133">
        <f>YEAR(Table1[[#This Row],[ETA
As requested
dd.mm.yyyy]])</f>
        <v>2024</v>
      </c>
    </row>
    <row r="1541" spans="1:39" hidden="1">
      <c r="A1541" s="123" t="s">
        <v>25</v>
      </c>
      <c r="B1541" s="36" t="s">
        <v>1170</v>
      </c>
      <c r="C1541" s="117">
        <v>5500492159</v>
      </c>
      <c r="D1541" s="165">
        <v>45439</v>
      </c>
      <c r="E1541" s="117" t="s">
        <v>1032</v>
      </c>
      <c r="F1541" s="36" t="str">
        <f>IFERROR(VLOOKUP(Table1[[#This Row],[Part Number]],DATABASE_FG!$C$6:D11530,2,FALSE)," ")</f>
        <v>THROTTLE SCREW     2FRM 10-3X/</v>
      </c>
      <c r="G1541" s="117" t="str">
        <f>IFERROR(_xlfn.XLOOKUP(Table1[[#This Row],[Part Number]],Table3[Part number],Table3[Drawing
 Revision]),"")</f>
        <v>AI</v>
      </c>
      <c r="H1541" s="118" cm="1">
        <f t="array" ref="H1541">IFERROR(INDEX(PDB!$C:$AT,MATCH(E1541,PDB!$B:$B,0),MATCH(YEAR(K1541),0+PDB!$C$1:$AT$1,0)),"")</f>
        <v>12.4</v>
      </c>
      <c r="I1541" s="36">
        <v>340</v>
      </c>
      <c r="J1541" s="125">
        <f>IFERROR(Table1[[#This Row],[Quantity]]*Table1[[#This Row],[Price/Unit
EUR]]," ")</f>
        <v>4216</v>
      </c>
      <c r="K1541" s="126">
        <v>45408</v>
      </c>
      <c r="L1541" s="36">
        <f>WEEKNUM(Table1[[#This Row],[ETA
As requested
dd.mm.yyyy]])</f>
        <v>17</v>
      </c>
      <c r="M1541" s="36">
        <f>YEAR(Table1[[#This Row],[ETA
As requested
dd.mm.yyyy]])</f>
        <v>2024</v>
      </c>
      <c r="N1541" s="36">
        <f>IFERROR(INDEX(DATABASE_FG!$H$5:$H$367, MATCH(E1541, DATABASE_FG!$C$5:$C$367, 0)), " ")</f>
        <v>47</v>
      </c>
      <c r="O1541" s="129" t="str">
        <f>IF(E1541&lt;&gt;"", _xlfn.XLOOKUP(E1541, DATABASE_FG!C:C, DATABASE_FG!F:F), " ")</f>
        <v>Drosselboltzen</v>
      </c>
      <c r="P1541" s="129">
        <f>IFERROR(INDEX(DATABASE_FG!$G$5:$G$367, MATCH(E1541, DATABASE_FG!$C$5:$C$367, 0)), "Not Found")</f>
        <v>340</v>
      </c>
      <c r="Q1541" s="36">
        <v>42</v>
      </c>
      <c r="R1541" s="125" t="s">
        <v>678</v>
      </c>
      <c r="S1541" s="123">
        <f>IFERROR(INDEX(DATABASE_FG!$L$5:$L$367, MATCH(E1541, DATABASE_FG!$C$5:$C$367, 0)), " ")</f>
        <v>40</v>
      </c>
      <c r="T1541" s="36" t="s">
        <v>677</v>
      </c>
      <c r="U1541" s="36"/>
      <c r="V1541" s="36"/>
      <c r="W1541" s="129"/>
      <c r="X1541" s="36"/>
      <c r="Y1541" s="36"/>
      <c r="Z1541" s="36">
        <v>241511</v>
      </c>
      <c r="AA1541" s="125" t="s">
        <v>121</v>
      </c>
      <c r="AB1541" s="173">
        <v>45464</v>
      </c>
      <c r="AC1541" s="119">
        <v>2024700</v>
      </c>
      <c r="AD1541" s="36">
        <f t="shared" si="180"/>
        <v>5500492159</v>
      </c>
      <c r="AE1541" s="36" t="str">
        <f t="shared" si="181"/>
        <v>R900601576 - 519</v>
      </c>
      <c r="AF1541" s="36">
        <v>96</v>
      </c>
      <c r="AG1541" s="120">
        <f t="shared" si="179"/>
        <v>1190.4000000000001</v>
      </c>
      <c r="AH1541" s="36"/>
      <c r="AI1541" s="124"/>
      <c r="AJ1541" s="122" t="s">
        <v>1329</v>
      </c>
      <c r="AK1541" s="129" t="str">
        <f t="shared" ca="1" si="178"/>
        <v>Late</v>
      </c>
      <c r="AL1541" s="268" t="str">
        <f t="shared" si="177"/>
        <v>April</v>
      </c>
      <c r="AM1541" s="133">
        <f>YEAR(Table1[[#This Row],[ETA
As requested
dd.mm.yyyy]])</f>
        <v>2024</v>
      </c>
    </row>
    <row r="1542" spans="1:39" hidden="1">
      <c r="A1542" s="123" t="s">
        <v>25</v>
      </c>
      <c r="B1542" s="36" t="s">
        <v>1170</v>
      </c>
      <c r="C1542" s="117">
        <v>5500492159</v>
      </c>
      <c r="D1542" s="165">
        <v>45439</v>
      </c>
      <c r="E1542" s="117" t="s">
        <v>1032</v>
      </c>
      <c r="F1542" s="36" t="str">
        <f>IFERROR(VLOOKUP(Table1[[#This Row],[Part Number]],DATABASE_FG!$C$6:D11531,2,FALSE)," ")</f>
        <v>THROTTLE SCREW     2FRM 10-3X/</v>
      </c>
      <c r="G1542" s="117" t="str">
        <f>IFERROR(_xlfn.XLOOKUP(Table1[[#This Row],[Part Number]],Table3[Part number],Table3[Drawing
 Revision]),"")</f>
        <v>AI</v>
      </c>
      <c r="H1542" s="118" cm="1">
        <f t="array" ref="H1542">IFERROR(INDEX(PDB!$C:$AT,MATCH(E1542,PDB!$B:$B,0),MATCH(YEAR(K1542),0+PDB!$C$1:$AT$1,0)),"")</f>
        <v>12.4</v>
      </c>
      <c r="I1542" s="36"/>
      <c r="J1542" s="125">
        <f>IFERROR(Table1[[#This Row],[Quantity]]*Table1[[#This Row],[Price/Unit
EUR]]," ")</f>
        <v>0</v>
      </c>
      <c r="K1542" s="126">
        <v>45408</v>
      </c>
      <c r="L1542" s="36">
        <f>WEEKNUM(Table1[[#This Row],[ETA
As requested
dd.mm.yyyy]])</f>
        <v>17</v>
      </c>
      <c r="M1542" s="36">
        <f>YEAR(Table1[[#This Row],[ETA
As requested
dd.mm.yyyy]])</f>
        <v>2024</v>
      </c>
      <c r="N1542" s="36">
        <f>IFERROR(INDEX(DATABASE_FG!$H$5:$H$367, MATCH(E1542, DATABASE_FG!$C$5:$C$367, 0)), " ")</f>
        <v>47</v>
      </c>
      <c r="O1542" s="129" t="str">
        <f>IF(E1542&lt;&gt;"", _xlfn.XLOOKUP(E1542, DATABASE_FG!C:C, DATABASE_FG!F:F), " ")</f>
        <v>Drosselboltzen</v>
      </c>
      <c r="P1542" s="129">
        <f>IFERROR(INDEX(DATABASE_FG!$G$5:$G$367, MATCH(E1542, DATABASE_FG!$C$5:$C$367, 0)), "Not Found")</f>
        <v>340</v>
      </c>
      <c r="Q1542" s="36"/>
      <c r="R1542" s="125"/>
      <c r="S1542" s="123">
        <f>Table1[[#This Row],[Quantity]]/48</f>
        <v>0</v>
      </c>
      <c r="T1542" s="36"/>
      <c r="U1542" s="36"/>
      <c r="V1542" s="36"/>
      <c r="W1542" s="129"/>
      <c r="X1542" s="36"/>
      <c r="Y1542" s="36"/>
      <c r="Z1542" s="36"/>
      <c r="AA1542" s="125" t="s">
        <v>121</v>
      </c>
      <c r="AB1542" s="173">
        <v>45469</v>
      </c>
      <c r="AC1542" s="119">
        <v>2024729</v>
      </c>
      <c r="AD1542" s="36">
        <f t="shared" si="180"/>
        <v>5500492159</v>
      </c>
      <c r="AE1542" s="36" t="str">
        <f t="shared" si="181"/>
        <v>R900601576 - 519</v>
      </c>
      <c r="AF1542" s="36">
        <v>217</v>
      </c>
      <c r="AG1542" s="120">
        <f t="shared" si="179"/>
        <v>2690.8</v>
      </c>
      <c r="AH1542" s="36"/>
      <c r="AI1542" s="124"/>
      <c r="AJ1542" s="122" t="s">
        <v>1409</v>
      </c>
      <c r="AK1542" s="129" t="str">
        <f t="shared" ca="1" si="178"/>
        <v>Late</v>
      </c>
      <c r="AL1542" s="268" t="str">
        <f t="shared" si="177"/>
        <v>April</v>
      </c>
      <c r="AM1542" s="133">
        <f>YEAR(Table1[[#This Row],[ETA
As requested
dd.mm.yyyy]])</f>
        <v>2024</v>
      </c>
    </row>
    <row r="1543" spans="1:39" hidden="1">
      <c r="A1543" s="123" t="s">
        <v>25</v>
      </c>
      <c r="B1543" s="36" t="s">
        <v>1170</v>
      </c>
      <c r="C1543" s="117">
        <v>5500492159</v>
      </c>
      <c r="D1543" s="165">
        <v>45439</v>
      </c>
      <c r="E1543" s="117" t="s">
        <v>1032</v>
      </c>
      <c r="F1543" s="36" t="str">
        <f>IFERROR(VLOOKUP(Table1[[#This Row],[Part Number]],DATABASE_FG!$C$6:D11532,2,FALSE)," ")</f>
        <v>THROTTLE SCREW     2FRM 10-3X/</v>
      </c>
      <c r="G1543" s="117" t="str">
        <f>IFERROR(_xlfn.XLOOKUP(Table1[[#This Row],[Part Number]],Table3[Part number],Table3[Drawing
 Revision]),"")</f>
        <v>AI</v>
      </c>
      <c r="H1543" s="118" cm="1">
        <f t="array" ref="H1543">IFERROR(INDEX(PDB!$C:$AT,MATCH(E1543,PDB!$B:$B,0),MATCH(YEAR(K1543),0+PDB!$C$1:$AT$1,0)),"")</f>
        <v>12.4</v>
      </c>
      <c r="I1543" s="36"/>
      <c r="J1543" s="125">
        <f>IFERROR(Table1[[#This Row],[Quantity]]*Table1[[#This Row],[Price/Unit
EUR]]," ")</f>
        <v>0</v>
      </c>
      <c r="K1543" s="126">
        <v>45408</v>
      </c>
      <c r="L1543" s="36">
        <f>WEEKNUM(Table1[[#This Row],[ETA
As requested
dd.mm.yyyy]])</f>
        <v>17</v>
      </c>
      <c r="M1543" s="36">
        <f>YEAR(Table1[[#This Row],[ETA
As requested
dd.mm.yyyy]])</f>
        <v>2024</v>
      </c>
      <c r="N1543" s="36">
        <f>IFERROR(INDEX(DATABASE_FG!$H$5:$H$367, MATCH(E1543, DATABASE_FG!$C$5:$C$367, 0)), " ")</f>
        <v>47</v>
      </c>
      <c r="O1543" s="129" t="str">
        <f>IF(E1543&lt;&gt;"", _xlfn.XLOOKUP(E1543, DATABASE_FG!C:C, DATABASE_FG!F:F), " ")</f>
        <v>Drosselboltzen</v>
      </c>
      <c r="P1543" s="129">
        <f>IFERROR(INDEX(DATABASE_FG!$G$5:$G$367, MATCH(E1543, DATABASE_FG!$C$5:$C$367, 0)), "Not Found")</f>
        <v>340</v>
      </c>
      <c r="Q1543" s="36"/>
      <c r="R1543" s="125"/>
      <c r="S1543" s="123">
        <f>Table1[[#This Row],[Quantity]]/48</f>
        <v>0</v>
      </c>
      <c r="T1543" s="36"/>
      <c r="U1543" s="36"/>
      <c r="V1543" s="36"/>
      <c r="W1543" s="129"/>
      <c r="X1543" s="36"/>
      <c r="Y1543" s="36"/>
      <c r="Z1543" s="36"/>
      <c r="AA1543" s="125" t="s">
        <v>121</v>
      </c>
      <c r="AB1543" s="173">
        <v>45485</v>
      </c>
      <c r="AC1543" s="119">
        <v>2024841</v>
      </c>
      <c r="AD1543" s="36">
        <f t="shared" si="180"/>
        <v>5500492159</v>
      </c>
      <c r="AE1543" s="36" t="str">
        <f t="shared" si="181"/>
        <v>R900601576 - 519</v>
      </c>
      <c r="AF1543" s="36">
        <v>27</v>
      </c>
      <c r="AG1543" s="120">
        <f t="shared" si="179"/>
        <v>334.8</v>
      </c>
      <c r="AH1543" s="36"/>
      <c r="AI1543" s="124"/>
      <c r="AJ1543" s="122" t="s">
        <v>1410</v>
      </c>
      <c r="AK1543" s="129" t="str">
        <f t="shared" ca="1" si="178"/>
        <v>Late</v>
      </c>
      <c r="AL1543" s="268" t="str">
        <f t="shared" si="177"/>
        <v>April</v>
      </c>
      <c r="AM1543" s="133">
        <f>YEAR(Table1[[#This Row],[ETA
As requested
dd.mm.yyyy]])</f>
        <v>2024</v>
      </c>
    </row>
    <row r="1544" spans="1:39" hidden="1">
      <c r="A1544" s="123" t="s">
        <v>25</v>
      </c>
      <c r="B1544" s="36" t="s">
        <v>1170</v>
      </c>
      <c r="C1544" s="117">
        <v>5500492159</v>
      </c>
      <c r="D1544" s="165">
        <v>45439</v>
      </c>
      <c r="E1544" s="117" t="s">
        <v>1032</v>
      </c>
      <c r="F1544" s="36" t="str">
        <f>IFERROR(VLOOKUP(Table1[[#This Row],[Part Number]],DATABASE_FG!$C$6:D11533,2,FALSE)," ")</f>
        <v>THROTTLE SCREW     2FRM 10-3X/</v>
      </c>
      <c r="G1544" s="117" t="str">
        <f>IFERROR(_xlfn.XLOOKUP(Table1[[#This Row],[Part Number]],Table3[Part number],Table3[Drawing
 Revision]),"")</f>
        <v>AI</v>
      </c>
      <c r="H1544" s="118" cm="1">
        <f t="array" ref="H1544">IFERROR(INDEX(PDB!$C:$AT,MATCH(E1544,PDB!$B:$B,0),MATCH(YEAR(K1544),0+PDB!$C$1:$AT$1,0)),"")</f>
        <v>12.4</v>
      </c>
      <c r="I1544" s="36">
        <v>340</v>
      </c>
      <c r="J1544" s="125">
        <f>IFERROR(Table1[[#This Row],[Quantity]]*Table1[[#This Row],[Price/Unit
EUR]]," ")</f>
        <v>4216</v>
      </c>
      <c r="K1544" s="126">
        <v>45443</v>
      </c>
      <c r="L1544" s="36">
        <f>WEEKNUM(Table1[[#This Row],[ETA
As requested
dd.mm.yyyy]])</f>
        <v>22</v>
      </c>
      <c r="M1544" s="36">
        <f>YEAR(Table1[[#This Row],[ETA
As requested
dd.mm.yyyy]])</f>
        <v>2024</v>
      </c>
      <c r="N1544" s="36">
        <f>IFERROR(INDEX(DATABASE_FG!$H$5:$H$367, MATCH(E1544, DATABASE_FG!$C$5:$C$367, 0)), " ")</f>
        <v>47</v>
      </c>
      <c r="O1544" s="129" t="str">
        <f>IF(E1544&lt;&gt;"", _xlfn.XLOOKUP(E1544, DATABASE_FG!C:C, DATABASE_FG!F:F), " ")</f>
        <v>Drosselboltzen</v>
      </c>
      <c r="P1544" s="129">
        <f>IFERROR(INDEX(DATABASE_FG!$G$5:$G$367, MATCH(E1544, DATABASE_FG!$C$5:$C$367, 0)), "Not Found")</f>
        <v>340</v>
      </c>
      <c r="Q1544" s="36">
        <v>42</v>
      </c>
      <c r="R1544" s="125" t="s">
        <v>678</v>
      </c>
      <c r="S1544" s="123">
        <f>IFERROR(INDEX(DATABASE_FG!$L$5:$L$367, MATCH(E1544, DATABASE_FG!$C$5:$C$367, 0)), " ")</f>
        <v>40</v>
      </c>
      <c r="T1544" s="36" t="s">
        <v>677</v>
      </c>
      <c r="U1544" s="36"/>
      <c r="V1544" s="36"/>
      <c r="W1544" s="129"/>
      <c r="X1544" s="36"/>
      <c r="Y1544" s="36"/>
      <c r="Z1544" s="36" t="s">
        <v>1591</v>
      </c>
      <c r="AA1544" s="125" t="s">
        <v>121</v>
      </c>
      <c r="AB1544" s="173">
        <v>45485</v>
      </c>
      <c r="AC1544" s="119">
        <v>2024841</v>
      </c>
      <c r="AD1544" s="36">
        <f t="shared" si="180"/>
        <v>5500492159</v>
      </c>
      <c r="AE1544" s="36" t="str">
        <f t="shared" si="181"/>
        <v>R900601576 - 519</v>
      </c>
      <c r="AF1544" s="36">
        <v>180</v>
      </c>
      <c r="AG1544" s="120">
        <f t="shared" si="179"/>
        <v>2232</v>
      </c>
      <c r="AH1544" s="36"/>
      <c r="AI1544" s="124"/>
      <c r="AJ1544" s="122" t="s">
        <v>1410</v>
      </c>
      <c r="AK1544" s="129" t="str">
        <f t="shared" ca="1" si="178"/>
        <v>Late</v>
      </c>
      <c r="AL1544" s="268" t="str">
        <f t="shared" si="177"/>
        <v>May</v>
      </c>
      <c r="AM1544" s="133">
        <f>YEAR(Table1[[#This Row],[ETA
As requested
dd.mm.yyyy]])</f>
        <v>2024</v>
      </c>
    </row>
    <row r="1545" spans="1:39" hidden="1">
      <c r="A1545" s="123" t="s">
        <v>25</v>
      </c>
      <c r="B1545" s="36" t="s">
        <v>1170</v>
      </c>
      <c r="C1545" s="117">
        <v>5500492159</v>
      </c>
      <c r="D1545" s="165">
        <v>45439</v>
      </c>
      <c r="E1545" s="117" t="s">
        <v>1032</v>
      </c>
      <c r="F1545" s="36" t="str">
        <f>IFERROR(VLOOKUP(Table1[[#This Row],[Part Number]],DATABASE_FG!$C$6:D11534,2,FALSE)," ")</f>
        <v>THROTTLE SCREW     2FRM 10-3X/</v>
      </c>
      <c r="G1545" s="117" t="str">
        <f>IFERROR(_xlfn.XLOOKUP(Table1[[#This Row],[Part Number]],Table3[Part number],Table3[Drawing
 Revision]),"")</f>
        <v>AI</v>
      </c>
      <c r="H1545" s="118" cm="1">
        <f t="array" ref="H1545">IFERROR(INDEX(PDB!$C:$AT,MATCH(E1545,PDB!$B:$B,0),MATCH(YEAR(K1545),0+PDB!$C$1:$AT$1,0)),"")</f>
        <v>12.4</v>
      </c>
      <c r="I1545" s="36"/>
      <c r="J1545" s="125">
        <f>IFERROR(Table1[[#This Row],[Quantity]]*Table1[[#This Row],[Price/Unit
EUR]]," ")</f>
        <v>0</v>
      </c>
      <c r="K1545" s="126">
        <v>45443</v>
      </c>
      <c r="L1545" s="36">
        <f>WEEKNUM(Table1[[#This Row],[ETA
As requested
dd.mm.yyyy]])</f>
        <v>22</v>
      </c>
      <c r="M1545" s="36">
        <f>YEAR(Table1[[#This Row],[ETA
As requested
dd.mm.yyyy]])</f>
        <v>2024</v>
      </c>
      <c r="N1545" s="36">
        <f>IFERROR(INDEX(DATABASE_FG!$H$5:$H$367, MATCH(E1545, DATABASE_FG!$C$5:$C$367, 0)), " ")</f>
        <v>47</v>
      </c>
      <c r="O1545" s="129" t="str">
        <f>IF(E1545&lt;&gt;"", _xlfn.XLOOKUP(E1545, DATABASE_FG!C:C, DATABASE_FG!F:F), " ")</f>
        <v>Drosselboltzen</v>
      </c>
      <c r="P1545" s="129">
        <f>IFERROR(INDEX(DATABASE_FG!$G$5:$G$367, MATCH(E1545, DATABASE_FG!$C$5:$C$367, 0)), "Not Found")</f>
        <v>340</v>
      </c>
      <c r="Q1545" s="36"/>
      <c r="R1545" s="125"/>
      <c r="S1545" s="123">
        <f>Table1[[#This Row],[Quantity]]/48</f>
        <v>0</v>
      </c>
      <c r="T1545" s="36"/>
      <c r="U1545" s="36"/>
      <c r="V1545" s="36"/>
      <c r="W1545" s="129"/>
      <c r="X1545" s="36"/>
      <c r="Y1545" s="36"/>
      <c r="Z1545" s="36"/>
      <c r="AA1545" s="125" t="s">
        <v>121</v>
      </c>
      <c r="AB1545" s="173">
        <v>45490</v>
      </c>
      <c r="AC1545" s="119">
        <v>2024861</v>
      </c>
      <c r="AD1545" s="36">
        <f t="shared" si="180"/>
        <v>5500492159</v>
      </c>
      <c r="AE1545" s="36" t="str">
        <f t="shared" si="181"/>
        <v>R900601576 - 519</v>
      </c>
      <c r="AF1545" s="36">
        <v>140</v>
      </c>
      <c r="AG1545" s="120">
        <f t="shared" si="179"/>
        <v>1736</v>
      </c>
      <c r="AH1545" s="36"/>
      <c r="AI1545" s="124"/>
      <c r="AJ1545" s="122" t="s">
        <v>1592</v>
      </c>
      <c r="AK1545" s="129" t="str">
        <f t="shared" ca="1" si="178"/>
        <v>Late</v>
      </c>
      <c r="AL1545" s="268" t="str">
        <f t="shared" si="177"/>
        <v>May</v>
      </c>
      <c r="AM1545" s="133">
        <f>YEAR(Table1[[#This Row],[ETA
As requested
dd.mm.yyyy]])</f>
        <v>2024</v>
      </c>
    </row>
    <row r="1546" spans="1:39" hidden="1">
      <c r="A1546" s="123" t="s">
        <v>25</v>
      </c>
      <c r="B1546" s="36" t="s">
        <v>1170</v>
      </c>
      <c r="C1546" s="117">
        <v>5500492159</v>
      </c>
      <c r="D1546" s="165">
        <v>45439</v>
      </c>
      <c r="E1546" s="117" t="s">
        <v>1032</v>
      </c>
      <c r="F1546" s="36" t="str">
        <f>IFERROR(VLOOKUP(Table1[[#This Row],[Part Number]],DATABASE_FG!$C$6:D11535,2,FALSE)," ")</f>
        <v>THROTTLE SCREW     2FRM 10-3X/</v>
      </c>
      <c r="G1546" s="117" t="str">
        <f>IFERROR(_xlfn.XLOOKUP(Table1[[#This Row],[Part Number]],Table3[Part number],Table3[Drawing
 Revision]),"")</f>
        <v>AI</v>
      </c>
      <c r="H1546" s="118" cm="1">
        <f t="array" ref="H1546">IFERROR(INDEX(PDB!$C:$AT,MATCH(E1546,PDB!$B:$B,0),MATCH(YEAR(K1546),0+PDB!$C$1:$AT$1,0)),"")</f>
        <v>12.4</v>
      </c>
      <c r="I1546" s="36"/>
      <c r="J1546" s="125">
        <f>IFERROR(Table1[[#This Row],[Quantity]]*Table1[[#This Row],[Price/Unit
EUR]]," ")</f>
        <v>0</v>
      </c>
      <c r="K1546" s="126">
        <v>45443</v>
      </c>
      <c r="L1546" s="36">
        <f>WEEKNUM(Table1[[#This Row],[ETA
As requested
dd.mm.yyyy]])</f>
        <v>22</v>
      </c>
      <c r="M1546" s="36">
        <f>YEAR(Table1[[#This Row],[ETA
As requested
dd.mm.yyyy]])</f>
        <v>2024</v>
      </c>
      <c r="N1546" s="36">
        <f>IFERROR(INDEX(DATABASE_FG!$H$5:$H$367, MATCH(E1546, DATABASE_FG!$C$5:$C$367, 0)), " ")</f>
        <v>47</v>
      </c>
      <c r="O1546" s="129" t="str">
        <f>IF(E1546&lt;&gt;"", _xlfn.XLOOKUP(E1546, DATABASE_FG!C:C, DATABASE_FG!F:F), " ")</f>
        <v>Drosselboltzen</v>
      </c>
      <c r="P1546" s="129">
        <f>IFERROR(INDEX(DATABASE_FG!$G$5:$G$367, MATCH(E1546, DATABASE_FG!$C$5:$C$367, 0)), "Not Found")</f>
        <v>340</v>
      </c>
      <c r="Q1546" s="36"/>
      <c r="R1546" s="125"/>
      <c r="S1546" s="123">
        <f>Table1[[#This Row],[Quantity]]/48</f>
        <v>0</v>
      </c>
      <c r="T1546" s="36"/>
      <c r="U1546" s="36"/>
      <c r="V1546" s="36"/>
      <c r="W1546" s="129"/>
      <c r="X1546" s="36"/>
      <c r="Y1546" s="36"/>
      <c r="Z1546" s="36"/>
      <c r="AA1546" s="125" t="s">
        <v>121</v>
      </c>
      <c r="AB1546" s="173">
        <v>45495</v>
      </c>
      <c r="AC1546" s="119">
        <v>2024889</v>
      </c>
      <c r="AD1546" s="36">
        <f t="shared" si="180"/>
        <v>5500492159</v>
      </c>
      <c r="AE1546" s="36" t="str">
        <f t="shared" si="181"/>
        <v>R900601576 - 519</v>
      </c>
      <c r="AF1546" s="36">
        <v>20</v>
      </c>
      <c r="AG1546" s="120">
        <f t="shared" si="179"/>
        <v>248</v>
      </c>
      <c r="AH1546" s="36"/>
      <c r="AI1546" s="124"/>
      <c r="AJ1546" s="122" t="s">
        <v>1593</v>
      </c>
      <c r="AK1546" s="129" t="str">
        <f t="shared" ca="1" si="178"/>
        <v>Late</v>
      </c>
      <c r="AL1546" s="268" t="str">
        <f t="shared" si="177"/>
        <v>May</v>
      </c>
      <c r="AM1546" s="133">
        <f>YEAR(Table1[[#This Row],[ETA
As requested
dd.mm.yyyy]])</f>
        <v>2024</v>
      </c>
    </row>
    <row r="1547" spans="1:39" ht="15.75" hidden="1">
      <c r="A1547" s="123" t="s">
        <v>25</v>
      </c>
      <c r="B1547" s="36" t="s">
        <v>1170</v>
      </c>
      <c r="C1547" s="117">
        <v>5500492159</v>
      </c>
      <c r="D1547" s="165">
        <v>45439</v>
      </c>
      <c r="E1547" s="117" t="s">
        <v>1032</v>
      </c>
      <c r="F1547" s="36" t="str">
        <f>IFERROR(VLOOKUP(Table1[[#This Row],[Part Number]],DATABASE_FG!$C$6:D11536,2,FALSE)," ")</f>
        <v>THROTTLE SCREW     2FRM 10-3X/</v>
      </c>
      <c r="G1547" s="117" t="str">
        <f>IFERROR(_xlfn.XLOOKUP(Table1[[#This Row],[Part Number]],Table3[Part number],Table3[Drawing
 Revision]),"")</f>
        <v>AI</v>
      </c>
      <c r="H1547" s="118" cm="1">
        <f t="array" ref="H1547">IFERROR(INDEX(PDB!$C:$AT,MATCH(E1547,PDB!$B:$B,0),MATCH(YEAR(K1547),0+PDB!$C$1:$AT$1,0)),"")</f>
        <v>12.4</v>
      </c>
      <c r="I1547" s="36">
        <v>340</v>
      </c>
      <c r="J1547" s="125">
        <f>IFERROR(Table1[[#This Row],[Quantity]]*Table1[[#This Row],[Price/Unit
EUR]]," ")</f>
        <v>4216</v>
      </c>
      <c r="K1547" s="126">
        <v>45478</v>
      </c>
      <c r="L1547" s="36">
        <f>WEEKNUM(Table1[[#This Row],[ETA
As requested
dd.mm.yyyy]])</f>
        <v>27</v>
      </c>
      <c r="M1547" s="36">
        <f>YEAR(Table1[[#This Row],[ETA
As requested
dd.mm.yyyy]])</f>
        <v>2024</v>
      </c>
      <c r="N1547" s="36">
        <f>IFERROR(INDEX(DATABASE_FG!$H$5:$H$367, MATCH(E1547, DATABASE_FG!$C$5:$C$367, 0)), " ")</f>
        <v>47</v>
      </c>
      <c r="O1547" s="129" t="str">
        <f>IF(E1547&lt;&gt;"", _xlfn.XLOOKUP(E1547, DATABASE_FG!C:C, DATABASE_FG!F:F), " ")</f>
        <v>Drosselboltzen</v>
      </c>
      <c r="P1547" s="129">
        <f>IFERROR(INDEX(DATABASE_FG!$G$5:$G$367, MATCH(E1547, DATABASE_FG!$C$5:$C$367, 0)), "Not Found")</f>
        <v>340</v>
      </c>
      <c r="Q1547" s="36">
        <v>42</v>
      </c>
      <c r="R1547" s="125" t="s">
        <v>678</v>
      </c>
      <c r="S1547" s="123">
        <f>IFERROR(INDEX(DATABASE_FG!$L$5:$L$367, MATCH(E1547, DATABASE_FG!$C$5:$C$367, 0)), " ")</f>
        <v>40</v>
      </c>
      <c r="T1547" s="36" t="s">
        <v>677</v>
      </c>
      <c r="U1547" s="36"/>
      <c r="V1547" s="36"/>
      <c r="W1547" s="129"/>
      <c r="X1547" s="36"/>
      <c r="Y1547" s="36"/>
      <c r="Z1547" s="36">
        <v>242103</v>
      </c>
      <c r="AA1547" s="125" t="s">
        <v>121</v>
      </c>
      <c r="AB1547" s="173">
        <v>45495</v>
      </c>
      <c r="AC1547" s="119">
        <v>2024889</v>
      </c>
      <c r="AD1547" s="36">
        <f t="shared" si="180"/>
        <v>5500492159</v>
      </c>
      <c r="AE1547" s="36" t="str">
        <f t="shared" si="181"/>
        <v>R900601576 - 519</v>
      </c>
      <c r="AF1547" s="36">
        <f>328-245</f>
        <v>83</v>
      </c>
      <c r="AG1547" s="120">
        <f t="shared" si="179"/>
        <v>1029.2</v>
      </c>
      <c r="AH1547" s="36"/>
      <c r="AI1547" s="124" t="s">
        <v>1790</v>
      </c>
      <c r="AJ1547" s="122" t="s">
        <v>1791</v>
      </c>
      <c r="AK1547" s="129" t="str">
        <f t="shared" ca="1" si="178"/>
        <v>Late</v>
      </c>
      <c r="AL1547" s="268" t="str">
        <f t="shared" si="177"/>
        <v>July</v>
      </c>
      <c r="AM1547" s="133">
        <f>YEAR(Table1[[#This Row],[ETA
As requested
dd.mm.yyyy]])</f>
        <v>2024</v>
      </c>
    </row>
    <row r="1548" spans="1:39" hidden="1">
      <c r="A1548" s="123" t="s">
        <v>25</v>
      </c>
      <c r="B1548" s="36" t="s">
        <v>1170</v>
      </c>
      <c r="C1548" s="117">
        <v>5500492159</v>
      </c>
      <c r="D1548" s="165">
        <v>45439</v>
      </c>
      <c r="E1548" s="117" t="s">
        <v>1032</v>
      </c>
      <c r="F1548" s="36" t="str">
        <f>IFERROR(VLOOKUP(Table1[[#This Row],[Part Number]],DATABASE_FG!$C$6:D11537,2,FALSE)," ")</f>
        <v>THROTTLE SCREW     2FRM 10-3X/</v>
      </c>
      <c r="G1548" s="117" t="str">
        <f>IFERROR(_xlfn.XLOOKUP(Table1[[#This Row],[Part Number]],Table3[Part number],Table3[Drawing
 Revision]),"")</f>
        <v>AI</v>
      </c>
      <c r="H1548" s="118" cm="1">
        <f t="array" ref="H1548">IFERROR(INDEX(PDB!$C:$AT,MATCH(E1548,PDB!$B:$B,0),MATCH(YEAR(K1548),0+PDB!$C$1:$AT$1,0)),"")</f>
        <v>12.4</v>
      </c>
      <c r="I1548" s="36"/>
      <c r="J1548" s="125">
        <f>IFERROR(Table1[[#This Row],[Quantity]]*Table1[[#This Row],[Price/Unit
EUR]]," ")</f>
        <v>0</v>
      </c>
      <c r="K1548" s="126">
        <v>45478</v>
      </c>
      <c r="L1548" s="36">
        <f>WEEKNUM(Table1[[#This Row],[ETA
As requested
dd.mm.yyyy]])</f>
        <v>27</v>
      </c>
      <c r="M1548" s="36">
        <f>YEAR(Table1[[#This Row],[ETA
As requested
dd.mm.yyyy]])</f>
        <v>2024</v>
      </c>
      <c r="N1548" s="36">
        <f>IFERROR(INDEX(DATABASE_FG!$H$5:$H$367, MATCH(E1548, DATABASE_FG!$C$5:$C$367, 0)), " ")</f>
        <v>47</v>
      </c>
      <c r="O1548" s="129" t="str">
        <f>IF(E1548&lt;&gt;"", _xlfn.XLOOKUP(E1548, DATABASE_FG!C:C, DATABASE_FG!F:F), " ")</f>
        <v>Drosselboltzen</v>
      </c>
      <c r="P1548" s="129">
        <f>IFERROR(INDEX(DATABASE_FG!$G$5:$G$367, MATCH(E1548, DATABASE_FG!$C$5:$C$367, 0)), "Not Found")</f>
        <v>340</v>
      </c>
      <c r="Q1548" s="36"/>
      <c r="R1548" s="125"/>
      <c r="S1548" s="123">
        <f>IFERROR(INDEX(DATABASE_FG!$L$5:$L$367, MATCH(E1548, DATABASE_FG!$C$5:$C$367, 0)), " ")</f>
        <v>40</v>
      </c>
      <c r="T1548" s="36"/>
      <c r="U1548" s="36"/>
      <c r="V1548" s="36"/>
      <c r="W1548" s="129"/>
      <c r="X1548" s="36"/>
      <c r="Y1548" s="36"/>
      <c r="Z1548" s="36"/>
      <c r="AA1548" s="125" t="s">
        <v>121</v>
      </c>
      <c r="AB1548" s="173">
        <v>45502</v>
      </c>
      <c r="AC1548" s="119">
        <v>2024934</v>
      </c>
      <c r="AD1548" s="36">
        <f t="shared" si="180"/>
        <v>5500492159</v>
      </c>
      <c r="AE1548" s="36" t="str">
        <f t="shared" si="181"/>
        <v>R900601576 - 519</v>
      </c>
      <c r="AF1548" s="36">
        <v>12</v>
      </c>
      <c r="AG1548" s="120">
        <f t="shared" si="179"/>
        <v>148.80000000000001</v>
      </c>
      <c r="AH1548" s="36"/>
      <c r="AI1548" s="124"/>
      <c r="AJ1548" s="122" t="s">
        <v>1792</v>
      </c>
      <c r="AK1548" s="129" t="str">
        <f t="shared" ca="1" si="178"/>
        <v>Late</v>
      </c>
      <c r="AL1548" s="268" t="str">
        <f t="shared" si="177"/>
        <v>July</v>
      </c>
      <c r="AM1548" s="133">
        <f>YEAR(Table1[[#This Row],[ETA
As requested
dd.mm.yyyy]])</f>
        <v>2024</v>
      </c>
    </row>
    <row r="1549" spans="1:39" hidden="1">
      <c r="A1549" s="123" t="s">
        <v>25</v>
      </c>
      <c r="B1549" s="36" t="s">
        <v>1170</v>
      </c>
      <c r="C1549" s="117">
        <v>5500492159</v>
      </c>
      <c r="D1549" s="165">
        <v>45439</v>
      </c>
      <c r="E1549" s="117" t="s">
        <v>1032</v>
      </c>
      <c r="F1549" s="36" t="str">
        <f>IFERROR(VLOOKUP(Table1[[#This Row],[Part Number]],DATABASE_FG!$C$6:D11538,2,FALSE)," ")</f>
        <v>THROTTLE SCREW     2FRM 10-3X/</v>
      </c>
      <c r="G1549" s="117" t="str">
        <f>IFERROR(_xlfn.XLOOKUP(Table1[[#This Row],[Part Number]],Table3[Part number],Table3[Drawing
 Revision]),"")</f>
        <v>AI</v>
      </c>
      <c r="H1549" s="118" cm="1">
        <f t="array" ref="H1549">IFERROR(INDEX(PDB!$C:$AT,MATCH(E1549,PDB!$B:$B,0),MATCH(YEAR(K1549),0+PDB!$C$1:$AT$1,0)),"")</f>
        <v>12.4</v>
      </c>
      <c r="I1549" s="36"/>
      <c r="J1549" s="125">
        <f>IFERROR(Table1[[#This Row],[Quantity]]*Table1[[#This Row],[Price/Unit
EUR]]," ")</f>
        <v>0</v>
      </c>
      <c r="K1549" s="126">
        <v>45478</v>
      </c>
      <c r="L1549" s="36">
        <f>WEEKNUM(Table1[[#This Row],[ETA
As requested
dd.mm.yyyy]])</f>
        <v>27</v>
      </c>
      <c r="M1549" s="36">
        <f>YEAR(Table1[[#This Row],[ETA
As requested
dd.mm.yyyy]])</f>
        <v>2024</v>
      </c>
      <c r="N1549" s="36">
        <f>IFERROR(INDEX(DATABASE_FG!$H$5:$H$367, MATCH(E1549, DATABASE_FG!$C$5:$C$367, 0)), " ")</f>
        <v>47</v>
      </c>
      <c r="O1549" s="129" t="str">
        <f>IF(E1549&lt;&gt;"", _xlfn.XLOOKUP(E1549, DATABASE_FG!C:C, DATABASE_FG!F:F), " ")</f>
        <v>Drosselboltzen</v>
      </c>
      <c r="P1549" s="129">
        <f>IFERROR(INDEX(DATABASE_FG!$G$5:$G$367, MATCH(E1549, DATABASE_FG!$C$5:$C$367, 0)), "Not Found")</f>
        <v>340</v>
      </c>
      <c r="Q1549" s="36"/>
      <c r="R1549" s="125"/>
      <c r="S1549" s="123">
        <f>Table1[[#This Row],[Quantity]]/48</f>
        <v>0</v>
      </c>
      <c r="T1549" s="36"/>
      <c r="U1549" s="36"/>
      <c r="V1549" s="36"/>
      <c r="W1549" s="129"/>
      <c r="X1549" s="36"/>
      <c r="Y1549" s="36"/>
      <c r="Z1549" s="36"/>
      <c r="AA1549" s="125" t="s">
        <v>121</v>
      </c>
      <c r="AB1549" s="173">
        <v>45502</v>
      </c>
      <c r="AC1549" s="119">
        <v>2024934</v>
      </c>
      <c r="AD1549" s="36">
        <f t="shared" si="180"/>
        <v>5500492159</v>
      </c>
      <c r="AE1549" s="36" t="str">
        <f t="shared" si="181"/>
        <v>R900601576 - 519</v>
      </c>
      <c r="AF1549" s="36">
        <f>87+158</f>
        <v>245</v>
      </c>
      <c r="AG1549" s="120">
        <f t="shared" si="179"/>
        <v>3038</v>
      </c>
      <c r="AH1549" s="36"/>
      <c r="AI1549" s="124"/>
      <c r="AJ1549" s="122" t="s">
        <v>1792</v>
      </c>
      <c r="AK1549" s="129" t="str">
        <f t="shared" ca="1" si="178"/>
        <v>Late</v>
      </c>
      <c r="AL1549" s="268" t="str">
        <f t="shared" si="177"/>
        <v>July</v>
      </c>
      <c r="AM1549" s="133">
        <f>YEAR(Table1[[#This Row],[ETA
As requested
dd.mm.yyyy]])</f>
        <v>2024</v>
      </c>
    </row>
    <row r="1550" spans="1:39" hidden="1">
      <c r="A1550" s="123" t="s">
        <v>25</v>
      </c>
      <c r="B1550" s="36" t="s">
        <v>1170</v>
      </c>
      <c r="C1550" s="117">
        <v>5500492159</v>
      </c>
      <c r="D1550" s="165">
        <v>45439</v>
      </c>
      <c r="E1550" s="117" t="s">
        <v>1032</v>
      </c>
      <c r="F1550" s="36" t="str">
        <f>IFERROR(VLOOKUP(Table1[[#This Row],[Part Number]],DATABASE_FG!$C$6:D11539,2,FALSE)," ")</f>
        <v>THROTTLE SCREW     2FRM 10-3X/</v>
      </c>
      <c r="G1550" s="117" t="str">
        <f>IFERROR(_xlfn.XLOOKUP(Table1[[#This Row],[Part Number]],Table3[Part number],Table3[Drawing
 Revision]),"")</f>
        <v>AI</v>
      </c>
      <c r="H1550" s="118" cm="1">
        <f t="array" ref="H1550">IFERROR(INDEX(PDB!$C:$AT,MATCH(E1550,PDB!$B:$B,0),MATCH(YEAR(K1550),0+PDB!$C$1:$AT$1,0)),"")</f>
        <v>12.4</v>
      </c>
      <c r="I1550" s="36">
        <v>340</v>
      </c>
      <c r="J1550" s="125">
        <f>IFERROR(Table1[[#This Row],[Quantity]]*Table1[[#This Row],[Price/Unit
EUR]]," ")</f>
        <v>4216</v>
      </c>
      <c r="K1550" s="126">
        <v>45527</v>
      </c>
      <c r="L1550" s="36">
        <f>WEEKNUM(Table1[[#This Row],[ETA
As requested
dd.mm.yyyy]])</f>
        <v>34</v>
      </c>
      <c r="M1550" s="36">
        <f>YEAR(Table1[[#This Row],[ETA
As requested
dd.mm.yyyy]])</f>
        <v>2024</v>
      </c>
      <c r="N1550" s="36">
        <f>IFERROR(INDEX(DATABASE_FG!$H$5:$H$367, MATCH(E1550, DATABASE_FG!$C$5:$C$367, 0)), " ")</f>
        <v>47</v>
      </c>
      <c r="O1550" s="129" t="str">
        <f>IF(E1550&lt;&gt;"", _xlfn.XLOOKUP(E1550, DATABASE_FG!C:C, DATABASE_FG!F:F), " ")</f>
        <v>Drosselboltzen</v>
      </c>
      <c r="P1550" s="129">
        <f>IFERROR(INDEX(DATABASE_FG!$G$5:$G$367, MATCH(E1550, DATABASE_FG!$C$5:$C$367, 0)), "Not Found")</f>
        <v>340</v>
      </c>
      <c r="Q1550" s="36">
        <v>42</v>
      </c>
      <c r="R1550" s="125" t="s">
        <v>678</v>
      </c>
      <c r="S1550" s="123">
        <f>IFERROR(INDEX(DATABASE_FG!$L$5:$L$367, MATCH(E1550, DATABASE_FG!$C$5:$C$367, 0)), " ")</f>
        <v>40</v>
      </c>
      <c r="T1550" s="36" t="s">
        <v>677</v>
      </c>
      <c r="U1550" s="36"/>
      <c r="V1550" s="36"/>
      <c r="W1550" s="129"/>
      <c r="X1550" s="36"/>
      <c r="Y1550" s="36"/>
      <c r="Z1550" s="36">
        <v>242803</v>
      </c>
      <c r="AA1550" s="125" t="s">
        <v>121</v>
      </c>
      <c r="AB1550" s="173">
        <v>45502</v>
      </c>
      <c r="AC1550" s="119">
        <v>2024934</v>
      </c>
      <c r="AD1550" s="36">
        <f t="shared" si="180"/>
        <v>5500492159</v>
      </c>
      <c r="AE1550" s="36" t="str">
        <f t="shared" si="181"/>
        <v>R900601576 - 519</v>
      </c>
      <c r="AF1550" s="36">
        <f>340-158</f>
        <v>182</v>
      </c>
      <c r="AG1550" s="120">
        <f t="shared" si="179"/>
        <v>2256.8000000000002</v>
      </c>
      <c r="AH1550" s="36"/>
      <c r="AI1550" s="124"/>
      <c r="AJ1550" s="122" t="s">
        <v>1792</v>
      </c>
      <c r="AK1550" s="129" t="str">
        <f t="shared" ca="1" si="178"/>
        <v>On Time</v>
      </c>
      <c r="AL1550" s="268" t="str">
        <f t="shared" si="177"/>
        <v>August</v>
      </c>
      <c r="AM1550" s="133">
        <f>YEAR(Table1[[#This Row],[ETA
As requested
dd.mm.yyyy]])</f>
        <v>2024</v>
      </c>
    </row>
    <row r="1551" spans="1:39" hidden="1">
      <c r="A1551" s="123" t="s">
        <v>25</v>
      </c>
      <c r="B1551" s="36" t="s">
        <v>1170</v>
      </c>
      <c r="C1551" s="117">
        <v>5500492159</v>
      </c>
      <c r="D1551" s="165">
        <v>45439</v>
      </c>
      <c r="E1551" s="117" t="s">
        <v>1032</v>
      </c>
      <c r="F1551" s="36" t="str">
        <f>IFERROR(VLOOKUP(Table1[[#This Row],[Part Number]],DATABASE_FG!$C$6:D11540,2,FALSE)," ")</f>
        <v>THROTTLE SCREW     2FRM 10-3X/</v>
      </c>
      <c r="G1551" s="117" t="str">
        <f>IFERROR(_xlfn.XLOOKUP(Table1[[#This Row],[Part Number]],Table3[Part number],Table3[Drawing
 Revision]),"")</f>
        <v>AI</v>
      </c>
      <c r="H1551" s="118" cm="1">
        <f t="array" ref="H1551">IFERROR(INDEX(PDB!$C:$AT,MATCH(E1551,PDB!$B:$B,0),MATCH(YEAR(K1551),0+PDB!$C$1:$AT$1,0)),"")</f>
        <v>12.4</v>
      </c>
      <c r="I1551" s="36">
        <v>0</v>
      </c>
      <c r="J1551" s="125">
        <f>IFERROR(Table1[[#This Row],[Quantity]]*Table1[[#This Row],[Price/Unit
EUR]]," ")</f>
        <v>0</v>
      </c>
      <c r="K1551" s="126">
        <v>45527</v>
      </c>
      <c r="L1551" s="36">
        <f>WEEKNUM(Table1[[#This Row],[ETA
As requested
dd.mm.yyyy]])</f>
        <v>34</v>
      </c>
      <c r="M1551" s="36">
        <f>YEAR(Table1[[#This Row],[ETA
As requested
dd.mm.yyyy]])</f>
        <v>2024</v>
      </c>
      <c r="N1551" s="36">
        <f>IFERROR(INDEX(DATABASE_FG!$H$5:$H$367, MATCH(E1551, DATABASE_FG!$C$5:$C$367, 0)), " ")</f>
        <v>47</v>
      </c>
      <c r="O1551" s="129" t="str">
        <f>IF(E1551&lt;&gt;"", _xlfn.XLOOKUP(E1551, DATABASE_FG!C:C, DATABASE_FG!F:F), " ")</f>
        <v>Drosselboltzen</v>
      </c>
      <c r="P1551" s="129">
        <f>IFERROR(INDEX(DATABASE_FG!$G$5:$G$367, MATCH(E1551, DATABASE_FG!$C$5:$C$367, 0)), "Not Found")</f>
        <v>340</v>
      </c>
      <c r="Q1551" s="36"/>
      <c r="R1551" s="125"/>
      <c r="S1551" s="123">
        <f>Table1[[#This Row],[Quantity]]/48</f>
        <v>0</v>
      </c>
      <c r="T1551" s="36"/>
      <c r="U1551" s="36"/>
      <c r="V1551" s="36"/>
      <c r="W1551" s="129"/>
      <c r="X1551" s="36"/>
      <c r="Y1551" s="36"/>
      <c r="Z1551" s="36"/>
      <c r="AA1551" s="125" t="s">
        <v>121</v>
      </c>
      <c r="AB1551" s="173">
        <v>45551</v>
      </c>
      <c r="AC1551" s="119">
        <v>202401137</v>
      </c>
      <c r="AD1551" s="36">
        <f t="shared" si="180"/>
        <v>5500492159</v>
      </c>
      <c r="AE1551" s="36" t="str">
        <f t="shared" si="181"/>
        <v>R900601576 - 519</v>
      </c>
      <c r="AF1551" s="36">
        <v>63</v>
      </c>
      <c r="AG1551" s="120">
        <f t="shared" si="179"/>
        <v>781.2</v>
      </c>
      <c r="AH1551" s="36"/>
      <c r="AI1551" s="124"/>
      <c r="AJ1551" s="122" t="s">
        <v>2119</v>
      </c>
      <c r="AK1551" s="129" t="str">
        <f t="shared" ca="1" si="178"/>
        <v>Late</v>
      </c>
      <c r="AL1551" s="268" t="str">
        <f t="shared" si="177"/>
        <v>August</v>
      </c>
      <c r="AM1551" s="133">
        <f>YEAR(Table1[[#This Row],[ETA
As requested
dd.mm.yyyy]])</f>
        <v>2024</v>
      </c>
    </row>
    <row r="1552" spans="1:39" hidden="1">
      <c r="A1552" s="123" t="s">
        <v>25</v>
      </c>
      <c r="B1552" s="36" t="s">
        <v>1170</v>
      </c>
      <c r="C1552" s="117">
        <v>5500492159</v>
      </c>
      <c r="D1552" s="165">
        <v>45439</v>
      </c>
      <c r="E1552" s="117" t="s">
        <v>1032</v>
      </c>
      <c r="F1552" s="36" t="str">
        <f>IFERROR(VLOOKUP(Table1[[#This Row],[Part Number]],DATABASE_FG!$C$6:D11541,2,FALSE)," ")</f>
        <v>THROTTLE SCREW     2FRM 10-3X/</v>
      </c>
      <c r="G1552" s="117" t="str">
        <f>IFERROR(_xlfn.XLOOKUP(Table1[[#This Row],[Part Number]],Table3[Part number],Table3[Drawing
 Revision]),"")</f>
        <v>AI</v>
      </c>
      <c r="H1552" s="118" cm="1">
        <f t="array" ref="H1552">IFERROR(INDEX(PDB!$C:$AT,MATCH(E1552,PDB!$B:$B,0),MATCH(YEAR(K1552),0+PDB!$C$1:$AT$1,0)),"")</f>
        <v>12.4</v>
      </c>
      <c r="I1552" s="36">
        <v>0</v>
      </c>
      <c r="J1552" s="125">
        <f>IFERROR(Table1[[#This Row],[Quantity]]*Table1[[#This Row],[Price/Unit
EUR]]," ")</f>
        <v>0</v>
      </c>
      <c r="K1552" s="126">
        <v>45527</v>
      </c>
      <c r="L1552" s="36">
        <f>WEEKNUM(Table1[[#This Row],[ETA
As requested
dd.mm.yyyy]])</f>
        <v>34</v>
      </c>
      <c r="M1552" s="36">
        <f>YEAR(Table1[[#This Row],[ETA
As requested
dd.mm.yyyy]])</f>
        <v>2024</v>
      </c>
      <c r="N1552" s="36">
        <f>IFERROR(INDEX(DATABASE_FG!$H$5:$H$367, MATCH(E1552, DATABASE_FG!$C$5:$C$367, 0)), " ")</f>
        <v>47</v>
      </c>
      <c r="O1552" s="129" t="str">
        <f>IF(E1552&lt;&gt;"", _xlfn.XLOOKUP(E1552, DATABASE_FG!C:C, DATABASE_FG!F:F), " ")</f>
        <v>Drosselboltzen</v>
      </c>
      <c r="P1552" s="129">
        <f>IFERROR(INDEX(DATABASE_FG!$G$5:$G$367, MATCH(E1552, DATABASE_FG!$C$5:$C$367, 0)), "Not Found")</f>
        <v>340</v>
      </c>
      <c r="Q1552" s="36"/>
      <c r="R1552" s="125"/>
      <c r="S1552" s="123">
        <f>Table1[[#This Row],[Quantity]]/48</f>
        <v>0</v>
      </c>
      <c r="T1552" s="36"/>
      <c r="U1552" s="36"/>
      <c r="V1552" s="36"/>
      <c r="W1552" s="129"/>
      <c r="X1552" s="36"/>
      <c r="Y1552" s="36"/>
      <c r="Z1552" s="36"/>
      <c r="AA1552" s="125" t="s">
        <v>121</v>
      </c>
      <c r="AB1552" s="173">
        <v>45553</v>
      </c>
      <c r="AC1552" s="119">
        <v>202401147</v>
      </c>
      <c r="AD1552" s="36">
        <f t="shared" si="180"/>
        <v>5500492159</v>
      </c>
      <c r="AE1552" s="36" t="str">
        <f t="shared" si="181"/>
        <v>R900601576 - 519</v>
      </c>
      <c r="AF1552" s="36">
        <v>56</v>
      </c>
      <c r="AG1552" s="120">
        <f t="shared" si="179"/>
        <v>694.4</v>
      </c>
      <c r="AH1552" s="36"/>
      <c r="AI1552" s="124"/>
      <c r="AJ1552" s="122" t="s">
        <v>2120</v>
      </c>
      <c r="AK1552" s="129" t="str">
        <f t="shared" ca="1" si="178"/>
        <v>Late</v>
      </c>
      <c r="AL1552" s="268" t="str">
        <f t="shared" si="177"/>
        <v>August</v>
      </c>
      <c r="AM1552" s="133">
        <f>YEAR(Table1[[#This Row],[ETA
As requested
dd.mm.yyyy]])</f>
        <v>2024</v>
      </c>
    </row>
    <row r="1553" spans="1:39" hidden="1">
      <c r="A1553" s="123" t="s">
        <v>25</v>
      </c>
      <c r="B1553" s="36" t="s">
        <v>1170</v>
      </c>
      <c r="C1553" s="117">
        <v>5500492159</v>
      </c>
      <c r="D1553" s="165">
        <v>45439</v>
      </c>
      <c r="E1553" s="117" t="s">
        <v>1032</v>
      </c>
      <c r="F1553" s="36" t="str">
        <f>IFERROR(VLOOKUP(Table1[[#This Row],[Part Number]],DATABASE_FG!$C$6:D11542,2,FALSE)," ")</f>
        <v>THROTTLE SCREW     2FRM 10-3X/</v>
      </c>
      <c r="G1553" s="117" t="str">
        <f>IFERROR(_xlfn.XLOOKUP(Table1[[#This Row],[Part Number]],Table3[Part number],Table3[Drawing
 Revision]),"")</f>
        <v>AI</v>
      </c>
      <c r="H1553" s="118" cm="1">
        <f t="array" ref="H1553">IFERROR(INDEX(PDB!$C:$AT,MATCH(E1553,PDB!$B:$B,0),MATCH(YEAR(K1553),0+PDB!$C$1:$AT$1,0)),"")</f>
        <v>12.4</v>
      </c>
      <c r="I1553" s="36"/>
      <c r="J1553" s="125">
        <f>IFERROR(Table1[[#This Row],[Quantity]]*Table1[[#This Row],[Price/Unit
EUR]]," ")</f>
        <v>0</v>
      </c>
      <c r="K1553" s="126">
        <v>45527</v>
      </c>
      <c r="L1553" s="36">
        <f>WEEKNUM(Table1[[#This Row],[ETA
As requested
dd.mm.yyyy]])</f>
        <v>34</v>
      </c>
      <c r="M1553" s="36">
        <f>YEAR(Table1[[#This Row],[ETA
As requested
dd.mm.yyyy]])</f>
        <v>2024</v>
      </c>
      <c r="N1553" s="36">
        <f>IFERROR(INDEX(DATABASE_FG!$H$5:$H$367, MATCH(E1553, DATABASE_FG!$C$5:$C$367, 0)), " ")</f>
        <v>47</v>
      </c>
      <c r="O1553" s="129" t="str">
        <f>IF(E1553&lt;&gt;"", _xlfn.XLOOKUP(E1553, DATABASE_FG!C:C, DATABASE_FG!F:F), " ")</f>
        <v>Drosselboltzen</v>
      </c>
      <c r="P1553" s="129">
        <f>IFERROR(INDEX(DATABASE_FG!$G$5:$G$367, MATCH(E1553, DATABASE_FG!$C$5:$C$367, 0)), "Not Found")</f>
        <v>340</v>
      </c>
      <c r="Q1553" s="36"/>
      <c r="R1553" s="125"/>
      <c r="S1553" s="123">
        <f>Table1[[#This Row],[Quantity]]/48</f>
        <v>0</v>
      </c>
      <c r="T1553" s="36"/>
      <c r="U1553" s="36"/>
      <c r="V1553" s="36"/>
      <c r="W1553" s="129"/>
      <c r="X1553" s="36"/>
      <c r="Y1553" s="36"/>
      <c r="Z1553" s="36"/>
      <c r="AA1553" s="125" t="s">
        <v>121</v>
      </c>
      <c r="AB1553" s="173">
        <v>45555</v>
      </c>
      <c r="AC1553" s="119">
        <v>202401155</v>
      </c>
      <c r="AD1553" s="36">
        <f t="shared" si="180"/>
        <v>5500492159</v>
      </c>
      <c r="AE1553" s="36" t="str">
        <f t="shared" si="181"/>
        <v>R900601576 - 519</v>
      </c>
      <c r="AF1553" s="36">
        <v>39</v>
      </c>
      <c r="AG1553" s="120">
        <f t="shared" si="179"/>
        <v>483.6</v>
      </c>
      <c r="AH1553" s="36"/>
      <c r="AI1553" s="124"/>
      <c r="AJ1553" s="122" t="s">
        <v>2121</v>
      </c>
      <c r="AK1553" s="129" t="str">
        <f t="shared" ca="1" si="178"/>
        <v>Late</v>
      </c>
      <c r="AL1553" s="268" t="str">
        <f t="shared" si="177"/>
        <v>August</v>
      </c>
      <c r="AM1553" s="133">
        <f>YEAR(Table1[[#This Row],[ETA
As requested
dd.mm.yyyy]])</f>
        <v>2024</v>
      </c>
    </row>
    <row r="1554" spans="1:39" hidden="1">
      <c r="A1554" s="123" t="s">
        <v>25</v>
      </c>
      <c r="B1554" s="36" t="s">
        <v>1170</v>
      </c>
      <c r="C1554" s="117">
        <v>5500492159</v>
      </c>
      <c r="D1554" s="165">
        <v>45439</v>
      </c>
      <c r="E1554" s="117" t="s">
        <v>1032</v>
      </c>
      <c r="F1554" s="36" t="str">
        <f>IFERROR(VLOOKUP(Table1[[#This Row],[Part Number]],DATABASE_FG!$C$6:D11543,2,FALSE)," ")</f>
        <v>THROTTLE SCREW     2FRM 10-3X/</v>
      </c>
      <c r="G1554" s="117" t="str">
        <f>IFERROR(_xlfn.XLOOKUP(Table1[[#This Row],[Part Number]],Table3[Part number],Table3[Drawing
 Revision]),"")</f>
        <v>AI</v>
      </c>
      <c r="H1554" s="118" cm="1">
        <f t="array" ref="H1554">IFERROR(INDEX(PDB!$C:$AT,MATCH(E1554,PDB!$B:$B,0),MATCH(YEAR(K1554),0+PDB!$C$1:$AT$1,0)),"")</f>
        <v>12.4</v>
      </c>
      <c r="I1554" s="36">
        <v>271</v>
      </c>
      <c r="J1554" s="125">
        <f>IFERROR(Table1[[#This Row],[Quantity]]*Table1[[#This Row],[Price/Unit
EUR]]," ")</f>
        <v>3360.4</v>
      </c>
      <c r="K1554" s="126">
        <v>45562</v>
      </c>
      <c r="L1554" s="36">
        <f>WEEKNUM(Table1[[#This Row],[ETA
As requested
dd.mm.yyyy]])</f>
        <v>39</v>
      </c>
      <c r="M1554" s="36">
        <f>YEAR(Table1[[#This Row],[ETA
As requested
dd.mm.yyyy]])</f>
        <v>2024</v>
      </c>
      <c r="N1554" s="36">
        <f>IFERROR(INDEX(DATABASE_FG!$H$5:$H$367, MATCH(E1554, DATABASE_FG!$C$5:$C$367, 0)), " ")</f>
        <v>47</v>
      </c>
      <c r="O1554" s="129" t="str">
        <f>IF(E1554&lt;&gt;"", _xlfn.XLOOKUP(E1554, DATABASE_FG!C:C, DATABASE_FG!F:F), " ")</f>
        <v>Drosselboltzen</v>
      </c>
      <c r="P1554" s="129">
        <f>IFERROR(INDEX(DATABASE_FG!$G$5:$G$367, MATCH(E1554, DATABASE_FG!$C$5:$C$367, 0)), "Not Found")</f>
        <v>340</v>
      </c>
      <c r="Q1554" s="36">
        <v>42</v>
      </c>
      <c r="R1554" s="125" t="s">
        <v>678</v>
      </c>
      <c r="S1554" s="123">
        <f>IFERROR(INDEX(DATABASE_FG!$L$5:$L$367, MATCH(E1554, DATABASE_FG!$C$5:$C$367, 0)), " ")</f>
        <v>40</v>
      </c>
      <c r="T1554" s="36" t="s">
        <v>677</v>
      </c>
      <c r="U1554" s="36"/>
      <c r="V1554" s="36"/>
      <c r="W1554" s="129"/>
      <c r="X1554" s="36"/>
      <c r="Y1554" s="36"/>
      <c r="Z1554" s="36"/>
      <c r="AA1554" s="125" t="s">
        <v>121</v>
      </c>
      <c r="AB1554" s="173">
        <v>45555</v>
      </c>
      <c r="AC1554" s="119">
        <v>202401155</v>
      </c>
      <c r="AD1554" s="36">
        <f t="shared" si="180"/>
        <v>5500492159</v>
      </c>
      <c r="AE1554" s="36" t="str">
        <f t="shared" si="181"/>
        <v>R900601576 - 519</v>
      </c>
      <c r="AF1554" s="36">
        <f>155-39</f>
        <v>116</v>
      </c>
      <c r="AG1554" s="120">
        <f t="shared" si="179"/>
        <v>1438.4</v>
      </c>
      <c r="AH1554" s="36"/>
      <c r="AI1554" s="124"/>
      <c r="AJ1554" s="122" t="s">
        <v>2121</v>
      </c>
      <c r="AK1554" s="129" t="str">
        <f t="shared" ca="1" si="178"/>
        <v>On Time</v>
      </c>
      <c r="AL1554" s="268" t="str">
        <f t="shared" si="177"/>
        <v>September</v>
      </c>
      <c r="AM1554" s="133">
        <f>YEAR(Table1[[#This Row],[ETA
As requested
dd.mm.yyyy]])</f>
        <v>2024</v>
      </c>
    </row>
    <row r="1555" spans="1:39" hidden="1">
      <c r="A1555" s="123" t="s">
        <v>25</v>
      </c>
      <c r="B1555" s="36" t="s">
        <v>1170</v>
      </c>
      <c r="C1555" s="117">
        <v>5500492159</v>
      </c>
      <c r="D1555" s="165">
        <v>45439</v>
      </c>
      <c r="E1555" s="117" t="s">
        <v>1032</v>
      </c>
      <c r="F1555" s="36" t="str">
        <f>IFERROR(VLOOKUP(Table1[[#This Row],[Part Number]],DATABASE_FG!$C$6:D11544,2,FALSE)," ")</f>
        <v>THROTTLE SCREW     2FRM 10-3X/</v>
      </c>
      <c r="G1555" s="117" t="str">
        <f>IFERROR(_xlfn.XLOOKUP(Table1[[#This Row],[Part Number]],Table3[Part number],Table3[Drawing
 Revision]),"")</f>
        <v>AI</v>
      </c>
      <c r="H1555" s="118" cm="1">
        <f t="array" ref="H1555">IFERROR(INDEX(PDB!$C:$AT,MATCH(E1555,PDB!$B:$B,0),MATCH(YEAR(K1555),0+PDB!$C$1:$AT$1,0)),"")</f>
        <v>12.4</v>
      </c>
      <c r="I1555" s="36">
        <v>0</v>
      </c>
      <c r="J1555" s="125">
        <f>IFERROR(Table1[[#This Row],[Quantity]]*Table1[[#This Row],[Price/Unit
EUR]]," ")</f>
        <v>0</v>
      </c>
      <c r="K1555" s="126">
        <v>45562</v>
      </c>
      <c r="L1555" s="36">
        <f>WEEKNUM(Table1[[#This Row],[ETA
As requested
dd.mm.yyyy]])</f>
        <v>39</v>
      </c>
      <c r="M1555" s="36">
        <f>YEAR(Table1[[#This Row],[ETA
As requested
dd.mm.yyyy]])</f>
        <v>2024</v>
      </c>
      <c r="N1555" s="36">
        <f>IFERROR(INDEX(DATABASE_FG!$H$5:$H$367, MATCH(E1555, DATABASE_FG!$C$5:$C$367, 0)), " ")</f>
        <v>47</v>
      </c>
      <c r="O1555" s="129" t="str">
        <f>IF(E1555&lt;&gt;"", _xlfn.XLOOKUP(E1555, DATABASE_FG!C:C, DATABASE_FG!F:F), " ")</f>
        <v>Drosselboltzen</v>
      </c>
      <c r="P1555" s="129">
        <f>IFERROR(INDEX(DATABASE_FG!$G$5:$G$367, MATCH(E1555, DATABASE_FG!$C$5:$C$367, 0)), "Not Found")</f>
        <v>340</v>
      </c>
      <c r="Q1555" s="36">
        <v>42</v>
      </c>
      <c r="R1555" s="125"/>
      <c r="S1555" s="123">
        <f>IFERROR(INDEX(DATABASE_FG!$L$5:$L$367, MATCH(E1555, DATABASE_FG!$C$5:$C$367, 0)), " ")</f>
        <v>40</v>
      </c>
      <c r="T1555" s="36" t="s">
        <v>677</v>
      </c>
      <c r="U1555" s="36"/>
      <c r="V1555" s="36"/>
      <c r="W1555" s="129"/>
      <c r="X1555" s="36"/>
      <c r="Y1555" s="36"/>
      <c r="Z1555" s="36"/>
      <c r="AA1555" s="125" t="s">
        <v>121</v>
      </c>
      <c r="AB1555" s="173">
        <v>45565</v>
      </c>
      <c r="AC1555" s="119">
        <v>202401177</v>
      </c>
      <c r="AD1555" s="36">
        <f t="shared" si="180"/>
        <v>5500492159</v>
      </c>
      <c r="AE1555" s="36" t="str">
        <f t="shared" si="181"/>
        <v>R900601576 - 519</v>
      </c>
      <c r="AF1555" s="36">
        <v>135</v>
      </c>
      <c r="AG1555" s="120">
        <f t="shared" si="179"/>
        <v>1674</v>
      </c>
      <c r="AH1555" s="36"/>
      <c r="AI1555" s="124"/>
      <c r="AJ1555" s="122" t="s">
        <v>2399</v>
      </c>
      <c r="AK1555" s="129" t="str">
        <f t="shared" ca="1" si="178"/>
        <v>Late</v>
      </c>
      <c r="AL1555" s="268" t="str">
        <f t="shared" si="177"/>
        <v>September</v>
      </c>
      <c r="AM1555" s="133">
        <f>YEAR(Table1[[#This Row],[ETA
As requested
dd.mm.yyyy]])</f>
        <v>2024</v>
      </c>
    </row>
    <row r="1556" spans="1:39" hidden="1">
      <c r="A1556" s="123" t="s">
        <v>25</v>
      </c>
      <c r="B1556" s="36" t="s">
        <v>1170</v>
      </c>
      <c r="C1556" s="117">
        <v>5500492159</v>
      </c>
      <c r="D1556" s="165">
        <v>45439</v>
      </c>
      <c r="E1556" s="117" t="s">
        <v>1032</v>
      </c>
      <c r="F1556" s="36" t="str">
        <f>IFERROR(VLOOKUP(Table1[[#This Row],[Part Number]],DATABASE_FG!$C$6:D11545,2,FALSE)," ")</f>
        <v>THROTTLE SCREW     2FRM 10-3X/</v>
      </c>
      <c r="G1556" s="117" t="str">
        <f>IFERROR(_xlfn.XLOOKUP(Table1[[#This Row],[Part Number]],Table3[Part number],Table3[Drawing
 Revision]),"")</f>
        <v>AI</v>
      </c>
      <c r="H1556" s="118" cm="1">
        <f t="array" ref="H1556">IFERROR(INDEX(PDB!$C:$AT,MATCH(E1556,PDB!$B:$B,0),MATCH(YEAR(K1556),0+PDB!$C$1:$AT$1,0)),"")</f>
        <v>12.4</v>
      </c>
      <c r="I1556" s="36">
        <v>0</v>
      </c>
      <c r="J1556" s="125">
        <f>IFERROR(Table1[[#This Row],[Quantity]]*Table1[[#This Row],[Price/Unit
EUR]]," ")</f>
        <v>0</v>
      </c>
      <c r="K1556" s="126">
        <v>45562</v>
      </c>
      <c r="L1556" s="36">
        <f>WEEKNUM(Table1[[#This Row],[ETA
As requested
dd.mm.yyyy]])</f>
        <v>39</v>
      </c>
      <c r="M1556" s="36">
        <f>YEAR(Table1[[#This Row],[ETA
As requested
dd.mm.yyyy]])</f>
        <v>2024</v>
      </c>
      <c r="N1556" s="36">
        <f>IFERROR(INDEX(DATABASE_FG!$H$5:$H$367, MATCH(E1556, DATABASE_FG!$C$5:$C$367, 0)), " ")</f>
        <v>47</v>
      </c>
      <c r="O1556" s="129" t="str">
        <f>IF(E1556&lt;&gt;"", _xlfn.XLOOKUP(E1556, DATABASE_FG!C:C, DATABASE_FG!F:F), " ")</f>
        <v>Drosselboltzen</v>
      </c>
      <c r="P1556" s="129">
        <f>IFERROR(INDEX(DATABASE_FG!$G$5:$G$367, MATCH(E1556, DATABASE_FG!$C$5:$C$367, 0)), "Not Found")</f>
        <v>340</v>
      </c>
      <c r="Q1556" s="36">
        <v>42</v>
      </c>
      <c r="R1556" s="125"/>
      <c r="S1556" s="123">
        <f>IFERROR(INDEX(DATABASE_FG!$L$5:$L$367, MATCH(E1556, DATABASE_FG!$C$5:$C$367, 0)), " ")</f>
        <v>40</v>
      </c>
      <c r="T1556" s="36" t="s">
        <v>677</v>
      </c>
      <c r="U1556" s="36"/>
      <c r="V1556" s="36"/>
      <c r="W1556" s="129"/>
      <c r="X1556" s="36"/>
      <c r="Y1556" s="36"/>
      <c r="Z1556" s="36"/>
      <c r="AA1556" s="125" t="s">
        <v>121</v>
      </c>
      <c r="AB1556" s="173">
        <v>45567</v>
      </c>
      <c r="AC1556" s="119">
        <v>202401197</v>
      </c>
      <c r="AD1556" s="36">
        <f t="shared" si="180"/>
        <v>5500492159</v>
      </c>
      <c r="AE1556" s="36" t="str">
        <f t="shared" si="181"/>
        <v>R900601576 - 519</v>
      </c>
      <c r="AF1556" s="36">
        <v>20</v>
      </c>
      <c r="AG1556" s="120">
        <f t="shared" si="179"/>
        <v>248</v>
      </c>
      <c r="AH1556" s="36"/>
      <c r="AI1556" s="124"/>
      <c r="AJ1556" s="122" t="s">
        <v>2400</v>
      </c>
      <c r="AK1556" s="129" t="str">
        <f t="shared" ca="1" si="178"/>
        <v>Late</v>
      </c>
      <c r="AL1556" s="268" t="str">
        <f t="shared" si="177"/>
        <v>September</v>
      </c>
      <c r="AM1556" s="133">
        <f>YEAR(Table1[[#This Row],[ETA
As requested
dd.mm.yyyy]])</f>
        <v>2024</v>
      </c>
    </row>
    <row r="1557" spans="1:39" hidden="1">
      <c r="A1557" s="123" t="s">
        <v>25</v>
      </c>
      <c r="B1557" s="36" t="s">
        <v>1170</v>
      </c>
      <c r="C1557" s="117">
        <v>5500492159</v>
      </c>
      <c r="D1557" s="165">
        <v>45439</v>
      </c>
      <c r="E1557" s="117" t="s">
        <v>1032</v>
      </c>
      <c r="F1557" s="36" t="str">
        <f>IFERROR(VLOOKUP(Table1[[#This Row],[Part Number]],DATABASE_FG!$C$6:D11546,2,FALSE)," ")</f>
        <v>THROTTLE SCREW     2FRM 10-3X/</v>
      </c>
      <c r="G1557" s="117" t="str">
        <f>IFERROR(_xlfn.XLOOKUP(Table1[[#This Row],[Part Number]],Table3[Part number],Table3[Drawing
 Revision]),"")</f>
        <v>AI</v>
      </c>
      <c r="H1557" s="118" cm="1">
        <f t="array" ref="H1557">IFERROR(INDEX(PDB!$C:$AT,MATCH(E1557,PDB!$B:$B,0),MATCH(YEAR(K1557),0+PDB!$C$1:$AT$1,0)),"")</f>
        <v>12.4</v>
      </c>
      <c r="I1557" s="36">
        <v>56</v>
      </c>
      <c r="J1557" s="125">
        <f>IFERROR(Table1[[#This Row],[Quantity]]*Table1[[#This Row],[Price/Unit
EUR]]," ")</f>
        <v>694.4</v>
      </c>
      <c r="K1557" s="126">
        <v>45590</v>
      </c>
      <c r="L1557" s="36">
        <f>WEEKNUM(Table1[[#This Row],[ETA
As requested
dd.mm.yyyy]])</f>
        <v>43</v>
      </c>
      <c r="M1557" s="36">
        <f>YEAR(Table1[[#This Row],[ETA
As requested
dd.mm.yyyy]])</f>
        <v>2024</v>
      </c>
      <c r="N1557" s="36">
        <f>IFERROR(INDEX(DATABASE_FG!$H$5:$H$367, MATCH(E1557, DATABASE_FG!$C$5:$C$367, 0)), " ")</f>
        <v>47</v>
      </c>
      <c r="O1557" s="129" t="str">
        <f>IF(E1557&lt;&gt;"", _xlfn.XLOOKUP(E1557, DATABASE_FG!C:C, DATABASE_FG!F:F), " ")</f>
        <v>Drosselboltzen</v>
      </c>
      <c r="P1557" s="129">
        <f>IFERROR(INDEX(DATABASE_FG!$G$5:$G$367, MATCH(E1557, DATABASE_FG!$C$5:$C$367, 0)), "Not Found")</f>
        <v>340</v>
      </c>
      <c r="Q1557" s="36">
        <v>42</v>
      </c>
      <c r="R1557" s="125" t="s">
        <v>678</v>
      </c>
      <c r="S1557" s="123">
        <f>IFERROR(INDEX(DATABASE_FG!$L$5:$L$367, MATCH(E1557, DATABASE_FG!$C$5:$C$367, 0)), " ")</f>
        <v>40</v>
      </c>
      <c r="T1557" s="36" t="s">
        <v>677</v>
      </c>
      <c r="U1557" s="36"/>
      <c r="V1557" s="36"/>
      <c r="W1557" s="129"/>
      <c r="X1557" s="36" t="s">
        <v>2391</v>
      </c>
      <c r="Y1557" s="36"/>
      <c r="Z1557" s="36">
        <v>242803</v>
      </c>
      <c r="AA1557" s="125" t="s">
        <v>121</v>
      </c>
      <c r="AB1557" s="173">
        <v>45567</v>
      </c>
      <c r="AC1557" s="119">
        <v>202401197</v>
      </c>
      <c r="AD1557" s="36">
        <f t="shared" si="180"/>
        <v>5500492159</v>
      </c>
      <c r="AE1557" s="36" t="str">
        <f t="shared" si="181"/>
        <v>R900601576 - 519</v>
      </c>
      <c r="AF1557" s="36">
        <v>56</v>
      </c>
      <c r="AG1557" s="120">
        <f t="shared" si="179"/>
        <v>694.4</v>
      </c>
      <c r="AH1557" s="36"/>
      <c r="AI1557" s="124"/>
      <c r="AJ1557" s="122" t="s">
        <v>2400</v>
      </c>
      <c r="AK1557" s="129" t="str">
        <f t="shared" ca="1" si="178"/>
        <v>On Time</v>
      </c>
      <c r="AL1557" s="268" t="str">
        <f t="shared" si="177"/>
        <v>October</v>
      </c>
      <c r="AM1557" s="133">
        <f>YEAR(Table1[[#This Row],[ETA
As requested
dd.mm.yyyy]])</f>
        <v>2024</v>
      </c>
    </row>
    <row r="1558" spans="1:39" hidden="1">
      <c r="A1558" s="123" t="s">
        <v>25</v>
      </c>
      <c r="B1558" s="36" t="s">
        <v>1170</v>
      </c>
      <c r="C1558" s="117">
        <v>5500492159</v>
      </c>
      <c r="D1558" s="165">
        <v>45439</v>
      </c>
      <c r="E1558" s="117" t="s">
        <v>1032</v>
      </c>
      <c r="F1558" s="36" t="str">
        <f>IFERROR(VLOOKUP(Table1[[#This Row],[Part Number]],DATABASE_FG!$C$6:D11547,2,FALSE)," ")</f>
        <v>THROTTLE SCREW     2FRM 10-3X/</v>
      </c>
      <c r="G1558" s="117" t="str">
        <f>IFERROR(_xlfn.XLOOKUP(Table1[[#This Row],[Part Number]],Table3[Part number],Table3[Drawing
 Revision]),"")</f>
        <v>AI</v>
      </c>
      <c r="H1558" s="118" cm="1">
        <f t="array" ref="H1558">IFERROR(INDEX(PDB!$C:$AT,MATCH(E1558,PDB!$B:$B,0),MATCH(YEAR(K1558),0+PDB!$C$1:$AT$1,0)),"")</f>
        <v>12.4</v>
      </c>
      <c r="I1558" s="36">
        <v>111</v>
      </c>
      <c r="J1558" s="125">
        <f>IFERROR(Table1[[#This Row],[Quantity]]*Table1[[#This Row],[Price/Unit
EUR]]," ")</f>
        <v>1376.4</v>
      </c>
      <c r="K1558" s="126">
        <v>45590</v>
      </c>
      <c r="L1558" s="36">
        <f>WEEKNUM(Table1[[#This Row],[ETA
As requested
dd.mm.yyyy]])</f>
        <v>43</v>
      </c>
      <c r="M1558" s="36">
        <f>YEAR(Table1[[#This Row],[ETA
As requested
dd.mm.yyyy]])</f>
        <v>2024</v>
      </c>
      <c r="N1558" s="36">
        <f>IFERROR(INDEX(DATABASE_FG!$H$5:$H$367, MATCH(E1558, DATABASE_FG!$C$5:$C$367, 0)), " ")</f>
        <v>47</v>
      </c>
      <c r="O1558" s="129" t="str">
        <f>IF(E1558&lt;&gt;"", _xlfn.XLOOKUP(E1558, DATABASE_FG!C:C, DATABASE_FG!F:F), " ")</f>
        <v>Drosselboltzen</v>
      </c>
      <c r="P1558" s="129">
        <f>IFERROR(INDEX(DATABASE_FG!$G$5:$G$367, MATCH(E1558, DATABASE_FG!$C$5:$C$367, 0)), "Not Found")</f>
        <v>340</v>
      </c>
      <c r="Q1558" s="36">
        <v>42</v>
      </c>
      <c r="R1558" s="125" t="s">
        <v>678</v>
      </c>
      <c r="S1558" s="123">
        <f>IFERROR(INDEX(DATABASE_FG!$L$5:$L$367, MATCH(E1558, DATABASE_FG!$C$5:$C$367, 0)), " ")</f>
        <v>40</v>
      </c>
      <c r="T1558" s="36" t="s">
        <v>677</v>
      </c>
      <c r="U1558" s="36"/>
      <c r="V1558" s="36"/>
      <c r="W1558" s="129"/>
      <c r="X1558" s="36"/>
      <c r="Y1558" s="36"/>
      <c r="Z1558" s="36"/>
      <c r="AA1558" s="125" t="s">
        <v>121</v>
      </c>
      <c r="AB1558" s="173">
        <v>45602</v>
      </c>
      <c r="AC1558" s="119">
        <v>202401340</v>
      </c>
      <c r="AD1558" s="36">
        <f t="shared" si="180"/>
        <v>5500492159</v>
      </c>
      <c r="AE1558" s="36" t="str">
        <f t="shared" si="181"/>
        <v>R900601576 - 519</v>
      </c>
      <c r="AF1558" s="36">
        <v>111</v>
      </c>
      <c r="AG1558" s="120">
        <f t="shared" si="179"/>
        <v>1376.4</v>
      </c>
      <c r="AH1558" s="36"/>
      <c r="AI1558" s="124"/>
      <c r="AJ1558" s="122" t="s">
        <v>2518</v>
      </c>
      <c r="AK1558" s="129" t="str">
        <f t="shared" ca="1" si="178"/>
        <v>Late</v>
      </c>
      <c r="AL1558" s="268" t="str">
        <f t="shared" si="177"/>
        <v>October</v>
      </c>
      <c r="AM1558" s="133">
        <f>YEAR(Table1[[#This Row],[ETA
As requested
dd.mm.yyyy]])</f>
        <v>2024</v>
      </c>
    </row>
    <row r="1559" spans="1:39" hidden="1">
      <c r="A1559" s="123" t="s">
        <v>25</v>
      </c>
      <c r="B1559" s="36" t="s">
        <v>1170</v>
      </c>
      <c r="C1559" s="117">
        <v>5500492159</v>
      </c>
      <c r="D1559" s="165">
        <v>45439</v>
      </c>
      <c r="E1559" s="117" t="s">
        <v>1032</v>
      </c>
      <c r="F1559" s="36" t="str">
        <f>IFERROR(VLOOKUP(Table1[[#This Row],[Part Number]],DATABASE_FG!$C$6:D11548,2,FALSE)," ")</f>
        <v>THROTTLE SCREW     2FRM 10-3X/</v>
      </c>
      <c r="G1559" s="117" t="str">
        <f>IFERROR(_xlfn.XLOOKUP(Table1[[#This Row],[Part Number]],Table3[Part number],Table3[Drawing
 Revision]),"")</f>
        <v>AI</v>
      </c>
      <c r="H1559" s="118" cm="1">
        <f t="array" ref="H1559">IFERROR(INDEX(PDB!$C:$AT,MATCH(E1559,PDB!$B:$B,0),MATCH(YEAR(K1559),0+PDB!$C$1:$AT$1,0)),"")</f>
        <v>12.4</v>
      </c>
      <c r="I1559" s="36">
        <v>104</v>
      </c>
      <c r="J1559" s="125">
        <f>IFERROR(Table1[[#This Row],[Quantity]]*Table1[[#This Row],[Price/Unit
EUR]]," ")</f>
        <v>1289.6000000000001</v>
      </c>
      <c r="K1559" s="126">
        <v>45590</v>
      </c>
      <c r="L1559" s="36">
        <f>WEEKNUM(Table1[[#This Row],[ETA
As requested
dd.mm.yyyy]])</f>
        <v>43</v>
      </c>
      <c r="M1559" s="36">
        <f>YEAR(Table1[[#This Row],[ETA
As requested
dd.mm.yyyy]])</f>
        <v>2024</v>
      </c>
      <c r="N1559" s="36">
        <f>IFERROR(INDEX(DATABASE_FG!$H$5:$H$367, MATCH(E1559, DATABASE_FG!$C$5:$C$367, 0)), " ")</f>
        <v>47</v>
      </c>
      <c r="O1559" s="129" t="str">
        <f>IF(E1559&lt;&gt;"", _xlfn.XLOOKUP(E1559, DATABASE_FG!C:C, DATABASE_FG!F:F), " ")</f>
        <v>Drosselboltzen</v>
      </c>
      <c r="P1559" s="129">
        <f>IFERROR(INDEX(DATABASE_FG!$G$5:$G$367, MATCH(E1559, DATABASE_FG!$C$5:$C$367, 0)), "Not Found")</f>
        <v>340</v>
      </c>
      <c r="Q1559" s="36">
        <v>42</v>
      </c>
      <c r="R1559" s="125" t="s">
        <v>678</v>
      </c>
      <c r="S1559" s="123">
        <f>IFERROR(INDEX(DATABASE_FG!$L$5:$L$367, MATCH(E1559, DATABASE_FG!$C$5:$C$367, 0)), " ")</f>
        <v>40</v>
      </c>
      <c r="T1559" s="36" t="s">
        <v>677</v>
      </c>
      <c r="U1559" s="36"/>
      <c r="V1559" s="36"/>
      <c r="W1559" s="129"/>
      <c r="X1559" s="36" t="s">
        <v>1750</v>
      </c>
      <c r="Y1559" s="36"/>
      <c r="Z1559" s="36"/>
      <c r="AA1559" s="125" t="s">
        <v>121</v>
      </c>
      <c r="AB1559" s="173">
        <v>45604</v>
      </c>
      <c r="AC1559" s="119">
        <v>202401350</v>
      </c>
      <c r="AD1559" s="36">
        <f t="shared" si="180"/>
        <v>5500492159</v>
      </c>
      <c r="AE1559" s="36" t="str">
        <f t="shared" si="181"/>
        <v>R900601576 - 519</v>
      </c>
      <c r="AF1559" s="36">
        <v>104</v>
      </c>
      <c r="AG1559" s="120">
        <f t="shared" si="179"/>
        <v>1289.6000000000001</v>
      </c>
      <c r="AH1559" s="36"/>
      <c r="AI1559" s="124"/>
      <c r="AJ1559" s="122" t="s">
        <v>2519</v>
      </c>
      <c r="AK1559" s="129" t="str">
        <f t="shared" ca="1" si="178"/>
        <v>Late</v>
      </c>
      <c r="AL1559" s="268" t="str">
        <f t="shared" si="177"/>
        <v>October</v>
      </c>
      <c r="AM1559" s="133">
        <f>YEAR(Table1[[#This Row],[ETA
As requested
dd.mm.yyyy]])</f>
        <v>2024</v>
      </c>
    </row>
    <row r="1560" spans="1:39" hidden="1">
      <c r="A1560" s="123" t="s">
        <v>25</v>
      </c>
      <c r="B1560" s="36" t="s">
        <v>1170</v>
      </c>
      <c r="C1560" s="117">
        <v>5500492159</v>
      </c>
      <c r="D1560" s="165">
        <v>45439</v>
      </c>
      <c r="E1560" s="117" t="s">
        <v>1032</v>
      </c>
      <c r="F1560" s="36" t="str">
        <f>IFERROR(VLOOKUP(Table1[[#This Row],[Part Number]],DATABASE_FG!$C$6:D11549,2,FALSE)," ")</f>
        <v>THROTTLE SCREW     2FRM 10-3X/</v>
      </c>
      <c r="G1560" s="117" t="str">
        <f>IFERROR(_xlfn.XLOOKUP(Table1[[#This Row],[Part Number]],Table3[Part number],Table3[Drawing
 Revision]),"")</f>
        <v>AI</v>
      </c>
      <c r="H1560" s="118" cm="1">
        <f t="array" ref="H1560">IFERROR(INDEX(PDB!$C:$AT,MATCH(E1560,PDB!$B:$B,0),MATCH(YEAR(K1560),0+PDB!$C$1:$AT$1,0)),"")</f>
        <v>12.4</v>
      </c>
      <c r="I1560" s="36">
        <f>173-104</f>
        <v>69</v>
      </c>
      <c r="J1560" s="125">
        <f>IFERROR(Table1[[#This Row],[Quantity]]*Table1[[#This Row],[Price/Unit
EUR]]," ")</f>
        <v>855.6</v>
      </c>
      <c r="K1560" s="126">
        <v>45590</v>
      </c>
      <c r="L1560" s="36">
        <f>WEEKNUM(Table1[[#This Row],[ETA
As requested
dd.mm.yyyy]])</f>
        <v>43</v>
      </c>
      <c r="M1560" s="36">
        <f>YEAR(Table1[[#This Row],[ETA
As requested
dd.mm.yyyy]])</f>
        <v>2024</v>
      </c>
      <c r="N1560" s="36">
        <f>IFERROR(INDEX(DATABASE_FG!$H$5:$H$367, MATCH(E1560, DATABASE_FG!$C$5:$C$367, 0)), " ")</f>
        <v>47</v>
      </c>
      <c r="O1560" s="129" t="str">
        <f>IF(E1560&lt;&gt;"", _xlfn.XLOOKUP(E1560, DATABASE_FG!C:C, DATABASE_FG!F:F), " ")</f>
        <v>Drosselboltzen</v>
      </c>
      <c r="P1560" s="129">
        <f>IFERROR(INDEX(DATABASE_FG!$G$5:$G$367, MATCH(E1560, DATABASE_FG!$C$5:$C$367, 0)), "Not Found")</f>
        <v>340</v>
      </c>
      <c r="Q1560" s="36">
        <v>42</v>
      </c>
      <c r="R1560" s="125" t="s">
        <v>678</v>
      </c>
      <c r="S1560" s="123">
        <f>IFERROR(INDEX(DATABASE_FG!$L$5:$L$367, MATCH(E1560, DATABASE_FG!$C$5:$C$367, 0)), " ")</f>
        <v>40</v>
      </c>
      <c r="T1560" s="36" t="s">
        <v>677</v>
      </c>
      <c r="U1560" s="36"/>
      <c r="V1560" s="36"/>
      <c r="W1560" s="129"/>
      <c r="X1560" s="36"/>
      <c r="Y1560" s="36"/>
      <c r="Z1560" s="36"/>
      <c r="AA1560" s="125" t="s">
        <v>121</v>
      </c>
      <c r="AB1560" s="173">
        <v>45609</v>
      </c>
      <c r="AC1560" s="119">
        <v>202401380</v>
      </c>
      <c r="AD1560" s="36">
        <f t="shared" si="180"/>
        <v>5500492159</v>
      </c>
      <c r="AE1560" s="36" t="str">
        <f t="shared" si="181"/>
        <v>R900601576 - 519</v>
      </c>
      <c r="AF1560" s="36">
        <v>69</v>
      </c>
      <c r="AG1560" s="120">
        <f t="shared" si="179"/>
        <v>855.6</v>
      </c>
      <c r="AH1560" s="36"/>
      <c r="AI1560" s="124"/>
      <c r="AJ1560" s="122" t="s">
        <v>2520</v>
      </c>
      <c r="AK1560" s="129" t="str">
        <f t="shared" ca="1" si="178"/>
        <v>Late</v>
      </c>
      <c r="AL1560" s="268" t="str">
        <f t="shared" si="177"/>
        <v>October</v>
      </c>
      <c r="AM1560" s="133">
        <f>YEAR(Table1[[#This Row],[ETA
As requested
dd.mm.yyyy]])</f>
        <v>2024</v>
      </c>
    </row>
    <row r="1561" spans="1:39" hidden="1">
      <c r="A1561" s="123" t="s">
        <v>25</v>
      </c>
      <c r="B1561" s="36" t="s">
        <v>1170</v>
      </c>
      <c r="C1561" s="117">
        <v>5500492159</v>
      </c>
      <c r="D1561" s="165">
        <v>45439</v>
      </c>
      <c r="E1561" s="117" t="s">
        <v>1032</v>
      </c>
      <c r="F1561" s="36" t="str">
        <f>IFERROR(VLOOKUP(Table1[[#This Row],[Part Number]],DATABASE_FG!$C$6:D11550,2,FALSE)," ")</f>
        <v>THROTTLE SCREW     2FRM 10-3X/</v>
      </c>
      <c r="G1561" s="117" t="str">
        <f>IFERROR(_xlfn.XLOOKUP(Table1[[#This Row],[Part Number]],Table3[Part number],Table3[Drawing
 Revision]),"")</f>
        <v>AI</v>
      </c>
      <c r="H1561" s="118" cm="1">
        <f t="array" ref="H1561">IFERROR(INDEX(PDB!$C:$AT,MATCH(E1561,PDB!$B:$B,0),MATCH(YEAR(K1561),0+PDB!$C$1:$AT$1,0)),"")</f>
        <v>12.4</v>
      </c>
      <c r="I1561" s="36">
        <v>136</v>
      </c>
      <c r="J1561" s="125">
        <f>IFERROR(Table1[[#This Row],[Quantity]]*Table1[[#This Row],[Price/Unit
EUR]]," ")</f>
        <v>1686.4</v>
      </c>
      <c r="K1561" s="126">
        <v>45590</v>
      </c>
      <c r="L1561" s="36">
        <f>WEEKNUM(Table1[[#This Row],[ETA
As requested
dd.mm.yyyy]])</f>
        <v>43</v>
      </c>
      <c r="M1561" s="36">
        <f>YEAR(Table1[[#This Row],[ETA
As requested
dd.mm.yyyy]])</f>
        <v>2024</v>
      </c>
      <c r="N1561" s="36">
        <f>IFERROR(INDEX(DATABASE_FG!$H$5:$H$367, MATCH(E1561, DATABASE_FG!$C$5:$C$367, 0)), " ")</f>
        <v>47</v>
      </c>
      <c r="O1561" s="129" t="str">
        <f>IF(E1561&lt;&gt;"", _xlfn.XLOOKUP(E1561, DATABASE_FG!C:C, DATABASE_FG!F:F), " ")</f>
        <v>Drosselboltzen</v>
      </c>
      <c r="P1561" s="129">
        <f>IFERROR(INDEX(DATABASE_FG!$G$5:$G$367, MATCH(E1561, DATABASE_FG!$C$5:$C$367, 0)), "Not Found")</f>
        <v>340</v>
      </c>
      <c r="Q1561" s="36">
        <v>42</v>
      </c>
      <c r="R1561" s="125" t="s">
        <v>678</v>
      </c>
      <c r="S1561" s="123">
        <f>IFERROR(INDEX(DATABASE_FG!$L$5:$L$367, MATCH(E1561, DATABASE_FG!$C$5:$C$367, 0)), " ")</f>
        <v>40</v>
      </c>
      <c r="T1561" s="36" t="s">
        <v>677</v>
      </c>
      <c r="U1561" s="36"/>
      <c r="V1561" s="36"/>
      <c r="W1561" s="129"/>
      <c r="X1561" s="36" t="s">
        <v>1750</v>
      </c>
      <c r="Y1561" s="36"/>
      <c r="Z1561" s="36"/>
      <c r="AA1561" s="125" t="s">
        <v>121</v>
      </c>
      <c r="AB1561" s="173">
        <v>45679</v>
      </c>
      <c r="AC1561" s="119" t="s">
        <v>2521</v>
      </c>
      <c r="AD1561" s="36">
        <f t="shared" si="180"/>
        <v>5500492159</v>
      </c>
      <c r="AE1561" s="36" t="str">
        <f t="shared" si="181"/>
        <v>R900601576 - 519</v>
      </c>
      <c r="AF1561" s="36">
        <v>136</v>
      </c>
      <c r="AG1561" s="120">
        <f t="shared" si="179"/>
        <v>1686.4</v>
      </c>
      <c r="AH1561" s="36"/>
      <c r="AI1561" s="124"/>
      <c r="AJ1561" s="122" t="s">
        <v>2522</v>
      </c>
      <c r="AK1561" s="129" t="str">
        <f t="shared" ca="1" si="178"/>
        <v>Late</v>
      </c>
      <c r="AL1561" s="268" t="str">
        <f t="shared" si="177"/>
        <v>October</v>
      </c>
      <c r="AM1561" s="133">
        <f>YEAR(Table1[[#This Row],[ETA
As requested
dd.mm.yyyy]])</f>
        <v>2024</v>
      </c>
    </row>
    <row r="1562" spans="1:39" hidden="1">
      <c r="A1562" s="123" t="s">
        <v>25</v>
      </c>
      <c r="B1562" s="36" t="s">
        <v>1170</v>
      </c>
      <c r="C1562" s="117">
        <v>5500492159</v>
      </c>
      <c r="D1562" s="165">
        <v>45439</v>
      </c>
      <c r="E1562" s="117" t="s">
        <v>1032</v>
      </c>
      <c r="F1562" s="36" t="str">
        <f>IFERROR(VLOOKUP(Table1[[#This Row],[Part Number]],DATABASE_FG!$C$6:D11551,2,FALSE)," ")</f>
        <v>THROTTLE SCREW     2FRM 10-3X/</v>
      </c>
      <c r="G1562" s="117" t="str">
        <f>IFERROR(_xlfn.XLOOKUP(Table1[[#This Row],[Part Number]],Table3[Part number],Table3[Drawing
 Revision]),"")</f>
        <v>AI</v>
      </c>
      <c r="H1562" s="118" cm="1">
        <f t="array" ref="H1562">IFERROR(INDEX(PDB!$C:$AT,MATCH(E1562,PDB!$B:$B,0),MATCH(YEAR(K1562),0+PDB!$C$1:$AT$1,0)),"")</f>
        <v>12.4</v>
      </c>
      <c r="I1562" s="36">
        <v>59</v>
      </c>
      <c r="J1562" s="125">
        <f>IFERROR(Table1[[#This Row],[Quantity]]*Table1[[#This Row],[Price/Unit
EUR]]," ")</f>
        <v>731.6</v>
      </c>
      <c r="K1562" s="126">
        <v>45609</v>
      </c>
      <c r="L1562" s="36">
        <f>WEEKNUM(Table1[[#This Row],[ETA
As requested
dd.mm.yyyy]])</f>
        <v>46</v>
      </c>
      <c r="M1562" s="36">
        <f>YEAR(Table1[[#This Row],[ETA
As requested
dd.mm.yyyy]])</f>
        <v>2024</v>
      </c>
      <c r="N1562" s="36">
        <f>IFERROR(INDEX(DATABASE_FG!$H$5:$H$367, MATCH(E1562, DATABASE_FG!$C$5:$C$367, 0)), " ")</f>
        <v>47</v>
      </c>
      <c r="O1562" s="129" t="str">
        <f>IF(E1562&lt;&gt;"", _xlfn.XLOOKUP(E1562, DATABASE_FG!C:C, DATABASE_FG!F:F), " ")</f>
        <v>Drosselboltzen</v>
      </c>
      <c r="P1562" s="129">
        <f>IFERROR(INDEX(DATABASE_FG!$G$5:$G$367, MATCH(E1562, DATABASE_FG!$C$5:$C$367, 0)), "Not Found")</f>
        <v>340</v>
      </c>
      <c r="Q1562" s="36">
        <v>42</v>
      </c>
      <c r="R1562" s="125" t="s">
        <v>678</v>
      </c>
      <c r="S1562" s="123">
        <f>IFERROR(INDEX(DATABASE_FG!$L$5:$L$367, MATCH(E1562, DATABASE_FG!$C$5:$C$367, 0)), " ")</f>
        <v>40</v>
      </c>
      <c r="T1562" s="36" t="s">
        <v>677</v>
      </c>
      <c r="U1562" s="36"/>
      <c r="V1562" s="36"/>
      <c r="W1562" s="129"/>
      <c r="X1562" s="36"/>
      <c r="Y1562" s="36"/>
      <c r="Z1562" s="36"/>
      <c r="AA1562" s="125" t="s">
        <v>121</v>
      </c>
      <c r="AB1562" s="173">
        <v>45609</v>
      </c>
      <c r="AC1562" s="119">
        <v>202401380</v>
      </c>
      <c r="AD1562" s="36">
        <f t="shared" si="180"/>
        <v>5500492159</v>
      </c>
      <c r="AE1562" s="36" t="str">
        <f t="shared" si="181"/>
        <v>R900601576 - 519</v>
      </c>
      <c r="AF1562" s="36">
        <f>128-69</f>
        <v>59</v>
      </c>
      <c r="AG1562" s="120">
        <f t="shared" si="179"/>
        <v>731.6</v>
      </c>
      <c r="AH1562" s="36"/>
      <c r="AI1562" s="124"/>
      <c r="AJ1562" s="122" t="s">
        <v>2520</v>
      </c>
      <c r="AK1562" s="129" t="str">
        <f t="shared" ca="1" si="178"/>
        <v>On Time</v>
      </c>
      <c r="AL1562" s="268" t="str">
        <f t="shared" si="177"/>
        <v>November</v>
      </c>
      <c r="AM1562" s="133">
        <f>YEAR(Table1[[#This Row],[ETA
As requested
dd.mm.yyyy]])</f>
        <v>2024</v>
      </c>
    </row>
    <row r="1563" spans="1:39" hidden="1">
      <c r="A1563" s="123" t="s">
        <v>25</v>
      </c>
      <c r="B1563" s="36" t="s">
        <v>1170</v>
      </c>
      <c r="C1563" s="117">
        <v>5500492159</v>
      </c>
      <c r="D1563" s="165">
        <v>45439</v>
      </c>
      <c r="E1563" s="117" t="s">
        <v>1032</v>
      </c>
      <c r="F1563" s="36" t="str">
        <f>IFERROR(VLOOKUP(Table1[[#This Row],[Part Number]],DATABASE_FG!$C$6:D11552,2,FALSE)," ")</f>
        <v>THROTTLE SCREW     2FRM 10-3X/</v>
      </c>
      <c r="G1563" s="117" t="str">
        <f>IFERROR(_xlfn.XLOOKUP(Table1[[#This Row],[Part Number]],Table3[Part number],Table3[Drawing
 Revision]),"")</f>
        <v>AI</v>
      </c>
      <c r="H1563" s="118" cm="1">
        <f t="array" ref="H1563">IFERROR(INDEX(PDB!$C:$AT,MATCH(E1563,PDB!$B:$B,0),MATCH(YEAR(K1563),0+PDB!$C$1:$AT$1,0)),"")</f>
        <v>12.4</v>
      </c>
      <c r="I1563" s="36">
        <v>46</v>
      </c>
      <c r="J1563" s="125">
        <f>IFERROR(Table1[[#This Row],[Quantity]]*Table1[[#This Row],[Price/Unit
EUR]]," ")</f>
        <v>570.4</v>
      </c>
      <c r="K1563" s="126">
        <v>45609</v>
      </c>
      <c r="L1563" s="36">
        <f>WEEKNUM(Table1[[#This Row],[ETA
As requested
dd.mm.yyyy]])</f>
        <v>46</v>
      </c>
      <c r="M1563" s="36">
        <f>YEAR(Table1[[#This Row],[ETA
As requested
dd.mm.yyyy]])</f>
        <v>2024</v>
      </c>
      <c r="N1563" s="36">
        <f>IFERROR(INDEX(DATABASE_FG!$H$5:$H$367, MATCH(E1563, DATABASE_FG!$C$5:$C$367, 0)), " ")</f>
        <v>47</v>
      </c>
      <c r="O1563" s="129" t="str">
        <f>IF(E1563&lt;&gt;"", _xlfn.XLOOKUP(E1563, DATABASE_FG!C:C, DATABASE_FG!F:F), " ")</f>
        <v>Drosselboltzen</v>
      </c>
      <c r="P1563" s="129">
        <f>IFERROR(INDEX(DATABASE_FG!$G$5:$G$367, MATCH(E1563, DATABASE_FG!$C$5:$C$367, 0)), "Not Found")</f>
        <v>340</v>
      </c>
      <c r="Q1563" s="36">
        <v>42</v>
      </c>
      <c r="R1563" s="125" t="s">
        <v>678</v>
      </c>
      <c r="S1563" s="123">
        <f>IFERROR(INDEX(DATABASE_FG!$L$5:$L$367, MATCH(E1563, DATABASE_FG!$C$5:$C$367, 0)), " ")</f>
        <v>40</v>
      </c>
      <c r="T1563" s="36" t="s">
        <v>677</v>
      </c>
      <c r="U1563" s="36"/>
      <c r="V1563" s="36"/>
      <c r="W1563" s="129"/>
      <c r="X1563" s="36"/>
      <c r="Y1563" s="36"/>
      <c r="Z1563" s="36"/>
      <c r="AA1563" s="125" t="s">
        <v>121</v>
      </c>
      <c r="AB1563" s="173">
        <v>45614</v>
      </c>
      <c r="AC1563" s="119">
        <v>202401394</v>
      </c>
      <c r="AD1563" s="36">
        <f t="shared" si="180"/>
        <v>5500492159</v>
      </c>
      <c r="AE1563" s="36" t="str">
        <f t="shared" si="181"/>
        <v>R900601576 - 519</v>
      </c>
      <c r="AF1563" s="36">
        <v>46</v>
      </c>
      <c r="AG1563" s="120">
        <f t="shared" si="179"/>
        <v>570.4</v>
      </c>
      <c r="AH1563" s="36"/>
      <c r="AI1563" s="124"/>
      <c r="AJ1563" s="122" t="s">
        <v>2589</v>
      </c>
      <c r="AK1563" s="129" t="str">
        <f t="shared" ca="1" si="178"/>
        <v>Late</v>
      </c>
      <c r="AL1563" s="268" t="str">
        <f t="shared" si="177"/>
        <v>November</v>
      </c>
      <c r="AM1563" s="133">
        <f>YEAR(Table1[[#This Row],[ETA
As requested
dd.mm.yyyy]])</f>
        <v>2024</v>
      </c>
    </row>
    <row r="1564" spans="1:39" hidden="1">
      <c r="A1564" s="123" t="s">
        <v>25</v>
      </c>
      <c r="B1564" s="36" t="s">
        <v>1170</v>
      </c>
      <c r="C1564" s="117">
        <v>5500492159</v>
      </c>
      <c r="D1564" s="165">
        <v>45439</v>
      </c>
      <c r="E1564" s="117" t="s">
        <v>1032</v>
      </c>
      <c r="F1564" s="36" t="str">
        <f>IFERROR(VLOOKUP(Table1[[#This Row],[Part Number]],DATABASE_FG!$C$6:D11553,2,FALSE)," ")</f>
        <v>THROTTLE SCREW     2FRM 10-3X/</v>
      </c>
      <c r="G1564" s="117" t="str">
        <f>IFERROR(_xlfn.XLOOKUP(Table1[[#This Row],[Part Number]],Table3[Part number],Table3[Drawing
 Revision]),"")</f>
        <v>AI</v>
      </c>
      <c r="H1564" s="118" cm="1">
        <f t="array" ref="H1564">IFERROR(INDEX(PDB!$C:$AT,MATCH(E1564,PDB!$B:$B,0),MATCH(YEAR(K1564),0+PDB!$C$1:$AT$1,0)),"")</f>
        <v>12.4</v>
      </c>
      <c r="I1564" s="36">
        <v>90</v>
      </c>
      <c r="J1564" s="125">
        <f>IFERROR(Table1[[#This Row],[Quantity]]*Table1[[#This Row],[Price/Unit
EUR]]," ")</f>
        <v>1116</v>
      </c>
      <c r="K1564" s="126">
        <v>45609</v>
      </c>
      <c r="L1564" s="36">
        <f>WEEKNUM(Table1[[#This Row],[ETA
As requested
dd.mm.yyyy]])</f>
        <v>46</v>
      </c>
      <c r="M1564" s="36">
        <f>YEAR(Table1[[#This Row],[ETA
As requested
dd.mm.yyyy]])</f>
        <v>2024</v>
      </c>
      <c r="N1564" s="36">
        <f>IFERROR(INDEX(DATABASE_FG!$H$5:$H$367, MATCH(E1564, DATABASE_FG!$C$5:$C$367, 0)), " ")</f>
        <v>47</v>
      </c>
      <c r="O1564" s="129" t="str">
        <f>IF(E1564&lt;&gt;"", _xlfn.XLOOKUP(E1564, DATABASE_FG!C:C, DATABASE_FG!F:F), " ")</f>
        <v>Drosselboltzen</v>
      </c>
      <c r="P1564" s="129">
        <f>IFERROR(INDEX(DATABASE_FG!$G$5:$G$367, MATCH(E1564, DATABASE_FG!$C$5:$C$367, 0)), "Not Found")</f>
        <v>340</v>
      </c>
      <c r="Q1564" s="36">
        <v>42</v>
      </c>
      <c r="R1564" s="125" t="s">
        <v>678</v>
      </c>
      <c r="S1564" s="123">
        <f>IFERROR(INDEX(DATABASE_FG!$L$5:$L$367, MATCH(E1564, DATABASE_FG!$C$5:$C$367, 0)), " ")</f>
        <v>40</v>
      </c>
      <c r="T1564" s="36" t="s">
        <v>677</v>
      </c>
      <c r="U1564" s="36"/>
      <c r="V1564" s="36"/>
      <c r="W1564" s="129"/>
      <c r="X1564" s="36"/>
      <c r="Y1564" s="36"/>
      <c r="Z1564" s="36"/>
      <c r="AA1564" s="125" t="s">
        <v>121</v>
      </c>
      <c r="AB1564" s="173">
        <v>45618</v>
      </c>
      <c r="AC1564" s="119">
        <v>202401418</v>
      </c>
      <c r="AD1564" s="36">
        <f t="shared" si="180"/>
        <v>5500492159</v>
      </c>
      <c r="AE1564" s="36" t="str">
        <f t="shared" si="181"/>
        <v>R900601576 - 519</v>
      </c>
      <c r="AF1564" s="36">
        <v>90</v>
      </c>
      <c r="AG1564" s="120">
        <f t="shared" si="179"/>
        <v>1116</v>
      </c>
      <c r="AH1564" s="36"/>
      <c r="AI1564" s="124"/>
      <c r="AJ1564" s="122" t="s">
        <v>2590</v>
      </c>
      <c r="AK1564" s="129" t="str">
        <f t="shared" ca="1" si="178"/>
        <v>Late</v>
      </c>
      <c r="AL1564" s="268" t="str">
        <f t="shared" si="177"/>
        <v>November</v>
      </c>
      <c r="AM1564" s="133">
        <f>YEAR(Table1[[#This Row],[ETA
As requested
dd.mm.yyyy]])</f>
        <v>2024</v>
      </c>
    </row>
    <row r="1565" spans="1:39" hidden="1">
      <c r="A1565" s="123" t="s">
        <v>25</v>
      </c>
      <c r="B1565" s="36" t="s">
        <v>1170</v>
      </c>
      <c r="C1565" s="117">
        <v>5500492159</v>
      </c>
      <c r="D1565" s="165">
        <v>45437</v>
      </c>
      <c r="E1565" s="117" t="s">
        <v>1032</v>
      </c>
      <c r="F1565" s="36" t="str">
        <f>IFERROR(VLOOKUP(Table1[[#This Row],[Part Number]],DATABASE_FG!$C$6:D11554,2,FALSE)," ")</f>
        <v>THROTTLE SCREW     2FRM 10-3X/</v>
      </c>
      <c r="G1565" s="117" t="str">
        <f>IFERROR(_xlfn.XLOOKUP(Table1[[#This Row],[Part Number]],Table3[Part number],Table3[Drawing
 Revision]),"")</f>
        <v>AI</v>
      </c>
      <c r="H1565" s="118" cm="1">
        <f t="array" ref="H1565">IFERROR(INDEX(PDB!$C:$AT,MATCH(E1565,PDB!$B:$B,0),MATCH(YEAR(K1565),0+PDB!$C$1:$AT$1,0)),"")</f>
        <v>12.4</v>
      </c>
      <c r="I1565" s="36">
        <v>260</v>
      </c>
      <c r="J1565" s="125">
        <f>IFERROR(Table1[[#This Row],[Quantity]]*Table1[[#This Row],[Price/Unit
EUR]]," ")</f>
        <v>3224</v>
      </c>
      <c r="K1565" s="126">
        <v>45609</v>
      </c>
      <c r="L1565" s="36">
        <f>WEEKNUM(Table1[[#This Row],[ETA
As requested
dd.mm.yyyy]])</f>
        <v>46</v>
      </c>
      <c r="M1565" s="36">
        <f>YEAR(Table1[[#This Row],[ETA
As requested
dd.mm.yyyy]])</f>
        <v>2024</v>
      </c>
      <c r="N1565" s="36">
        <f>IFERROR(INDEX(DATABASE_FG!$H$5:$H$367, MATCH(E1565, DATABASE_FG!$C$5:$C$367, 0)), " ")</f>
        <v>47</v>
      </c>
      <c r="O1565" s="129" t="str">
        <f>IF(E1565&lt;&gt;"", _xlfn.XLOOKUP(E1565, DATABASE_FG!C:C, DATABASE_FG!F:F), " ")</f>
        <v>Drosselboltzen</v>
      </c>
      <c r="P1565" s="129">
        <f>IFERROR(INDEX(DATABASE_FG!$G$5:$G$367, MATCH(E1565, DATABASE_FG!$C$5:$C$367, 0)), "Not Found")</f>
        <v>340</v>
      </c>
      <c r="Q1565" s="36">
        <v>42</v>
      </c>
      <c r="R1565" s="125" t="s">
        <v>678</v>
      </c>
      <c r="S1565" s="123">
        <f>IFERROR(INDEX(DATABASE_FG!$L$5:$L$367, MATCH(E1565, DATABASE_FG!$C$5:$C$367, 0)), " ")</f>
        <v>40</v>
      </c>
      <c r="T1565" s="36" t="s">
        <v>677</v>
      </c>
      <c r="U1565" s="36"/>
      <c r="V1565" s="36"/>
      <c r="W1565" s="129"/>
      <c r="X1565" s="36"/>
      <c r="Y1565" s="36"/>
      <c r="Z1565" s="36"/>
      <c r="AA1565" s="125" t="s">
        <v>121</v>
      </c>
      <c r="AB1565" s="173">
        <v>45684</v>
      </c>
      <c r="AC1565" s="119" t="s">
        <v>2591</v>
      </c>
      <c r="AD1565" s="36">
        <f t="shared" si="180"/>
        <v>5500492159</v>
      </c>
      <c r="AE1565" s="36" t="str">
        <f t="shared" si="181"/>
        <v>R900601576 - 519</v>
      </c>
      <c r="AF1565" s="36">
        <v>260</v>
      </c>
      <c r="AG1565" s="120">
        <f t="shared" si="179"/>
        <v>3224</v>
      </c>
      <c r="AH1565" s="36"/>
      <c r="AI1565" s="124"/>
      <c r="AJ1565" s="122" t="s">
        <v>2592</v>
      </c>
      <c r="AK1565" s="129" t="str">
        <f t="shared" ca="1" si="178"/>
        <v>Late</v>
      </c>
      <c r="AL1565" s="268" t="str">
        <f t="shared" si="177"/>
        <v>November</v>
      </c>
      <c r="AM1565" s="133">
        <f>YEAR(Table1[[#This Row],[ETA
As requested
dd.mm.yyyy]])</f>
        <v>2024</v>
      </c>
    </row>
    <row r="1566" spans="1:39" hidden="1">
      <c r="A1566" s="123" t="s">
        <v>25</v>
      </c>
      <c r="B1566" s="36" t="s">
        <v>1170</v>
      </c>
      <c r="C1566" s="117">
        <v>5500492159</v>
      </c>
      <c r="D1566" s="165">
        <v>45438</v>
      </c>
      <c r="E1566" s="117" t="s">
        <v>1032</v>
      </c>
      <c r="F1566" s="36" t="str">
        <f>IFERROR(VLOOKUP(Table1[[#This Row],[Part Number]],DATABASE_FG!$C$6:D11555,2,FALSE)," ")</f>
        <v>THROTTLE SCREW     2FRM 10-3X/</v>
      </c>
      <c r="G1566" s="117" t="str">
        <f>IFERROR(_xlfn.XLOOKUP(Table1[[#This Row],[Part Number]],Table3[Part number],Table3[Drawing
 Revision]),"")</f>
        <v>AI</v>
      </c>
      <c r="H1566" s="118" cm="1">
        <f t="array" ref="H1566">IFERROR(INDEX(PDB!$C:$AT,MATCH(E1566,PDB!$B:$B,0),MATCH(YEAR(K1566),0+PDB!$C$1:$AT$1,0)),"")</f>
        <v>12.4</v>
      </c>
      <c r="I1566" s="36">
        <v>250</v>
      </c>
      <c r="J1566" s="125">
        <f>IFERROR(Table1[[#This Row],[Quantity]]*Table1[[#This Row],[Price/Unit
EUR]]," ")</f>
        <v>3100</v>
      </c>
      <c r="K1566" s="126">
        <v>45623</v>
      </c>
      <c r="L1566" s="36">
        <f>WEEKNUM(Table1[[#This Row],[ETA
As requested
dd.mm.yyyy]])</f>
        <v>48</v>
      </c>
      <c r="M1566" s="36">
        <f>YEAR(Table1[[#This Row],[ETA
As requested
dd.mm.yyyy]])</f>
        <v>2024</v>
      </c>
      <c r="N1566" s="36">
        <f>IFERROR(INDEX(DATABASE_FG!$H$5:$H$367, MATCH(E1566, DATABASE_FG!$C$5:$C$367, 0)), " ")</f>
        <v>47</v>
      </c>
      <c r="O1566" s="129" t="str">
        <f>IF(E1566&lt;&gt;"", _xlfn.XLOOKUP(E1566, DATABASE_FG!C:C, DATABASE_FG!F:F), " ")</f>
        <v>Drosselboltzen</v>
      </c>
      <c r="P1566" s="129">
        <f>IFERROR(INDEX(DATABASE_FG!$G$5:$G$367, MATCH(E1566, DATABASE_FG!$C$5:$C$367, 0)), "Not Found")</f>
        <v>340</v>
      </c>
      <c r="Q1566" s="36">
        <v>43</v>
      </c>
      <c r="R1566" s="125" t="s">
        <v>678</v>
      </c>
      <c r="S1566" s="123">
        <f>IFERROR(INDEX(DATABASE_FG!$L$5:$L$367, MATCH(E1566, DATABASE_FG!$C$5:$C$367, 0)), " ")</f>
        <v>40</v>
      </c>
      <c r="T1566" s="36" t="s">
        <v>677</v>
      </c>
      <c r="U1566" s="36"/>
      <c r="V1566" s="36"/>
      <c r="W1566" s="129"/>
      <c r="X1566" s="36"/>
      <c r="Y1566" s="36"/>
      <c r="Z1566" s="36"/>
      <c r="AA1566" s="125" t="s">
        <v>121</v>
      </c>
      <c r="AB1566" s="173">
        <v>45684</v>
      </c>
      <c r="AC1566" s="119" t="s">
        <v>2628</v>
      </c>
      <c r="AD1566" s="36">
        <f t="shared" si="180"/>
        <v>5500492159</v>
      </c>
      <c r="AE1566" s="36" t="str">
        <f t="shared" si="181"/>
        <v>R900601576 - 519</v>
      </c>
      <c r="AF1566" s="36">
        <v>250</v>
      </c>
      <c r="AG1566" s="120">
        <f t="shared" si="179"/>
        <v>3100</v>
      </c>
      <c r="AH1566" s="36"/>
      <c r="AI1566" s="124"/>
      <c r="AJ1566" s="122" t="s">
        <v>2629</v>
      </c>
      <c r="AK1566" s="129" t="str">
        <f t="shared" ca="1" si="178"/>
        <v>Late</v>
      </c>
      <c r="AL1566" s="268" t="str">
        <f t="shared" si="177"/>
        <v>November</v>
      </c>
      <c r="AM1566" s="133">
        <f>YEAR(Table1[[#This Row],[ETA
As requested
dd.mm.yyyy]])</f>
        <v>2024</v>
      </c>
    </row>
    <row r="1567" spans="1:39" hidden="1">
      <c r="A1567" s="123" t="s">
        <v>25</v>
      </c>
      <c r="B1567" s="36" t="s">
        <v>1170</v>
      </c>
      <c r="C1567" s="117">
        <v>5500492159</v>
      </c>
      <c r="D1567" s="165">
        <v>45438</v>
      </c>
      <c r="E1567" s="117" t="s">
        <v>1032</v>
      </c>
      <c r="F1567" s="36" t="str">
        <f>IFERROR(VLOOKUP(Table1[[#This Row],[Part Number]],DATABASE_FG!$C$6:D11556,2,FALSE)," ")</f>
        <v>THROTTLE SCREW     2FRM 10-3X/</v>
      </c>
      <c r="G1567" s="117" t="str">
        <f>IFERROR(_xlfn.XLOOKUP(Table1[[#This Row],[Part Number]],Table3[Part number],Table3[Drawing
 Revision]),"")</f>
        <v>AI</v>
      </c>
      <c r="H1567" s="118" cm="1">
        <f t="array" ref="H1567">IFERROR(INDEX(PDB!$C:$AT,MATCH(E1567,PDB!$B:$B,0),MATCH(YEAR(K1567),0+PDB!$C$1:$AT$1,0)),"")</f>
        <v>12.4</v>
      </c>
      <c r="I1567" s="36">
        <v>166</v>
      </c>
      <c r="J1567" s="125">
        <f>IFERROR(Table1[[#This Row],[Quantity]]*Table1[[#This Row],[Price/Unit
EUR]]," ")</f>
        <v>2058.4</v>
      </c>
      <c r="K1567" s="126">
        <v>45623</v>
      </c>
      <c r="L1567" s="36">
        <f>WEEKNUM(Table1[[#This Row],[ETA
As requested
dd.mm.yyyy]])</f>
        <v>48</v>
      </c>
      <c r="M1567" s="36">
        <f>YEAR(Table1[[#This Row],[ETA
As requested
dd.mm.yyyy]])</f>
        <v>2024</v>
      </c>
      <c r="N1567" s="36">
        <f>IFERROR(INDEX(DATABASE_FG!$H$5:$H$367, MATCH(E1567, DATABASE_FG!$C$5:$C$367, 0)), " ")</f>
        <v>47</v>
      </c>
      <c r="O1567" s="129" t="str">
        <f>IF(E1567&lt;&gt;"", _xlfn.XLOOKUP(E1567, DATABASE_FG!C:C, DATABASE_FG!F:F), " ")</f>
        <v>Drosselboltzen</v>
      </c>
      <c r="P1567" s="129">
        <f>IFERROR(INDEX(DATABASE_FG!$G$5:$G$367, MATCH(E1567, DATABASE_FG!$C$5:$C$367, 0)), "Not Found")</f>
        <v>340</v>
      </c>
      <c r="Q1567" s="36">
        <v>43</v>
      </c>
      <c r="R1567" s="125" t="s">
        <v>678</v>
      </c>
      <c r="S1567" s="123">
        <f>IFERROR(INDEX(DATABASE_FG!$L$5:$L$367, MATCH(E1567, DATABASE_FG!$C$5:$C$367, 0)), " ")</f>
        <v>40</v>
      </c>
      <c r="T1567" s="36" t="s">
        <v>677</v>
      </c>
      <c r="U1567" s="36"/>
      <c r="V1567" s="36"/>
      <c r="W1567" s="129"/>
      <c r="X1567" s="36"/>
      <c r="Y1567" s="36"/>
      <c r="Z1567" s="36"/>
      <c r="AA1567" s="125" t="s">
        <v>121</v>
      </c>
      <c r="AB1567" s="173">
        <v>45688</v>
      </c>
      <c r="AC1567" s="119" t="s">
        <v>2630</v>
      </c>
      <c r="AD1567" s="36">
        <f t="shared" si="180"/>
        <v>5500492159</v>
      </c>
      <c r="AE1567" s="36" t="str">
        <f t="shared" si="181"/>
        <v>R900601576 - 519</v>
      </c>
      <c r="AF1567" s="36">
        <v>166</v>
      </c>
      <c r="AG1567" s="120">
        <f t="shared" si="179"/>
        <v>2058.4</v>
      </c>
      <c r="AH1567" s="36"/>
      <c r="AI1567" s="124"/>
      <c r="AJ1567" s="122" t="s">
        <v>2631</v>
      </c>
      <c r="AK1567" s="129" t="str">
        <f t="shared" ca="1" si="178"/>
        <v>Late</v>
      </c>
      <c r="AL1567" s="268" t="str">
        <f t="shared" si="177"/>
        <v>November</v>
      </c>
      <c r="AM1567" s="133">
        <f>YEAR(Table1[[#This Row],[ETA
As requested
dd.mm.yyyy]])</f>
        <v>2024</v>
      </c>
    </row>
    <row r="1568" spans="1:39" hidden="1">
      <c r="A1568" s="123" t="s">
        <v>25</v>
      </c>
      <c r="B1568" s="36" t="s">
        <v>1170</v>
      </c>
      <c r="C1568" s="117">
        <v>5500492159</v>
      </c>
      <c r="D1568" s="165">
        <v>45439</v>
      </c>
      <c r="E1568" s="117" t="s">
        <v>1032</v>
      </c>
      <c r="F1568" s="36" t="str">
        <f>IFERROR(VLOOKUP(Table1[[#This Row],[Part Number]],DATABASE_FG!$C$6:D11557,2,FALSE)," ")</f>
        <v>THROTTLE SCREW     2FRM 10-3X/</v>
      </c>
      <c r="G1568" s="117" t="str">
        <f>IFERROR(_xlfn.XLOOKUP(Table1[[#This Row],[Part Number]],Table3[Part number],Table3[Drawing
 Revision]),"")</f>
        <v>AI</v>
      </c>
      <c r="H1568" s="118" cm="1">
        <f t="array" ref="H1568">IFERROR(INDEX(PDB!$C:$AT,MATCH(E1568,PDB!$B:$B,0),MATCH(YEAR(K1568),0+PDB!$C$1:$AT$1,0)),"")</f>
        <v>12.4</v>
      </c>
      <c r="I1568" s="36">
        <v>204</v>
      </c>
      <c r="J1568" s="125">
        <f>IFERROR(Table1[[#This Row],[Quantity]]*Table1[[#This Row],[Price/Unit
EUR]]," ")</f>
        <v>2529.6</v>
      </c>
      <c r="K1568" s="126">
        <v>45674</v>
      </c>
      <c r="L1568" s="36">
        <f>WEEKNUM(Table1[[#This Row],[ETA
As requested
dd.mm.yyyy]])</f>
        <v>3</v>
      </c>
      <c r="M1568" s="36">
        <f>YEAR(Table1[[#This Row],[ETA
As requested
dd.mm.yyyy]])</f>
        <v>2025</v>
      </c>
      <c r="N1568" s="36">
        <f>IFERROR(INDEX(DATABASE_FG!$H$5:$H$367, MATCH(E1568, DATABASE_FG!$C$5:$C$367, 0)), " ")</f>
        <v>47</v>
      </c>
      <c r="O1568" s="129" t="str">
        <f>IF(E1568&lt;&gt;"", _xlfn.XLOOKUP(E1568, DATABASE_FG!C:C, DATABASE_FG!F:F), " ")</f>
        <v>Drosselboltzen</v>
      </c>
      <c r="P1568" s="129">
        <f>IFERROR(INDEX(DATABASE_FG!$G$5:$G$367, MATCH(E1568, DATABASE_FG!$C$5:$C$367, 0)), "Not Found")</f>
        <v>340</v>
      </c>
      <c r="Q1568" s="36">
        <v>42</v>
      </c>
      <c r="R1568" s="125" t="s">
        <v>678</v>
      </c>
      <c r="S1568" s="123">
        <f>IFERROR(INDEX(DATABASE_FG!$L$5:$L$367, MATCH(E1568, DATABASE_FG!$C$5:$C$367, 0)), " ")</f>
        <v>40</v>
      </c>
      <c r="T1568" s="36" t="s">
        <v>677</v>
      </c>
      <c r="U1568" s="36"/>
      <c r="V1568" s="36"/>
      <c r="W1568" s="129"/>
      <c r="X1568" s="36"/>
      <c r="Y1568" s="36" t="s">
        <v>2737</v>
      </c>
      <c r="Z1568" s="36"/>
      <c r="AA1568" s="125" t="s">
        <v>121</v>
      </c>
      <c r="AB1568" s="173">
        <v>45709</v>
      </c>
      <c r="AC1568" s="119">
        <v>25246</v>
      </c>
      <c r="AD1568" s="36">
        <f t="shared" si="180"/>
        <v>5500492159</v>
      </c>
      <c r="AE1568" s="36" t="str">
        <f t="shared" si="181"/>
        <v>R900601576 - 519</v>
      </c>
      <c r="AF1568" s="36">
        <v>204</v>
      </c>
      <c r="AG1568" s="120">
        <f t="shared" si="179"/>
        <v>2529.6</v>
      </c>
      <c r="AH1568" s="36"/>
      <c r="AI1568" s="124"/>
      <c r="AJ1568" s="122" t="s">
        <v>2738</v>
      </c>
      <c r="AK1568" s="129" t="str">
        <f t="shared" ca="1" si="178"/>
        <v>Late</v>
      </c>
      <c r="AL1568" s="268" t="str">
        <f t="shared" si="177"/>
        <v>January</v>
      </c>
      <c r="AM1568" s="133">
        <f>YEAR(Table1[[#This Row],[ETA
As requested
dd.mm.yyyy]])</f>
        <v>2025</v>
      </c>
    </row>
    <row r="1569" spans="1:39" hidden="1">
      <c r="A1569" s="123" t="s">
        <v>25</v>
      </c>
      <c r="B1569" s="36" t="s">
        <v>1170</v>
      </c>
      <c r="C1569" s="117">
        <v>5500492159</v>
      </c>
      <c r="D1569" s="165">
        <v>45439</v>
      </c>
      <c r="E1569" s="117" t="s">
        <v>1032</v>
      </c>
      <c r="F1569" s="36" t="str">
        <f>IFERROR(VLOOKUP(Table1[[#This Row],[Part Number]],DATABASE_FG!$C$6:D11558,2,FALSE)," ")</f>
        <v>THROTTLE SCREW     2FRM 10-3X/</v>
      </c>
      <c r="G1569" s="117" t="str">
        <f>IFERROR(_xlfn.XLOOKUP(Table1[[#This Row],[Part Number]],Table3[Part number],Table3[Drawing
 Revision]),"")</f>
        <v>AI</v>
      </c>
      <c r="H1569" s="118" cm="1">
        <f t="array" ref="H1569">IFERROR(INDEX(PDB!$C:$AT,MATCH(E1569,PDB!$B:$B,0),MATCH(YEAR(K1569),0+PDB!$C$1:$AT$1,0)),"")</f>
        <v>12.4</v>
      </c>
      <c r="I1569" s="36">
        <f>264-204</f>
        <v>60</v>
      </c>
      <c r="J1569" s="125">
        <f>IFERROR(Table1[[#This Row],[Quantity]]*Table1[[#This Row],[Price/Unit
EUR]]," ")</f>
        <v>744</v>
      </c>
      <c r="K1569" s="126">
        <v>45674</v>
      </c>
      <c r="L1569" s="36">
        <f>WEEKNUM(Table1[[#This Row],[ETA
As requested
dd.mm.yyyy]])</f>
        <v>3</v>
      </c>
      <c r="M1569" s="36">
        <f>YEAR(Table1[[#This Row],[ETA
As requested
dd.mm.yyyy]])</f>
        <v>2025</v>
      </c>
      <c r="N1569" s="36">
        <f>IFERROR(INDEX(DATABASE_FG!$H$5:$H$367, MATCH(E1569, DATABASE_FG!$C$5:$C$367, 0)), " ")</f>
        <v>47</v>
      </c>
      <c r="O1569" s="129" t="str">
        <f>IF(E1569&lt;&gt;"", _xlfn.XLOOKUP(E1569, DATABASE_FG!C:C, DATABASE_FG!F:F), " ")</f>
        <v>Drosselboltzen</v>
      </c>
      <c r="P1569" s="129">
        <f>IFERROR(INDEX(DATABASE_FG!$G$5:$G$367, MATCH(E1569, DATABASE_FG!$C$5:$C$367, 0)), "Not Found")</f>
        <v>340</v>
      </c>
      <c r="Q1569" s="36">
        <v>42</v>
      </c>
      <c r="R1569" s="125" t="s">
        <v>678</v>
      </c>
      <c r="S1569" s="123">
        <f>IFERROR(INDEX(DATABASE_FG!$L$5:$L$367, MATCH(E1569, DATABASE_FG!$C$5:$C$367, 0)), " ")</f>
        <v>40</v>
      </c>
      <c r="T1569" s="36" t="s">
        <v>677</v>
      </c>
      <c r="U1569" s="36"/>
      <c r="V1569" s="36"/>
      <c r="W1569" s="129"/>
      <c r="X1569" s="36"/>
      <c r="Y1569" s="36" t="s">
        <v>2737</v>
      </c>
      <c r="Z1569" s="36"/>
      <c r="AA1569" s="125" t="s">
        <v>121</v>
      </c>
      <c r="AB1569" s="173">
        <v>45712</v>
      </c>
      <c r="AC1569" s="119">
        <v>25256</v>
      </c>
      <c r="AD1569" s="36">
        <f t="shared" si="180"/>
        <v>5500492159</v>
      </c>
      <c r="AE1569" s="36" t="str">
        <f t="shared" si="181"/>
        <v>R900601576 - 519</v>
      </c>
      <c r="AF1569" s="36">
        <v>60</v>
      </c>
      <c r="AG1569" s="120">
        <f t="shared" si="179"/>
        <v>744</v>
      </c>
      <c r="AH1569" s="36"/>
      <c r="AI1569" s="124"/>
      <c r="AJ1569" s="122" t="s">
        <v>2739</v>
      </c>
      <c r="AK1569" s="129" t="str">
        <f t="shared" ca="1" si="178"/>
        <v>Late</v>
      </c>
      <c r="AL1569" s="268" t="str">
        <f t="shared" si="177"/>
        <v>January</v>
      </c>
      <c r="AM1569" s="133">
        <f>YEAR(Table1[[#This Row],[ETA
As requested
dd.mm.yyyy]])</f>
        <v>2025</v>
      </c>
    </row>
    <row r="1570" spans="1:39" hidden="1">
      <c r="A1570" s="123" t="s">
        <v>25</v>
      </c>
      <c r="B1570" s="36" t="s">
        <v>1170</v>
      </c>
      <c r="C1570" s="117">
        <v>5500492159</v>
      </c>
      <c r="D1570" s="165">
        <v>45439</v>
      </c>
      <c r="E1570" s="117" t="s">
        <v>1032</v>
      </c>
      <c r="F1570" s="36" t="str">
        <f>IFERROR(VLOOKUP(Table1[[#This Row],[Part Number]],DATABASE_FG!$C$6:D11559,2,FALSE)," ")</f>
        <v>THROTTLE SCREW     2FRM 10-3X/</v>
      </c>
      <c r="G1570" s="117" t="str">
        <f>IFERROR(_xlfn.XLOOKUP(Table1[[#This Row],[Part Number]],Table3[Part number],Table3[Drawing
 Revision]),"")</f>
        <v>AI</v>
      </c>
      <c r="H1570" s="118" cm="1">
        <f t="array" ref="H1570">IFERROR(INDEX(PDB!$C:$AT,MATCH(E1570,PDB!$B:$B,0),MATCH(YEAR(K1570),0+PDB!$C$1:$AT$1,0)),"")</f>
        <v>12.4</v>
      </c>
      <c r="I1570" s="36">
        <v>180</v>
      </c>
      <c r="J1570" s="125">
        <f>IFERROR(Table1[[#This Row],[Quantity]]*Table1[[#This Row],[Price/Unit
EUR]]," ")</f>
        <v>2232</v>
      </c>
      <c r="K1570" s="126">
        <v>45695</v>
      </c>
      <c r="L1570" s="36">
        <f>WEEKNUM(Table1[[#This Row],[ETA
As requested
dd.mm.yyyy]])</f>
        <v>6</v>
      </c>
      <c r="M1570" s="36">
        <f>YEAR(Table1[[#This Row],[ETA
As requested
dd.mm.yyyy]])</f>
        <v>2025</v>
      </c>
      <c r="N1570" s="36">
        <f>IFERROR(INDEX(DATABASE_FG!$H$5:$H$367, MATCH(E1570, DATABASE_FG!$C$5:$C$367, 0)), " ")</f>
        <v>47</v>
      </c>
      <c r="O1570" s="129" t="str">
        <f>IF(E1570&lt;&gt;"", _xlfn.XLOOKUP(E1570, DATABASE_FG!C:C, DATABASE_FG!F:F), " ")</f>
        <v>Drosselboltzen</v>
      </c>
      <c r="P1570" s="129">
        <f>IFERROR(INDEX(DATABASE_FG!$G$5:$G$367, MATCH(E1570, DATABASE_FG!$C$5:$C$367, 0)), "Not Found")</f>
        <v>340</v>
      </c>
      <c r="Q1570" s="36">
        <v>42</v>
      </c>
      <c r="R1570" s="125" t="s">
        <v>678</v>
      </c>
      <c r="S1570" s="123">
        <f>IFERROR(INDEX(DATABASE_FG!$L$5:$L$367, MATCH(E1570, DATABASE_FG!$C$5:$C$367, 0)), " ")</f>
        <v>40</v>
      </c>
      <c r="T1570" s="36" t="s">
        <v>677</v>
      </c>
      <c r="U1570" s="36"/>
      <c r="V1570" s="36"/>
      <c r="W1570" s="129"/>
      <c r="X1570" s="36"/>
      <c r="Y1570" s="36" t="s">
        <v>2737</v>
      </c>
      <c r="Z1570" s="36"/>
      <c r="AA1570" s="125" t="s">
        <v>121</v>
      </c>
      <c r="AB1570" s="173">
        <v>45712</v>
      </c>
      <c r="AC1570" s="119">
        <v>25256</v>
      </c>
      <c r="AD1570" s="36">
        <f t="shared" si="180"/>
        <v>5500492159</v>
      </c>
      <c r="AE1570" s="36" t="str">
        <f t="shared" si="181"/>
        <v>R900601576 - 519</v>
      </c>
      <c r="AF1570" s="36">
        <v>180</v>
      </c>
      <c r="AG1570" s="120">
        <f t="shared" si="179"/>
        <v>2232</v>
      </c>
      <c r="AH1570" s="36"/>
      <c r="AI1570" s="124"/>
      <c r="AJ1570" s="122" t="s">
        <v>2739</v>
      </c>
      <c r="AK1570" s="129" t="str">
        <f t="shared" ca="1" si="178"/>
        <v>Late</v>
      </c>
      <c r="AL1570" s="268" t="str">
        <f t="shared" si="177"/>
        <v>February</v>
      </c>
      <c r="AM1570" s="133">
        <f>YEAR(Table1[[#This Row],[ETA
As requested
dd.mm.yyyy]])</f>
        <v>2025</v>
      </c>
    </row>
    <row r="1571" spans="1:39" hidden="1">
      <c r="A1571" s="123" t="s">
        <v>25</v>
      </c>
      <c r="B1571" s="36" t="s">
        <v>1170</v>
      </c>
      <c r="C1571" s="117">
        <v>5500492159</v>
      </c>
      <c r="D1571" s="165">
        <v>45439</v>
      </c>
      <c r="E1571" s="117" t="s">
        <v>1032</v>
      </c>
      <c r="F1571" s="36" t="str">
        <f>IFERROR(VLOOKUP(Table1[[#This Row],[Part Number]],DATABASE_FG!$C$6:D11560,2,FALSE)," ")</f>
        <v>THROTTLE SCREW     2FRM 10-3X/</v>
      </c>
      <c r="G1571" s="117" t="str">
        <f>IFERROR(_xlfn.XLOOKUP(Table1[[#This Row],[Part Number]],Table3[Part number],Table3[Drawing
 Revision]),"")</f>
        <v>AI</v>
      </c>
      <c r="H1571" s="118" cm="1">
        <f t="array" ref="H1571">IFERROR(INDEX(PDB!$C:$AT,MATCH(E1571,PDB!$B:$B,0),MATCH(YEAR(K1571),0+PDB!$C$1:$AT$1,0)),"")</f>
        <v>12.4</v>
      </c>
      <c r="I1571" s="36">
        <v>120</v>
      </c>
      <c r="J1571" s="125">
        <f>IFERROR(Table1[[#This Row],[Quantity]]*Table1[[#This Row],[Price/Unit
EUR]]," ")</f>
        <v>1488</v>
      </c>
      <c r="K1571" s="126">
        <v>45695</v>
      </c>
      <c r="L1571" s="36">
        <f>WEEKNUM(Table1[[#This Row],[ETA
As requested
dd.mm.yyyy]])</f>
        <v>6</v>
      </c>
      <c r="M1571" s="36">
        <f>YEAR(Table1[[#This Row],[ETA
As requested
dd.mm.yyyy]])</f>
        <v>2025</v>
      </c>
      <c r="N1571" s="36">
        <f>IFERROR(INDEX(DATABASE_FG!$H$5:$H$367, MATCH(E1571, DATABASE_FG!$C$5:$C$367, 0)), " ")</f>
        <v>47</v>
      </c>
      <c r="O1571" s="129" t="str">
        <f>IF(E1571&lt;&gt;"", _xlfn.XLOOKUP(E1571, DATABASE_FG!C:C, DATABASE_FG!F:F), " ")</f>
        <v>Drosselboltzen</v>
      </c>
      <c r="P1571" s="129">
        <f>IFERROR(INDEX(DATABASE_FG!$G$5:$G$367, MATCH(E1571, DATABASE_FG!$C$5:$C$367, 0)), "Not Found")</f>
        <v>340</v>
      </c>
      <c r="Q1571" s="36">
        <v>42</v>
      </c>
      <c r="R1571" s="125" t="s">
        <v>678</v>
      </c>
      <c r="S1571" s="123">
        <f>IFERROR(INDEX(DATABASE_FG!$L$5:$L$367, MATCH(E1571, DATABASE_FG!$C$5:$C$367, 0)), " ")</f>
        <v>40</v>
      </c>
      <c r="T1571" s="36" t="s">
        <v>677</v>
      </c>
      <c r="U1571" s="36"/>
      <c r="V1571" s="36"/>
      <c r="W1571" s="129"/>
      <c r="X1571" s="36"/>
      <c r="Y1571" s="36" t="s">
        <v>2737</v>
      </c>
      <c r="Z1571" s="36"/>
      <c r="AA1571" s="125" t="s">
        <v>121</v>
      </c>
      <c r="AB1571" s="173">
        <v>45713</v>
      </c>
      <c r="AC1571" s="119">
        <v>25262</v>
      </c>
      <c r="AD1571" s="36">
        <f t="shared" si="180"/>
        <v>5500492159</v>
      </c>
      <c r="AE1571" s="36" t="str">
        <f t="shared" si="181"/>
        <v>R900601576 - 519</v>
      </c>
      <c r="AF1571" s="36">
        <v>120</v>
      </c>
      <c r="AG1571" s="120">
        <f t="shared" si="179"/>
        <v>1488</v>
      </c>
      <c r="AH1571" s="36"/>
      <c r="AI1571" s="124"/>
      <c r="AJ1571" s="122" t="s">
        <v>2786</v>
      </c>
      <c r="AK1571" s="129" t="str">
        <f t="shared" ca="1" si="178"/>
        <v>Late</v>
      </c>
      <c r="AL1571" s="268" t="str">
        <f t="shared" si="177"/>
        <v>February</v>
      </c>
      <c r="AM1571" s="133">
        <f>YEAR(Table1[[#This Row],[ETA
As requested
dd.mm.yyyy]])</f>
        <v>2025</v>
      </c>
    </row>
    <row r="1572" spans="1:39" hidden="1">
      <c r="A1572" s="123" t="s">
        <v>25</v>
      </c>
      <c r="B1572" s="36" t="s">
        <v>1170</v>
      </c>
      <c r="C1572" s="117">
        <v>5500492159</v>
      </c>
      <c r="D1572" s="165">
        <v>45439</v>
      </c>
      <c r="E1572" s="117" t="s">
        <v>1032</v>
      </c>
      <c r="F1572" s="36" t="str">
        <f>IFERROR(VLOOKUP(Table1[[#This Row],[Part Number]],DATABASE_FG!$C$6:D11561,2,FALSE)," ")</f>
        <v>THROTTLE SCREW     2FRM 10-3X/</v>
      </c>
      <c r="G1572" s="117" t="str">
        <f>IFERROR(_xlfn.XLOOKUP(Table1[[#This Row],[Part Number]],Table3[Part number],Table3[Drawing
 Revision]),"")</f>
        <v>AI</v>
      </c>
      <c r="H1572" s="118" cm="1">
        <f t="array" ref="H1572">IFERROR(INDEX(PDB!$C:$AT,MATCH(E1572,PDB!$B:$B,0),MATCH(YEAR(K1572),0+PDB!$C$1:$AT$1,0)),"")</f>
        <v>12.4</v>
      </c>
      <c r="I1572" s="36">
        <f>340-180-120</f>
        <v>40</v>
      </c>
      <c r="J1572" s="125">
        <f>IFERROR(Table1[[#This Row],[Quantity]]*Table1[[#This Row],[Price/Unit
EUR]]," ")</f>
        <v>496</v>
      </c>
      <c r="K1572" s="126">
        <v>45695</v>
      </c>
      <c r="L1572" s="36">
        <f>WEEKNUM(Table1[[#This Row],[ETA
As requested
dd.mm.yyyy]])</f>
        <v>6</v>
      </c>
      <c r="M1572" s="36">
        <f>YEAR(Table1[[#This Row],[ETA
As requested
dd.mm.yyyy]])</f>
        <v>2025</v>
      </c>
      <c r="N1572" s="36">
        <f>IFERROR(INDEX(DATABASE_FG!$H$5:$H$367, MATCH(E1572, DATABASE_FG!$C$5:$C$367, 0)), " ")</f>
        <v>47</v>
      </c>
      <c r="O1572" s="129" t="str">
        <f>IF(E1572&lt;&gt;"", _xlfn.XLOOKUP(E1572, DATABASE_FG!C:C, DATABASE_FG!F:F), " ")</f>
        <v>Drosselboltzen</v>
      </c>
      <c r="P1572" s="129">
        <f>IFERROR(INDEX(DATABASE_FG!$G$5:$G$367, MATCH(E1572, DATABASE_FG!$C$5:$C$367, 0)), "Not Found")</f>
        <v>340</v>
      </c>
      <c r="Q1572" s="36">
        <v>42</v>
      </c>
      <c r="R1572" s="125" t="s">
        <v>678</v>
      </c>
      <c r="S1572" s="123">
        <f>IFERROR(INDEX(DATABASE_FG!$L$5:$L$367, MATCH(E1572, DATABASE_FG!$C$5:$C$367, 0)), " ")</f>
        <v>40</v>
      </c>
      <c r="T1572" s="36" t="s">
        <v>677</v>
      </c>
      <c r="U1572" s="36"/>
      <c r="V1572" s="36"/>
      <c r="W1572" s="129"/>
      <c r="X1572" s="36"/>
      <c r="Y1572" s="36" t="s">
        <v>2737</v>
      </c>
      <c r="Z1572" s="36"/>
      <c r="AA1572" s="125" t="s">
        <v>121</v>
      </c>
      <c r="AB1572" s="173">
        <v>45719</v>
      </c>
      <c r="AC1572" s="119">
        <v>25299</v>
      </c>
      <c r="AD1572" s="36">
        <f t="shared" si="180"/>
        <v>5500492159</v>
      </c>
      <c r="AE1572" s="36" t="str">
        <f t="shared" si="181"/>
        <v>R900601576 - 519</v>
      </c>
      <c r="AF1572" s="36">
        <v>40</v>
      </c>
      <c r="AG1572" s="120">
        <f t="shared" si="179"/>
        <v>496</v>
      </c>
      <c r="AH1572" s="36"/>
      <c r="AI1572" s="124"/>
      <c r="AJ1572" s="122" t="s">
        <v>2787</v>
      </c>
      <c r="AK1572" s="129" t="str">
        <f t="shared" ca="1" si="178"/>
        <v>Late</v>
      </c>
      <c r="AL1572" s="268" t="str">
        <f t="shared" si="177"/>
        <v>February</v>
      </c>
      <c r="AM1572" s="133">
        <f>YEAR(Table1[[#This Row],[ETA
As requested
dd.mm.yyyy]])</f>
        <v>2025</v>
      </c>
    </row>
    <row r="1573" spans="1:39" hidden="1">
      <c r="A1573" s="123" t="s">
        <v>25</v>
      </c>
      <c r="B1573" s="36" t="s">
        <v>1170</v>
      </c>
      <c r="C1573" s="117">
        <v>5500492159</v>
      </c>
      <c r="D1573" s="165">
        <v>45439</v>
      </c>
      <c r="E1573" s="117" t="s">
        <v>1032</v>
      </c>
      <c r="F1573" s="36" t="str">
        <f>IFERROR(VLOOKUP(Table1[[#This Row],[Part Number]],DATABASE_FG!$C$6:D11562,2,FALSE)," ")</f>
        <v>THROTTLE SCREW     2FRM 10-3X/</v>
      </c>
      <c r="G1573" s="117" t="str">
        <f>IFERROR(_xlfn.XLOOKUP(Table1[[#This Row],[Part Number]],Table3[Part number],Table3[Drawing
 Revision]),"")</f>
        <v>AI</v>
      </c>
      <c r="H1573" s="118" cm="1">
        <f t="array" ref="H1573">IFERROR(INDEX(PDB!$C:$AT,MATCH(E1573,PDB!$B:$B,0),MATCH(YEAR(K1573),0+PDB!$C$1:$AT$1,0)),"")</f>
        <v>12.4</v>
      </c>
      <c r="I1573" s="36">
        <v>175</v>
      </c>
      <c r="J1573" s="125">
        <f>IFERROR(Table1[[#This Row],[Quantity]]*Table1[[#This Row],[Price/Unit
EUR]]," ")</f>
        <v>2170</v>
      </c>
      <c r="K1573" s="126">
        <v>45730</v>
      </c>
      <c r="L1573" s="36">
        <f>WEEKNUM(Table1[[#This Row],[ETA
As requested
dd.mm.yyyy]])</f>
        <v>11</v>
      </c>
      <c r="M1573" s="36">
        <f>YEAR(Table1[[#This Row],[ETA
As requested
dd.mm.yyyy]])</f>
        <v>2025</v>
      </c>
      <c r="N1573" s="36">
        <f>IFERROR(INDEX(DATABASE_FG!$H$5:$H$367, MATCH(E1573, DATABASE_FG!$C$5:$C$367, 0)), " ")</f>
        <v>47</v>
      </c>
      <c r="O1573" s="129" t="str">
        <f>IF(E1573&lt;&gt;"", _xlfn.XLOOKUP(E1573, DATABASE_FG!C:C, DATABASE_FG!F:F), " ")</f>
        <v>Drosselboltzen</v>
      </c>
      <c r="P1573" s="129">
        <f>IFERROR(INDEX(DATABASE_FG!$G$5:$G$367, MATCH(E1573, DATABASE_FG!$C$5:$C$367, 0)), "Not Found")</f>
        <v>340</v>
      </c>
      <c r="Q1573" s="36">
        <v>42</v>
      </c>
      <c r="R1573" s="125" t="s">
        <v>678</v>
      </c>
      <c r="S1573" s="123">
        <f>IFERROR(INDEX(DATABASE_FG!$L$5:$L$367, MATCH(E1573, DATABASE_FG!$C$5:$C$367, 0)), " ")</f>
        <v>40</v>
      </c>
      <c r="T1573" s="36" t="s">
        <v>677</v>
      </c>
      <c r="U1573" s="36"/>
      <c r="V1573" s="36"/>
      <c r="W1573" s="129"/>
      <c r="X1573" s="36"/>
      <c r="Y1573" s="36"/>
      <c r="Z1573" s="36"/>
      <c r="AA1573" s="125" t="s">
        <v>121</v>
      </c>
      <c r="AB1573" s="173">
        <v>45730</v>
      </c>
      <c r="AC1573" s="119">
        <v>25378</v>
      </c>
      <c r="AD1573" s="36">
        <f t="shared" si="180"/>
        <v>5500492159</v>
      </c>
      <c r="AE1573" s="36" t="str">
        <f t="shared" si="181"/>
        <v>R900601576 - 519</v>
      </c>
      <c r="AF1573" s="36">
        <v>175</v>
      </c>
      <c r="AG1573" s="120">
        <f t="shared" si="179"/>
        <v>2170</v>
      </c>
      <c r="AH1573" s="36"/>
      <c r="AI1573" s="124"/>
      <c r="AJ1573" s="122" t="s">
        <v>2954</v>
      </c>
      <c r="AK1573" s="129" t="str">
        <f t="shared" ca="1" si="178"/>
        <v>On Time</v>
      </c>
      <c r="AL1573" s="268" t="str">
        <f t="shared" si="177"/>
        <v>March</v>
      </c>
      <c r="AM1573" s="133">
        <f>YEAR(Table1[[#This Row],[ETA
As requested
dd.mm.yyyy]])</f>
        <v>2025</v>
      </c>
    </row>
    <row r="1574" spans="1:39" hidden="1">
      <c r="A1574" s="123" t="s">
        <v>25</v>
      </c>
      <c r="B1574" s="36" t="s">
        <v>1170</v>
      </c>
      <c r="C1574" s="117">
        <v>5500492159</v>
      </c>
      <c r="D1574" s="165">
        <v>45439</v>
      </c>
      <c r="E1574" s="117" t="s">
        <v>1032</v>
      </c>
      <c r="F1574" s="36" t="str">
        <f>IFERROR(VLOOKUP(Table1[[#This Row],[Part Number]],DATABASE_FG!$C$6:D11563,2,FALSE)," ")</f>
        <v>THROTTLE SCREW     2FRM 10-3X/</v>
      </c>
      <c r="G1574" s="117" t="str">
        <f>IFERROR(_xlfn.XLOOKUP(Table1[[#This Row],[Part Number]],Table3[Part number],Table3[Drawing
 Revision]),"")</f>
        <v>AI</v>
      </c>
      <c r="H1574" s="118" cm="1">
        <f t="array" ref="H1574">IFERROR(INDEX(PDB!$C:$AT,MATCH(E1574,PDB!$B:$B,0),MATCH(YEAR(K1574),0+PDB!$C$1:$AT$1,0)),"")</f>
        <v>12.4</v>
      </c>
      <c r="I1574" s="36">
        <f>340-64-175</f>
        <v>101</v>
      </c>
      <c r="J1574" s="125">
        <f>IFERROR(Table1[[#This Row],[Quantity]]*Table1[[#This Row],[Price/Unit
EUR]]," ")</f>
        <v>1252.4000000000001</v>
      </c>
      <c r="K1574" s="126">
        <v>45730</v>
      </c>
      <c r="L1574" s="36">
        <f>WEEKNUM(Table1[[#This Row],[ETA
As requested
dd.mm.yyyy]])</f>
        <v>11</v>
      </c>
      <c r="M1574" s="36">
        <f>YEAR(Table1[[#This Row],[ETA
As requested
dd.mm.yyyy]])</f>
        <v>2025</v>
      </c>
      <c r="N1574" s="36">
        <f>IFERROR(INDEX(DATABASE_FG!$H$5:$H$367, MATCH(E1574, DATABASE_FG!$C$5:$C$367, 0)), " ")</f>
        <v>47</v>
      </c>
      <c r="O1574" s="129" t="str">
        <f>IF(E1574&lt;&gt;"", _xlfn.XLOOKUP(E1574, DATABASE_FG!C:C, DATABASE_FG!F:F), " ")</f>
        <v>Drosselboltzen</v>
      </c>
      <c r="P1574" s="129">
        <f>IFERROR(INDEX(DATABASE_FG!$G$5:$G$367, MATCH(E1574, DATABASE_FG!$C$5:$C$367, 0)), "Not Found")</f>
        <v>340</v>
      </c>
      <c r="Q1574" s="36">
        <v>42</v>
      </c>
      <c r="R1574" s="125" t="s">
        <v>678</v>
      </c>
      <c r="S1574" s="123">
        <f>IFERROR(INDEX(DATABASE_FG!$L$5:$L$367, MATCH(E1574, DATABASE_FG!$C$5:$C$367, 0)), " ")</f>
        <v>40</v>
      </c>
      <c r="T1574" s="36" t="s">
        <v>677</v>
      </c>
      <c r="U1574" s="36"/>
      <c r="V1574" s="36"/>
      <c r="W1574" s="129"/>
      <c r="X1574" s="36"/>
      <c r="Y1574" s="36" t="s">
        <v>677</v>
      </c>
      <c r="Z1574" s="36"/>
      <c r="AA1574" s="125" t="s">
        <v>121</v>
      </c>
      <c r="AB1574" s="173">
        <v>45736</v>
      </c>
      <c r="AC1574" s="119">
        <v>25420</v>
      </c>
      <c r="AD1574" s="36">
        <f t="shared" si="180"/>
        <v>5500492159</v>
      </c>
      <c r="AE1574" s="36" t="str">
        <f t="shared" si="181"/>
        <v>R900601576 - 519</v>
      </c>
      <c r="AF1574" s="36">
        <v>101</v>
      </c>
      <c r="AG1574" s="120">
        <f t="shared" si="179"/>
        <v>1252.4000000000001</v>
      </c>
      <c r="AH1574" s="36"/>
      <c r="AI1574" s="124"/>
      <c r="AJ1574" s="122" t="s">
        <v>2955</v>
      </c>
      <c r="AK1574" s="129" t="str">
        <f t="shared" ca="1" si="178"/>
        <v>Late</v>
      </c>
      <c r="AL1574" s="268" t="str">
        <f t="shared" si="177"/>
        <v>March</v>
      </c>
      <c r="AM1574" s="133">
        <f>YEAR(Table1[[#This Row],[ETA
As requested
dd.mm.yyyy]])</f>
        <v>2025</v>
      </c>
    </row>
    <row r="1575" spans="1:39" hidden="1">
      <c r="A1575" s="123" t="s">
        <v>25</v>
      </c>
      <c r="B1575" s="36" t="s">
        <v>1170</v>
      </c>
      <c r="C1575" s="117">
        <v>5500492159</v>
      </c>
      <c r="D1575" s="165">
        <v>45439</v>
      </c>
      <c r="E1575" s="117" t="s">
        <v>1032</v>
      </c>
      <c r="F1575" s="36" t="str">
        <f>IFERROR(VLOOKUP(Table1[[#This Row],[Part Number]],DATABASE_FG!$C$6:D11564,2,FALSE)," ")</f>
        <v>THROTTLE SCREW     2FRM 10-3X/</v>
      </c>
      <c r="G1575" s="117" t="str">
        <f>IFERROR(_xlfn.XLOOKUP(Table1[[#This Row],[Part Number]],Table3[Part number],Table3[Drawing
 Revision]),"")</f>
        <v>AI</v>
      </c>
      <c r="H1575" s="118" cm="1">
        <f t="array" ref="H1575">IFERROR(INDEX(PDB!$C:$AT,MATCH(E1575,PDB!$B:$B,0),MATCH(YEAR(K1575),0+PDB!$C$1:$AT$1,0)),"")</f>
        <v>12.4</v>
      </c>
      <c r="I1575" s="36">
        <v>64</v>
      </c>
      <c r="J1575" s="125">
        <f>IFERROR(Table1[[#This Row],[Quantity]]*Table1[[#This Row],[Price/Unit
EUR]]," ")</f>
        <v>793.6</v>
      </c>
      <c r="K1575" s="126">
        <v>45737</v>
      </c>
      <c r="L1575" s="36">
        <f>WEEKNUM(Table1[[#This Row],[ETA
As requested
dd.mm.yyyy]])</f>
        <v>12</v>
      </c>
      <c r="M1575" s="36">
        <f>YEAR(Table1[[#This Row],[ETA
As requested
dd.mm.yyyy]])</f>
        <v>2025</v>
      </c>
      <c r="N1575" s="36">
        <f>IFERROR(INDEX(DATABASE_FG!$H$5:$H$367, MATCH(E1575, DATABASE_FG!$C$5:$C$367, 0)), " ")</f>
        <v>47</v>
      </c>
      <c r="O1575" s="129" t="str">
        <f>IF(E1575&lt;&gt;"", _xlfn.XLOOKUP(E1575, DATABASE_FG!C:C, DATABASE_FG!F:F), " ")</f>
        <v>Drosselboltzen</v>
      </c>
      <c r="P1575" s="129">
        <f>IFERROR(INDEX(DATABASE_FG!$G$5:$G$367, MATCH(E1575, DATABASE_FG!$C$5:$C$367, 0)), "Not Found")</f>
        <v>340</v>
      </c>
      <c r="Q1575" s="36">
        <v>42</v>
      </c>
      <c r="R1575" s="125" t="s">
        <v>678</v>
      </c>
      <c r="S1575" s="123">
        <f>IFERROR(INDEX(DATABASE_FG!$L$5:$L$367, MATCH(E1575, DATABASE_FG!$C$5:$C$367, 0)), " ")</f>
        <v>40</v>
      </c>
      <c r="T1575" s="36" t="s">
        <v>677</v>
      </c>
      <c r="U1575" s="36"/>
      <c r="V1575" s="36"/>
      <c r="W1575" s="129"/>
      <c r="X1575" s="36"/>
      <c r="Y1575" s="36" t="s">
        <v>2737</v>
      </c>
      <c r="Z1575" s="36"/>
      <c r="AA1575" s="125" t="s">
        <v>121</v>
      </c>
      <c r="AB1575" s="173">
        <v>45719</v>
      </c>
      <c r="AC1575" s="119">
        <v>25299</v>
      </c>
      <c r="AD1575" s="36">
        <f t="shared" si="180"/>
        <v>5500492159</v>
      </c>
      <c r="AE1575" s="36" t="str">
        <f t="shared" si="181"/>
        <v>R900601576 - 519</v>
      </c>
      <c r="AF1575" s="36">
        <v>64</v>
      </c>
      <c r="AG1575" s="120">
        <f t="shared" si="179"/>
        <v>793.6</v>
      </c>
      <c r="AH1575" s="36"/>
      <c r="AI1575" s="124"/>
      <c r="AJ1575" s="122" t="s">
        <v>2787</v>
      </c>
      <c r="AK1575" s="129" t="str">
        <f t="shared" ca="1" si="178"/>
        <v>On Time</v>
      </c>
      <c r="AL1575" s="268" t="str">
        <f t="shared" ref="AL1575:AL1638" si="182">TEXT(K1575,"mmmm")</f>
        <v>March</v>
      </c>
      <c r="AM1575" s="133">
        <f>YEAR(Table1[[#This Row],[ETA
As requested
dd.mm.yyyy]])</f>
        <v>2025</v>
      </c>
    </row>
    <row r="1576" spans="1:39" hidden="1">
      <c r="A1576" s="123" t="s">
        <v>25</v>
      </c>
      <c r="B1576" s="36" t="s">
        <v>1170</v>
      </c>
      <c r="C1576" s="117">
        <v>5500492159</v>
      </c>
      <c r="D1576" s="165">
        <v>45439</v>
      </c>
      <c r="E1576" s="117" t="s">
        <v>1032</v>
      </c>
      <c r="F1576" s="36" t="str">
        <f>IFERROR(VLOOKUP(Table1[[#This Row],[Part Number]],DATABASE_FG!$C$6:D11565,2,FALSE)," ")</f>
        <v>THROTTLE SCREW     2FRM 10-3X/</v>
      </c>
      <c r="G1576" s="117" t="str">
        <f>IFERROR(_xlfn.XLOOKUP(Table1[[#This Row],[Part Number]],Table3[Part number],Table3[Drawing
 Revision]),"")</f>
        <v>AI</v>
      </c>
      <c r="H1576" s="118" cm="1">
        <f t="array" ref="H1576">IFERROR(INDEX(PDB!$C:$AT,MATCH(E1576,PDB!$B:$B,0),MATCH(YEAR(K1576),0+PDB!$C$1:$AT$1,0)),"")</f>
        <v>12.4</v>
      </c>
      <c r="I1576" s="36">
        <v>140</v>
      </c>
      <c r="J1576" s="125">
        <f>IFERROR(Table1[[#This Row],[Quantity]]*Table1[[#This Row],[Price/Unit
EUR]]," ")</f>
        <v>1736</v>
      </c>
      <c r="K1576" s="126">
        <v>45762</v>
      </c>
      <c r="L1576" s="36">
        <f>WEEKNUM(Table1[[#This Row],[ETA
As requested
dd.mm.yyyy]])</f>
        <v>16</v>
      </c>
      <c r="M1576" s="36">
        <f>YEAR(Table1[[#This Row],[ETA
As requested
dd.mm.yyyy]])</f>
        <v>2025</v>
      </c>
      <c r="N1576" s="36">
        <f>IFERROR(INDEX(DATABASE_FG!$H$5:$H$367, MATCH(E1576, DATABASE_FG!$C$5:$C$367, 0)), " ")</f>
        <v>47</v>
      </c>
      <c r="O1576" s="129" t="str">
        <f>IF(E1576&lt;&gt;"", _xlfn.XLOOKUP(E1576, DATABASE_FG!C:C, DATABASE_FG!F:F), " ")</f>
        <v>Drosselboltzen</v>
      </c>
      <c r="P1576" s="129">
        <f>IFERROR(INDEX(DATABASE_FG!$G$5:$G$367, MATCH(E1576, DATABASE_FG!$C$5:$C$367, 0)), "Not Found")</f>
        <v>340</v>
      </c>
      <c r="Q1576" s="36">
        <v>42</v>
      </c>
      <c r="R1576" s="125" t="s">
        <v>678</v>
      </c>
      <c r="S1576" s="123">
        <f>IFERROR(INDEX(DATABASE_FG!$L$5:$L$367, MATCH(E1576, DATABASE_FG!$C$5:$C$367, 0)), " ")</f>
        <v>40</v>
      </c>
      <c r="T1576" s="36" t="s">
        <v>677</v>
      </c>
      <c r="U1576" s="36"/>
      <c r="V1576" s="36"/>
      <c r="W1576" s="129"/>
      <c r="X1576" s="36"/>
      <c r="Y1576" s="36" t="s">
        <v>677</v>
      </c>
      <c r="Z1576" s="36"/>
      <c r="AA1576" s="125" t="s">
        <v>121</v>
      </c>
      <c r="AB1576" s="173">
        <v>45792</v>
      </c>
      <c r="AC1576" s="119">
        <v>25777</v>
      </c>
      <c r="AD1576" s="36">
        <f t="shared" si="180"/>
        <v>5500492159</v>
      </c>
      <c r="AE1576" s="36" t="str">
        <f t="shared" si="181"/>
        <v>R900601576 - 519</v>
      </c>
      <c r="AF1576" s="36">
        <v>140</v>
      </c>
      <c r="AG1576" s="120">
        <f t="shared" si="179"/>
        <v>1736</v>
      </c>
      <c r="AH1576" s="36"/>
      <c r="AI1576" s="124"/>
      <c r="AJ1576" s="122" t="s">
        <v>3076</v>
      </c>
      <c r="AK1576" s="129" t="str">
        <f t="shared" ca="1" si="178"/>
        <v>Late</v>
      </c>
      <c r="AL1576" s="268" t="str">
        <f t="shared" si="182"/>
        <v>April</v>
      </c>
      <c r="AM1576" s="133">
        <f>YEAR(Table1[[#This Row],[ETA
As requested
dd.mm.yyyy]])</f>
        <v>2025</v>
      </c>
    </row>
    <row r="1577" spans="1:39" hidden="1">
      <c r="A1577" s="123" t="s">
        <v>25</v>
      </c>
      <c r="B1577" s="36" t="s">
        <v>1170</v>
      </c>
      <c r="C1577" s="117">
        <v>5500492159</v>
      </c>
      <c r="D1577" s="165">
        <v>45439</v>
      </c>
      <c r="E1577" s="117" t="s">
        <v>1032</v>
      </c>
      <c r="F1577" s="36" t="str">
        <f>IFERROR(VLOOKUP(Table1[[#This Row],[Part Number]],DATABASE_FG!$C$6:D11566,2,FALSE)," ")</f>
        <v>THROTTLE SCREW     2FRM 10-3X/</v>
      </c>
      <c r="G1577" s="117" t="str">
        <f>IFERROR(_xlfn.XLOOKUP(Table1[[#This Row],[Part Number]],Table3[Part number],Table3[Drawing
 Revision]),"")</f>
        <v>AI</v>
      </c>
      <c r="H1577" s="118" cm="1">
        <f t="array" ref="H1577">IFERROR(INDEX(PDB!$C:$AT,MATCH(E1577,PDB!$B:$B,0),MATCH(YEAR(K1577),0+PDB!$C$1:$AT$1,0)),"")</f>
        <v>12.4</v>
      </c>
      <c r="I1577" s="36">
        <v>229</v>
      </c>
      <c r="J1577" s="125">
        <f>IFERROR(Table1[[#This Row],[Quantity]]*Table1[[#This Row],[Price/Unit
EUR]]," ")</f>
        <v>2839.6</v>
      </c>
      <c r="K1577" s="126">
        <v>45772</v>
      </c>
      <c r="L1577" s="36">
        <f>WEEKNUM(Table1[[#This Row],[ETA
As requested
dd.mm.yyyy]])</f>
        <v>17</v>
      </c>
      <c r="M1577" s="36">
        <f>YEAR(Table1[[#This Row],[ETA
As requested
dd.mm.yyyy]])</f>
        <v>2025</v>
      </c>
      <c r="N1577" s="36">
        <f>IFERROR(INDEX(DATABASE_FG!$H$5:$H$367, MATCH(E1577, DATABASE_FG!$C$5:$C$367, 0)), " ")</f>
        <v>47</v>
      </c>
      <c r="O1577" s="129" t="str">
        <f>IF(E1577&lt;&gt;"", _xlfn.XLOOKUP(E1577, DATABASE_FG!C:C, DATABASE_FG!F:F), " ")</f>
        <v>Drosselboltzen</v>
      </c>
      <c r="P1577" s="129">
        <f>IFERROR(INDEX(DATABASE_FG!$G$5:$G$367, MATCH(E1577, DATABASE_FG!$C$5:$C$367, 0)), "Not Found")</f>
        <v>340</v>
      </c>
      <c r="Q1577" s="36">
        <v>42</v>
      </c>
      <c r="R1577" s="125" t="s">
        <v>678</v>
      </c>
      <c r="S1577" s="123">
        <f>IFERROR(INDEX(DATABASE_FG!$L$5:$L$367, MATCH(E1577, DATABASE_FG!$C$5:$C$367, 0)), " ")</f>
        <v>40</v>
      </c>
      <c r="T1577" s="36" t="s">
        <v>677</v>
      </c>
      <c r="U1577" s="36"/>
      <c r="V1577" s="36"/>
      <c r="W1577" s="129"/>
      <c r="X1577" s="36"/>
      <c r="Y1577" s="36" t="s">
        <v>677</v>
      </c>
      <c r="Z1577" s="36"/>
      <c r="AA1577" s="125" t="s">
        <v>121</v>
      </c>
      <c r="AB1577" s="173">
        <v>45736</v>
      </c>
      <c r="AC1577" s="119">
        <v>25420</v>
      </c>
      <c r="AD1577" s="36">
        <f t="shared" si="180"/>
        <v>5500492159</v>
      </c>
      <c r="AE1577" s="36" t="str">
        <f t="shared" si="181"/>
        <v>R900601576 - 519</v>
      </c>
      <c r="AF1577" s="36">
        <v>229</v>
      </c>
      <c r="AG1577" s="120">
        <f t="shared" si="179"/>
        <v>2839.6</v>
      </c>
      <c r="AH1577" s="36"/>
      <c r="AI1577" s="124"/>
      <c r="AJ1577" s="122" t="s">
        <v>2955</v>
      </c>
      <c r="AK1577" s="129" t="str">
        <f t="shared" ca="1" si="178"/>
        <v>On Time</v>
      </c>
      <c r="AL1577" s="268" t="str">
        <f t="shared" si="182"/>
        <v>April</v>
      </c>
      <c r="AM1577" s="133">
        <f>YEAR(Table1[[#This Row],[ETA
As requested
dd.mm.yyyy]])</f>
        <v>2025</v>
      </c>
    </row>
    <row r="1578" spans="1:39" hidden="1">
      <c r="A1578" s="123" t="s">
        <v>25</v>
      </c>
      <c r="B1578" s="36" t="s">
        <v>1170</v>
      </c>
      <c r="C1578" s="117">
        <v>5500492159</v>
      </c>
      <c r="D1578" s="165">
        <v>45439</v>
      </c>
      <c r="E1578" s="117" t="s">
        <v>1032</v>
      </c>
      <c r="F1578" s="36" t="str">
        <f>IFERROR(VLOOKUP(Table1[[#This Row],[Part Number]],DATABASE_FG!$C$6:D11567,2,FALSE)," ")</f>
        <v>THROTTLE SCREW     2FRM 10-3X/</v>
      </c>
      <c r="G1578" s="117" t="str">
        <f>IFERROR(_xlfn.XLOOKUP(Table1[[#This Row],[Part Number]],Table3[Part number],Table3[Drawing
 Revision]),"")</f>
        <v>AI</v>
      </c>
      <c r="H1578" s="118" cm="1">
        <f t="array" ref="H1578">IFERROR(INDEX(PDB!$C:$AT,MATCH(E1578,PDB!$B:$B,0),MATCH(YEAR(K1578),0+PDB!$C$1:$AT$1,0)),"")</f>
        <v>12.4</v>
      </c>
      <c r="I1578" s="36">
        <v>111</v>
      </c>
      <c r="J1578" s="125">
        <f>IFERROR(Table1[[#This Row],[Quantity]]*Table1[[#This Row],[Price/Unit
EUR]]," ")</f>
        <v>1376.4</v>
      </c>
      <c r="K1578" s="126">
        <v>45772</v>
      </c>
      <c r="L1578" s="36">
        <f>WEEKNUM(Table1[[#This Row],[ETA
As requested
dd.mm.yyyy]])</f>
        <v>17</v>
      </c>
      <c r="M1578" s="36">
        <f>YEAR(Table1[[#This Row],[ETA
As requested
dd.mm.yyyy]])</f>
        <v>2025</v>
      </c>
      <c r="N1578" s="36">
        <f>IFERROR(INDEX(DATABASE_FG!$H$5:$H$367, MATCH(E1578, DATABASE_FG!$C$5:$C$367, 0)), " ")</f>
        <v>47</v>
      </c>
      <c r="O1578" s="129" t="str">
        <f>IF(E1578&lt;&gt;"", _xlfn.XLOOKUP(E1578, DATABASE_FG!C:C, DATABASE_FG!F:F), " ")</f>
        <v>Drosselboltzen</v>
      </c>
      <c r="P1578" s="129">
        <f>IFERROR(INDEX(DATABASE_FG!$G$5:$G$367, MATCH(E1578, DATABASE_FG!$C$5:$C$367, 0)), "Not Found")</f>
        <v>340</v>
      </c>
      <c r="Q1578" s="36">
        <v>42</v>
      </c>
      <c r="R1578" s="125" t="s">
        <v>678</v>
      </c>
      <c r="S1578" s="123">
        <f>IFERROR(INDEX(DATABASE_FG!$L$5:$L$367, MATCH(E1578, DATABASE_FG!$C$5:$C$367, 0)), " ")</f>
        <v>40</v>
      </c>
      <c r="T1578" s="36" t="s">
        <v>677</v>
      </c>
      <c r="U1578" s="36"/>
      <c r="V1578" s="36"/>
      <c r="W1578" s="129"/>
      <c r="X1578" s="36"/>
      <c r="Y1578" s="36" t="s">
        <v>677</v>
      </c>
      <c r="Z1578" s="36"/>
      <c r="AA1578" s="125" t="s">
        <v>121</v>
      </c>
      <c r="AB1578" s="173">
        <v>45761</v>
      </c>
      <c r="AC1578" s="119" t="s">
        <v>3128</v>
      </c>
      <c r="AD1578" s="36">
        <f t="shared" si="180"/>
        <v>5500492159</v>
      </c>
      <c r="AE1578" s="36" t="str">
        <f t="shared" si="181"/>
        <v>R900601576 - 519</v>
      </c>
      <c r="AF1578" s="36">
        <v>111</v>
      </c>
      <c r="AG1578" s="120">
        <f t="shared" si="179"/>
        <v>1376.4</v>
      </c>
      <c r="AH1578" s="36"/>
      <c r="AI1578" s="124"/>
      <c r="AJ1578" s="122" t="s">
        <v>3129</v>
      </c>
      <c r="AK1578" s="129" t="str">
        <f t="shared" ca="1" si="178"/>
        <v>On Time</v>
      </c>
      <c r="AL1578" s="268" t="str">
        <f t="shared" si="182"/>
        <v>April</v>
      </c>
      <c r="AM1578" s="133">
        <f>YEAR(Table1[[#This Row],[ETA
As requested
dd.mm.yyyy]])</f>
        <v>2025</v>
      </c>
    </row>
    <row r="1579" spans="1:39" hidden="1">
      <c r="A1579" s="123" t="s">
        <v>25</v>
      </c>
      <c r="B1579" s="36" t="s">
        <v>1170</v>
      </c>
      <c r="C1579" s="117">
        <v>5500492159</v>
      </c>
      <c r="D1579" s="165">
        <v>45439</v>
      </c>
      <c r="E1579" s="117" t="s">
        <v>1032</v>
      </c>
      <c r="F1579" s="36" t="str">
        <f>IFERROR(VLOOKUP(Table1[[#This Row],[Part Number]],DATABASE_FG!$C$6:D11568,2,FALSE)," ")</f>
        <v>THROTTLE SCREW     2FRM 10-3X/</v>
      </c>
      <c r="G1579" s="117" t="str">
        <f>IFERROR(_xlfn.XLOOKUP(Table1[[#This Row],[Part Number]],Table3[Part number],Table3[Drawing
 Revision]),"")</f>
        <v>AI</v>
      </c>
      <c r="H1579" s="118" cm="1">
        <f t="array" ref="H1579">IFERROR(INDEX(PDB!$C:$AT,MATCH(E1579,PDB!$B:$B,0),MATCH(YEAR(K1579),0+PDB!$C$1:$AT$1,0)),"")</f>
        <v>12.4</v>
      </c>
      <c r="I1579" s="36">
        <v>362</v>
      </c>
      <c r="J1579" s="125">
        <f>IFERROR(Table1[[#This Row],[Quantity]]*Table1[[#This Row],[Price/Unit
EUR]]," ")</f>
        <v>4488.8</v>
      </c>
      <c r="K1579" s="126">
        <v>45807</v>
      </c>
      <c r="L1579" s="36">
        <f>WEEKNUM(Table1[[#This Row],[ETA
As requested
dd.mm.yyyy]])</f>
        <v>22</v>
      </c>
      <c r="M1579" s="36">
        <f>YEAR(Table1[[#This Row],[ETA
As requested
dd.mm.yyyy]])</f>
        <v>2025</v>
      </c>
      <c r="N1579" s="36">
        <f>IFERROR(INDEX(DATABASE_FG!$H$5:$H$367, MATCH(E1579, DATABASE_FG!$C$5:$C$367, 0)), " ")</f>
        <v>47</v>
      </c>
      <c r="O1579" s="129" t="str">
        <f>IF(E1579&lt;&gt;"", _xlfn.XLOOKUP(E1579, DATABASE_FG!C:C, DATABASE_FG!F:F), " ")</f>
        <v>Drosselboltzen</v>
      </c>
      <c r="P1579" s="129">
        <f>IFERROR(INDEX(DATABASE_FG!$G$5:$G$367, MATCH(E1579, DATABASE_FG!$C$5:$C$367, 0)), "Not Found")</f>
        <v>340</v>
      </c>
      <c r="Q1579" s="36"/>
      <c r="R1579" s="125" t="s">
        <v>678</v>
      </c>
      <c r="S1579" s="123">
        <f>Table1[[#This Row],[Quantity]]/48</f>
        <v>7.541666666666667</v>
      </c>
      <c r="T1579" s="36"/>
      <c r="U1579" s="36"/>
      <c r="V1579" s="36"/>
      <c r="W1579" s="129"/>
      <c r="X1579" s="36"/>
      <c r="Y1579" s="36"/>
      <c r="Z1579" s="36"/>
      <c r="AA1579" s="125" t="s">
        <v>121</v>
      </c>
      <c r="AB1579" s="173">
        <v>45761</v>
      </c>
      <c r="AC1579" s="119" t="s">
        <v>3128</v>
      </c>
      <c r="AD1579" s="36">
        <f t="shared" si="180"/>
        <v>5500492159</v>
      </c>
      <c r="AE1579" s="36" t="str">
        <f t="shared" si="181"/>
        <v>R900601576 - 519</v>
      </c>
      <c r="AF1579" s="36">
        <v>362</v>
      </c>
      <c r="AG1579" s="120">
        <f t="shared" si="179"/>
        <v>4488.8</v>
      </c>
      <c r="AH1579" s="36"/>
      <c r="AI1579" s="124"/>
      <c r="AJ1579" s="122" t="s">
        <v>3129</v>
      </c>
      <c r="AK1579" s="129" t="str">
        <f t="shared" ref="AK1579:AK1642" ca="1" si="183">IF(AB1579="", IF(K1579 &lt; TODAY(), "Late", ""), IF(AB1579 &lt;= K1579 + 2, "On Time", "Late"))</f>
        <v>On Time</v>
      </c>
      <c r="AL1579" s="268" t="str">
        <f t="shared" si="182"/>
        <v>May</v>
      </c>
      <c r="AM1579" s="133">
        <f>YEAR(Table1[[#This Row],[ETA
As requested
dd.mm.yyyy]])</f>
        <v>2025</v>
      </c>
    </row>
    <row r="1580" spans="1:39" hidden="1">
      <c r="A1580" s="123" t="s">
        <v>25</v>
      </c>
      <c r="B1580" s="36" t="s">
        <v>1170</v>
      </c>
      <c r="C1580" s="117">
        <v>5500492159</v>
      </c>
      <c r="D1580" s="165">
        <v>45439</v>
      </c>
      <c r="E1580" s="117" t="s">
        <v>1032</v>
      </c>
      <c r="F1580" s="36" t="str">
        <f>IFERROR(VLOOKUP(Table1[[#This Row],[Part Number]],DATABASE_FG!$C$6:D11569,2,FALSE)," ")</f>
        <v>THROTTLE SCREW     2FRM 10-3X/</v>
      </c>
      <c r="G1580" s="117" t="str">
        <f>IFERROR(_xlfn.XLOOKUP(Table1[[#This Row],[Part Number]],Table3[Part number],Table3[Drawing
 Revision]),"")</f>
        <v>AI</v>
      </c>
      <c r="H1580" s="118" cm="1">
        <f t="array" ref="H1580">IFERROR(INDEX(PDB!$C:$AT,MATCH(E1580,PDB!$B:$B,0),MATCH(YEAR(K1580),0+PDB!$C$1:$AT$1,0)),"")</f>
        <v>12.4</v>
      </c>
      <c r="I1580" s="36">
        <v>420</v>
      </c>
      <c r="J1580" s="125">
        <f>IFERROR(Table1[[#This Row],[Quantity]]*Table1[[#This Row],[Price/Unit
EUR]]," ")</f>
        <v>5208</v>
      </c>
      <c r="K1580" s="126">
        <v>45842</v>
      </c>
      <c r="L1580" s="36">
        <f>WEEKNUM(Table1[[#This Row],[ETA
As requested
dd.mm.yyyy]])</f>
        <v>27</v>
      </c>
      <c r="M1580" s="36">
        <f>YEAR(Table1[[#This Row],[ETA
As requested
dd.mm.yyyy]])</f>
        <v>2025</v>
      </c>
      <c r="N1580" s="36">
        <f>IFERROR(INDEX(DATABASE_FG!$H$5:$H$367, MATCH(E1580, DATABASE_FG!$C$5:$C$367, 0)), " ")</f>
        <v>47</v>
      </c>
      <c r="O1580" s="129" t="str">
        <f>IF(E1580&lt;&gt;"", _xlfn.XLOOKUP(E1580, DATABASE_FG!C:C, DATABASE_FG!F:F), " ")</f>
        <v>Drosselboltzen</v>
      </c>
      <c r="P1580" s="129">
        <f>IFERROR(INDEX(DATABASE_FG!$G$5:$G$367, MATCH(E1580, DATABASE_FG!$C$5:$C$367, 0)), "Not Found")</f>
        <v>340</v>
      </c>
      <c r="Q1580" s="36">
        <v>42</v>
      </c>
      <c r="R1580" s="125" t="s">
        <v>678</v>
      </c>
      <c r="S1580" s="123">
        <f>IFERROR(INDEX(DATABASE_FG!$L$5:$L$367, MATCH(E1580, DATABASE_FG!$C$5:$C$367, 0)), " ")</f>
        <v>40</v>
      </c>
      <c r="T1580" s="36" t="s">
        <v>677</v>
      </c>
      <c r="U1580" s="36"/>
      <c r="V1580" s="36"/>
      <c r="W1580" s="129"/>
      <c r="X1580" s="36"/>
      <c r="Y1580" s="36" t="s">
        <v>677</v>
      </c>
      <c r="Z1580" s="36"/>
      <c r="AA1580" s="125" t="s">
        <v>121</v>
      </c>
      <c r="AB1580" s="173">
        <v>45838</v>
      </c>
      <c r="AC1580" s="119">
        <v>260014</v>
      </c>
      <c r="AD1580" s="36">
        <f t="shared" si="180"/>
        <v>5500492159</v>
      </c>
      <c r="AE1580" s="36" t="str">
        <f t="shared" si="181"/>
        <v>R900601576 - 519</v>
      </c>
      <c r="AF1580" s="36">
        <v>420</v>
      </c>
      <c r="AG1580" s="120">
        <f t="shared" si="179"/>
        <v>5208</v>
      </c>
      <c r="AH1580" s="36"/>
      <c r="AI1580" s="124"/>
      <c r="AJ1580" s="122" t="s">
        <v>3395</v>
      </c>
      <c r="AK1580" s="129" t="str">
        <f t="shared" ca="1" si="183"/>
        <v>On Time</v>
      </c>
      <c r="AL1580" s="268" t="str">
        <f t="shared" si="182"/>
        <v>July</v>
      </c>
      <c r="AM1580" s="133">
        <f>YEAR(Table1[[#This Row],[ETA
As requested
dd.mm.yyyy]])</f>
        <v>2025</v>
      </c>
    </row>
    <row r="1581" spans="1:39" hidden="1">
      <c r="A1581" s="123" t="s">
        <v>25</v>
      </c>
      <c r="B1581" s="36" t="s">
        <v>2464</v>
      </c>
      <c r="C1581" s="117">
        <v>5500492159</v>
      </c>
      <c r="D1581" s="165">
        <v>45439</v>
      </c>
      <c r="E1581" s="117" t="s">
        <v>1032</v>
      </c>
      <c r="F1581" s="36" t="str">
        <f>IFERROR(VLOOKUP(Table1[[#This Row],[Part Number]],DATABASE_FG!$C$6:D11570,2,FALSE)," ")</f>
        <v>THROTTLE SCREW     2FRM 10-3X/</v>
      </c>
      <c r="G1581" s="117" t="str">
        <f>IFERROR(_xlfn.XLOOKUP(Table1[[#This Row],[Part Number]],Table3[Part number],Table3[Drawing
 Revision]),"")</f>
        <v>AI</v>
      </c>
      <c r="H1581" s="118" cm="1">
        <f t="array" ref="H1581">IFERROR(INDEX(PDB!$C:$AT,MATCH(E1581,PDB!$B:$B,0),MATCH(YEAR(K1581),0+PDB!$C$1:$AT$1,0)),"")</f>
        <v>12.4</v>
      </c>
      <c r="I1581" s="36">
        <f>479-420+81</f>
        <v>140</v>
      </c>
      <c r="J1581" s="125">
        <f>IFERROR(Table1[[#This Row],[Quantity]]*Table1[[#This Row],[Price/Unit
EUR]]," ")</f>
        <v>1736</v>
      </c>
      <c r="K1581" s="126">
        <v>45852</v>
      </c>
      <c r="L1581" s="36">
        <f>WEEKNUM(Table1[[#This Row],[ETA
As requested
dd.mm.yyyy]])</f>
        <v>29</v>
      </c>
      <c r="M1581" s="36">
        <f>YEAR(Table1[[#This Row],[ETA
As requested
dd.mm.yyyy]])</f>
        <v>2025</v>
      </c>
      <c r="N1581" s="36">
        <f>IFERROR(INDEX(DATABASE_FG!$H$5:$H$367, MATCH(E1581, DATABASE_FG!$C$5:$C$367, 0)), " ")</f>
        <v>47</v>
      </c>
      <c r="O1581" s="129" t="str">
        <f>IF(E1581&lt;&gt;"", _xlfn.XLOOKUP(E1581, DATABASE_FG!C:C, DATABASE_FG!F:F), " ")</f>
        <v>Drosselboltzen</v>
      </c>
      <c r="P1581" s="129">
        <f>IFERROR(INDEX(DATABASE_FG!$G$5:$G$367, MATCH(E1581, DATABASE_FG!$C$5:$C$367, 0)), "Not Found")</f>
        <v>340</v>
      </c>
      <c r="Q1581" s="36">
        <v>42</v>
      </c>
      <c r="R1581" s="125" t="s">
        <v>678</v>
      </c>
      <c r="S1581" s="123">
        <f>IFERROR(INDEX(DATABASE_FG!$L$5:$L$367, MATCH(E1581, DATABASE_FG!$C$5:$C$367, 0)), " ")</f>
        <v>40</v>
      </c>
      <c r="T1581" s="36" t="s">
        <v>677</v>
      </c>
      <c r="U1581" s="36"/>
      <c r="V1581" s="36"/>
      <c r="W1581" s="129"/>
      <c r="X1581" s="36"/>
      <c r="Y1581" s="36" t="s">
        <v>677</v>
      </c>
      <c r="Z1581" s="36"/>
      <c r="AA1581" s="125" t="s">
        <v>121</v>
      </c>
      <c r="AB1581" s="173">
        <v>45852</v>
      </c>
      <c r="AC1581" s="119">
        <v>251069</v>
      </c>
      <c r="AD1581" s="36">
        <f t="shared" si="180"/>
        <v>5500492159</v>
      </c>
      <c r="AE1581" s="36" t="str">
        <f t="shared" si="181"/>
        <v>R900601576 - 519</v>
      </c>
      <c r="AF1581" s="36">
        <v>140</v>
      </c>
      <c r="AG1581" s="120">
        <f t="shared" si="179"/>
        <v>1736</v>
      </c>
      <c r="AH1581" s="36"/>
      <c r="AI1581" s="124"/>
      <c r="AJ1581" s="122" t="s">
        <v>3420</v>
      </c>
      <c r="AK1581" s="129" t="str">
        <f t="shared" ca="1" si="183"/>
        <v>On Time</v>
      </c>
      <c r="AL1581" s="268" t="str">
        <f t="shared" si="182"/>
        <v>July</v>
      </c>
      <c r="AM1581" s="133">
        <f>YEAR(Table1[[#This Row],[ETA
As requested
dd.mm.yyyy]])</f>
        <v>2025</v>
      </c>
    </row>
    <row r="1582" spans="1:39" hidden="1">
      <c r="A1582" s="123" t="s">
        <v>25</v>
      </c>
      <c r="B1582" s="36" t="s">
        <v>2464</v>
      </c>
      <c r="C1582" s="117">
        <v>5500492159</v>
      </c>
      <c r="D1582" s="165">
        <v>45439</v>
      </c>
      <c r="E1582" s="117" t="s">
        <v>1032</v>
      </c>
      <c r="F1582" s="36" t="str">
        <f>IFERROR(VLOOKUP(Table1[[#This Row],[Part Number]],DATABASE_FG!$C$6:D11571,2,FALSE)," ")</f>
        <v>THROTTLE SCREW     2FRM 10-3X/</v>
      </c>
      <c r="G1582" s="117" t="str">
        <f>IFERROR(_xlfn.XLOOKUP(Table1[[#This Row],[Part Number]],Table3[Part number],Table3[Drawing
 Revision]),"")</f>
        <v>AI</v>
      </c>
      <c r="H1582" s="118" cm="1">
        <f t="array" ref="H1582">IFERROR(INDEX(PDB!$C:$AT,MATCH(E1582,PDB!$B:$B,0),MATCH(YEAR(K1582),0+PDB!$C$1:$AT$1,0)),"")</f>
        <v>12.4</v>
      </c>
      <c r="I1582" s="36">
        <v>0</v>
      </c>
      <c r="J1582" s="125">
        <f>IFERROR(Table1[[#This Row],[Quantity]]*Table1[[#This Row],[Price/Unit
EUR]]," ")</f>
        <v>0</v>
      </c>
      <c r="K1582" s="126">
        <v>45891</v>
      </c>
      <c r="L1582" s="36">
        <f>WEEKNUM(Table1[[#This Row],[ETA
As requested
dd.mm.yyyy]])</f>
        <v>34</v>
      </c>
      <c r="M1582" s="36">
        <f>YEAR(Table1[[#This Row],[ETA
As requested
dd.mm.yyyy]])</f>
        <v>2025</v>
      </c>
      <c r="N1582" s="36">
        <f>IFERROR(INDEX(DATABASE_FG!$H$5:$H$367, MATCH(E1582, DATABASE_FG!$C$5:$C$367, 0)), " ")</f>
        <v>47</v>
      </c>
      <c r="O1582" s="129" t="str">
        <f>IF(E1582&lt;&gt;"", _xlfn.XLOOKUP(E1582, DATABASE_FG!C:C, DATABASE_FG!F:F), " ")</f>
        <v>Drosselboltzen</v>
      </c>
      <c r="P1582" s="129">
        <f>IFERROR(INDEX(DATABASE_FG!$G$5:$G$367, MATCH(E1582, DATABASE_FG!$C$5:$C$367, 0)), "Not Found")</f>
        <v>340</v>
      </c>
      <c r="Q1582" s="36">
        <v>42</v>
      </c>
      <c r="R1582" s="125" t="s">
        <v>678</v>
      </c>
      <c r="S1582" s="123">
        <f>IFERROR(INDEX(DATABASE_FG!$L$5:$L$367, MATCH(E1582, DATABASE_FG!$C$5:$C$367, 0)), " ")</f>
        <v>40</v>
      </c>
      <c r="T1582" s="36" t="s">
        <v>677</v>
      </c>
      <c r="U1582" s="36"/>
      <c r="V1582" s="36"/>
      <c r="W1582" s="129"/>
      <c r="X1582" s="36"/>
      <c r="Y1582" s="36" t="s">
        <v>677</v>
      </c>
      <c r="Z1582" s="36"/>
      <c r="AA1582" s="125" t="s">
        <v>121</v>
      </c>
      <c r="AB1582" s="126">
        <v>45891</v>
      </c>
      <c r="AC1582" s="119"/>
      <c r="AD1582" s="36" t="str">
        <f t="shared" si="180"/>
        <v/>
      </c>
      <c r="AE1582" s="36" t="str">
        <f t="shared" si="181"/>
        <v/>
      </c>
      <c r="AF1582" s="36">
        <v>0</v>
      </c>
      <c r="AG1582" s="120">
        <f t="shared" si="179"/>
        <v>0</v>
      </c>
      <c r="AH1582" s="36"/>
      <c r="AI1582" s="124"/>
      <c r="AJ1582" s="122"/>
      <c r="AK1582" s="129" t="str">
        <f t="shared" ca="1" si="183"/>
        <v>On Time</v>
      </c>
      <c r="AL1582" s="268" t="str">
        <f t="shared" si="182"/>
        <v>August</v>
      </c>
      <c r="AM1582" s="133">
        <f>YEAR(Table1[[#This Row],[ETA
As requested
dd.mm.yyyy]])</f>
        <v>2025</v>
      </c>
    </row>
    <row r="1583" spans="1:39" hidden="1">
      <c r="A1583" s="123" t="s">
        <v>25</v>
      </c>
      <c r="B1583" s="36" t="s">
        <v>2464</v>
      </c>
      <c r="C1583" s="117">
        <v>5500492159</v>
      </c>
      <c r="D1583" s="165">
        <v>45439</v>
      </c>
      <c r="E1583" s="117" t="s">
        <v>1032</v>
      </c>
      <c r="F1583" s="36" t="str">
        <f>IFERROR(VLOOKUP(Table1[[#This Row],[Part Number]],DATABASE_FG!$C$6:D11572,2,FALSE)," ")</f>
        <v>THROTTLE SCREW     2FRM 10-3X/</v>
      </c>
      <c r="G1583" s="117" t="str">
        <f>IFERROR(_xlfn.XLOOKUP(Table1[[#This Row],[Part Number]],Table3[Part number],Table3[Drawing
 Revision]),"")</f>
        <v>AI</v>
      </c>
      <c r="H1583" s="118" cm="1">
        <f t="array" ref="H1583">IFERROR(INDEX(PDB!$C:$AT,MATCH(E1583,PDB!$B:$B,0),MATCH(YEAR(K1583),0+PDB!$C$1:$AT$1,0)),"")</f>
        <v>12.4</v>
      </c>
      <c r="I1583" s="36">
        <v>0</v>
      </c>
      <c r="J1583" s="125">
        <f>IFERROR(Table1[[#This Row],[Quantity]]*Table1[[#This Row],[Price/Unit
EUR]]," ")</f>
        <v>0</v>
      </c>
      <c r="K1583" s="126">
        <v>45926</v>
      </c>
      <c r="L1583" s="36">
        <f>WEEKNUM(Table1[[#This Row],[ETA
As requested
dd.mm.yyyy]])</f>
        <v>39</v>
      </c>
      <c r="M1583" s="36">
        <f>YEAR(Table1[[#This Row],[ETA
As requested
dd.mm.yyyy]])</f>
        <v>2025</v>
      </c>
      <c r="N1583" s="36">
        <f>IFERROR(INDEX(DATABASE_FG!$H$5:$H$367, MATCH(E1583, DATABASE_FG!$C$5:$C$367, 0)), " ")</f>
        <v>47</v>
      </c>
      <c r="O1583" s="129" t="str">
        <f>IF(E1583&lt;&gt;"", _xlfn.XLOOKUP(E1583, DATABASE_FG!C:C, DATABASE_FG!F:F), " ")</f>
        <v>Drosselboltzen</v>
      </c>
      <c r="P1583" s="129">
        <f>IFERROR(INDEX(DATABASE_FG!$G$5:$G$367, MATCH(E1583, DATABASE_FG!$C$5:$C$367, 0)), "Not Found")</f>
        <v>340</v>
      </c>
      <c r="Q1583" s="36">
        <v>42</v>
      </c>
      <c r="R1583" s="125" t="s">
        <v>678</v>
      </c>
      <c r="S1583" s="123">
        <f>IFERROR(INDEX(DATABASE_FG!$L$5:$L$367, MATCH(E1583, DATABASE_FG!$C$5:$C$367, 0)), " ")</f>
        <v>40</v>
      </c>
      <c r="T1583" s="36" t="s">
        <v>677</v>
      </c>
      <c r="U1583" s="36"/>
      <c r="V1583" s="36"/>
      <c r="W1583" s="129"/>
      <c r="X1583" s="36"/>
      <c r="Y1583" s="36" t="s">
        <v>677</v>
      </c>
      <c r="Z1583" s="36"/>
      <c r="AA1583" s="125" t="s">
        <v>121</v>
      </c>
      <c r="AB1583" s="173"/>
      <c r="AC1583" s="119"/>
      <c r="AD1583" s="36" t="str">
        <f t="shared" si="180"/>
        <v/>
      </c>
      <c r="AE1583" s="36" t="str">
        <f t="shared" si="181"/>
        <v/>
      </c>
      <c r="AF1583" s="36"/>
      <c r="AG1583" s="120">
        <f t="shared" si="179"/>
        <v>0</v>
      </c>
      <c r="AH1583" s="36"/>
      <c r="AI1583" s="124"/>
      <c r="AJ1583" s="122"/>
      <c r="AK1583" s="129" t="str">
        <f t="shared" ca="1" si="183"/>
        <v>Late</v>
      </c>
      <c r="AL1583" s="268" t="str">
        <f t="shared" si="182"/>
        <v>September</v>
      </c>
      <c r="AM1583" s="133">
        <f>YEAR(Table1[[#This Row],[ETA
As requested
dd.mm.yyyy]])</f>
        <v>2025</v>
      </c>
    </row>
    <row r="1584" spans="1:39" hidden="1">
      <c r="A1584" s="123" t="s">
        <v>25</v>
      </c>
      <c r="B1584" s="36" t="s">
        <v>2464</v>
      </c>
      <c r="C1584" s="117">
        <v>5500492159</v>
      </c>
      <c r="D1584" s="165">
        <v>45439</v>
      </c>
      <c r="E1584" s="117" t="s">
        <v>1032</v>
      </c>
      <c r="F1584" s="36" t="str">
        <f>IFERROR(VLOOKUP(Table1[[#This Row],[Part Number]],DATABASE_FG!$C$6:D11573,2,FALSE)," ")</f>
        <v>THROTTLE SCREW     2FRM 10-3X/</v>
      </c>
      <c r="G1584" s="117" t="str">
        <f>IFERROR(_xlfn.XLOOKUP(Table1[[#This Row],[Part Number]],Table3[Part number],Table3[Drawing
 Revision]),"")</f>
        <v>AI</v>
      </c>
      <c r="H1584" s="118" cm="1">
        <f t="array" ref="H1584">IFERROR(INDEX(PDB!$C:$AT,MATCH(E1584,PDB!$B:$B,0),MATCH(YEAR(K1584),0+PDB!$C$1:$AT$1,0)),"")</f>
        <v>12.4</v>
      </c>
      <c r="I1584" s="36">
        <v>340</v>
      </c>
      <c r="J1584" s="125">
        <f>IFERROR(Table1[[#This Row],[Quantity]]*Table1[[#This Row],[Price/Unit
EUR]]," ")</f>
        <v>4216</v>
      </c>
      <c r="K1584" s="126">
        <v>45954</v>
      </c>
      <c r="L1584" s="36">
        <f>WEEKNUM(Table1[[#This Row],[ETA
As requested
dd.mm.yyyy]])</f>
        <v>43</v>
      </c>
      <c r="M1584" s="36">
        <f>YEAR(Table1[[#This Row],[ETA
As requested
dd.mm.yyyy]])</f>
        <v>2025</v>
      </c>
      <c r="N1584" s="36">
        <f>IFERROR(INDEX(DATABASE_FG!$H$5:$H$367, MATCH(E1584, DATABASE_FG!$C$5:$C$367, 0)), " ")</f>
        <v>47</v>
      </c>
      <c r="O1584" s="129" t="str">
        <f>IF(E1584&lt;&gt;"", _xlfn.XLOOKUP(E1584, DATABASE_FG!C:C, DATABASE_FG!F:F), " ")</f>
        <v>Drosselboltzen</v>
      </c>
      <c r="P1584" s="129">
        <f>IFERROR(INDEX(DATABASE_FG!$G$5:$G$367, MATCH(E1584, DATABASE_FG!$C$5:$C$367, 0)), "Not Found")</f>
        <v>340</v>
      </c>
      <c r="Q1584" s="36">
        <v>42</v>
      </c>
      <c r="R1584" s="125" t="s">
        <v>678</v>
      </c>
      <c r="S1584" s="123">
        <f>IFERROR(INDEX(DATABASE_FG!$L$5:$L$367, MATCH(E1584, DATABASE_FG!$C$5:$C$367, 0)), " ")</f>
        <v>40</v>
      </c>
      <c r="T1584" s="36" t="s">
        <v>677</v>
      </c>
      <c r="U1584" s="36"/>
      <c r="V1584" s="36"/>
      <c r="W1584" s="129"/>
      <c r="X1584" s="36"/>
      <c r="Y1584" s="36" t="s">
        <v>677</v>
      </c>
      <c r="Z1584" s="36"/>
      <c r="AA1584" s="125" t="s">
        <v>121</v>
      </c>
      <c r="AB1584" s="173">
        <v>45869</v>
      </c>
      <c r="AC1584" s="119">
        <v>251108</v>
      </c>
      <c r="AD1584" s="36">
        <f t="shared" si="180"/>
        <v>5500492159</v>
      </c>
      <c r="AE1584" s="36" t="str">
        <f t="shared" si="181"/>
        <v>R900601576 - 519</v>
      </c>
      <c r="AF1584" s="36">
        <v>340</v>
      </c>
      <c r="AG1584" s="120">
        <f t="shared" si="179"/>
        <v>4216</v>
      </c>
      <c r="AH1584" s="36"/>
      <c r="AI1584" s="124"/>
      <c r="AJ1584" s="122" t="s">
        <v>3822</v>
      </c>
      <c r="AK1584" s="129" t="str">
        <f t="shared" ca="1" si="183"/>
        <v>On Time</v>
      </c>
      <c r="AL1584" s="268" t="str">
        <f t="shared" si="182"/>
        <v>October</v>
      </c>
      <c r="AM1584" s="133">
        <f>YEAR(Table1[[#This Row],[ETA
As requested
dd.mm.yyyy]])</f>
        <v>2025</v>
      </c>
    </row>
    <row r="1585" spans="1:40" hidden="1">
      <c r="A1585" s="123" t="s">
        <v>25</v>
      </c>
      <c r="B1585" s="36" t="s">
        <v>2464</v>
      </c>
      <c r="C1585" s="117">
        <v>5500492159</v>
      </c>
      <c r="D1585" s="165">
        <v>45439</v>
      </c>
      <c r="E1585" s="117" t="s">
        <v>1032</v>
      </c>
      <c r="F1585" s="36" t="str">
        <f>IFERROR(VLOOKUP(Table1[[#This Row],[Part Number]],DATABASE_FG!$C$6:D11574,2,FALSE)," ")</f>
        <v>THROTTLE SCREW     2FRM 10-3X/</v>
      </c>
      <c r="G1585" s="117" t="str">
        <f>IFERROR(_xlfn.XLOOKUP(Table1[[#This Row],[Part Number]],Table3[Part number],Table3[Drawing
 Revision]),"")</f>
        <v>AI</v>
      </c>
      <c r="H1585" s="118" cm="1">
        <f t="array" ref="H1585">IFERROR(INDEX(PDB!$C:$AT,MATCH(E1585,PDB!$B:$B,0),MATCH(YEAR(K1585),0+PDB!$C$1:$AT$1,0)),"")</f>
        <v>12.4</v>
      </c>
      <c r="I1585" s="36">
        <v>80</v>
      </c>
      <c r="J1585" s="125">
        <f>IFERROR(Table1[[#This Row],[Quantity]]*Table1[[#This Row],[Price/Unit
EUR]]," ")</f>
        <v>992</v>
      </c>
      <c r="K1585" s="126">
        <v>45996</v>
      </c>
      <c r="L1585" s="36">
        <f>WEEKNUM(Table1[[#This Row],[ETA
As requested
dd.mm.yyyy]])</f>
        <v>49</v>
      </c>
      <c r="M1585" s="36">
        <f>YEAR(Table1[[#This Row],[ETA
As requested
dd.mm.yyyy]])</f>
        <v>2025</v>
      </c>
      <c r="N1585" s="36">
        <f>IFERROR(INDEX(DATABASE_FG!$H$5:$H$367, MATCH(E1585, DATABASE_FG!$C$5:$C$367, 0)), " ")</f>
        <v>47</v>
      </c>
      <c r="O1585" s="129" t="str">
        <f>IF(E1585&lt;&gt;"", _xlfn.XLOOKUP(E1585, DATABASE_FG!C:C, DATABASE_FG!F:F), " ")</f>
        <v>Drosselboltzen</v>
      </c>
      <c r="P1585" s="129">
        <f>IFERROR(INDEX(DATABASE_FG!$G$5:$G$367, MATCH(E1585, DATABASE_FG!$C$5:$C$367, 0)), "Not Found")</f>
        <v>340</v>
      </c>
      <c r="Q1585" s="36">
        <v>42</v>
      </c>
      <c r="R1585" s="125" t="s">
        <v>678</v>
      </c>
      <c r="S1585" s="123">
        <f>IFERROR(INDEX(DATABASE_FG!$L$5:$L$367, MATCH(E1585, DATABASE_FG!$C$5:$C$367, 0)), " ")</f>
        <v>40</v>
      </c>
      <c r="T1585" s="36" t="s">
        <v>677</v>
      </c>
      <c r="U1585" s="36"/>
      <c r="V1585" s="36"/>
      <c r="W1585" s="129"/>
      <c r="X1585" s="36"/>
      <c r="Y1585" s="36"/>
      <c r="Z1585" s="36"/>
      <c r="AA1585" s="125" t="s">
        <v>121</v>
      </c>
      <c r="AB1585" s="173">
        <v>45869</v>
      </c>
      <c r="AC1585" s="119">
        <v>251108</v>
      </c>
      <c r="AD1585" s="36">
        <f t="shared" si="180"/>
        <v>5500492159</v>
      </c>
      <c r="AE1585" s="36" t="str">
        <f t="shared" si="181"/>
        <v>R900601576 - 519</v>
      </c>
      <c r="AF1585" s="36">
        <v>80</v>
      </c>
      <c r="AG1585" s="120">
        <f t="shared" si="179"/>
        <v>992</v>
      </c>
      <c r="AH1585" s="36"/>
      <c r="AI1585" s="124"/>
      <c r="AJ1585" s="247" t="s">
        <v>3822</v>
      </c>
      <c r="AK1585" s="129" t="str">
        <f t="shared" ca="1" si="183"/>
        <v>On Time</v>
      </c>
      <c r="AL1585" s="268" t="str">
        <f t="shared" si="182"/>
        <v>December</v>
      </c>
      <c r="AM1585" s="133">
        <f>YEAR(Table1[[#This Row],[ETA
As requested
dd.mm.yyyy]])</f>
        <v>2025</v>
      </c>
    </row>
    <row r="1586" spans="1:40" hidden="1">
      <c r="A1586" s="123" t="s">
        <v>25</v>
      </c>
      <c r="B1586" s="36" t="s">
        <v>2464</v>
      </c>
      <c r="C1586" s="117">
        <v>5500492159</v>
      </c>
      <c r="D1586" s="165">
        <v>45439</v>
      </c>
      <c r="E1586" s="117" t="s">
        <v>1032</v>
      </c>
      <c r="F1586" s="36" t="str">
        <f>IFERROR(VLOOKUP(Table1[[#This Row],[Part Number]],DATABASE_FG!$C$6:D11575,2,FALSE)," ")</f>
        <v>THROTTLE SCREW     2FRM 10-3X/</v>
      </c>
      <c r="G1586" s="117" t="str">
        <f>IFERROR(_xlfn.XLOOKUP(Table1[[#This Row],[Part Number]],Table3[Part number],Table3[Drawing
 Revision]),"")</f>
        <v>AI</v>
      </c>
      <c r="H1586" s="118" cm="1">
        <f t="array" ref="H1586">IFERROR(INDEX(PDB!$C:$AT,MATCH(E1586,PDB!$B:$B,0),MATCH(YEAR(K1586),0+PDB!$C$1:$AT$1,0)),"")</f>
        <v>12.4</v>
      </c>
      <c r="I1586" s="36">
        <f>340-80</f>
        <v>260</v>
      </c>
      <c r="J1586" s="125">
        <f>IFERROR(Table1[[#This Row],[Quantity]]*Table1[[#This Row],[Price/Unit
EUR]]," ")</f>
        <v>3224</v>
      </c>
      <c r="K1586" s="126">
        <v>45996</v>
      </c>
      <c r="L1586" s="36">
        <f>WEEKNUM(Table1[[#This Row],[ETA
As requested
dd.mm.yyyy]])</f>
        <v>49</v>
      </c>
      <c r="M1586" s="36">
        <f>YEAR(Table1[[#This Row],[ETA
As requested
dd.mm.yyyy]])</f>
        <v>2025</v>
      </c>
      <c r="N1586" s="36">
        <f>IFERROR(INDEX(DATABASE_FG!$H$5:$H$367, MATCH(E1586, DATABASE_FG!$C$5:$C$367, 0)), " ")</f>
        <v>47</v>
      </c>
      <c r="O1586" s="129" t="str">
        <f>IF(E1586&lt;&gt;"", _xlfn.XLOOKUP(E1586, DATABASE_FG!C:C, DATABASE_FG!F:F), " ")</f>
        <v>Drosselboltzen</v>
      </c>
      <c r="P1586" s="129">
        <f>IFERROR(INDEX(DATABASE_FG!$G$5:$G$367, MATCH(E1586, DATABASE_FG!$C$5:$C$367, 0)), "Not Found")</f>
        <v>340</v>
      </c>
      <c r="Q1586" s="36">
        <v>42</v>
      </c>
      <c r="R1586" s="125" t="s">
        <v>678</v>
      </c>
      <c r="S1586" s="123">
        <f>IFERROR(INDEX(DATABASE_FG!$L$5:$L$367, MATCH(E1586, DATABASE_FG!$C$5:$C$367, 0)), " ")</f>
        <v>40</v>
      </c>
      <c r="T1586" s="36" t="s">
        <v>677</v>
      </c>
      <c r="U1586" s="36"/>
      <c r="V1586" s="36"/>
      <c r="W1586" s="129"/>
      <c r="X1586" s="36"/>
      <c r="Y1586" s="36"/>
      <c r="Z1586" s="36"/>
      <c r="AA1586" s="125" t="s">
        <v>3</v>
      </c>
      <c r="AB1586" s="173"/>
      <c r="AC1586" s="119"/>
      <c r="AD1586" s="36" t="str">
        <f t="shared" si="180"/>
        <v/>
      </c>
      <c r="AE1586" s="36" t="str">
        <f t="shared" si="181"/>
        <v/>
      </c>
      <c r="AF1586" s="36"/>
      <c r="AG1586" s="120">
        <f t="shared" ref="AG1586:AG1650" si="184">AF1586*H1586</f>
        <v>0</v>
      </c>
      <c r="AH1586" s="36"/>
      <c r="AI1586" s="124"/>
      <c r="AJ1586" s="122"/>
      <c r="AK1586" s="129" t="str">
        <f t="shared" ca="1" si="183"/>
        <v/>
      </c>
      <c r="AL1586" s="268" t="str">
        <f t="shared" si="182"/>
        <v>December</v>
      </c>
      <c r="AM1586" s="133">
        <f>YEAR(Table1[[#This Row],[ETA
As requested
dd.mm.yyyy]])</f>
        <v>2025</v>
      </c>
    </row>
    <row r="1587" spans="1:40" hidden="1">
      <c r="A1587" s="123" t="s">
        <v>25</v>
      </c>
      <c r="B1587" s="36" t="s">
        <v>2464</v>
      </c>
      <c r="C1587" s="117">
        <v>5500492159</v>
      </c>
      <c r="D1587" s="165">
        <v>45439</v>
      </c>
      <c r="E1587" s="117" t="s">
        <v>1032</v>
      </c>
      <c r="F1587" s="36" t="str">
        <f>IFERROR(VLOOKUP(Table1[[#This Row],[Part Number]],DATABASE_FG!$C$6:D11576,2,FALSE)," ")</f>
        <v>THROTTLE SCREW     2FRM 10-3X/</v>
      </c>
      <c r="G1587" s="117" t="str">
        <f>IFERROR(_xlfn.XLOOKUP(Table1[[#This Row],[Part Number]],Table3[Part number],Table3[Drawing
 Revision]),"")</f>
        <v>AI</v>
      </c>
      <c r="H1587" s="118" cm="1">
        <f t="array" ref="H1587">IFERROR(INDEX(PDB!$C:$AT,MATCH(E1587,PDB!$B:$B,0),MATCH(YEAR(K1587),0+PDB!$C$1:$AT$1,0)),"")</f>
        <v>0</v>
      </c>
      <c r="I1587" s="36">
        <v>340</v>
      </c>
      <c r="J1587" s="125">
        <f>IFERROR(Table1[[#This Row],[Quantity]]*Table1[[#This Row],[Price/Unit
EUR]]," ")</f>
        <v>0</v>
      </c>
      <c r="K1587" s="126">
        <v>46031</v>
      </c>
      <c r="L1587" s="36">
        <f>WEEKNUM(Table1[[#This Row],[ETA
As requested
dd.mm.yyyy]])</f>
        <v>2</v>
      </c>
      <c r="M1587" s="36">
        <f>YEAR(Table1[[#This Row],[ETA
As requested
dd.mm.yyyy]])</f>
        <v>2026</v>
      </c>
      <c r="N1587" s="36">
        <f>IFERROR(INDEX(DATABASE_FG!$H$5:$H$367, MATCH(E1587, DATABASE_FG!$C$5:$C$367, 0)), " ")</f>
        <v>47</v>
      </c>
      <c r="O1587" s="129" t="str">
        <f>IF(E1587&lt;&gt;"", _xlfn.XLOOKUP(E1587, DATABASE_FG!C:C, DATABASE_FG!F:F), " ")</f>
        <v>Drosselboltzen</v>
      </c>
      <c r="P1587" s="129">
        <f>IFERROR(INDEX(DATABASE_FG!$G$5:$G$367, MATCH(E1587, DATABASE_FG!$C$5:$C$367, 0)), "Not Found")</f>
        <v>340</v>
      </c>
      <c r="Q1587" s="36">
        <v>42</v>
      </c>
      <c r="R1587" s="125" t="s">
        <v>678</v>
      </c>
      <c r="S1587" s="123">
        <f>IFERROR(INDEX(DATABASE_FG!$L$5:$L$367, MATCH(E1587, DATABASE_FG!$C$5:$C$367, 0)), " ")</f>
        <v>40</v>
      </c>
      <c r="T1587" s="36" t="s">
        <v>677</v>
      </c>
      <c r="U1587" s="36"/>
      <c r="V1587" s="36"/>
      <c r="W1587" s="129"/>
      <c r="X1587" s="36"/>
      <c r="Y1587" s="36"/>
      <c r="Z1587" s="36"/>
      <c r="AA1587" s="125" t="s">
        <v>3</v>
      </c>
      <c r="AB1587" s="173"/>
      <c r="AC1587" s="119"/>
      <c r="AD1587" s="36" t="str">
        <f t="shared" si="180"/>
        <v/>
      </c>
      <c r="AE1587" s="36" t="str">
        <f t="shared" si="181"/>
        <v/>
      </c>
      <c r="AF1587" s="36"/>
      <c r="AG1587" s="120">
        <f t="shared" si="184"/>
        <v>0</v>
      </c>
      <c r="AH1587" s="36"/>
      <c r="AI1587" s="124"/>
      <c r="AJ1587" s="122"/>
      <c r="AK1587" s="129" t="str">
        <f t="shared" ca="1" si="183"/>
        <v/>
      </c>
      <c r="AL1587" s="268" t="str">
        <f t="shared" si="182"/>
        <v>January</v>
      </c>
      <c r="AM1587" s="133">
        <f>YEAR(Table1[[#This Row],[ETA
As requested
dd.mm.yyyy]])</f>
        <v>2026</v>
      </c>
      <c r="AN1587" s="76"/>
    </row>
    <row r="1588" spans="1:40" hidden="1">
      <c r="A1588" s="123" t="s">
        <v>25</v>
      </c>
      <c r="B1588" s="36" t="s">
        <v>2464</v>
      </c>
      <c r="C1588" s="117">
        <v>5500492159</v>
      </c>
      <c r="D1588" s="165">
        <v>45439</v>
      </c>
      <c r="E1588" s="117" t="s">
        <v>1032</v>
      </c>
      <c r="F1588" s="36" t="str">
        <f>IFERROR(VLOOKUP(Table1[[#This Row],[Part Number]],DATABASE_FG!$C$6:D11577,2,FALSE)," ")</f>
        <v>THROTTLE SCREW     2FRM 10-3X/</v>
      </c>
      <c r="G1588" s="117" t="str">
        <f>IFERROR(_xlfn.XLOOKUP(Table1[[#This Row],[Part Number]],Table3[Part number],Table3[Drawing
 Revision]),"")</f>
        <v>AI</v>
      </c>
      <c r="H1588" s="118" cm="1">
        <f t="array" ref="H1588">IFERROR(INDEX(PDB!$C:$AT,MATCH(E1588,PDB!$B:$B,0),MATCH(YEAR(K1588),0+PDB!$C$1:$AT$1,0)),"")</f>
        <v>0</v>
      </c>
      <c r="I1588" s="36">
        <v>340</v>
      </c>
      <c r="J1588" s="125">
        <f>IFERROR(Table1[[#This Row],[Quantity]]*Table1[[#This Row],[Price/Unit
EUR]]," ")</f>
        <v>0</v>
      </c>
      <c r="K1588" s="126">
        <v>46059</v>
      </c>
      <c r="L1588" s="36">
        <f>WEEKNUM(Table1[[#This Row],[ETA
As requested
dd.mm.yyyy]])</f>
        <v>6</v>
      </c>
      <c r="M1588" s="36">
        <f>YEAR(Table1[[#This Row],[ETA
As requested
dd.mm.yyyy]])</f>
        <v>2026</v>
      </c>
      <c r="N1588" s="36">
        <f>IFERROR(INDEX(DATABASE_FG!$H$5:$H$367, MATCH(E1588, DATABASE_FG!$C$5:$C$367, 0)), " ")</f>
        <v>47</v>
      </c>
      <c r="O1588" s="129" t="str">
        <f>IF(E1588&lt;&gt;"", _xlfn.XLOOKUP(E1588, DATABASE_FG!C:C, DATABASE_FG!F:F), " ")</f>
        <v>Drosselboltzen</v>
      </c>
      <c r="P1588" s="129">
        <f>IFERROR(INDEX(DATABASE_FG!$G$5:$G$367, MATCH(E1588, DATABASE_FG!$C$5:$C$367, 0)), "Not Found")</f>
        <v>340</v>
      </c>
      <c r="Q1588" s="36">
        <v>42</v>
      </c>
      <c r="R1588" s="125" t="s">
        <v>678</v>
      </c>
      <c r="S1588" s="123">
        <f>IFERROR(INDEX(DATABASE_FG!$L$5:$L$367, MATCH(E1588, DATABASE_FG!$C$5:$C$367, 0)), " ")</f>
        <v>40</v>
      </c>
      <c r="T1588" s="36" t="s">
        <v>677</v>
      </c>
      <c r="U1588" s="36"/>
      <c r="V1588" s="36"/>
      <c r="W1588" s="129"/>
      <c r="X1588" s="36"/>
      <c r="Y1588" s="36"/>
      <c r="Z1588" s="36"/>
      <c r="AA1588" s="125" t="s">
        <v>3</v>
      </c>
      <c r="AB1588" s="173"/>
      <c r="AC1588" s="119"/>
      <c r="AD1588" s="36" t="str">
        <f t="shared" si="180"/>
        <v/>
      </c>
      <c r="AE1588" s="36" t="str">
        <f t="shared" si="181"/>
        <v/>
      </c>
      <c r="AF1588" s="36"/>
      <c r="AG1588" s="120">
        <f t="shared" si="184"/>
        <v>0</v>
      </c>
      <c r="AH1588" s="36"/>
      <c r="AI1588" s="124"/>
      <c r="AJ1588" s="122"/>
      <c r="AK1588" s="129" t="str">
        <f t="shared" ca="1" si="183"/>
        <v/>
      </c>
      <c r="AL1588" s="268" t="str">
        <f t="shared" si="182"/>
        <v>February</v>
      </c>
      <c r="AM1588" s="133">
        <f>YEAR(Table1[[#This Row],[ETA
As requested
dd.mm.yyyy]])</f>
        <v>2026</v>
      </c>
    </row>
    <row r="1589" spans="1:40" hidden="1">
      <c r="A1589" s="123" t="s">
        <v>25</v>
      </c>
      <c r="B1589" s="36" t="s">
        <v>2464</v>
      </c>
      <c r="C1589" s="117">
        <v>5500492159</v>
      </c>
      <c r="D1589" s="165">
        <v>45439</v>
      </c>
      <c r="E1589" s="117" t="s">
        <v>1032</v>
      </c>
      <c r="F1589" s="36" t="str">
        <f>IFERROR(VLOOKUP(Table1[[#This Row],[Part Number]],DATABASE_FG!$C$6:D11578,2,FALSE)," ")</f>
        <v>THROTTLE SCREW     2FRM 10-3X/</v>
      </c>
      <c r="G1589" s="117" t="str">
        <f>IFERROR(_xlfn.XLOOKUP(Table1[[#This Row],[Part Number]],Table3[Part number],Table3[Drawing
 Revision]),"")</f>
        <v>AI</v>
      </c>
      <c r="H1589" s="118" cm="1">
        <f t="array" ref="H1589">IFERROR(INDEX(PDB!$C:$AT,MATCH(E1589,PDB!$B:$B,0),MATCH(YEAR(K1589),0+PDB!$C$1:$AT$1,0)),"")</f>
        <v>0</v>
      </c>
      <c r="I1589" s="36">
        <v>340</v>
      </c>
      <c r="J1589" s="125">
        <f>IFERROR(Table1[[#This Row],[Quantity]]*Table1[[#This Row],[Price/Unit
EUR]]," ")</f>
        <v>0</v>
      </c>
      <c r="K1589" s="126">
        <v>46094</v>
      </c>
      <c r="L1589" s="36">
        <f>WEEKNUM(Table1[[#This Row],[ETA
As requested
dd.mm.yyyy]])</f>
        <v>11</v>
      </c>
      <c r="M1589" s="36">
        <f>YEAR(Table1[[#This Row],[ETA
As requested
dd.mm.yyyy]])</f>
        <v>2026</v>
      </c>
      <c r="N1589" s="36">
        <f>IFERROR(INDEX(DATABASE_FG!$H$5:$H$367, MATCH(E1589, DATABASE_FG!$C$5:$C$367, 0)), " ")</f>
        <v>47</v>
      </c>
      <c r="O1589" s="129" t="str">
        <f>IF(E1589&lt;&gt;"", _xlfn.XLOOKUP(E1589, DATABASE_FG!C:C, DATABASE_FG!F:F), " ")</f>
        <v>Drosselboltzen</v>
      </c>
      <c r="P1589" s="129">
        <f>IFERROR(INDEX(DATABASE_FG!$G$5:$G$367, MATCH(E1589, DATABASE_FG!$C$5:$C$367, 0)), "Not Found")</f>
        <v>340</v>
      </c>
      <c r="Q1589" s="36">
        <v>42</v>
      </c>
      <c r="R1589" s="125" t="s">
        <v>678</v>
      </c>
      <c r="S1589" s="123">
        <f>IFERROR(INDEX(DATABASE_FG!$L$5:$L$367, MATCH(E1589, DATABASE_FG!$C$5:$C$367, 0)), " ")</f>
        <v>40</v>
      </c>
      <c r="T1589" s="36" t="s">
        <v>677</v>
      </c>
      <c r="U1589" s="36"/>
      <c r="V1589" s="36"/>
      <c r="W1589" s="129"/>
      <c r="X1589" s="36"/>
      <c r="Y1589" s="36"/>
      <c r="Z1589" s="36"/>
      <c r="AA1589" s="125" t="s">
        <v>3</v>
      </c>
      <c r="AB1589" s="173"/>
      <c r="AC1589" s="119"/>
      <c r="AD1589" s="36" t="str">
        <f t="shared" si="180"/>
        <v/>
      </c>
      <c r="AE1589" s="36" t="str">
        <f t="shared" si="181"/>
        <v/>
      </c>
      <c r="AF1589" s="36"/>
      <c r="AG1589" s="120">
        <f t="shared" si="184"/>
        <v>0</v>
      </c>
      <c r="AH1589" s="36"/>
      <c r="AI1589" s="124"/>
      <c r="AJ1589" s="122"/>
      <c r="AK1589" s="129" t="str">
        <f t="shared" ca="1" si="183"/>
        <v/>
      </c>
      <c r="AL1589" s="268" t="str">
        <f t="shared" si="182"/>
        <v>March</v>
      </c>
      <c r="AM1589" s="133">
        <f>YEAR(Table1[[#This Row],[ETA
As requested
dd.mm.yyyy]])</f>
        <v>2026</v>
      </c>
    </row>
    <row r="1590" spans="1:40" hidden="1">
      <c r="A1590" s="123" t="s">
        <v>25</v>
      </c>
      <c r="B1590" s="36" t="s">
        <v>2464</v>
      </c>
      <c r="C1590" s="117">
        <v>5500492159</v>
      </c>
      <c r="D1590" s="165">
        <v>45438</v>
      </c>
      <c r="E1590" s="117" t="s">
        <v>1032</v>
      </c>
      <c r="F1590" s="36" t="str">
        <f>IFERROR(VLOOKUP(Table1[[#This Row],[Part Number]],DATABASE_FG!$C$6:D11579,2,FALSE)," ")</f>
        <v>THROTTLE SCREW     2FRM 10-3X/</v>
      </c>
      <c r="G1590" s="117" t="str">
        <f>IFERROR(_xlfn.XLOOKUP(Table1[[#This Row],[Part Number]],Table3[Part number],Table3[Drawing
 Revision]),"")</f>
        <v>AI</v>
      </c>
      <c r="H1590" s="118" cm="1">
        <f t="array" ref="H1590">IFERROR(INDEX(PDB!$C:$AT,MATCH(E1590,PDB!$B:$B,0),MATCH(YEAR(K1590),0+PDB!$C$1:$AT$1,0)),"")</f>
        <v>0</v>
      </c>
      <c r="I1590" s="36">
        <v>340</v>
      </c>
      <c r="J1590" s="125">
        <f>IFERROR(Table1[[#This Row],[Quantity]]*Table1[[#This Row],[Price/Unit
EUR]]," ")</f>
        <v>0</v>
      </c>
      <c r="K1590" s="126">
        <v>46129</v>
      </c>
      <c r="L1590" s="36">
        <f>WEEKNUM(Table1[[#This Row],[ETA
As requested
dd.mm.yyyy]])</f>
        <v>16</v>
      </c>
      <c r="M1590" s="36">
        <f>YEAR(Table1[[#This Row],[ETA
As requested
dd.mm.yyyy]])</f>
        <v>2026</v>
      </c>
      <c r="N1590" s="36">
        <f>IFERROR(INDEX(DATABASE_FG!$H$5:$H$367, MATCH(E1590, DATABASE_FG!$C$5:$C$367, 0)), " ")</f>
        <v>47</v>
      </c>
      <c r="O1590" s="129" t="str">
        <f>IF(E1590&lt;&gt;"", _xlfn.XLOOKUP(E1590, DATABASE_FG!C:C, DATABASE_FG!F:F), " ")</f>
        <v>Drosselboltzen</v>
      </c>
      <c r="P1590" s="129">
        <f>IFERROR(INDEX(DATABASE_FG!$G$5:$G$367, MATCH(E1590, DATABASE_FG!$C$5:$C$367, 0)), "Not Found")</f>
        <v>340</v>
      </c>
      <c r="Q1590" s="36">
        <v>42</v>
      </c>
      <c r="R1590" s="125" t="s">
        <v>678</v>
      </c>
      <c r="S1590" s="123">
        <f>IFERROR(INDEX(DATABASE_FG!$L$5:$L$367, MATCH(E1590, DATABASE_FG!$C$5:$C$367, 0)), " ")</f>
        <v>40</v>
      </c>
      <c r="T1590" s="36" t="s">
        <v>677</v>
      </c>
      <c r="U1590" s="36"/>
      <c r="V1590" s="36"/>
      <c r="W1590" s="129"/>
      <c r="X1590" s="36"/>
      <c r="Y1590" s="36"/>
      <c r="Z1590" s="36"/>
      <c r="AA1590" s="125" t="s">
        <v>3</v>
      </c>
      <c r="AB1590" s="173"/>
      <c r="AC1590" s="119"/>
      <c r="AD1590" s="36" t="str">
        <f t="shared" si="180"/>
        <v/>
      </c>
      <c r="AE1590" s="36" t="str">
        <f t="shared" si="181"/>
        <v/>
      </c>
      <c r="AF1590" s="36"/>
      <c r="AG1590" s="120">
        <f t="shared" si="184"/>
        <v>0</v>
      </c>
      <c r="AH1590" s="36"/>
      <c r="AI1590" s="124"/>
      <c r="AJ1590" s="122"/>
      <c r="AK1590" s="129" t="str">
        <f t="shared" ca="1" si="183"/>
        <v/>
      </c>
      <c r="AL1590" s="268" t="str">
        <f t="shared" si="182"/>
        <v>April</v>
      </c>
      <c r="AM1590" s="133">
        <f>YEAR(Table1[[#This Row],[ETA
As requested
dd.mm.yyyy]])</f>
        <v>2026</v>
      </c>
    </row>
    <row r="1591" spans="1:40" hidden="1">
      <c r="A1591" s="123" t="s">
        <v>25</v>
      </c>
      <c r="B1591" s="36" t="s">
        <v>2464</v>
      </c>
      <c r="C1591" s="117">
        <v>5500492159</v>
      </c>
      <c r="D1591" s="165">
        <v>45438</v>
      </c>
      <c r="E1591" s="117" t="s">
        <v>1032</v>
      </c>
      <c r="F1591" s="36" t="str">
        <f>IFERROR(VLOOKUP(Table1[[#This Row],[Part Number]],DATABASE_FG!$C$6:D11580,2,FALSE)," ")</f>
        <v>THROTTLE SCREW     2FRM 10-3X/</v>
      </c>
      <c r="G1591" s="117" t="str">
        <f>IFERROR(_xlfn.XLOOKUP(Table1[[#This Row],[Part Number]],Table3[Part number],Table3[Drawing
 Revision]),"")</f>
        <v>AI</v>
      </c>
      <c r="H1591" s="118" cm="1">
        <f t="array" ref="H1591">IFERROR(INDEX(PDB!$C:$AT,MATCH(E1591,PDB!$B:$B,0),MATCH(YEAR(K1591),0+PDB!$C$1:$AT$1,0)),"")</f>
        <v>0</v>
      </c>
      <c r="I1591" s="36">
        <v>340</v>
      </c>
      <c r="J1591" s="125">
        <f>IFERROR(Table1[[#This Row],[Quantity]]*Table1[[#This Row],[Price/Unit
EUR]]," ")</f>
        <v>0</v>
      </c>
      <c r="K1591" s="126">
        <v>46157</v>
      </c>
      <c r="L1591" s="36">
        <f>WEEKNUM(Table1[[#This Row],[ETA
As requested
dd.mm.yyyy]])</f>
        <v>20</v>
      </c>
      <c r="M1591" s="36">
        <f>YEAR(Table1[[#This Row],[ETA
As requested
dd.mm.yyyy]])</f>
        <v>2026</v>
      </c>
      <c r="N1591" s="36">
        <f>IFERROR(INDEX(DATABASE_FG!$H$5:$H$367, MATCH(E1591, DATABASE_FG!$C$5:$C$367, 0)), " ")</f>
        <v>47</v>
      </c>
      <c r="O1591" s="129" t="str">
        <f>IF(E1591&lt;&gt;"", _xlfn.XLOOKUP(E1591, DATABASE_FG!C:C, DATABASE_FG!F:F), " ")</f>
        <v>Drosselboltzen</v>
      </c>
      <c r="P1591" s="129">
        <f>IFERROR(INDEX(DATABASE_FG!$G$5:$G$367, MATCH(E1591, DATABASE_FG!$C$5:$C$367, 0)), "Not Found")</f>
        <v>340</v>
      </c>
      <c r="Q1591" s="36">
        <v>42</v>
      </c>
      <c r="R1591" s="125" t="s">
        <v>678</v>
      </c>
      <c r="S1591" s="123">
        <f>IFERROR(INDEX(DATABASE_FG!$L$5:$L$367, MATCH(E1591, DATABASE_FG!$C$5:$C$367, 0)), " ")</f>
        <v>40</v>
      </c>
      <c r="T1591" s="36" t="s">
        <v>677</v>
      </c>
      <c r="U1591" s="36"/>
      <c r="V1591" s="36"/>
      <c r="W1591" s="129"/>
      <c r="X1591" s="36"/>
      <c r="Y1591" s="36"/>
      <c r="Z1591" s="36"/>
      <c r="AA1591" s="125" t="s">
        <v>3</v>
      </c>
      <c r="AB1591" s="173"/>
      <c r="AC1591" s="119"/>
      <c r="AD1591" s="36" t="str">
        <f t="shared" si="180"/>
        <v/>
      </c>
      <c r="AE1591" s="36" t="str">
        <f t="shared" si="181"/>
        <v/>
      </c>
      <c r="AF1591" s="36"/>
      <c r="AG1591" s="120">
        <f t="shared" si="184"/>
        <v>0</v>
      </c>
      <c r="AH1591" s="36"/>
      <c r="AI1591" s="124"/>
      <c r="AJ1591" s="122"/>
      <c r="AK1591" s="129" t="str">
        <f t="shared" ca="1" si="183"/>
        <v/>
      </c>
      <c r="AL1591" s="268" t="str">
        <f t="shared" si="182"/>
        <v>May</v>
      </c>
      <c r="AM1591" s="133">
        <f>YEAR(Table1[[#This Row],[ETA
As requested
dd.mm.yyyy]])</f>
        <v>2026</v>
      </c>
    </row>
    <row r="1592" spans="1:40" hidden="1">
      <c r="A1592" s="123" t="s">
        <v>25</v>
      </c>
      <c r="B1592" s="36" t="s">
        <v>2464</v>
      </c>
      <c r="C1592" s="117">
        <v>5500492159</v>
      </c>
      <c r="D1592" s="165">
        <v>45438</v>
      </c>
      <c r="E1592" s="117" t="s">
        <v>1032</v>
      </c>
      <c r="F1592" s="36" t="str">
        <f>IFERROR(VLOOKUP(Table1[[#This Row],[Part Number]],DATABASE_FG!$C$6:D11581,2,FALSE)," ")</f>
        <v>THROTTLE SCREW     2FRM 10-3X/</v>
      </c>
      <c r="G1592" s="117" t="str">
        <f>IFERROR(_xlfn.XLOOKUP(Table1[[#This Row],[Part Number]],Table3[Part number],Table3[Drawing
 Revision]),"")</f>
        <v>AI</v>
      </c>
      <c r="H1592" s="118" cm="1">
        <f t="array" ref="H1592">IFERROR(INDEX(PDB!$C:$AT,MATCH(E1592,PDB!$B:$B,0),MATCH(YEAR(K1592),0+PDB!$C$1:$AT$1,0)),"")</f>
        <v>0</v>
      </c>
      <c r="I1592" s="36">
        <v>340</v>
      </c>
      <c r="J1592" s="125">
        <f>IFERROR(Table1[[#This Row],[Quantity]]*Table1[[#This Row],[Price/Unit
EUR]]," ")</f>
        <v>0</v>
      </c>
      <c r="K1592" s="126">
        <v>46220</v>
      </c>
      <c r="L1592" s="36">
        <f>WEEKNUM(Table1[[#This Row],[ETA
As requested
dd.mm.yyyy]])</f>
        <v>29</v>
      </c>
      <c r="M1592" s="36">
        <f>YEAR(Table1[[#This Row],[ETA
As requested
dd.mm.yyyy]])</f>
        <v>2026</v>
      </c>
      <c r="N1592" s="36">
        <f>IFERROR(INDEX(DATABASE_FG!$H$5:$H$367, MATCH(E1592, DATABASE_FG!$C$5:$C$367, 0)), " ")</f>
        <v>47</v>
      </c>
      <c r="O1592" s="129" t="str">
        <f>IF(E1592&lt;&gt;"", _xlfn.XLOOKUP(E1592, DATABASE_FG!C:C, DATABASE_FG!F:F), " ")</f>
        <v>Drosselboltzen</v>
      </c>
      <c r="P1592" s="129">
        <f>IFERROR(INDEX(DATABASE_FG!$G$5:$G$367, MATCH(E1592, DATABASE_FG!$C$5:$C$367, 0)), "Not Found")</f>
        <v>340</v>
      </c>
      <c r="Q1592" s="36">
        <v>42</v>
      </c>
      <c r="R1592" s="125" t="s">
        <v>678</v>
      </c>
      <c r="S1592" s="123">
        <f>IFERROR(INDEX(DATABASE_FG!$L$5:$L$367, MATCH(E1592, DATABASE_FG!$C$5:$C$367, 0)), " ")</f>
        <v>40</v>
      </c>
      <c r="T1592" s="36" t="s">
        <v>677</v>
      </c>
      <c r="U1592" s="36"/>
      <c r="V1592" s="36"/>
      <c r="W1592" s="129"/>
      <c r="X1592" s="36"/>
      <c r="Y1592" s="36"/>
      <c r="Z1592" s="36"/>
      <c r="AA1592" s="125" t="s">
        <v>3</v>
      </c>
      <c r="AB1592" s="173"/>
      <c r="AC1592" s="119"/>
      <c r="AD1592" s="36" t="str">
        <f t="shared" si="180"/>
        <v/>
      </c>
      <c r="AE1592" s="36" t="str">
        <f t="shared" si="181"/>
        <v/>
      </c>
      <c r="AF1592" s="36"/>
      <c r="AG1592" s="120">
        <f t="shared" si="184"/>
        <v>0</v>
      </c>
      <c r="AH1592" s="36"/>
      <c r="AI1592" s="124"/>
      <c r="AJ1592" s="122"/>
      <c r="AK1592" s="129" t="str">
        <f t="shared" ca="1" si="183"/>
        <v/>
      </c>
      <c r="AL1592" s="268" t="str">
        <f t="shared" si="182"/>
        <v>July</v>
      </c>
      <c r="AM1592" s="133">
        <f>YEAR(Table1[[#This Row],[ETA
As requested
dd.mm.yyyy]])</f>
        <v>2026</v>
      </c>
    </row>
    <row r="1593" spans="1:40" hidden="1">
      <c r="A1593" s="123" t="s">
        <v>25</v>
      </c>
      <c r="B1593" s="36" t="s">
        <v>2464</v>
      </c>
      <c r="C1593" s="117">
        <v>5500492159</v>
      </c>
      <c r="D1593" s="165">
        <v>45438</v>
      </c>
      <c r="E1593" s="117" t="s">
        <v>1032</v>
      </c>
      <c r="F1593" s="36" t="str">
        <f>IFERROR(VLOOKUP(Table1[[#This Row],[Part Number]],DATABASE_FG!$C$6:D11582,2,FALSE)," ")</f>
        <v>THROTTLE SCREW     2FRM 10-3X/</v>
      </c>
      <c r="G1593" s="117" t="str">
        <f>IFERROR(_xlfn.XLOOKUP(Table1[[#This Row],[Part Number]],Table3[Part number],Table3[Drawing
 Revision]),"")</f>
        <v>AI</v>
      </c>
      <c r="H1593" s="118" cm="1">
        <f t="array" ref="H1593">IFERROR(INDEX(PDB!$C:$AT,MATCH(E1593,PDB!$B:$B,0),MATCH(YEAR(K1593),0+PDB!$C$1:$AT$1,0)),"")</f>
        <v>0</v>
      </c>
      <c r="I1593" s="36">
        <v>340</v>
      </c>
      <c r="J1593" s="125">
        <f>IFERROR(Table1[[#This Row],[Quantity]]*Table1[[#This Row],[Price/Unit
EUR]]," ")</f>
        <v>0</v>
      </c>
      <c r="K1593" s="126">
        <v>46269</v>
      </c>
      <c r="L1593" s="36">
        <f>WEEKNUM(Table1[[#This Row],[ETA
As requested
dd.mm.yyyy]])</f>
        <v>36</v>
      </c>
      <c r="M1593" s="36">
        <f>YEAR(Table1[[#This Row],[ETA
As requested
dd.mm.yyyy]])</f>
        <v>2026</v>
      </c>
      <c r="N1593" s="36">
        <f>IFERROR(INDEX(DATABASE_FG!$H$5:$H$367, MATCH(E1593, DATABASE_FG!$C$5:$C$367, 0)), " ")</f>
        <v>47</v>
      </c>
      <c r="O1593" s="129" t="str">
        <f>IF(E1593&lt;&gt;"", _xlfn.XLOOKUP(E1593, DATABASE_FG!C:C, DATABASE_FG!F:F), " ")</f>
        <v>Drosselboltzen</v>
      </c>
      <c r="P1593" s="129">
        <f>IFERROR(INDEX(DATABASE_FG!$G$5:$G$367, MATCH(E1593, DATABASE_FG!$C$5:$C$367, 0)), "Not Found")</f>
        <v>340</v>
      </c>
      <c r="Q1593" s="36">
        <v>42</v>
      </c>
      <c r="R1593" s="125" t="s">
        <v>678</v>
      </c>
      <c r="S1593" s="123">
        <f>IFERROR(INDEX(DATABASE_FG!$L$5:$L$367, MATCH(E1593, DATABASE_FG!$C$5:$C$367, 0)), " ")</f>
        <v>40</v>
      </c>
      <c r="T1593" s="36" t="s">
        <v>677</v>
      </c>
      <c r="U1593" s="36"/>
      <c r="V1593" s="36"/>
      <c r="W1593" s="129"/>
      <c r="X1593" s="36"/>
      <c r="Y1593" s="36"/>
      <c r="Z1593" s="36"/>
      <c r="AA1593" s="125" t="s">
        <v>3</v>
      </c>
      <c r="AB1593" s="173"/>
      <c r="AC1593" s="119"/>
      <c r="AD1593" s="36" t="str">
        <f t="shared" si="180"/>
        <v/>
      </c>
      <c r="AE1593" s="36" t="str">
        <f t="shared" si="181"/>
        <v/>
      </c>
      <c r="AF1593" s="36"/>
      <c r="AG1593" s="120">
        <f t="shared" si="184"/>
        <v>0</v>
      </c>
      <c r="AH1593" s="36"/>
      <c r="AI1593" s="124"/>
      <c r="AJ1593" s="122"/>
      <c r="AK1593" s="129" t="str">
        <f t="shared" ca="1" si="183"/>
        <v/>
      </c>
      <c r="AL1593" s="268" t="str">
        <f t="shared" si="182"/>
        <v>September</v>
      </c>
      <c r="AM1593" s="133">
        <f>YEAR(Table1[[#This Row],[ETA
As requested
dd.mm.yyyy]])</f>
        <v>2026</v>
      </c>
    </row>
    <row r="1594" spans="1:40" hidden="1">
      <c r="A1594" s="123" t="s">
        <v>25</v>
      </c>
      <c r="B1594" s="36" t="s">
        <v>1170</v>
      </c>
      <c r="C1594" s="117">
        <v>5500388109</v>
      </c>
      <c r="D1594" s="165">
        <v>45530</v>
      </c>
      <c r="E1594" s="117" t="s">
        <v>1034</v>
      </c>
      <c r="F1594" s="36" t="str">
        <f>IFERROR(VLOOKUP(Table1[[#This Row],[Part Number]],DATABASE_FG!$C$6:D11583,2,FALSE)," ")</f>
        <v>THROTTLE SCREW 2FRM 10 -3X/</v>
      </c>
      <c r="G1594" s="117" t="str">
        <f>IFERROR(_xlfn.XLOOKUP(Table1[[#This Row],[Part Number]],Table3[Part number],Table3[Drawing
 Revision]),"")</f>
        <v>AI</v>
      </c>
      <c r="H1594" s="118" cm="1">
        <f t="array" ref="H1594">IFERROR(INDEX(PDB!$C:$AT,MATCH(E1594,PDB!$B:$B,0),MATCH(YEAR(K1594),0+PDB!$C$1:$AT$1,0)),"")</f>
        <v>34</v>
      </c>
      <c r="I1594" s="36">
        <v>8</v>
      </c>
      <c r="J1594" s="125">
        <f>IFERROR(Table1[[#This Row],[Quantity]]*Table1[[#This Row],[Price/Unit
EUR]]," ")</f>
        <v>272</v>
      </c>
      <c r="K1594" s="126">
        <v>45511</v>
      </c>
      <c r="L1594" s="36">
        <f>WEEKNUM(Table1[[#This Row],[ETA
As requested
dd.mm.yyyy]])</f>
        <v>32</v>
      </c>
      <c r="M1594" s="36">
        <f>YEAR(Table1[[#This Row],[ETA
As requested
dd.mm.yyyy]])</f>
        <v>2024</v>
      </c>
      <c r="N1594" s="36">
        <f>IFERROR(INDEX(DATABASE_FG!$H$5:$H$367, MATCH(E1594, DATABASE_FG!$C$5:$C$367, 0)), " ")</f>
        <v>0</v>
      </c>
      <c r="O1594" s="129" t="str">
        <f>IF(E1594&lt;&gt;"", _xlfn.XLOOKUP(E1594, DATABASE_FG!C:C, DATABASE_FG!F:F), " ")</f>
        <v>Drosselboltzen</v>
      </c>
      <c r="P1594" s="129">
        <f>IFERROR(INDEX(DATABASE_FG!$G$5:$G$367, MATCH(E1594, DATABASE_FG!$C$5:$C$367, 0)), "Not Found")</f>
        <v>20</v>
      </c>
      <c r="Q1594" s="36"/>
      <c r="R1594" s="125" t="s">
        <v>678</v>
      </c>
      <c r="S1594" s="123">
        <f>Table1[[#This Row],[Quantity]]/48</f>
        <v>0.16666666666666666</v>
      </c>
      <c r="T1594" s="36"/>
      <c r="U1594" s="36"/>
      <c r="V1594" s="36"/>
      <c r="W1594" s="129"/>
      <c r="X1594" s="36" t="s">
        <v>1750</v>
      </c>
      <c r="Y1594" s="36" t="s">
        <v>1922</v>
      </c>
      <c r="Z1594" s="36"/>
      <c r="AA1594" s="125" t="s">
        <v>121</v>
      </c>
      <c r="AB1594" s="173">
        <v>45604</v>
      </c>
      <c r="AC1594" s="119">
        <v>202401351</v>
      </c>
      <c r="AD1594" s="36">
        <f t="shared" si="180"/>
        <v>5500388109</v>
      </c>
      <c r="AE1594" s="36" t="str">
        <f t="shared" si="181"/>
        <v>R900601676 - 535</v>
      </c>
      <c r="AF1594" s="36">
        <v>8</v>
      </c>
      <c r="AG1594" s="120">
        <f t="shared" si="184"/>
        <v>272</v>
      </c>
      <c r="AH1594" s="36"/>
      <c r="AI1594" s="124"/>
      <c r="AJ1594" s="122" t="s">
        <v>1923</v>
      </c>
      <c r="AK1594" s="129" t="str">
        <f t="shared" ca="1" si="183"/>
        <v>Late</v>
      </c>
      <c r="AL1594" s="268" t="str">
        <f t="shared" si="182"/>
        <v>August</v>
      </c>
      <c r="AM1594" s="133">
        <f>YEAR(Table1[[#This Row],[ETA
As requested
dd.mm.yyyy]])</f>
        <v>2024</v>
      </c>
    </row>
    <row r="1595" spans="1:40" hidden="1">
      <c r="A1595" s="123" t="s">
        <v>25</v>
      </c>
      <c r="B1595" s="36" t="s">
        <v>1170</v>
      </c>
      <c r="C1595" s="117">
        <v>5500388109</v>
      </c>
      <c r="D1595" s="165">
        <v>45530</v>
      </c>
      <c r="E1595" s="117" t="s">
        <v>1034</v>
      </c>
      <c r="F1595" s="36" t="str">
        <f>IFERROR(VLOOKUP(Table1[[#This Row],[Part Number]],DATABASE_FG!$C$6:D11584,2,FALSE)," ")</f>
        <v>THROTTLE SCREW 2FRM 10 -3X/</v>
      </c>
      <c r="G1595" s="117" t="str">
        <f>IFERROR(_xlfn.XLOOKUP(Table1[[#This Row],[Part Number]],Table3[Part number],Table3[Drawing
 Revision]),"")</f>
        <v>AI</v>
      </c>
      <c r="H1595" s="118" cm="1">
        <f t="array" ref="H1595">IFERROR(INDEX(PDB!$C:$AT,MATCH(E1595,PDB!$B:$B,0),MATCH(YEAR(K1595),0+PDB!$C$1:$AT$1,0)),"")</f>
        <v>34</v>
      </c>
      <c r="I1595" s="36">
        <v>5</v>
      </c>
      <c r="J1595" s="125">
        <f>IFERROR(Table1[[#This Row],[Quantity]]*Table1[[#This Row],[Price/Unit
EUR]]," ")</f>
        <v>170</v>
      </c>
      <c r="K1595" s="126">
        <v>45511</v>
      </c>
      <c r="L1595" s="36">
        <f>WEEKNUM(Table1[[#This Row],[ETA
As requested
dd.mm.yyyy]])</f>
        <v>32</v>
      </c>
      <c r="M1595" s="36">
        <f>YEAR(Table1[[#This Row],[ETA
As requested
dd.mm.yyyy]])</f>
        <v>2024</v>
      </c>
      <c r="N1595" s="36">
        <f>IFERROR(INDEX(DATABASE_FG!$H$5:$H$367, MATCH(E1595, DATABASE_FG!$C$5:$C$367, 0)), " ")</f>
        <v>0</v>
      </c>
      <c r="O1595" s="129" t="str">
        <f>IF(E1595&lt;&gt;"", _xlfn.XLOOKUP(E1595, DATABASE_FG!C:C, DATABASE_FG!F:F), " ")</f>
        <v>Drosselboltzen</v>
      </c>
      <c r="P1595" s="129">
        <f>IFERROR(INDEX(DATABASE_FG!$G$5:$G$367, MATCH(E1595, DATABASE_FG!$C$5:$C$367, 0)), "Not Found")</f>
        <v>20</v>
      </c>
      <c r="Q1595" s="36"/>
      <c r="R1595" s="125" t="s">
        <v>678</v>
      </c>
      <c r="S1595" s="123">
        <f>Table1[[#This Row],[Quantity]]/48</f>
        <v>0.10416666666666667</v>
      </c>
      <c r="T1595" s="36"/>
      <c r="U1595" s="36"/>
      <c r="V1595" s="36"/>
      <c r="W1595" s="129"/>
      <c r="X1595" s="36"/>
      <c r="Y1595" s="36"/>
      <c r="Z1595" s="36"/>
      <c r="AA1595" s="125" t="s">
        <v>121</v>
      </c>
      <c r="AB1595" s="173">
        <v>45604</v>
      </c>
      <c r="AC1595" s="119">
        <v>202401351</v>
      </c>
      <c r="AD1595" s="36">
        <f t="shared" si="180"/>
        <v>5500388109</v>
      </c>
      <c r="AE1595" s="36" t="str">
        <f t="shared" si="181"/>
        <v>R900601676 - 535</v>
      </c>
      <c r="AF1595" s="36">
        <v>5</v>
      </c>
      <c r="AG1595" s="120">
        <f t="shared" si="184"/>
        <v>170</v>
      </c>
      <c r="AH1595" s="36"/>
      <c r="AI1595" s="124"/>
      <c r="AJ1595" s="122" t="s">
        <v>1923</v>
      </c>
      <c r="AK1595" s="129" t="str">
        <f t="shared" ca="1" si="183"/>
        <v>Late</v>
      </c>
      <c r="AL1595" s="268" t="str">
        <f t="shared" si="182"/>
        <v>August</v>
      </c>
      <c r="AM1595" s="133">
        <f>YEAR(Table1[[#This Row],[ETA
As requested
dd.mm.yyyy]])</f>
        <v>2024</v>
      </c>
    </row>
    <row r="1596" spans="1:40" hidden="1">
      <c r="A1596" s="123" t="s">
        <v>25</v>
      </c>
      <c r="B1596" s="36" t="s">
        <v>1170</v>
      </c>
      <c r="C1596" s="117">
        <v>4510627502</v>
      </c>
      <c r="D1596" s="165">
        <v>45530</v>
      </c>
      <c r="E1596" s="117" t="s">
        <v>1034</v>
      </c>
      <c r="F1596" s="36" t="str">
        <f>IFERROR(VLOOKUP(Table1[[#This Row],[Part Number]],DATABASE_FG!$C$6:D11585,2,FALSE)," ")</f>
        <v>THROTTLE SCREW 2FRM 10 -3X/</v>
      </c>
      <c r="G1596" s="117" t="str">
        <f>IFERROR(_xlfn.XLOOKUP(Table1[[#This Row],[Part Number]],Table3[Part number],Table3[Drawing
 Revision]),"")</f>
        <v>AI</v>
      </c>
      <c r="H1596" s="118" cm="1">
        <f t="array" ref="H1596">IFERROR(INDEX(PDB!$C:$AT,MATCH(E1596,PDB!$B:$B,0),MATCH(YEAR(K1596),0+PDB!$C$1:$AT$1,0)),"")</f>
        <v>34</v>
      </c>
      <c r="I1596" s="36">
        <v>30</v>
      </c>
      <c r="J1596" s="125">
        <f>IFERROR(Table1[[#This Row],[Quantity]]*Table1[[#This Row],[Price/Unit
EUR]]," ")</f>
        <v>1020</v>
      </c>
      <c r="K1596" s="126">
        <v>45782</v>
      </c>
      <c r="L1596" s="36">
        <f>WEEKNUM(Table1[[#This Row],[ETA
As requested
dd.mm.yyyy]])</f>
        <v>19</v>
      </c>
      <c r="M1596" s="36">
        <f>YEAR(Table1[[#This Row],[ETA
As requested
dd.mm.yyyy]])</f>
        <v>2025</v>
      </c>
      <c r="N1596" s="36">
        <f>IFERROR(INDEX(DATABASE_FG!$H$5:$H$367, MATCH(E1596, DATABASE_FG!$C$5:$C$367, 0)), " ")</f>
        <v>0</v>
      </c>
      <c r="O1596" s="129" t="str">
        <f>IF(E1596&lt;&gt;"", _xlfn.XLOOKUP(E1596, DATABASE_FG!C:C, DATABASE_FG!F:F), " ")</f>
        <v>Drosselboltzen</v>
      </c>
      <c r="P1596" s="129">
        <f>IFERROR(INDEX(DATABASE_FG!$G$5:$G$367, MATCH(E1596, DATABASE_FG!$C$5:$C$367, 0)), "Not Found")</f>
        <v>20</v>
      </c>
      <c r="Q1596" s="36"/>
      <c r="R1596" s="125" t="s">
        <v>678</v>
      </c>
      <c r="S1596" s="123">
        <f>Table1[[#This Row],[Quantity]]/48</f>
        <v>0.625</v>
      </c>
      <c r="T1596" s="36"/>
      <c r="U1596" s="36"/>
      <c r="V1596" s="36"/>
      <c r="W1596" s="129"/>
      <c r="X1596" s="36"/>
      <c r="Y1596" s="36"/>
      <c r="Z1596" s="36"/>
      <c r="AA1596" s="125" t="s">
        <v>121</v>
      </c>
      <c r="AB1596" s="173">
        <v>45792</v>
      </c>
      <c r="AC1596" s="119">
        <v>25776</v>
      </c>
      <c r="AD1596" s="36">
        <f t="shared" si="180"/>
        <v>4510627502</v>
      </c>
      <c r="AE1596" s="36" t="str">
        <f t="shared" si="181"/>
        <v>R900601676 - 535</v>
      </c>
      <c r="AF1596" s="36">
        <v>30</v>
      </c>
      <c r="AG1596" s="120">
        <f t="shared" si="184"/>
        <v>1020</v>
      </c>
      <c r="AH1596" s="36"/>
      <c r="AI1596" s="124"/>
      <c r="AJ1596" s="122" t="s">
        <v>3149</v>
      </c>
      <c r="AK1596" s="129" t="str">
        <f t="shared" ca="1" si="183"/>
        <v>Late</v>
      </c>
      <c r="AL1596" s="268" t="str">
        <f t="shared" si="182"/>
        <v>May</v>
      </c>
      <c r="AM1596" s="133">
        <f>YEAR(Table1[[#This Row],[ETA
As requested
dd.mm.yyyy]])</f>
        <v>2025</v>
      </c>
    </row>
    <row r="1597" spans="1:40" hidden="1">
      <c r="A1597" s="123" t="s">
        <v>25</v>
      </c>
      <c r="B1597" s="36" t="s">
        <v>1170</v>
      </c>
      <c r="C1597" s="117">
        <v>5500502907</v>
      </c>
      <c r="D1597" s="165">
        <v>45208</v>
      </c>
      <c r="E1597" s="117" t="s">
        <v>228</v>
      </c>
      <c r="F1597" s="36" t="str">
        <f>IFERROR(VLOOKUP(Table1[[#This Row],[Part Number]],DATABASE_FG!$C$6:D11586,2,FALSE)," ")</f>
        <v>THROTTLE SCREW     2FRM 16-3X/</v>
      </c>
      <c r="G1597" s="117" t="str">
        <f>IFERROR(_xlfn.XLOOKUP(Table1[[#This Row],[Part Number]],Table3[Part number],Table3[Drawing
 Revision]),"")</f>
        <v>AI</v>
      </c>
      <c r="H1597" s="118" cm="1">
        <f t="array" ref="H1597">IFERROR(INDEX(PDB!$C:$AT,MATCH(E1597,PDB!$B:$B,0),MATCH(YEAR(K1597),0+PDB!$C$1:$AT$1,0)),"")</f>
        <v>17.38</v>
      </c>
      <c r="I1597" s="36">
        <v>137</v>
      </c>
      <c r="J1597" s="125">
        <f>IFERROR(Table1[[#This Row],[Quantity]]*Table1[[#This Row],[Price/Unit
EUR]]," ")</f>
        <v>2381.06</v>
      </c>
      <c r="K1597" s="126">
        <v>45331</v>
      </c>
      <c r="L1597" s="36">
        <f>WEEKNUM(Table1[[#This Row],[ETA
As requested
dd.mm.yyyy]])</f>
        <v>6</v>
      </c>
      <c r="M1597" s="36">
        <f>YEAR(Table1[[#This Row],[ETA
As requested
dd.mm.yyyy]])</f>
        <v>2024</v>
      </c>
      <c r="N1597" s="36">
        <f>IFERROR(INDEX(DATABASE_FG!$H$5:$H$367, MATCH(E1597, DATABASE_FG!$C$5:$C$367, 0)), " ")</f>
        <v>35</v>
      </c>
      <c r="O1597" s="129" t="str">
        <f>IF(E1597&lt;&gt;"", _xlfn.XLOOKUP(E1597, DATABASE_FG!C:C, DATABASE_FG!F:F), " ")</f>
        <v>Drosselboltzen</v>
      </c>
      <c r="P1597" s="129">
        <f>IFERROR(INDEX(DATABASE_FG!$G$5:$G$367, MATCH(E1597, DATABASE_FG!$C$5:$C$367, 0)), "Not Found")</f>
        <v>240</v>
      </c>
      <c r="Q1597" s="36">
        <v>42</v>
      </c>
      <c r="R1597" s="125" t="s">
        <v>678</v>
      </c>
      <c r="S1597" s="123">
        <f>IFERROR(INDEX(DATABASE_FG!$L$5:$L$367, MATCH(E1597, DATABASE_FG!$C$5:$C$367, 0)), " ")</f>
        <v>40</v>
      </c>
      <c r="T1597" s="36" t="s">
        <v>677</v>
      </c>
      <c r="U1597" s="36"/>
      <c r="V1597" s="36"/>
      <c r="W1597" s="129"/>
      <c r="X1597" s="36"/>
      <c r="Y1597" s="36"/>
      <c r="Z1597" s="36">
        <v>240624</v>
      </c>
      <c r="AA1597" s="125" t="s">
        <v>677</v>
      </c>
      <c r="AB1597" s="173">
        <v>45386</v>
      </c>
      <c r="AC1597" s="119">
        <v>2024307</v>
      </c>
      <c r="AD1597" s="36">
        <f t="shared" si="180"/>
        <v>5500502907</v>
      </c>
      <c r="AE1597" s="36" t="str">
        <f t="shared" si="181"/>
        <v>R900601678</v>
      </c>
      <c r="AF1597" s="36">
        <v>137</v>
      </c>
      <c r="AG1597" s="120">
        <f t="shared" si="184"/>
        <v>2381.06</v>
      </c>
      <c r="AH1597" s="36"/>
      <c r="AI1597" s="124"/>
      <c r="AJ1597" s="122" t="s">
        <v>1198</v>
      </c>
      <c r="AK1597" s="129" t="str">
        <f t="shared" ca="1" si="183"/>
        <v>Late</v>
      </c>
      <c r="AL1597" s="268" t="str">
        <f t="shared" si="182"/>
        <v>February</v>
      </c>
      <c r="AM1597" s="133">
        <f>YEAR(Table1[[#This Row],[ETA
As requested
dd.mm.yyyy]])</f>
        <v>2024</v>
      </c>
    </row>
    <row r="1598" spans="1:40" hidden="1">
      <c r="A1598" s="123" t="s">
        <v>25</v>
      </c>
      <c r="B1598" s="36" t="s">
        <v>1170</v>
      </c>
      <c r="C1598" s="117">
        <v>5500502907</v>
      </c>
      <c r="D1598" s="165">
        <v>45208</v>
      </c>
      <c r="E1598" s="117" t="s">
        <v>228</v>
      </c>
      <c r="F1598" s="36" t="str">
        <f>IFERROR(VLOOKUP(Table1[[#This Row],[Part Number]],DATABASE_FG!$C$6:D11587,2,FALSE)," ")</f>
        <v>THROTTLE SCREW     2FRM 16-3X/</v>
      </c>
      <c r="G1598" s="117" t="str">
        <f>IFERROR(_xlfn.XLOOKUP(Table1[[#This Row],[Part Number]],Table3[Part number],Table3[Drawing
 Revision]),"")</f>
        <v>AI</v>
      </c>
      <c r="H1598" s="118" cm="1">
        <f t="array" ref="H1598">IFERROR(INDEX(PDB!$C:$AT,MATCH(E1598,PDB!$B:$B,0),MATCH(YEAR(K1598),0+PDB!$C$1:$AT$1,0)),"")</f>
        <v>17.38</v>
      </c>
      <c r="I1598" s="36">
        <v>240</v>
      </c>
      <c r="J1598" s="125">
        <f>IFERROR(Table1[[#This Row],[Quantity]]*Table1[[#This Row],[Price/Unit
EUR]]," ")</f>
        <v>4171.2</v>
      </c>
      <c r="K1598" s="126">
        <v>45359</v>
      </c>
      <c r="L1598" s="36">
        <f>WEEKNUM(Table1[[#This Row],[ETA
As requested
dd.mm.yyyy]])</f>
        <v>10</v>
      </c>
      <c r="M1598" s="36">
        <f>YEAR(Table1[[#This Row],[ETA
As requested
dd.mm.yyyy]])</f>
        <v>2024</v>
      </c>
      <c r="N1598" s="36">
        <f>IFERROR(INDEX(DATABASE_FG!$H$5:$H$367, MATCH(E1598, DATABASE_FG!$C$5:$C$367, 0)), " ")</f>
        <v>35</v>
      </c>
      <c r="O1598" s="129" t="str">
        <f>IF(E1598&lt;&gt;"", _xlfn.XLOOKUP(E1598, DATABASE_FG!C:C, DATABASE_FG!F:F), " ")</f>
        <v>Drosselboltzen</v>
      </c>
      <c r="P1598" s="129">
        <f>IFERROR(INDEX(DATABASE_FG!$G$5:$G$367, MATCH(E1598, DATABASE_FG!$C$5:$C$367, 0)), "Not Found")</f>
        <v>240</v>
      </c>
      <c r="Q1598" s="36">
        <v>42</v>
      </c>
      <c r="R1598" s="125" t="s">
        <v>678</v>
      </c>
      <c r="S1598" s="123">
        <f>IFERROR(INDEX(DATABASE_FG!$L$5:$L$367, MATCH(E1598, DATABASE_FG!$C$5:$C$367, 0)), " ")</f>
        <v>40</v>
      </c>
      <c r="T1598" s="36" t="s">
        <v>677</v>
      </c>
      <c r="U1598" s="36"/>
      <c r="V1598" s="36"/>
      <c r="W1598" s="129"/>
      <c r="X1598" s="36"/>
      <c r="Y1598" s="36"/>
      <c r="Z1598" s="36" t="s">
        <v>1215</v>
      </c>
      <c r="AA1598" s="125" t="s">
        <v>121</v>
      </c>
      <c r="AB1598" s="173">
        <v>45386</v>
      </c>
      <c r="AC1598" s="119">
        <v>2024307</v>
      </c>
      <c r="AD1598" s="36">
        <f t="shared" si="180"/>
        <v>5500502907</v>
      </c>
      <c r="AE1598" s="36" t="str">
        <f t="shared" si="181"/>
        <v>R900601678</v>
      </c>
      <c r="AF1598" s="36">
        <v>91</v>
      </c>
      <c r="AG1598" s="120">
        <f t="shared" si="184"/>
        <v>1581.58</v>
      </c>
      <c r="AH1598" s="36"/>
      <c r="AI1598" s="124"/>
      <c r="AJ1598" s="122" t="s">
        <v>1198</v>
      </c>
      <c r="AK1598" s="129" t="str">
        <f t="shared" ca="1" si="183"/>
        <v>Late</v>
      </c>
      <c r="AL1598" s="268" t="str">
        <f t="shared" si="182"/>
        <v>March</v>
      </c>
      <c r="AM1598" s="133">
        <f>YEAR(Table1[[#This Row],[ETA
As requested
dd.mm.yyyy]])</f>
        <v>2024</v>
      </c>
    </row>
    <row r="1599" spans="1:40" hidden="1">
      <c r="A1599" s="123" t="s">
        <v>25</v>
      </c>
      <c r="B1599" s="36" t="s">
        <v>1170</v>
      </c>
      <c r="C1599" s="117">
        <v>5500502907</v>
      </c>
      <c r="D1599" s="165">
        <v>45208</v>
      </c>
      <c r="E1599" s="117" t="s">
        <v>228</v>
      </c>
      <c r="F1599" s="36" t="str">
        <f>IFERROR(VLOOKUP(Table1[[#This Row],[Part Number]],DATABASE_FG!$C$6:D11588,2,FALSE)," ")</f>
        <v>THROTTLE SCREW     2FRM 16-3X/</v>
      </c>
      <c r="G1599" s="117" t="str">
        <f>IFERROR(_xlfn.XLOOKUP(Table1[[#This Row],[Part Number]],Table3[Part number],Table3[Drawing
 Revision]),"")</f>
        <v>AI</v>
      </c>
      <c r="H1599" s="118" cm="1">
        <f t="array" ref="H1599">IFERROR(INDEX(PDB!$C:$AT,MATCH(E1599,PDB!$B:$B,0),MATCH(YEAR(K1599),0+PDB!$C$1:$AT$1,0)),"")</f>
        <v>17.38</v>
      </c>
      <c r="I1599" s="36">
        <v>0</v>
      </c>
      <c r="J1599" s="125">
        <f>IFERROR(Table1[[#This Row],[Quantity]]*Table1[[#This Row],[Price/Unit
EUR]]," ")</f>
        <v>0</v>
      </c>
      <c r="K1599" s="126">
        <v>45359</v>
      </c>
      <c r="L1599" s="36">
        <f>WEEKNUM(Table1[[#This Row],[ETA
As requested
dd.mm.yyyy]])</f>
        <v>10</v>
      </c>
      <c r="M1599" s="36">
        <f>YEAR(Table1[[#This Row],[ETA
As requested
dd.mm.yyyy]])</f>
        <v>2024</v>
      </c>
      <c r="N1599" s="36">
        <f>IFERROR(INDEX(DATABASE_FG!$H$5:$H$367, MATCH(E1599, DATABASE_FG!$C$5:$C$367, 0)), " ")</f>
        <v>35</v>
      </c>
      <c r="O1599" s="129" t="str">
        <f>IF(E1599&lt;&gt;"", _xlfn.XLOOKUP(E1599, DATABASE_FG!C:C, DATABASE_FG!F:F), " ")</f>
        <v>Drosselboltzen</v>
      </c>
      <c r="P1599" s="129">
        <f>IFERROR(INDEX(DATABASE_FG!$G$5:$G$367, MATCH(E1599, DATABASE_FG!$C$5:$C$367, 0)), "Not Found")</f>
        <v>240</v>
      </c>
      <c r="Q1599" s="36"/>
      <c r="R1599" s="125"/>
      <c r="S1599" s="123">
        <f>IFERROR(INDEX(DATABASE_FG!$L$5:$L$367, MATCH(E1599, DATABASE_FG!$C$5:$C$367, 0)), " ")</f>
        <v>40</v>
      </c>
      <c r="T1599" s="36"/>
      <c r="U1599" s="36"/>
      <c r="V1599" s="36"/>
      <c r="W1599" s="129"/>
      <c r="X1599" s="36"/>
      <c r="Y1599" s="36"/>
      <c r="Z1599" s="36"/>
      <c r="AA1599" s="125" t="s">
        <v>121</v>
      </c>
      <c r="AB1599" s="173">
        <v>45398</v>
      </c>
      <c r="AC1599" s="119">
        <v>2024361</v>
      </c>
      <c r="AD1599" s="36">
        <f t="shared" ref="AD1599:AD1663" si="185">IF(NOT(ISBLANK(AC1599)), C1599, "")</f>
        <v>5500502907</v>
      </c>
      <c r="AE1599" s="36" t="str">
        <f t="shared" si="181"/>
        <v>R900601678</v>
      </c>
      <c r="AF1599" s="36">
        <v>23</v>
      </c>
      <c r="AG1599" s="120">
        <f t="shared" si="184"/>
        <v>399.73999999999995</v>
      </c>
      <c r="AH1599" s="36"/>
      <c r="AI1599" s="124"/>
      <c r="AJ1599" s="122" t="s">
        <v>1216</v>
      </c>
      <c r="AK1599" s="129" t="str">
        <f t="shared" ca="1" si="183"/>
        <v>Late</v>
      </c>
      <c r="AL1599" s="268" t="str">
        <f t="shared" si="182"/>
        <v>March</v>
      </c>
      <c r="AM1599" s="133">
        <f>YEAR(Table1[[#This Row],[ETA
As requested
dd.mm.yyyy]])</f>
        <v>2024</v>
      </c>
    </row>
    <row r="1600" spans="1:40" hidden="1">
      <c r="A1600" s="123" t="s">
        <v>25</v>
      </c>
      <c r="B1600" s="36" t="s">
        <v>1170</v>
      </c>
      <c r="C1600" s="117">
        <v>5500502907</v>
      </c>
      <c r="D1600" s="165">
        <v>45208</v>
      </c>
      <c r="E1600" s="117" t="s">
        <v>228</v>
      </c>
      <c r="F1600" s="36" t="str">
        <f>IFERROR(VLOOKUP(Table1[[#This Row],[Part Number]],DATABASE_FG!$C$6:D11589,2,FALSE)," ")</f>
        <v>THROTTLE SCREW     2FRM 16-3X/</v>
      </c>
      <c r="G1600" s="117" t="str">
        <f>IFERROR(_xlfn.XLOOKUP(Table1[[#This Row],[Part Number]],Table3[Part number],Table3[Drawing
 Revision]),"")</f>
        <v>AI</v>
      </c>
      <c r="H1600" s="118" cm="1">
        <f t="array" ref="H1600">IFERROR(INDEX(PDB!$C:$AT,MATCH(E1600,PDB!$B:$B,0),MATCH(YEAR(K1600),0+PDB!$C$1:$AT$1,0)),"")</f>
        <v>17.38</v>
      </c>
      <c r="I1600" s="36">
        <v>0</v>
      </c>
      <c r="J1600" s="125">
        <f>IFERROR(Table1[[#This Row],[Quantity]]*Table1[[#This Row],[Price/Unit
EUR]]," ")</f>
        <v>0</v>
      </c>
      <c r="K1600" s="126">
        <v>45359</v>
      </c>
      <c r="L1600" s="36">
        <f>WEEKNUM(Table1[[#This Row],[ETA
As requested
dd.mm.yyyy]])</f>
        <v>10</v>
      </c>
      <c r="M1600" s="36">
        <f>YEAR(Table1[[#This Row],[ETA
As requested
dd.mm.yyyy]])</f>
        <v>2024</v>
      </c>
      <c r="N1600" s="36">
        <f>IFERROR(INDEX(DATABASE_FG!$H$5:$H$367, MATCH(E1600, DATABASE_FG!$C$5:$C$367, 0)), " ")</f>
        <v>35</v>
      </c>
      <c r="O1600" s="129" t="str">
        <f>IF(E1600&lt;&gt;"", _xlfn.XLOOKUP(E1600, DATABASE_FG!C:C, DATABASE_FG!F:F), " ")</f>
        <v>Drosselboltzen</v>
      </c>
      <c r="P1600" s="129">
        <f>IFERROR(INDEX(DATABASE_FG!$G$5:$G$367, MATCH(E1600, DATABASE_FG!$C$5:$C$367, 0)), "Not Found")</f>
        <v>240</v>
      </c>
      <c r="Q1600" s="36"/>
      <c r="R1600" s="125"/>
      <c r="S1600" s="123">
        <f>IFERROR(INDEX(DATABASE_FG!$L$5:$L$367, MATCH(E1600, DATABASE_FG!$C$5:$C$367, 0)), " ")</f>
        <v>40</v>
      </c>
      <c r="T1600" s="36"/>
      <c r="U1600" s="36"/>
      <c r="V1600" s="36"/>
      <c r="W1600" s="129"/>
      <c r="X1600" s="36"/>
      <c r="Y1600" s="36"/>
      <c r="Z1600" s="36"/>
      <c r="AA1600" s="125" t="s">
        <v>121</v>
      </c>
      <c r="AB1600" s="173">
        <v>45422</v>
      </c>
      <c r="AC1600" s="119">
        <v>2024461</v>
      </c>
      <c r="AD1600" s="36">
        <f t="shared" si="185"/>
        <v>5500502907</v>
      </c>
      <c r="AE1600" s="36" t="str">
        <f t="shared" si="181"/>
        <v>R900601678</v>
      </c>
      <c r="AF1600" s="36">
        <v>35</v>
      </c>
      <c r="AG1600" s="120">
        <f t="shared" si="184"/>
        <v>608.29999999999995</v>
      </c>
      <c r="AH1600" s="36"/>
      <c r="AI1600" s="124"/>
      <c r="AJ1600" s="122" t="s">
        <v>1217</v>
      </c>
      <c r="AK1600" s="129" t="str">
        <f t="shared" ca="1" si="183"/>
        <v>Late</v>
      </c>
      <c r="AL1600" s="268" t="str">
        <f t="shared" si="182"/>
        <v>March</v>
      </c>
      <c r="AM1600" s="133">
        <f>YEAR(Table1[[#This Row],[ETA
As requested
dd.mm.yyyy]])</f>
        <v>2024</v>
      </c>
    </row>
    <row r="1601" spans="1:39" hidden="1">
      <c r="A1601" s="123" t="s">
        <v>25</v>
      </c>
      <c r="B1601" s="36" t="s">
        <v>1170</v>
      </c>
      <c r="C1601" s="117">
        <v>5500502907</v>
      </c>
      <c r="D1601" s="165">
        <v>45208</v>
      </c>
      <c r="E1601" s="117" t="s">
        <v>228</v>
      </c>
      <c r="F1601" s="36" t="str">
        <f>IFERROR(VLOOKUP(Table1[[#This Row],[Part Number]],DATABASE_FG!$C$6:D11590,2,FALSE)," ")</f>
        <v>THROTTLE SCREW     2FRM 16-3X/</v>
      </c>
      <c r="G1601" s="117" t="str">
        <f>IFERROR(_xlfn.XLOOKUP(Table1[[#This Row],[Part Number]],Table3[Part number],Table3[Drawing
 Revision]),"")</f>
        <v>AI</v>
      </c>
      <c r="H1601" s="118" cm="1">
        <f t="array" ref="H1601">IFERROR(INDEX(PDB!$C:$AT,MATCH(E1601,PDB!$B:$B,0),MATCH(YEAR(K1601),0+PDB!$C$1:$AT$1,0)),"")</f>
        <v>17.38</v>
      </c>
      <c r="I1601" s="36">
        <v>0</v>
      </c>
      <c r="J1601" s="125">
        <f>IFERROR(Table1[[#This Row],[Quantity]]*Table1[[#This Row],[Price/Unit
EUR]]," ")</f>
        <v>0</v>
      </c>
      <c r="K1601" s="126">
        <v>45359</v>
      </c>
      <c r="L1601" s="36">
        <f>WEEKNUM(Table1[[#This Row],[ETA
As requested
dd.mm.yyyy]])</f>
        <v>10</v>
      </c>
      <c r="M1601" s="36">
        <f>YEAR(Table1[[#This Row],[ETA
As requested
dd.mm.yyyy]])</f>
        <v>2024</v>
      </c>
      <c r="N1601" s="36">
        <f>IFERROR(INDEX(DATABASE_FG!$H$5:$H$367, MATCH(E1601, DATABASE_FG!$C$5:$C$367, 0)), " ")</f>
        <v>35</v>
      </c>
      <c r="O1601" s="129" t="str">
        <f>IF(E1601&lt;&gt;"", _xlfn.XLOOKUP(E1601, DATABASE_FG!C:C, DATABASE_FG!F:F), " ")</f>
        <v>Drosselboltzen</v>
      </c>
      <c r="P1601" s="129">
        <f>IFERROR(INDEX(DATABASE_FG!$G$5:$G$367, MATCH(E1601, DATABASE_FG!$C$5:$C$367, 0)), "Not Found")</f>
        <v>240</v>
      </c>
      <c r="Q1601" s="36"/>
      <c r="R1601" s="125"/>
      <c r="S1601" s="123">
        <f>IFERROR(INDEX(DATABASE_FG!$L$5:$L$367, MATCH(E1601, DATABASE_FG!$C$5:$C$367, 0)), " ")</f>
        <v>40</v>
      </c>
      <c r="T1601" s="36"/>
      <c r="U1601" s="36"/>
      <c r="V1601" s="36"/>
      <c r="W1601" s="129"/>
      <c r="X1601" s="36"/>
      <c r="Y1601" s="36"/>
      <c r="Z1601" s="36"/>
      <c r="AA1601" s="125" t="s">
        <v>121</v>
      </c>
      <c r="AB1601" s="173">
        <v>45478</v>
      </c>
      <c r="AC1601" s="119">
        <v>2024803</v>
      </c>
      <c r="AD1601" s="36">
        <f t="shared" si="185"/>
        <v>5500502907</v>
      </c>
      <c r="AE1601" s="36" t="str">
        <f t="shared" ref="AE1601:AE1665" si="186">IF(NOT(ISBLANK(AC1601)), E1601, "")</f>
        <v>R900601678</v>
      </c>
      <c r="AF1601" s="36">
        <v>91</v>
      </c>
      <c r="AG1601" s="120">
        <f t="shared" si="184"/>
        <v>1581.58</v>
      </c>
      <c r="AH1601" s="36"/>
      <c r="AI1601" s="124"/>
      <c r="AJ1601" s="122" t="s">
        <v>1218</v>
      </c>
      <c r="AK1601" s="129" t="str">
        <f t="shared" ca="1" si="183"/>
        <v>Late</v>
      </c>
      <c r="AL1601" s="268" t="str">
        <f t="shared" si="182"/>
        <v>March</v>
      </c>
      <c r="AM1601" s="133">
        <f>YEAR(Table1[[#This Row],[ETA
As requested
dd.mm.yyyy]])</f>
        <v>2024</v>
      </c>
    </row>
    <row r="1602" spans="1:39" hidden="1">
      <c r="A1602" s="123" t="s">
        <v>25</v>
      </c>
      <c r="B1602" s="36" t="s">
        <v>1170</v>
      </c>
      <c r="C1602" s="117">
        <v>5500502907</v>
      </c>
      <c r="D1602" s="165">
        <v>45439</v>
      </c>
      <c r="E1602" s="117" t="s">
        <v>228</v>
      </c>
      <c r="F1602" s="36" t="str">
        <f>IFERROR(VLOOKUP(Table1[[#This Row],[Part Number]],DATABASE_FG!$C$6:D11591,2,FALSE)," ")</f>
        <v>THROTTLE SCREW     2FRM 16-3X/</v>
      </c>
      <c r="G1602" s="117" t="str">
        <f>IFERROR(_xlfn.XLOOKUP(Table1[[#This Row],[Part Number]],Table3[Part number],Table3[Drawing
 Revision]),"")</f>
        <v>AI</v>
      </c>
      <c r="H1602" s="118" cm="1">
        <f t="array" ref="H1602">IFERROR(INDEX(PDB!$C:$AT,MATCH(E1602,PDB!$B:$B,0),MATCH(YEAR(K1602),0+PDB!$C$1:$AT$1,0)),"")</f>
        <v>17.38</v>
      </c>
      <c r="I1602" s="36">
        <v>240</v>
      </c>
      <c r="J1602" s="125">
        <f>IFERROR(Table1[[#This Row],[Quantity]]*Table1[[#This Row],[Price/Unit
EUR]]," ")</f>
        <v>4171.2</v>
      </c>
      <c r="K1602" s="126">
        <v>45387</v>
      </c>
      <c r="L1602" s="36">
        <f>WEEKNUM(Table1[[#This Row],[ETA
As requested
dd.mm.yyyy]])</f>
        <v>14</v>
      </c>
      <c r="M1602" s="36">
        <f>YEAR(Table1[[#This Row],[ETA
As requested
dd.mm.yyyy]])</f>
        <v>2024</v>
      </c>
      <c r="N1602" s="36">
        <f>IFERROR(INDEX(DATABASE_FG!$H$5:$H$367, MATCH(E1602, DATABASE_FG!$C$5:$C$367, 0)), " ")</f>
        <v>35</v>
      </c>
      <c r="O1602" s="129" t="str">
        <f>IF(E1602&lt;&gt;"", _xlfn.XLOOKUP(E1602, DATABASE_FG!C:C, DATABASE_FG!F:F), " ")</f>
        <v>Drosselboltzen</v>
      </c>
      <c r="P1602" s="129">
        <f>IFERROR(INDEX(DATABASE_FG!$G$5:$G$367, MATCH(E1602, DATABASE_FG!$C$5:$C$367, 0)), "Not Found")</f>
        <v>240</v>
      </c>
      <c r="Q1602" s="36">
        <v>42</v>
      </c>
      <c r="R1602" s="125" t="s">
        <v>678</v>
      </c>
      <c r="S1602" s="123">
        <f>IFERROR(INDEX(DATABASE_FG!$L$5:$L$367, MATCH(E1602, DATABASE_FG!$C$5:$C$367, 0)), " ")</f>
        <v>40</v>
      </c>
      <c r="T1602" s="36" t="s">
        <v>677</v>
      </c>
      <c r="U1602" s="36"/>
      <c r="V1602" s="36"/>
      <c r="W1602" s="129"/>
      <c r="X1602" s="36"/>
      <c r="Y1602" s="36"/>
      <c r="Z1602" s="36" t="s">
        <v>1281</v>
      </c>
      <c r="AA1602" s="125" t="s">
        <v>121</v>
      </c>
      <c r="AB1602" s="173">
        <v>45422</v>
      </c>
      <c r="AC1602" s="119">
        <v>2024461</v>
      </c>
      <c r="AD1602" s="36">
        <f t="shared" si="185"/>
        <v>5500502907</v>
      </c>
      <c r="AE1602" s="36" t="str">
        <f t="shared" si="186"/>
        <v>R900601678</v>
      </c>
      <c r="AF1602" s="36">
        <v>15</v>
      </c>
      <c r="AG1602" s="120">
        <f t="shared" si="184"/>
        <v>260.7</v>
      </c>
      <c r="AH1602" s="36"/>
      <c r="AI1602" s="124"/>
      <c r="AJ1602" s="122" t="s">
        <v>1217</v>
      </c>
      <c r="AK1602" s="129" t="str">
        <f t="shared" ca="1" si="183"/>
        <v>Late</v>
      </c>
      <c r="AL1602" s="268" t="str">
        <f t="shared" si="182"/>
        <v>April</v>
      </c>
      <c r="AM1602" s="133">
        <f>YEAR(Table1[[#This Row],[ETA
As requested
dd.mm.yyyy]])</f>
        <v>2024</v>
      </c>
    </row>
    <row r="1603" spans="1:39" hidden="1">
      <c r="A1603" s="123" t="s">
        <v>25</v>
      </c>
      <c r="B1603" s="36" t="s">
        <v>1170</v>
      </c>
      <c r="C1603" s="117">
        <v>5500502907</v>
      </c>
      <c r="D1603" s="165">
        <v>45439</v>
      </c>
      <c r="E1603" s="117" t="s">
        <v>228</v>
      </c>
      <c r="F1603" s="36" t="str">
        <f>IFERROR(VLOOKUP(Table1[[#This Row],[Part Number]],DATABASE_FG!$C$6:D11592,2,FALSE)," ")</f>
        <v>THROTTLE SCREW     2FRM 16-3X/</v>
      </c>
      <c r="G1603" s="117" t="str">
        <f>IFERROR(_xlfn.XLOOKUP(Table1[[#This Row],[Part Number]],Table3[Part number],Table3[Drawing
 Revision]),"")</f>
        <v>AI</v>
      </c>
      <c r="H1603" s="118" cm="1">
        <f t="array" ref="H1603">IFERROR(INDEX(PDB!$C:$AT,MATCH(E1603,PDB!$B:$B,0),MATCH(YEAR(K1603),0+PDB!$C$1:$AT$1,0)),"")</f>
        <v>17.38</v>
      </c>
      <c r="I1603" s="36">
        <v>0</v>
      </c>
      <c r="J1603" s="125">
        <f>IFERROR(Table1[[#This Row],[Quantity]]*Table1[[#This Row],[Price/Unit
EUR]]," ")</f>
        <v>0</v>
      </c>
      <c r="K1603" s="126">
        <v>45387</v>
      </c>
      <c r="L1603" s="36">
        <f>WEEKNUM(Table1[[#This Row],[ETA
As requested
dd.mm.yyyy]])</f>
        <v>14</v>
      </c>
      <c r="M1603" s="36">
        <f>YEAR(Table1[[#This Row],[ETA
As requested
dd.mm.yyyy]])</f>
        <v>2024</v>
      </c>
      <c r="N1603" s="36">
        <f>IFERROR(INDEX(DATABASE_FG!$H$5:$H$367, MATCH(E1603, DATABASE_FG!$C$5:$C$367, 0)), " ")</f>
        <v>35</v>
      </c>
      <c r="O1603" s="129" t="str">
        <f>IF(E1603&lt;&gt;"", _xlfn.XLOOKUP(E1603, DATABASE_FG!C:C, DATABASE_FG!F:F), " ")</f>
        <v>Drosselboltzen</v>
      </c>
      <c r="P1603" s="129">
        <f>IFERROR(INDEX(DATABASE_FG!$G$5:$G$367, MATCH(E1603, DATABASE_FG!$C$5:$C$367, 0)), "Not Found")</f>
        <v>240</v>
      </c>
      <c r="Q1603" s="36"/>
      <c r="R1603" s="125"/>
      <c r="S1603" s="123">
        <f>IFERROR(INDEX(DATABASE_FG!$L$5:$L$367, MATCH(E1603, DATABASE_FG!$C$5:$C$367, 0)), " ")</f>
        <v>40</v>
      </c>
      <c r="T1603" s="36"/>
      <c r="U1603" s="36"/>
      <c r="V1603" s="36"/>
      <c r="W1603" s="129"/>
      <c r="X1603" s="36"/>
      <c r="Y1603" s="36"/>
      <c r="Z1603" s="36"/>
      <c r="AA1603" s="125" t="s">
        <v>121</v>
      </c>
      <c r="AB1603" s="173">
        <v>45426</v>
      </c>
      <c r="AC1603" s="119">
        <v>2024472</v>
      </c>
      <c r="AD1603" s="36">
        <f t="shared" si="185"/>
        <v>5500502907</v>
      </c>
      <c r="AE1603" s="36" t="str">
        <f t="shared" si="186"/>
        <v>R900601678</v>
      </c>
      <c r="AF1603" s="36">
        <v>65</v>
      </c>
      <c r="AG1603" s="120">
        <f t="shared" si="184"/>
        <v>1129.7</v>
      </c>
      <c r="AH1603" s="36"/>
      <c r="AI1603" s="124"/>
      <c r="AJ1603" s="122" t="s">
        <v>1282</v>
      </c>
      <c r="AK1603" s="129" t="str">
        <f t="shared" ca="1" si="183"/>
        <v>Late</v>
      </c>
      <c r="AL1603" s="268" t="str">
        <f t="shared" si="182"/>
        <v>April</v>
      </c>
      <c r="AM1603" s="133">
        <f>YEAR(Table1[[#This Row],[ETA
As requested
dd.mm.yyyy]])</f>
        <v>2024</v>
      </c>
    </row>
    <row r="1604" spans="1:39" hidden="1">
      <c r="A1604" s="123" t="s">
        <v>25</v>
      </c>
      <c r="B1604" s="36" t="s">
        <v>1170</v>
      </c>
      <c r="C1604" s="117">
        <v>5500502907</v>
      </c>
      <c r="D1604" s="165">
        <v>45439</v>
      </c>
      <c r="E1604" s="117" t="s">
        <v>228</v>
      </c>
      <c r="F1604" s="36" t="str">
        <f>IFERROR(VLOOKUP(Table1[[#This Row],[Part Number]],DATABASE_FG!$C$6:D11593,2,FALSE)," ")</f>
        <v>THROTTLE SCREW     2FRM 16-3X/</v>
      </c>
      <c r="G1604" s="117" t="str">
        <f>IFERROR(_xlfn.XLOOKUP(Table1[[#This Row],[Part Number]],Table3[Part number],Table3[Drawing
 Revision]),"")</f>
        <v>AI</v>
      </c>
      <c r="H1604" s="118" cm="1">
        <f t="array" ref="H1604">IFERROR(INDEX(PDB!$C:$AT,MATCH(E1604,PDB!$B:$B,0),MATCH(YEAR(K1604),0+PDB!$C$1:$AT$1,0)),"")</f>
        <v>17.38</v>
      </c>
      <c r="I1604" s="36">
        <v>0</v>
      </c>
      <c r="J1604" s="125">
        <f>IFERROR(Table1[[#This Row],[Quantity]]*Table1[[#This Row],[Price/Unit
EUR]]," ")</f>
        <v>0</v>
      </c>
      <c r="K1604" s="126">
        <v>45387</v>
      </c>
      <c r="L1604" s="36">
        <f>WEEKNUM(Table1[[#This Row],[ETA
As requested
dd.mm.yyyy]])</f>
        <v>14</v>
      </c>
      <c r="M1604" s="36">
        <f>YEAR(Table1[[#This Row],[ETA
As requested
dd.mm.yyyy]])</f>
        <v>2024</v>
      </c>
      <c r="N1604" s="36">
        <f>IFERROR(INDEX(DATABASE_FG!$H$5:$H$367, MATCH(E1604, DATABASE_FG!$C$5:$C$367, 0)), " ")</f>
        <v>35</v>
      </c>
      <c r="O1604" s="129" t="str">
        <f>IF(E1604&lt;&gt;"", _xlfn.XLOOKUP(E1604, DATABASE_FG!C:C, DATABASE_FG!F:F), " ")</f>
        <v>Drosselboltzen</v>
      </c>
      <c r="P1604" s="129">
        <f>IFERROR(INDEX(DATABASE_FG!$G$5:$G$367, MATCH(E1604, DATABASE_FG!$C$5:$C$367, 0)), "Not Found")</f>
        <v>240</v>
      </c>
      <c r="Q1604" s="36"/>
      <c r="R1604" s="125"/>
      <c r="S1604" s="123">
        <f>IFERROR(INDEX(DATABASE_FG!$L$5:$L$367, MATCH(E1604, DATABASE_FG!$C$5:$C$367, 0)), " ")</f>
        <v>40</v>
      </c>
      <c r="T1604" s="36"/>
      <c r="U1604" s="36"/>
      <c r="V1604" s="36"/>
      <c r="W1604" s="129"/>
      <c r="X1604" s="36"/>
      <c r="Y1604" s="36"/>
      <c r="Z1604" s="36"/>
      <c r="AA1604" s="125" t="s">
        <v>121</v>
      </c>
      <c r="AB1604" s="173">
        <v>45429</v>
      </c>
      <c r="AC1604" s="119">
        <v>20244501</v>
      </c>
      <c r="AD1604" s="36">
        <f t="shared" si="185"/>
        <v>5500502907</v>
      </c>
      <c r="AE1604" s="36" t="str">
        <f t="shared" si="186"/>
        <v>R900601678</v>
      </c>
      <c r="AF1604" s="36">
        <v>125</v>
      </c>
      <c r="AG1604" s="120">
        <f t="shared" si="184"/>
        <v>2172.5</v>
      </c>
      <c r="AH1604" s="36"/>
      <c r="AI1604" s="124"/>
      <c r="AJ1604" s="122" t="s">
        <v>1283</v>
      </c>
      <c r="AK1604" s="129" t="str">
        <f t="shared" ca="1" si="183"/>
        <v>Late</v>
      </c>
      <c r="AL1604" s="268" t="str">
        <f t="shared" si="182"/>
        <v>April</v>
      </c>
      <c r="AM1604" s="133">
        <f>YEAR(Table1[[#This Row],[ETA
As requested
dd.mm.yyyy]])</f>
        <v>2024</v>
      </c>
    </row>
    <row r="1605" spans="1:39" hidden="1">
      <c r="A1605" s="123" t="s">
        <v>25</v>
      </c>
      <c r="B1605" s="36" t="s">
        <v>1170</v>
      </c>
      <c r="C1605" s="117">
        <v>5500502907</v>
      </c>
      <c r="D1605" s="165">
        <v>45439</v>
      </c>
      <c r="E1605" s="117" t="s">
        <v>228</v>
      </c>
      <c r="F1605" s="36" t="str">
        <f>IFERROR(VLOOKUP(Table1[[#This Row],[Part Number]],DATABASE_FG!$C$6:D11594,2,FALSE)," ")</f>
        <v>THROTTLE SCREW     2FRM 16-3X/</v>
      </c>
      <c r="G1605" s="117" t="str">
        <f>IFERROR(_xlfn.XLOOKUP(Table1[[#This Row],[Part Number]],Table3[Part number],Table3[Drawing
 Revision]),"")</f>
        <v>AI</v>
      </c>
      <c r="H1605" s="118" cm="1">
        <f t="array" ref="H1605">IFERROR(INDEX(PDB!$C:$AT,MATCH(E1605,PDB!$B:$B,0),MATCH(YEAR(K1605),0+PDB!$C$1:$AT$1,0)),"")</f>
        <v>17.38</v>
      </c>
      <c r="I1605" s="36">
        <v>0</v>
      </c>
      <c r="J1605" s="125">
        <f>IFERROR(Table1[[#This Row],[Quantity]]*Table1[[#This Row],[Price/Unit
EUR]]," ")</f>
        <v>0</v>
      </c>
      <c r="K1605" s="126">
        <v>45387</v>
      </c>
      <c r="L1605" s="36">
        <f>WEEKNUM(Table1[[#This Row],[ETA
As requested
dd.mm.yyyy]])</f>
        <v>14</v>
      </c>
      <c r="M1605" s="36">
        <f>YEAR(Table1[[#This Row],[ETA
As requested
dd.mm.yyyy]])</f>
        <v>2024</v>
      </c>
      <c r="N1605" s="36">
        <f>IFERROR(INDEX(DATABASE_FG!$H$5:$H$367, MATCH(E1605, DATABASE_FG!$C$5:$C$367, 0)), " ")</f>
        <v>35</v>
      </c>
      <c r="O1605" s="129" t="str">
        <f>IF(E1605&lt;&gt;"", _xlfn.XLOOKUP(E1605, DATABASE_FG!C:C, DATABASE_FG!F:F), " ")</f>
        <v>Drosselboltzen</v>
      </c>
      <c r="P1605" s="129">
        <f>IFERROR(INDEX(DATABASE_FG!$G$5:$G$367, MATCH(E1605, DATABASE_FG!$C$5:$C$367, 0)), "Not Found")</f>
        <v>240</v>
      </c>
      <c r="Q1605" s="36"/>
      <c r="R1605" s="125"/>
      <c r="S1605" s="123">
        <f>IFERROR(INDEX(DATABASE_FG!$L$5:$L$367, MATCH(E1605, DATABASE_FG!$C$5:$C$367, 0)), " ")</f>
        <v>40</v>
      </c>
      <c r="T1605" s="36"/>
      <c r="U1605" s="36"/>
      <c r="V1605" s="36"/>
      <c r="W1605" s="129"/>
      <c r="X1605" s="36"/>
      <c r="Y1605" s="36"/>
      <c r="Z1605" s="36"/>
      <c r="AA1605" s="125" t="s">
        <v>121</v>
      </c>
      <c r="AB1605" s="173">
        <v>45434</v>
      </c>
      <c r="AC1605" s="119">
        <v>2024522</v>
      </c>
      <c r="AD1605" s="36">
        <f t="shared" si="185"/>
        <v>5500502907</v>
      </c>
      <c r="AE1605" s="36" t="str">
        <f t="shared" si="186"/>
        <v>R900601678</v>
      </c>
      <c r="AF1605" s="36">
        <v>35</v>
      </c>
      <c r="AG1605" s="120">
        <f t="shared" si="184"/>
        <v>608.29999999999995</v>
      </c>
      <c r="AH1605" s="36"/>
      <c r="AI1605" s="124"/>
      <c r="AJ1605" s="122" t="s">
        <v>1284</v>
      </c>
      <c r="AK1605" s="129" t="str">
        <f t="shared" ca="1" si="183"/>
        <v>Late</v>
      </c>
      <c r="AL1605" s="268" t="str">
        <f t="shared" si="182"/>
        <v>April</v>
      </c>
      <c r="AM1605" s="133">
        <f>YEAR(Table1[[#This Row],[ETA
As requested
dd.mm.yyyy]])</f>
        <v>2024</v>
      </c>
    </row>
    <row r="1606" spans="1:39" hidden="1">
      <c r="A1606" s="123" t="s">
        <v>25</v>
      </c>
      <c r="B1606" s="36" t="s">
        <v>1170</v>
      </c>
      <c r="C1606" s="117">
        <v>5500502907</v>
      </c>
      <c r="D1606" s="165">
        <v>45439</v>
      </c>
      <c r="E1606" s="117" t="s">
        <v>228</v>
      </c>
      <c r="F1606" s="36" t="str">
        <f>IFERROR(VLOOKUP(Table1[[#This Row],[Part Number]],DATABASE_FG!$C$6:D11595,2,FALSE)," ")</f>
        <v>THROTTLE SCREW     2FRM 16-3X/</v>
      </c>
      <c r="G1606" s="117" t="str">
        <f>IFERROR(_xlfn.XLOOKUP(Table1[[#This Row],[Part Number]],Table3[Part number],Table3[Drawing
 Revision]),"")</f>
        <v>AI</v>
      </c>
      <c r="H1606" s="118" cm="1">
        <f t="array" ref="H1606">IFERROR(INDEX(PDB!$C:$AT,MATCH(E1606,PDB!$B:$B,0),MATCH(YEAR(K1606),0+PDB!$C$1:$AT$1,0)),"")</f>
        <v>17.38</v>
      </c>
      <c r="I1606" s="36">
        <v>240</v>
      </c>
      <c r="J1606" s="125">
        <f>IFERROR(Table1[[#This Row],[Quantity]]*Table1[[#This Row],[Price/Unit
EUR]]," ")</f>
        <v>4171.2</v>
      </c>
      <c r="K1606" s="126">
        <v>45422</v>
      </c>
      <c r="L1606" s="36">
        <f>WEEKNUM(Table1[[#This Row],[ETA
As requested
dd.mm.yyyy]])</f>
        <v>19</v>
      </c>
      <c r="M1606" s="36">
        <f>YEAR(Table1[[#This Row],[ETA
As requested
dd.mm.yyyy]])</f>
        <v>2024</v>
      </c>
      <c r="N1606" s="36">
        <f>IFERROR(INDEX(DATABASE_FG!$H$5:$H$367, MATCH(E1606, DATABASE_FG!$C$5:$C$367, 0)), " ")</f>
        <v>35</v>
      </c>
      <c r="O1606" s="129" t="str">
        <f>IF(E1606&lt;&gt;"", _xlfn.XLOOKUP(E1606, DATABASE_FG!C:C, DATABASE_FG!F:F), " ")</f>
        <v>Drosselboltzen</v>
      </c>
      <c r="P1606" s="129">
        <f>IFERROR(INDEX(DATABASE_FG!$G$5:$G$367, MATCH(E1606, DATABASE_FG!$C$5:$C$367, 0)), "Not Found")</f>
        <v>240</v>
      </c>
      <c r="Q1606" s="36">
        <v>42</v>
      </c>
      <c r="R1606" s="125" t="s">
        <v>678</v>
      </c>
      <c r="S1606" s="123">
        <f>IFERROR(INDEX(DATABASE_FG!$L$5:$L$367, MATCH(E1606, DATABASE_FG!$C$5:$C$367, 0)), " ")</f>
        <v>40</v>
      </c>
      <c r="T1606" s="36" t="s">
        <v>677</v>
      </c>
      <c r="U1606" s="36"/>
      <c r="V1606" s="36"/>
      <c r="W1606" s="129"/>
      <c r="X1606" s="36"/>
      <c r="Y1606" s="36"/>
      <c r="Z1606" s="36" t="s">
        <v>1496</v>
      </c>
      <c r="AA1606" s="125" t="s">
        <v>121</v>
      </c>
      <c r="AB1606" s="173">
        <v>45434</v>
      </c>
      <c r="AC1606" s="119">
        <v>2024522</v>
      </c>
      <c r="AD1606" s="36">
        <f t="shared" si="185"/>
        <v>5500502907</v>
      </c>
      <c r="AE1606" s="36" t="str">
        <f t="shared" si="186"/>
        <v>R900601678</v>
      </c>
      <c r="AF1606" s="36">
        <v>122</v>
      </c>
      <c r="AG1606" s="120">
        <f t="shared" si="184"/>
        <v>2120.3599999999997</v>
      </c>
      <c r="AH1606" s="36"/>
      <c r="AI1606" s="124"/>
      <c r="AJ1606" s="122" t="s">
        <v>1284</v>
      </c>
      <c r="AK1606" s="129" t="str">
        <f t="shared" ca="1" si="183"/>
        <v>Late</v>
      </c>
      <c r="AL1606" s="268" t="str">
        <f t="shared" si="182"/>
        <v>May</v>
      </c>
      <c r="AM1606" s="133">
        <f>YEAR(Table1[[#This Row],[ETA
As requested
dd.mm.yyyy]])</f>
        <v>2024</v>
      </c>
    </row>
    <row r="1607" spans="1:39" hidden="1">
      <c r="A1607" s="123" t="s">
        <v>25</v>
      </c>
      <c r="B1607" s="36" t="s">
        <v>1170</v>
      </c>
      <c r="C1607" s="117">
        <v>5500502907</v>
      </c>
      <c r="D1607" s="165">
        <v>45439</v>
      </c>
      <c r="E1607" s="117" t="s">
        <v>228</v>
      </c>
      <c r="F1607" s="36" t="str">
        <f>IFERROR(VLOOKUP(Table1[[#This Row],[Part Number]],DATABASE_FG!$C$6:D11596,2,FALSE)," ")</f>
        <v>THROTTLE SCREW     2FRM 16-3X/</v>
      </c>
      <c r="G1607" s="117" t="str">
        <f>IFERROR(_xlfn.XLOOKUP(Table1[[#This Row],[Part Number]],Table3[Part number],Table3[Drawing
 Revision]),"")</f>
        <v>AI</v>
      </c>
      <c r="H1607" s="118" cm="1">
        <f t="array" ref="H1607">IFERROR(INDEX(PDB!$C:$AT,MATCH(E1607,PDB!$B:$B,0),MATCH(YEAR(K1607),0+PDB!$C$1:$AT$1,0)),"")</f>
        <v>17.38</v>
      </c>
      <c r="I1607" s="36">
        <v>0</v>
      </c>
      <c r="J1607" s="125">
        <f>IFERROR(Table1[[#This Row],[Quantity]]*Table1[[#This Row],[Price/Unit
EUR]]," ")</f>
        <v>0</v>
      </c>
      <c r="K1607" s="126">
        <v>45422</v>
      </c>
      <c r="L1607" s="36">
        <f>WEEKNUM(Table1[[#This Row],[ETA
As requested
dd.mm.yyyy]])</f>
        <v>19</v>
      </c>
      <c r="M1607" s="36">
        <f>YEAR(Table1[[#This Row],[ETA
As requested
dd.mm.yyyy]])</f>
        <v>2024</v>
      </c>
      <c r="N1607" s="36">
        <f>IFERROR(INDEX(DATABASE_FG!$H$5:$H$367, MATCH(E1607, DATABASE_FG!$C$5:$C$367, 0)), " ")</f>
        <v>35</v>
      </c>
      <c r="O1607" s="129" t="str">
        <f>IF(E1607&lt;&gt;"", _xlfn.XLOOKUP(E1607, DATABASE_FG!C:C, DATABASE_FG!F:F), " ")</f>
        <v>Drosselboltzen</v>
      </c>
      <c r="P1607" s="129">
        <f>IFERROR(INDEX(DATABASE_FG!$G$5:$G$367, MATCH(E1607, DATABASE_FG!$C$5:$C$367, 0)), "Not Found")</f>
        <v>240</v>
      </c>
      <c r="Q1607" s="36"/>
      <c r="R1607" s="125"/>
      <c r="S1607" s="123">
        <f>IFERROR(INDEX(DATABASE_FG!$L$5:$L$367, MATCH(E1607, DATABASE_FG!$C$5:$C$367, 0)), " ")</f>
        <v>40</v>
      </c>
      <c r="T1607" s="36"/>
      <c r="U1607" s="36"/>
      <c r="V1607" s="36"/>
      <c r="W1607" s="129"/>
      <c r="X1607" s="36"/>
      <c r="Y1607" s="36"/>
      <c r="Z1607" s="36"/>
      <c r="AA1607" s="125" t="s">
        <v>121</v>
      </c>
      <c r="AB1607" s="173">
        <v>45441</v>
      </c>
      <c r="AC1607" s="119">
        <v>2024565</v>
      </c>
      <c r="AD1607" s="36">
        <f t="shared" si="185"/>
        <v>5500502907</v>
      </c>
      <c r="AE1607" s="36" t="str">
        <f t="shared" si="186"/>
        <v>R900601678</v>
      </c>
      <c r="AF1607" s="36">
        <v>118</v>
      </c>
      <c r="AG1607" s="120">
        <f t="shared" si="184"/>
        <v>2050.8399999999997</v>
      </c>
      <c r="AH1607" s="36"/>
      <c r="AI1607" s="124"/>
      <c r="AJ1607" s="122" t="s">
        <v>1497</v>
      </c>
      <c r="AK1607" s="129" t="str">
        <f t="shared" ca="1" si="183"/>
        <v>Late</v>
      </c>
      <c r="AL1607" s="268" t="str">
        <f t="shared" si="182"/>
        <v>May</v>
      </c>
      <c r="AM1607" s="133">
        <f>YEAR(Table1[[#This Row],[ETA
As requested
dd.mm.yyyy]])</f>
        <v>2024</v>
      </c>
    </row>
    <row r="1608" spans="1:39" hidden="1">
      <c r="A1608" s="123" t="s">
        <v>25</v>
      </c>
      <c r="B1608" s="36" t="s">
        <v>1170</v>
      </c>
      <c r="C1608" s="117">
        <v>5500502907</v>
      </c>
      <c r="D1608" s="165">
        <v>45439</v>
      </c>
      <c r="E1608" s="117" t="s">
        <v>228</v>
      </c>
      <c r="F1608" s="36" t="str">
        <f>IFERROR(VLOOKUP(Table1[[#This Row],[Part Number]],DATABASE_FG!$C$6:D11597,2,FALSE)," ")</f>
        <v>THROTTLE SCREW     2FRM 16-3X/</v>
      </c>
      <c r="G1608" s="117" t="str">
        <f>IFERROR(_xlfn.XLOOKUP(Table1[[#This Row],[Part Number]],Table3[Part number],Table3[Drawing
 Revision]),"")</f>
        <v>AI</v>
      </c>
      <c r="H1608" s="118" cm="1">
        <f t="array" ref="H1608">IFERROR(INDEX(PDB!$C:$AT,MATCH(E1608,PDB!$B:$B,0),MATCH(YEAR(K1608),0+PDB!$C$1:$AT$1,0)),"")</f>
        <v>17.38</v>
      </c>
      <c r="I1608" s="36">
        <v>240</v>
      </c>
      <c r="J1608" s="125">
        <f>IFERROR(Table1[[#This Row],[Quantity]]*Table1[[#This Row],[Price/Unit
EUR]]," ")</f>
        <v>4171.2</v>
      </c>
      <c r="K1608" s="126">
        <v>45457</v>
      </c>
      <c r="L1608" s="36">
        <f>WEEKNUM(Table1[[#This Row],[ETA
As requested
dd.mm.yyyy]])</f>
        <v>24</v>
      </c>
      <c r="M1608" s="36">
        <f>YEAR(Table1[[#This Row],[ETA
As requested
dd.mm.yyyy]])</f>
        <v>2024</v>
      </c>
      <c r="N1608" s="36">
        <f>IFERROR(INDEX(DATABASE_FG!$H$5:$H$367, MATCH(E1608, DATABASE_FG!$C$5:$C$367, 0)), " ")</f>
        <v>35</v>
      </c>
      <c r="O1608" s="129" t="str">
        <f>IF(E1608&lt;&gt;"", _xlfn.XLOOKUP(E1608, DATABASE_FG!C:C, DATABASE_FG!F:F), " ")</f>
        <v>Drosselboltzen</v>
      </c>
      <c r="P1608" s="129">
        <f>IFERROR(INDEX(DATABASE_FG!$G$5:$G$367, MATCH(E1608, DATABASE_FG!$C$5:$C$367, 0)), "Not Found")</f>
        <v>240</v>
      </c>
      <c r="Q1608" s="36">
        <v>42</v>
      </c>
      <c r="R1608" s="125" t="s">
        <v>678</v>
      </c>
      <c r="S1608" s="123">
        <f>IFERROR(INDEX(DATABASE_FG!$L$5:$L$367, MATCH(E1608, DATABASE_FG!$C$5:$C$367, 0)), " ")</f>
        <v>40</v>
      </c>
      <c r="T1608" s="36" t="s">
        <v>677</v>
      </c>
      <c r="U1608" s="36"/>
      <c r="V1608" s="36"/>
      <c r="W1608" s="129"/>
      <c r="X1608" s="36"/>
      <c r="Y1608" s="36"/>
      <c r="Z1608" s="36">
        <v>242511</v>
      </c>
      <c r="AA1608" s="125" t="s">
        <v>121</v>
      </c>
      <c r="AB1608" s="173">
        <v>45441</v>
      </c>
      <c r="AC1608" s="119">
        <v>2024565</v>
      </c>
      <c r="AD1608" s="36">
        <f t="shared" si="185"/>
        <v>5500502907</v>
      </c>
      <c r="AE1608" s="36" t="str">
        <f t="shared" si="186"/>
        <v>R900601678</v>
      </c>
      <c r="AF1608" s="36">
        <v>67</v>
      </c>
      <c r="AG1608" s="120">
        <f t="shared" si="184"/>
        <v>1164.46</v>
      </c>
      <c r="AH1608" s="36"/>
      <c r="AI1608" s="124"/>
      <c r="AJ1608" s="122" t="s">
        <v>1497</v>
      </c>
      <c r="AK1608" s="129" t="str">
        <f t="shared" ca="1" si="183"/>
        <v>On Time</v>
      </c>
      <c r="AL1608" s="268" t="str">
        <f t="shared" si="182"/>
        <v>June</v>
      </c>
      <c r="AM1608" s="133">
        <f>YEAR(Table1[[#This Row],[ETA
As requested
dd.mm.yyyy]])</f>
        <v>2024</v>
      </c>
    </row>
    <row r="1609" spans="1:39" hidden="1">
      <c r="A1609" s="123" t="s">
        <v>25</v>
      </c>
      <c r="B1609" s="36" t="s">
        <v>1170</v>
      </c>
      <c r="C1609" s="117">
        <v>5500502907</v>
      </c>
      <c r="D1609" s="165">
        <v>45439</v>
      </c>
      <c r="E1609" s="117" t="s">
        <v>228</v>
      </c>
      <c r="F1609" s="36" t="str">
        <f>IFERROR(VLOOKUP(Table1[[#This Row],[Part Number]],DATABASE_FG!$C$6:D11598,2,FALSE)," ")</f>
        <v>THROTTLE SCREW     2FRM 16-3X/</v>
      </c>
      <c r="G1609" s="117" t="str">
        <f>IFERROR(_xlfn.XLOOKUP(Table1[[#This Row],[Part Number]],Table3[Part number],Table3[Drawing
 Revision]),"")</f>
        <v>AI</v>
      </c>
      <c r="H1609" s="118" cm="1">
        <f t="array" ref="H1609">IFERROR(INDEX(PDB!$C:$AT,MATCH(E1609,PDB!$B:$B,0),MATCH(YEAR(K1609),0+PDB!$C$1:$AT$1,0)),"")</f>
        <v>17.38</v>
      </c>
      <c r="I1609" s="36">
        <v>0</v>
      </c>
      <c r="J1609" s="125">
        <f>IFERROR(Table1[[#This Row],[Quantity]]*Table1[[#This Row],[Price/Unit
EUR]]," ")</f>
        <v>0</v>
      </c>
      <c r="K1609" s="126">
        <v>45457</v>
      </c>
      <c r="L1609" s="36">
        <f>WEEKNUM(Table1[[#This Row],[ETA
As requested
dd.mm.yyyy]])</f>
        <v>24</v>
      </c>
      <c r="M1609" s="36">
        <f>YEAR(Table1[[#This Row],[ETA
As requested
dd.mm.yyyy]])</f>
        <v>2024</v>
      </c>
      <c r="N1609" s="36">
        <f>IFERROR(INDEX(DATABASE_FG!$H$5:$H$367, MATCH(E1609, DATABASE_FG!$C$5:$C$367, 0)), " ")</f>
        <v>35</v>
      </c>
      <c r="O1609" s="129" t="str">
        <f>IF(E1609&lt;&gt;"", _xlfn.XLOOKUP(E1609, DATABASE_FG!C:C, DATABASE_FG!F:F), " ")</f>
        <v>Drosselboltzen</v>
      </c>
      <c r="P1609" s="129">
        <f>IFERROR(INDEX(DATABASE_FG!$G$5:$G$367, MATCH(E1609, DATABASE_FG!$C$5:$C$367, 0)), "Not Found")</f>
        <v>240</v>
      </c>
      <c r="Q1609" s="36"/>
      <c r="R1609" s="125"/>
      <c r="S1609" s="123">
        <f>Table1[[#This Row],[Quantity]]/48</f>
        <v>0</v>
      </c>
      <c r="T1609" s="36"/>
      <c r="U1609" s="36"/>
      <c r="V1609" s="36"/>
      <c r="W1609" s="129"/>
      <c r="X1609" s="36"/>
      <c r="Y1609" s="36"/>
      <c r="Z1609" s="36"/>
      <c r="AA1609" s="125" t="s">
        <v>121</v>
      </c>
      <c r="AB1609" s="172">
        <v>45478</v>
      </c>
      <c r="AC1609" s="119">
        <v>2024803</v>
      </c>
      <c r="AD1609" s="36">
        <f t="shared" si="185"/>
        <v>5500502907</v>
      </c>
      <c r="AE1609" s="36" t="str">
        <f t="shared" si="186"/>
        <v>R900601678</v>
      </c>
      <c r="AF1609" s="36">
        <f>173-91</f>
        <v>82</v>
      </c>
      <c r="AG1609" s="120">
        <f t="shared" si="184"/>
        <v>1425.1599999999999</v>
      </c>
      <c r="AH1609" s="36"/>
      <c r="AI1609" s="124"/>
      <c r="AJ1609" s="122" t="s">
        <v>1218</v>
      </c>
      <c r="AK1609" s="129" t="str">
        <f t="shared" ca="1" si="183"/>
        <v>Late</v>
      </c>
      <c r="AL1609" s="268" t="str">
        <f t="shared" si="182"/>
        <v>June</v>
      </c>
      <c r="AM1609" s="133">
        <f>YEAR(Table1[[#This Row],[ETA
As requested
dd.mm.yyyy]])</f>
        <v>2024</v>
      </c>
    </row>
    <row r="1610" spans="1:39" hidden="1">
      <c r="A1610" s="123" t="s">
        <v>25</v>
      </c>
      <c r="B1610" s="36" t="s">
        <v>1170</v>
      </c>
      <c r="C1610" s="117">
        <v>5500502907</v>
      </c>
      <c r="D1610" s="165">
        <v>45439</v>
      </c>
      <c r="E1610" s="117" t="s">
        <v>228</v>
      </c>
      <c r="F1610" s="36" t="str">
        <f>IFERROR(VLOOKUP(Table1[[#This Row],[Part Number]],DATABASE_FG!$C$6:D11599,2,FALSE)," ")</f>
        <v>THROTTLE SCREW     2FRM 16-3X/</v>
      </c>
      <c r="G1610" s="117" t="str">
        <f>IFERROR(_xlfn.XLOOKUP(Table1[[#This Row],[Part Number]],Table3[Part number],Table3[Drawing
 Revision]),"")</f>
        <v>AI</v>
      </c>
      <c r="H1610" s="118" cm="1">
        <f t="array" ref="H1610">IFERROR(INDEX(PDB!$C:$AT,MATCH(E1610,PDB!$B:$B,0),MATCH(YEAR(K1610),0+PDB!$C$1:$AT$1,0)),"")</f>
        <v>17.38</v>
      </c>
      <c r="I1610" s="36">
        <v>0</v>
      </c>
      <c r="J1610" s="125">
        <f>IFERROR(Table1[[#This Row],[Quantity]]*Table1[[#This Row],[Price/Unit
EUR]]," ")</f>
        <v>0</v>
      </c>
      <c r="K1610" s="126">
        <v>45457</v>
      </c>
      <c r="L1610" s="36">
        <f>WEEKNUM(Table1[[#This Row],[ETA
As requested
dd.mm.yyyy]])</f>
        <v>24</v>
      </c>
      <c r="M1610" s="36">
        <f>YEAR(Table1[[#This Row],[ETA
As requested
dd.mm.yyyy]])</f>
        <v>2024</v>
      </c>
      <c r="N1610" s="36">
        <f>IFERROR(INDEX(DATABASE_FG!$H$5:$H$367, MATCH(E1610, DATABASE_FG!$C$5:$C$367, 0)), " ")</f>
        <v>35</v>
      </c>
      <c r="O1610" s="129" t="str">
        <f>IF(E1610&lt;&gt;"", _xlfn.XLOOKUP(E1610, DATABASE_FG!C:C, DATABASE_FG!F:F), " ")</f>
        <v>Drosselboltzen</v>
      </c>
      <c r="P1610" s="129">
        <f>IFERROR(INDEX(DATABASE_FG!$G$5:$G$367, MATCH(E1610, DATABASE_FG!$C$5:$C$367, 0)), "Not Found")</f>
        <v>240</v>
      </c>
      <c r="Q1610" s="36"/>
      <c r="R1610" s="125"/>
      <c r="S1610" s="123">
        <f>Table1[[#This Row],[Quantity]]/48</f>
        <v>0</v>
      </c>
      <c r="T1610" s="36"/>
      <c r="U1610" s="36"/>
      <c r="V1610" s="36"/>
      <c r="W1610" s="129"/>
      <c r="X1610" s="36"/>
      <c r="Y1610" s="36"/>
      <c r="Z1610" s="36"/>
      <c r="AA1610" s="125" t="s">
        <v>121</v>
      </c>
      <c r="AB1610" s="172">
        <v>45511</v>
      </c>
      <c r="AC1610" s="119">
        <v>20232197</v>
      </c>
      <c r="AD1610" s="36">
        <f t="shared" si="185"/>
        <v>5500502907</v>
      </c>
      <c r="AE1610" s="36" t="str">
        <f t="shared" si="186"/>
        <v>R900601678</v>
      </c>
      <c r="AF1610" s="36">
        <v>76</v>
      </c>
      <c r="AG1610" s="120">
        <f t="shared" si="184"/>
        <v>1320.8799999999999</v>
      </c>
      <c r="AH1610" s="36"/>
      <c r="AI1610" s="124"/>
      <c r="AJ1610" s="122" t="s">
        <v>1692</v>
      </c>
      <c r="AK1610" s="129" t="str">
        <f t="shared" ca="1" si="183"/>
        <v>Late</v>
      </c>
      <c r="AL1610" s="268" t="str">
        <f t="shared" si="182"/>
        <v>June</v>
      </c>
      <c r="AM1610" s="133">
        <f>YEAR(Table1[[#This Row],[ETA
As requested
dd.mm.yyyy]])</f>
        <v>2024</v>
      </c>
    </row>
    <row r="1611" spans="1:39" hidden="1">
      <c r="A1611" s="123" t="s">
        <v>25</v>
      </c>
      <c r="B1611" s="36" t="s">
        <v>1170</v>
      </c>
      <c r="C1611" s="117">
        <v>5500502907</v>
      </c>
      <c r="D1611" s="165">
        <v>45439</v>
      </c>
      <c r="E1611" s="117" t="s">
        <v>228</v>
      </c>
      <c r="F1611" s="36" t="str">
        <f>IFERROR(VLOOKUP(Table1[[#This Row],[Part Number]],DATABASE_FG!$C$6:D11600,2,FALSE)," ")</f>
        <v>THROTTLE SCREW     2FRM 16-3X/</v>
      </c>
      <c r="G1611" s="117" t="str">
        <f>IFERROR(_xlfn.XLOOKUP(Table1[[#This Row],[Part Number]],Table3[Part number],Table3[Drawing
 Revision]),"")</f>
        <v>AI</v>
      </c>
      <c r="H1611" s="118" cm="1">
        <f t="array" ref="H1611">IFERROR(INDEX(PDB!$C:$AT,MATCH(E1611,PDB!$B:$B,0),MATCH(YEAR(K1611),0+PDB!$C$1:$AT$1,0)),"")</f>
        <v>17.38</v>
      </c>
      <c r="I1611" s="36">
        <v>0</v>
      </c>
      <c r="J1611" s="125">
        <f>IFERROR(Table1[[#This Row],[Quantity]]*Table1[[#This Row],[Price/Unit
EUR]]," ")</f>
        <v>0</v>
      </c>
      <c r="K1611" s="126">
        <v>45457</v>
      </c>
      <c r="L1611" s="36">
        <f>WEEKNUM(Table1[[#This Row],[ETA
As requested
dd.mm.yyyy]])</f>
        <v>24</v>
      </c>
      <c r="M1611" s="36">
        <f>YEAR(Table1[[#This Row],[ETA
As requested
dd.mm.yyyy]])</f>
        <v>2024</v>
      </c>
      <c r="N1611" s="36">
        <f>IFERROR(INDEX(DATABASE_FG!$H$5:$H$367, MATCH(E1611, DATABASE_FG!$C$5:$C$367, 0)), " ")</f>
        <v>35</v>
      </c>
      <c r="O1611" s="129" t="str">
        <f>IF(E1611&lt;&gt;"", _xlfn.XLOOKUP(E1611, DATABASE_FG!C:C, DATABASE_FG!F:F), " ")</f>
        <v>Drosselboltzen</v>
      </c>
      <c r="P1611" s="129">
        <f>IFERROR(INDEX(DATABASE_FG!$G$5:$G$367, MATCH(E1611, DATABASE_FG!$C$5:$C$367, 0)), "Not Found")</f>
        <v>240</v>
      </c>
      <c r="Q1611" s="36"/>
      <c r="R1611" s="125"/>
      <c r="S1611" s="123">
        <f>Table1[[#This Row],[Quantity]]/48</f>
        <v>0</v>
      </c>
      <c r="T1611" s="36"/>
      <c r="U1611" s="36"/>
      <c r="V1611" s="36"/>
      <c r="W1611" s="129"/>
      <c r="X1611" s="36"/>
      <c r="Y1611" s="36"/>
      <c r="Z1611" s="36"/>
      <c r="AA1611" s="125" t="s">
        <v>121</v>
      </c>
      <c r="AB1611" s="172">
        <v>45513</v>
      </c>
      <c r="AC1611" s="119">
        <v>0</v>
      </c>
      <c r="AD1611" s="36">
        <f t="shared" si="185"/>
        <v>5500502907</v>
      </c>
      <c r="AE1611" s="36" t="str">
        <f t="shared" si="186"/>
        <v>R900601678</v>
      </c>
      <c r="AF1611" s="36"/>
      <c r="AG1611" s="120">
        <f t="shared" si="184"/>
        <v>0</v>
      </c>
      <c r="AH1611" s="36"/>
      <c r="AI1611" s="124" t="s">
        <v>1693</v>
      </c>
      <c r="AJ1611" s="122"/>
      <c r="AK1611" s="129" t="str">
        <f t="shared" ca="1" si="183"/>
        <v>Late</v>
      </c>
      <c r="AL1611" s="268" t="str">
        <f t="shared" si="182"/>
        <v>June</v>
      </c>
      <c r="AM1611" s="133">
        <f>YEAR(Table1[[#This Row],[ETA
As requested
dd.mm.yyyy]])</f>
        <v>2024</v>
      </c>
    </row>
    <row r="1612" spans="1:39" hidden="1">
      <c r="A1612" s="123" t="s">
        <v>25</v>
      </c>
      <c r="B1612" s="36" t="s">
        <v>1170</v>
      </c>
      <c r="C1612" s="117">
        <v>5500502907</v>
      </c>
      <c r="D1612" s="165">
        <v>45439</v>
      </c>
      <c r="E1612" s="117" t="s">
        <v>228</v>
      </c>
      <c r="F1612" s="36" t="str">
        <f>IFERROR(VLOOKUP(Table1[[#This Row],[Part Number]],DATABASE_FG!$C$6:D11601,2,FALSE)," ")</f>
        <v>THROTTLE SCREW     2FRM 16-3X/</v>
      </c>
      <c r="G1612" s="117" t="str">
        <f>IFERROR(_xlfn.XLOOKUP(Table1[[#This Row],[Part Number]],Table3[Part number],Table3[Drawing
 Revision]),"")</f>
        <v>AI</v>
      </c>
      <c r="H1612" s="118" cm="1">
        <f t="array" ref="H1612">IFERROR(INDEX(PDB!$C:$AT,MATCH(E1612,PDB!$B:$B,0),MATCH(YEAR(K1612),0+PDB!$C$1:$AT$1,0)),"")</f>
        <v>17.38</v>
      </c>
      <c r="I1612" s="36">
        <v>240</v>
      </c>
      <c r="J1612" s="125">
        <f>IFERROR(Table1[[#This Row],[Quantity]]*Table1[[#This Row],[Price/Unit
EUR]]," ")</f>
        <v>4171.2</v>
      </c>
      <c r="K1612" s="126">
        <v>45485</v>
      </c>
      <c r="L1612" s="36">
        <f>WEEKNUM(Table1[[#This Row],[ETA
As requested
dd.mm.yyyy]])</f>
        <v>28</v>
      </c>
      <c r="M1612" s="36">
        <f>YEAR(Table1[[#This Row],[ETA
As requested
dd.mm.yyyy]])</f>
        <v>2024</v>
      </c>
      <c r="N1612" s="36">
        <f>IFERROR(INDEX(DATABASE_FG!$H$5:$H$367, MATCH(E1612, DATABASE_FG!$C$5:$C$367, 0)), " ")</f>
        <v>35</v>
      </c>
      <c r="O1612" s="129" t="str">
        <f>IF(E1612&lt;&gt;"", _xlfn.XLOOKUP(E1612, DATABASE_FG!C:C, DATABASE_FG!F:F), " ")</f>
        <v>Drosselboltzen</v>
      </c>
      <c r="P1612" s="129">
        <f>IFERROR(INDEX(DATABASE_FG!$G$5:$G$367, MATCH(E1612, DATABASE_FG!$C$5:$C$367, 0)), "Not Found")</f>
        <v>240</v>
      </c>
      <c r="Q1612" s="36">
        <v>42</v>
      </c>
      <c r="R1612" s="125" t="s">
        <v>678</v>
      </c>
      <c r="S1612" s="123">
        <f>IFERROR(INDEX(DATABASE_FG!$L$5:$L$367, MATCH(E1612, DATABASE_FG!$C$5:$C$367, 0)), " ")</f>
        <v>40</v>
      </c>
      <c r="T1612" s="36" t="s">
        <v>677</v>
      </c>
      <c r="U1612" s="36"/>
      <c r="V1612" s="36"/>
      <c r="W1612" s="129"/>
      <c r="X1612" s="36"/>
      <c r="Y1612" s="36"/>
      <c r="Z1612" s="36"/>
      <c r="AA1612" s="125" t="s">
        <v>121</v>
      </c>
      <c r="AB1612" s="172">
        <v>45513</v>
      </c>
      <c r="AC1612" s="119">
        <v>202401007</v>
      </c>
      <c r="AD1612" s="36">
        <f t="shared" si="185"/>
        <v>5500502907</v>
      </c>
      <c r="AE1612" s="36" t="str">
        <f t="shared" si="186"/>
        <v>R900601678</v>
      </c>
      <c r="AF1612" s="36">
        <v>140</v>
      </c>
      <c r="AG1612" s="120">
        <f t="shared" si="184"/>
        <v>2433.1999999999998</v>
      </c>
      <c r="AH1612" s="36"/>
      <c r="AI1612" s="124"/>
      <c r="AJ1612" s="122" t="s">
        <v>1836</v>
      </c>
      <c r="AK1612" s="129" t="str">
        <f t="shared" ca="1" si="183"/>
        <v>Late</v>
      </c>
      <c r="AL1612" s="268" t="str">
        <f t="shared" si="182"/>
        <v>July</v>
      </c>
      <c r="AM1612" s="133">
        <f>YEAR(Table1[[#This Row],[ETA
As requested
dd.mm.yyyy]])</f>
        <v>2024</v>
      </c>
    </row>
    <row r="1613" spans="1:39" hidden="1">
      <c r="A1613" s="123" t="s">
        <v>25</v>
      </c>
      <c r="B1613" s="36" t="s">
        <v>1170</v>
      </c>
      <c r="C1613" s="117">
        <v>5500502907</v>
      </c>
      <c r="D1613" s="165">
        <v>45439</v>
      </c>
      <c r="E1613" s="117" t="s">
        <v>228</v>
      </c>
      <c r="F1613" s="36" t="str">
        <f>IFERROR(VLOOKUP(Table1[[#This Row],[Part Number]],DATABASE_FG!$C$6:D11602,2,FALSE)," ")</f>
        <v>THROTTLE SCREW     2FRM 16-3X/</v>
      </c>
      <c r="G1613" s="117" t="str">
        <f>IFERROR(_xlfn.XLOOKUP(Table1[[#This Row],[Part Number]],Table3[Part number],Table3[Drawing
 Revision]),"")</f>
        <v>AI</v>
      </c>
      <c r="H1613" s="118" cm="1">
        <f t="array" ref="H1613">IFERROR(INDEX(PDB!$C:$AT,MATCH(E1613,PDB!$B:$B,0),MATCH(YEAR(K1613),0+PDB!$C$1:$AT$1,0)),"")</f>
        <v>17.38</v>
      </c>
      <c r="I1613" s="36">
        <v>0</v>
      </c>
      <c r="J1613" s="125">
        <f>IFERROR(Table1[[#This Row],[Quantity]]*Table1[[#This Row],[Price/Unit
EUR]]," ")</f>
        <v>0</v>
      </c>
      <c r="K1613" s="126">
        <v>45485</v>
      </c>
      <c r="L1613" s="36">
        <f>WEEKNUM(Table1[[#This Row],[ETA
As requested
dd.mm.yyyy]])</f>
        <v>28</v>
      </c>
      <c r="M1613" s="36">
        <f>YEAR(Table1[[#This Row],[ETA
As requested
dd.mm.yyyy]])</f>
        <v>2024</v>
      </c>
      <c r="N1613" s="36">
        <f>IFERROR(INDEX(DATABASE_FG!$H$5:$H$367, MATCH(E1613, DATABASE_FG!$C$5:$C$367, 0)), " ")</f>
        <v>35</v>
      </c>
      <c r="O1613" s="129" t="str">
        <f>IF(E1613&lt;&gt;"", _xlfn.XLOOKUP(E1613, DATABASE_FG!C:C, DATABASE_FG!F:F), " ")</f>
        <v>Drosselboltzen</v>
      </c>
      <c r="P1613" s="129">
        <f>IFERROR(INDEX(DATABASE_FG!$G$5:$G$367, MATCH(E1613, DATABASE_FG!$C$5:$C$367, 0)), "Not Found")</f>
        <v>240</v>
      </c>
      <c r="Q1613" s="36"/>
      <c r="R1613" s="125" t="s">
        <v>678</v>
      </c>
      <c r="S1613" s="123">
        <f>IFERROR(INDEX(DATABASE_FG!$L$5:$L$367, MATCH(E1613, DATABASE_FG!$C$5:$C$367, 0)), " ")</f>
        <v>40</v>
      </c>
      <c r="T1613" s="36" t="s">
        <v>677</v>
      </c>
      <c r="U1613" s="36"/>
      <c r="V1613" s="36"/>
      <c r="W1613" s="129"/>
      <c r="X1613" s="36"/>
      <c r="Y1613" s="36"/>
      <c r="Z1613" s="36"/>
      <c r="AA1613" s="125" t="s">
        <v>121</v>
      </c>
      <c r="AB1613" s="172">
        <v>45517</v>
      </c>
      <c r="AC1613" s="119">
        <v>202401022</v>
      </c>
      <c r="AD1613" s="36">
        <f t="shared" si="185"/>
        <v>5500502907</v>
      </c>
      <c r="AE1613" s="36" t="str">
        <f t="shared" si="186"/>
        <v>R900601678</v>
      </c>
      <c r="AF1613" s="36">
        <v>68</v>
      </c>
      <c r="AG1613" s="120">
        <f t="shared" si="184"/>
        <v>1181.8399999999999</v>
      </c>
      <c r="AH1613" s="36"/>
      <c r="AI1613" s="124"/>
      <c r="AJ1613" s="122" t="s">
        <v>1837</v>
      </c>
      <c r="AK1613" s="129" t="str">
        <f t="shared" ca="1" si="183"/>
        <v>Late</v>
      </c>
      <c r="AL1613" s="268" t="str">
        <f t="shared" si="182"/>
        <v>July</v>
      </c>
      <c r="AM1613" s="133">
        <f>YEAR(Table1[[#This Row],[ETA
As requested
dd.mm.yyyy]])</f>
        <v>2024</v>
      </c>
    </row>
    <row r="1614" spans="1:39" hidden="1">
      <c r="A1614" s="123" t="s">
        <v>25</v>
      </c>
      <c r="B1614" s="36" t="s">
        <v>1170</v>
      </c>
      <c r="C1614" s="117">
        <v>5500502907</v>
      </c>
      <c r="D1614" s="165">
        <v>45439</v>
      </c>
      <c r="E1614" s="117" t="s">
        <v>228</v>
      </c>
      <c r="F1614" s="36" t="str">
        <f>IFERROR(VLOOKUP(Table1[[#This Row],[Part Number]],DATABASE_FG!$C$6:D11603,2,FALSE)," ")</f>
        <v>THROTTLE SCREW     2FRM 16-3X/</v>
      </c>
      <c r="G1614" s="117" t="str">
        <f>IFERROR(_xlfn.XLOOKUP(Table1[[#This Row],[Part Number]],Table3[Part number],Table3[Drawing
 Revision]),"")</f>
        <v>AI</v>
      </c>
      <c r="H1614" s="118" cm="1">
        <f t="array" ref="H1614">IFERROR(INDEX(PDB!$C:$AT,MATCH(E1614,PDB!$B:$B,0),MATCH(YEAR(K1614),0+PDB!$C$1:$AT$1,0)),"")</f>
        <v>17.38</v>
      </c>
      <c r="I1614" s="36"/>
      <c r="J1614" s="125">
        <f>IFERROR(Table1[[#This Row],[Quantity]]*Table1[[#This Row],[Price/Unit
EUR]]," ")</f>
        <v>0</v>
      </c>
      <c r="K1614" s="126">
        <v>45485</v>
      </c>
      <c r="L1614" s="36">
        <f>WEEKNUM(Table1[[#This Row],[ETA
As requested
dd.mm.yyyy]])</f>
        <v>28</v>
      </c>
      <c r="M1614" s="36">
        <f>YEAR(Table1[[#This Row],[ETA
As requested
dd.mm.yyyy]])</f>
        <v>2024</v>
      </c>
      <c r="N1614" s="36">
        <f>IFERROR(INDEX(DATABASE_FG!$H$5:$H$367, MATCH(E1614, DATABASE_FG!$C$5:$C$367, 0)), " ")</f>
        <v>35</v>
      </c>
      <c r="O1614" s="129" t="str">
        <f>IF(E1614&lt;&gt;"", _xlfn.XLOOKUP(E1614, DATABASE_FG!C:C, DATABASE_FG!F:F), " ")</f>
        <v>Drosselboltzen</v>
      </c>
      <c r="P1614" s="129">
        <f>IFERROR(INDEX(DATABASE_FG!$G$5:$G$367, MATCH(E1614, DATABASE_FG!$C$5:$C$367, 0)), "Not Found")</f>
        <v>240</v>
      </c>
      <c r="Q1614" s="36"/>
      <c r="R1614" s="125"/>
      <c r="S1614" s="123">
        <f>Table1[[#This Row],[Quantity]]/48</f>
        <v>0</v>
      </c>
      <c r="T1614" s="36"/>
      <c r="U1614" s="36"/>
      <c r="V1614" s="36"/>
      <c r="W1614" s="129"/>
      <c r="X1614" s="36"/>
      <c r="Y1614" s="36"/>
      <c r="Z1614" s="36"/>
      <c r="AA1614" s="125" t="s">
        <v>121</v>
      </c>
      <c r="AB1614" s="173">
        <v>45519</v>
      </c>
      <c r="AC1614" s="119">
        <v>202401026</v>
      </c>
      <c r="AD1614" s="36">
        <f t="shared" si="185"/>
        <v>5500502907</v>
      </c>
      <c r="AE1614" s="36" t="str">
        <f t="shared" si="186"/>
        <v>R900601678</v>
      </c>
      <c r="AF1614" s="36">
        <v>32</v>
      </c>
      <c r="AG1614" s="120">
        <f t="shared" si="184"/>
        <v>556.16</v>
      </c>
      <c r="AH1614" s="36"/>
      <c r="AI1614" s="124"/>
      <c r="AJ1614" s="122" t="s">
        <v>1838</v>
      </c>
      <c r="AK1614" s="129" t="str">
        <f t="shared" ca="1" si="183"/>
        <v>Late</v>
      </c>
      <c r="AL1614" s="268" t="str">
        <f t="shared" si="182"/>
        <v>July</v>
      </c>
      <c r="AM1614" s="133">
        <f>YEAR(Table1[[#This Row],[ETA
As requested
dd.mm.yyyy]])</f>
        <v>2024</v>
      </c>
    </row>
    <row r="1615" spans="1:39" hidden="1">
      <c r="A1615" s="123" t="s">
        <v>25</v>
      </c>
      <c r="B1615" s="36" t="s">
        <v>1170</v>
      </c>
      <c r="C1615" s="117">
        <v>5500502907</v>
      </c>
      <c r="D1615" s="165">
        <v>45439</v>
      </c>
      <c r="E1615" s="117" t="s">
        <v>228</v>
      </c>
      <c r="F1615" s="36" t="str">
        <f>IFERROR(VLOOKUP(Table1[[#This Row],[Part Number]],DATABASE_FG!$C$6:D11604,2,FALSE)," ")</f>
        <v>THROTTLE SCREW     2FRM 16-3X/</v>
      </c>
      <c r="G1615" s="117" t="str">
        <f>IFERROR(_xlfn.XLOOKUP(Table1[[#This Row],[Part Number]],Table3[Part number],Table3[Drawing
 Revision]),"")</f>
        <v>AI</v>
      </c>
      <c r="H1615" s="118" cm="1">
        <f t="array" ref="H1615">IFERROR(INDEX(PDB!$C:$AT,MATCH(E1615,PDB!$B:$B,0),MATCH(YEAR(K1615),0+PDB!$C$1:$AT$1,0)),"")</f>
        <v>17.38</v>
      </c>
      <c r="I1615" s="36">
        <v>35</v>
      </c>
      <c r="J1615" s="125">
        <f>IFERROR(Table1[[#This Row],[Quantity]]*Table1[[#This Row],[Price/Unit
EUR]]," ")</f>
        <v>608.29999999999995</v>
      </c>
      <c r="K1615" s="126">
        <v>45513</v>
      </c>
      <c r="L1615" s="36">
        <f>WEEKNUM(Table1[[#This Row],[ETA
As requested
dd.mm.yyyy]])</f>
        <v>32</v>
      </c>
      <c r="M1615" s="36">
        <f>YEAR(Table1[[#This Row],[ETA
As requested
dd.mm.yyyy]])</f>
        <v>2024</v>
      </c>
      <c r="N1615" s="36">
        <f>IFERROR(INDEX(DATABASE_FG!$H$5:$H$367, MATCH(E1615, DATABASE_FG!$C$5:$C$367, 0)), " ")</f>
        <v>35</v>
      </c>
      <c r="O1615" s="129" t="str">
        <f>IF(E1615&lt;&gt;"", _xlfn.XLOOKUP(E1615, DATABASE_FG!C:C, DATABASE_FG!F:F), " ")</f>
        <v>Drosselboltzen</v>
      </c>
      <c r="P1615" s="129">
        <f>IFERROR(INDEX(DATABASE_FG!$G$5:$G$367, MATCH(E1615, DATABASE_FG!$C$5:$C$367, 0)), "Not Found")</f>
        <v>240</v>
      </c>
      <c r="Q1615" s="36">
        <v>42</v>
      </c>
      <c r="R1615" s="125" t="s">
        <v>678</v>
      </c>
      <c r="S1615" s="123">
        <f>IFERROR(INDEX(DATABASE_FG!$L$5:$L$367, MATCH(E1615, DATABASE_FG!$C$5:$C$367, 0)), " ")</f>
        <v>40</v>
      </c>
      <c r="T1615" s="36" t="s">
        <v>677</v>
      </c>
      <c r="U1615" s="36"/>
      <c r="V1615" s="36"/>
      <c r="W1615" s="129"/>
      <c r="X1615" s="36"/>
      <c r="Y1615" s="36"/>
      <c r="Z1615" s="36"/>
      <c r="AA1615" s="125" t="s">
        <v>121</v>
      </c>
      <c r="AB1615" s="173">
        <v>45519</v>
      </c>
      <c r="AC1615" s="119">
        <v>202401026</v>
      </c>
      <c r="AD1615" s="36">
        <f t="shared" si="185"/>
        <v>5500502907</v>
      </c>
      <c r="AE1615" s="36" t="str">
        <f t="shared" si="186"/>
        <v>R900601678</v>
      </c>
      <c r="AF1615" s="36">
        <v>35</v>
      </c>
      <c r="AG1615" s="120">
        <f t="shared" si="184"/>
        <v>608.29999999999995</v>
      </c>
      <c r="AH1615" s="36"/>
      <c r="AI1615" s="124"/>
      <c r="AJ1615" s="122" t="s">
        <v>1838</v>
      </c>
      <c r="AK1615" s="129" t="str">
        <f t="shared" ca="1" si="183"/>
        <v>Late</v>
      </c>
      <c r="AL1615" s="268" t="str">
        <f t="shared" si="182"/>
        <v>August</v>
      </c>
      <c r="AM1615" s="133">
        <f>YEAR(Table1[[#This Row],[ETA
As requested
dd.mm.yyyy]])</f>
        <v>2024</v>
      </c>
    </row>
    <row r="1616" spans="1:39" hidden="1">
      <c r="A1616" s="123" t="s">
        <v>25</v>
      </c>
      <c r="B1616" s="36" t="s">
        <v>1170</v>
      </c>
      <c r="C1616" s="117">
        <v>5500502907</v>
      </c>
      <c r="D1616" s="165">
        <v>45439</v>
      </c>
      <c r="E1616" s="117" t="s">
        <v>228</v>
      </c>
      <c r="F1616" s="36" t="str">
        <f>IFERROR(VLOOKUP(Table1[[#This Row],[Part Number]],DATABASE_FG!$C$6:D11605,2,FALSE)," ")</f>
        <v>THROTTLE SCREW     2FRM 16-3X/</v>
      </c>
      <c r="G1616" s="117" t="str">
        <f>IFERROR(_xlfn.XLOOKUP(Table1[[#This Row],[Part Number]],Table3[Part number],Table3[Drawing
 Revision]),"")</f>
        <v>AI</v>
      </c>
      <c r="H1616" s="118" cm="1">
        <f t="array" ref="H1616">IFERROR(INDEX(PDB!$C:$AT,MATCH(E1616,PDB!$B:$B,0),MATCH(YEAR(K1616),0+PDB!$C$1:$AT$1,0)),"")</f>
        <v>17.38</v>
      </c>
      <c r="I1616" s="36">
        <v>70</v>
      </c>
      <c r="J1616" s="125">
        <f>IFERROR(Table1[[#This Row],[Quantity]]*Table1[[#This Row],[Price/Unit
EUR]]," ")</f>
        <v>1216.5999999999999</v>
      </c>
      <c r="K1616" s="126">
        <v>45520</v>
      </c>
      <c r="L1616" s="36">
        <f>WEEKNUM(Table1[[#This Row],[ETA
As requested
dd.mm.yyyy]])</f>
        <v>33</v>
      </c>
      <c r="M1616" s="36">
        <f>YEAR(Table1[[#This Row],[ETA
As requested
dd.mm.yyyy]])</f>
        <v>2024</v>
      </c>
      <c r="N1616" s="36">
        <f>IFERROR(INDEX(DATABASE_FG!$H$5:$H$367, MATCH(E1616, DATABASE_FG!$C$5:$C$367, 0)), " ")</f>
        <v>35</v>
      </c>
      <c r="O1616" s="129" t="str">
        <f>IF(E1616&lt;&gt;"", _xlfn.XLOOKUP(E1616, DATABASE_FG!C:C, DATABASE_FG!F:F), " ")</f>
        <v>Drosselboltzen</v>
      </c>
      <c r="P1616" s="129">
        <f>IFERROR(INDEX(DATABASE_FG!$G$5:$G$367, MATCH(E1616, DATABASE_FG!$C$5:$C$367, 0)), "Not Found")</f>
        <v>240</v>
      </c>
      <c r="Q1616" s="36">
        <v>42</v>
      </c>
      <c r="R1616" s="125" t="s">
        <v>678</v>
      </c>
      <c r="S1616" s="123">
        <f>IFERROR(INDEX(DATABASE_FG!$L$5:$L$367, MATCH(E1616, DATABASE_FG!$C$5:$C$367, 0)), " ")</f>
        <v>40</v>
      </c>
      <c r="T1616" s="36" t="s">
        <v>677</v>
      </c>
      <c r="U1616" s="36"/>
      <c r="V1616" s="36"/>
      <c r="W1616" s="129"/>
      <c r="X1616" s="36"/>
      <c r="Y1616" s="36"/>
      <c r="Z1616" s="36"/>
      <c r="AA1616" s="125" t="s">
        <v>121</v>
      </c>
      <c r="AB1616" s="172">
        <v>45519</v>
      </c>
      <c r="AC1616" s="119">
        <v>202401026</v>
      </c>
      <c r="AD1616" s="36">
        <f t="shared" si="185"/>
        <v>5500502907</v>
      </c>
      <c r="AE1616" s="36" t="str">
        <f t="shared" si="186"/>
        <v>R900601678</v>
      </c>
      <c r="AF1616" s="36">
        <v>24</v>
      </c>
      <c r="AG1616" s="120">
        <f t="shared" si="184"/>
        <v>417.12</v>
      </c>
      <c r="AH1616" s="36"/>
      <c r="AI1616" s="124"/>
      <c r="AJ1616" s="122" t="s">
        <v>1838</v>
      </c>
      <c r="AK1616" s="129" t="str">
        <f t="shared" ca="1" si="183"/>
        <v>On Time</v>
      </c>
      <c r="AL1616" s="268" t="str">
        <f t="shared" si="182"/>
        <v>August</v>
      </c>
      <c r="AM1616" s="133">
        <f>YEAR(Table1[[#This Row],[ETA
As requested
dd.mm.yyyy]])</f>
        <v>2024</v>
      </c>
    </row>
    <row r="1617" spans="1:39" hidden="1">
      <c r="A1617" s="123" t="s">
        <v>25</v>
      </c>
      <c r="B1617" s="36" t="s">
        <v>1170</v>
      </c>
      <c r="C1617" s="117">
        <v>5500502907</v>
      </c>
      <c r="D1617" s="165">
        <v>45439</v>
      </c>
      <c r="E1617" s="117" t="s">
        <v>228</v>
      </c>
      <c r="F1617" s="36" t="str">
        <f>IFERROR(VLOOKUP(Table1[[#This Row],[Part Number]],DATABASE_FG!$C$6:D11606,2,FALSE)," ")</f>
        <v>THROTTLE SCREW     2FRM 16-3X/</v>
      </c>
      <c r="G1617" s="117" t="str">
        <f>IFERROR(_xlfn.XLOOKUP(Table1[[#This Row],[Part Number]],Table3[Part number],Table3[Drawing
 Revision]),"")</f>
        <v>AI</v>
      </c>
      <c r="H1617" s="118" cm="1">
        <f t="array" ref="H1617">IFERROR(INDEX(PDB!$C:$AT,MATCH(E1617,PDB!$B:$B,0),MATCH(YEAR(K1617),0+PDB!$C$1:$AT$1,0)),"")</f>
        <v>17.38</v>
      </c>
      <c r="I1617" s="36">
        <v>0</v>
      </c>
      <c r="J1617" s="125">
        <f>IFERROR(Table1[[#This Row],[Quantity]]*Table1[[#This Row],[Price/Unit
EUR]]," ")</f>
        <v>0</v>
      </c>
      <c r="K1617" s="126">
        <v>45520</v>
      </c>
      <c r="L1617" s="36">
        <f>WEEKNUM(Table1[[#This Row],[ETA
As requested
dd.mm.yyyy]])</f>
        <v>33</v>
      </c>
      <c r="M1617" s="36">
        <f>YEAR(Table1[[#This Row],[ETA
As requested
dd.mm.yyyy]])</f>
        <v>2024</v>
      </c>
      <c r="N1617" s="36">
        <f>IFERROR(INDEX(DATABASE_FG!$H$5:$H$367, MATCH(E1617, DATABASE_FG!$C$5:$C$367, 0)), " ")</f>
        <v>35</v>
      </c>
      <c r="O1617" s="129" t="str">
        <f>IF(E1617&lt;&gt;"", _xlfn.XLOOKUP(E1617, DATABASE_FG!C:C, DATABASE_FG!F:F), " ")</f>
        <v>Drosselboltzen</v>
      </c>
      <c r="P1617" s="129">
        <f>IFERROR(INDEX(DATABASE_FG!$G$5:$G$367, MATCH(E1617, DATABASE_FG!$C$5:$C$367, 0)), "Not Found")</f>
        <v>240</v>
      </c>
      <c r="Q1617" s="36"/>
      <c r="R1617" s="125"/>
      <c r="S1617" s="123">
        <f>Table1[[#This Row],[Quantity]]/48</f>
        <v>0</v>
      </c>
      <c r="T1617" s="36"/>
      <c r="U1617" s="36"/>
      <c r="V1617" s="36"/>
      <c r="W1617" s="129"/>
      <c r="X1617" s="36"/>
      <c r="Y1617" s="36"/>
      <c r="Z1617" s="36"/>
      <c r="AA1617" s="125" t="s">
        <v>121</v>
      </c>
      <c r="AB1617" s="173">
        <v>45548</v>
      </c>
      <c r="AC1617" s="119">
        <v>202401134</v>
      </c>
      <c r="AD1617" s="36">
        <f t="shared" si="185"/>
        <v>5500502907</v>
      </c>
      <c r="AE1617" s="36" t="str">
        <f t="shared" si="186"/>
        <v>R900601678</v>
      </c>
      <c r="AF1617" s="36">
        <v>46</v>
      </c>
      <c r="AG1617" s="120">
        <f t="shared" si="184"/>
        <v>799.4799999999999</v>
      </c>
      <c r="AH1617" s="36"/>
      <c r="AI1617" s="124"/>
      <c r="AJ1617" s="122" t="s">
        <v>1976</v>
      </c>
      <c r="AK1617" s="129" t="str">
        <f t="shared" ca="1" si="183"/>
        <v>Late</v>
      </c>
      <c r="AL1617" s="268" t="str">
        <f t="shared" si="182"/>
        <v>August</v>
      </c>
      <c r="AM1617" s="133">
        <f>YEAR(Table1[[#This Row],[ETA
As requested
dd.mm.yyyy]])</f>
        <v>2024</v>
      </c>
    </row>
    <row r="1618" spans="1:39" hidden="1">
      <c r="A1618" s="123" t="s">
        <v>25</v>
      </c>
      <c r="B1618" s="36" t="s">
        <v>1170</v>
      </c>
      <c r="C1618" s="117">
        <v>5500502907</v>
      </c>
      <c r="D1618" s="165">
        <v>45439</v>
      </c>
      <c r="E1618" s="117" t="s">
        <v>228</v>
      </c>
      <c r="F1618" s="36" t="str">
        <f>IFERROR(VLOOKUP(Table1[[#This Row],[Part Number]],DATABASE_FG!$C$6:D11607,2,FALSE)," ")</f>
        <v>THROTTLE SCREW     2FRM 16-3X/</v>
      </c>
      <c r="G1618" s="117" t="str">
        <f>IFERROR(_xlfn.XLOOKUP(Table1[[#This Row],[Part Number]],Table3[Part number],Table3[Drawing
 Revision]),"")</f>
        <v>AI</v>
      </c>
      <c r="H1618" s="118" cm="1">
        <f t="array" ref="H1618">IFERROR(INDEX(PDB!$C:$AT,MATCH(E1618,PDB!$B:$B,0),MATCH(YEAR(K1618),0+PDB!$C$1:$AT$1,0)),"")</f>
        <v>17.38</v>
      </c>
      <c r="I1618" s="36">
        <v>35</v>
      </c>
      <c r="J1618" s="125">
        <f>IFERROR(Table1[[#This Row],[Quantity]]*Table1[[#This Row],[Price/Unit
EUR]]," ")</f>
        <v>608.29999999999995</v>
      </c>
      <c r="K1618" s="126">
        <v>45527</v>
      </c>
      <c r="L1618" s="36">
        <f>WEEKNUM(Table1[[#This Row],[ETA
As requested
dd.mm.yyyy]])</f>
        <v>34</v>
      </c>
      <c r="M1618" s="36">
        <f>YEAR(Table1[[#This Row],[ETA
As requested
dd.mm.yyyy]])</f>
        <v>2024</v>
      </c>
      <c r="N1618" s="36">
        <f>IFERROR(INDEX(DATABASE_FG!$H$5:$H$367, MATCH(E1618, DATABASE_FG!$C$5:$C$367, 0)), " ")</f>
        <v>35</v>
      </c>
      <c r="O1618" s="129" t="str">
        <f>IF(E1618&lt;&gt;"", _xlfn.XLOOKUP(E1618, DATABASE_FG!C:C, DATABASE_FG!F:F), " ")</f>
        <v>Drosselboltzen</v>
      </c>
      <c r="P1618" s="129">
        <f>IFERROR(INDEX(DATABASE_FG!$G$5:$G$367, MATCH(E1618, DATABASE_FG!$C$5:$C$367, 0)), "Not Found")</f>
        <v>240</v>
      </c>
      <c r="Q1618" s="36">
        <v>42</v>
      </c>
      <c r="R1618" s="125" t="s">
        <v>678</v>
      </c>
      <c r="S1618" s="123">
        <f>IFERROR(INDEX(DATABASE_FG!$L$5:$L$367, MATCH(E1618, DATABASE_FG!$C$5:$C$367, 0)), " ")</f>
        <v>40</v>
      </c>
      <c r="T1618" s="36" t="s">
        <v>677</v>
      </c>
      <c r="U1618" s="36"/>
      <c r="V1618" s="36"/>
      <c r="W1618" s="129"/>
      <c r="X1618" s="36"/>
      <c r="Y1618" s="36"/>
      <c r="Z1618" s="36"/>
      <c r="AA1618" s="125" t="s">
        <v>121</v>
      </c>
      <c r="AB1618" s="173">
        <v>45548</v>
      </c>
      <c r="AC1618" s="119">
        <v>202401134</v>
      </c>
      <c r="AD1618" s="36">
        <f t="shared" si="185"/>
        <v>5500502907</v>
      </c>
      <c r="AE1618" s="36" t="str">
        <f t="shared" si="186"/>
        <v>R900601678</v>
      </c>
      <c r="AF1618" s="36">
        <f>71-46</f>
        <v>25</v>
      </c>
      <c r="AG1618" s="120">
        <f t="shared" si="184"/>
        <v>434.5</v>
      </c>
      <c r="AH1618" s="36"/>
      <c r="AI1618" s="124"/>
      <c r="AJ1618" s="122" t="s">
        <v>1976</v>
      </c>
      <c r="AK1618" s="129" t="str">
        <f t="shared" ca="1" si="183"/>
        <v>Late</v>
      </c>
      <c r="AL1618" s="268" t="str">
        <f t="shared" si="182"/>
        <v>August</v>
      </c>
      <c r="AM1618" s="133">
        <f>YEAR(Table1[[#This Row],[ETA
As requested
dd.mm.yyyy]])</f>
        <v>2024</v>
      </c>
    </row>
    <row r="1619" spans="1:39" hidden="1">
      <c r="A1619" s="123" t="s">
        <v>25</v>
      </c>
      <c r="B1619" s="36" t="s">
        <v>1170</v>
      </c>
      <c r="C1619" s="117">
        <v>5500502907</v>
      </c>
      <c r="D1619" s="165">
        <v>45439</v>
      </c>
      <c r="E1619" s="117" t="s">
        <v>228</v>
      </c>
      <c r="F1619" s="36" t="str">
        <f>IFERROR(VLOOKUP(Table1[[#This Row],[Part Number]],DATABASE_FG!$C$6:D11608,2,FALSE)," ")</f>
        <v>THROTTLE SCREW     2FRM 16-3X/</v>
      </c>
      <c r="G1619" s="117" t="str">
        <f>IFERROR(_xlfn.XLOOKUP(Table1[[#This Row],[Part Number]],Table3[Part number],Table3[Drawing
 Revision]),"")</f>
        <v>AI</v>
      </c>
      <c r="H1619" s="118" cm="1">
        <f t="array" ref="H1619">IFERROR(INDEX(PDB!$C:$AT,MATCH(E1619,PDB!$B:$B,0),MATCH(YEAR(K1619),0+PDB!$C$1:$AT$1,0)),"")</f>
        <v>17.38</v>
      </c>
      <c r="I1619" s="36">
        <v>0</v>
      </c>
      <c r="J1619" s="125">
        <f>IFERROR(Table1[[#This Row],[Quantity]]*Table1[[#This Row],[Price/Unit
EUR]]," ")</f>
        <v>0</v>
      </c>
      <c r="K1619" s="126">
        <v>45527</v>
      </c>
      <c r="L1619" s="36">
        <f>WEEKNUM(Table1[[#This Row],[ETA
As requested
dd.mm.yyyy]])</f>
        <v>34</v>
      </c>
      <c r="M1619" s="36">
        <f>YEAR(Table1[[#This Row],[ETA
As requested
dd.mm.yyyy]])</f>
        <v>2024</v>
      </c>
      <c r="N1619" s="36">
        <f>IFERROR(INDEX(DATABASE_FG!$H$5:$H$367, MATCH(E1619, DATABASE_FG!$C$5:$C$367, 0)), " ")</f>
        <v>35</v>
      </c>
      <c r="O1619" s="129" t="str">
        <f>IF(E1619&lt;&gt;"", _xlfn.XLOOKUP(E1619, DATABASE_FG!C:C, DATABASE_FG!F:F), " ")</f>
        <v>Drosselboltzen</v>
      </c>
      <c r="P1619" s="129">
        <f>IFERROR(INDEX(DATABASE_FG!$G$5:$G$367, MATCH(E1619, DATABASE_FG!$C$5:$C$367, 0)), "Not Found")</f>
        <v>240</v>
      </c>
      <c r="Q1619" s="36"/>
      <c r="R1619" s="125"/>
      <c r="S1619" s="123">
        <f>Table1[[#This Row],[Quantity]]/48</f>
        <v>0</v>
      </c>
      <c r="T1619" s="36"/>
      <c r="U1619" s="36"/>
      <c r="V1619" s="36"/>
      <c r="W1619" s="129"/>
      <c r="X1619" s="36"/>
      <c r="Y1619" s="36"/>
      <c r="Z1619" s="36"/>
      <c r="AA1619" s="125" t="s">
        <v>121</v>
      </c>
      <c r="AB1619" s="172">
        <v>45548</v>
      </c>
      <c r="AC1619" s="119">
        <v>202401135</v>
      </c>
      <c r="AD1619" s="36">
        <f t="shared" si="185"/>
        <v>5500502907</v>
      </c>
      <c r="AE1619" s="36" t="str">
        <f t="shared" si="186"/>
        <v>R900601678</v>
      </c>
      <c r="AF1619" s="36">
        <v>10</v>
      </c>
      <c r="AG1619" s="120">
        <f t="shared" si="184"/>
        <v>173.79999999999998</v>
      </c>
      <c r="AH1619" s="36"/>
      <c r="AI1619" s="124"/>
      <c r="AJ1619" s="122" t="s">
        <v>2118</v>
      </c>
      <c r="AK1619" s="129" t="str">
        <f t="shared" ca="1" si="183"/>
        <v>Late</v>
      </c>
      <c r="AL1619" s="268" t="str">
        <f t="shared" si="182"/>
        <v>August</v>
      </c>
      <c r="AM1619" s="133">
        <f>YEAR(Table1[[#This Row],[ETA
As requested
dd.mm.yyyy]])</f>
        <v>2024</v>
      </c>
    </row>
    <row r="1620" spans="1:39" hidden="1">
      <c r="A1620" s="123" t="s">
        <v>25</v>
      </c>
      <c r="B1620" s="36" t="s">
        <v>1170</v>
      </c>
      <c r="C1620" s="117">
        <v>5500502907</v>
      </c>
      <c r="D1620" s="165">
        <v>45439</v>
      </c>
      <c r="E1620" s="117" t="s">
        <v>228</v>
      </c>
      <c r="F1620" s="36" t="str">
        <f>IFERROR(VLOOKUP(Table1[[#This Row],[Part Number]],DATABASE_FG!$C$6:D11609,2,FALSE)," ")</f>
        <v>THROTTLE SCREW     2FRM 16-3X/</v>
      </c>
      <c r="G1620" s="117" t="str">
        <f>IFERROR(_xlfn.XLOOKUP(Table1[[#This Row],[Part Number]],Table3[Part number],Table3[Drawing
 Revision]),"")</f>
        <v>AI</v>
      </c>
      <c r="H1620" s="118" cm="1">
        <f t="array" ref="H1620">IFERROR(INDEX(PDB!$C:$AT,MATCH(E1620,PDB!$B:$B,0),MATCH(YEAR(K1620),0+PDB!$C$1:$AT$1,0)),"")</f>
        <v>17.38</v>
      </c>
      <c r="I1620" s="36">
        <v>70</v>
      </c>
      <c r="J1620" s="125">
        <f>IFERROR(Table1[[#This Row],[Quantity]]*Table1[[#This Row],[Price/Unit
EUR]]," ")</f>
        <v>1216.5999999999999</v>
      </c>
      <c r="K1620" s="126">
        <v>45534</v>
      </c>
      <c r="L1620" s="36">
        <f>WEEKNUM(Table1[[#This Row],[ETA
As requested
dd.mm.yyyy]])</f>
        <v>35</v>
      </c>
      <c r="M1620" s="36">
        <f>YEAR(Table1[[#This Row],[ETA
As requested
dd.mm.yyyy]])</f>
        <v>2024</v>
      </c>
      <c r="N1620" s="36">
        <f>IFERROR(INDEX(DATABASE_FG!$H$5:$H$367, MATCH(E1620, DATABASE_FG!$C$5:$C$367, 0)), " ")</f>
        <v>35</v>
      </c>
      <c r="O1620" s="129" t="str">
        <f>IF(E1620&lt;&gt;"", _xlfn.XLOOKUP(E1620, DATABASE_FG!C:C, DATABASE_FG!F:F), " ")</f>
        <v>Drosselboltzen</v>
      </c>
      <c r="P1620" s="129">
        <f>IFERROR(INDEX(DATABASE_FG!$G$5:$G$367, MATCH(E1620, DATABASE_FG!$C$5:$C$367, 0)), "Not Found")</f>
        <v>240</v>
      </c>
      <c r="Q1620" s="36">
        <v>42</v>
      </c>
      <c r="R1620" s="125" t="s">
        <v>678</v>
      </c>
      <c r="S1620" s="123">
        <f>IFERROR(INDEX(DATABASE_FG!$L$5:$L$367, MATCH(E1620, DATABASE_FG!$C$5:$C$367, 0)), " ")</f>
        <v>40</v>
      </c>
      <c r="T1620" s="36" t="s">
        <v>677</v>
      </c>
      <c r="U1620" s="36"/>
      <c r="V1620" s="36"/>
      <c r="W1620" s="129"/>
      <c r="X1620" s="36"/>
      <c r="Y1620" s="36"/>
      <c r="Z1620" s="36"/>
      <c r="AA1620" s="125" t="s">
        <v>121</v>
      </c>
      <c r="AB1620" s="172">
        <v>45548</v>
      </c>
      <c r="AC1620" s="119">
        <v>202401135</v>
      </c>
      <c r="AD1620" s="36">
        <f t="shared" si="185"/>
        <v>5500502907</v>
      </c>
      <c r="AE1620" s="36" t="str">
        <f t="shared" si="186"/>
        <v>R900601678</v>
      </c>
      <c r="AF1620" s="36">
        <v>37</v>
      </c>
      <c r="AG1620" s="120">
        <f t="shared" si="184"/>
        <v>643.05999999999995</v>
      </c>
      <c r="AH1620" s="36"/>
      <c r="AI1620" s="124"/>
      <c r="AJ1620" s="122" t="s">
        <v>2118</v>
      </c>
      <c r="AK1620" s="129" t="str">
        <f t="shared" ca="1" si="183"/>
        <v>Late</v>
      </c>
      <c r="AL1620" s="268" t="str">
        <f t="shared" si="182"/>
        <v>August</v>
      </c>
      <c r="AM1620" s="133">
        <f>YEAR(Table1[[#This Row],[ETA
As requested
dd.mm.yyyy]])</f>
        <v>2024</v>
      </c>
    </row>
    <row r="1621" spans="1:39" hidden="1">
      <c r="A1621" s="123" t="s">
        <v>25</v>
      </c>
      <c r="B1621" s="36" t="s">
        <v>1170</v>
      </c>
      <c r="C1621" s="117">
        <v>5500502907</v>
      </c>
      <c r="D1621" s="165">
        <v>45440</v>
      </c>
      <c r="E1621" s="117" t="s">
        <v>228</v>
      </c>
      <c r="F1621" s="36" t="str">
        <f>IFERROR(VLOOKUP(Table1[[#This Row],[Part Number]],DATABASE_FG!$C$6:D11610,2,FALSE)," ")</f>
        <v>THROTTLE SCREW     2FRM 16-3X/</v>
      </c>
      <c r="G1621" s="117" t="str">
        <f>IFERROR(_xlfn.XLOOKUP(Table1[[#This Row],[Part Number]],Table3[Part number],Table3[Drawing
 Revision]),"")</f>
        <v>AI</v>
      </c>
      <c r="H1621" s="118" cm="1">
        <f t="array" ref="H1621">IFERROR(INDEX(PDB!$C:$AT,MATCH(E1621,PDB!$B:$B,0),MATCH(YEAR(K1621),0+PDB!$C$1:$AT$1,0)),"")</f>
        <v>17.38</v>
      </c>
      <c r="I1621" s="36">
        <v>0</v>
      </c>
      <c r="J1621" s="125">
        <f>IFERROR(Table1[[#This Row],[Quantity]]*Table1[[#This Row],[Price/Unit
EUR]]," ")</f>
        <v>0</v>
      </c>
      <c r="K1621" s="126">
        <v>45534</v>
      </c>
      <c r="L1621" s="36">
        <f>WEEKNUM(Table1[[#This Row],[ETA
As requested
dd.mm.yyyy]])</f>
        <v>35</v>
      </c>
      <c r="M1621" s="36">
        <f>YEAR(Table1[[#This Row],[ETA
As requested
dd.mm.yyyy]])</f>
        <v>2024</v>
      </c>
      <c r="N1621" s="36">
        <f>IFERROR(INDEX(DATABASE_FG!$H$5:$H$367, MATCH(E1621, DATABASE_FG!$C$5:$C$367, 0)), " ")</f>
        <v>35</v>
      </c>
      <c r="O1621" s="129" t="str">
        <f>IF(E1621&lt;&gt;"", _xlfn.XLOOKUP(E1621, DATABASE_FG!C:C, DATABASE_FG!F:F), " ")</f>
        <v>Drosselboltzen</v>
      </c>
      <c r="P1621" s="129">
        <f>IFERROR(INDEX(DATABASE_FG!$G$5:$G$367, MATCH(E1621, DATABASE_FG!$C$5:$C$367, 0)), "Not Found")</f>
        <v>240</v>
      </c>
      <c r="Q1621" s="36"/>
      <c r="R1621" s="125"/>
      <c r="S1621" s="123">
        <f>Table1[[#This Row],[Quantity]]/48</f>
        <v>0</v>
      </c>
      <c r="T1621" s="36"/>
      <c r="U1621" s="36"/>
      <c r="V1621" s="36"/>
      <c r="W1621" s="129"/>
      <c r="X1621" s="36"/>
      <c r="Y1621" s="36"/>
      <c r="Z1621" s="36"/>
      <c r="AA1621" s="125" t="s">
        <v>121</v>
      </c>
      <c r="AB1621" s="173">
        <v>45569</v>
      </c>
      <c r="AC1621" s="119">
        <v>202401207</v>
      </c>
      <c r="AD1621" s="36">
        <f t="shared" si="185"/>
        <v>5500502907</v>
      </c>
      <c r="AE1621" s="36" t="str">
        <f t="shared" si="186"/>
        <v>R900601678</v>
      </c>
      <c r="AF1621" s="36">
        <v>33</v>
      </c>
      <c r="AG1621" s="120">
        <f t="shared" si="184"/>
        <v>573.54</v>
      </c>
      <c r="AH1621" s="36"/>
      <c r="AI1621" s="124"/>
      <c r="AJ1621" s="122" t="s">
        <v>2133</v>
      </c>
      <c r="AK1621" s="129" t="str">
        <f t="shared" ca="1" si="183"/>
        <v>Late</v>
      </c>
      <c r="AL1621" s="268" t="str">
        <f t="shared" si="182"/>
        <v>August</v>
      </c>
      <c r="AM1621" s="133">
        <f>YEAR(Table1[[#This Row],[ETA
As requested
dd.mm.yyyy]])</f>
        <v>2024</v>
      </c>
    </row>
    <row r="1622" spans="1:39" hidden="1">
      <c r="A1622" s="123" t="s">
        <v>25</v>
      </c>
      <c r="B1622" s="36" t="s">
        <v>1170</v>
      </c>
      <c r="C1622" s="117">
        <v>5500502907</v>
      </c>
      <c r="D1622" s="165">
        <v>45439</v>
      </c>
      <c r="E1622" s="117" t="s">
        <v>228</v>
      </c>
      <c r="F1622" s="36" t="str">
        <f>IFERROR(VLOOKUP(Table1[[#This Row],[Part Number]],DATABASE_FG!$C$6:D11611,2,FALSE)," ")</f>
        <v>THROTTLE SCREW     2FRM 16-3X/</v>
      </c>
      <c r="G1622" s="117" t="str">
        <f>IFERROR(_xlfn.XLOOKUP(Table1[[#This Row],[Part Number]],Table3[Part number],Table3[Drawing
 Revision]),"")</f>
        <v>AI</v>
      </c>
      <c r="H1622" s="118" cm="1">
        <f t="array" ref="H1622">IFERROR(INDEX(PDB!$C:$AT,MATCH(E1622,PDB!$B:$B,0),MATCH(YEAR(K1622),0+PDB!$C$1:$AT$1,0)),"")</f>
        <v>17.38</v>
      </c>
      <c r="I1622" s="36">
        <v>70</v>
      </c>
      <c r="J1622" s="125">
        <f>IFERROR(Table1[[#This Row],[Quantity]]*Table1[[#This Row],[Price/Unit
EUR]]," ")</f>
        <v>1216.5999999999999</v>
      </c>
      <c r="K1622" s="126">
        <v>45541</v>
      </c>
      <c r="L1622" s="36">
        <f>WEEKNUM(Table1[[#This Row],[ETA
As requested
dd.mm.yyyy]])</f>
        <v>36</v>
      </c>
      <c r="M1622" s="36">
        <f>YEAR(Table1[[#This Row],[ETA
As requested
dd.mm.yyyy]])</f>
        <v>2024</v>
      </c>
      <c r="N1622" s="36">
        <f>IFERROR(INDEX(DATABASE_FG!$H$5:$H$367, MATCH(E1622, DATABASE_FG!$C$5:$C$367, 0)), " ")</f>
        <v>35</v>
      </c>
      <c r="O1622" s="129" t="str">
        <f>IF(E1622&lt;&gt;"", _xlfn.XLOOKUP(E1622, DATABASE_FG!C:C, DATABASE_FG!F:F), " ")</f>
        <v>Drosselboltzen</v>
      </c>
      <c r="P1622" s="129">
        <f>IFERROR(INDEX(DATABASE_FG!$G$5:$G$367, MATCH(E1622, DATABASE_FG!$C$5:$C$367, 0)), "Not Found")</f>
        <v>240</v>
      </c>
      <c r="Q1622" s="36">
        <v>42</v>
      </c>
      <c r="R1622" s="125" t="s">
        <v>678</v>
      </c>
      <c r="S1622" s="123">
        <f>IFERROR(INDEX(DATABASE_FG!$L$5:$L$367, MATCH(E1622, DATABASE_FG!$C$5:$C$367, 0)), " ")</f>
        <v>40</v>
      </c>
      <c r="T1622" s="36" t="s">
        <v>677</v>
      </c>
      <c r="U1622" s="36"/>
      <c r="V1622" s="36"/>
      <c r="W1622" s="129"/>
      <c r="X1622" s="36"/>
      <c r="Y1622" s="36"/>
      <c r="Z1622" s="36"/>
      <c r="AA1622" s="125" t="s">
        <v>121</v>
      </c>
      <c r="AB1622" s="173">
        <v>45569</v>
      </c>
      <c r="AC1622" s="119">
        <v>202401207</v>
      </c>
      <c r="AD1622" s="36">
        <f t="shared" si="185"/>
        <v>5500502907</v>
      </c>
      <c r="AE1622" s="36" t="str">
        <f t="shared" si="186"/>
        <v>R900601678</v>
      </c>
      <c r="AF1622" s="36">
        <v>70</v>
      </c>
      <c r="AG1622" s="120">
        <f t="shared" si="184"/>
        <v>1216.5999999999999</v>
      </c>
      <c r="AH1622" s="36"/>
      <c r="AI1622" s="124"/>
      <c r="AJ1622" s="122" t="s">
        <v>2133</v>
      </c>
      <c r="AK1622" s="129" t="str">
        <f t="shared" ca="1" si="183"/>
        <v>Late</v>
      </c>
      <c r="AL1622" s="268" t="str">
        <f t="shared" si="182"/>
        <v>September</v>
      </c>
      <c r="AM1622" s="133">
        <f>YEAR(Table1[[#This Row],[ETA
As requested
dd.mm.yyyy]])</f>
        <v>2024</v>
      </c>
    </row>
    <row r="1623" spans="1:39" hidden="1">
      <c r="A1623" s="123" t="s">
        <v>25</v>
      </c>
      <c r="B1623" s="36" t="s">
        <v>1170</v>
      </c>
      <c r="C1623" s="117">
        <v>5500502907</v>
      </c>
      <c r="D1623" s="165">
        <v>45440</v>
      </c>
      <c r="E1623" s="117" t="s">
        <v>228</v>
      </c>
      <c r="F1623" s="36" t="str">
        <f>IFERROR(VLOOKUP(Table1[[#This Row],[Part Number]],DATABASE_FG!$C$6:D11612,2,FALSE)," ")</f>
        <v>THROTTLE SCREW     2FRM 16-3X/</v>
      </c>
      <c r="G1623" s="117" t="str">
        <f>IFERROR(_xlfn.XLOOKUP(Table1[[#This Row],[Part Number]],Table3[Part number],Table3[Drawing
 Revision]),"")</f>
        <v>AI</v>
      </c>
      <c r="H1623" s="118" cm="1">
        <f t="array" ref="H1623">IFERROR(INDEX(PDB!$C:$AT,MATCH(E1623,PDB!$B:$B,0),MATCH(YEAR(K1623),0+PDB!$C$1:$AT$1,0)),"")</f>
        <v>17.38</v>
      </c>
      <c r="I1623" s="36">
        <v>35</v>
      </c>
      <c r="J1623" s="125">
        <f>IFERROR(Table1[[#This Row],[Quantity]]*Table1[[#This Row],[Price/Unit
EUR]]," ")</f>
        <v>608.29999999999995</v>
      </c>
      <c r="K1623" s="126">
        <v>45548</v>
      </c>
      <c r="L1623" s="36">
        <f>WEEKNUM(Table1[[#This Row],[ETA
As requested
dd.mm.yyyy]])</f>
        <v>37</v>
      </c>
      <c r="M1623" s="36">
        <f>YEAR(Table1[[#This Row],[ETA
As requested
dd.mm.yyyy]])</f>
        <v>2024</v>
      </c>
      <c r="N1623" s="36">
        <f>IFERROR(INDEX(DATABASE_FG!$H$5:$H$367, MATCH(E1623, DATABASE_FG!$C$5:$C$367, 0)), " ")</f>
        <v>35</v>
      </c>
      <c r="O1623" s="129" t="str">
        <f>IF(E1623&lt;&gt;"", _xlfn.XLOOKUP(E1623, DATABASE_FG!C:C, DATABASE_FG!F:F), " ")</f>
        <v>Drosselboltzen</v>
      </c>
      <c r="P1623" s="129">
        <f>IFERROR(INDEX(DATABASE_FG!$G$5:$G$367, MATCH(E1623, DATABASE_FG!$C$5:$C$367, 0)), "Not Found")</f>
        <v>240</v>
      </c>
      <c r="Q1623" s="36"/>
      <c r="R1623" s="125"/>
      <c r="S1623" s="123">
        <f>Table1[[#This Row],[Quantity]]/48</f>
        <v>0.72916666666666663</v>
      </c>
      <c r="T1623" s="36"/>
      <c r="U1623" s="36"/>
      <c r="V1623" s="36"/>
      <c r="W1623" s="129"/>
      <c r="X1623" s="36"/>
      <c r="Y1623" s="36"/>
      <c r="Z1623" s="36"/>
      <c r="AA1623" s="125" t="s">
        <v>121</v>
      </c>
      <c r="AB1623" s="173">
        <v>45569</v>
      </c>
      <c r="AC1623" s="119">
        <v>202401207</v>
      </c>
      <c r="AD1623" s="36">
        <f t="shared" si="185"/>
        <v>5500502907</v>
      </c>
      <c r="AE1623" s="36" t="str">
        <f t="shared" si="186"/>
        <v>R900601678</v>
      </c>
      <c r="AF1623" s="36">
        <v>35</v>
      </c>
      <c r="AG1623" s="120">
        <f t="shared" si="184"/>
        <v>608.29999999999995</v>
      </c>
      <c r="AH1623" s="36"/>
      <c r="AI1623" s="124"/>
      <c r="AJ1623" s="122" t="s">
        <v>2133</v>
      </c>
      <c r="AK1623" s="129" t="str">
        <f t="shared" ca="1" si="183"/>
        <v>Late</v>
      </c>
      <c r="AL1623" s="268" t="str">
        <f t="shared" si="182"/>
        <v>September</v>
      </c>
      <c r="AM1623" s="133">
        <f>YEAR(Table1[[#This Row],[ETA
As requested
dd.mm.yyyy]])</f>
        <v>2024</v>
      </c>
    </row>
    <row r="1624" spans="1:39" hidden="1">
      <c r="A1624" s="123" t="s">
        <v>25</v>
      </c>
      <c r="B1624" s="36" t="s">
        <v>1170</v>
      </c>
      <c r="C1624" s="117">
        <v>5500502907</v>
      </c>
      <c r="D1624" s="165">
        <v>45572</v>
      </c>
      <c r="E1624" s="117" t="s">
        <v>228</v>
      </c>
      <c r="F1624" s="36" t="str">
        <f>IFERROR(VLOOKUP(Table1[[#This Row],[Part Number]],DATABASE_FG!$C$6:D11613,2,FALSE)," ")</f>
        <v>THROTTLE SCREW     2FRM 16-3X/</v>
      </c>
      <c r="G1624" s="117" t="str">
        <f>IFERROR(_xlfn.XLOOKUP(Table1[[#This Row],[Part Number]],Table3[Part number],Table3[Drawing
 Revision]),"")</f>
        <v>AI</v>
      </c>
      <c r="H1624" s="118" cm="1">
        <f t="array" ref="H1624">IFERROR(INDEX(PDB!$C:$AT,MATCH(E1624,PDB!$B:$B,0),MATCH(YEAR(K1624),0+PDB!$C$1:$AT$1,0)),"")</f>
        <v>17.38</v>
      </c>
      <c r="I1624" s="36">
        <v>34</v>
      </c>
      <c r="J1624" s="125">
        <f>IFERROR(Table1[[#This Row],[Quantity]]*Table1[[#This Row],[Price/Unit
EUR]]," ")</f>
        <v>590.91999999999996</v>
      </c>
      <c r="K1624" s="126">
        <v>45562</v>
      </c>
      <c r="L1624" s="36">
        <f>WEEKNUM(Table1[[#This Row],[ETA
As requested
dd.mm.yyyy]])</f>
        <v>39</v>
      </c>
      <c r="M1624" s="36">
        <f>YEAR(Table1[[#This Row],[ETA
As requested
dd.mm.yyyy]])</f>
        <v>2024</v>
      </c>
      <c r="N1624" s="36">
        <f>IFERROR(INDEX(DATABASE_FG!$H$5:$H$367, MATCH(E1624, DATABASE_FG!$C$5:$C$367, 0)), " ")</f>
        <v>35</v>
      </c>
      <c r="O1624" s="129" t="str">
        <f>IF(E1624&lt;&gt;"", _xlfn.XLOOKUP(E1624, DATABASE_FG!C:C, DATABASE_FG!F:F), " ")</f>
        <v>Drosselboltzen</v>
      </c>
      <c r="P1624" s="129">
        <f>IFERROR(INDEX(DATABASE_FG!$G$5:$G$367, MATCH(E1624, DATABASE_FG!$C$5:$C$367, 0)), "Not Found")</f>
        <v>240</v>
      </c>
      <c r="Q1624" s="36">
        <v>42</v>
      </c>
      <c r="R1624" s="125" t="s">
        <v>678</v>
      </c>
      <c r="S1624" s="123">
        <f>IFERROR(INDEX(DATABASE_FG!$L$5:$L$367, MATCH(E1624, DATABASE_FG!$C$5:$C$367, 0)), " ")</f>
        <v>40</v>
      </c>
      <c r="T1624" s="36" t="s">
        <v>677</v>
      </c>
      <c r="U1624" s="36"/>
      <c r="V1624" s="36"/>
      <c r="W1624" s="129"/>
      <c r="X1624" s="36"/>
      <c r="Y1624" s="36"/>
      <c r="Z1624" s="36"/>
      <c r="AA1624" s="125" t="s">
        <v>121</v>
      </c>
      <c r="AB1624" s="173">
        <v>45569</v>
      </c>
      <c r="AC1624" s="119">
        <v>202401207</v>
      </c>
      <c r="AD1624" s="36">
        <f t="shared" si="185"/>
        <v>5500502907</v>
      </c>
      <c r="AE1624" s="36" t="str">
        <f t="shared" si="186"/>
        <v>R900601678</v>
      </c>
      <c r="AF1624" s="36">
        <v>34</v>
      </c>
      <c r="AG1624" s="120">
        <f t="shared" si="184"/>
        <v>590.91999999999996</v>
      </c>
      <c r="AH1624" s="36"/>
      <c r="AI1624" s="124"/>
      <c r="AJ1624" s="122" t="s">
        <v>2133</v>
      </c>
      <c r="AK1624" s="129" t="str">
        <f t="shared" ca="1" si="183"/>
        <v>Late</v>
      </c>
      <c r="AL1624" s="268" t="str">
        <f t="shared" si="182"/>
        <v>September</v>
      </c>
      <c r="AM1624" s="133">
        <f>YEAR(Table1[[#This Row],[ETA
As requested
dd.mm.yyyy]])</f>
        <v>2024</v>
      </c>
    </row>
    <row r="1625" spans="1:39" hidden="1">
      <c r="A1625" s="123" t="s">
        <v>25</v>
      </c>
      <c r="B1625" s="36" t="s">
        <v>1170</v>
      </c>
      <c r="C1625" s="117">
        <v>5500502907</v>
      </c>
      <c r="D1625" s="165">
        <v>45572</v>
      </c>
      <c r="E1625" s="117" t="s">
        <v>228</v>
      </c>
      <c r="F1625" s="36" t="str">
        <f>IFERROR(VLOOKUP(Table1[[#This Row],[Part Number]],DATABASE_FG!$C$6:D11614,2,FALSE)," ")</f>
        <v>THROTTLE SCREW     2FRM 16-3X/</v>
      </c>
      <c r="G1625" s="117" t="str">
        <f>IFERROR(_xlfn.XLOOKUP(Table1[[#This Row],[Part Number]],Table3[Part number],Table3[Drawing
 Revision]),"")</f>
        <v>AI</v>
      </c>
      <c r="H1625" s="118" cm="1">
        <f t="array" ref="H1625">IFERROR(INDEX(PDB!$C:$AT,MATCH(E1625,PDB!$B:$B,0),MATCH(YEAR(K1625),0+PDB!$C$1:$AT$1,0)),"")</f>
        <v>17.38</v>
      </c>
      <c r="I1625" s="36">
        <v>10</v>
      </c>
      <c r="J1625" s="125">
        <f>IFERROR(Table1[[#This Row],[Quantity]]*Table1[[#This Row],[Price/Unit
EUR]]," ")</f>
        <v>173.79999999999998</v>
      </c>
      <c r="K1625" s="126">
        <v>45562</v>
      </c>
      <c r="L1625" s="36">
        <f>WEEKNUM(Table1[[#This Row],[ETA
As requested
dd.mm.yyyy]])</f>
        <v>39</v>
      </c>
      <c r="M1625" s="36">
        <f>YEAR(Table1[[#This Row],[ETA
As requested
dd.mm.yyyy]])</f>
        <v>2024</v>
      </c>
      <c r="N1625" s="36">
        <f>IFERROR(INDEX(DATABASE_FG!$H$5:$H$367, MATCH(E1625, DATABASE_FG!$C$5:$C$367, 0)), " ")</f>
        <v>35</v>
      </c>
      <c r="O1625" s="129" t="str">
        <f>IF(E1625&lt;&gt;"", _xlfn.XLOOKUP(E1625, DATABASE_FG!C:C, DATABASE_FG!F:F), " ")</f>
        <v>Drosselboltzen</v>
      </c>
      <c r="P1625" s="129">
        <f>IFERROR(INDEX(DATABASE_FG!$G$5:$G$367, MATCH(E1625, DATABASE_FG!$C$5:$C$367, 0)), "Not Found")</f>
        <v>240</v>
      </c>
      <c r="Q1625" s="36">
        <v>42</v>
      </c>
      <c r="R1625" s="125" t="s">
        <v>678</v>
      </c>
      <c r="S1625" s="123">
        <f>IFERROR(INDEX(DATABASE_FG!$L$5:$L$367, MATCH(E1625, DATABASE_FG!$C$5:$C$367, 0)), " ")</f>
        <v>40</v>
      </c>
      <c r="T1625" s="36" t="s">
        <v>677</v>
      </c>
      <c r="U1625" s="36"/>
      <c r="V1625" s="36"/>
      <c r="W1625" s="129"/>
      <c r="X1625" s="36"/>
      <c r="Y1625" s="36"/>
      <c r="Z1625" s="36"/>
      <c r="AA1625" s="125" t="s">
        <v>121</v>
      </c>
      <c r="AB1625" s="173">
        <v>45610</v>
      </c>
      <c r="AC1625" s="119">
        <v>202401386</v>
      </c>
      <c r="AD1625" s="36">
        <f t="shared" si="185"/>
        <v>5500502907</v>
      </c>
      <c r="AE1625" s="36" t="str">
        <f t="shared" si="186"/>
        <v>R900601678</v>
      </c>
      <c r="AF1625" s="36">
        <v>10</v>
      </c>
      <c r="AG1625" s="120">
        <f t="shared" si="184"/>
        <v>173.79999999999998</v>
      </c>
      <c r="AH1625" s="36"/>
      <c r="AI1625" s="124"/>
      <c r="AJ1625" s="122" t="s">
        <v>2401</v>
      </c>
      <c r="AK1625" s="129" t="str">
        <f t="shared" ca="1" si="183"/>
        <v>Late</v>
      </c>
      <c r="AL1625" s="268" t="str">
        <f t="shared" si="182"/>
        <v>September</v>
      </c>
      <c r="AM1625" s="133">
        <f>YEAR(Table1[[#This Row],[ETA
As requested
dd.mm.yyyy]])</f>
        <v>2024</v>
      </c>
    </row>
    <row r="1626" spans="1:39" hidden="1">
      <c r="A1626" s="123" t="s">
        <v>25</v>
      </c>
      <c r="B1626" s="36" t="s">
        <v>1170</v>
      </c>
      <c r="C1626" s="117">
        <v>5500502907</v>
      </c>
      <c r="D1626" s="165">
        <v>45572</v>
      </c>
      <c r="E1626" s="117" t="s">
        <v>228</v>
      </c>
      <c r="F1626" s="36" t="str">
        <f>IFERROR(VLOOKUP(Table1[[#This Row],[Part Number]],DATABASE_FG!$C$6:D11615,2,FALSE)," ")</f>
        <v>THROTTLE SCREW     2FRM 16-3X/</v>
      </c>
      <c r="G1626" s="117" t="str">
        <f>IFERROR(_xlfn.XLOOKUP(Table1[[#This Row],[Part Number]],Table3[Part number],Table3[Drawing
 Revision]),"")</f>
        <v>AI</v>
      </c>
      <c r="H1626" s="118" cm="1">
        <f t="array" ref="H1626">IFERROR(INDEX(PDB!$C:$AT,MATCH(E1626,PDB!$B:$B,0),MATCH(YEAR(K1626),0+PDB!$C$1:$AT$1,0)),"")</f>
        <v>17.38</v>
      </c>
      <c r="I1626" s="36"/>
      <c r="J1626" s="125">
        <f>IFERROR(Table1[[#This Row],[Quantity]]*Table1[[#This Row],[Price/Unit
EUR]]," ")</f>
        <v>0</v>
      </c>
      <c r="K1626" s="126">
        <v>45604</v>
      </c>
      <c r="L1626" s="36">
        <f>WEEKNUM(Table1[[#This Row],[ETA
As requested
dd.mm.yyyy]])</f>
        <v>45</v>
      </c>
      <c r="M1626" s="36">
        <f>YEAR(Table1[[#This Row],[ETA
As requested
dd.mm.yyyy]])</f>
        <v>2024</v>
      </c>
      <c r="N1626" s="36">
        <f>IFERROR(INDEX(DATABASE_FG!$H$5:$H$367, MATCH(E1626, DATABASE_FG!$C$5:$C$367, 0)), " ")</f>
        <v>35</v>
      </c>
      <c r="O1626" s="129" t="str">
        <f>IF(E1626&lt;&gt;"", _xlfn.XLOOKUP(E1626, DATABASE_FG!C:C, DATABASE_FG!F:F), " ")</f>
        <v>Drosselboltzen</v>
      </c>
      <c r="P1626" s="129">
        <f>IFERROR(INDEX(DATABASE_FG!$G$5:$G$367, MATCH(E1626, DATABASE_FG!$C$5:$C$367, 0)), "Not Found")</f>
        <v>240</v>
      </c>
      <c r="Q1626" s="36">
        <v>42</v>
      </c>
      <c r="R1626" s="125" t="s">
        <v>678</v>
      </c>
      <c r="S1626" s="123">
        <f>IFERROR(INDEX(DATABASE_FG!$L$5:$L$367, MATCH(E1626, DATABASE_FG!$C$5:$C$367, 0)), " ")</f>
        <v>40</v>
      </c>
      <c r="T1626" s="36" t="s">
        <v>677</v>
      </c>
      <c r="U1626" s="36"/>
      <c r="V1626" s="36"/>
      <c r="W1626" s="129"/>
      <c r="X1626" s="36"/>
      <c r="Y1626" s="36"/>
      <c r="Z1626" s="36"/>
      <c r="AA1626" s="125" t="s">
        <v>121</v>
      </c>
      <c r="AB1626" s="173">
        <v>45688</v>
      </c>
      <c r="AC1626" s="119" t="s">
        <v>2577</v>
      </c>
      <c r="AD1626" s="36">
        <f t="shared" si="185"/>
        <v>5500502907</v>
      </c>
      <c r="AE1626" s="36" t="str">
        <f t="shared" si="186"/>
        <v>R900601678</v>
      </c>
      <c r="AF1626" s="36">
        <v>50</v>
      </c>
      <c r="AG1626" s="120">
        <f t="shared" si="184"/>
        <v>869</v>
      </c>
      <c r="AH1626" s="36"/>
      <c r="AI1626" s="124"/>
      <c r="AJ1626" s="122" t="s">
        <v>2578</v>
      </c>
      <c r="AK1626" s="129" t="str">
        <f t="shared" ca="1" si="183"/>
        <v>Late</v>
      </c>
      <c r="AL1626" s="268" t="str">
        <f t="shared" si="182"/>
        <v>November</v>
      </c>
      <c r="AM1626" s="133">
        <f>YEAR(Table1[[#This Row],[ETA
As requested
dd.mm.yyyy]])</f>
        <v>2024</v>
      </c>
    </row>
    <row r="1627" spans="1:39" hidden="1">
      <c r="A1627" s="123" t="s">
        <v>25</v>
      </c>
      <c r="B1627" s="36" t="s">
        <v>1170</v>
      </c>
      <c r="C1627" s="117">
        <v>5500502907</v>
      </c>
      <c r="D1627" s="165">
        <v>45572</v>
      </c>
      <c r="E1627" s="117" t="s">
        <v>228</v>
      </c>
      <c r="F1627" s="36" t="str">
        <f>IFERROR(VLOOKUP(Table1[[#This Row],[Part Number]],DATABASE_FG!$C$6:D11616,2,FALSE)," ")</f>
        <v>THROTTLE SCREW     2FRM 16-3X/</v>
      </c>
      <c r="G1627" s="117" t="str">
        <f>IFERROR(_xlfn.XLOOKUP(Table1[[#This Row],[Part Number]],Table3[Part number],Table3[Drawing
 Revision]),"")</f>
        <v>AI</v>
      </c>
      <c r="H1627" s="118" cm="1">
        <f t="array" ref="H1627">IFERROR(INDEX(PDB!$C:$AT,MATCH(E1627,PDB!$B:$B,0),MATCH(YEAR(K1627),0+PDB!$C$1:$AT$1,0)),"")</f>
        <v>17.38</v>
      </c>
      <c r="I1627" s="36">
        <v>92</v>
      </c>
      <c r="J1627" s="125">
        <f>IFERROR(Table1[[#This Row],[Quantity]]*Table1[[#This Row],[Price/Unit
EUR]]," ")</f>
        <v>1598.9599999999998</v>
      </c>
      <c r="K1627" s="126">
        <v>45606</v>
      </c>
      <c r="L1627" s="36">
        <f>WEEKNUM(Table1[[#This Row],[ETA
As requested
dd.mm.yyyy]])</f>
        <v>46</v>
      </c>
      <c r="M1627" s="36">
        <f>YEAR(Table1[[#This Row],[ETA
As requested
dd.mm.yyyy]])</f>
        <v>2024</v>
      </c>
      <c r="N1627" s="36">
        <f>IFERROR(INDEX(DATABASE_FG!$H$5:$H$367, MATCH(E1627, DATABASE_FG!$C$5:$C$367, 0)), " ")</f>
        <v>35</v>
      </c>
      <c r="O1627" s="129" t="str">
        <f>IF(E1627&lt;&gt;"", _xlfn.XLOOKUP(E1627, DATABASE_FG!C:C, DATABASE_FG!F:F), " ")</f>
        <v>Drosselboltzen</v>
      </c>
      <c r="P1627" s="129">
        <f>IFERROR(INDEX(DATABASE_FG!$G$5:$G$367, MATCH(E1627, DATABASE_FG!$C$5:$C$367, 0)), "Not Found")</f>
        <v>240</v>
      </c>
      <c r="Q1627" s="36">
        <v>42</v>
      </c>
      <c r="R1627" s="125" t="s">
        <v>678</v>
      </c>
      <c r="S1627" s="123">
        <f>IFERROR(INDEX(DATABASE_FG!$L$5:$L$367, MATCH(E1627, DATABASE_FG!$C$5:$C$367, 0)), " ")</f>
        <v>40</v>
      </c>
      <c r="T1627" s="36" t="s">
        <v>677</v>
      </c>
      <c r="U1627" s="36"/>
      <c r="V1627" s="36"/>
      <c r="W1627" s="129"/>
      <c r="X1627" s="36"/>
      <c r="Y1627" s="36"/>
      <c r="Z1627" s="36"/>
      <c r="AA1627" s="125" t="s">
        <v>121</v>
      </c>
      <c r="AB1627" s="173">
        <v>45610</v>
      </c>
      <c r="AC1627" s="119">
        <v>202401386</v>
      </c>
      <c r="AD1627" s="36">
        <f t="shared" si="185"/>
        <v>5500502907</v>
      </c>
      <c r="AE1627" s="36" t="str">
        <f t="shared" si="186"/>
        <v>R900601678</v>
      </c>
      <c r="AF1627" s="36">
        <v>92</v>
      </c>
      <c r="AG1627" s="120">
        <f t="shared" si="184"/>
        <v>1598.9599999999998</v>
      </c>
      <c r="AH1627" s="36"/>
      <c r="AI1627" s="124"/>
      <c r="AJ1627" s="122" t="s">
        <v>2401</v>
      </c>
      <c r="AK1627" s="129" t="str">
        <f t="shared" ca="1" si="183"/>
        <v>Late</v>
      </c>
      <c r="AL1627" s="268" t="str">
        <f t="shared" si="182"/>
        <v>November</v>
      </c>
      <c r="AM1627" s="133">
        <f>YEAR(Table1[[#This Row],[ETA
As requested
dd.mm.yyyy]])</f>
        <v>2024</v>
      </c>
    </row>
    <row r="1628" spans="1:39" hidden="1">
      <c r="A1628" s="123" t="s">
        <v>25</v>
      </c>
      <c r="B1628" s="36" t="s">
        <v>1170</v>
      </c>
      <c r="C1628" s="117">
        <v>5500502907</v>
      </c>
      <c r="D1628" s="165">
        <v>45572</v>
      </c>
      <c r="E1628" s="117" t="s">
        <v>228</v>
      </c>
      <c r="F1628" s="36" t="str">
        <f>IFERROR(VLOOKUP(Table1[[#This Row],[Part Number]],DATABASE_FG!$C$6:D11617,2,FALSE)," ")</f>
        <v>THROTTLE SCREW     2FRM 16-3X/</v>
      </c>
      <c r="G1628" s="117" t="str">
        <f>IFERROR(_xlfn.XLOOKUP(Table1[[#This Row],[Part Number]],Table3[Part number],Table3[Drawing
 Revision]),"")</f>
        <v>AI</v>
      </c>
      <c r="H1628" s="118" cm="1">
        <f t="array" ref="H1628">IFERROR(INDEX(PDB!$C:$AT,MATCH(E1628,PDB!$B:$B,0),MATCH(YEAR(K1628),0+PDB!$C$1:$AT$1,0)),"")</f>
        <v>17.38</v>
      </c>
      <c r="I1628" s="36">
        <v>145</v>
      </c>
      <c r="J1628" s="125">
        <f>IFERROR(Table1[[#This Row],[Quantity]]*Table1[[#This Row],[Price/Unit
EUR]]," ")</f>
        <v>2520.1</v>
      </c>
      <c r="K1628" s="126">
        <v>45606</v>
      </c>
      <c r="L1628" s="36">
        <f>WEEKNUM(Table1[[#This Row],[ETA
As requested
dd.mm.yyyy]])</f>
        <v>46</v>
      </c>
      <c r="M1628" s="36">
        <f>YEAR(Table1[[#This Row],[ETA
As requested
dd.mm.yyyy]])</f>
        <v>2024</v>
      </c>
      <c r="N1628" s="36">
        <f>IFERROR(INDEX(DATABASE_FG!$H$5:$H$367, MATCH(E1628, DATABASE_FG!$C$5:$C$367, 0)), " ")</f>
        <v>35</v>
      </c>
      <c r="O1628" s="129" t="str">
        <f>IF(E1628&lt;&gt;"", _xlfn.XLOOKUP(E1628, DATABASE_FG!C:C, DATABASE_FG!F:F), " ")</f>
        <v>Drosselboltzen</v>
      </c>
      <c r="P1628" s="129">
        <f>IFERROR(INDEX(DATABASE_FG!$G$5:$G$367, MATCH(E1628, DATABASE_FG!$C$5:$C$367, 0)), "Not Found")</f>
        <v>240</v>
      </c>
      <c r="Q1628" s="36">
        <v>42</v>
      </c>
      <c r="R1628" s="125" t="s">
        <v>678</v>
      </c>
      <c r="S1628" s="123">
        <f>IFERROR(INDEX(DATABASE_FG!$L$5:$L$367, MATCH(E1628, DATABASE_FG!$C$5:$C$367, 0)), " ")</f>
        <v>40</v>
      </c>
      <c r="T1628" s="36" t="s">
        <v>677</v>
      </c>
      <c r="U1628" s="36"/>
      <c r="V1628" s="36"/>
      <c r="W1628" s="129"/>
      <c r="X1628" s="36"/>
      <c r="Y1628" s="36"/>
      <c r="Z1628" s="36"/>
      <c r="AA1628" s="125" t="s">
        <v>121</v>
      </c>
      <c r="AB1628" s="173">
        <v>45614</v>
      </c>
      <c r="AC1628" s="119">
        <v>202401395</v>
      </c>
      <c r="AD1628" s="36">
        <f t="shared" si="185"/>
        <v>5500502907</v>
      </c>
      <c r="AE1628" s="36" t="str">
        <f t="shared" si="186"/>
        <v>R900601678</v>
      </c>
      <c r="AF1628" s="36">
        <v>145</v>
      </c>
      <c r="AG1628" s="120">
        <f t="shared" si="184"/>
        <v>2520.1</v>
      </c>
      <c r="AH1628" s="36"/>
      <c r="AI1628" s="124"/>
      <c r="AJ1628" s="122" t="s">
        <v>2581</v>
      </c>
      <c r="AK1628" s="129" t="str">
        <f t="shared" ca="1" si="183"/>
        <v>Late</v>
      </c>
      <c r="AL1628" s="268" t="str">
        <f t="shared" si="182"/>
        <v>November</v>
      </c>
      <c r="AM1628" s="133">
        <f>YEAR(Table1[[#This Row],[ETA
As requested
dd.mm.yyyy]])</f>
        <v>2024</v>
      </c>
    </row>
    <row r="1629" spans="1:39" hidden="1">
      <c r="A1629" s="123" t="s">
        <v>25</v>
      </c>
      <c r="B1629" s="36" t="s">
        <v>1170</v>
      </c>
      <c r="C1629" s="117">
        <v>5500502907</v>
      </c>
      <c r="D1629" s="165">
        <v>45572</v>
      </c>
      <c r="E1629" s="117" t="s">
        <v>228</v>
      </c>
      <c r="F1629" s="36" t="str">
        <f>IFERROR(VLOOKUP(Table1[[#This Row],[Part Number]],DATABASE_FG!$C$6:D11618,2,FALSE)," ")</f>
        <v>THROTTLE SCREW     2FRM 16-3X/</v>
      </c>
      <c r="G1629" s="117" t="str">
        <f>IFERROR(_xlfn.XLOOKUP(Table1[[#This Row],[Part Number]],Table3[Part number],Table3[Drawing
 Revision]),"")</f>
        <v>AI</v>
      </c>
      <c r="H1629" s="118" cm="1">
        <f t="array" ref="H1629">IFERROR(INDEX(PDB!$C:$AT,MATCH(E1629,PDB!$B:$B,0),MATCH(YEAR(K1629),0+PDB!$C$1:$AT$1,0)),"")</f>
        <v>17.38</v>
      </c>
      <c r="I1629" s="36">
        <v>3</v>
      </c>
      <c r="J1629" s="125">
        <f>IFERROR(Table1[[#This Row],[Quantity]]*Table1[[#This Row],[Price/Unit
EUR]]," ")</f>
        <v>52.14</v>
      </c>
      <c r="K1629" s="126">
        <v>45606</v>
      </c>
      <c r="L1629" s="36">
        <f>WEEKNUM(Table1[[#This Row],[ETA
As requested
dd.mm.yyyy]])</f>
        <v>46</v>
      </c>
      <c r="M1629" s="36">
        <f>YEAR(Table1[[#This Row],[ETA
As requested
dd.mm.yyyy]])</f>
        <v>2024</v>
      </c>
      <c r="N1629" s="36">
        <f>IFERROR(INDEX(DATABASE_FG!$H$5:$H$367, MATCH(E1629, DATABASE_FG!$C$5:$C$367, 0)), " ")</f>
        <v>35</v>
      </c>
      <c r="O1629" s="129" t="str">
        <f>IF(E1629&lt;&gt;"", _xlfn.XLOOKUP(E1629, DATABASE_FG!C:C, DATABASE_FG!F:F), " ")</f>
        <v>Drosselboltzen</v>
      </c>
      <c r="P1629" s="129">
        <f>IFERROR(INDEX(DATABASE_FG!$G$5:$G$367, MATCH(E1629, DATABASE_FG!$C$5:$C$367, 0)), "Not Found")</f>
        <v>240</v>
      </c>
      <c r="Q1629" s="36">
        <v>42</v>
      </c>
      <c r="R1629" s="125" t="s">
        <v>678</v>
      </c>
      <c r="S1629" s="123">
        <f>IFERROR(INDEX(DATABASE_FG!$L$5:$L$367, MATCH(E1629, DATABASE_FG!$C$5:$C$367, 0)), " ")</f>
        <v>40</v>
      </c>
      <c r="T1629" s="36" t="s">
        <v>677</v>
      </c>
      <c r="U1629" s="36"/>
      <c r="V1629" s="36"/>
      <c r="W1629" s="129"/>
      <c r="X1629" s="36"/>
      <c r="Y1629" s="36"/>
      <c r="Z1629" s="36"/>
      <c r="AA1629" s="125" t="s">
        <v>121</v>
      </c>
      <c r="AB1629" s="173">
        <v>45618</v>
      </c>
      <c r="AC1629" s="119">
        <v>202401417</v>
      </c>
      <c r="AD1629" s="36">
        <f t="shared" si="185"/>
        <v>5500502907</v>
      </c>
      <c r="AE1629" s="36" t="str">
        <f t="shared" si="186"/>
        <v>R900601678</v>
      </c>
      <c r="AF1629" s="36">
        <v>3</v>
      </c>
      <c r="AG1629" s="120">
        <f t="shared" si="184"/>
        <v>52.14</v>
      </c>
      <c r="AH1629" s="36"/>
      <c r="AI1629" s="124"/>
      <c r="AJ1629" s="122" t="s">
        <v>2582</v>
      </c>
      <c r="AK1629" s="129" t="str">
        <f t="shared" ca="1" si="183"/>
        <v>Late</v>
      </c>
      <c r="AL1629" s="268" t="str">
        <f t="shared" si="182"/>
        <v>November</v>
      </c>
      <c r="AM1629" s="133">
        <f>YEAR(Table1[[#This Row],[ETA
As requested
dd.mm.yyyy]])</f>
        <v>2024</v>
      </c>
    </row>
    <row r="1630" spans="1:39" hidden="1">
      <c r="A1630" s="123" t="s">
        <v>25</v>
      </c>
      <c r="B1630" s="36" t="s">
        <v>1170</v>
      </c>
      <c r="C1630" s="117">
        <v>5500502907</v>
      </c>
      <c r="D1630" s="165">
        <v>45572</v>
      </c>
      <c r="E1630" s="117" t="s">
        <v>228</v>
      </c>
      <c r="F1630" s="36" t="str">
        <f>IFERROR(VLOOKUP(Table1[[#This Row],[Part Number]],DATABASE_FG!$C$6:D11619,2,FALSE)," ")</f>
        <v>THROTTLE SCREW     2FRM 16-3X/</v>
      </c>
      <c r="G1630" s="117" t="str">
        <f>IFERROR(_xlfn.XLOOKUP(Table1[[#This Row],[Part Number]],Table3[Part number],Table3[Drawing
 Revision]),"")</f>
        <v>AI</v>
      </c>
      <c r="H1630" s="118" cm="1">
        <f t="array" ref="H1630">IFERROR(INDEX(PDB!$C:$AT,MATCH(E1630,PDB!$B:$B,0),MATCH(YEAR(K1630),0+PDB!$C$1:$AT$1,0)),"")</f>
        <v>17.38</v>
      </c>
      <c r="I1630" s="36">
        <v>190</v>
      </c>
      <c r="J1630" s="125">
        <f>IFERROR(Table1[[#This Row],[Quantity]]*Table1[[#This Row],[Price/Unit
EUR]]," ")</f>
        <v>3302.2</v>
      </c>
      <c r="K1630" s="126">
        <v>45625</v>
      </c>
      <c r="L1630" s="36">
        <f>WEEKNUM(Table1[[#This Row],[ETA
As requested
dd.mm.yyyy]])</f>
        <v>48</v>
      </c>
      <c r="M1630" s="36">
        <f>YEAR(Table1[[#This Row],[ETA
As requested
dd.mm.yyyy]])</f>
        <v>2024</v>
      </c>
      <c r="N1630" s="36">
        <f>IFERROR(INDEX(DATABASE_FG!$H$5:$H$367, MATCH(E1630, DATABASE_FG!$C$5:$C$367, 0)), " ")</f>
        <v>35</v>
      </c>
      <c r="O1630" s="129" t="str">
        <f>IF(E1630&lt;&gt;"", _xlfn.XLOOKUP(E1630, DATABASE_FG!C:C, DATABASE_FG!F:F), " ")</f>
        <v>Drosselboltzen</v>
      </c>
      <c r="P1630" s="129">
        <f>IFERROR(INDEX(DATABASE_FG!$G$5:$G$367, MATCH(E1630, DATABASE_FG!$C$5:$C$367, 0)), "Not Found")</f>
        <v>240</v>
      </c>
      <c r="Q1630" s="36">
        <v>43</v>
      </c>
      <c r="R1630" s="125" t="s">
        <v>678</v>
      </c>
      <c r="S1630" s="123">
        <f>IFERROR(INDEX(DATABASE_FG!$L$5:$L$367, MATCH(E1630, DATABASE_FG!$C$5:$C$367, 0)), " ")</f>
        <v>40</v>
      </c>
      <c r="T1630" s="36" t="s">
        <v>677</v>
      </c>
      <c r="U1630" s="36"/>
      <c r="V1630" s="36"/>
      <c r="W1630" s="129"/>
      <c r="X1630" s="36"/>
      <c r="Y1630" s="36"/>
      <c r="Z1630" s="36"/>
      <c r="AA1630" s="125" t="s">
        <v>121</v>
      </c>
      <c r="AB1630" s="173">
        <v>45618</v>
      </c>
      <c r="AC1630" s="119">
        <v>202401417</v>
      </c>
      <c r="AD1630" s="36">
        <f t="shared" si="185"/>
        <v>5500502907</v>
      </c>
      <c r="AE1630" s="36" t="str">
        <f t="shared" si="186"/>
        <v>R900601678</v>
      </c>
      <c r="AF1630" s="36">
        <v>190</v>
      </c>
      <c r="AG1630" s="120">
        <f t="shared" si="184"/>
        <v>3302.2</v>
      </c>
      <c r="AH1630" s="36"/>
      <c r="AI1630" s="124"/>
      <c r="AJ1630" s="122" t="s">
        <v>2582</v>
      </c>
      <c r="AK1630" s="129" t="str">
        <f t="shared" ca="1" si="183"/>
        <v>On Time</v>
      </c>
      <c r="AL1630" s="268" t="str">
        <f t="shared" si="182"/>
        <v>November</v>
      </c>
      <c r="AM1630" s="133">
        <f>YEAR(Table1[[#This Row],[ETA
As requested
dd.mm.yyyy]])</f>
        <v>2024</v>
      </c>
    </row>
    <row r="1631" spans="1:39" hidden="1">
      <c r="A1631" s="123" t="s">
        <v>25</v>
      </c>
      <c r="B1631" s="36" t="s">
        <v>1170</v>
      </c>
      <c r="C1631" s="117">
        <v>5500502907</v>
      </c>
      <c r="D1631" s="165">
        <v>45572</v>
      </c>
      <c r="E1631" s="117" t="s">
        <v>228</v>
      </c>
      <c r="F1631" s="36" t="str">
        <f>IFERROR(VLOOKUP(Table1[[#This Row],[Part Number]],DATABASE_FG!$C$6:D11620,2,FALSE)," ")</f>
        <v>THROTTLE SCREW     2FRM 16-3X/</v>
      </c>
      <c r="G1631" s="117" t="str">
        <f>IFERROR(_xlfn.XLOOKUP(Table1[[#This Row],[Part Number]],Table3[Part number],Table3[Drawing
 Revision]),"")</f>
        <v>AI</v>
      </c>
      <c r="H1631" s="118" cm="1">
        <f t="array" ref="H1631">IFERROR(INDEX(PDB!$C:$AT,MATCH(E1631,PDB!$B:$B,0),MATCH(YEAR(K1631),0+PDB!$C$1:$AT$1,0)),"")</f>
        <v>17.38</v>
      </c>
      <c r="I1631" s="36">
        <v>80</v>
      </c>
      <c r="J1631" s="125">
        <f>IFERROR(Table1[[#This Row],[Quantity]]*Table1[[#This Row],[Price/Unit
EUR]]," ")</f>
        <v>1390.3999999999999</v>
      </c>
      <c r="K1631" s="126">
        <v>45674</v>
      </c>
      <c r="L1631" s="36">
        <f>WEEKNUM(Table1[[#This Row],[ETA
As requested
dd.mm.yyyy]])</f>
        <v>3</v>
      </c>
      <c r="M1631" s="36">
        <f>YEAR(Table1[[#This Row],[ETA
As requested
dd.mm.yyyy]])</f>
        <v>2025</v>
      </c>
      <c r="N1631" s="36">
        <f>IFERROR(INDEX(DATABASE_FG!$H$5:$H$367, MATCH(E1631, DATABASE_FG!$C$5:$C$367, 0)), " ")</f>
        <v>35</v>
      </c>
      <c r="O1631" s="129" t="str">
        <f>IF(E1631&lt;&gt;"", _xlfn.XLOOKUP(E1631, DATABASE_FG!C:C, DATABASE_FG!F:F), " ")</f>
        <v>Drosselboltzen</v>
      </c>
      <c r="P1631" s="129">
        <f>IFERROR(INDEX(DATABASE_FG!$G$5:$G$367, MATCH(E1631, DATABASE_FG!$C$5:$C$367, 0)), "Not Found")</f>
        <v>240</v>
      </c>
      <c r="Q1631" s="36">
        <v>42</v>
      </c>
      <c r="R1631" s="125" t="s">
        <v>678</v>
      </c>
      <c r="S1631" s="123">
        <f>IFERROR(INDEX(DATABASE_FG!$L$5:$L$367, MATCH(E1631, DATABASE_FG!$C$5:$C$367, 0)), " ")</f>
        <v>40</v>
      </c>
      <c r="T1631" s="36" t="s">
        <v>677</v>
      </c>
      <c r="U1631" s="36"/>
      <c r="V1631" s="36"/>
      <c r="W1631" s="129"/>
      <c r="X1631" s="36"/>
      <c r="Y1631" s="36"/>
      <c r="Z1631" s="36"/>
      <c r="AA1631" s="125" t="s">
        <v>121</v>
      </c>
      <c r="AB1631" s="172">
        <v>45688</v>
      </c>
      <c r="AC1631" s="119" t="s">
        <v>2577</v>
      </c>
      <c r="AD1631" s="36">
        <f t="shared" si="185"/>
        <v>5500502907</v>
      </c>
      <c r="AE1631" s="36" t="str">
        <f t="shared" si="186"/>
        <v>R900601678</v>
      </c>
      <c r="AF1631" s="36">
        <v>80</v>
      </c>
      <c r="AG1631" s="120">
        <f t="shared" si="184"/>
        <v>1390.3999999999999</v>
      </c>
      <c r="AH1631" s="36"/>
      <c r="AI1631" s="124"/>
      <c r="AJ1631" s="122" t="s">
        <v>2578</v>
      </c>
      <c r="AK1631" s="129" t="str">
        <f t="shared" ca="1" si="183"/>
        <v>Late</v>
      </c>
      <c r="AL1631" s="268" t="str">
        <f t="shared" si="182"/>
        <v>January</v>
      </c>
      <c r="AM1631" s="133">
        <f>YEAR(Table1[[#This Row],[ETA
As requested
dd.mm.yyyy]])</f>
        <v>2025</v>
      </c>
    </row>
    <row r="1632" spans="1:39" hidden="1">
      <c r="A1632" s="123" t="s">
        <v>25</v>
      </c>
      <c r="B1632" s="36" t="s">
        <v>1170</v>
      </c>
      <c r="C1632" s="117">
        <v>5500502907</v>
      </c>
      <c r="D1632" s="165">
        <v>45572</v>
      </c>
      <c r="E1632" s="117" t="s">
        <v>228</v>
      </c>
      <c r="F1632" s="36" t="str">
        <f>IFERROR(VLOOKUP(Table1[[#This Row],[Part Number]],DATABASE_FG!$C$6:D11621,2,FALSE)," ")</f>
        <v>THROTTLE SCREW     2FRM 16-3X/</v>
      </c>
      <c r="G1632" s="117" t="str">
        <f>IFERROR(_xlfn.XLOOKUP(Table1[[#This Row],[Part Number]],Table3[Part number],Table3[Drawing
 Revision]),"")</f>
        <v>AI</v>
      </c>
      <c r="H1632" s="118" cm="1">
        <f t="array" ref="H1632">IFERROR(INDEX(PDB!$C:$AT,MATCH(E1632,PDB!$B:$B,0),MATCH(YEAR(K1632),0+PDB!$C$1:$AT$1,0)),"")</f>
        <v>17.38</v>
      </c>
      <c r="I1632" s="36">
        <v>6</v>
      </c>
      <c r="J1632" s="125">
        <f>IFERROR(Table1[[#This Row],[Quantity]]*Table1[[#This Row],[Price/Unit
EUR]]," ")</f>
        <v>104.28</v>
      </c>
      <c r="K1632" s="126">
        <v>45674</v>
      </c>
      <c r="L1632" s="36">
        <f>WEEKNUM(Table1[[#This Row],[ETA
As requested
dd.mm.yyyy]])</f>
        <v>3</v>
      </c>
      <c r="M1632" s="36">
        <f>YEAR(Table1[[#This Row],[ETA
As requested
dd.mm.yyyy]])</f>
        <v>2025</v>
      </c>
      <c r="N1632" s="36">
        <f>IFERROR(INDEX(DATABASE_FG!$H$5:$H$367, MATCH(E1632, DATABASE_FG!$C$5:$C$367, 0)), " ")</f>
        <v>35</v>
      </c>
      <c r="O1632" s="129" t="str">
        <f>IF(E1632&lt;&gt;"", _xlfn.XLOOKUP(E1632, DATABASE_FG!C:C, DATABASE_FG!F:F), " ")</f>
        <v>Drosselboltzen</v>
      </c>
      <c r="P1632" s="129">
        <f>IFERROR(INDEX(DATABASE_FG!$G$5:$G$367, MATCH(E1632, DATABASE_FG!$C$5:$C$367, 0)), "Not Found")</f>
        <v>240</v>
      </c>
      <c r="Q1632" s="36">
        <v>42</v>
      </c>
      <c r="R1632" s="125" t="s">
        <v>678</v>
      </c>
      <c r="S1632" s="123">
        <f>IFERROR(INDEX(DATABASE_FG!$L$5:$L$367, MATCH(E1632, DATABASE_FG!$C$5:$C$367, 0)), " ")</f>
        <v>40</v>
      </c>
      <c r="T1632" s="36" t="s">
        <v>677</v>
      </c>
      <c r="U1632" s="36"/>
      <c r="V1632" s="36"/>
      <c r="W1632" s="129"/>
      <c r="X1632" s="36"/>
      <c r="Y1632" s="36"/>
      <c r="Z1632" s="36"/>
      <c r="AA1632" s="125" t="s">
        <v>121</v>
      </c>
      <c r="AB1632" s="172">
        <v>45688</v>
      </c>
      <c r="AC1632" s="119" t="s">
        <v>2733</v>
      </c>
      <c r="AD1632" s="36">
        <f t="shared" si="185"/>
        <v>5500502907</v>
      </c>
      <c r="AE1632" s="36" t="str">
        <f t="shared" si="186"/>
        <v>R900601678</v>
      </c>
      <c r="AF1632" s="36">
        <v>6</v>
      </c>
      <c r="AG1632" s="120">
        <f t="shared" si="184"/>
        <v>104.28</v>
      </c>
      <c r="AH1632" s="36"/>
      <c r="AI1632" s="124"/>
      <c r="AJ1632" s="122" t="s">
        <v>2734</v>
      </c>
      <c r="AK1632" s="129" t="str">
        <f t="shared" ca="1" si="183"/>
        <v>Late</v>
      </c>
      <c r="AL1632" s="268" t="str">
        <f t="shared" si="182"/>
        <v>January</v>
      </c>
      <c r="AM1632" s="133">
        <f>YEAR(Table1[[#This Row],[ETA
As requested
dd.mm.yyyy]])</f>
        <v>2025</v>
      </c>
    </row>
    <row r="1633" spans="1:40" hidden="1">
      <c r="A1633" s="123" t="s">
        <v>25</v>
      </c>
      <c r="B1633" s="36" t="s">
        <v>1170</v>
      </c>
      <c r="C1633" s="117">
        <v>5500502907</v>
      </c>
      <c r="D1633" s="165">
        <v>45572</v>
      </c>
      <c r="E1633" s="117" t="s">
        <v>228</v>
      </c>
      <c r="F1633" s="36" t="str">
        <f>IFERROR(VLOOKUP(Table1[[#This Row],[Part Number]],DATABASE_FG!$C$6:D11622,2,FALSE)," ")</f>
        <v>THROTTLE SCREW     2FRM 16-3X/</v>
      </c>
      <c r="G1633" s="117" t="str">
        <f>IFERROR(_xlfn.XLOOKUP(Table1[[#This Row],[Part Number]],Table3[Part number],Table3[Drawing
 Revision]),"")</f>
        <v>AI</v>
      </c>
      <c r="H1633" s="118" cm="1">
        <f t="array" ref="H1633">IFERROR(INDEX(PDB!$C:$AT,MATCH(E1633,PDB!$B:$B,0),MATCH(YEAR(K1633),0+PDB!$C$1:$AT$1,0)),"")</f>
        <v>17.38</v>
      </c>
      <c r="I1633" s="36">
        <v>18</v>
      </c>
      <c r="J1633" s="125">
        <f>IFERROR(Table1[[#This Row],[Quantity]]*Table1[[#This Row],[Price/Unit
EUR]]," ")</f>
        <v>312.83999999999997</v>
      </c>
      <c r="K1633" s="126">
        <v>45674</v>
      </c>
      <c r="L1633" s="36">
        <f>WEEKNUM(Table1[[#This Row],[ETA
As requested
dd.mm.yyyy]])</f>
        <v>3</v>
      </c>
      <c r="M1633" s="36">
        <f>YEAR(Table1[[#This Row],[ETA
As requested
dd.mm.yyyy]])</f>
        <v>2025</v>
      </c>
      <c r="N1633" s="36">
        <f>IFERROR(INDEX(DATABASE_FG!$H$5:$H$367, MATCH(E1633, DATABASE_FG!$C$5:$C$367, 0)), " ")</f>
        <v>35</v>
      </c>
      <c r="O1633" s="129" t="str">
        <f>IF(E1633&lt;&gt;"", _xlfn.XLOOKUP(E1633, DATABASE_FG!C:C, DATABASE_FG!F:F), " ")</f>
        <v>Drosselboltzen</v>
      </c>
      <c r="P1633" s="129">
        <f>IFERROR(INDEX(DATABASE_FG!$G$5:$G$367, MATCH(E1633, DATABASE_FG!$C$5:$C$367, 0)), "Not Found")</f>
        <v>240</v>
      </c>
      <c r="Q1633" s="36">
        <v>42</v>
      </c>
      <c r="R1633" s="125" t="s">
        <v>678</v>
      </c>
      <c r="S1633" s="123">
        <f>IFERROR(INDEX(DATABASE_FG!$L$5:$L$367, MATCH(E1633, DATABASE_FG!$C$5:$C$367, 0)), " ")</f>
        <v>40</v>
      </c>
      <c r="T1633" s="36" t="s">
        <v>677</v>
      </c>
      <c r="U1633" s="36"/>
      <c r="V1633" s="36"/>
      <c r="W1633" s="129"/>
      <c r="X1633" s="36"/>
      <c r="Y1633" s="36"/>
      <c r="Z1633" s="36"/>
      <c r="AA1633" s="125" t="s">
        <v>121</v>
      </c>
      <c r="AB1633" s="172">
        <v>45688</v>
      </c>
      <c r="AC1633" s="119">
        <v>25145</v>
      </c>
      <c r="AD1633" s="36">
        <f t="shared" si="185"/>
        <v>5500502907</v>
      </c>
      <c r="AE1633" s="36" t="str">
        <f t="shared" si="186"/>
        <v>R900601678</v>
      </c>
      <c r="AF1633" s="36">
        <v>18</v>
      </c>
      <c r="AG1633" s="120">
        <f t="shared" si="184"/>
        <v>312.83999999999997</v>
      </c>
      <c r="AH1633" s="36"/>
      <c r="AI1633" s="124"/>
      <c r="AJ1633" s="122" t="s">
        <v>2735</v>
      </c>
      <c r="AK1633" s="129" t="str">
        <f t="shared" ca="1" si="183"/>
        <v>Late</v>
      </c>
      <c r="AL1633" s="268" t="str">
        <f t="shared" si="182"/>
        <v>January</v>
      </c>
      <c r="AM1633" s="133">
        <f>YEAR(Table1[[#This Row],[ETA
As requested
dd.mm.yyyy]])</f>
        <v>2025</v>
      </c>
    </row>
    <row r="1634" spans="1:40" hidden="1">
      <c r="A1634" s="123" t="s">
        <v>25</v>
      </c>
      <c r="B1634" s="36" t="s">
        <v>1170</v>
      </c>
      <c r="C1634" s="117">
        <v>5500502907</v>
      </c>
      <c r="D1634" s="165">
        <v>45572</v>
      </c>
      <c r="E1634" s="117" t="s">
        <v>228</v>
      </c>
      <c r="F1634" s="36" t="str">
        <f>IFERROR(VLOOKUP(Table1[[#This Row],[Part Number]],DATABASE_FG!$C$6:D11623,2,FALSE)," ")</f>
        <v>THROTTLE SCREW     2FRM 16-3X/</v>
      </c>
      <c r="G1634" s="117" t="str">
        <f>IFERROR(_xlfn.XLOOKUP(Table1[[#This Row],[Part Number]],Table3[Part number],Table3[Drawing
 Revision]),"")</f>
        <v>AI</v>
      </c>
      <c r="H1634" s="118" cm="1">
        <f t="array" ref="H1634">IFERROR(INDEX(PDB!$C:$AT,MATCH(E1634,PDB!$B:$B,0),MATCH(YEAR(K1634),0+PDB!$C$1:$AT$1,0)),"")</f>
        <v>17.38</v>
      </c>
      <c r="I1634" s="36">
        <v>120</v>
      </c>
      <c r="J1634" s="125">
        <f>IFERROR(Table1[[#This Row],[Quantity]]*Table1[[#This Row],[Price/Unit
EUR]]," ")</f>
        <v>2085.6</v>
      </c>
      <c r="K1634" s="126">
        <v>45674</v>
      </c>
      <c r="L1634" s="36">
        <f>WEEKNUM(Table1[[#This Row],[ETA
As requested
dd.mm.yyyy]])</f>
        <v>3</v>
      </c>
      <c r="M1634" s="36">
        <f>YEAR(Table1[[#This Row],[ETA
As requested
dd.mm.yyyy]])</f>
        <v>2025</v>
      </c>
      <c r="N1634" s="36">
        <f>IFERROR(INDEX(DATABASE_FG!$H$5:$H$367, MATCH(E1634, DATABASE_FG!$C$5:$C$367, 0)), " ")</f>
        <v>35</v>
      </c>
      <c r="O1634" s="129" t="str">
        <f>IF(E1634&lt;&gt;"", _xlfn.XLOOKUP(E1634, DATABASE_FG!C:C, DATABASE_FG!F:F), " ")</f>
        <v>Drosselboltzen</v>
      </c>
      <c r="P1634" s="129">
        <f>IFERROR(INDEX(DATABASE_FG!$G$5:$G$367, MATCH(E1634, DATABASE_FG!$C$5:$C$367, 0)), "Not Found")</f>
        <v>240</v>
      </c>
      <c r="Q1634" s="36">
        <v>42</v>
      </c>
      <c r="R1634" s="125" t="s">
        <v>678</v>
      </c>
      <c r="S1634" s="123">
        <f>IFERROR(INDEX(DATABASE_FG!$L$5:$L$367, MATCH(E1634, DATABASE_FG!$C$5:$C$367, 0)), " ")</f>
        <v>40</v>
      </c>
      <c r="T1634" s="36" t="s">
        <v>677</v>
      </c>
      <c r="U1634" s="36"/>
      <c r="V1634" s="36"/>
      <c r="W1634" s="129"/>
      <c r="X1634" s="36"/>
      <c r="Y1634" s="36"/>
      <c r="Z1634" s="36"/>
      <c r="AA1634" s="125" t="s">
        <v>121</v>
      </c>
      <c r="AB1634" s="172">
        <v>45719</v>
      </c>
      <c r="AC1634" s="119">
        <v>25300</v>
      </c>
      <c r="AD1634" s="36">
        <f t="shared" si="185"/>
        <v>5500502907</v>
      </c>
      <c r="AE1634" s="36" t="str">
        <f t="shared" si="186"/>
        <v>R900601678</v>
      </c>
      <c r="AF1634" s="36">
        <v>120</v>
      </c>
      <c r="AG1634" s="120">
        <f t="shared" si="184"/>
        <v>2085.6</v>
      </c>
      <c r="AH1634" s="36"/>
      <c r="AI1634" s="124"/>
      <c r="AJ1634" s="122" t="s">
        <v>2740</v>
      </c>
      <c r="AK1634" s="129" t="str">
        <f t="shared" ca="1" si="183"/>
        <v>Late</v>
      </c>
      <c r="AL1634" s="268" t="str">
        <f t="shared" si="182"/>
        <v>January</v>
      </c>
      <c r="AM1634" s="133">
        <f>YEAR(Table1[[#This Row],[ETA
As requested
dd.mm.yyyy]])</f>
        <v>2025</v>
      </c>
    </row>
    <row r="1635" spans="1:40" hidden="1">
      <c r="A1635" s="123" t="s">
        <v>25</v>
      </c>
      <c r="B1635" s="36" t="s">
        <v>1170</v>
      </c>
      <c r="C1635" s="117">
        <v>5500502907</v>
      </c>
      <c r="D1635" s="165">
        <v>45572</v>
      </c>
      <c r="E1635" s="117" t="s">
        <v>228</v>
      </c>
      <c r="F1635" s="36" t="str">
        <f>IFERROR(VLOOKUP(Table1[[#This Row],[Part Number]],DATABASE_FG!$C$6:D11624,2,FALSE)," ")</f>
        <v>THROTTLE SCREW     2FRM 16-3X/</v>
      </c>
      <c r="G1635" s="117" t="str">
        <f>IFERROR(_xlfn.XLOOKUP(Table1[[#This Row],[Part Number]],Table3[Part number],Table3[Drawing
 Revision]),"")</f>
        <v>AI</v>
      </c>
      <c r="H1635" s="118" cm="1">
        <f t="array" ref="H1635">IFERROR(INDEX(PDB!$C:$AT,MATCH(E1635,PDB!$B:$B,0),MATCH(YEAR(K1635),0+PDB!$C$1:$AT$1,0)),"")</f>
        <v>17.38</v>
      </c>
      <c r="I1635" s="36">
        <f>136-120</f>
        <v>16</v>
      </c>
      <c r="J1635" s="125">
        <f>IFERROR(Table1[[#This Row],[Quantity]]*Table1[[#This Row],[Price/Unit
EUR]]," ")</f>
        <v>278.08</v>
      </c>
      <c r="K1635" s="126">
        <v>45674</v>
      </c>
      <c r="L1635" s="36">
        <f>WEEKNUM(Table1[[#This Row],[ETA
As requested
dd.mm.yyyy]])</f>
        <v>3</v>
      </c>
      <c r="M1635" s="36">
        <f>YEAR(Table1[[#This Row],[ETA
As requested
dd.mm.yyyy]])</f>
        <v>2025</v>
      </c>
      <c r="N1635" s="36">
        <f>IFERROR(INDEX(DATABASE_FG!$H$5:$H$367, MATCH(E1635, DATABASE_FG!$C$5:$C$367, 0)), " ")</f>
        <v>35</v>
      </c>
      <c r="O1635" s="129" t="str">
        <f>IF(E1635&lt;&gt;"", _xlfn.XLOOKUP(E1635, DATABASE_FG!C:C, DATABASE_FG!F:F), " ")</f>
        <v>Drosselboltzen</v>
      </c>
      <c r="P1635" s="129">
        <f>IFERROR(INDEX(DATABASE_FG!$G$5:$G$367, MATCH(E1635, DATABASE_FG!$C$5:$C$367, 0)), "Not Found")</f>
        <v>240</v>
      </c>
      <c r="Q1635" s="36">
        <v>42</v>
      </c>
      <c r="R1635" s="125" t="s">
        <v>678</v>
      </c>
      <c r="S1635" s="123">
        <f>IFERROR(INDEX(DATABASE_FG!$L$5:$L$367, MATCH(E1635, DATABASE_FG!$C$5:$C$367, 0)), " ")</f>
        <v>40</v>
      </c>
      <c r="T1635" s="36" t="s">
        <v>677</v>
      </c>
      <c r="U1635" s="36"/>
      <c r="V1635" s="36"/>
      <c r="W1635" s="129"/>
      <c r="X1635" s="36"/>
      <c r="Y1635" s="36"/>
      <c r="Z1635" s="36"/>
      <c r="AA1635" s="125" t="s">
        <v>121</v>
      </c>
      <c r="AB1635" s="173">
        <v>45723</v>
      </c>
      <c r="AC1635" s="119">
        <v>25340</v>
      </c>
      <c r="AD1635" s="36">
        <f t="shared" si="185"/>
        <v>5500502907</v>
      </c>
      <c r="AE1635" s="36" t="str">
        <f t="shared" si="186"/>
        <v>R900601678</v>
      </c>
      <c r="AF1635" s="36">
        <v>16</v>
      </c>
      <c r="AG1635" s="120">
        <f t="shared" si="184"/>
        <v>278.08</v>
      </c>
      <c r="AH1635" s="36"/>
      <c r="AI1635" s="124"/>
      <c r="AJ1635" s="122" t="s">
        <v>2741</v>
      </c>
      <c r="AK1635" s="129" t="str">
        <f t="shared" ca="1" si="183"/>
        <v>Late</v>
      </c>
      <c r="AL1635" s="268" t="str">
        <f t="shared" si="182"/>
        <v>January</v>
      </c>
      <c r="AM1635" s="133">
        <f>YEAR(Table1[[#This Row],[ETA
As requested
dd.mm.yyyy]])</f>
        <v>2025</v>
      </c>
    </row>
    <row r="1636" spans="1:40" hidden="1">
      <c r="A1636" s="123" t="s">
        <v>25</v>
      </c>
      <c r="B1636" s="36" t="s">
        <v>1170</v>
      </c>
      <c r="C1636" s="117">
        <v>5500502907</v>
      </c>
      <c r="D1636" s="165">
        <v>45572</v>
      </c>
      <c r="E1636" s="117" t="s">
        <v>228</v>
      </c>
      <c r="F1636" s="36" t="str">
        <f>IFERROR(VLOOKUP(Table1[[#This Row],[Part Number]],DATABASE_FG!$C$6:D11625,2,FALSE)," ")</f>
        <v>THROTTLE SCREW     2FRM 16-3X/</v>
      </c>
      <c r="G1636" s="117" t="str">
        <f>IFERROR(_xlfn.XLOOKUP(Table1[[#This Row],[Part Number]],Table3[Part number],Table3[Drawing
 Revision]),"")</f>
        <v>AI</v>
      </c>
      <c r="H1636" s="118" cm="1">
        <f t="array" ref="H1636">IFERROR(INDEX(PDB!$C:$AT,MATCH(E1636,PDB!$B:$B,0),MATCH(YEAR(K1636),0+PDB!$C$1:$AT$1,0)),"")</f>
        <v>17.38</v>
      </c>
      <c r="I1636" s="36">
        <v>16</v>
      </c>
      <c r="J1636" s="125">
        <f>IFERROR(Table1[[#This Row],[Quantity]]*Table1[[#This Row],[Price/Unit
EUR]]," ")</f>
        <v>278.08</v>
      </c>
      <c r="K1636" s="126">
        <v>45674</v>
      </c>
      <c r="L1636" s="36">
        <f>WEEKNUM(Table1[[#This Row],[ETA
As requested
dd.mm.yyyy]])</f>
        <v>3</v>
      </c>
      <c r="M1636" s="36">
        <f>YEAR(Table1[[#This Row],[ETA
As requested
dd.mm.yyyy]])</f>
        <v>2025</v>
      </c>
      <c r="N1636" s="36">
        <f>IFERROR(INDEX(DATABASE_FG!$H$5:$H$367, MATCH(E1636, DATABASE_FG!$C$5:$C$367, 0)), " ")</f>
        <v>35</v>
      </c>
      <c r="O1636" s="129" t="str">
        <f>IF(E1636&lt;&gt;"", _xlfn.XLOOKUP(E1636, DATABASE_FG!C:C, DATABASE_FG!F:F), " ")</f>
        <v>Drosselboltzen</v>
      </c>
      <c r="P1636" s="129">
        <f>IFERROR(INDEX(DATABASE_FG!$G$5:$G$367, MATCH(E1636, DATABASE_FG!$C$5:$C$367, 0)), "Not Found")</f>
        <v>240</v>
      </c>
      <c r="Q1636" s="36">
        <v>41</v>
      </c>
      <c r="R1636" s="125" t="s">
        <v>678</v>
      </c>
      <c r="S1636" s="123">
        <f>IFERROR(INDEX(DATABASE_FG!$L$5:$L$367, MATCH(E1636, DATABASE_FG!$C$5:$C$367, 0)), " ")</f>
        <v>40</v>
      </c>
      <c r="T1636" s="36" t="s">
        <v>677</v>
      </c>
      <c r="U1636" s="36"/>
      <c r="V1636" s="36"/>
      <c r="W1636" s="129"/>
      <c r="X1636" s="36"/>
      <c r="Y1636" s="36"/>
      <c r="Z1636" s="36"/>
      <c r="AA1636" s="125" t="s">
        <v>121</v>
      </c>
      <c r="AB1636" s="172">
        <v>45730</v>
      </c>
      <c r="AC1636" s="119">
        <v>25379</v>
      </c>
      <c r="AD1636" s="36">
        <f t="shared" si="185"/>
        <v>5500502907</v>
      </c>
      <c r="AE1636" s="36" t="str">
        <f t="shared" si="186"/>
        <v>R900601678</v>
      </c>
      <c r="AF1636" s="36">
        <v>16</v>
      </c>
      <c r="AG1636" s="120">
        <f t="shared" si="184"/>
        <v>278.08</v>
      </c>
      <c r="AH1636" s="36"/>
      <c r="AI1636" s="124"/>
      <c r="AJ1636" s="122" t="s">
        <v>2742</v>
      </c>
      <c r="AK1636" s="129" t="str">
        <f t="shared" ca="1" si="183"/>
        <v>Late</v>
      </c>
      <c r="AL1636" s="268" t="str">
        <f t="shared" si="182"/>
        <v>January</v>
      </c>
      <c r="AM1636" s="133">
        <f>YEAR(Table1[[#This Row],[ETA
As requested
dd.mm.yyyy]])</f>
        <v>2025</v>
      </c>
    </row>
    <row r="1637" spans="1:40" hidden="1">
      <c r="A1637" s="123" t="s">
        <v>25</v>
      </c>
      <c r="B1637" s="36" t="s">
        <v>1170</v>
      </c>
      <c r="C1637" s="117">
        <v>5500502907</v>
      </c>
      <c r="D1637" s="165">
        <v>45572</v>
      </c>
      <c r="E1637" s="117" t="s">
        <v>228</v>
      </c>
      <c r="F1637" s="36" t="str">
        <f>IFERROR(VLOOKUP(Table1[[#This Row],[Part Number]],DATABASE_FG!$C$6:D11626,2,FALSE)," ")</f>
        <v>THROTTLE SCREW     2FRM 16-3X/</v>
      </c>
      <c r="G1637" s="117" t="str">
        <f>IFERROR(_xlfn.XLOOKUP(Table1[[#This Row],[Part Number]],Table3[Part number],Table3[Drawing
 Revision]),"")</f>
        <v>AI</v>
      </c>
      <c r="H1637" s="118" cm="1">
        <f t="array" ref="H1637">IFERROR(INDEX(PDB!$C:$AT,MATCH(E1637,PDB!$B:$B,0),MATCH(YEAR(K1637),0+PDB!$C$1:$AT$1,0)),"")</f>
        <v>17.38</v>
      </c>
      <c r="I1637" s="36">
        <v>240</v>
      </c>
      <c r="J1637" s="125">
        <f>IFERROR(Table1[[#This Row],[Quantity]]*Table1[[#This Row],[Price/Unit
EUR]]," ")</f>
        <v>4171.2</v>
      </c>
      <c r="K1637" s="126">
        <v>45695</v>
      </c>
      <c r="L1637" s="36">
        <f>WEEKNUM(Table1[[#This Row],[ETA
As requested
dd.mm.yyyy]])</f>
        <v>6</v>
      </c>
      <c r="M1637" s="36">
        <f>YEAR(Table1[[#This Row],[ETA
As requested
dd.mm.yyyy]])</f>
        <v>2025</v>
      </c>
      <c r="N1637" s="36">
        <f>IFERROR(INDEX(DATABASE_FG!$H$5:$H$367, MATCH(E1637, DATABASE_FG!$C$5:$C$367, 0)), " ")</f>
        <v>35</v>
      </c>
      <c r="O1637" s="129" t="str">
        <f>IF(E1637&lt;&gt;"", _xlfn.XLOOKUP(E1637, DATABASE_FG!C:C, DATABASE_FG!F:F), " ")</f>
        <v>Drosselboltzen</v>
      </c>
      <c r="P1637" s="129">
        <f>IFERROR(INDEX(DATABASE_FG!$G$5:$G$367, MATCH(E1637, DATABASE_FG!$C$5:$C$367, 0)), "Not Found")</f>
        <v>240</v>
      </c>
      <c r="Q1637" s="36">
        <v>42</v>
      </c>
      <c r="R1637" s="125" t="s">
        <v>678</v>
      </c>
      <c r="S1637" s="123">
        <f>IFERROR(INDEX(DATABASE_FG!$L$5:$L$367, MATCH(E1637, DATABASE_FG!$C$5:$C$367, 0)), " ")</f>
        <v>40</v>
      </c>
      <c r="T1637" s="36" t="s">
        <v>677</v>
      </c>
      <c r="U1637" s="36"/>
      <c r="V1637" s="36"/>
      <c r="W1637" s="129"/>
      <c r="X1637" s="36"/>
      <c r="Y1637" s="36"/>
      <c r="Z1637" s="36"/>
      <c r="AA1637" s="125" t="s">
        <v>121</v>
      </c>
      <c r="AB1637" s="172">
        <v>45723</v>
      </c>
      <c r="AC1637" s="119">
        <v>25340</v>
      </c>
      <c r="AD1637" s="36">
        <f t="shared" si="185"/>
        <v>5500502907</v>
      </c>
      <c r="AE1637" s="36" t="str">
        <f t="shared" si="186"/>
        <v>R900601678</v>
      </c>
      <c r="AF1637" s="36">
        <v>240</v>
      </c>
      <c r="AG1637" s="120">
        <f t="shared" si="184"/>
        <v>4171.2</v>
      </c>
      <c r="AH1637" s="36"/>
      <c r="AI1637" s="124"/>
      <c r="AJ1637" s="122" t="s">
        <v>2741</v>
      </c>
      <c r="AK1637" s="129" t="str">
        <f t="shared" ca="1" si="183"/>
        <v>Late</v>
      </c>
      <c r="AL1637" s="268" t="str">
        <f t="shared" si="182"/>
        <v>February</v>
      </c>
      <c r="AM1637" s="133">
        <f>YEAR(Table1[[#This Row],[ETA
As requested
dd.mm.yyyy]])</f>
        <v>2025</v>
      </c>
    </row>
    <row r="1638" spans="1:40" hidden="1">
      <c r="A1638" s="123" t="s">
        <v>25</v>
      </c>
      <c r="B1638" s="36" t="s">
        <v>1170</v>
      </c>
      <c r="C1638" s="117">
        <v>5500502907</v>
      </c>
      <c r="D1638" s="165">
        <v>45572</v>
      </c>
      <c r="E1638" s="117" t="s">
        <v>228</v>
      </c>
      <c r="F1638" s="36" t="str">
        <f>IFERROR(VLOOKUP(Table1[[#This Row],[Part Number]],DATABASE_FG!$C$6:D11627,2,FALSE)," ")</f>
        <v>THROTTLE SCREW     2FRM 16-3X/</v>
      </c>
      <c r="G1638" s="117" t="str">
        <f>IFERROR(_xlfn.XLOOKUP(Table1[[#This Row],[Part Number]],Table3[Part number],Table3[Drawing
 Revision]),"")</f>
        <v>AI</v>
      </c>
      <c r="H1638" s="118" cm="1">
        <f t="array" ref="H1638">IFERROR(INDEX(PDB!$C:$AT,MATCH(E1638,PDB!$B:$B,0),MATCH(YEAR(K1638),0+PDB!$C$1:$AT$1,0)),"")</f>
        <v>17.38</v>
      </c>
      <c r="I1638" s="36">
        <v>176</v>
      </c>
      <c r="J1638" s="125">
        <f>IFERROR(Table1[[#This Row],[Quantity]]*Table1[[#This Row],[Price/Unit
EUR]]," ")</f>
        <v>3058.8799999999997</v>
      </c>
      <c r="K1638" s="126">
        <v>45695</v>
      </c>
      <c r="L1638" s="36">
        <f>WEEKNUM(Table1[[#This Row],[ETA
As requested
dd.mm.yyyy]])</f>
        <v>6</v>
      </c>
      <c r="M1638" s="36">
        <f>YEAR(Table1[[#This Row],[ETA
As requested
dd.mm.yyyy]])</f>
        <v>2025</v>
      </c>
      <c r="N1638" s="36">
        <f>IFERROR(INDEX(DATABASE_FG!$H$5:$H$367, MATCH(E1638, DATABASE_FG!$C$5:$C$367, 0)), " ")</f>
        <v>35</v>
      </c>
      <c r="O1638" s="129" t="str">
        <f>IF(E1638&lt;&gt;"", _xlfn.XLOOKUP(E1638, DATABASE_FG!C:C, DATABASE_FG!F:F), " ")</f>
        <v>Drosselboltzen</v>
      </c>
      <c r="P1638" s="129">
        <f>IFERROR(INDEX(DATABASE_FG!$G$5:$G$367, MATCH(E1638, DATABASE_FG!$C$5:$C$367, 0)), "Not Found")</f>
        <v>240</v>
      </c>
      <c r="Q1638" s="36">
        <v>42</v>
      </c>
      <c r="R1638" s="125" t="s">
        <v>678</v>
      </c>
      <c r="S1638" s="123">
        <f>IFERROR(INDEX(DATABASE_FG!$L$5:$L$367, MATCH(E1638, DATABASE_FG!$C$5:$C$367, 0)), " ")</f>
        <v>40</v>
      </c>
      <c r="T1638" s="36" t="s">
        <v>677</v>
      </c>
      <c r="U1638" s="36"/>
      <c r="V1638" s="36"/>
      <c r="W1638" s="129"/>
      <c r="X1638" s="36"/>
      <c r="Y1638" s="36"/>
      <c r="Z1638" s="36"/>
      <c r="AA1638" s="125" t="s">
        <v>121</v>
      </c>
      <c r="AB1638" s="173">
        <v>45730</v>
      </c>
      <c r="AC1638" s="119">
        <v>25379</v>
      </c>
      <c r="AD1638" s="36">
        <f t="shared" si="185"/>
        <v>5500502907</v>
      </c>
      <c r="AE1638" s="36" t="str">
        <f t="shared" si="186"/>
        <v>R900601678</v>
      </c>
      <c r="AF1638" s="36">
        <v>176</v>
      </c>
      <c r="AG1638" s="120">
        <f t="shared" si="184"/>
        <v>3058.8799999999997</v>
      </c>
      <c r="AH1638" s="36"/>
      <c r="AI1638" s="124"/>
      <c r="AJ1638" s="122" t="s">
        <v>2742</v>
      </c>
      <c r="AK1638" s="129" t="str">
        <f t="shared" ca="1" si="183"/>
        <v>Late</v>
      </c>
      <c r="AL1638" s="268" t="str">
        <f t="shared" si="182"/>
        <v>February</v>
      </c>
      <c r="AM1638" s="133">
        <f>YEAR(Table1[[#This Row],[ETA
As requested
dd.mm.yyyy]])</f>
        <v>2025</v>
      </c>
    </row>
    <row r="1639" spans="1:40" hidden="1">
      <c r="A1639" s="123" t="s">
        <v>25</v>
      </c>
      <c r="B1639" s="36" t="s">
        <v>1170</v>
      </c>
      <c r="C1639" s="117">
        <v>5500502907</v>
      </c>
      <c r="D1639" s="165">
        <v>45572</v>
      </c>
      <c r="E1639" s="117" t="s">
        <v>228</v>
      </c>
      <c r="F1639" s="36" t="str">
        <f>IFERROR(VLOOKUP(Table1[[#This Row],[Part Number]],DATABASE_FG!$C$6:D11628,2,FALSE)," ")</f>
        <v>THROTTLE SCREW     2FRM 16-3X/</v>
      </c>
      <c r="G1639" s="117" t="str">
        <f>IFERROR(_xlfn.XLOOKUP(Table1[[#This Row],[Part Number]],Table3[Part number],Table3[Drawing
 Revision]),"")</f>
        <v>AI</v>
      </c>
      <c r="H1639" s="118" cm="1">
        <f t="array" ref="H1639">IFERROR(INDEX(PDB!$C:$AT,MATCH(E1639,PDB!$B:$B,0),MATCH(YEAR(K1639),0+PDB!$C$1:$AT$1,0)),"")</f>
        <v>17.38</v>
      </c>
      <c r="I1639" s="36">
        <v>126</v>
      </c>
      <c r="J1639" s="125">
        <f>IFERROR(Table1[[#This Row],[Quantity]]*Table1[[#This Row],[Price/Unit
EUR]]," ")</f>
        <v>2189.8799999999997</v>
      </c>
      <c r="K1639" s="126">
        <v>45730</v>
      </c>
      <c r="L1639" s="36">
        <f>WEEKNUM(Table1[[#This Row],[ETA
As requested
dd.mm.yyyy]])</f>
        <v>11</v>
      </c>
      <c r="M1639" s="36">
        <f>YEAR(Table1[[#This Row],[ETA
As requested
dd.mm.yyyy]])</f>
        <v>2025</v>
      </c>
      <c r="N1639" s="36">
        <f>IFERROR(INDEX(DATABASE_FG!$H$5:$H$367, MATCH(E1639, DATABASE_FG!$C$5:$C$367, 0)), " ")</f>
        <v>35</v>
      </c>
      <c r="O1639" s="129" t="str">
        <f>IF(E1639&lt;&gt;"", _xlfn.XLOOKUP(E1639, DATABASE_FG!C:C, DATABASE_FG!F:F), " ")</f>
        <v>Drosselboltzen</v>
      </c>
      <c r="P1639" s="129">
        <f>IFERROR(INDEX(DATABASE_FG!$G$5:$G$367, MATCH(E1639, DATABASE_FG!$C$5:$C$367, 0)), "Not Found")</f>
        <v>240</v>
      </c>
      <c r="Q1639" s="36">
        <v>42</v>
      </c>
      <c r="R1639" s="125" t="s">
        <v>678</v>
      </c>
      <c r="S1639" s="123">
        <f>IFERROR(INDEX(DATABASE_FG!$L$5:$L$367, MATCH(E1639, DATABASE_FG!$C$5:$C$367, 0)), " ")</f>
        <v>40</v>
      </c>
      <c r="T1639" s="36" t="s">
        <v>677</v>
      </c>
      <c r="U1639" s="36"/>
      <c r="V1639" s="36"/>
      <c r="W1639" s="129"/>
      <c r="X1639" s="36"/>
      <c r="Y1639" s="36"/>
      <c r="Z1639" s="36"/>
      <c r="AA1639" s="125" t="s">
        <v>121</v>
      </c>
      <c r="AB1639" s="172">
        <v>45723</v>
      </c>
      <c r="AC1639" s="119">
        <v>25340</v>
      </c>
      <c r="AD1639" s="36">
        <f t="shared" si="185"/>
        <v>5500502907</v>
      </c>
      <c r="AE1639" s="36" t="str">
        <f t="shared" si="186"/>
        <v>R900601678</v>
      </c>
      <c r="AF1639" s="36">
        <v>126</v>
      </c>
      <c r="AG1639" s="120">
        <f t="shared" si="184"/>
        <v>2189.8799999999997</v>
      </c>
      <c r="AH1639" s="36"/>
      <c r="AI1639" s="124"/>
      <c r="AJ1639" s="122" t="s">
        <v>2741</v>
      </c>
      <c r="AK1639" s="129" t="str">
        <f t="shared" ca="1" si="183"/>
        <v>On Time</v>
      </c>
      <c r="AL1639" s="268" t="str">
        <f t="shared" ref="AL1639:AL1704" si="187">TEXT(K1639,"mmmm")</f>
        <v>March</v>
      </c>
      <c r="AM1639" s="133">
        <f>YEAR(Table1[[#This Row],[ETA
As requested
dd.mm.yyyy]])</f>
        <v>2025</v>
      </c>
    </row>
    <row r="1640" spans="1:40" hidden="1">
      <c r="A1640" s="123" t="s">
        <v>25</v>
      </c>
      <c r="B1640" s="36" t="s">
        <v>1170</v>
      </c>
      <c r="C1640" s="117">
        <v>5500502907</v>
      </c>
      <c r="D1640" s="165">
        <v>45572</v>
      </c>
      <c r="E1640" s="117" t="s">
        <v>228</v>
      </c>
      <c r="F1640" s="36" t="str">
        <f>IFERROR(VLOOKUP(Table1[[#This Row],[Part Number]],DATABASE_FG!$C$6:D11629,2,FALSE)," ")</f>
        <v>THROTTLE SCREW     2FRM 16-3X/</v>
      </c>
      <c r="G1640" s="117" t="str">
        <f>IFERROR(_xlfn.XLOOKUP(Table1[[#This Row],[Part Number]],Table3[Part number],Table3[Drawing
 Revision]),"")</f>
        <v>AI</v>
      </c>
      <c r="H1640" s="118" cm="1">
        <f t="array" ref="H1640">IFERROR(INDEX(PDB!$C:$AT,MATCH(E1640,PDB!$B:$B,0),MATCH(YEAR(K1640),0+PDB!$C$1:$AT$1,0)),"")</f>
        <v>17.38</v>
      </c>
      <c r="I1640" s="36">
        <v>350</v>
      </c>
      <c r="J1640" s="125">
        <f>IFERROR(Table1[[#This Row],[Quantity]]*Table1[[#This Row],[Price/Unit
EUR]]," ")</f>
        <v>6083</v>
      </c>
      <c r="K1640" s="126">
        <v>45772</v>
      </c>
      <c r="L1640" s="36">
        <f>WEEKNUM(Table1[[#This Row],[ETA
As requested
dd.mm.yyyy]])</f>
        <v>17</v>
      </c>
      <c r="M1640" s="36">
        <f>YEAR(Table1[[#This Row],[ETA
As requested
dd.mm.yyyy]])</f>
        <v>2025</v>
      </c>
      <c r="N1640" s="36">
        <f>IFERROR(INDEX(DATABASE_FG!$H$5:$H$367, MATCH(E1640, DATABASE_FG!$C$5:$C$367, 0)), " ")</f>
        <v>35</v>
      </c>
      <c r="O1640" s="129" t="str">
        <f>IF(E1640&lt;&gt;"", _xlfn.XLOOKUP(E1640, DATABASE_FG!C:C, DATABASE_FG!F:F), " ")</f>
        <v>Drosselboltzen</v>
      </c>
      <c r="P1640" s="129">
        <f>IFERROR(INDEX(DATABASE_FG!$G$5:$G$367, MATCH(E1640, DATABASE_FG!$C$5:$C$367, 0)), "Not Found")</f>
        <v>240</v>
      </c>
      <c r="Q1640" s="36">
        <v>42</v>
      </c>
      <c r="R1640" s="125" t="s">
        <v>678</v>
      </c>
      <c r="S1640" s="123">
        <f>IFERROR(INDEX(DATABASE_FG!$L$5:$L$367, MATCH(E1640, DATABASE_FG!$C$5:$C$367, 0)), " ")</f>
        <v>40</v>
      </c>
      <c r="T1640" s="36" t="s">
        <v>677</v>
      </c>
      <c r="U1640" s="36"/>
      <c r="V1640" s="36"/>
      <c r="W1640" s="129"/>
      <c r="X1640" s="36"/>
      <c r="Y1640" s="36" t="s">
        <v>677</v>
      </c>
      <c r="Z1640" s="36"/>
      <c r="AA1640" s="125" t="s">
        <v>121</v>
      </c>
      <c r="AB1640" s="173">
        <v>45805</v>
      </c>
      <c r="AC1640" s="119">
        <v>25843</v>
      </c>
      <c r="AD1640" s="36">
        <f t="shared" si="185"/>
        <v>5500502907</v>
      </c>
      <c r="AE1640" s="36" t="str">
        <f t="shared" si="186"/>
        <v>R900601678</v>
      </c>
      <c r="AF1640" s="36">
        <v>350</v>
      </c>
      <c r="AG1640" s="120">
        <f t="shared" si="184"/>
        <v>6083</v>
      </c>
      <c r="AH1640" s="36"/>
      <c r="AI1640" s="124"/>
      <c r="AJ1640" s="122" t="s">
        <v>3131</v>
      </c>
      <c r="AK1640" s="129" t="str">
        <f t="shared" ca="1" si="183"/>
        <v>Late</v>
      </c>
      <c r="AL1640" s="268" t="str">
        <f t="shared" si="187"/>
        <v>April</v>
      </c>
      <c r="AM1640" s="133">
        <f>YEAR(Table1[[#This Row],[ETA
As requested
dd.mm.yyyy]])</f>
        <v>2025</v>
      </c>
    </row>
    <row r="1641" spans="1:40" hidden="1">
      <c r="A1641" s="123" t="s">
        <v>25</v>
      </c>
      <c r="B1641" s="36" t="s">
        <v>1170</v>
      </c>
      <c r="C1641" s="117">
        <v>5500502907</v>
      </c>
      <c r="D1641" s="165">
        <v>45572</v>
      </c>
      <c r="E1641" s="117" t="s">
        <v>228</v>
      </c>
      <c r="F1641" s="36" t="str">
        <f>IFERROR(VLOOKUP(Table1[[#This Row],[Part Number]],DATABASE_FG!$C$6:D11630,2,FALSE)," ")</f>
        <v>THROTTLE SCREW     2FRM 16-3X/</v>
      </c>
      <c r="G1641" s="117" t="str">
        <f>IFERROR(_xlfn.XLOOKUP(Table1[[#This Row],[Part Number]],Table3[Part number],Table3[Drawing
 Revision]),"")</f>
        <v>AI</v>
      </c>
      <c r="H1641" s="118" cm="1">
        <f t="array" ref="H1641">IFERROR(INDEX(PDB!$C:$AT,MATCH(E1641,PDB!$B:$B,0),MATCH(YEAR(K1641),0+PDB!$C$1:$AT$1,0)),"")</f>
        <v>17.38</v>
      </c>
      <c r="I1641" s="36">
        <v>420</v>
      </c>
      <c r="J1641" s="125">
        <f>IFERROR(Table1[[#This Row],[Quantity]]*Table1[[#This Row],[Price/Unit
EUR]]," ")</f>
        <v>7299.5999999999995</v>
      </c>
      <c r="K1641" s="126">
        <v>45838</v>
      </c>
      <c r="L1641" s="36">
        <f>WEEKNUM(Table1[[#This Row],[ETA
As requested
dd.mm.yyyy]])</f>
        <v>27</v>
      </c>
      <c r="M1641" s="36">
        <f>YEAR(Table1[[#This Row],[ETA
As requested
dd.mm.yyyy]])</f>
        <v>2025</v>
      </c>
      <c r="N1641" s="36">
        <f>IFERROR(INDEX(DATABASE_FG!$H$5:$H$367, MATCH(E1641, DATABASE_FG!$C$5:$C$367, 0)), " ")</f>
        <v>35</v>
      </c>
      <c r="O1641" s="129" t="str">
        <f>IF(E1641&lt;&gt;"", _xlfn.XLOOKUP(E1641, DATABASE_FG!C:C, DATABASE_FG!F:F), " ")</f>
        <v>Drosselboltzen</v>
      </c>
      <c r="P1641" s="129">
        <f>IFERROR(INDEX(DATABASE_FG!$G$5:$G$367, MATCH(E1641, DATABASE_FG!$C$5:$C$367, 0)), "Not Found")</f>
        <v>240</v>
      </c>
      <c r="Q1641" s="36">
        <v>42</v>
      </c>
      <c r="R1641" s="125" t="s">
        <v>678</v>
      </c>
      <c r="S1641" s="123">
        <f>IFERROR(INDEX(DATABASE_FG!$L$5:$L$367, MATCH(E1641, DATABASE_FG!$C$5:$C$367, 0)), " ")</f>
        <v>40</v>
      </c>
      <c r="T1641" s="36" t="s">
        <v>677</v>
      </c>
      <c r="U1641" s="36"/>
      <c r="V1641" s="36"/>
      <c r="W1641" s="129"/>
      <c r="X1641" s="36"/>
      <c r="Y1641" s="36" t="s">
        <v>677</v>
      </c>
      <c r="Z1641" s="36"/>
      <c r="AA1641" s="125" t="s">
        <v>121</v>
      </c>
      <c r="AB1641" s="172">
        <v>45838</v>
      </c>
      <c r="AC1641" s="119">
        <v>260015</v>
      </c>
      <c r="AD1641" s="36">
        <f t="shared" si="185"/>
        <v>5500502907</v>
      </c>
      <c r="AE1641" s="36" t="str">
        <f t="shared" si="186"/>
        <v>R900601678</v>
      </c>
      <c r="AF1641" s="36">
        <v>420</v>
      </c>
      <c r="AG1641" s="120">
        <f t="shared" si="184"/>
        <v>7299.5999999999995</v>
      </c>
      <c r="AH1641" s="36"/>
      <c r="AI1641" s="124"/>
      <c r="AJ1641" s="122" t="s">
        <v>3370</v>
      </c>
      <c r="AK1641" s="129" t="str">
        <f t="shared" ca="1" si="183"/>
        <v>On Time</v>
      </c>
      <c r="AL1641" s="268" t="str">
        <f t="shared" si="187"/>
        <v>June</v>
      </c>
      <c r="AM1641" s="133">
        <f>YEAR(Table1[[#This Row],[ETA
As requested
dd.mm.yyyy]])</f>
        <v>2025</v>
      </c>
    </row>
    <row r="1642" spans="1:40" hidden="1">
      <c r="A1642" s="123" t="s">
        <v>25</v>
      </c>
      <c r="B1642" s="36" t="s">
        <v>2464</v>
      </c>
      <c r="C1642" s="117">
        <v>5500502907</v>
      </c>
      <c r="D1642" s="165">
        <v>45572</v>
      </c>
      <c r="E1642" s="117" t="s">
        <v>228</v>
      </c>
      <c r="F1642" s="36" t="str">
        <f>IFERROR(VLOOKUP(Table1[[#This Row],[Part Number]],DATABASE_FG!$C$6:D11631,2,FALSE)," ")</f>
        <v>THROTTLE SCREW     2FRM 16-3X/</v>
      </c>
      <c r="G1642" s="117" t="str">
        <f>IFERROR(_xlfn.XLOOKUP(Table1[[#This Row],[Part Number]],Table3[Part number],Table3[Drawing
 Revision]),"")</f>
        <v>AI</v>
      </c>
      <c r="H1642" s="118" cm="1">
        <f t="array" ref="H1642">IFERROR(INDEX(PDB!$C:$AT,MATCH(E1642,PDB!$B:$B,0),MATCH(YEAR(K1642),0+PDB!$C$1:$AT$1,0)),"")</f>
        <v>17.38</v>
      </c>
      <c r="I1642" s="36">
        <v>300</v>
      </c>
      <c r="J1642" s="125">
        <f>IFERROR(Table1[[#This Row],[Quantity]]*Table1[[#This Row],[Price/Unit
EUR]]," ")</f>
        <v>5214</v>
      </c>
      <c r="K1642" s="126">
        <v>45867</v>
      </c>
      <c r="L1642" s="36">
        <f>WEEKNUM(Table1[[#This Row],[ETA
As requested
dd.mm.yyyy]])</f>
        <v>31</v>
      </c>
      <c r="M1642" s="36">
        <f>YEAR(Table1[[#This Row],[ETA
As requested
dd.mm.yyyy]])</f>
        <v>2025</v>
      </c>
      <c r="N1642" s="36">
        <f>IFERROR(INDEX(DATABASE_FG!$H$5:$H$367, MATCH(E1642, DATABASE_FG!$C$5:$C$367, 0)), " ")</f>
        <v>35</v>
      </c>
      <c r="O1642" s="129" t="str">
        <f>IF(E1642&lt;&gt;"", _xlfn.XLOOKUP(E1642, DATABASE_FG!C:C, DATABASE_FG!F:F), " ")</f>
        <v>Drosselboltzen</v>
      </c>
      <c r="P1642" s="129">
        <f>IFERROR(INDEX(DATABASE_FG!$G$5:$G$367, MATCH(E1642, DATABASE_FG!$C$5:$C$367, 0)), "Not Found")</f>
        <v>240</v>
      </c>
      <c r="Q1642" s="36">
        <v>42</v>
      </c>
      <c r="R1642" s="125" t="s">
        <v>678</v>
      </c>
      <c r="S1642" s="123">
        <f>IFERROR(INDEX(DATABASE_FG!$L$5:$L$367, MATCH(E1642, DATABASE_FG!$C$5:$C$367, 0)), " ")</f>
        <v>40</v>
      </c>
      <c r="T1642" s="36" t="s">
        <v>677</v>
      </c>
      <c r="U1642" s="36"/>
      <c r="V1642" s="36"/>
      <c r="W1642" s="129"/>
      <c r="X1642" s="36"/>
      <c r="Y1642" s="36" t="s">
        <v>3465</v>
      </c>
      <c r="Z1642" s="36"/>
      <c r="AA1642" s="125" t="s">
        <v>121</v>
      </c>
      <c r="AB1642" s="172">
        <v>45869</v>
      </c>
      <c r="AC1642" s="119">
        <v>251109</v>
      </c>
      <c r="AD1642" s="36">
        <f t="shared" si="185"/>
        <v>5500502907</v>
      </c>
      <c r="AE1642" s="36" t="str">
        <f t="shared" si="186"/>
        <v>R900601678</v>
      </c>
      <c r="AF1642" s="36">
        <v>300</v>
      </c>
      <c r="AG1642" s="120">
        <f t="shared" si="184"/>
        <v>5214</v>
      </c>
      <c r="AH1642" s="36"/>
      <c r="AI1642" s="124"/>
      <c r="AJ1642" s="122" t="s">
        <v>3466</v>
      </c>
      <c r="AK1642" s="129" t="str">
        <f t="shared" ca="1" si="183"/>
        <v>On Time</v>
      </c>
      <c r="AL1642" s="268" t="str">
        <f t="shared" si="187"/>
        <v>July</v>
      </c>
      <c r="AM1642" s="133">
        <f>YEAR(Table1[[#This Row],[ETA
As requested
dd.mm.yyyy]])</f>
        <v>2025</v>
      </c>
    </row>
    <row r="1643" spans="1:40" hidden="1">
      <c r="A1643" s="123" t="s">
        <v>25</v>
      </c>
      <c r="B1643" s="36" t="s">
        <v>2464</v>
      </c>
      <c r="C1643" s="117">
        <v>5500502907</v>
      </c>
      <c r="D1643" s="165">
        <v>45572</v>
      </c>
      <c r="E1643" s="117" t="s">
        <v>228</v>
      </c>
      <c r="F1643" s="36" t="str">
        <f>IFERROR(VLOOKUP(Table1[[#This Row],[Part Number]],DATABASE_FG!$C$6:D11632,2,FALSE)," ")</f>
        <v>THROTTLE SCREW     2FRM 16-3X/</v>
      </c>
      <c r="G1643" s="117" t="str">
        <f>IFERROR(_xlfn.XLOOKUP(Table1[[#This Row],[Part Number]],Table3[Part number],Table3[Drawing
 Revision]),"")</f>
        <v>AI</v>
      </c>
      <c r="H1643" s="118" cm="1">
        <f t="array" ref="H1643">IFERROR(INDEX(PDB!$C:$AT,MATCH(E1643,PDB!$B:$B,0),MATCH(YEAR(K1643),0+PDB!$C$1:$AT$1,0)),"")</f>
        <v>17.38</v>
      </c>
      <c r="I1643" s="36">
        <v>117</v>
      </c>
      <c r="J1643" s="125">
        <f>IFERROR(Table1[[#This Row],[Quantity]]*Table1[[#This Row],[Price/Unit
EUR]]," ")</f>
        <v>2033.4599999999998</v>
      </c>
      <c r="K1643" s="126">
        <v>45893</v>
      </c>
      <c r="L1643" s="36">
        <f>WEEKNUM(Table1[[#This Row],[ETA
As requested
dd.mm.yyyy]])</f>
        <v>35</v>
      </c>
      <c r="M1643" s="36">
        <f>YEAR(Table1[[#This Row],[ETA
As requested
dd.mm.yyyy]])</f>
        <v>2025</v>
      </c>
      <c r="N1643" s="36">
        <f>IFERROR(INDEX(DATABASE_FG!$H$5:$H$367, MATCH(E1643, DATABASE_FG!$C$5:$C$367, 0)), " ")</f>
        <v>35</v>
      </c>
      <c r="O1643" s="129" t="str">
        <f>IF(E1643&lt;&gt;"", _xlfn.XLOOKUP(E1643, DATABASE_FG!C:C, DATABASE_FG!F:F), " ")</f>
        <v>Drosselboltzen</v>
      </c>
      <c r="P1643" s="129">
        <f>IFERROR(INDEX(DATABASE_FG!$G$5:$G$367, MATCH(E1643, DATABASE_FG!$C$5:$C$367, 0)), "Not Found")</f>
        <v>240</v>
      </c>
      <c r="Q1643" s="36">
        <v>42</v>
      </c>
      <c r="R1643" s="125" t="s">
        <v>678</v>
      </c>
      <c r="S1643" s="123">
        <f>IFERROR(INDEX(DATABASE_FG!$L$5:$L$367, MATCH(E1643, DATABASE_FG!$C$5:$C$367, 0)), " ")</f>
        <v>40</v>
      </c>
      <c r="T1643" s="36" t="s">
        <v>677</v>
      </c>
      <c r="U1643" s="36"/>
      <c r="V1643" s="36"/>
      <c r="W1643" s="129"/>
      <c r="X1643" s="36"/>
      <c r="Y1643" s="36"/>
      <c r="Z1643" s="36"/>
      <c r="AA1643" s="125" t="s">
        <v>121</v>
      </c>
      <c r="AB1643" s="173">
        <v>45869</v>
      </c>
      <c r="AC1643" s="119">
        <v>251109</v>
      </c>
      <c r="AD1643" s="36">
        <f t="shared" si="185"/>
        <v>5500502907</v>
      </c>
      <c r="AE1643" s="36" t="str">
        <f t="shared" si="186"/>
        <v>R900601678</v>
      </c>
      <c r="AF1643" s="36">
        <v>117</v>
      </c>
      <c r="AG1643" s="120">
        <f t="shared" si="184"/>
        <v>2033.4599999999998</v>
      </c>
      <c r="AH1643" s="36"/>
      <c r="AI1643" s="124"/>
      <c r="AJ1643" s="122" t="s">
        <v>3598</v>
      </c>
      <c r="AK1643" s="129" t="str">
        <f t="shared" ref="AK1643:AK1708" ca="1" si="188">IF(AB1643="", IF(K1643 &lt; TODAY(), "Late", ""), IF(AB1643 &lt;= K1643 + 2, "On Time", "Late"))</f>
        <v>On Time</v>
      </c>
      <c r="AL1643" s="268" t="str">
        <f t="shared" si="187"/>
        <v>August</v>
      </c>
      <c r="AM1643" s="133">
        <f>YEAR(Table1[[#This Row],[ETA
As requested
dd.mm.yyyy]])</f>
        <v>2025</v>
      </c>
    </row>
    <row r="1644" spans="1:40" hidden="1">
      <c r="A1644" s="123" t="s">
        <v>25</v>
      </c>
      <c r="B1644" s="36" t="s">
        <v>2464</v>
      </c>
      <c r="C1644" s="117">
        <v>5500502907</v>
      </c>
      <c r="D1644" s="165">
        <v>45572</v>
      </c>
      <c r="E1644" s="117" t="s">
        <v>228</v>
      </c>
      <c r="F1644" s="36" t="str">
        <f>IFERROR(VLOOKUP(Table1[[#This Row],[Part Number]],DATABASE_FG!$C$6:D11633,2,FALSE)," ")</f>
        <v>THROTTLE SCREW     2FRM 16-3X/</v>
      </c>
      <c r="G1644" s="117" t="str">
        <f>IFERROR(_xlfn.XLOOKUP(Table1[[#This Row],[Part Number]],Table3[Part number],Table3[Drawing
 Revision]),"")</f>
        <v>AI</v>
      </c>
      <c r="H1644" s="118" cm="1">
        <f t="array" ref="H1644">IFERROR(INDEX(PDB!$C:$AT,MATCH(E1644,PDB!$B:$B,0),MATCH(YEAR(K1644),0+PDB!$C$1:$AT$1,0)),"")</f>
        <v>17.38</v>
      </c>
      <c r="I1644" s="36">
        <f>240-117+17</f>
        <v>140</v>
      </c>
      <c r="J1644" s="125">
        <f>IFERROR(Table1[[#This Row],[Quantity]]*Table1[[#This Row],[Price/Unit
EUR]]," ")</f>
        <v>2433.1999999999998</v>
      </c>
      <c r="K1644" s="126">
        <v>45893</v>
      </c>
      <c r="L1644" s="36">
        <f>WEEKNUM(Table1[[#This Row],[ETA
As requested
dd.mm.yyyy]])</f>
        <v>35</v>
      </c>
      <c r="M1644" s="36">
        <f>YEAR(Table1[[#This Row],[ETA
As requested
dd.mm.yyyy]])</f>
        <v>2025</v>
      </c>
      <c r="N1644" s="36">
        <f>IFERROR(INDEX(DATABASE_FG!$H$5:$H$367, MATCH(E1644, DATABASE_FG!$C$5:$C$367, 0)), " ")</f>
        <v>35</v>
      </c>
      <c r="O1644" s="129" t="str">
        <f>IF(E1644&lt;&gt;"", _xlfn.XLOOKUP(E1644, DATABASE_FG!C:C, DATABASE_FG!F:F), " ")</f>
        <v>Drosselboltzen</v>
      </c>
      <c r="P1644" s="129">
        <f>IFERROR(INDEX(DATABASE_FG!$G$5:$G$367, MATCH(E1644, DATABASE_FG!$C$5:$C$367, 0)), "Not Found")</f>
        <v>240</v>
      </c>
      <c r="Q1644" s="36">
        <v>42</v>
      </c>
      <c r="R1644" s="125" t="s">
        <v>678</v>
      </c>
      <c r="S1644" s="123">
        <f>IFERROR(INDEX(DATABASE_FG!$L$5:$L$367, MATCH(E1644, DATABASE_FG!$C$5:$C$367, 0)), " ")</f>
        <v>40</v>
      </c>
      <c r="T1644" s="36" t="s">
        <v>677</v>
      </c>
      <c r="U1644" s="36"/>
      <c r="V1644" s="36"/>
      <c r="W1644" s="129"/>
      <c r="X1644" s="36"/>
      <c r="Y1644" s="36"/>
      <c r="Z1644" s="36"/>
      <c r="AA1644" s="125" t="s">
        <v>121</v>
      </c>
      <c r="AB1644" s="172">
        <v>45959</v>
      </c>
      <c r="AC1644" s="119">
        <v>251211</v>
      </c>
      <c r="AD1644" s="36">
        <f t="shared" si="185"/>
        <v>5500502907</v>
      </c>
      <c r="AE1644" s="36" t="str">
        <f t="shared" si="186"/>
        <v>R900601678</v>
      </c>
      <c r="AF1644" s="36">
        <v>140</v>
      </c>
      <c r="AG1644" s="120">
        <f t="shared" si="184"/>
        <v>2433.1999999999998</v>
      </c>
      <c r="AH1644" s="36"/>
      <c r="AI1644" s="124" t="s">
        <v>3609</v>
      </c>
      <c r="AJ1644" s="122" t="s">
        <v>4444</v>
      </c>
      <c r="AK1644" s="129" t="str">
        <f t="shared" ca="1" si="188"/>
        <v>Late</v>
      </c>
      <c r="AL1644" s="268" t="str">
        <f t="shared" si="187"/>
        <v>August</v>
      </c>
      <c r="AM1644" s="133">
        <f>YEAR(Table1[[#This Row],[ETA
As requested
dd.mm.yyyy]])</f>
        <v>2025</v>
      </c>
    </row>
    <row r="1645" spans="1:40" hidden="1">
      <c r="A1645" s="123" t="s">
        <v>25</v>
      </c>
      <c r="B1645" s="36" t="s">
        <v>1170</v>
      </c>
      <c r="C1645" s="117">
        <v>5500502907</v>
      </c>
      <c r="D1645" s="165">
        <v>45572</v>
      </c>
      <c r="E1645" s="117" t="s">
        <v>228</v>
      </c>
      <c r="F1645" s="36" t="str">
        <f>IFERROR(VLOOKUP(Table1[[#This Row],[Part Number]],DATABASE_FG!$C$6:D11634,2,FALSE)," ")</f>
        <v>THROTTLE SCREW     2FRM 16-3X/</v>
      </c>
      <c r="G1645" s="117" t="str">
        <f>IFERROR(_xlfn.XLOOKUP(Table1[[#This Row],[Part Number]],Table3[Part number],Table3[Drawing
 Revision]),"")</f>
        <v>AI</v>
      </c>
      <c r="H1645" s="118" cm="1">
        <f t="array" ref="H1645">IFERROR(INDEX(PDB!$C:$AT,MATCH(E1645,PDB!$B:$B,0),MATCH(YEAR(K1645),0+PDB!$C$1:$AT$1,0)),"")</f>
        <v>17.38</v>
      </c>
      <c r="I1645" s="36">
        <f>240-17</f>
        <v>223</v>
      </c>
      <c r="J1645" s="125">
        <f>IFERROR(Table1[[#This Row],[Quantity]]*Table1[[#This Row],[Price/Unit
EUR]]," ")</f>
        <v>3875.74</v>
      </c>
      <c r="K1645" s="126">
        <v>45912</v>
      </c>
      <c r="L1645" s="36">
        <f>WEEKNUM(Table1[[#This Row],[ETA
As requested
dd.mm.yyyy]])</f>
        <v>37</v>
      </c>
      <c r="M1645" s="36">
        <f>YEAR(Table1[[#This Row],[ETA
As requested
dd.mm.yyyy]])</f>
        <v>2025</v>
      </c>
      <c r="N1645" s="36">
        <f>IFERROR(INDEX(DATABASE_FG!$H$5:$H$367, MATCH(E1645, DATABASE_FG!$C$5:$C$367, 0)), " ")</f>
        <v>35</v>
      </c>
      <c r="O1645" s="129" t="str">
        <f>IF(E1645&lt;&gt;"", _xlfn.XLOOKUP(E1645, DATABASE_FG!C:C, DATABASE_FG!F:F), " ")</f>
        <v>Drosselboltzen</v>
      </c>
      <c r="P1645" s="129">
        <f>IFERROR(INDEX(DATABASE_FG!$G$5:$G$367, MATCH(E1645, DATABASE_FG!$C$5:$C$367, 0)), "Not Found")</f>
        <v>240</v>
      </c>
      <c r="Q1645" s="36">
        <v>42</v>
      </c>
      <c r="R1645" s="125" t="s">
        <v>678</v>
      </c>
      <c r="S1645" s="123">
        <f>IFERROR(INDEX(DATABASE_FG!$L$5:$L$367, MATCH(E1645, DATABASE_FG!$C$5:$C$367, 0)), " ")</f>
        <v>40</v>
      </c>
      <c r="T1645" s="36" t="s">
        <v>677</v>
      </c>
      <c r="U1645" s="36"/>
      <c r="V1645" s="36"/>
      <c r="W1645" s="129"/>
      <c r="X1645" s="36"/>
      <c r="Y1645" s="36"/>
      <c r="Z1645" s="36"/>
      <c r="AA1645" s="125" t="s">
        <v>121</v>
      </c>
      <c r="AB1645" s="172">
        <v>45961</v>
      </c>
      <c r="AC1645" s="119">
        <v>251226</v>
      </c>
      <c r="AD1645" s="36">
        <f t="shared" si="185"/>
        <v>5500502907</v>
      </c>
      <c r="AE1645" s="36" t="str">
        <f t="shared" si="186"/>
        <v>R900601678</v>
      </c>
      <c r="AF1645" s="36">
        <v>223</v>
      </c>
      <c r="AG1645" s="120">
        <f t="shared" si="184"/>
        <v>3875.74</v>
      </c>
      <c r="AH1645" s="36"/>
      <c r="AI1645" s="124"/>
      <c r="AJ1645" s="122" t="s">
        <v>4466</v>
      </c>
      <c r="AK1645" s="129" t="str">
        <f t="shared" ca="1" si="188"/>
        <v>Late</v>
      </c>
      <c r="AL1645" s="268" t="str">
        <f t="shared" si="187"/>
        <v>September</v>
      </c>
      <c r="AM1645" s="133">
        <f>YEAR(Table1[[#This Row],[ETA
As requested
dd.mm.yyyy]])</f>
        <v>2025</v>
      </c>
    </row>
    <row r="1646" spans="1:40" hidden="1">
      <c r="A1646" s="123" t="s">
        <v>25</v>
      </c>
      <c r="B1646" s="36" t="s">
        <v>1170</v>
      </c>
      <c r="C1646" s="117">
        <v>5500502907</v>
      </c>
      <c r="D1646" s="165">
        <v>45572</v>
      </c>
      <c r="E1646" s="117" t="s">
        <v>228</v>
      </c>
      <c r="F1646" s="36" t="str">
        <f>IFERROR(VLOOKUP(Table1[[#This Row],[Part Number]],DATABASE_FG!$C$6:D11635,2,FALSE)," ")</f>
        <v>THROTTLE SCREW     2FRM 16-3X/</v>
      </c>
      <c r="G1646" s="117" t="str">
        <f>IFERROR(_xlfn.XLOOKUP(Table1[[#This Row],[Part Number]],Table3[Part number],Table3[Drawing
 Revision]),"")</f>
        <v>AI</v>
      </c>
      <c r="H1646" s="118" cm="1">
        <f t="array" ref="H1646">IFERROR(INDEX(PDB!$C:$AT,MATCH(E1646,PDB!$B:$B,0),MATCH(YEAR(K1646),0+PDB!$C$1:$AT$1,0)),"")</f>
        <v>17.38</v>
      </c>
      <c r="I1646" s="36">
        <v>57</v>
      </c>
      <c r="J1646" s="125">
        <f>IFERROR(Table1[[#This Row],[Quantity]]*Table1[[#This Row],[Price/Unit
EUR]]," ")</f>
        <v>990.66</v>
      </c>
      <c r="K1646" s="126">
        <v>45940</v>
      </c>
      <c r="L1646" s="36">
        <f>WEEKNUM(Table1[[#This Row],[ETA
As requested
dd.mm.yyyy]])</f>
        <v>41</v>
      </c>
      <c r="M1646" s="36">
        <f>YEAR(Table1[[#This Row],[ETA
As requested
dd.mm.yyyy]])</f>
        <v>2025</v>
      </c>
      <c r="N1646" s="36">
        <f>IFERROR(INDEX(DATABASE_FG!$H$5:$H$367, MATCH(E1646, DATABASE_FG!$C$5:$C$367, 0)), " ")</f>
        <v>35</v>
      </c>
      <c r="O1646" s="129" t="str">
        <f>IF(E1646&lt;&gt;"", _xlfn.XLOOKUP(E1646, DATABASE_FG!C:C, DATABASE_FG!F:F), " ")</f>
        <v>Drosselboltzen</v>
      </c>
      <c r="P1646" s="129">
        <f>IFERROR(INDEX(DATABASE_FG!$G$5:$G$367, MATCH(E1646, DATABASE_FG!$C$5:$C$367, 0)), "Not Found")</f>
        <v>240</v>
      </c>
      <c r="Q1646" s="36">
        <v>42</v>
      </c>
      <c r="R1646" s="125" t="s">
        <v>678</v>
      </c>
      <c r="S1646" s="123">
        <f>Table1[[#This Row],[Quantity]]/48</f>
        <v>1.1875</v>
      </c>
      <c r="T1646" s="36"/>
      <c r="U1646" s="36"/>
      <c r="V1646" s="36"/>
      <c r="W1646" s="129"/>
      <c r="X1646" s="36"/>
      <c r="Y1646" s="36"/>
      <c r="Z1646" s="36"/>
      <c r="AA1646" s="125" t="s">
        <v>121</v>
      </c>
      <c r="AB1646" s="172">
        <v>45961</v>
      </c>
      <c r="AC1646" s="119">
        <v>251226</v>
      </c>
      <c r="AD1646" s="36">
        <f>IF(NOT(ISBLANK(AC1646)), C1646, "")</f>
        <v>5500502907</v>
      </c>
      <c r="AE1646" s="36" t="str">
        <f>IF(NOT(ISBLANK(AC1646)), E1646, "")</f>
        <v>R900601678</v>
      </c>
      <c r="AF1646" s="36">
        <v>57</v>
      </c>
      <c r="AG1646" s="120">
        <f>AF1646*H1646</f>
        <v>990.66</v>
      </c>
      <c r="AH1646" s="36"/>
      <c r="AI1646" s="124"/>
      <c r="AJ1646" s="122" t="s">
        <v>4466</v>
      </c>
      <c r="AK1646" s="129" t="str">
        <f ca="1">IF(AB1646="", IF(K1646 &lt; TODAY(), "Late", ""), IF(AB1646 &lt;= K1646 + 2, "On Time", "Late"))</f>
        <v>Late</v>
      </c>
      <c r="AL1646" s="268" t="str">
        <f>TEXT(K1646,"mmmm")</f>
        <v>October</v>
      </c>
      <c r="AM1646" s="133">
        <f>YEAR(Table1[[#This Row],[ETA
As requested
dd.mm.yyyy]])</f>
        <v>2025</v>
      </c>
      <c r="AN1646" s="191"/>
    </row>
    <row r="1647" spans="1:40" hidden="1">
      <c r="A1647" s="123" t="s">
        <v>25</v>
      </c>
      <c r="B1647" s="36" t="s">
        <v>1170</v>
      </c>
      <c r="C1647" s="117">
        <v>5500502907</v>
      </c>
      <c r="D1647" s="165">
        <v>45572</v>
      </c>
      <c r="E1647" s="117" t="s">
        <v>228</v>
      </c>
      <c r="F1647" s="36" t="str">
        <f>IFERROR(VLOOKUP(Table1[[#This Row],[Part Number]],DATABASE_FG!$C$6:D11636,2,FALSE)," ")</f>
        <v>THROTTLE SCREW     2FRM 16-3X/</v>
      </c>
      <c r="G1647" s="117" t="str">
        <f>IFERROR(_xlfn.XLOOKUP(Table1[[#This Row],[Part Number]],Table3[Part number],Table3[Drawing
 Revision]),"")</f>
        <v>AI</v>
      </c>
      <c r="H1647" s="118" cm="1">
        <f t="array" ref="H1647">IFERROR(INDEX(PDB!$C:$AT,MATCH(E1647,PDB!$B:$B,0),MATCH(YEAR(K1647),0+PDB!$C$1:$AT$1,0)),"")</f>
        <v>17.38</v>
      </c>
      <c r="I1647" s="36">
        <f>240-57</f>
        <v>183</v>
      </c>
      <c r="J1647" s="125">
        <f>IFERROR(Table1[[#This Row],[Quantity]]*Table1[[#This Row],[Price/Unit
EUR]]," ")</f>
        <v>3180.54</v>
      </c>
      <c r="K1647" s="126">
        <v>45940</v>
      </c>
      <c r="L1647" s="36">
        <f>WEEKNUM(Table1[[#This Row],[ETA
As requested
dd.mm.yyyy]])</f>
        <v>41</v>
      </c>
      <c r="M1647" s="36">
        <f>YEAR(Table1[[#This Row],[ETA
As requested
dd.mm.yyyy]])</f>
        <v>2025</v>
      </c>
      <c r="N1647" s="36">
        <f>IFERROR(INDEX(DATABASE_FG!$H$5:$H$367, MATCH(E1647, DATABASE_FG!$C$5:$C$367, 0)), " ")</f>
        <v>35</v>
      </c>
      <c r="O1647" s="129" t="str">
        <f>IF(E1647&lt;&gt;"", _xlfn.XLOOKUP(E1647, DATABASE_FG!C:C, DATABASE_FG!F:F), " ")</f>
        <v>Drosselboltzen</v>
      </c>
      <c r="P1647" s="129">
        <f>IFERROR(INDEX(DATABASE_FG!$G$5:$G$367, MATCH(E1647, DATABASE_FG!$C$5:$C$367, 0)), "Not Found")</f>
        <v>240</v>
      </c>
      <c r="Q1647" s="36">
        <v>42</v>
      </c>
      <c r="R1647" s="125" t="s">
        <v>678</v>
      </c>
      <c r="S1647" s="123">
        <f>IFERROR(INDEX(DATABASE_FG!$L$5:$L$367, MATCH(E1647, DATABASE_FG!$C$5:$C$367, 0)), " ")</f>
        <v>40</v>
      </c>
      <c r="T1647" s="36" t="s">
        <v>677</v>
      </c>
      <c r="U1647" s="36"/>
      <c r="V1647" s="36"/>
      <c r="W1647" s="129"/>
      <c r="X1647" s="36"/>
      <c r="Y1647" s="36"/>
      <c r="Z1647" s="36"/>
      <c r="AA1647" s="125" t="s">
        <v>3</v>
      </c>
      <c r="AB1647" s="172"/>
      <c r="AC1647" s="119"/>
      <c r="AD1647" s="36" t="str">
        <f t="shared" si="185"/>
        <v/>
      </c>
      <c r="AE1647" s="36" t="str">
        <f t="shared" si="186"/>
        <v/>
      </c>
      <c r="AF1647" s="36"/>
      <c r="AG1647" s="120">
        <f t="shared" si="184"/>
        <v>0</v>
      </c>
      <c r="AH1647" s="36"/>
      <c r="AI1647" s="124"/>
      <c r="AJ1647" s="122"/>
      <c r="AK1647" s="129" t="str">
        <f t="shared" ca="1" si="188"/>
        <v>Late</v>
      </c>
      <c r="AL1647" s="268" t="str">
        <f t="shared" si="187"/>
        <v>October</v>
      </c>
      <c r="AM1647" s="133">
        <f>YEAR(Table1[[#This Row],[ETA
As requested
dd.mm.yyyy]])</f>
        <v>2025</v>
      </c>
    </row>
    <row r="1648" spans="1:40" hidden="1">
      <c r="A1648" s="123" t="s">
        <v>25</v>
      </c>
      <c r="B1648" s="36" t="s">
        <v>1170</v>
      </c>
      <c r="C1648" s="117">
        <v>5500502907</v>
      </c>
      <c r="D1648" s="165">
        <v>45572</v>
      </c>
      <c r="E1648" s="117" t="s">
        <v>228</v>
      </c>
      <c r="F1648" s="36" t="str">
        <f>IFERROR(VLOOKUP(Table1[[#This Row],[Part Number]],DATABASE_FG!$C$6:D11637,2,FALSE)," ")</f>
        <v>THROTTLE SCREW     2FRM 16-3X/</v>
      </c>
      <c r="G1648" s="117" t="str">
        <f>IFERROR(_xlfn.XLOOKUP(Table1[[#This Row],[Part Number]],Table3[Part number],Table3[Drawing
 Revision]),"")</f>
        <v>AI</v>
      </c>
      <c r="H1648" s="118" cm="1">
        <f t="array" ref="H1648">IFERROR(INDEX(PDB!$C:$AT,MATCH(E1648,PDB!$B:$B,0),MATCH(YEAR(K1648),0+PDB!$C$1:$AT$1,0)),"")</f>
        <v>17.38</v>
      </c>
      <c r="I1648" s="36">
        <v>240</v>
      </c>
      <c r="J1648" s="125">
        <f>IFERROR(Table1[[#This Row],[Quantity]]*Table1[[#This Row],[Price/Unit
EUR]]," ")</f>
        <v>4171.2</v>
      </c>
      <c r="K1648" s="126">
        <v>45968</v>
      </c>
      <c r="L1648" s="36">
        <f>WEEKNUM(Table1[[#This Row],[ETA
As requested
dd.mm.yyyy]])</f>
        <v>45</v>
      </c>
      <c r="M1648" s="36">
        <f>YEAR(Table1[[#This Row],[ETA
As requested
dd.mm.yyyy]])</f>
        <v>2025</v>
      </c>
      <c r="N1648" s="36">
        <f>IFERROR(INDEX(DATABASE_FG!$H$5:$H$367, MATCH(E1648, DATABASE_FG!$C$5:$C$367, 0)), " ")</f>
        <v>35</v>
      </c>
      <c r="O1648" s="129" t="str">
        <f>IF(E1648&lt;&gt;"", _xlfn.XLOOKUP(E1648, DATABASE_FG!C:C, DATABASE_FG!F:F), " ")</f>
        <v>Drosselboltzen</v>
      </c>
      <c r="P1648" s="129">
        <f>IFERROR(INDEX(DATABASE_FG!$G$5:$G$367, MATCH(E1648, DATABASE_FG!$C$5:$C$367, 0)), "Not Found")</f>
        <v>240</v>
      </c>
      <c r="Q1648" s="36">
        <v>42</v>
      </c>
      <c r="R1648" s="125" t="s">
        <v>678</v>
      </c>
      <c r="S1648" s="123">
        <f>IFERROR(INDEX(DATABASE_FG!$L$5:$L$367, MATCH(E1648, DATABASE_FG!$C$5:$C$367, 0)), " ")</f>
        <v>40</v>
      </c>
      <c r="T1648" s="36" t="s">
        <v>677</v>
      </c>
      <c r="U1648" s="36"/>
      <c r="V1648" s="36"/>
      <c r="W1648" s="129"/>
      <c r="X1648" s="36"/>
      <c r="Y1648" s="36"/>
      <c r="Z1648" s="36"/>
      <c r="AA1648" s="125" t="s">
        <v>3</v>
      </c>
      <c r="AB1648" s="173"/>
      <c r="AC1648" s="119"/>
      <c r="AD1648" s="36" t="str">
        <f t="shared" si="185"/>
        <v/>
      </c>
      <c r="AE1648" s="36" t="str">
        <f t="shared" si="186"/>
        <v/>
      </c>
      <c r="AF1648" s="36"/>
      <c r="AG1648" s="120">
        <f t="shared" si="184"/>
        <v>0</v>
      </c>
      <c r="AH1648" s="36"/>
      <c r="AI1648" s="124"/>
      <c r="AJ1648" s="122"/>
      <c r="AK1648" s="129" t="str">
        <f t="shared" ca="1" si="188"/>
        <v/>
      </c>
      <c r="AL1648" s="268" t="str">
        <f t="shared" si="187"/>
        <v>November</v>
      </c>
      <c r="AM1648" s="133">
        <f>YEAR(Table1[[#This Row],[ETA
As requested
dd.mm.yyyy]])</f>
        <v>2025</v>
      </c>
    </row>
    <row r="1649" spans="1:39" hidden="1">
      <c r="A1649" s="123" t="s">
        <v>25</v>
      </c>
      <c r="B1649" s="36" t="s">
        <v>1170</v>
      </c>
      <c r="C1649" s="117">
        <v>5500502907</v>
      </c>
      <c r="D1649" s="165">
        <v>45572</v>
      </c>
      <c r="E1649" s="117" t="s">
        <v>228</v>
      </c>
      <c r="F1649" s="36" t="str">
        <f>IFERROR(VLOOKUP(Table1[[#This Row],[Part Number]],DATABASE_FG!$C$6:D11638,2,FALSE)," ")</f>
        <v>THROTTLE SCREW     2FRM 16-3X/</v>
      </c>
      <c r="G1649" s="117" t="str">
        <f>IFERROR(_xlfn.XLOOKUP(Table1[[#This Row],[Part Number]],Table3[Part number],Table3[Drawing
 Revision]),"")</f>
        <v>AI</v>
      </c>
      <c r="H1649" s="118" cm="1">
        <f t="array" ref="H1649">IFERROR(INDEX(PDB!$C:$AT,MATCH(E1649,PDB!$B:$B,0),MATCH(YEAR(K1649),0+PDB!$C$1:$AT$1,0)),"")</f>
        <v>17.38</v>
      </c>
      <c r="I1649" s="36">
        <v>240</v>
      </c>
      <c r="J1649" s="125">
        <f>IFERROR(Table1[[#This Row],[Quantity]]*Table1[[#This Row],[Price/Unit
EUR]]," ")</f>
        <v>4171.2</v>
      </c>
      <c r="K1649" s="126">
        <v>46003</v>
      </c>
      <c r="L1649" s="36">
        <f>WEEKNUM(Table1[[#This Row],[ETA
As requested
dd.mm.yyyy]])</f>
        <v>50</v>
      </c>
      <c r="M1649" s="36">
        <f>YEAR(Table1[[#This Row],[ETA
As requested
dd.mm.yyyy]])</f>
        <v>2025</v>
      </c>
      <c r="N1649" s="36">
        <f>IFERROR(INDEX(DATABASE_FG!$H$5:$H$367, MATCH(E1649, DATABASE_FG!$C$5:$C$367, 0)), " ")</f>
        <v>35</v>
      </c>
      <c r="O1649" s="129" t="str">
        <f>IF(E1649&lt;&gt;"", _xlfn.XLOOKUP(E1649, DATABASE_FG!C:C, DATABASE_FG!F:F), " ")</f>
        <v>Drosselboltzen</v>
      </c>
      <c r="P1649" s="129">
        <f>IFERROR(INDEX(DATABASE_FG!$G$5:$G$367, MATCH(E1649, DATABASE_FG!$C$5:$C$367, 0)), "Not Found")</f>
        <v>240</v>
      </c>
      <c r="Q1649" s="36">
        <v>42</v>
      </c>
      <c r="R1649" s="125" t="s">
        <v>678</v>
      </c>
      <c r="S1649" s="123">
        <f>IFERROR(INDEX(DATABASE_FG!$L$5:$L$367, MATCH(E1649, DATABASE_FG!$C$5:$C$367, 0)), " ")</f>
        <v>40</v>
      </c>
      <c r="T1649" s="36" t="s">
        <v>677</v>
      </c>
      <c r="U1649" s="36"/>
      <c r="V1649" s="36"/>
      <c r="W1649" s="129"/>
      <c r="X1649" s="36"/>
      <c r="Y1649" s="36"/>
      <c r="Z1649" s="36"/>
      <c r="AA1649" s="125" t="s">
        <v>3</v>
      </c>
      <c r="AB1649" s="172"/>
      <c r="AC1649" s="119"/>
      <c r="AD1649" s="36" t="str">
        <f t="shared" si="185"/>
        <v/>
      </c>
      <c r="AE1649" s="36" t="str">
        <f t="shared" si="186"/>
        <v/>
      </c>
      <c r="AF1649" s="36"/>
      <c r="AG1649" s="120">
        <f t="shared" si="184"/>
        <v>0</v>
      </c>
      <c r="AH1649" s="36"/>
      <c r="AI1649" s="124"/>
      <c r="AJ1649" s="122"/>
      <c r="AK1649" s="129" t="str">
        <f t="shared" ca="1" si="188"/>
        <v/>
      </c>
      <c r="AL1649" s="268" t="str">
        <f t="shared" si="187"/>
        <v>December</v>
      </c>
      <c r="AM1649" s="133">
        <f>YEAR(Table1[[#This Row],[ETA
As requested
dd.mm.yyyy]])</f>
        <v>2025</v>
      </c>
    </row>
    <row r="1650" spans="1:39" hidden="1">
      <c r="A1650" s="123" t="s">
        <v>25</v>
      </c>
      <c r="B1650" s="36" t="s">
        <v>2464</v>
      </c>
      <c r="C1650" s="117">
        <v>5500502907</v>
      </c>
      <c r="D1650" s="165">
        <v>45572</v>
      </c>
      <c r="E1650" s="117" t="s">
        <v>228</v>
      </c>
      <c r="F1650" s="36" t="str">
        <f>IFERROR(VLOOKUP(Table1[[#This Row],[Part Number]],DATABASE_FG!$C$6:D11639,2,FALSE)," ")</f>
        <v>THROTTLE SCREW     2FRM 16-3X/</v>
      </c>
      <c r="G1650" s="117" t="str">
        <f>IFERROR(_xlfn.XLOOKUP(Table1[[#This Row],[Part Number]],Table3[Part number],Table3[Drawing
 Revision]),"")</f>
        <v>AI</v>
      </c>
      <c r="H1650" s="118" cm="1">
        <f t="array" ref="H1650">IFERROR(INDEX(PDB!$C:$AT,MATCH(E1650,PDB!$B:$B,0),MATCH(YEAR(K1650),0+PDB!$C$1:$AT$1,0)),"")</f>
        <v>0</v>
      </c>
      <c r="I1650" s="36">
        <v>240</v>
      </c>
      <c r="J1650" s="125">
        <f>IFERROR(Table1[[#This Row],[Quantity]]*Table1[[#This Row],[Price/Unit
EUR]]," ")</f>
        <v>0</v>
      </c>
      <c r="K1650" s="126">
        <v>46080</v>
      </c>
      <c r="L1650" s="36">
        <f>WEEKNUM(Table1[[#This Row],[ETA
As requested
dd.mm.yyyy]])</f>
        <v>9</v>
      </c>
      <c r="M1650" s="36">
        <f>YEAR(Table1[[#This Row],[ETA
As requested
dd.mm.yyyy]])</f>
        <v>2026</v>
      </c>
      <c r="N1650" s="36">
        <f>IFERROR(INDEX(DATABASE_FG!$H$5:$H$367, MATCH(E1650, DATABASE_FG!$C$5:$C$367, 0)), " ")</f>
        <v>35</v>
      </c>
      <c r="O1650" s="129" t="str">
        <f>IF(E1650&lt;&gt;"", _xlfn.XLOOKUP(E1650, DATABASE_FG!C:C, DATABASE_FG!F:F), " ")</f>
        <v>Drosselboltzen</v>
      </c>
      <c r="P1650" s="129">
        <f>IFERROR(INDEX(DATABASE_FG!$G$5:$G$367, MATCH(E1650, DATABASE_FG!$C$5:$C$367, 0)), "Not Found")</f>
        <v>240</v>
      </c>
      <c r="Q1650" s="36">
        <v>42</v>
      </c>
      <c r="R1650" s="125" t="s">
        <v>678</v>
      </c>
      <c r="S1650" s="123">
        <f>IFERROR(INDEX(DATABASE_FG!$L$5:$L$367, MATCH(E1650, DATABASE_FG!$C$5:$C$367, 0)), " ")</f>
        <v>40</v>
      </c>
      <c r="T1650" s="36" t="s">
        <v>677</v>
      </c>
      <c r="U1650" s="36"/>
      <c r="V1650" s="36"/>
      <c r="W1650" s="129"/>
      <c r="X1650" s="36"/>
      <c r="Y1650" s="36"/>
      <c r="Z1650" s="36"/>
      <c r="AA1650" s="125" t="s">
        <v>3</v>
      </c>
      <c r="AB1650" s="173"/>
      <c r="AC1650" s="119"/>
      <c r="AD1650" s="36" t="str">
        <f t="shared" si="185"/>
        <v/>
      </c>
      <c r="AE1650" s="36" t="str">
        <f t="shared" si="186"/>
        <v/>
      </c>
      <c r="AF1650" s="36"/>
      <c r="AG1650" s="120">
        <f t="shared" si="184"/>
        <v>0</v>
      </c>
      <c r="AH1650" s="36"/>
      <c r="AI1650" s="124"/>
      <c r="AJ1650" s="122"/>
      <c r="AK1650" s="129" t="str">
        <f t="shared" ca="1" si="188"/>
        <v/>
      </c>
      <c r="AL1650" s="268" t="str">
        <f t="shared" si="187"/>
        <v>February</v>
      </c>
      <c r="AM1650" s="133">
        <f>YEAR(Table1[[#This Row],[ETA
As requested
dd.mm.yyyy]])</f>
        <v>2026</v>
      </c>
    </row>
    <row r="1651" spans="1:39" hidden="1">
      <c r="A1651" s="123" t="s">
        <v>25</v>
      </c>
      <c r="B1651" s="36" t="s">
        <v>2464</v>
      </c>
      <c r="C1651" s="117">
        <v>5500502907</v>
      </c>
      <c r="D1651" s="165">
        <v>45572</v>
      </c>
      <c r="E1651" s="117" t="s">
        <v>228</v>
      </c>
      <c r="F1651" s="36" t="str">
        <f>IFERROR(VLOOKUP(Table1[[#This Row],[Part Number]],DATABASE_FG!$C$6:D11640,2,FALSE)," ")</f>
        <v>THROTTLE SCREW     2FRM 16-3X/</v>
      </c>
      <c r="G1651" s="117" t="str">
        <f>IFERROR(_xlfn.XLOOKUP(Table1[[#This Row],[Part Number]],Table3[Part number],Table3[Drawing
 Revision]),"")</f>
        <v>AI</v>
      </c>
      <c r="H1651" s="118" cm="1">
        <f t="array" ref="H1651">IFERROR(INDEX(PDB!$C:$AT,MATCH(E1651,PDB!$B:$B,0),MATCH(YEAR(K1651),0+PDB!$C$1:$AT$1,0)),"")</f>
        <v>0</v>
      </c>
      <c r="I1651" s="36">
        <v>240</v>
      </c>
      <c r="J1651" s="125">
        <f>IFERROR(Table1[[#This Row],[Quantity]]*Table1[[#This Row],[Price/Unit
EUR]]," ")</f>
        <v>0</v>
      </c>
      <c r="K1651" s="126">
        <v>46136</v>
      </c>
      <c r="L1651" s="36">
        <f>WEEKNUM(Table1[[#This Row],[ETA
As requested
dd.mm.yyyy]])</f>
        <v>17</v>
      </c>
      <c r="M1651" s="36">
        <f>YEAR(Table1[[#This Row],[ETA
As requested
dd.mm.yyyy]])</f>
        <v>2026</v>
      </c>
      <c r="N1651" s="36">
        <f>IFERROR(INDEX(DATABASE_FG!$H$5:$H$367, MATCH(E1651, DATABASE_FG!$C$5:$C$367, 0)), " ")</f>
        <v>35</v>
      </c>
      <c r="O1651" s="129" t="str">
        <f>IF(E1651&lt;&gt;"", _xlfn.XLOOKUP(E1651, DATABASE_FG!C:C, DATABASE_FG!F:F), " ")</f>
        <v>Drosselboltzen</v>
      </c>
      <c r="P1651" s="129">
        <f>IFERROR(INDEX(DATABASE_FG!$G$5:$G$367, MATCH(E1651, DATABASE_FG!$C$5:$C$367, 0)), "Not Found")</f>
        <v>240</v>
      </c>
      <c r="Q1651" s="36">
        <v>42</v>
      </c>
      <c r="R1651" s="125" t="s">
        <v>678</v>
      </c>
      <c r="S1651" s="123">
        <f>IFERROR(INDEX(DATABASE_FG!$L$5:$L$367, MATCH(E1651, DATABASE_FG!$C$5:$C$367, 0)), " ")</f>
        <v>40</v>
      </c>
      <c r="T1651" s="36" t="s">
        <v>677</v>
      </c>
      <c r="U1651" s="36"/>
      <c r="V1651" s="36"/>
      <c r="W1651" s="129"/>
      <c r="X1651" s="36"/>
      <c r="Y1651" s="36"/>
      <c r="Z1651" s="36"/>
      <c r="AA1651" s="125" t="s">
        <v>3</v>
      </c>
      <c r="AB1651" s="172"/>
      <c r="AC1651" s="119"/>
      <c r="AD1651" s="36" t="str">
        <f t="shared" si="185"/>
        <v/>
      </c>
      <c r="AE1651" s="36" t="str">
        <f t="shared" si="186"/>
        <v/>
      </c>
      <c r="AF1651" s="36"/>
      <c r="AG1651" s="120">
        <f t="shared" ref="AG1651:AG1715" si="189">AF1651*H1651</f>
        <v>0</v>
      </c>
      <c r="AH1651" s="36"/>
      <c r="AI1651" s="124"/>
      <c r="AJ1651" s="122"/>
      <c r="AK1651" s="129" t="str">
        <f t="shared" ca="1" si="188"/>
        <v/>
      </c>
      <c r="AL1651" s="268" t="str">
        <f t="shared" si="187"/>
        <v>April</v>
      </c>
      <c r="AM1651" s="133">
        <f>YEAR(Table1[[#This Row],[ETA
As requested
dd.mm.yyyy]])</f>
        <v>2026</v>
      </c>
    </row>
    <row r="1652" spans="1:39" hidden="1">
      <c r="A1652" s="123" t="s">
        <v>25</v>
      </c>
      <c r="B1652" s="36" t="s">
        <v>2464</v>
      </c>
      <c r="C1652" s="117">
        <v>5500502907</v>
      </c>
      <c r="D1652" s="165">
        <v>45572</v>
      </c>
      <c r="E1652" s="117" t="s">
        <v>228</v>
      </c>
      <c r="F1652" s="36" t="str">
        <f>IFERROR(VLOOKUP(Table1[[#This Row],[Part Number]],DATABASE_FG!$C$6:D11641,2,FALSE)," ")</f>
        <v>THROTTLE SCREW     2FRM 16-3X/</v>
      </c>
      <c r="G1652" s="117" t="str">
        <f>IFERROR(_xlfn.XLOOKUP(Table1[[#This Row],[Part Number]],Table3[Part number],Table3[Drawing
 Revision]),"")</f>
        <v>AI</v>
      </c>
      <c r="H1652" s="118" cm="1">
        <f t="array" ref="H1652">IFERROR(INDEX(PDB!$C:$AT,MATCH(E1652,PDB!$B:$B,0),MATCH(YEAR(K1652),0+PDB!$C$1:$AT$1,0)),"")</f>
        <v>0</v>
      </c>
      <c r="I1652" s="36">
        <v>240</v>
      </c>
      <c r="J1652" s="125">
        <f>IFERROR(Table1[[#This Row],[Quantity]]*Table1[[#This Row],[Price/Unit
EUR]]," ")</f>
        <v>0</v>
      </c>
      <c r="K1652" s="126">
        <v>46192</v>
      </c>
      <c r="L1652" s="36">
        <f>WEEKNUM(Table1[[#This Row],[ETA
As requested
dd.mm.yyyy]])</f>
        <v>25</v>
      </c>
      <c r="M1652" s="36">
        <f>YEAR(Table1[[#This Row],[ETA
As requested
dd.mm.yyyy]])</f>
        <v>2026</v>
      </c>
      <c r="N1652" s="36">
        <f>IFERROR(INDEX(DATABASE_FG!$H$5:$H$367, MATCH(E1652, DATABASE_FG!$C$5:$C$367, 0)), " ")</f>
        <v>35</v>
      </c>
      <c r="O1652" s="129" t="str">
        <f>IF(E1652&lt;&gt;"", _xlfn.XLOOKUP(E1652, DATABASE_FG!C:C, DATABASE_FG!F:F), " ")</f>
        <v>Drosselboltzen</v>
      </c>
      <c r="P1652" s="129">
        <f>IFERROR(INDEX(DATABASE_FG!$G$5:$G$367, MATCH(E1652, DATABASE_FG!$C$5:$C$367, 0)), "Not Found")</f>
        <v>240</v>
      </c>
      <c r="Q1652" s="36">
        <v>42</v>
      </c>
      <c r="R1652" s="125" t="s">
        <v>678</v>
      </c>
      <c r="S1652" s="123">
        <f>IFERROR(INDEX(DATABASE_FG!$L$5:$L$367, MATCH(E1652, DATABASE_FG!$C$5:$C$367, 0)), " ")</f>
        <v>40</v>
      </c>
      <c r="T1652" s="36" t="s">
        <v>677</v>
      </c>
      <c r="U1652" s="36"/>
      <c r="V1652" s="36"/>
      <c r="W1652" s="129"/>
      <c r="X1652" s="36"/>
      <c r="Y1652" s="36"/>
      <c r="Z1652" s="36"/>
      <c r="AA1652" s="125" t="s">
        <v>3</v>
      </c>
      <c r="AB1652" s="173"/>
      <c r="AC1652" s="119"/>
      <c r="AD1652" s="36" t="str">
        <f t="shared" si="185"/>
        <v/>
      </c>
      <c r="AE1652" s="36" t="str">
        <f t="shared" si="186"/>
        <v/>
      </c>
      <c r="AF1652" s="36"/>
      <c r="AG1652" s="120">
        <f t="shared" si="189"/>
        <v>0</v>
      </c>
      <c r="AH1652" s="36"/>
      <c r="AI1652" s="124"/>
      <c r="AJ1652" s="122"/>
      <c r="AK1652" s="129" t="str">
        <f t="shared" ca="1" si="188"/>
        <v/>
      </c>
      <c r="AL1652" s="268" t="str">
        <f t="shared" si="187"/>
        <v>June</v>
      </c>
      <c r="AM1652" s="133">
        <f>YEAR(Table1[[#This Row],[ETA
As requested
dd.mm.yyyy]])</f>
        <v>2026</v>
      </c>
    </row>
    <row r="1653" spans="1:39" hidden="1">
      <c r="A1653" s="123" t="s">
        <v>25</v>
      </c>
      <c r="B1653" s="36" t="s">
        <v>2464</v>
      </c>
      <c r="C1653" s="117">
        <v>5500502907</v>
      </c>
      <c r="D1653" s="165">
        <v>45572</v>
      </c>
      <c r="E1653" s="117" t="s">
        <v>228</v>
      </c>
      <c r="F1653" s="36" t="str">
        <f>IFERROR(VLOOKUP(Table1[[#This Row],[Part Number]],DATABASE_FG!$C$6:D11642,2,FALSE)," ")</f>
        <v>THROTTLE SCREW     2FRM 16-3X/</v>
      </c>
      <c r="G1653" s="117" t="str">
        <f>IFERROR(_xlfn.XLOOKUP(Table1[[#This Row],[Part Number]],Table3[Part number],Table3[Drawing
 Revision]),"")</f>
        <v>AI</v>
      </c>
      <c r="H1653" s="118" cm="1">
        <f t="array" ref="H1653">IFERROR(INDEX(PDB!$C:$AT,MATCH(E1653,PDB!$B:$B,0),MATCH(YEAR(K1653),0+PDB!$C$1:$AT$1,0)),"")</f>
        <v>0</v>
      </c>
      <c r="I1653" s="36">
        <v>240</v>
      </c>
      <c r="J1653" s="125">
        <f>IFERROR(Table1[[#This Row],[Quantity]]*Table1[[#This Row],[Price/Unit
EUR]]," ")</f>
        <v>0</v>
      </c>
      <c r="K1653" s="126">
        <v>46241</v>
      </c>
      <c r="L1653" s="36">
        <f>WEEKNUM(Table1[[#This Row],[ETA
As requested
dd.mm.yyyy]])</f>
        <v>32</v>
      </c>
      <c r="M1653" s="36">
        <f>YEAR(Table1[[#This Row],[ETA
As requested
dd.mm.yyyy]])</f>
        <v>2026</v>
      </c>
      <c r="N1653" s="36">
        <f>IFERROR(INDEX(DATABASE_FG!$H$5:$H$367, MATCH(E1653, DATABASE_FG!$C$5:$C$367, 0)), " ")</f>
        <v>35</v>
      </c>
      <c r="O1653" s="129" t="str">
        <f>IF(E1653&lt;&gt;"", _xlfn.XLOOKUP(E1653, DATABASE_FG!C:C, DATABASE_FG!F:F), " ")</f>
        <v>Drosselboltzen</v>
      </c>
      <c r="P1653" s="129">
        <f>IFERROR(INDEX(DATABASE_FG!$G$5:$G$367, MATCH(E1653, DATABASE_FG!$C$5:$C$367, 0)), "Not Found")</f>
        <v>240</v>
      </c>
      <c r="Q1653" s="36">
        <v>42</v>
      </c>
      <c r="R1653" s="125" t="s">
        <v>678</v>
      </c>
      <c r="S1653" s="123">
        <f>IFERROR(INDEX(DATABASE_FG!$L$5:$L$367, MATCH(E1653, DATABASE_FG!$C$5:$C$367, 0)), " ")</f>
        <v>40</v>
      </c>
      <c r="T1653" s="36" t="s">
        <v>677</v>
      </c>
      <c r="U1653" s="36"/>
      <c r="V1653" s="36"/>
      <c r="W1653" s="129"/>
      <c r="X1653" s="36"/>
      <c r="Y1653" s="36"/>
      <c r="Z1653" s="36"/>
      <c r="AA1653" s="125" t="s">
        <v>3</v>
      </c>
      <c r="AB1653" s="172"/>
      <c r="AC1653" s="119"/>
      <c r="AD1653" s="36" t="str">
        <f t="shared" si="185"/>
        <v/>
      </c>
      <c r="AE1653" s="36" t="str">
        <f t="shared" si="186"/>
        <v/>
      </c>
      <c r="AF1653" s="36"/>
      <c r="AG1653" s="120">
        <f t="shared" si="189"/>
        <v>0</v>
      </c>
      <c r="AH1653" s="36"/>
      <c r="AI1653" s="124"/>
      <c r="AJ1653" s="122"/>
      <c r="AK1653" s="129" t="str">
        <f t="shared" ca="1" si="188"/>
        <v/>
      </c>
      <c r="AL1653" s="268" t="str">
        <f t="shared" si="187"/>
        <v>August</v>
      </c>
      <c r="AM1653" s="133">
        <f>YEAR(Table1[[#This Row],[ETA
As requested
dd.mm.yyyy]])</f>
        <v>2026</v>
      </c>
    </row>
    <row r="1654" spans="1:39" hidden="1">
      <c r="A1654" s="123" t="s">
        <v>25</v>
      </c>
      <c r="B1654" s="36" t="s">
        <v>1170</v>
      </c>
      <c r="C1654" s="117">
        <v>4509909328</v>
      </c>
      <c r="D1654" s="165">
        <v>45336</v>
      </c>
      <c r="E1654" s="117" t="s">
        <v>350</v>
      </c>
      <c r="F1654" s="36" t="str">
        <f>IFERROR(VLOOKUP(Table1[[#This Row],[Part Number]],DATABASE_FG!$C$6:D11643,2,FALSE)," ")</f>
        <v>HOUSING Z2S 16 .-5X/</v>
      </c>
      <c r="G1654" s="117" t="str">
        <f>IFERROR(_xlfn.XLOOKUP(Table1[[#This Row],[Part Number]],Table3[Part number],Table3[Drawing
 Revision]),"")</f>
        <v>AH</v>
      </c>
      <c r="H1654" s="118" cm="1">
        <f t="array" ref="H1654">IFERROR(INDEX(PDB!$C:$AT,MATCH(E1654,PDB!$B:$B,0),MATCH(YEAR(K1654),0+PDB!$C$1:$AT$1,0)),"")</f>
        <v>62.93</v>
      </c>
      <c r="I1654" s="36">
        <v>360</v>
      </c>
      <c r="J1654" s="125">
        <f>IFERROR(Table1[[#This Row],[Quantity]]*Table1[[#This Row],[Price/Unit
EUR]]," ")</f>
        <v>22654.799999999999</v>
      </c>
      <c r="K1654" s="126">
        <v>45412</v>
      </c>
      <c r="L1654" s="36">
        <f>WEEKNUM(Table1[[#This Row],[ETA
As requested
dd.mm.yyyy]])</f>
        <v>18</v>
      </c>
      <c r="M1654" s="36">
        <f>YEAR(Table1[[#This Row],[ETA
As requested
dd.mm.yyyy]])</f>
        <v>2024</v>
      </c>
      <c r="N1654" s="36">
        <f>IFERROR(INDEX(DATABASE_FG!$H$5:$H$367, MATCH(E1654, DATABASE_FG!$C$5:$C$367, 0)), " ")</f>
        <v>0</v>
      </c>
      <c r="O1654" s="129" t="str">
        <f>IF(E1654&lt;&gt;"", _xlfn.XLOOKUP(E1654, DATABASE_FG!C:C, DATABASE_FG!F:F), " ")</f>
        <v>Z2S 16</v>
      </c>
      <c r="P1654" s="129">
        <f>IFERROR(INDEX(DATABASE_FG!$G$5:$G$367, MATCH(E1654, DATABASE_FG!$C$5:$C$367, 0)), "Not Found")</f>
        <v>360</v>
      </c>
      <c r="Q1654" s="36">
        <v>42</v>
      </c>
      <c r="R1654" s="125" t="s">
        <v>678</v>
      </c>
      <c r="S1654" s="123">
        <f>IFERROR(INDEX(DATABASE_FG!$L$5:$L$367, MATCH(E1654, DATABASE_FG!$C$5:$C$367, 0)), " ")</f>
        <v>30</v>
      </c>
      <c r="T1654" s="36" t="s">
        <v>677</v>
      </c>
      <c r="U1654" s="36"/>
      <c r="V1654" s="36"/>
      <c r="W1654" s="129"/>
      <c r="X1654" s="36"/>
      <c r="Y1654" s="36"/>
      <c r="Z1654" s="36" t="s">
        <v>1412</v>
      </c>
      <c r="AA1654" s="125" t="s">
        <v>121</v>
      </c>
      <c r="AB1654" s="172">
        <v>45359</v>
      </c>
      <c r="AC1654" s="119">
        <v>2024204</v>
      </c>
      <c r="AD1654" s="36">
        <f t="shared" si="185"/>
        <v>4509909328</v>
      </c>
      <c r="AE1654" s="36" t="str">
        <f t="shared" si="186"/>
        <v>R900687550</v>
      </c>
      <c r="AF1654" s="36">
        <v>75</v>
      </c>
      <c r="AG1654" s="120">
        <f t="shared" si="189"/>
        <v>4719.75</v>
      </c>
      <c r="AH1654" s="36"/>
      <c r="AI1654" s="124"/>
      <c r="AJ1654" s="122" t="s">
        <v>1413</v>
      </c>
      <c r="AK1654" s="129" t="str">
        <f t="shared" ca="1" si="188"/>
        <v>On Time</v>
      </c>
      <c r="AL1654" s="268" t="str">
        <f t="shared" si="187"/>
        <v>April</v>
      </c>
      <c r="AM1654" s="133">
        <f>YEAR(Table1[[#This Row],[ETA
As requested
dd.mm.yyyy]])</f>
        <v>2024</v>
      </c>
    </row>
    <row r="1655" spans="1:39" hidden="1">
      <c r="A1655" s="123" t="s">
        <v>25</v>
      </c>
      <c r="B1655" s="36" t="s">
        <v>1170</v>
      </c>
      <c r="C1655" s="117">
        <v>4509909328</v>
      </c>
      <c r="D1655" s="165">
        <v>45336</v>
      </c>
      <c r="E1655" s="117" t="s">
        <v>350</v>
      </c>
      <c r="F1655" s="36" t="str">
        <f>IFERROR(VLOOKUP(Table1[[#This Row],[Part Number]],DATABASE_FG!$C$6:D11644,2,FALSE)," ")</f>
        <v>HOUSING Z2S 16 .-5X/</v>
      </c>
      <c r="G1655" s="117" t="str">
        <f>IFERROR(_xlfn.XLOOKUP(Table1[[#This Row],[Part Number]],Table3[Part number],Table3[Drawing
 Revision]),"")</f>
        <v>AH</v>
      </c>
      <c r="H1655" s="118" cm="1">
        <f t="array" ref="H1655">IFERROR(INDEX(PDB!$C:$AT,MATCH(E1655,PDB!$B:$B,0),MATCH(YEAR(K1655),0+PDB!$C$1:$AT$1,0)),"")</f>
        <v>62.93</v>
      </c>
      <c r="I1655" s="36"/>
      <c r="J1655" s="125">
        <f>IFERROR(Table1[[#This Row],[Quantity]]*Table1[[#This Row],[Price/Unit
EUR]]," ")</f>
        <v>0</v>
      </c>
      <c r="K1655" s="126">
        <v>45412</v>
      </c>
      <c r="L1655" s="36">
        <f>WEEKNUM(Table1[[#This Row],[ETA
As requested
dd.mm.yyyy]])</f>
        <v>18</v>
      </c>
      <c r="M1655" s="36">
        <f>YEAR(Table1[[#This Row],[ETA
As requested
dd.mm.yyyy]])</f>
        <v>2024</v>
      </c>
      <c r="N1655" s="36">
        <f>IFERROR(INDEX(DATABASE_FG!$H$5:$H$367, MATCH(E1655, DATABASE_FG!$C$5:$C$367, 0)), " ")</f>
        <v>0</v>
      </c>
      <c r="O1655" s="129" t="str">
        <f>IF(E1655&lt;&gt;"", _xlfn.XLOOKUP(E1655, DATABASE_FG!C:C, DATABASE_FG!F:F), " ")</f>
        <v>Z2S 16</v>
      </c>
      <c r="P1655" s="129">
        <f>IFERROR(INDEX(DATABASE_FG!$G$5:$G$367, MATCH(E1655, DATABASE_FG!$C$5:$C$367, 0)), "Not Found")</f>
        <v>360</v>
      </c>
      <c r="Q1655" s="36"/>
      <c r="R1655" s="125"/>
      <c r="S1655" s="123">
        <f>Table1[[#This Row],[Quantity]]/48</f>
        <v>0</v>
      </c>
      <c r="T1655" s="36"/>
      <c r="U1655" s="36"/>
      <c r="V1655" s="36"/>
      <c r="W1655" s="129"/>
      <c r="X1655" s="36"/>
      <c r="Y1655" s="36"/>
      <c r="Z1655" s="36"/>
      <c r="AA1655" s="125" t="s">
        <v>121</v>
      </c>
      <c r="AB1655" s="172">
        <v>45371</v>
      </c>
      <c r="AC1655" s="119">
        <v>2024249</v>
      </c>
      <c r="AD1655" s="36">
        <f t="shared" si="185"/>
        <v>4509909328</v>
      </c>
      <c r="AE1655" s="36" t="str">
        <f t="shared" si="186"/>
        <v>R900687550</v>
      </c>
      <c r="AF1655" s="36">
        <v>107</v>
      </c>
      <c r="AG1655" s="120">
        <f t="shared" si="189"/>
        <v>6733.51</v>
      </c>
      <c r="AH1655" s="36"/>
      <c r="AI1655" s="124"/>
      <c r="AJ1655" s="122" t="s">
        <v>1414</v>
      </c>
      <c r="AK1655" s="129" t="str">
        <f t="shared" ca="1" si="188"/>
        <v>On Time</v>
      </c>
      <c r="AL1655" s="268" t="str">
        <f t="shared" si="187"/>
        <v>April</v>
      </c>
      <c r="AM1655" s="133">
        <f>YEAR(Table1[[#This Row],[ETA
As requested
dd.mm.yyyy]])</f>
        <v>2024</v>
      </c>
    </row>
    <row r="1656" spans="1:39" hidden="1">
      <c r="A1656" s="123" t="s">
        <v>25</v>
      </c>
      <c r="B1656" s="36" t="s">
        <v>1170</v>
      </c>
      <c r="C1656" s="117">
        <v>4509909328</v>
      </c>
      <c r="D1656" s="165">
        <v>45336</v>
      </c>
      <c r="E1656" s="117" t="s">
        <v>350</v>
      </c>
      <c r="F1656" s="36" t="str">
        <f>IFERROR(VLOOKUP(Table1[[#This Row],[Part Number]],DATABASE_FG!$C$6:D11645,2,FALSE)," ")</f>
        <v>HOUSING Z2S 16 .-5X/</v>
      </c>
      <c r="G1656" s="117" t="str">
        <f>IFERROR(_xlfn.XLOOKUP(Table1[[#This Row],[Part Number]],Table3[Part number],Table3[Drawing
 Revision]),"")</f>
        <v>AH</v>
      </c>
      <c r="H1656" s="118" cm="1">
        <f t="array" ref="H1656">IFERROR(INDEX(PDB!$C:$AT,MATCH(E1656,PDB!$B:$B,0),MATCH(YEAR(K1656),0+PDB!$C$1:$AT$1,0)),"")</f>
        <v>62.93</v>
      </c>
      <c r="I1656" s="36"/>
      <c r="J1656" s="125">
        <f>IFERROR(Table1[[#This Row],[Quantity]]*Table1[[#This Row],[Price/Unit
EUR]]," ")</f>
        <v>0</v>
      </c>
      <c r="K1656" s="126">
        <v>45412</v>
      </c>
      <c r="L1656" s="36">
        <f>WEEKNUM(Table1[[#This Row],[ETA
As requested
dd.mm.yyyy]])</f>
        <v>18</v>
      </c>
      <c r="M1656" s="36">
        <f>YEAR(Table1[[#This Row],[ETA
As requested
dd.mm.yyyy]])</f>
        <v>2024</v>
      </c>
      <c r="N1656" s="36">
        <f>IFERROR(INDEX(DATABASE_FG!$H$5:$H$367, MATCH(E1656, DATABASE_FG!$C$5:$C$367, 0)), " ")</f>
        <v>0</v>
      </c>
      <c r="O1656" s="129" t="str">
        <f>IF(E1656&lt;&gt;"", _xlfn.XLOOKUP(E1656, DATABASE_FG!C:C, DATABASE_FG!F:F), " ")</f>
        <v>Z2S 16</v>
      </c>
      <c r="P1656" s="129">
        <f>IFERROR(INDEX(DATABASE_FG!$G$5:$G$367, MATCH(E1656, DATABASE_FG!$C$5:$C$367, 0)), "Not Found")</f>
        <v>360</v>
      </c>
      <c r="Q1656" s="36"/>
      <c r="R1656" s="125"/>
      <c r="S1656" s="123">
        <f>IFERROR(INDEX(DATABASE_FG!$L$5:$L$367, MATCH(E1656, DATABASE_FG!$C$5:$C$367, 0)), " ")</f>
        <v>30</v>
      </c>
      <c r="T1656" s="36"/>
      <c r="U1656" s="36"/>
      <c r="V1656" s="36"/>
      <c r="W1656" s="129"/>
      <c r="X1656" s="36"/>
      <c r="Y1656" s="36"/>
      <c r="Z1656" s="36"/>
      <c r="AA1656" s="125" t="s">
        <v>121</v>
      </c>
      <c r="AB1656" s="172">
        <v>45400</v>
      </c>
      <c r="AC1656" s="119">
        <v>2024381</v>
      </c>
      <c r="AD1656" s="36">
        <f t="shared" si="185"/>
        <v>4509909328</v>
      </c>
      <c r="AE1656" s="36" t="str">
        <f t="shared" si="186"/>
        <v>R900687550</v>
      </c>
      <c r="AF1656" s="36">
        <v>104</v>
      </c>
      <c r="AG1656" s="120">
        <f t="shared" si="189"/>
        <v>6544.72</v>
      </c>
      <c r="AH1656" s="36"/>
      <c r="AI1656" s="124"/>
      <c r="AJ1656" s="122" t="s">
        <v>1416</v>
      </c>
      <c r="AK1656" s="129" t="str">
        <f t="shared" ca="1" si="188"/>
        <v>On Time</v>
      </c>
      <c r="AL1656" s="268" t="str">
        <f t="shared" si="187"/>
        <v>April</v>
      </c>
      <c r="AM1656" s="133">
        <f>YEAR(Table1[[#This Row],[ETA
As requested
dd.mm.yyyy]])</f>
        <v>2024</v>
      </c>
    </row>
    <row r="1657" spans="1:39" hidden="1">
      <c r="A1657" s="123" t="s">
        <v>25</v>
      </c>
      <c r="B1657" s="36" t="s">
        <v>1170</v>
      </c>
      <c r="C1657" s="117">
        <v>4509909328</v>
      </c>
      <c r="D1657" s="165">
        <v>45336</v>
      </c>
      <c r="E1657" s="117" t="s">
        <v>350</v>
      </c>
      <c r="F1657" s="36" t="str">
        <f>IFERROR(VLOOKUP(Table1[[#This Row],[Part Number]],DATABASE_FG!$C$6:D11646,2,FALSE)," ")</f>
        <v>HOUSING Z2S 16 .-5X/</v>
      </c>
      <c r="G1657" s="117" t="str">
        <f>IFERROR(_xlfn.XLOOKUP(Table1[[#This Row],[Part Number]],Table3[Part number],Table3[Drawing
 Revision]),"")</f>
        <v>AH</v>
      </c>
      <c r="H1657" s="118" cm="1">
        <f t="array" ref="H1657">IFERROR(INDEX(PDB!$C:$AT,MATCH(E1657,PDB!$B:$B,0),MATCH(YEAR(K1657),0+PDB!$C$1:$AT$1,0)),"")</f>
        <v>62.93</v>
      </c>
      <c r="I1657" s="36"/>
      <c r="J1657" s="125">
        <f>IFERROR(Table1[[#This Row],[Quantity]]*Table1[[#This Row],[Price/Unit
EUR]]," ")</f>
        <v>0</v>
      </c>
      <c r="K1657" s="126">
        <v>45412</v>
      </c>
      <c r="L1657" s="36">
        <f>WEEKNUM(Table1[[#This Row],[ETA
As requested
dd.mm.yyyy]])</f>
        <v>18</v>
      </c>
      <c r="M1657" s="36">
        <f>YEAR(Table1[[#This Row],[ETA
As requested
dd.mm.yyyy]])</f>
        <v>2024</v>
      </c>
      <c r="N1657" s="36">
        <f>IFERROR(INDEX(DATABASE_FG!$H$5:$H$367, MATCH(E1657, DATABASE_FG!$C$5:$C$367, 0)), " ")</f>
        <v>0</v>
      </c>
      <c r="O1657" s="129" t="str">
        <f>IF(E1657&lt;&gt;"", _xlfn.XLOOKUP(E1657, DATABASE_FG!C:C, DATABASE_FG!F:F), " ")</f>
        <v>Z2S 16</v>
      </c>
      <c r="P1657" s="129">
        <f>IFERROR(INDEX(DATABASE_FG!$G$5:$G$367, MATCH(E1657, DATABASE_FG!$C$5:$C$367, 0)), "Not Found")</f>
        <v>360</v>
      </c>
      <c r="Q1657" s="36"/>
      <c r="R1657" s="125"/>
      <c r="S1657" s="123">
        <f>IFERROR(INDEX(DATABASE_FG!$L$5:$L$367, MATCH(E1657, DATABASE_FG!$C$5:$C$367, 0)), " ")</f>
        <v>30</v>
      </c>
      <c r="T1657" s="36"/>
      <c r="U1657" s="36"/>
      <c r="V1657" s="36"/>
      <c r="W1657" s="129"/>
      <c r="X1657" s="36"/>
      <c r="Y1657" s="36"/>
      <c r="Z1657" s="36"/>
      <c r="AA1657" s="125" t="s">
        <v>121</v>
      </c>
      <c r="AB1657" s="172">
        <v>45442</v>
      </c>
      <c r="AC1657" s="119">
        <v>2024575</v>
      </c>
      <c r="AD1657" s="36">
        <f t="shared" si="185"/>
        <v>4509909328</v>
      </c>
      <c r="AE1657" s="36" t="str">
        <f t="shared" si="186"/>
        <v>R900687550</v>
      </c>
      <c r="AF1657" s="36">
        <v>2</v>
      </c>
      <c r="AG1657" s="120">
        <f t="shared" si="189"/>
        <v>125.86</v>
      </c>
      <c r="AH1657" s="36"/>
      <c r="AI1657" s="124" t="s">
        <v>1418</v>
      </c>
      <c r="AJ1657" s="122" t="s">
        <v>1419</v>
      </c>
      <c r="AK1657" s="129" t="str">
        <f t="shared" ca="1" si="188"/>
        <v>Late</v>
      </c>
      <c r="AL1657" s="268" t="str">
        <f t="shared" si="187"/>
        <v>April</v>
      </c>
      <c r="AM1657" s="133">
        <f>YEAR(Table1[[#This Row],[ETA
As requested
dd.mm.yyyy]])</f>
        <v>2024</v>
      </c>
    </row>
    <row r="1658" spans="1:39" hidden="1">
      <c r="A1658" s="123" t="s">
        <v>25</v>
      </c>
      <c r="B1658" s="36" t="s">
        <v>1170</v>
      </c>
      <c r="C1658" s="117">
        <v>4509909328</v>
      </c>
      <c r="D1658" s="165">
        <v>45336</v>
      </c>
      <c r="E1658" s="117" t="s">
        <v>350</v>
      </c>
      <c r="F1658" s="36" t="str">
        <f>IFERROR(VLOOKUP(Table1[[#This Row],[Part Number]],DATABASE_FG!$C$6:D11647,2,FALSE)," ")</f>
        <v>HOUSING Z2S 16 .-5X/</v>
      </c>
      <c r="G1658" s="117" t="str">
        <f>IFERROR(_xlfn.XLOOKUP(Table1[[#This Row],[Part Number]],Table3[Part number],Table3[Drawing
 Revision]),"")</f>
        <v>AH</v>
      </c>
      <c r="H1658" s="118" cm="1">
        <f t="array" ref="H1658">IFERROR(INDEX(PDB!$C:$AT,MATCH(E1658,PDB!$B:$B,0),MATCH(YEAR(K1658),0+PDB!$C$1:$AT$1,0)),"")</f>
        <v>62.93</v>
      </c>
      <c r="I1658" s="36"/>
      <c r="J1658" s="125">
        <f>IFERROR(Table1[[#This Row],[Quantity]]*Table1[[#This Row],[Price/Unit
EUR]]," ")</f>
        <v>0</v>
      </c>
      <c r="K1658" s="126">
        <v>45412</v>
      </c>
      <c r="L1658" s="36">
        <f>WEEKNUM(Table1[[#This Row],[ETA
As requested
dd.mm.yyyy]])</f>
        <v>18</v>
      </c>
      <c r="M1658" s="36">
        <f>YEAR(Table1[[#This Row],[ETA
As requested
dd.mm.yyyy]])</f>
        <v>2024</v>
      </c>
      <c r="N1658" s="36">
        <f>IFERROR(INDEX(DATABASE_FG!$H$5:$H$367, MATCH(E1658, DATABASE_FG!$C$5:$C$367, 0)), " ")</f>
        <v>0</v>
      </c>
      <c r="O1658" s="129" t="str">
        <f>IF(E1658&lt;&gt;"", _xlfn.XLOOKUP(E1658, DATABASE_FG!C:C, DATABASE_FG!F:F), " ")</f>
        <v>Z2S 16</v>
      </c>
      <c r="P1658" s="129">
        <f>IFERROR(INDEX(DATABASE_FG!$G$5:$G$367, MATCH(E1658, DATABASE_FG!$C$5:$C$367, 0)), "Not Found")</f>
        <v>360</v>
      </c>
      <c r="Q1658" s="36"/>
      <c r="R1658" s="125"/>
      <c r="S1658" s="123">
        <f>IFERROR(INDEX(DATABASE_FG!$L$5:$L$367, MATCH(E1658, DATABASE_FG!$C$5:$C$367, 0)), " ")</f>
        <v>30</v>
      </c>
      <c r="T1658" s="36"/>
      <c r="U1658" s="36"/>
      <c r="V1658" s="36"/>
      <c r="W1658" s="129"/>
      <c r="X1658" s="36"/>
      <c r="Y1658" s="36"/>
      <c r="Z1658" s="36"/>
      <c r="AA1658" s="125" t="s">
        <v>121</v>
      </c>
      <c r="AB1658" s="172">
        <v>45460</v>
      </c>
      <c r="AC1658" s="119">
        <v>2024675</v>
      </c>
      <c r="AD1658" s="36">
        <f t="shared" si="185"/>
        <v>4509909328</v>
      </c>
      <c r="AE1658" s="36" t="str">
        <f t="shared" si="186"/>
        <v>R900687550</v>
      </c>
      <c r="AF1658" s="36">
        <v>36</v>
      </c>
      <c r="AG1658" s="120">
        <f t="shared" si="189"/>
        <v>2265.48</v>
      </c>
      <c r="AH1658" s="36"/>
      <c r="AI1658" s="124" t="s">
        <v>1418</v>
      </c>
      <c r="AJ1658" s="122" t="s">
        <v>1422</v>
      </c>
      <c r="AK1658" s="129" t="str">
        <f t="shared" ca="1" si="188"/>
        <v>Late</v>
      </c>
      <c r="AL1658" s="268" t="str">
        <f t="shared" si="187"/>
        <v>April</v>
      </c>
      <c r="AM1658" s="133">
        <f>YEAR(Table1[[#This Row],[ETA
As requested
dd.mm.yyyy]])</f>
        <v>2024</v>
      </c>
    </row>
    <row r="1659" spans="1:39" hidden="1">
      <c r="A1659" s="123" t="s">
        <v>25</v>
      </c>
      <c r="B1659" s="36" t="s">
        <v>1170</v>
      </c>
      <c r="C1659" s="117">
        <v>4509909328</v>
      </c>
      <c r="D1659" s="165">
        <v>45336</v>
      </c>
      <c r="E1659" s="117" t="s">
        <v>350</v>
      </c>
      <c r="F1659" s="36" t="str">
        <f>IFERROR(VLOOKUP(Table1[[#This Row],[Part Number]],DATABASE_FG!$C$6:D11648,2,FALSE)," ")</f>
        <v>HOUSING Z2S 16 .-5X/</v>
      </c>
      <c r="G1659" s="117" t="str">
        <f>IFERROR(_xlfn.XLOOKUP(Table1[[#This Row],[Part Number]],Table3[Part number],Table3[Drawing
 Revision]),"")</f>
        <v>AH</v>
      </c>
      <c r="H1659" s="118" cm="1">
        <f t="array" ref="H1659">IFERROR(INDEX(PDB!$C:$AT,MATCH(E1659,PDB!$B:$B,0),MATCH(YEAR(K1659),0+PDB!$C$1:$AT$1,0)),"")</f>
        <v>62.93</v>
      </c>
      <c r="I1659" s="36"/>
      <c r="J1659" s="125">
        <f>IFERROR(Table1[[#This Row],[Quantity]]*Table1[[#This Row],[Price/Unit
EUR]]," ")</f>
        <v>0</v>
      </c>
      <c r="K1659" s="126">
        <v>45412</v>
      </c>
      <c r="L1659" s="36">
        <f>WEEKNUM(Table1[[#This Row],[ETA
As requested
dd.mm.yyyy]])</f>
        <v>18</v>
      </c>
      <c r="M1659" s="36">
        <f>YEAR(Table1[[#This Row],[ETA
As requested
dd.mm.yyyy]])</f>
        <v>2024</v>
      </c>
      <c r="N1659" s="36">
        <f>IFERROR(INDEX(DATABASE_FG!$H$5:$H$367, MATCH(E1659, DATABASE_FG!$C$5:$C$367, 0)), " ")</f>
        <v>0</v>
      </c>
      <c r="O1659" s="129" t="str">
        <f>IF(E1659&lt;&gt;"", _xlfn.XLOOKUP(E1659, DATABASE_FG!C:C, DATABASE_FG!F:F), " ")</f>
        <v>Z2S 16</v>
      </c>
      <c r="P1659" s="129">
        <f>IFERROR(INDEX(DATABASE_FG!$G$5:$G$367, MATCH(E1659, DATABASE_FG!$C$5:$C$367, 0)), "Not Found")</f>
        <v>360</v>
      </c>
      <c r="Q1659" s="36"/>
      <c r="R1659" s="125"/>
      <c r="S1659" s="123">
        <f>Table1[[#This Row],[Quantity]]/48</f>
        <v>0</v>
      </c>
      <c r="T1659" s="36"/>
      <c r="U1659" s="36"/>
      <c r="V1659" s="36"/>
      <c r="W1659" s="129"/>
      <c r="X1659" s="36"/>
      <c r="Y1659" s="36"/>
      <c r="Z1659" s="36"/>
      <c r="AA1659" s="125" t="s">
        <v>121</v>
      </c>
      <c r="AB1659" s="172">
        <v>45475</v>
      </c>
      <c r="AC1659" s="119">
        <v>2024763</v>
      </c>
      <c r="AD1659" s="36">
        <f t="shared" si="185"/>
        <v>4509909328</v>
      </c>
      <c r="AE1659" s="36" t="str">
        <f t="shared" si="186"/>
        <v>R900687550</v>
      </c>
      <c r="AF1659" s="36">
        <v>1</v>
      </c>
      <c r="AG1659" s="120">
        <f t="shared" si="189"/>
        <v>62.93</v>
      </c>
      <c r="AH1659" s="36"/>
      <c r="AI1659" s="124" t="s">
        <v>1418</v>
      </c>
      <c r="AJ1659" s="122" t="s">
        <v>1423</v>
      </c>
      <c r="AK1659" s="129" t="str">
        <f t="shared" ca="1" si="188"/>
        <v>Late</v>
      </c>
      <c r="AL1659" s="268" t="str">
        <f t="shared" si="187"/>
        <v>April</v>
      </c>
      <c r="AM1659" s="133">
        <f>YEAR(Table1[[#This Row],[ETA
As requested
dd.mm.yyyy]])</f>
        <v>2024</v>
      </c>
    </row>
    <row r="1660" spans="1:39" hidden="1">
      <c r="A1660" s="123" t="s">
        <v>25</v>
      </c>
      <c r="B1660" s="36" t="s">
        <v>1170</v>
      </c>
      <c r="C1660" s="117">
        <v>4509909328</v>
      </c>
      <c r="D1660" s="165">
        <v>45336</v>
      </c>
      <c r="E1660" s="117" t="s">
        <v>350</v>
      </c>
      <c r="F1660" s="36" t="str">
        <f>IFERROR(VLOOKUP(Table1[[#This Row],[Part Number]],DATABASE_FG!$C$6:D11649,2,FALSE)," ")</f>
        <v>HOUSING Z2S 16 .-5X/</v>
      </c>
      <c r="G1660" s="117" t="str">
        <f>IFERROR(_xlfn.XLOOKUP(Table1[[#This Row],[Part Number]],Table3[Part number],Table3[Drawing
 Revision]),"")</f>
        <v>AH</v>
      </c>
      <c r="H1660" s="118" cm="1">
        <f t="array" ref="H1660">IFERROR(INDEX(PDB!$C:$AT,MATCH(E1660,PDB!$B:$B,0),MATCH(YEAR(K1660),0+PDB!$C$1:$AT$1,0)),"")</f>
        <v>62.93</v>
      </c>
      <c r="I1660" s="36"/>
      <c r="J1660" s="125">
        <f>IFERROR(Table1[[#This Row],[Quantity]]*Table1[[#This Row],[Price/Unit
EUR]]," ")</f>
        <v>0</v>
      </c>
      <c r="K1660" s="126">
        <v>45412</v>
      </c>
      <c r="L1660" s="36">
        <f>WEEKNUM(Table1[[#This Row],[ETA
As requested
dd.mm.yyyy]])</f>
        <v>18</v>
      </c>
      <c r="M1660" s="36">
        <f>YEAR(Table1[[#This Row],[ETA
As requested
dd.mm.yyyy]])</f>
        <v>2024</v>
      </c>
      <c r="N1660" s="36">
        <f>IFERROR(INDEX(DATABASE_FG!$H$5:$H$367, MATCH(E1660, DATABASE_FG!$C$5:$C$367, 0)), " ")</f>
        <v>0</v>
      </c>
      <c r="O1660" s="129" t="str">
        <f>IF(E1660&lt;&gt;"", _xlfn.XLOOKUP(E1660, DATABASE_FG!C:C, DATABASE_FG!F:F), " ")</f>
        <v>Z2S 16</v>
      </c>
      <c r="P1660" s="129">
        <f>IFERROR(INDEX(DATABASE_FG!$G$5:$G$367, MATCH(E1660, DATABASE_FG!$C$5:$C$367, 0)), "Not Found")</f>
        <v>360</v>
      </c>
      <c r="Q1660" s="36"/>
      <c r="R1660" s="125"/>
      <c r="S1660" s="123">
        <f>Table1[[#This Row],[Quantity]]/48</f>
        <v>0</v>
      </c>
      <c r="T1660" s="36"/>
      <c r="U1660" s="36"/>
      <c r="V1660" s="36"/>
      <c r="W1660" s="129"/>
      <c r="X1660" s="36"/>
      <c r="Y1660" s="36"/>
      <c r="Z1660" s="36"/>
      <c r="AA1660" s="125" t="s">
        <v>121</v>
      </c>
      <c r="AB1660" s="172">
        <v>45478</v>
      </c>
      <c r="AC1660" s="119">
        <v>2024801</v>
      </c>
      <c r="AD1660" s="36">
        <f t="shared" si="185"/>
        <v>4509909328</v>
      </c>
      <c r="AE1660" s="36" t="str">
        <f t="shared" si="186"/>
        <v>R900687550</v>
      </c>
      <c r="AF1660" s="36">
        <v>35</v>
      </c>
      <c r="AG1660" s="120">
        <f t="shared" si="189"/>
        <v>2202.5500000000002</v>
      </c>
      <c r="AH1660" s="36"/>
      <c r="AI1660" s="124"/>
      <c r="AJ1660" s="122" t="s">
        <v>1424</v>
      </c>
      <c r="AK1660" s="129" t="str">
        <f t="shared" ca="1" si="188"/>
        <v>Late</v>
      </c>
      <c r="AL1660" s="268" t="str">
        <f t="shared" si="187"/>
        <v>April</v>
      </c>
      <c r="AM1660" s="133">
        <f>YEAR(Table1[[#This Row],[ETA
As requested
dd.mm.yyyy]])</f>
        <v>2024</v>
      </c>
    </row>
    <row r="1661" spans="1:39" ht="15.75" hidden="1" customHeight="1">
      <c r="A1661" s="123" t="s">
        <v>25</v>
      </c>
      <c r="B1661" s="36" t="s">
        <v>1170</v>
      </c>
      <c r="C1661" s="117">
        <v>4509977134</v>
      </c>
      <c r="D1661" s="165">
        <v>45371</v>
      </c>
      <c r="E1661" s="117" t="s">
        <v>350</v>
      </c>
      <c r="F1661" s="36" t="str">
        <f>IFERROR(VLOOKUP(Table1[[#This Row],[Part Number]],DATABASE_FG!$C$6:D11650,2,FALSE)," ")</f>
        <v>HOUSING Z2S 16 .-5X/</v>
      </c>
      <c r="G1661" s="117" t="str">
        <f>IFERROR(_xlfn.XLOOKUP(Table1[[#This Row],[Part Number]],Table3[Part number],Table3[Drawing
 Revision]),"")</f>
        <v>AH</v>
      </c>
      <c r="H1661" s="118" cm="1">
        <f t="array" ref="H1661">IFERROR(INDEX(PDB!$C:$AT,MATCH(E1661,PDB!$B:$B,0),MATCH(YEAR(K1661),0+PDB!$C$1:$AT$1,0)),"")</f>
        <v>62.93</v>
      </c>
      <c r="I1661" s="36">
        <v>360</v>
      </c>
      <c r="J1661" s="125">
        <f>IFERROR(Table1[[#This Row],[Quantity]]*Table1[[#This Row],[Price/Unit
EUR]]," ")</f>
        <v>22654.799999999999</v>
      </c>
      <c r="K1661" s="126">
        <v>45497</v>
      </c>
      <c r="L1661" s="36">
        <f>WEEKNUM(Table1[[#This Row],[ETA
As requested
dd.mm.yyyy]])</f>
        <v>30</v>
      </c>
      <c r="M1661" s="36">
        <f>YEAR(Table1[[#This Row],[ETA
As requested
dd.mm.yyyy]])</f>
        <v>2024</v>
      </c>
      <c r="N1661" s="36">
        <f>IFERROR(INDEX(DATABASE_FG!$H$5:$H$367, MATCH(E1661, DATABASE_FG!$C$5:$C$367, 0)), " ")</f>
        <v>0</v>
      </c>
      <c r="O1661" s="129" t="str">
        <f>IF(E1661&lt;&gt;"", _xlfn.XLOOKUP(E1661, DATABASE_FG!C:C, DATABASE_FG!F:F), " ")</f>
        <v>Z2S 16</v>
      </c>
      <c r="P1661" s="129">
        <f>IFERROR(INDEX(DATABASE_FG!$G$5:$G$367, MATCH(E1661, DATABASE_FG!$C$5:$C$367, 0)), "Not Found")</f>
        <v>360</v>
      </c>
      <c r="Q1661" s="36">
        <v>42</v>
      </c>
      <c r="R1661" s="125" t="s">
        <v>678</v>
      </c>
      <c r="S1661" s="123">
        <f>IFERROR(INDEX(DATABASE_FG!$L$5:$L$367, MATCH(E1661, DATABASE_FG!$C$5:$C$367, 0)), " ")</f>
        <v>30</v>
      </c>
      <c r="T1661" s="36" t="s">
        <v>677</v>
      </c>
      <c r="U1661" s="36"/>
      <c r="V1661" s="36"/>
      <c r="W1661" s="129"/>
      <c r="X1661" s="36"/>
      <c r="Y1661" s="36"/>
      <c r="Z1661" s="36" t="s">
        <v>1857</v>
      </c>
      <c r="AA1661" s="125" t="s">
        <v>121</v>
      </c>
      <c r="AB1661" s="172">
        <v>45478</v>
      </c>
      <c r="AC1661" s="119">
        <v>2024802</v>
      </c>
      <c r="AD1661" s="36">
        <f t="shared" si="185"/>
        <v>4509977134</v>
      </c>
      <c r="AE1661" s="36" t="str">
        <f t="shared" si="186"/>
        <v>R900687550</v>
      </c>
      <c r="AF1661" s="36">
        <v>40</v>
      </c>
      <c r="AG1661" s="120">
        <f t="shared" si="189"/>
        <v>2517.1999999999998</v>
      </c>
      <c r="AH1661" s="36"/>
      <c r="AI1661" s="124"/>
      <c r="AJ1661" s="122" t="s">
        <v>1858</v>
      </c>
      <c r="AK1661" s="129" t="str">
        <f t="shared" ca="1" si="188"/>
        <v>On Time</v>
      </c>
      <c r="AL1661" s="268" t="str">
        <f t="shared" si="187"/>
        <v>July</v>
      </c>
      <c r="AM1661" s="133">
        <f>YEAR(Table1[[#This Row],[ETA
As requested
dd.mm.yyyy]])</f>
        <v>2024</v>
      </c>
    </row>
    <row r="1662" spans="1:39" hidden="1">
      <c r="A1662" s="123" t="s">
        <v>25</v>
      </c>
      <c r="B1662" s="36" t="s">
        <v>1170</v>
      </c>
      <c r="C1662" s="117">
        <v>4509977134</v>
      </c>
      <c r="D1662" s="165">
        <v>45371</v>
      </c>
      <c r="E1662" s="117" t="s">
        <v>350</v>
      </c>
      <c r="F1662" s="36" t="str">
        <f>IFERROR(VLOOKUP(Table1[[#This Row],[Part Number]],DATABASE_FG!$C$6:D11651,2,FALSE)," ")</f>
        <v>HOUSING Z2S 16 .-5X/</v>
      </c>
      <c r="G1662" s="117" t="str">
        <f>IFERROR(_xlfn.XLOOKUP(Table1[[#This Row],[Part Number]],Table3[Part number],Table3[Drawing
 Revision]),"")</f>
        <v>AH</v>
      </c>
      <c r="H1662" s="118" cm="1">
        <f t="array" ref="H1662">IFERROR(INDEX(PDB!$C:$AT,MATCH(E1662,PDB!$B:$B,0),MATCH(YEAR(K1662),0+PDB!$C$1:$AT$1,0)),"")</f>
        <v>62.93</v>
      </c>
      <c r="I1662" s="36">
        <v>0</v>
      </c>
      <c r="J1662" s="125">
        <f>IFERROR(Table1[[#This Row],[Quantity]]*Table1[[#This Row],[Price/Unit
EUR]]," ")</f>
        <v>0</v>
      </c>
      <c r="K1662" s="126">
        <v>45497</v>
      </c>
      <c r="L1662" s="36">
        <f>WEEKNUM(Table1[[#This Row],[ETA
As requested
dd.mm.yyyy]])</f>
        <v>30</v>
      </c>
      <c r="M1662" s="36">
        <f>YEAR(Table1[[#This Row],[ETA
As requested
dd.mm.yyyy]])</f>
        <v>2024</v>
      </c>
      <c r="N1662" s="36">
        <f>IFERROR(INDEX(DATABASE_FG!$H$5:$H$367, MATCH(E1662, DATABASE_FG!$C$5:$C$367, 0)), " ")</f>
        <v>0</v>
      </c>
      <c r="O1662" s="129" t="str">
        <f>IF(E1662&lt;&gt;"", _xlfn.XLOOKUP(E1662, DATABASE_FG!C:C, DATABASE_FG!F:F), " ")</f>
        <v>Z2S 16</v>
      </c>
      <c r="P1662" s="129">
        <f>IFERROR(INDEX(DATABASE_FG!$G$5:$G$367, MATCH(E1662, DATABASE_FG!$C$5:$C$367, 0)), "Not Found")</f>
        <v>360</v>
      </c>
      <c r="Q1662" s="36"/>
      <c r="R1662" s="125"/>
      <c r="S1662" s="123">
        <f>Table1[[#This Row],[Quantity]]/48</f>
        <v>0</v>
      </c>
      <c r="T1662" s="36"/>
      <c r="U1662" s="36"/>
      <c r="V1662" s="36"/>
      <c r="W1662" s="129"/>
      <c r="X1662" s="36"/>
      <c r="Y1662" s="36"/>
      <c r="Z1662" s="36"/>
      <c r="AA1662" s="125" t="s">
        <v>121</v>
      </c>
      <c r="AB1662" s="172">
        <v>45505</v>
      </c>
      <c r="AC1662" s="119">
        <v>2024964</v>
      </c>
      <c r="AD1662" s="36">
        <f t="shared" si="185"/>
        <v>4509977134</v>
      </c>
      <c r="AE1662" s="36" t="str">
        <f t="shared" si="186"/>
        <v>R900687550</v>
      </c>
      <c r="AF1662" s="36">
        <f>212+2+9</f>
        <v>223</v>
      </c>
      <c r="AG1662" s="120">
        <f t="shared" si="189"/>
        <v>14033.39</v>
      </c>
      <c r="AH1662" s="36"/>
      <c r="AI1662" s="124" t="s">
        <v>1418</v>
      </c>
      <c r="AJ1662" s="122" t="s">
        <v>1859</v>
      </c>
      <c r="AK1662" s="129" t="str">
        <f t="shared" ca="1" si="188"/>
        <v>Late</v>
      </c>
      <c r="AL1662" s="268" t="str">
        <f t="shared" si="187"/>
        <v>July</v>
      </c>
      <c r="AM1662" s="133">
        <f>YEAR(Table1[[#This Row],[ETA
As requested
dd.mm.yyyy]])</f>
        <v>2024</v>
      </c>
    </row>
    <row r="1663" spans="1:39" hidden="1">
      <c r="A1663" s="123" t="s">
        <v>25</v>
      </c>
      <c r="B1663" s="36" t="s">
        <v>1170</v>
      </c>
      <c r="C1663" s="117">
        <v>4509977134</v>
      </c>
      <c r="D1663" s="165">
        <v>45371</v>
      </c>
      <c r="E1663" s="117" t="s">
        <v>350</v>
      </c>
      <c r="F1663" s="36" t="str">
        <f>IFERROR(VLOOKUP(Table1[[#This Row],[Part Number]],DATABASE_FG!$C$6:D11652,2,FALSE)," ")</f>
        <v>HOUSING Z2S 16 .-5X/</v>
      </c>
      <c r="G1663" s="117" t="str">
        <f>IFERROR(_xlfn.XLOOKUP(Table1[[#This Row],[Part Number]],Table3[Part number],Table3[Drawing
 Revision]),"")</f>
        <v>AH</v>
      </c>
      <c r="H1663" s="118" cm="1">
        <f t="array" ref="H1663">IFERROR(INDEX(PDB!$C:$AT,MATCH(E1663,PDB!$B:$B,0),MATCH(YEAR(K1663),0+PDB!$C$1:$AT$1,0)),"")</f>
        <v>62.93</v>
      </c>
      <c r="I1663" s="36">
        <v>0</v>
      </c>
      <c r="J1663" s="125">
        <f>IFERROR(Table1[[#This Row],[Quantity]]*Table1[[#This Row],[Price/Unit
EUR]]," ")</f>
        <v>0</v>
      </c>
      <c r="K1663" s="126">
        <v>45497</v>
      </c>
      <c r="L1663" s="36">
        <f>WEEKNUM(Table1[[#This Row],[ETA
As requested
dd.mm.yyyy]])</f>
        <v>30</v>
      </c>
      <c r="M1663" s="36">
        <f>YEAR(Table1[[#This Row],[ETA
As requested
dd.mm.yyyy]])</f>
        <v>2024</v>
      </c>
      <c r="N1663" s="36">
        <f>IFERROR(INDEX(DATABASE_FG!$H$5:$H$367, MATCH(E1663, DATABASE_FG!$C$5:$C$367, 0)), " ")</f>
        <v>0</v>
      </c>
      <c r="O1663" s="129" t="str">
        <f>IF(E1663&lt;&gt;"", _xlfn.XLOOKUP(E1663, DATABASE_FG!C:C, DATABASE_FG!F:F), " ")</f>
        <v>Z2S 16</v>
      </c>
      <c r="P1663" s="129">
        <f>IFERROR(INDEX(DATABASE_FG!$G$5:$G$367, MATCH(E1663, DATABASE_FG!$C$5:$C$367, 0)), "Not Found")</f>
        <v>360</v>
      </c>
      <c r="Q1663" s="36"/>
      <c r="R1663" s="125"/>
      <c r="S1663" s="123">
        <f>Table1[[#This Row],[Quantity]]/48</f>
        <v>0</v>
      </c>
      <c r="T1663" s="36"/>
      <c r="U1663" s="36"/>
      <c r="V1663" s="36"/>
      <c r="W1663" s="129"/>
      <c r="X1663" s="36"/>
      <c r="Y1663" s="36"/>
      <c r="Z1663" s="36"/>
      <c r="AA1663" s="125" t="s">
        <v>121</v>
      </c>
      <c r="AB1663" s="172">
        <v>45531</v>
      </c>
      <c r="AC1663" s="119">
        <v>202401072</v>
      </c>
      <c r="AD1663" s="36">
        <f t="shared" si="185"/>
        <v>4509977134</v>
      </c>
      <c r="AE1663" s="36" t="str">
        <f t="shared" si="186"/>
        <v>R900687550</v>
      </c>
      <c r="AF1663" s="36">
        <v>58</v>
      </c>
      <c r="AG1663" s="120">
        <f t="shared" si="189"/>
        <v>3649.94</v>
      </c>
      <c r="AH1663" s="36"/>
      <c r="AI1663" s="124" t="s">
        <v>1418</v>
      </c>
      <c r="AJ1663" s="122" t="s">
        <v>1862</v>
      </c>
      <c r="AK1663" s="129" t="str">
        <f t="shared" ca="1" si="188"/>
        <v>Late</v>
      </c>
      <c r="AL1663" s="268" t="str">
        <f t="shared" si="187"/>
        <v>July</v>
      </c>
      <c r="AM1663" s="133">
        <f>YEAR(Table1[[#This Row],[ETA
As requested
dd.mm.yyyy]])</f>
        <v>2024</v>
      </c>
    </row>
    <row r="1664" spans="1:39" hidden="1">
      <c r="A1664" s="123" t="s">
        <v>25</v>
      </c>
      <c r="B1664" s="36" t="s">
        <v>1170</v>
      </c>
      <c r="C1664" s="117">
        <v>4509977134</v>
      </c>
      <c r="D1664" s="165">
        <v>45372</v>
      </c>
      <c r="E1664" s="117" t="s">
        <v>350</v>
      </c>
      <c r="F1664" s="36" t="str">
        <f>IFERROR(VLOOKUP(Table1[[#This Row],[Part Number]],DATABASE_FG!$C$6:D11653,2,FALSE)," ")</f>
        <v>HOUSING Z2S 16 .-5X/</v>
      </c>
      <c r="G1664" s="117" t="str">
        <f>IFERROR(_xlfn.XLOOKUP(Table1[[#This Row],[Part Number]],Table3[Part number],Table3[Drawing
 Revision]),"")</f>
        <v>AH</v>
      </c>
      <c r="H1664" s="118" cm="1">
        <f t="array" ref="H1664">IFERROR(INDEX(PDB!$C:$AT,MATCH(E1664,PDB!$B:$B,0),MATCH(YEAR(K1664),0+PDB!$C$1:$AT$1,0)),"")</f>
        <v>62.93</v>
      </c>
      <c r="I1664" s="36">
        <v>0</v>
      </c>
      <c r="J1664" s="125">
        <f>IFERROR(Table1[[#This Row],[Quantity]]*Table1[[#This Row],[Price/Unit
EUR]]," ")</f>
        <v>0</v>
      </c>
      <c r="K1664" s="126">
        <v>45498</v>
      </c>
      <c r="L1664" s="36">
        <f>WEEKNUM(Table1[[#This Row],[ETA
As requested
dd.mm.yyyy]])</f>
        <v>30</v>
      </c>
      <c r="M1664" s="36">
        <f>YEAR(Table1[[#This Row],[ETA
As requested
dd.mm.yyyy]])</f>
        <v>2024</v>
      </c>
      <c r="N1664" s="36">
        <f>IFERROR(INDEX(DATABASE_FG!$H$5:$H$367, MATCH(E1664, DATABASE_FG!$C$5:$C$367, 0)), " ")</f>
        <v>0</v>
      </c>
      <c r="O1664" s="129" t="str">
        <f>IF(E1664&lt;&gt;"", _xlfn.XLOOKUP(E1664, DATABASE_FG!C:C, DATABASE_FG!F:F), " ")</f>
        <v>Z2S 16</v>
      </c>
      <c r="P1664" s="129">
        <f>IFERROR(INDEX(DATABASE_FG!$G$5:$G$367, MATCH(E1664, DATABASE_FG!$C$5:$C$367, 0)), "Not Found")</f>
        <v>360</v>
      </c>
      <c r="Q1664" s="36"/>
      <c r="R1664" s="125"/>
      <c r="S1664" s="123">
        <f>Table1[[#This Row],[Quantity]]/48</f>
        <v>0</v>
      </c>
      <c r="T1664" s="36"/>
      <c r="U1664" s="36"/>
      <c r="V1664" s="36"/>
      <c r="W1664" s="129"/>
      <c r="X1664" s="36"/>
      <c r="Y1664" s="36"/>
      <c r="Z1664" s="36"/>
      <c r="AA1664" s="125" t="s">
        <v>121</v>
      </c>
      <c r="AB1664" s="172">
        <v>45537</v>
      </c>
      <c r="AC1664" s="119">
        <v>202401090</v>
      </c>
      <c r="AD1664" s="36">
        <f t="shared" ref="AD1664:AD1731" si="190">IF(NOT(ISBLANK(AC1664)), C1664, "")</f>
        <v>4509977134</v>
      </c>
      <c r="AE1664" s="36" t="str">
        <f t="shared" si="186"/>
        <v>R900687550</v>
      </c>
      <c r="AF1664" s="36">
        <v>39</v>
      </c>
      <c r="AG1664" s="120">
        <f t="shared" si="189"/>
        <v>2454.27</v>
      </c>
      <c r="AH1664" s="36"/>
      <c r="AI1664" s="124"/>
      <c r="AJ1664" s="122" t="s">
        <v>1868</v>
      </c>
      <c r="AK1664" s="129" t="str">
        <f t="shared" ca="1" si="188"/>
        <v>Late</v>
      </c>
      <c r="AL1664" s="268" t="str">
        <f t="shared" si="187"/>
        <v>July</v>
      </c>
      <c r="AM1664" s="133">
        <f>YEAR(Table1[[#This Row],[ETA
As requested
dd.mm.yyyy]])</f>
        <v>2024</v>
      </c>
    </row>
    <row r="1665" spans="1:39" hidden="1">
      <c r="A1665" s="123" t="s">
        <v>25</v>
      </c>
      <c r="B1665" s="36" t="s">
        <v>1170</v>
      </c>
      <c r="C1665" s="117">
        <v>4510242620</v>
      </c>
      <c r="D1665" s="165">
        <v>45537</v>
      </c>
      <c r="E1665" s="117" t="s">
        <v>350</v>
      </c>
      <c r="F1665" s="36" t="str">
        <f>IFERROR(VLOOKUP(Table1[[#This Row],[Part Number]],DATABASE_FG!$C$6:D11654,2,FALSE)," ")</f>
        <v>HOUSING Z2S 16 .-5X/</v>
      </c>
      <c r="G1665" s="117" t="str">
        <f>IFERROR(_xlfn.XLOOKUP(Table1[[#This Row],[Part Number]],Table3[Part number],Table3[Drawing
 Revision]),"")</f>
        <v>AH</v>
      </c>
      <c r="H1665" s="118" cm="1">
        <f t="array" ref="H1665">IFERROR(INDEX(PDB!$C:$AT,MATCH(E1665,PDB!$B:$B,0),MATCH(YEAR(K1665),0+PDB!$C$1:$AT$1,0)),"")</f>
        <v>62.93</v>
      </c>
      <c r="I1665" s="36">
        <v>60</v>
      </c>
      <c r="J1665" s="125">
        <f>IFERROR(Table1[[#This Row],[Quantity]]*Table1[[#This Row],[Price/Unit
EUR]]," ")</f>
        <v>3775.8</v>
      </c>
      <c r="K1665" s="126">
        <v>45541</v>
      </c>
      <c r="L1665" s="36">
        <f>WEEKNUM(Table1[[#This Row],[ETA
As requested
dd.mm.yyyy]])</f>
        <v>36</v>
      </c>
      <c r="M1665" s="36">
        <f>YEAR(Table1[[#This Row],[ETA
As requested
dd.mm.yyyy]])</f>
        <v>2024</v>
      </c>
      <c r="N1665" s="36">
        <f>IFERROR(INDEX(DATABASE_FG!$H$5:$H$367, MATCH(E1665, DATABASE_FG!$C$5:$C$367, 0)), " ")</f>
        <v>0</v>
      </c>
      <c r="O1665" s="129" t="str">
        <f>IF(E1665&lt;&gt;"", _xlfn.XLOOKUP(E1665, DATABASE_FG!C:C, DATABASE_FG!F:F), " ")</f>
        <v>Z2S 16</v>
      </c>
      <c r="P1665" s="129">
        <f>IFERROR(INDEX(DATABASE_FG!$G$5:$G$367, MATCH(E1665, DATABASE_FG!$C$5:$C$367, 0)), "Not Found")</f>
        <v>360</v>
      </c>
      <c r="Q1665" s="36"/>
      <c r="R1665" s="125"/>
      <c r="S1665" s="123">
        <f>IFERROR(INDEX(DATABASE_FG!$L$5:$L$367, MATCH(E1665, DATABASE_FG!$C$5:$C$367, 0)), " ")</f>
        <v>30</v>
      </c>
      <c r="T1665" s="36"/>
      <c r="U1665" s="36"/>
      <c r="V1665" s="36"/>
      <c r="W1665" s="129"/>
      <c r="X1665" s="36"/>
      <c r="Y1665" s="36"/>
      <c r="Z1665" s="36"/>
      <c r="AA1665" s="125" t="s">
        <v>121</v>
      </c>
      <c r="AB1665" s="172">
        <v>45537</v>
      </c>
      <c r="AC1665" s="119">
        <v>202401091</v>
      </c>
      <c r="AD1665" s="36">
        <f t="shared" si="190"/>
        <v>4510242620</v>
      </c>
      <c r="AE1665" s="36" t="str">
        <f t="shared" si="186"/>
        <v>R900687550</v>
      </c>
      <c r="AF1665" s="36">
        <v>60</v>
      </c>
      <c r="AG1665" s="120">
        <f t="shared" si="189"/>
        <v>3775.8</v>
      </c>
      <c r="AH1665" s="36"/>
      <c r="AI1665" s="124"/>
      <c r="AJ1665" s="122" t="s">
        <v>2342</v>
      </c>
      <c r="AK1665" s="129" t="str">
        <f t="shared" ca="1" si="188"/>
        <v>On Time</v>
      </c>
      <c r="AL1665" s="268" t="str">
        <f t="shared" si="187"/>
        <v>September</v>
      </c>
      <c r="AM1665" s="133">
        <f>YEAR(Table1[[#This Row],[ETA
As requested
dd.mm.yyyy]])</f>
        <v>2024</v>
      </c>
    </row>
    <row r="1666" spans="1:39" hidden="1">
      <c r="A1666" s="123" t="s">
        <v>25</v>
      </c>
      <c r="B1666" s="36" t="s">
        <v>1170</v>
      </c>
      <c r="C1666" s="117">
        <v>4510269283</v>
      </c>
      <c r="D1666" s="165">
        <v>45553</v>
      </c>
      <c r="E1666" s="117" t="s">
        <v>350</v>
      </c>
      <c r="F1666" s="36" t="str">
        <f>IFERROR(VLOOKUP(Table1[[#This Row],[Part Number]],DATABASE_FG!$C$6:D11655,2,FALSE)," ")</f>
        <v>HOUSING Z2S 16 .-5X/</v>
      </c>
      <c r="G1666" s="117" t="str">
        <f>IFERROR(_xlfn.XLOOKUP(Table1[[#This Row],[Part Number]],Table3[Part number],Table3[Drawing
 Revision]),"")</f>
        <v>AH</v>
      </c>
      <c r="H1666" s="118" cm="1">
        <f t="array" ref="H1666">IFERROR(INDEX(PDB!$C:$AT,MATCH(E1666,PDB!$B:$B,0),MATCH(YEAR(K1666),0+PDB!$C$1:$AT$1,0)),"")</f>
        <v>62.93</v>
      </c>
      <c r="I1666" s="36">
        <v>17</v>
      </c>
      <c r="J1666" s="125">
        <f>IFERROR(Table1[[#This Row],[Quantity]]*Table1[[#This Row],[Price/Unit
EUR]]," ")</f>
        <v>1069.81</v>
      </c>
      <c r="K1666" s="126">
        <v>45555</v>
      </c>
      <c r="L1666" s="36">
        <f>WEEKNUM(Table1[[#This Row],[ETA
As requested
dd.mm.yyyy]])</f>
        <v>38</v>
      </c>
      <c r="M1666" s="36">
        <f>YEAR(Table1[[#This Row],[ETA
As requested
dd.mm.yyyy]])</f>
        <v>2024</v>
      </c>
      <c r="N1666" s="36">
        <f>IFERROR(INDEX(DATABASE_FG!$H$5:$H$367, MATCH(E1666, DATABASE_FG!$C$5:$C$367, 0)), " ")</f>
        <v>0</v>
      </c>
      <c r="O1666" s="129" t="str">
        <f>IF(E1666&lt;&gt;"", _xlfn.XLOOKUP(E1666, DATABASE_FG!C:C, DATABASE_FG!F:F), " ")</f>
        <v>Z2S 16</v>
      </c>
      <c r="P1666" s="129">
        <f>IFERROR(INDEX(DATABASE_FG!$G$5:$G$367, MATCH(E1666, DATABASE_FG!$C$5:$C$367, 0)), "Not Found")</f>
        <v>360</v>
      </c>
      <c r="Q1666" s="36"/>
      <c r="R1666" s="125"/>
      <c r="S1666" s="123">
        <f>IFERROR(INDEX(DATABASE_FG!$L$5:$L$367, MATCH(E1666, DATABASE_FG!$C$5:$C$367, 0)), " ")</f>
        <v>30</v>
      </c>
      <c r="T1666" s="36"/>
      <c r="U1666" s="36"/>
      <c r="V1666" s="36"/>
      <c r="W1666" s="129"/>
      <c r="X1666" s="36"/>
      <c r="Y1666" s="36"/>
      <c r="Z1666" s="36"/>
      <c r="AA1666" s="125" t="s">
        <v>121</v>
      </c>
      <c r="AB1666" s="172">
        <v>45553</v>
      </c>
      <c r="AC1666" s="119">
        <v>202401145</v>
      </c>
      <c r="AD1666" s="36">
        <f t="shared" si="190"/>
        <v>4510269283</v>
      </c>
      <c r="AE1666" s="36" t="str">
        <f t="shared" ref="AE1666:AE1733" si="191">IF(NOT(ISBLANK(AC1666)), E1666, "")</f>
        <v>R900687550</v>
      </c>
      <c r="AF1666" s="36">
        <v>17</v>
      </c>
      <c r="AG1666" s="120">
        <f t="shared" si="189"/>
        <v>1069.81</v>
      </c>
      <c r="AH1666" s="36"/>
      <c r="AI1666" s="124"/>
      <c r="AJ1666" s="122" t="s">
        <v>2387</v>
      </c>
      <c r="AK1666" s="129" t="str">
        <f t="shared" ca="1" si="188"/>
        <v>On Time</v>
      </c>
      <c r="AL1666" s="268" t="str">
        <f t="shared" si="187"/>
        <v>September</v>
      </c>
      <c r="AM1666" s="133">
        <f>YEAR(Table1[[#This Row],[ETA
As requested
dd.mm.yyyy]])</f>
        <v>2024</v>
      </c>
    </row>
    <row r="1667" spans="1:39" hidden="1">
      <c r="A1667" s="123" t="s">
        <v>25</v>
      </c>
      <c r="B1667" s="36" t="s">
        <v>1170</v>
      </c>
      <c r="C1667" s="117">
        <v>4509977134</v>
      </c>
      <c r="D1667" s="165">
        <v>45796</v>
      </c>
      <c r="E1667" s="117" t="s">
        <v>350</v>
      </c>
      <c r="F1667" s="36" t="str">
        <f>IFERROR(VLOOKUP(Table1[[#This Row],[Part Number]],DATABASE_FG!$C$6:D11656,2,FALSE)," ")</f>
        <v>HOUSING Z2S 16 .-5X/</v>
      </c>
      <c r="G1667" s="117" t="str">
        <f>IFERROR(_xlfn.XLOOKUP(Table1[[#This Row],[Part Number]],Table3[Part number],Table3[Drawing
 Revision]),"")</f>
        <v>AH</v>
      </c>
      <c r="H1667" s="118" cm="1">
        <f t="array" ref="H1667">IFERROR(INDEX(PDB!$C:$AT,MATCH(E1667,PDB!$B:$B,0),MATCH(YEAR(K1667),0+PDB!$C$1:$AT$1,0)),"")</f>
        <v>62.93</v>
      </c>
      <c r="I1667" s="36">
        <v>360</v>
      </c>
      <c r="J1667" s="125">
        <f>IFERROR(Table1[[#This Row],[Quantity]]*Table1[[#This Row],[Price/Unit
EUR]]," ")</f>
        <v>22654.799999999999</v>
      </c>
      <c r="K1667" s="126">
        <v>45555</v>
      </c>
      <c r="L1667" s="36">
        <f>WEEKNUM(Table1[[#This Row],[ETA
As requested
dd.mm.yyyy]])</f>
        <v>38</v>
      </c>
      <c r="M1667" s="36">
        <f>YEAR(Table1[[#This Row],[ETA
As requested
dd.mm.yyyy]])</f>
        <v>2024</v>
      </c>
      <c r="N1667" s="36">
        <f>IFERROR(INDEX(DATABASE_FG!$H$5:$H$367, MATCH(E1667, DATABASE_FG!$C$5:$C$367, 0)), " ")</f>
        <v>0</v>
      </c>
      <c r="O1667" s="129" t="str">
        <f>IF(E1667&lt;&gt;"", _xlfn.XLOOKUP(E1667, DATABASE_FG!C:C, DATABASE_FG!F:F), " ")</f>
        <v>Z2S 16</v>
      </c>
      <c r="P1667" s="129">
        <f>IFERROR(INDEX(DATABASE_FG!$G$5:$G$367, MATCH(E1667, DATABASE_FG!$C$5:$C$367, 0)), "Not Found")</f>
        <v>360</v>
      </c>
      <c r="Q1667" s="36"/>
      <c r="R1667" s="125"/>
      <c r="S1667" s="123">
        <f>IFERROR(INDEX(DATABASE_FG!$L$5:$L$367, MATCH(E1667, DATABASE_FG!$C$5:$C$367, 0)), " ")</f>
        <v>30</v>
      </c>
      <c r="T1667" s="36"/>
      <c r="U1667" s="36"/>
      <c r="V1667" s="36"/>
      <c r="W1667" s="129"/>
      <c r="X1667" s="36"/>
      <c r="Y1667" s="36"/>
      <c r="Z1667" s="36"/>
      <c r="AA1667" s="125" t="s">
        <v>121</v>
      </c>
      <c r="AB1667" s="172"/>
      <c r="AC1667" s="119"/>
      <c r="AD1667" s="36" t="str">
        <f t="shared" si="190"/>
        <v/>
      </c>
      <c r="AE1667" s="36" t="str">
        <f t="shared" si="191"/>
        <v/>
      </c>
      <c r="AF1667" s="36">
        <v>0</v>
      </c>
      <c r="AG1667" s="120">
        <f t="shared" si="189"/>
        <v>0</v>
      </c>
      <c r="AH1667" s="36"/>
      <c r="AI1667" s="124"/>
      <c r="AJ1667" s="122"/>
      <c r="AK1667" s="129" t="str">
        <f t="shared" ca="1" si="188"/>
        <v>Late</v>
      </c>
      <c r="AL1667" s="268" t="str">
        <f t="shared" si="187"/>
        <v>September</v>
      </c>
      <c r="AM1667" s="133">
        <f>YEAR(Table1[[#This Row],[ETA
As requested
dd.mm.yyyy]])</f>
        <v>2024</v>
      </c>
    </row>
    <row r="1668" spans="1:39" hidden="1">
      <c r="A1668" s="123" t="s">
        <v>25</v>
      </c>
      <c r="B1668" s="36" t="s">
        <v>1170</v>
      </c>
      <c r="C1668" s="117">
        <v>4509909318</v>
      </c>
      <c r="D1668" s="165">
        <v>45336</v>
      </c>
      <c r="E1668" s="117" t="s">
        <v>242</v>
      </c>
      <c r="F1668" s="36" t="str">
        <f>IFERROR(VLOOKUP(Table1[[#This Row],[Part Number]],DATABASE_FG!$C$6:D11657,2,FALSE)," ")</f>
        <v>HOUSING Z2S 22.-5X/</v>
      </c>
      <c r="G1668" s="117" t="str">
        <f>IFERROR(_xlfn.XLOOKUP(Table1[[#This Row],[Part Number]],Table3[Part number],Table3[Drawing
 Revision]),"")</f>
        <v>AI</v>
      </c>
      <c r="H1668" s="118" cm="1">
        <f t="array" ref="H1668">IFERROR(INDEX(PDB!$C:$AT,MATCH(E1668,PDB!$B:$B,0),MATCH(YEAR(K1668),0+PDB!$C$1:$AT$1,0)),"")</f>
        <v>78.23</v>
      </c>
      <c r="I1668" s="36">
        <v>210</v>
      </c>
      <c r="J1668" s="125">
        <f>IFERROR(Table1[[#This Row],[Quantity]]*Table1[[#This Row],[Price/Unit
EUR]]," ")</f>
        <v>16428.3</v>
      </c>
      <c r="K1668" s="126">
        <v>45351</v>
      </c>
      <c r="L1668" s="36">
        <f>WEEKNUM(Table1[[#This Row],[ETA
As requested
dd.mm.yyyy]])</f>
        <v>9</v>
      </c>
      <c r="M1668" s="36">
        <f>YEAR(Table1[[#This Row],[ETA
As requested
dd.mm.yyyy]])</f>
        <v>2024</v>
      </c>
      <c r="N1668" s="36">
        <f>IFERROR(INDEX(DATABASE_FG!$H$5:$H$367, MATCH(E1668, DATABASE_FG!$C$5:$C$367, 0)), " ")</f>
        <v>0</v>
      </c>
      <c r="O1668" s="129" t="str">
        <f>IF(E1668&lt;&gt;"", _xlfn.XLOOKUP(E1668, DATABASE_FG!C:C, DATABASE_FG!F:F), " ")</f>
        <v>Z2S22</v>
      </c>
      <c r="P1668" s="129">
        <f>IFERROR(INDEX(DATABASE_FG!$G$5:$G$367, MATCH(E1668, DATABASE_FG!$C$5:$C$367, 0)), "Not Found")</f>
        <v>210</v>
      </c>
      <c r="Q1668" s="36">
        <v>42</v>
      </c>
      <c r="R1668" s="125" t="s">
        <v>678</v>
      </c>
      <c r="S1668" s="123">
        <f>IFERROR(INDEX(DATABASE_FG!$L$5:$L$367, MATCH(E1668, DATABASE_FG!$C$5:$C$367, 0)), " ")</f>
        <v>30</v>
      </c>
      <c r="T1668" s="36" t="s">
        <v>677</v>
      </c>
      <c r="U1668" s="36"/>
      <c r="V1668" s="36"/>
      <c r="W1668" s="129"/>
      <c r="X1668" s="36"/>
      <c r="Y1668" s="36"/>
      <c r="Z1668" s="36" t="s">
        <v>1207</v>
      </c>
      <c r="AA1668" s="125" t="s">
        <v>121</v>
      </c>
      <c r="AB1668" s="172">
        <v>45380</v>
      </c>
      <c r="AC1668" s="119">
        <v>2024286</v>
      </c>
      <c r="AD1668" s="36">
        <f t="shared" si="190"/>
        <v>4509909318</v>
      </c>
      <c r="AE1668" s="36" t="str">
        <f t="shared" si="191"/>
        <v>R900688220</v>
      </c>
      <c r="AF1668" s="36">
        <v>40</v>
      </c>
      <c r="AG1668" s="120">
        <f t="shared" si="189"/>
        <v>3129.2000000000003</v>
      </c>
      <c r="AH1668" s="36"/>
      <c r="AI1668" s="124"/>
      <c r="AJ1668" s="122" t="s">
        <v>1208</v>
      </c>
      <c r="AK1668" s="129" t="str">
        <f t="shared" ca="1" si="188"/>
        <v>Late</v>
      </c>
      <c r="AL1668" s="268" t="str">
        <f t="shared" si="187"/>
        <v>February</v>
      </c>
      <c r="AM1668" s="133">
        <f>YEAR(Table1[[#This Row],[ETA
As requested
dd.mm.yyyy]])</f>
        <v>2024</v>
      </c>
    </row>
    <row r="1669" spans="1:39" hidden="1">
      <c r="A1669" s="123" t="s">
        <v>25</v>
      </c>
      <c r="B1669" s="36" t="s">
        <v>1170</v>
      </c>
      <c r="C1669" s="117">
        <v>4509909318</v>
      </c>
      <c r="D1669" s="165">
        <v>45336</v>
      </c>
      <c r="E1669" s="117" t="s">
        <v>242</v>
      </c>
      <c r="F1669" s="36" t="str">
        <f>IFERROR(VLOOKUP(Table1[[#This Row],[Part Number]],DATABASE_FG!$C$6:D11658,2,FALSE)," ")</f>
        <v>HOUSING Z2S 22.-5X/</v>
      </c>
      <c r="G1669" s="117" t="str">
        <f>IFERROR(_xlfn.XLOOKUP(Table1[[#This Row],[Part Number]],Table3[Part number],Table3[Drawing
 Revision]),"")</f>
        <v>AI</v>
      </c>
      <c r="H1669" s="118" cm="1">
        <f t="array" ref="H1669">IFERROR(INDEX(PDB!$C:$AT,MATCH(E1669,PDB!$B:$B,0),MATCH(YEAR(K1669),0+PDB!$C$1:$AT$1,0)),"")</f>
        <v>78.23</v>
      </c>
      <c r="I1669" s="36"/>
      <c r="J1669" s="125">
        <f>IFERROR(Table1[[#This Row],[Quantity]]*Table1[[#This Row],[Price/Unit
EUR]]," ")</f>
        <v>0</v>
      </c>
      <c r="K1669" s="126">
        <v>45351</v>
      </c>
      <c r="L1669" s="36">
        <f>WEEKNUM(Table1[[#This Row],[ETA
As requested
dd.mm.yyyy]])</f>
        <v>9</v>
      </c>
      <c r="M1669" s="36">
        <f>YEAR(Table1[[#This Row],[ETA
As requested
dd.mm.yyyy]])</f>
        <v>2024</v>
      </c>
      <c r="N1669" s="36">
        <f>IFERROR(INDEX(DATABASE_FG!$H$5:$H$367, MATCH(E1669, DATABASE_FG!$C$5:$C$367, 0)), " ")</f>
        <v>0</v>
      </c>
      <c r="O1669" s="129" t="str">
        <f>IF(E1669&lt;&gt;"", _xlfn.XLOOKUP(E1669, DATABASE_FG!C:C, DATABASE_FG!F:F), " ")</f>
        <v>Z2S22</v>
      </c>
      <c r="P1669" s="129">
        <f>IFERROR(INDEX(DATABASE_FG!$G$5:$G$367, MATCH(E1669, DATABASE_FG!$C$5:$C$367, 0)), "Not Found")</f>
        <v>210</v>
      </c>
      <c r="Q1669" s="36"/>
      <c r="R1669" s="125"/>
      <c r="S1669" s="123">
        <f>IFERROR(INDEX(DATABASE_FG!$L$5:$L$367, MATCH(E1669, DATABASE_FG!$C$5:$C$367, 0)), " ")</f>
        <v>30</v>
      </c>
      <c r="T1669" s="36"/>
      <c r="U1669" s="36"/>
      <c r="V1669" s="36"/>
      <c r="W1669" s="129"/>
      <c r="X1669" s="36"/>
      <c r="Y1669" s="36"/>
      <c r="Z1669" s="36"/>
      <c r="AA1669" s="125" t="s">
        <v>121</v>
      </c>
      <c r="AB1669" s="172">
        <v>45386</v>
      </c>
      <c r="AC1669" s="119">
        <v>2024302</v>
      </c>
      <c r="AD1669" s="36">
        <f t="shared" si="190"/>
        <v>4509909318</v>
      </c>
      <c r="AE1669" s="36" t="str">
        <f t="shared" si="191"/>
        <v>R900688220</v>
      </c>
      <c r="AF1669" s="36">
        <v>77</v>
      </c>
      <c r="AG1669" s="120">
        <f t="shared" si="189"/>
        <v>6023.71</v>
      </c>
      <c r="AH1669" s="36"/>
      <c r="AI1669" s="124"/>
      <c r="AJ1669" s="122" t="s">
        <v>1209</v>
      </c>
      <c r="AK1669" s="129" t="str">
        <f t="shared" ca="1" si="188"/>
        <v>Late</v>
      </c>
      <c r="AL1669" s="268" t="str">
        <f t="shared" si="187"/>
        <v>February</v>
      </c>
      <c r="AM1669" s="133">
        <f>YEAR(Table1[[#This Row],[ETA
As requested
dd.mm.yyyy]])</f>
        <v>2024</v>
      </c>
    </row>
    <row r="1670" spans="1:39" hidden="1">
      <c r="A1670" s="123" t="s">
        <v>25</v>
      </c>
      <c r="B1670" s="36" t="s">
        <v>1170</v>
      </c>
      <c r="C1670" s="117">
        <v>4509909318</v>
      </c>
      <c r="D1670" s="165">
        <v>45336</v>
      </c>
      <c r="E1670" s="117" t="s">
        <v>242</v>
      </c>
      <c r="F1670" s="36" t="str">
        <f>IFERROR(VLOOKUP(Table1[[#This Row],[Part Number]],DATABASE_FG!$C$6:D11659,2,FALSE)," ")</f>
        <v>HOUSING Z2S 22.-5X/</v>
      </c>
      <c r="G1670" s="117" t="str">
        <f>IFERROR(_xlfn.XLOOKUP(Table1[[#This Row],[Part Number]],Table3[Part number],Table3[Drawing
 Revision]),"")</f>
        <v>AI</v>
      </c>
      <c r="H1670" s="118" cm="1">
        <f t="array" ref="H1670">IFERROR(INDEX(PDB!$C:$AT,MATCH(E1670,PDB!$B:$B,0),MATCH(YEAR(K1670),0+PDB!$C$1:$AT$1,0)),"")</f>
        <v>78.23</v>
      </c>
      <c r="I1670" s="36"/>
      <c r="J1670" s="125">
        <f>IFERROR(Table1[[#This Row],[Quantity]]*Table1[[#This Row],[Price/Unit
EUR]]," ")</f>
        <v>0</v>
      </c>
      <c r="K1670" s="126">
        <v>45351</v>
      </c>
      <c r="L1670" s="36">
        <f>WEEKNUM(Table1[[#This Row],[ETA
As requested
dd.mm.yyyy]])</f>
        <v>9</v>
      </c>
      <c r="M1670" s="36">
        <f>YEAR(Table1[[#This Row],[ETA
As requested
dd.mm.yyyy]])</f>
        <v>2024</v>
      </c>
      <c r="N1670" s="36">
        <f>IFERROR(INDEX(DATABASE_FG!$H$5:$H$367, MATCH(E1670, DATABASE_FG!$C$5:$C$367, 0)), " ")</f>
        <v>0</v>
      </c>
      <c r="O1670" s="129" t="str">
        <f>IF(E1670&lt;&gt;"", _xlfn.XLOOKUP(E1670, DATABASE_FG!C:C, DATABASE_FG!F:F), " ")</f>
        <v>Z2S22</v>
      </c>
      <c r="P1670" s="129">
        <f>IFERROR(INDEX(DATABASE_FG!$G$5:$G$367, MATCH(E1670, DATABASE_FG!$C$5:$C$367, 0)), "Not Found")</f>
        <v>210</v>
      </c>
      <c r="Q1670" s="36"/>
      <c r="R1670" s="125"/>
      <c r="S1670" s="123">
        <f>IFERROR(INDEX(DATABASE_FG!$L$5:$L$367, MATCH(E1670, DATABASE_FG!$C$5:$C$367, 0)), " ")</f>
        <v>30</v>
      </c>
      <c r="T1670" s="36"/>
      <c r="U1670" s="36"/>
      <c r="V1670" s="36"/>
      <c r="W1670" s="129"/>
      <c r="X1670" s="36"/>
      <c r="Y1670" s="36"/>
      <c r="Z1670" s="36"/>
      <c r="AA1670" s="125" t="s">
        <v>121</v>
      </c>
      <c r="AB1670" s="172">
        <v>45422</v>
      </c>
      <c r="AC1670" s="119">
        <v>2024460</v>
      </c>
      <c r="AD1670" s="36">
        <f t="shared" si="190"/>
        <v>4509909318</v>
      </c>
      <c r="AE1670" s="36" t="str">
        <f t="shared" si="191"/>
        <v>R900688220</v>
      </c>
      <c r="AF1670" s="36">
        <v>3</v>
      </c>
      <c r="AG1670" s="120">
        <f t="shared" si="189"/>
        <v>234.69</v>
      </c>
      <c r="AH1670" s="36"/>
      <c r="AI1670" s="124"/>
      <c r="AJ1670" s="122" t="s">
        <v>1210</v>
      </c>
      <c r="AK1670" s="129" t="str">
        <f t="shared" ca="1" si="188"/>
        <v>Late</v>
      </c>
      <c r="AL1670" s="268" t="str">
        <f t="shared" si="187"/>
        <v>February</v>
      </c>
      <c r="AM1670" s="133">
        <f>YEAR(Table1[[#This Row],[ETA
As requested
dd.mm.yyyy]])</f>
        <v>2024</v>
      </c>
    </row>
    <row r="1671" spans="1:39" hidden="1">
      <c r="A1671" s="123" t="s">
        <v>25</v>
      </c>
      <c r="B1671" s="36" t="s">
        <v>1170</v>
      </c>
      <c r="C1671" s="117">
        <v>4509909318</v>
      </c>
      <c r="D1671" s="165">
        <v>45336</v>
      </c>
      <c r="E1671" s="117" t="s">
        <v>242</v>
      </c>
      <c r="F1671" s="36" t="str">
        <f>IFERROR(VLOOKUP(Table1[[#This Row],[Part Number]],DATABASE_FG!$C$6:D11660,2,FALSE)," ")</f>
        <v>HOUSING Z2S 22.-5X/</v>
      </c>
      <c r="G1671" s="117" t="str">
        <f>IFERROR(_xlfn.XLOOKUP(Table1[[#This Row],[Part Number]],Table3[Part number],Table3[Drawing
 Revision]),"")</f>
        <v>AI</v>
      </c>
      <c r="H1671" s="118" cm="1">
        <f t="array" ref="H1671">IFERROR(INDEX(PDB!$C:$AT,MATCH(E1671,PDB!$B:$B,0),MATCH(YEAR(K1671),0+PDB!$C$1:$AT$1,0)),"")</f>
        <v>78.23</v>
      </c>
      <c r="I1671" s="36"/>
      <c r="J1671" s="125">
        <f>IFERROR(Table1[[#This Row],[Quantity]]*Table1[[#This Row],[Price/Unit
EUR]]," ")</f>
        <v>0</v>
      </c>
      <c r="K1671" s="126">
        <v>45351</v>
      </c>
      <c r="L1671" s="36">
        <f>WEEKNUM(Table1[[#This Row],[ETA
As requested
dd.mm.yyyy]])</f>
        <v>9</v>
      </c>
      <c r="M1671" s="36">
        <f>YEAR(Table1[[#This Row],[ETA
As requested
dd.mm.yyyy]])</f>
        <v>2024</v>
      </c>
      <c r="N1671" s="36">
        <f>IFERROR(INDEX(DATABASE_FG!$H$5:$H$367, MATCH(E1671, DATABASE_FG!$C$5:$C$367, 0)), " ")</f>
        <v>0</v>
      </c>
      <c r="O1671" s="129" t="str">
        <f>IF(E1671&lt;&gt;"", _xlfn.XLOOKUP(E1671, DATABASE_FG!C:C, DATABASE_FG!F:F), " ")</f>
        <v>Z2S22</v>
      </c>
      <c r="P1671" s="129">
        <f>IFERROR(INDEX(DATABASE_FG!$G$5:$G$367, MATCH(E1671, DATABASE_FG!$C$5:$C$367, 0)), "Not Found")</f>
        <v>210</v>
      </c>
      <c r="Q1671" s="36"/>
      <c r="R1671" s="125"/>
      <c r="S1671" s="123">
        <f>IFERROR(INDEX(DATABASE_FG!$L$5:$L$367, MATCH(E1671, DATABASE_FG!$C$5:$C$367, 0)), " ")</f>
        <v>30</v>
      </c>
      <c r="T1671" s="36"/>
      <c r="U1671" s="36"/>
      <c r="V1671" s="36"/>
      <c r="W1671" s="129"/>
      <c r="X1671" s="36"/>
      <c r="Y1671" s="36"/>
      <c r="Z1671" s="36"/>
      <c r="AA1671" s="125" t="s">
        <v>121</v>
      </c>
      <c r="AB1671" s="172">
        <v>45453</v>
      </c>
      <c r="AC1671" s="119">
        <v>2024630</v>
      </c>
      <c r="AD1671" s="36">
        <f t="shared" si="190"/>
        <v>4509909318</v>
      </c>
      <c r="AE1671" s="36" t="str">
        <f t="shared" si="191"/>
        <v>R900688220</v>
      </c>
      <c r="AF1671" s="36">
        <v>19</v>
      </c>
      <c r="AG1671" s="120">
        <f t="shared" si="189"/>
        <v>1486.3700000000001</v>
      </c>
      <c r="AH1671" s="36"/>
      <c r="AI1671" s="124"/>
      <c r="AJ1671" s="122" t="s">
        <v>1211</v>
      </c>
      <c r="AK1671" s="129" t="str">
        <f t="shared" ca="1" si="188"/>
        <v>Late</v>
      </c>
      <c r="AL1671" s="268" t="str">
        <f t="shared" si="187"/>
        <v>February</v>
      </c>
      <c r="AM1671" s="133">
        <f>YEAR(Table1[[#This Row],[ETA
As requested
dd.mm.yyyy]])</f>
        <v>2024</v>
      </c>
    </row>
    <row r="1672" spans="1:39" hidden="1">
      <c r="A1672" s="123" t="s">
        <v>25</v>
      </c>
      <c r="B1672" s="36" t="s">
        <v>1170</v>
      </c>
      <c r="C1672" s="117">
        <v>4509909318</v>
      </c>
      <c r="D1672" s="165">
        <v>45336</v>
      </c>
      <c r="E1672" s="117" t="s">
        <v>242</v>
      </c>
      <c r="F1672" s="36" t="str">
        <f>IFERROR(VLOOKUP(Table1[[#This Row],[Part Number]],DATABASE_FG!$C$6:D11661,2,FALSE)," ")</f>
        <v>HOUSING Z2S 22.-5X/</v>
      </c>
      <c r="G1672" s="117" t="str">
        <f>IFERROR(_xlfn.XLOOKUP(Table1[[#This Row],[Part Number]],Table3[Part number],Table3[Drawing
 Revision]),"")</f>
        <v>AI</v>
      </c>
      <c r="H1672" s="118" cm="1">
        <f t="array" ref="H1672">IFERROR(INDEX(PDB!$C:$AT,MATCH(E1672,PDB!$B:$B,0),MATCH(YEAR(K1672),0+PDB!$C$1:$AT$1,0)),"")</f>
        <v>78.23</v>
      </c>
      <c r="I1672" s="36"/>
      <c r="J1672" s="125">
        <f>IFERROR(Table1[[#This Row],[Quantity]]*Table1[[#This Row],[Price/Unit
EUR]]," ")</f>
        <v>0</v>
      </c>
      <c r="K1672" s="126">
        <v>45351</v>
      </c>
      <c r="L1672" s="36">
        <f>WEEKNUM(Table1[[#This Row],[ETA
As requested
dd.mm.yyyy]])</f>
        <v>9</v>
      </c>
      <c r="M1672" s="36">
        <f>YEAR(Table1[[#This Row],[ETA
As requested
dd.mm.yyyy]])</f>
        <v>2024</v>
      </c>
      <c r="N1672" s="36">
        <f>IFERROR(INDEX(DATABASE_FG!$H$5:$H$367, MATCH(E1672, DATABASE_FG!$C$5:$C$367, 0)), " ")</f>
        <v>0</v>
      </c>
      <c r="O1672" s="129" t="str">
        <f>IF(E1672&lt;&gt;"", _xlfn.XLOOKUP(E1672, DATABASE_FG!C:C, DATABASE_FG!F:F), " ")</f>
        <v>Z2S22</v>
      </c>
      <c r="P1672" s="129">
        <f>IFERROR(INDEX(DATABASE_FG!$G$5:$G$367, MATCH(E1672, DATABASE_FG!$C$5:$C$367, 0)), "Not Found")</f>
        <v>210</v>
      </c>
      <c r="Q1672" s="36"/>
      <c r="R1672" s="125"/>
      <c r="S1672" s="123">
        <f>Table1[[#This Row],[Quantity]]/48</f>
        <v>0</v>
      </c>
      <c r="T1672" s="36"/>
      <c r="U1672" s="36"/>
      <c r="V1672" s="36"/>
      <c r="W1672" s="129"/>
      <c r="X1672" s="36"/>
      <c r="Y1672" s="36"/>
      <c r="Z1672" s="36"/>
      <c r="AA1672" s="125" t="s">
        <v>121</v>
      </c>
      <c r="AB1672" s="172">
        <v>45531</v>
      </c>
      <c r="AC1672" s="119">
        <v>202401073</v>
      </c>
      <c r="AD1672" s="36">
        <f t="shared" si="190"/>
        <v>4509909318</v>
      </c>
      <c r="AE1672" s="36" t="str">
        <f t="shared" si="191"/>
        <v>R900688220</v>
      </c>
      <c r="AF1672" s="36">
        <f>210-139</f>
        <v>71</v>
      </c>
      <c r="AG1672" s="120">
        <f t="shared" si="189"/>
        <v>5554.33</v>
      </c>
      <c r="AH1672" s="36"/>
      <c r="AI1672" s="124"/>
      <c r="AJ1672" s="122" t="s">
        <v>1212</v>
      </c>
      <c r="AK1672" s="129" t="str">
        <f t="shared" ca="1" si="188"/>
        <v>Late</v>
      </c>
      <c r="AL1672" s="268" t="str">
        <f t="shared" si="187"/>
        <v>February</v>
      </c>
      <c r="AM1672" s="133">
        <f>YEAR(Table1[[#This Row],[ETA
As requested
dd.mm.yyyy]])</f>
        <v>2024</v>
      </c>
    </row>
    <row r="1673" spans="1:39" hidden="1">
      <c r="A1673" s="123" t="s">
        <v>25</v>
      </c>
      <c r="B1673" s="36" t="s">
        <v>1170</v>
      </c>
      <c r="C1673" s="117">
        <v>4509977130</v>
      </c>
      <c r="D1673" s="165">
        <v>45371</v>
      </c>
      <c r="E1673" s="117" t="s">
        <v>242</v>
      </c>
      <c r="F1673" s="36" t="str">
        <f>IFERROR(VLOOKUP(Table1[[#This Row],[Part Number]],DATABASE_FG!$C$6:D11662,2,FALSE)," ")</f>
        <v>HOUSING Z2S 22.-5X/</v>
      </c>
      <c r="G1673" s="117" t="str">
        <f>IFERROR(_xlfn.XLOOKUP(Table1[[#This Row],[Part Number]],Table3[Part number],Table3[Drawing
 Revision]),"")</f>
        <v>AI</v>
      </c>
      <c r="H1673" s="118" cm="1">
        <f t="array" ref="H1673">IFERROR(INDEX(PDB!$C:$AT,MATCH(E1673,PDB!$B:$B,0),MATCH(YEAR(K1673),0+PDB!$C$1:$AT$1,0)),"")</f>
        <v>78.23</v>
      </c>
      <c r="I1673" s="36">
        <v>210</v>
      </c>
      <c r="J1673" s="125">
        <f>IFERROR(Table1[[#This Row],[Quantity]]*Table1[[#This Row],[Price/Unit
EUR]]," ")</f>
        <v>16428.3</v>
      </c>
      <c r="K1673" s="126">
        <v>45497</v>
      </c>
      <c r="L1673" s="36">
        <f>WEEKNUM(Table1[[#This Row],[ETA
As requested
dd.mm.yyyy]])</f>
        <v>30</v>
      </c>
      <c r="M1673" s="36">
        <f>YEAR(Table1[[#This Row],[ETA
As requested
dd.mm.yyyy]])</f>
        <v>2024</v>
      </c>
      <c r="N1673" s="36">
        <f>IFERROR(INDEX(DATABASE_FG!$H$5:$H$367, MATCH(E1673, DATABASE_FG!$C$5:$C$367, 0)), " ")</f>
        <v>0</v>
      </c>
      <c r="O1673" s="129" t="str">
        <f>IF(E1673&lt;&gt;"", _xlfn.XLOOKUP(E1673, DATABASE_FG!C:C, DATABASE_FG!F:F), " ")</f>
        <v>Z2S22</v>
      </c>
      <c r="P1673" s="129">
        <f>IFERROR(INDEX(DATABASE_FG!$G$5:$G$367, MATCH(E1673, DATABASE_FG!$C$5:$C$367, 0)), "Not Found")</f>
        <v>210</v>
      </c>
      <c r="Q1673" s="36">
        <v>42</v>
      </c>
      <c r="R1673" s="125" t="s">
        <v>678</v>
      </c>
      <c r="S1673" s="123">
        <f>IFERROR(INDEX(DATABASE_FG!$L$5:$L$367, MATCH(E1673, DATABASE_FG!$C$5:$C$367, 0)), " ")</f>
        <v>30</v>
      </c>
      <c r="T1673" s="36" t="s">
        <v>677</v>
      </c>
      <c r="U1673" s="36"/>
      <c r="V1673" s="36"/>
      <c r="W1673" s="129"/>
      <c r="X1673" s="36"/>
      <c r="Y1673" s="36"/>
      <c r="Z1673" s="36" t="s">
        <v>1860</v>
      </c>
      <c r="AA1673" s="125" t="s">
        <v>121</v>
      </c>
      <c r="AB1673" s="172">
        <v>45531</v>
      </c>
      <c r="AC1673" s="119">
        <v>202401074</v>
      </c>
      <c r="AD1673" s="36">
        <f t="shared" si="190"/>
        <v>4509977130</v>
      </c>
      <c r="AE1673" s="36" t="str">
        <f t="shared" si="191"/>
        <v>R900688220</v>
      </c>
      <c r="AF1673" s="36">
        <v>126</v>
      </c>
      <c r="AG1673" s="120">
        <f t="shared" si="189"/>
        <v>9856.9800000000014</v>
      </c>
      <c r="AH1673" s="36"/>
      <c r="AI1673" s="124"/>
      <c r="AJ1673" s="122" t="s">
        <v>1861</v>
      </c>
      <c r="AK1673" s="129" t="str">
        <f t="shared" ca="1" si="188"/>
        <v>Late</v>
      </c>
      <c r="AL1673" s="268" t="str">
        <f t="shared" si="187"/>
        <v>July</v>
      </c>
      <c r="AM1673" s="133">
        <f>YEAR(Table1[[#This Row],[ETA
As requested
dd.mm.yyyy]])</f>
        <v>2024</v>
      </c>
    </row>
    <row r="1674" spans="1:39" hidden="1">
      <c r="A1674" s="123" t="s">
        <v>25</v>
      </c>
      <c r="B1674" s="36" t="s">
        <v>1170</v>
      </c>
      <c r="C1674" s="117">
        <v>4509977130</v>
      </c>
      <c r="D1674" s="165">
        <v>45371</v>
      </c>
      <c r="E1674" s="117" t="s">
        <v>242</v>
      </c>
      <c r="F1674" s="36" t="str">
        <f>IFERROR(VLOOKUP(Table1[[#This Row],[Part Number]],DATABASE_FG!$C$6:D11663,2,FALSE)," ")</f>
        <v>HOUSING Z2S 22.-5X/</v>
      </c>
      <c r="G1674" s="117" t="str">
        <f>IFERROR(_xlfn.XLOOKUP(Table1[[#This Row],[Part Number]],Table3[Part number],Table3[Drawing
 Revision]),"")</f>
        <v>AI</v>
      </c>
      <c r="H1674" s="118" cm="1">
        <f t="array" ref="H1674">IFERROR(INDEX(PDB!$C:$AT,MATCH(E1674,PDB!$B:$B,0),MATCH(YEAR(K1674),0+PDB!$C$1:$AT$1,0)),"")</f>
        <v>78.23</v>
      </c>
      <c r="I1674" s="36">
        <v>0</v>
      </c>
      <c r="J1674" s="125">
        <f>IFERROR(Table1[[#This Row],[Quantity]]*Table1[[#This Row],[Price/Unit
EUR]]," ")</f>
        <v>0</v>
      </c>
      <c r="K1674" s="126">
        <v>45497</v>
      </c>
      <c r="L1674" s="36">
        <f>WEEKNUM(Table1[[#This Row],[ETA
As requested
dd.mm.yyyy]])</f>
        <v>30</v>
      </c>
      <c r="M1674" s="36">
        <f>YEAR(Table1[[#This Row],[ETA
As requested
dd.mm.yyyy]])</f>
        <v>2024</v>
      </c>
      <c r="N1674" s="36">
        <f>IFERROR(INDEX(DATABASE_FG!$H$5:$H$367, MATCH(E1674, DATABASE_FG!$C$5:$C$367, 0)), " ")</f>
        <v>0</v>
      </c>
      <c r="O1674" s="129" t="str">
        <f>IF(E1674&lt;&gt;"", _xlfn.XLOOKUP(E1674, DATABASE_FG!C:C, DATABASE_FG!F:F), " ")</f>
        <v>Z2S22</v>
      </c>
      <c r="P1674" s="129">
        <f>IFERROR(INDEX(DATABASE_FG!$G$5:$G$367, MATCH(E1674, DATABASE_FG!$C$5:$C$367, 0)), "Not Found")</f>
        <v>210</v>
      </c>
      <c r="Q1674" s="36"/>
      <c r="R1674" s="125"/>
      <c r="S1674" s="123">
        <f>Table1[[#This Row],[Quantity]]/48</f>
        <v>0</v>
      </c>
      <c r="T1674" s="36"/>
      <c r="U1674" s="36"/>
      <c r="V1674" s="36"/>
      <c r="W1674" s="129"/>
      <c r="X1674" s="36"/>
      <c r="Y1674" s="36"/>
      <c r="Z1674" s="36"/>
      <c r="AA1674" s="125" t="s">
        <v>121</v>
      </c>
      <c r="AB1674" s="172">
        <v>45548</v>
      </c>
      <c r="AC1674" s="119">
        <v>202401127</v>
      </c>
      <c r="AD1674" s="36">
        <f t="shared" si="190"/>
        <v>4509977130</v>
      </c>
      <c r="AE1674" s="36" t="str">
        <f t="shared" si="191"/>
        <v>R900688220</v>
      </c>
      <c r="AF1674" s="36">
        <v>63</v>
      </c>
      <c r="AG1674" s="120">
        <f t="shared" si="189"/>
        <v>4928.4900000000007</v>
      </c>
      <c r="AH1674" s="36"/>
      <c r="AI1674" s="124"/>
      <c r="AJ1674" s="122" t="s">
        <v>1863</v>
      </c>
      <c r="AK1674" s="129" t="str">
        <f t="shared" ca="1" si="188"/>
        <v>Late</v>
      </c>
      <c r="AL1674" s="268" t="str">
        <f t="shared" si="187"/>
        <v>July</v>
      </c>
      <c r="AM1674" s="133">
        <f>YEAR(Table1[[#This Row],[ETA
As requested
dd.mm.yyyy]])</f>
        <v>2024</v>
      </c>
    </row>
    <row r="1675" spans="1:39" hidden="1">
      <c r="A1675" s="123" t="s">
        <v>27</v>
      </c>
      <c r="B1675" s="36" t="s">
        <v>1170</v>
      </c>
      <c r="C1675" s="117">
        <v>5500533448</v>
      </c>
      <c r="D1675" s="165">
        <v>45446</v>
      </c>
      <c r="E1675" s="117" t="s">
        <v>54</v>
      </c>
      <c r="F1675" s="36" t="str">
        <f>IFERROR(VLOOKUP(Table1[[#This Row],[Part Number]],DATABASE_FG!$C$6:D11664,2,FALSE)," ")</f>
        <v>PLATE_4WRD_32_5X_</v>
      </c>
      <c r="G1675" s="117" t="str">
        <f>IFERROR(_xlfn.XLOOKUP(Table1[[#This Row],[Part Number]],Table3[Part number],Table3[Drawing
 Revision]),"")</f>
        <v>AD</v>
      </c>
      <c r="H1675" s="118" cm="1">
        <f t="array" ref="H1675">IFERROR(INDEX(PDB!$C:$AT,MATCH(E1675,PDB!$B:$B,0),MATCH(YEAR(K1675),0+PDB!$C$1:$AT$1,0)),"")</f>
        <v>5.81</v>
      </c>
      <c r="I1675" s="36">
        <v>71</v>
      </c>
      <c r="J1675" s="125">
        <f>IFERROR(Table1[[#This Row],[Quantity]]*Table1[[#This Row],[Price/Unit
EUR]]," ")</f>
        <v>412.51</v>
      </c>
      <c r="K1675" s="126">
        <v>45545</v>
      </c>
      <c r="L1675" s="36">
        <f>WEEKNUM(Table1[[#This Row],[ETA
As requested
dd.mm.yyyy]])</f>
        <v>37</v>
      </c>
      <c r="M1675" s="36">
        <f>YEAR(Table1[[#This Row],[ETA
As requested
dd.mm.yyyy]])</f>
        <v>2024</v>
      </c>
      <c r="N1675" s="36">
        <f>IFERROR(INDEX(DATABASE_FG!$H$5:$H$367, MATCH(E1675, DATABASE_FG!$C$5:$C$367, 0)), " ")</f>
        <v>0</v>
      </c>
      <c r="O1675" s="129" t="str">
        <f>IF(E1675&lt;&gt;"", _xlfn.XLOOKUP(E1675, DATABASE_FG!C:C, DATABASE_FG!F:F), " ")</f>
        <v>PLATE</v>
      </c>
      <c r="P1675" s="129">
        <f>IFERROR(INDEX(DATABASE_FG!$G$5:$G$367, MATCH(E1675, DATABASE_FG!$C$5:$C$367, 0)), "Not Found")</f>
        <v>0</v>
      </c>
      <c r="Q1675" s="36">
        <v>60</v>
      </c>
      <c r="R1675" s="125" t="s">
        <v>678</v>
      </c>
      <c r="S1675" s="123">
        <f>IFERROR(INDEX(DATABASE_FG!$L$5:$L$367, MATCH(E1675, DATABASE_FG!$C$5:$C$367, 0)), " ")</f>
        <v>56</v>
      </c>
      <c r="T1675" s="36" t="s">
        <v>677</v>
      </c>
      <c r="U1675" s="36"/>
      <c r="V1675" s="36"/>
      <c r="W1675" s="129"/>
      <c r="X1675" s="36"/>
      <c r="Y1675" s="36"/>
      <c r="Z1675" s="36"/>
      <c r="AA1675" s="125" t="s">
        <v>121</v>
      </c>
      <c r="AB1675" s="172">
        <v>45547</v>
      </c>
      <c r="AC1675" s="119">
        <v>202401126</v>
      </c>
      <c r="AD1675" s="36">
        <f t="shared" si="190"/>
        <v>5500533448</v>
      </c>
      <c r="AE1675" s="36" t="str">
        <f t="shared" si="191"/>
        <v>R900699249</v>
      </c>
      <c r="AF1675" s="36">
        <v>71</v>
      </c>
      <c r="AG1675" s="120">
        <f t="shared" si="189"/>
        <v>412.51</v>
      </c>
      <c r="AH1675" s="36"/>
      <c r="AI1675" s="124"/>
      <c r="AJ1675" s="122" t="s">
        <v>2368</v>
      </c>
      <c r="AK1675" s="129" t="str">
        <f t="shared" ca="1" si="188"/>
        <v>On Time</v>
      </c>
      <c r="AL1675" s="268" t="str">
        <f t="shared" si="187"/>
        <v>September</v>
      </c>
      <c r="AM1675" s="133">
        <f>YEAR(Table1[[#This Row],[ETA
As requested
dd.mm.yyyy]])</f>
        <v>2024</v>
      </c>
    </row>
    <row r="1676" spans="1:39" hidden="1">
      <c r="A1676" s="123" t="s">
        <v>27</v>
      </c>
      <c r="B1676" s="36" t="s">
        <v>1170</v>
      </c>
      <c r="C1676" s="117">
        <v>5500533448</v>
      </c>
      <c r="D1676" s="165">
        <v>45446</v>
      </c>
      <c r="E1676" s="117" t="s">
        <v>54</v>
      </c>
      <c r="F1676" s="36" t="str">
        <f>IFERROR(VLOOKUP(Table1[[#This Row],[Part Number]],DATABASE_FG!$C$6:D11665,2,FALSE)," ")</f>
        <v>PLATE_4WRD_32_5X_</v>
      </c>
      <c r="G1676" s="117" t="str">
        <f>IFERROR(_xlfn.XLOOKUP(Table1[[#This Row],[Part Number]],Table3[Part number],Table3[Drawing
 Revision]),"")</f>
        <v>AD</v>
      </c>
      <c r="H1676" s="118" cm="1">
        <f t="array" ref="H1676">IFERROR(INDEX(PDB!$C:$AT,MATCH(E1676,PDB!$B:$B,0),MATCH(YEAR(K1676),0+PDB!$C$1:$AT$1,0)),"")</f>
        <v>5.81</v>
      </c>
      <c r="I1676" s="36">
        <v>18</v>
      </c>
      <c r="J1676" s="125">
        <f>IFERROR(Table1[[#This Row],[Quantity]]*Table1[[#This Row],[Price/Unit
EUR]]," ")</f>
        <v>104.58</v>
      </c>
      <c r="K1676" s="126">
        <v>45574</v>
      </c>
      <c r="L1676" s="36">
        <f>WEEKNUM(Table1[[#This Row],[ETA
As requested
dd.mm.yyyy]])</f>
        <v>41</v>
      </c>
      <c r="M1676" s="36">
        <f>YEAR(Table1[[#This Row],[ETA
As requested
dd.mm.yyyy]])</f>
        <v>2024</v>
      </c>
      <c r="N1676" s="36">
        <f>IFERROR(INDEX(DATABASE_FG!$H$5:$H$367, MATCH(E1676, DATABASE_FG!$C$5:$C$367, 0)), " ")</f>
        <v>0</v>
      </c>
      <c r="O1676" s="129" t="str">
        <f>IF(E1676&lt;&gt;"", _xlfn.XLOOKUP(E1676, DATABASE_FG!C:C, DATABASE_FG!F:F), " ")</f>
        <v>PLATE</v>
      </c>
      <c r="P1676" s="129">
        <f>IFERROR(INDEX(DATABASE_FG!$G$5:$G$367, MATCH(E1676, DATABASE_FG!$C$5:$C$367, 0)), "Not Found")</f>
        <v>0</v>
      </c>
      <c r="Q1676" s="36">
        <v>60</v>
      </c>
      <c r="R1676" s="125" t="s">
        <v>678</v>
      </c>
      <c r="S1676" s="123">
        <f>IFERROR(INDEX(DATABASE_FG!$L$5:$L$367, MATCH(E1676, DATABASE_FG!$C$5:$C$367, 0)), " ")</f>
        <v>56</v>
      </c>
      <c r="T1676" s="36" t="s">
        <v>677</v>
      </c>
      <c r="U1676" s="36"/>
      <c r="V1676" s="36"/>
      <c r="W1676" s="129"/>
      <c r="X1676" s="36"/>
      <c r="Y1676" s="36"/>
      <c r="Z1676" s="36"/>
      <c r="AA1676" s="125" t="s">
        <v>121</v>
      </c>
      <c r="AB1676" s="172">
        <v>45569</v>
      </c>
      <c r="AC1676" s="119">
        <v>202401206</v>
      </c>
      <c r="AD1676" s="36">
        <f t="shared" si="190"/>
        <v>5500533448</v>
      </c>
      <c r="AE1676" s="36" t="str">
        <f t="shared" si="191"/>
        <v>R900699249</v>
      </c>
      <c r="AF1676" s="36">
        <v>18</v>
      </c>
      <c r="AG1676" s="120">
        <f t="shared" si="189"/>
        <v>104.58</v>
      </c>
      <c r="AH1676" s="36"/>
      <c r="AI1676" s="124"/>
      <c r="AJ1676" s="122" t="s">
        <v>2457</v>
      </c>
      <c r="AK1676" s="129" t="str">
        <f t="shared" ca="1" si="188"/>
        <v>On Time</v>
      </c>
      <c r="AL1676" s="268" t="str">
        <f t="shared" si="187"/>
        <v>October</v>
      </c>
      <c r="AM1676" s="133">
        <f>YEAR(Table1[[#This Row],[ETA
As requested
dd.mm.yyyy]])</f>
        <v>2024</v>
      </c>
    </row>
    <row r="1677" spans="1:39" hidden="1">
      <c r="A1677" s="123" t="s">
        <v>27</v>
      </c>
      <c r="B1677" s="36" t="s">
        <v>1170</v>
      </c>
      <c r="C1677" s="117">
        <v>5500533448</v>
      </c>
      <c r="D1677" s="165">
        <v>45446</v>
      </c>
      <c r="E1677" s="117" t="s">
        <v>54</v>
      </c>
      <c r="F1677" s="36" t="str">
        <f>IFERROR(VLOOKUP(Table1[[#This Row],[Part Number]],DATABASE_FG!$C$6:D11666,2,FALSE)," ")</f>
        <v>PLATE_4WRD_32_5X_</v>
      </c>
      <c r="G1677" s="117" t="str">
        <f>IFERROR(_xlfn.XLOOKUP(Table1[[#This Row],[Part Number]],Table3[Part number],Table3[Drawing
 Revision]),"")</f>
        <v>AD</v>
      </c>
      <c r="H1677" s="118" cm="1">
        <f t="array" ref="H1677">IFERROR(INDEX(PDB!$C:$AT,MATCH(E1677,PDB!$B:$B,0),MATCH(YEAR(K1677),0+PDB!$C$1:$AT$1,0)),"")</f>
        <v>5.81</v>
      </c>
      <c r="I1677" s="36">
        <f>79-18</f>
        <v>61</v>
      </c>
      <c r="J1677" s="125">
        <f>IFERROR(Table1[[#This Row],[Quantity]]*Table1[[#This Row],[Price/Unit
EUR]]," ")</f>
        <v>354.40999999999997</v>
      </c>
      <c r="K1677" s="126">
        <v>45574</v>
      </c>
      <c r="L1677" s="36">
        <f>WEEKNUM(Table1[[#This Row],[ETA
As requested
dd.mm.yyyy]])</f>
        <v>41</v>
      </c>
      <c r="M1677" s="36">
        <f>YEAR(Table1[[#This Row],[ETA
As requested
dd.mm.yyyy]])</f>
        <v>2024</v>
      </c>
      <c r="N1677" s="36">
        <f>IFERROR(INDEX(DATABASE_FG!$H$5:$H$367, MATCH(E1677, DATABASE_FG!$C$5:$C$367, 0)), " ")</f>
        <v>0</v>
      </c>
      <c r="O1677" s="129" t="str">
        <f>IF(E1677&lt;&gt;"", _xlfn.XLOOKUP(E1677, DATABASE_FG!C:C, DATABASE_FG!F:F), " ")</f>
        <v>PLATE</v>
      </c>
      <c r="P1677" s="129">
        <f>IFERROR(INDEX(DATABASE_FG!$G$5:$G$367, MATCH(E1677, DATABASE_FG!$C$5:$C$367, 0)), "Not Found")</f>
        <v>0</v>
      </c>
      <c r="Q1677" s="36">
        <v>60</v>
      </c>
      <c r="R1677" s="125" t="s">
        <v>678</v>
      </c>
      <c r="S1677" s="123">
        <f>IFERROR(INDEX(DATABASE_FG!$L$5:$L$367, MATCH(E1677, DATABASE_FG!$C$5:$C$367, 0)), " ")</f>
        <v>56</v>
      </c>
      <c r="T1677" s="36" t="s">
        <v>677</v>
      </c>
      <c r="U1677" s="36"/>
      <c r="V1677" s="36"/>
      <c r="W1677" s="129"/>
      <c r="X1677" s="36"/>
      <c r="Y1677" s="36"/>
      <c r="Z1677" s="36"/>
      <c r="AA1677" s="125" t="s">
        <v>121</v>
      </c>
      <c r="AB1677" s="172">
        <v>45583</v>
      </c>
      <c r="AC1677" s="119">
        <v>202401257</v>
      </c>
      <c r="AD1677" s="36">
        <f t="shared" si="190"/>
        <v>5500533448</v>
      </c>
      <c r="AE1677" s="36" t="str">
        <f t="shared" si="191"/>
        <v>R900699249</v>
      </c>
      <c r="AF1677" s="36">
        <v>61</v>
      </c>
      <c r="AG1677" s="120">
        <f t="shared" si="189"/>
        <v>354.40999999999997</v>
      </c>
      <c r="AH1677" s="36"/>
      <c r="AI1677" s="124"/>
      <c r="AJ1677" s="122" t="s">
        <v>2458</v>
      </c>
      <c r="AK1677" s="129" t="str">
        <f t="shared" ca="1" si="188"/>
        <v>Late</v>
      </c>
      <c r="AL1677" s="268" t="str">
        <f t="shared" si="187"/>
        <v>October</v>
      </c>
      <c r="AM1677" s="133">
        <f>YEAR(Table1[[#This Row],[ETA
As requested
dd.mm.yyyy]])</f>
        <v>2024</v>
      </c>
    </row>
    <row r="1678" spans="1:39" hidden="1">
      <c r="A1678" s="123" t="s">
        <v>27</v>
      </c>
      <c r="B1678" s="36" t="s">
        <v>1170</v>
      </c>
      <c r="C1678" s="117">
        <v>5500533448</v>
      </c>
      <c r="D1678" s="165">
        <v>45446</v>
      </c>
      <c r="E1678" s="117" t="s">
        <v>54</v>
      </c>
      <c r="F1678" s="36" t="str">
        <f>IFERROR(VLOOKUP(Table1[[#This Row],[Part Number]],DATABASE_FG!$C$6:D11667,2,FALSE)," ")</f>
        <v>PLATE_4WRD_32_5X_</v>
      </c>
      <c r="G1678" s="117" t="str">
        <f>IFERROR(_xlfn.XLOOKUP(Table1[[#This Row],[Part Number]],Table3[Part number],Table3[Drawing
 Revision]),"")</f>
        <v>AD</v>
      </c>
      <c r="H1678" s="118" cm="1">
        <f t="array" ref="H1678">IFERROR(INDEX(PDB!$C:$AT,MATCH(E1678,PDB!$B:$B,0),MATCH(YEAR(K1678),0+PDB!$C$1:$AT$1,0)),"")</f>
        <v>5.81</v>
      </c>
      <c r="I1678" s="36">
        <v>51</v>
      </c>
      <c r="J1678" s="125">
        <f>IFERROR(Table1[[#This Row],[Quantity]]*Table1[[#This Row],[Price/Unit
EUR]]," ")</f>
        <v>296.31</v>
      </c>
      <c r="K1678" s="126">
        <v>45575</v>
      </c>
      <c r="L1678" s="36">
        <f>WEEKNUM(Table1[[#This Row],[ETA
As requested
dd.mm.yyyy]])</f>
        <v>41</v>
      </c>
      <c r="M1678" s="36">
        <f>YEAR(Table1[[#This Row],[ETA
As requested
dd.mm.yyyy]])</f>
        <v>2024</v>
      </c>
      <c r="N1678" s="36">
        <f>IFERROR(INDEX(DATABASE_FG!$H$5:$H$367, MATCH(E1678, DATABASE_FG!$C$5:$C$367, 0)), " ")</f>
        <v>0</v>
      </c>
      <c r="O1678" s="129" t="str">
        <f>IF(E1678&lt;&gt;"", _xlfn.XLOOKUP(E1678, DATABASE_FG!C:C, DATABASE_FG!F:F), " ")</f>
        <v>PLATE</v>
      </c>
      <c r="P1678" s="129">
        <f>IFERROR(INDEX(DATABASE_FG!$G$5:$G$367, MATCH(E1678, DATABASE_FG!$C$5:$C$367, 0)), "Not Found")</f>
        <v>0</v>
      </c>
      <c r="Q1678" s="36">
        <v>60</v>
      </c>
      <c r="R1678" s="125" t="s">
        <v>678</v>
      </c>
      <c r="S1678" s="123">
        <f>IFERROR(INDEX(DATABASE_FG!$L$5:$L$367, MATCH(E1678, DATABASE_FG!$C$5:$C$367, 0)), " ")</f>
        <v>56</v>
      </c>
      <c r="T1678" s="36" t="s">
        <v>677</v>
      </c>
      <c r="U1678" s="36"/>
      <c r="V1678" s="36"/>
      <c r="W1678" s="129"/>
      <c r="X1678" s="36"/>
      <c r="Y1678" s="36"/>
      <c r="Z1678" s="36"/>
      <c r="AA1678" s="125" t="s">
        <v>121</v>
      </c>
      <c r="AB1678" s="172">
        <v>45583</v>
      </c>
      <c r="AC1678" s="119">
        <v>202401257</v>
      </c>
      <c r="AD1678" s="36">
        <f t="shared" si="190"/>
        <v>5500533448</v>
      </c>
      <c r="AE1678" s="36" t="str">
        <f t="shared" si="191"/>
        <v>R900699249</v>
      </c>
      <c r="AF1678" s="36">
        <v>51</v>
      </c>
      <c r="AG1678" s="120">
        <f t="shared" si="189"/>
        <v>296.31</v>
      </c>
      <c r="AH1678" s="36"/>
      <c r="AI1678" s="124"/>
      <c r="AJ1678" s="122" t="s">
        <v>2458</v>
      </c>
      <c r="AK1678" s="129" t="str">
        <f t="shared" ca="1" si="188"/>
        <v>Late</v>
      </c>
      <c r="AL1678" s="268" t="str">
        <f t="shared" si="187"/>
        <v>October</v>
      </c>
      <c r="AM1678" s="133">
        <f>YEAR(Table1[[#This Row],[ETA
As requested
dd.mm.yyyy]])</f>
        <v>2024</v>
      </c>
    </row>
    <row r="1679" spans="1:39" ht="15.75" hidden="1">
      <c r="A1679" s="123" t="s">
        <v>27</v>
      </c>
      <c r="B1679" s="36" t="s">
        <v>1170</v>
      </c>
      <c r="C1679" s="117">
        <v>5500533448</v>
      </c>
      <c r="D1679" s="165">
        <v>45446</v>
      </c>
      <c r="E1679" s="117" t="s">
        <v>54</v>
      </c>
      <c r="F1679" s="36" t="str">
        <f>IFERROR(VLOOKUP(Table1[[#This Row],[Part Number]],DATABASE_FG!$C$6:D11668,2,FALSE)," ")</f>
        <v>PLATE_4WRD_32_5X_</v>
      </c>
      <c r="G1679" s="117" t="str">
        <f>IFERROR(_xlfn.XLOOKUP(Table1[[#This Row],[Part Number]],Table3[Part number],Table3[Drawing
 Revision]),"")</f>
        <v>AD</v>
      </c>
      <c r="H1679" s="118" cm="1">
        <f t="array" ref="H1679">IFERROR(INDEX(PDB!$C:$AT,MATCH(E1679,PDB!$B:$B,0),MATCH(YEAR(K1679),0+PDB!$C$1:$AT$1,0)),"")</f>
        <v>5.81</v>
      </c>
      <c r="I1679" s="36">
        <f>188-61</f>
        <v>127</v>
      </c>
      <c r="J1679" s="125">
        <f>IFERROR(Table1[[#This Row],[Quantity]]*Table1[[#This Row],[Price/Unit
EUR]]," ")</f>
        <v>737.87</v>
      </c>
      <c r="K1679" s="126">
        <v>45575</v>
      </c>
      <c r="L1679" s="36">
        <f>WEEKNUM(Table1[[#This Row],[ETA
As requested
dd.mm.yyyy]])</f>
        <v>41</v>
      </c>
      <c r="M1679" s="36">
        <f>YEAR(Table1[[#This Row],[ETA
As requested
dd.mm.yyyy]])</f>
        <v>2024</v>
      </c>
      <c r="N1679" s="36">
        <f>IFERROR(INDEX(DATABASE_FG!$H$5:$H$367, MATCH(E1679, DATABASE_FG!$C$5:$C$367, 0)), " ")</f>
        <v>0</v>
      </c>
      <c r="O1679" s="129" t="str">
        <f>IF(E1679&lt;&gt;"", _xlfn.XLOOKUP(E1679, DATABASE_FG!C:C, DATABASE_FG!F:F), " ")</f>
        <v>PLATE</v>
      </c>
      <c r="P1679" s="129">
        <f>IFERROR(INDEX(DATABASE_FG!$G$5:$G$367, MATCH(E1679, DATABASE_FG!$C$5:$C$367, 0)), "Not Found")</f>
        <v>0</v>
      </c>
      <c r="Q1679" s="36">
        <v>60</v>
      </c>
      <c r="R1679" s="125" t="s">
        <v>678</v>
      </c>
      <c r="S1679" s="123">
        <f>IFERROR(INDEX(DATABASE_FG!$L$5:$L$367, MATCH(E1679, DATABASE_FG!$C$5:$C$367, 0)), " ")</f>
        <v>56</v>
      </c>
      <c r="T1679" s="36" t="s">
        <v>677</v>
      </c>
      <c r="U1679" s="36"/>
      <c r="V1679" s="36"/>
      <c r="W1679" s="129"/>
      <c r="X1679" s="36" t="s">
        <v>2460</v>
      </c>
      <c r="Y1679" s="36" t="s">
        <v>2461</v>
      </c>
      <c r="Z1679" s="36" t="s">
        <v>2428</v>
      </c>
      <c r="AA1679" s="125" t="s">
        <v>121</v>
      </c>
      <c r="AB1679" s="172">
        <v>45604</v>
      </c>
      <c r="AC1679" s="119">
        <v>202401348</v>
      </c>
      <c r="AD1679" s="36">
        <f t="shared" si="190"/>
        <v>5500533448</v>
      </c>
      <c r="AE1679" s="36" t="str">
        <f t="shared" si="191"/>
        <v>R900699249</v>
      </c>
      <c r="AF1679" s="36">
        <f>188-61</f>
        <v>127</v>
      </c>
      <c r="AG1679" s="120">
        <f t="shared" si="189"/>
        <v>737.87</v>
      </c>
      <c r="AH1679" s="36"/>
      <c r="AI1679" s="124" t="s">
        <v>2462</v>
      </c>
      <c r="AJ1679" s="122" t="s">
        <v>2463</v>
      </c>
      <c r="AK1679" s="129" t="str">
        <f t="shared" ca="1" si="188"/>
        <v>Late</v>
      </c>
      <c r="AL1679" s="268" t="str">
        <f t="shared" si="187"/>
        <v>October</v>
      </c>
      <c r="AM1679" s="133">
        <f>YEAR(Table1[[#This Row],[ETA
As requested
dd.mm.yyyy]])</f>
        <v>2024</v>
      </c>
    </row>
    <row r="1680" spans="1:39" hidden="1">
      <c r="A1680" s="123" t="s">
        <v>27</v>
      </c>
      <c r="B1680" s="36" t="s">
        <v>1170</v>
      </c>
      <c r="C1680" s="117">
        <v>5500533448</v>
      </c>
      <c r="D1680" s="165">
        <v>45446</v>
      </c>
      <c r="E1680" s="117" t="s">
        <v>54</v>
      </c>
      <c r="F1680" s="36" t="str">
        <f>IFERROR(VLOOKUP(Table1[[#This Row],[Part Number]],DATABASE_FG!$C$6:D11669,2,FALSE)," ")</f>
        <v>PLATE_4WRD_32_5X_</v>
      </c>
      <c r="G1680" s="117" t="str">
        <f>IFERROR(_xlfn.XLOOKUP(Table1[[#This Row],[Part Number]],Table3[Part number],Table3[Drawing
 Revision]),"")</f>
        <v>AD</v>
      </c>
      <c r="H1680" s="118" cm="1">
        <f t="array" ref="H1680">IFERROR(INDEX(PDB!$C:$AT,MATCH(E1680,PDB!$B:$B,0),MATCH(YEAR(K1680),0+PDB!$C$1:$AT$1,0)),"")</f>
        <v>5.81</v>
      </c>
      <c r="I1680" s="36">
        <v>61</v>
      </c>
      <c r="J1680" s="125">
        <f>IFERROR(Table1[[#This Row],[Quantity]]*Table1[[#This Row],[Price/Unit
EUR]]," ")</f>
        <v>354.40999999999997</v>
      </c>
      <c r="K1680" s="126">
        <v>45595</v>
      </c>
      <c r="L1680" s="36">
        <f>WEEKNUM(Table1[[#This Row],[ETA
As requested
dd.mm.yyyy]])</f>
        <v>44</v>
      </c>
      <c r="M1680" s="36">
        <f>YEAR(Table1[[#This Row],[ETA
As requested
dd.mm.yyyy]])</f>
        <v>2024</v>
      </c>
      <c r="N1680" s="36">
        <f>IFERROR(INDEX(DATABASE_FG!$H$5:$H$367, MATCH(E1680, DATABASE_FG!$C$5:$C$367, 0)), " ")</f>
        <v>0</v>
      </c>
      <c r="O1680" s="129" t="str">
        <f>IF(E1680&lt;&gt;"", _xlfn.XLOOKUP(E1680, DATABASE_FG!C:C, DATABASE_FG!F:F), " ")</f>
        <v>PLATE</v>
      </c>
      <c r="P1680" s="129">
        <f>IFERROR(INDEX(DATABASE_FG!$G$5:$G$367, MATCH(E1680, DATABASE_FG!$C$5:$C$367, 0)), "Not Found")</f>
        <v>0</v>
      </c>
      <c r="Q1680" s="36"/>
      <c r="R1680" s="125"/>
      <c r="S1680" s="123">
        <f>IFERROR(INDEX(DATABASE_FG!$L$5:$L$367, MATCH(E1680, DATABASE_FG!$C$5:$C$367, 0)), " ")</f>
        <v>56</v>
      </c>
      <c r="T1680" s="36" t="s">
        <v>677</v>
      </c>
      <c r="U1680" s="36"/>
      <c r="V1680" s="36"/>
      <c r="W1680" s="129"/>
      <c r="X1680" s="36"/>
      <c r="Y1680" s="36"/>
      <c r="Z1680" s="36"/>
      <c r="AA1680" s="125" t="s">
        <v>121</v>
      </c>
      <c r="AB1680" s="172">
        <v>45569</v>
      </c>
      <c r="AC1680" s="119">
        <v>202401206</v>
      </c>
      <c r="AD1680" s="36">
        <f t="shared" si="190"/>
        <v>5500533448</v>
      </c>
      <c r="AE1680" s="36" t="str">
        <f t="shared" si="191"/>
        <v>R900699249</v>
      </c>
      <c r="AF1680" s="36">
        <v>61</v>
      </c>
      <c r="AG1680" s="120">
        <f t="shared" si="189"/>
        <v>354.40999999999997</v>
      </c>
      <c r="AH1680" s="36"/>
      <c r="AI1680" s="124"/>
      <c r="AJ1680" s="122" t="s">
        <v>2457</v>
      </c>
      <c r="AK1680" s="129" t="str">
        <f t="shared" ca="1" si="188"/>
        <v>On Time</v>
      </c>
      <c r="AL1680" s="268" t="str">
        <f t="shared" si="187"/>
        <v>October</v>
      </c>
      <c r="AM1680" s="133">
        <f>YEAR(Table1[[#This Row],[ETA
As requested
dd.mm.yyyy]])</f>
        <v>2024</v>
      </c>
    </row>
    <row r="1681" spans="1:40" hidden="1">
      <c r="A1681" s="123" t="s">
        <v>27</v>
      </c>
      <c r="B1681" s="36" t="s">
        <v>1170</v>
      </c>
      <c r="C1681" s="117">
        <v>5500533448</v>
      </c>
      <c r="D1681" s="165">
        <v>45446</v>
      </c>
      <c r="E1681" s="117" t="s">
        <v>54</v>
      </c>
      <c r="F1681" s="36" t="str">
        <f>IFERROR(VLOOKUP(Table1[[#This Row],[Part Number]],DATABASE_FG!$C$6:D11670,2,FALSE)," ")</f>
        <v>PLATE_4WRD_32_5X_</v>
      </c>
      <c r="G1681" s="117" t="str">
        <f>IFERROR(_xlfn.XLOOKUP(Table1[[#This Row],[Part Number]],Table3[Part number],Table3[Drawing
 Revision]),"")</f>
        <v>AD</v>
      </c>
      <c r="H1681" s="118" cm="1">
        <f t="array" ref="H1681">IFERROR(INDEX(PDB!$C:$AT,MATCH(E1681,PDB!$B:$B,0),MATCH(YEAR(K1681),0+PDB!$C$1:$AT$1,0)),"")</f>
        <v>5.81</v>
      </c>
      <c r="I1681" s="36">
        <v>64</v>
      </c>
      <c r="J1681" s="125">
        <f>IFERROR(Table1[[#This Row],[Quantity]]*Table1[[#This Row],[Price/Unit
EUR]]," ")</f>
        <v>371.84</v>
      </c>
      <c r="K1681" s="126">
        <v>45673</v>
      </c>
      <c r="L1681" s="36">
        <f>WEEKNUM(Table1[[#This Row],[ETA
As requested
dd.mm.yyyy]])</f>
        <v>3</v>
      </c>
      <c r="M1681" s="36">
        <f>YEAR(Table1[[#This Row],[ETA
As requested
dd.mm.yyyy]])</f>
        <v>2025</v>
      </c>
      <c r="N1681" s="36">
        <f>IFERROR(INDEX(DATABASE_FG!$H$5:$H$367, MATCH(E1681, DATABASE_FG!$C$5:$C$367, 0)), " ")</f>
        <v>0</v>
      </c>
      <c r="O1681" s="129" t="str">
        <f>IF(E1681&lt;&gt;"", _xlfn.XLOOKUP(E1681, DATABASE_FG!C:C, DATABASE_FG!F:F), " ")</f>
        <v>PLATE</v>
      </c>
      <c r="P1681" s="129">
        <f>IFERROR(INDEX(DATABASE_FG!$G$5:$G$367, MATCH(E1681, DATABASE_FG!$C$5:$C$367, 0)), "Not Found")</f>
        <v>0</v>
      </c>
      <c r="Q1681" s="36">
        <v>60</v>
      </c>
      <c r="R1681" s="125" t="s">
        <v>678</v>
      </c>
      <c r="S1681" s="123">
        <f>IFERROR(INDEX(DATABASE_FG!$L$5:$L$367, MATCH(E1681, DATABASE_FG!$C$5:$C$367, 0)), " ")</f>
        <v>56</v>
      </c>
      <c r="T1681" s="36" t="s">
        <v>677</v>
      </c>
      <c r="U1681" s="36"/>
      <c r="V1681" s="36"/>
      <c r="W1681" s="129"/>
      <c r="X1681" s="36"/>
      <c r="Y1681" s="36"/>
      <c r="Z1681" s="36"/>
      <c r="AA1681" s="125" t="s">
        <v>121</v>
      </c>
      <c r="AB1681" s="172">
        <v>45618</v>
      </c>
      <c r="AC1681" s="119">
        <v>202401420</v>
      </c>
      <c r="AD1681" s="36">
        <f t="shared" si="190"/>
        <v>5500533448</v>
      </c>
      <c r="AE1681" s="36" t="str">
        <f t="shared" si="191"/>
        <v>R900699249</v>
      </c>
      <c r="AF1681" s="36">
        <v>64</v>
      </c>
      <c r="AG1681" s="120">
        <f t="shared" si="189"/>
        <v>371.84</v>
      </c>
      <c r="AH1681" s="36"/>
      <c r="AI1681" s="124"/>
      <c r="AJ1681" s="122" t="s">
        <v>2713</v>
      </c>
      <c r="AK1681" s="129" t="str">
        <f t="shared" ca="1" si="188"/>
        <v>On Time</v>
      </c>
      <c r="AL1681" s="268" t="str">
        <f t="shared" si="187"/>
        <v>January</v>
      </c>
      <c r="AM1681" s="133">
        <f>YEAR(Table1[[#This Row],[ETA
As requested
dd.mm.yyyy]])</f>
        <v>2025</v>
      </c>
    </row>
    <row r="1682" spans="1:40" hidden="1">
      <c r="A1682" s="123" t="s">
        <v>27</v>
      </c>
      <c r="B1682" s="36" t="s">
        <v>1170</v>
      </c>
      <c r="C1682" s="117">
        <v>5500533448</v>
      </c>
      <c r="D1682" s="165">
        <v>45446</v>
      </c>
      <c r="E1682" s="117" t="s">
        <v>54</v>
      </c>
      <c r="F1682" s="36" t="str">
        <f>IFERROR(VLOOKUP(Table1[[#This Row],[Part Number]],DATABASE_FG!$C$6:D11671,2,FALSE)," ")</f>
        <v>PLATE_4WRD_32_5X_</v>
      </c>
      <c r="G1682" s="117" t="str">
        <f>IFERROR(_xlfn.XLOOKUP(Table1[[#This Row],[Part Number]],Table3[Part number],Table3[Drawing
 Revision]),"")</f>
        <v>AD</v>
      </c>
      <c r="H1682" s="118" cm="1">
        <f t="array" ref="H1682">IFERROR(INDEX(PDB!$C:$AT,MATCH(E1682,PDB!$B:$B,0),MATCH(YEAR(K1682),0+PDB!$C$1:$AT$1,0)),"")</f>
        <v>5.81</v>
      </c>
      <c r="I1682" s="36">
        <v>249</v>
      </c>
      <c r="J1682" s="125">
        <f>IFERROR(Table1[[#This Row],[Quantity]]*Table1[[#This Row],[Price/Unit
EUR]]," ")</f>
        <v>1446.6899999999998</v>
      </c>
      <c r="K1682" s="126">
        <v>45723</v>
      </c>
      <c r="L1682" s="36">
        <f>WEEKNUM(Table1[[#This Row],[ETA
As requested
dd.mm.yyyy]])</f>
        <v>10</v>
      </c>
      <c r="M1682" s="36">
        <f>YEAR(Table1[[#This Row],[ETA
As requested
dd.mm.yyyy]])</f>
        <v>2025</v>
      </c>
      <c r="N1682" s="36">
        <f>IFERROR(INDEX(DATABASE_FG!$H$5:$H$367, MATCH(E1682, DATABASE_FG!$C$5:$C$367, 0)), " ")</f>
        <v>0</v>
      </c>
      <c r="O1682" s="129" t="str">
        <f>IF(E1682&lt;&gt;"", _xlfn.XLOOKUP(E1682, DATABASE_FG!C:C, DATABASE_FG!F:F), " ")</f>
        <v>PLATE</v>
      </c>
      <c r="P1682" s="129">
        <f>IFERROR(INDEX(DATABASE_FG!$G$5:$G$367, MATCH(E1682, DATABASE_FG!$C$5:$C$367, 0)), "Not Found")</f>
        <v>0</v>
      </c>
      <c r="Q1682" s="36">
        <v>60</v>
      </c>
      <c r="R1682" s="125" t="s">
        <v>678</v>
      </c>
      <c r="S1682" s="123">
        <f>IFERROR(INDEX(DATABASE_FG!$L$5:$L$367, MATCH(E1682, DATABASE_FG!$C$5:$C$367, 0)), " ")</f>
        <v>56</v>
      </c>
      <c r="T1682" s="36" t="s">
        <v>677</v>
      </c>
      <c r="U1682" s="36"/>
      <c r="V1682" s="36"/>
      <c r="W1682" s="129"/>
      <c r="X1682" s="36"/>
      <c r="Y1682" s="36" t="s">
        <v>677</v>
      </c>
      <c r="Z1682" s="36"/>
      <c r="AA1682" s="125" t="s">
        <v>121</v>
      </c>
      <c r="AB1682" s="172">
        <v>45754</v>
      </c>
      <c r="AC1682" s="119">
        <v>25550</v>
      </c>
      <c r="AD1682" s="36">
        <f t="shared" si="190"/>
        <v>5500533448</v>
      </c>
      <c r="AE1682" s="36" t="str">
        <f t="shared" si="191"/>
        <v>R900699249</v>
      </c>
      <c r="AF1682" s="36">
        <v>249</v>
      </c>
      <c r="AG1682" s="120">
        <f t="shared" si="189"/>
        <v>1446.6899999999998</v>
      </c>
      <c r="AH1682" s="36"/>
      <c r="AI1682" s="124"/>
      <c r="AJ1682" s="122" t="s">
        <v>2940</v>
      </c>
      <c r="AK1682" s="129" t="str">
        <f t="shared" ca="1" si="188"/>
        <v>Late</v>
      </c>
      <c r="AL1682" s="268" t="str">
        <f t="shared" si="187"/>
        <v>March</v>
      </c>
      <c r="AM1682" s="133">
        <f>YEAR(Table1[[#This Row],[ETA
As requested
dd.mm.yyyy]])</f>
        <v>2025</v>
      </c>
    </row>
    <row r="1683" spans="1:40" hidden="1">
      <c r="A1683" s="123" t="s">
        <v>27</v>
      </c>
      <c r="B1683" s="36" t="s">
        <v>1170</v>
      </c>
      <c r="C1683" s="117">
        <v>5500533448</v>
      </c>
      <c r="D1683" s="165">
        <v>45446</v>
      </c>
      <c r="E1683" s="117" t="s">
        <v>54</v>
      </c>
      <c r="F1683" s="36" t="str">
        <f>IFERROR(VLOOKUP(Table1[[#This Row],[Part Number]],DATABASE_FG!$C$6:D11672,2,FALSE)," ")</f>
        <v>PLATE_4WRD_32_5X_</v>
      </c>
      <c r="G1683" s="117" t="str">
        <f>IFERROR(_xlfn.XLOOKUP(Table1[[#This Row],[Part Number]],Table3[Part number],Table3[Drawing
 Revision]),"")</f>
        <v>AD</v>
      </c>
      <c r="H1683" s="118" cm="1">
        <f t="array" ref="H1683">IFERROR(INDEX(PDB!$C:$AT,MATCH(E1683,PDB!$B:$B,0),MATCH(YEAR(K1683),0+PDB!$C$1:$AT$1,0)),"")</f>
        <v>5.81</v>
      </c>
      <c r="I1683" s="36">
        <v>171</v>
      </c>
      <c r="J1683" s="125">
        <f>IFERROR(Table1[[#This Row],[Quantity]]*Table1[[#This Row],[Price/Unit
EUR]]," ")</f>
        <v>993.50999999999988</v>
      </c>
      <c r="K1683" s="126">
        <v>45723</v>
      </c>
      <c r="L1683" s="36">
        <f>WEEKNUM(Table1[[#This Row],[ETA
As requested
dd.mm.yyyy]])</f>
        <v>10</v>
      </c>
      <c r="M1683" s="36">
        <f>YEAR(Table1[[#This Row],[ETA
As requested
dd.mm.yyyy]])</f>
        <v>2025</v>
      </c>
      <c r="N1683" s="36">
        <f>IFERROR(INDEX(DATABASE_FG!$H$5:$H$367, MATCH(E1683, DATABASE_FG!$C$5:$C$367, 0)), " ")</f>
        <v>0</v>
      </c>
      <c r="O1683" s="129" t="str">
        <f>IF(E1683&lt;&gt;"", _xlfn.XLOOKUP(E1683, DATABASE_FG!C:C, DATABASE_FG!F:F), " ")</f>
        <v>PLATE</v>
      </c>
      <c r="P1683" s="129">
        <f>IFERROR(INDEX(DATABASE_FG!$G$5:$G$367, MATCH(E1683, DATABASE_FG!$C$5:$C$367, 0)), "Not Found")</f>
        <v>0</v>
      </c>
      <c r="Q1683" s="36">
        <v>60</v>
      </c>
      <c r="R1683" s="125" t="s">
        <v>678</v>
      </c>
      <c r="S1683" s="123">
        <f>IFERROR(INDEX(DATABASE_FG!$L$5:$L$367, MATCH(E1683, DATABASE_FG!$C$5:$C$367, 0)), " ")</f>
        <v>56</v>
      </c>
      <c r="T1683" s="36" t="s">
        <v>677</v>
      </c>
      <c r="U1683" s="36"/>
      <c r="V1683" s="36"/>
      <c r="W1683" s="129"/>
      <c r="X1683" s="36"/>
      <c r="Y1683" s="36" t="s">
        <v>677</v>
      </c>
      <c r="Z1683" s="36"/>
      <c r="AA1683" s="125" t="s">
        <v>121</v>
      </c>
      <c r="AB1683" s="172">
        <v>45754</v>
      </c>
      <c r="AC1683" s="119">
        <v>25550</v>
      </c>
      <c r="AD1683" s="36">
        <f t="shared" si="190"/>
        <v>5500533448</v>
      </c>
      <c r="AE1683" s="36" t="str">
        <f t="shared" si="191"/>
        <v>R900699249</v>
      </c>
      <c r="AF1683" s="36">
        <v>171</v>
      </c>
      <c r="AG1683" s="120">
        <f t="shared" si="189"/>
        <v>993.50999999999988</v>
      </c>
      <c r="AH1683" s="36"/>
      <c r="AI1683" s="124"/>
      <c r="AJ1683" s="122" t="s">
        <v>2940</v>
      </c>
      <c r="AK1683" s="129" t="str">
        <f t="shared" ca="1" si="188"/>
        <v>Late</v>
      </c>
      <c r="AL1683" s="268" t="str">
        <f t="shared" si="187"/>
        <v>March</v>
      </c>
      <c r="AM1683" s="133">
        <f>YEAR(Table1[[#This Row],[ETA
As requested
dd.mm.yyyy]])</f>
        <v>2025</v>
      </c>
    </row>
    <row r="1684" spans="1:40" hidden="1">
      <c r="A1684" s="123" t="s">
        <v>27</v>
      </c>
      <c r="B1684" s="36" t="s">
        <v>1170</v>
      </c>
      <c r="C1684" s="117">
        <v>5500533448</v>
      </c>
      <c r="D1684" s="165">
        <v>45446</v>
      </c>
      <c r="E1684" s="117" t="s">
        <v>54</v>
      </c>
      <c r="F1684" s="36" t="str">
        <f>IFERROR(VLOOKUP(Table1[[#This Row],[Part Number]],DATABASE_FG!$C$6:D11673,2,FALSE)," ")</f>
        <v>PLATE_4WRD_32_5X_</v>
      </c>
      <c r="G1684" s="117" t="str">
        <f>IFERROR(_xlfn.XLOOKUP(Table1[[#This Row],[Part Number]],Table3[Part number],Table3[Drawing
 Revision]),"")</f>
        <v>AD</v>
      </c>
      <c r="H1684" s="118" cm="1">
        <f t="array" ref="H1684">IFERROR(INDEX(PDB!$C:$AT,MATCH(E1684,PDB!$B:$B,0),MATCH(YEAR(K1684),0+PDB!$C$1:$AT$1,0)),"")</f>
        <v>5.81</v>
      </c>
      <c r="I1684" s="36">
        <v>59</v>
      </c>
      <c r="J1684" s="125">
        <f>IFERROR(Table1[[#This Row],[Quantity]]*Table1[[#This Row],[Price/Unit
EUR]]," ")</f>
        <v>342.78999999999996</v>
      </c>
      <c r="K1684" s="126">
        <v>45770</v>
      </c>
      <c r="L1684" s="36">
        <f>WEEKNUM(Table1[[#This Row],[ETA
As requested
dd.mm.yyyy]])</f>
        <v>17</v>
      </c>
      <c r="M1684" s="36">
        <f>YEAR(Table1[[#This Row],[ETA
As requested
dd.mm.yyyy]])</f>
        <v>2025</v>
      </c>
      <c r="N1684" s="36">
        <f>IFERROR(INDEX(DATABASE_FG!$H$5:$H$367, MATCH(E1684, DATABASE_FG!$C$5:$C$367, 0)), " ")</f>
        <v>0</v>
      </c>
      <c r="O1684" s="129" t="str">
        <f>IF(E1684&lt;&gt;"", _xlfn.XLOOKUP(E1684, DATABASE_FG!C:C, DATABASE_FG!F:F), " ")</f>
        <v>PLATE</v>
      </c>
      <c r="P1684" s="129">
        <f>IFERROR(INDEX(DATABASE_FG!$G$5:$G$367, MATCH(E1684, DATABASE_FG!$C$5:$C$367, 0)), "Not Found")</f>
        <v>0</v>
      </c>
      <c r="Q1684" s="36">
        <v>60</v>
      </c>
      <c r="R1684" s="125" t="s">
        <v>678</v>
      </c>
      <c r="S1684" s="123">
        <f>IFERROR(INDEX(DATABASE_FG!$L$5:$L$367, MATCH(E1684, DATABASE_FG!$C$5:$C$367, 0)), " ")</f>
        <v>56</v>
      </c>
      <c r="T1684" s="36" t="s">
        <v>677</v>
      </c>
      <c r="U1684" s="36"/>
      <c r="V1684" s="36"/>
      <c r="W1684" s="129"/>
      <c r="X1684" s="36"/>
      <c r="Y1684" s="36"/>
      <c r="Z1684" s="36"/>
      <c r="AA1684" s="125" t="s">
        <v>121</v>
      </c>
      <c r="AB1684" s="172">
        <v>45790</v>
      </c>
      <c r="AC1684" s="119">
        <v>25761</v>
      </c>
      <c r="AD1684" s="36">
        <f t="shared" si="190"/>
        <v>5500533448</v>
      </c>
      <c r="AE1684" s="36" t="str">
        <f t="shared" si="191"/>
        <v>R900699249</v>
      </c>
      <c r="AF1684" s="36">
        <v>59</v>
      </c>
      <c r="AG1684" s="120">
        <f t="shared" si="189"/>
        <v>342.78999999999996</v>
      </c>
      <c r="AH1684" s="36"/>
      <c r="AI1684" s="124"/>
      <c r="AJ1684" s="122" t="s">
        <v>3124</v>
      </c>
      <c r="AK1684" s="129" t="str">
        <f t="shared" ca="1" si="188"/>
        <v>Late</v>
      </c>
      <c r="AL1684" s="268" t="str">
        <f t="shared" si="187"/>
        <v>April</v>
      </c>
      <c r="AM1684" s="133">
        <f>YEAR(Table1[[#This Row],[ETA
As requested
dd.mm.yyyy]])</f>
        <v>2025</v>
      </c>
    </row>
    <row r="1685" spans="1:40" hidden="1">
      <c r="A1685" s="123" t="s">
        <v>27</v>
      </c>
      <c r="B1685" s="36" t="s">
        <v>1170</v>
      </c>
      <c r="C1685" s="117">
        <v>5500533448</v>
      </c>
      <c r="D1685" s="165">
        <v>45446</v>
      </c>
      <c r="E1685" s="117" t="s">
        <v>54</v>
      </c>
      <c r="F1685" s="36" t="str">
        <f>IFERROR(VLOOKUP(Table1[[#This Row],[Part Number]],DATABASE_FG!$C$6:D11674,2,FALSE)," ")</f>
        <v>PLATE_4WRD_32_5X_</v>
      </c>
      <c r="G1685" s="117" t="str">
        <f>IFERROR(_xlfn.XLOOKUP(Table1[[#This Row],[Part Number]],Table3[Part number],Table3[Drawing
 Revision]),"")</f>
        <v>AD</v>
      </c>
      <c r="H1685" s="118" cm="1">
        <f t="array" ref="H1685">IFERROR(INDEX(PDB!$C:$AT,MATCH(E1685,PDB!$B:$B,0),MATCH(YEAR(K1685),0+PDB!$C$1:$AT$1,0)),"")</f>
        <v>5.81</v>
      </c>
      <c r="I1685" s="36">
        <v>71</v>
      </c>
      <c r="J1685" s="125">
        <f>IFERROR(Table1[[#This Row],[Quantity]]*Table1[[#This Row],[Price/Unit
EUR]]," ")</f>
        <v>412.51</v>
      </c>
      <c r="K1685" s="126">
        <v>45770</v>
      </c>
      <c r="L1685" s="36">
        <f>WEEKNUM(Table1[[#This Row],[ETA
As requested
dd.mm.yyyy]])</f>
        <v>17</v>
      </c>
      <c r="M1685" s="36">
        <f>YEAR(Table1[[#This Row],[ETA
As requested
dd.mm.yyyy]])</f>
        <v>2025</v>
      </c>
      <c r="N1685" s="36">
        <f>IFERROR(INDEX(DATABASE_FG!$H$5:$H$367, MATCH(E1685, DATABASE_FG!$C$5:$C$367, 0)), " ")</f>
        <v>0</v>
      </c>
      <c r="O1685" s="129" t="str">
        <f>IF(E1685&lt;&gt;"", _xlfn.XLOOKUP(E1685, DATABASE_FG!C:C, DATABASE_FG!F:F), " ")</f>
        <v>PLATE</v>
      </c>
      <c r="P1685" s="129">
        <f>IFERROR(INDEX(DATABASE_FG!$G$5:$G$367, MATCH(E1685, DATABASE_FG!$C$5:$C$367, 0)), "Not Found")</f>
        <v>0</v>
      </c>
      <c r="Q1685" s="36">
        <v>60</v>
      </c>
      <c r="R1685" s="125" t="s">
        <v>678</v>
      </c>
      <c r="S1685" s="123">
        <f>IFERROR(INDEX(DATABASE_FG!$L$5:$L$367, MATCH(E1685, DATABASE_FG!$C$5:$C$367, 0)), " ")</f>
        <v>56</v>
      </c>
      <c r="T1685" s="36" t="s">
        <v>677</v>
      </c>
      <c r="U1685" s="36"/>
      <c r="V1685" s="36"/>
      <c r="W1685" s="129"/>
      <c r="X1685" s="36"/>
      <c r="Y1685" s="36"/>
      <c r="Z1685" s="36"/>
      <c r="AA1685" s="125" t="s">
        <v>121</v>
      </c>
      <c r="AB1685" s="172">
        <v>45800</v>
      </c>
      <c r="AC1685" s="119">
        <v>25811</v>
      </c>
      <c r="AD1685" s="36">
        <f t="shared" si="190"/>
        <v>5500533448</v>
      </c>
      <c r="AE1685" s="36" t="str">
        <f t="shared" si="191"/>
        <v>R900699249</v>
      </c>
      <c r="AF1685" s="36">
        <v>71</v>
      </c>
      <c r="AG1685" s="120">
        <f t="shared" si="189"/>
        <v>412.51</v>
      </c>
      <c r="AH1685" s="36"/>
      <c r="AI1685" s="124"/>
      <c r="AJ1685" s="122" t="s">
        <v>3125</v>
      </c>
      <c r="AK1685" s="129" t="str">
        <f t="shared" ca="1" si="188"/>
        <v>Late</v>
      </c>
      <c r="AL1685" s="268" t="str">
        <f t="shared" si="187"/>
        <v>April</v>
      </c>
      <c r="AM1685" s="133">
        <f>YEAR(Table1[[#This Row],[ETA
As requested
dd.mm.yyyy]])</f>
        <v>2025</v>
      </c>
    </row>
    <row r="1686" spans="1:40" hidden="1">
      <c r="A1686" s="123" t="s">
        <v>27</v>
      </c>
      <c r="B1686" s="36" t="s">
        <v>1170</v>
      </c>
      <c r="C1686" s="117">
        <v>5500533448</v>
      </c>
      <c r="D1686" s="165">
        <v>45446</v>
      </c>
      <c r="E1686" s="117" t="s">
        <v>54</v>
      </c>
      <c r="F1686" s="36" t="str">
        <f>IFERROR(VLOOKUP(Table1[[#This Row],[Part Number]],DATABASE_FG!$C$6:D11675,2,FALSE)," ")</f>
        <v>PLATE_4WRD_32_5X_</v>
      </c>
      <c r="G1686" s="117" t="str">
        <f>IFERROR(_xlfn.XLOOKUP(Table1[[#This Row],[Part Number]],Table3[Part number],Table3[Drawing
 Revision]),"")</f>
        <v>AD</v>
      </c>
      <c r="H1686" s="118" cm="1">
        <f t="array" ref="H1686">IFERROR(INDEX(PDB!$C:$AT,MATCH(E1686,PDB!$B:$B,0),MATCH(YEAR(K1686),0+PDB!$C$1:$AT$1,0)),"")</f>
        <v>5.81</v>
      </c>
      <c r="I1686" s="36">
        <v>187</v>
      </c>
      <c r="J1686" s="125">
        <f>IFERROR(Table1[[#This Row],[Quantity]]*Table1[[#This Row],[Price/Unit
EUR]]," ")</f>
        <v>1086.47</v>
      </c>
      <c r="K1686" s="126">
        <v>45810</v>
      </c>
      <c r="L1686" s="36">
        <f>WEEKNUM(Table1[[#This Row],[ETA
As requested
dd.mm.yyyy]])</f>
        <v>23</v>
      </c>
      <c r="M1686" s="36">
        <f>YEAR(Table1[[#This Row],[ETA
As requested
dd.mm.yyyy]])</f>
        <v>2025</v>
      </c>
      <c r="N1686" s="36">
        <f>IFERROR(INDEX(DATABASE_FG!$H$5:$H$367, MATCH(E1686, DATABASE_FG!$C$5:$C$367, 0)), " ")</f>
        <v>0</v>
      </c>
      <c r="O1686" s="129" t="str">
        <f>IF(E1686&lt;&gt;"", _xlfn.XLOOKUP(E1686, DATABASE_FG!C:C, DATABASE_FG!F:F), " ")</f>
        <v>PLATE</v>
      </c>
      <c r="P1686" s="129">
        <f>IFERROR(INDEX(DATABASE_FG!$G$5:$G$367, MATCH(E1686, DATABASE_FG!$C$5:$C$367, 0)), "Not Found")</f>
        <v>0</v>
      </c>
      <c r="Q1686" s="36">
        <v>60</v>
      </c>
      <c r="R1686" s="125" t="s">
        <v>678</v>
      </c>
      <c r="S1686" s="123">
        <f>IFERROR(INDEX(DATABASE_FG!$L$5:$L$367, MATCH(E1686, DATABASE_FG!$C$5:$C$367, 0)), " ")</f>
        <v>56</v>
      </c>
      <c r="T1686" s="36" t="s">
        <v>677</v>
      </c>
      <c r="U1686" s="36"/>
      <c r="V1686" s="36"/>
      <c r="W1686" s="129"/>
      <c r="X1686" s="36"/>
      <c r="Y1686" s="36"/>
      <c r="Z1686" s="36"/>
      <c r="AA1686" s="125" t="s">
        <v>121</v>
      </c>
      <c r="AB1686" s="172">
        <v>45859</v>
      </c>
      <c r="AC1686" s="119">
        <v>251087</v>
      </c>
      <c r="AD1686" s="36">
        <f t="shared" si="190"/>
        <v>5500533448</v>
      </c>
      <c r="AE1686" s="36" t="str">
        <f t="shared" si="191"/>
        <v>R900699249</v>
      </c>
      <c r="AF1686" s="36">
        <v>187</v>
      </c>
      <c r="AG1686" s="120">
        <f t="shared" si="189"/>
        <v>1086.47</v>
      </c>
      <c r="AH1686" s="36"/>
      <c r="AI1686" s="124"/>
      <c r="AJ1686" s="122" t="s">
        <v>3227</v>
      </c>
      <c r="AK1686" s="129" t="str">
        <f t="shared" ca="1" si="188"/>
        <v>Late</v>
      </c>
      <c r="AL1686" s="268" t="str">
        <f t="shared" si="187"/>
        <v>June</v>
      </c>
      <c r="AM1686" s="133">
        <f>YEAR(Table1[[#This Row],[ETA
As requested
dd.mm.yyyy]])</f>
        <v>2025</v>
      </c>
    </row>
    <row r="1687" spans="1:40" hidden="1">
      <c r="A1687" s="123" t="s">
        <v>27</v>
      </c>
      <c r="B1687" s="36" t="s">
        <v>1170</v>
      </c>
      <c r="C1687" s="117">
        <v>5500533448</v>
      </c>
      <c r="D1687" s="165">
        <v>45446</v>
      </c>
      <c r="E1687" s="117" t="s">
        <v>54</v>
      </c>
      <c r="F1687" s="36" t="str">
        <f>IFERROR(VLOOKUP(Table1[[#This Row],[Part Number]],DATABASE_FG!$C$6:D11676,2,FALSE)," ")</f>
        <v>PLATE_4WRD_32_5X_</v>
      </c>
      <c r="G1687" s="117" t="str">
        <f>IFERROR(_xlfn.XLOOKUP(Table1[[#This Row],[Part Number]],Table3[Part number],Table3[Drawing
 Revision]),"")</f>
        <v>AD</v>
      </c>
      <c r="H1687" s="118" cm="1">
        <f t="array" ref="H1687">IFERROR(INDEX(PDB!$C:$AT,MATCH(E1687,PDB!$B:$B,0),MATCH(YEAR(K1687),0+PDB!$C$1:$AT$1,0)),"")</f>
        <v>5.81</v>
      </c>
      <c r="I1687" s="36">
        <f>327-71-187+1</f>
        <v>70</v>
      </c>
      <c r="J1687" s="125">
        <f>IFERROR(Table1[[#This Row],[Quantity]]*Table1[[#This Row],[Price/Unit
EUR]]," ")</f>
        <v>406.7</v>
      </c>
      <c r="K1687" s="126">
        <v>45810</v>
      </c>
      <c r="L1687" s="36">
        <f>WEEKNUM(Table1[[#This Row],[ETA
As requested
dd.mm.yyyy]])</f>
        <v>23</v>
      </c>
      <c r="M1687" s="36">
        <f>YEAR(Table1[[#This Row],[ETA
As requested
dd.mm.yyyy]])</f>
        <v>2025</v>
      </c>
      <c r="N1687" s="36">
        <f>IFERROR(INDEX(DATABASE_FG!$H$5:$H$367, MATCH(E1687, DATABASE_FG!$C$5:$C$367, 0)), " ")</f>
        <v>0</v>
      </c>
      <c r="O1687" s="129" t="str">
        <f>IF(E1687&lt;&gt;"", _xlfn.XLOOKUP(E1687, DATABASE_FG!C:C, DATABASE_FG!F:F), " ")</f>
        <v>PLATE</v>
      </c>
      <c r="P1687" s="129">
        <f>IFERROR(INDEX(DATABASE_FG!$G$5:$G$367, MATCH(E1687, DATABASE_FG!$C$5:$C$367, 0)), "Not Found")</f>
        <v>0</v>
      </c>
      <c r="Q1687" s="36">
        <v>60</v>
      </c>
      <c r="R1687" s="125" t="s">
        <v>678</v>
      </c>
      <c r="S1687" s="123">
        <f>IFERROR(INDEX(DATABASE_FG!$L$5:$L$367, MATCH(E1687, DATABASE_FG!$C$5:$C$367, 0)), " ")</f>
        <v>56</v>
      </c>
      <c r="T1687" s="36" t="s">
        <v>677</v>
      </c>
      <c r="U1687" s="36"/>
      <c r="V1687" s="36"/>
      <c r="W1687" s="129"/>
      <c r="X1687" s="36"/>
      <c r="Y1687" s="36"/>
      <c r="Z1687" s="36"/>
      <c r="AA1687" s="125" t="s">
        <v>121</v>
      </c>
      <c r="AB1687" s="172">
        <v>45866</v>
      </c>
      <c r="AC1687" s="119">
        <v>251098</v>
      </c>
      <c r="AD1687" s="36">
        <f t="shared" si="190"/>
        <v>5500533448</v>
      </c>
      <c r="AE1687" s="36" t="str">
        <f t="shared" si="191"/>
        <v>R900699249</v>
      </c>
      <c r="AF1687" s="36">
        <v>70</v>
      </c>
      <c r="AG1687" s="120">
        <f t="shared" si="189"/>
        <v>406.7</v>
      </c>
      <c r="AH1687" s="36"/>
      <c r="AI1687" s="124"/>
      <c r="AJ1687" s="122" t="s">
        <v>3228</v>
      </c>
      <c r="AK1687" s="129" t="str">
        <f t="shared" ca="1" si="188"/>
        <v>Late</v>
      </c>
      <c r="AL1687" s="268" t="str">
        <f t="shared" si="187"/>
        <v>June</v>
      </c>
      <c r="AM1687" s="133">
        <f>YEAR(Table1[[#This Row],[ETA
As requested
dd.mm.yyyy]])</f>
        <v>2025</v>
      </c>
    </row>
    <row r="1688" spans="1:40" hidden="1">
      <c r="A1688" s="123" t="s">
        <v>27</v>
      </c>
      <c r="B1688" s="36" t="s">
        <v>1170</v>
      </c>
      <c r="C1688" s="117">
        <v>5500533448</v>
      </c>
      <c r="D1688" s="165">
        <v>45446</v>
      </c>
      <c r="E1688" s="117" t="s">
        <v>54</v>
      </c>
      <c r="F1688" s="36" t="str">
        <f>IFERROR(VLOOKUP(Table1[[#This Row],[Part Number]],DATABASE_FG!$C$6:D11677,2,FALSE)," ")</f>
        <v>PLATE_4WRD_32_5X_</v>
      </c>
      <c r="G1688" s="117" t="str">
        <f>IFERROR(_xlfn.XLOOKUP(Table1[[#This Row],[Part Number]],Table3[Part number],Table3[Drawing
 Revision]),"")</f>
        <v>AD</v>
      </c>
      <c r="H1688" s="118" cm="1">
        <f t="array" ref="H1688">IFERROR(INDEX(PDB!$C:$AT,MATCH(E1688,PDB!$B:$B,0),MATCH(YEAR(K1688),0+PDB!$C$1:$AT$1,0)),"")</f>
        <v>5.81</v>
      </c>
      <c r="I1688" s="36">
        <v>16</v>
      </c>
      <c r="J1688" s="125">
        <f>IFERROR(Table1[[#This Row],[Quantity]]*Table1[[#This Row],[Price/Unit
EUR]]," ")</f>
        <v>92.96</v>
      </c>
      <c r="K1688" s="126">
        <v>45821</v>
      </c>
      <c r="L1688" s="36">
        <f>WEEKNUM(Table1[[#This Row],[ETA
As requested
dd.mm.yyyy]])</f>
        <v>24</v>
      </c>
      <c r="M1688" s="36">
        <f>YEAR(Table1[[#This Row],[ETA
As requested
dd.mm.yyyy]])</f>
        <v>2025</v>
      </c>
      <c r="N1688" s="36">
        <f>IFERROR(INDEX(DATABASE_FG!$H$5:$H$367, MATCH(E1688, DATABASE_FG!$C$5:$C$367, 0)), " ")</f>
        <v>0</v>
      </c>
      <c r="O1688" s="129" t="str">
        <f>IF(E1688&lt;&gt;"", _xlfn.XLOOKUP(E1688, DATABASE_FG!C:C, DATABASE_FG!F:F), " ")</f>
        <v>PLATE</v>
      </c>
      <c r="P1688" s="129">
        <f>IFERROR(INDEX(DATABASE_FG!$G$5:$G$367, MATCH(E1688, DATABASE_FG!$C$5:$C$367, 0)), "Not Found")</f>
        <v>0</v>
      </c>
      <c r="Q1688" s="36">
        <v>60</v>
      </c>
      <c r="R1688" s="125" t="s">
        <v>678</v>
      </c>
      <c r="S1688" s="123">
        <f>IFERROR(INDEX(DATABASE_FG!$L$5:$L$367, MATCH(E1688, DATABASE_FG!$C$5:$C$367, 0)), " ")</f>
        <v>56</v>
      </c>
      <c r="T1688" s="36" t="s">
        <v>677</v>
      </c>
      <c r="U1688" s="36"/>
      <c r="V1688" s="36"/>
      <c r="W1688" s="129"/>
      <c r="X1688" s="36"/>
      <c r="Y1688" s="36"/>
      <c r="Z1688" s="36"/>
      <c r="AA1688" s="125" t="s">
        <v>121</v>
      </c>
      <c r="AB1688" s="173">
        <v>45877</v>
      </c>
      <c r="AC1688" s="119">
        <v>251124</v>
      </c>
      <c r="AD1688" s="36">
        <f t="shared" si="190"/>
        <v>5500533448</v>
      </c>
      <c r="AE1688" s="36" t="str">
        <f t="shared" si="191"/>
        <v>R900699249</v>
      </c>
      <c r="AF1688" s="36">
        <v>16</v>
      </c>
      <c r="AG1688" s="120">
        <f t="shared" si="189"/>
        <v>92.96</v>
      </c>
      <c r="AH1688" s="36"/>
      <c r="AI1688" s="124"/>
      <c r="AJ1688" s="122" t="s">
        <v>3279</v>
      </c>
      <c r="AK1688" s="129" t="str">
        <f t="shared" ca="1" si="188"/>
        <v>Late</v>
      </c>
      <c r="AL1688" s="268" t="str">
        <f t="shared" si="187"/>
        <v>June</v>
      </c>
      <c r="AM1688" s="133">
        <f>YEAR(Table1[[#This Row],[ETA
As requested
dd.mm.yyyy]])</f>
        <v>2025</v>
      </c>
    </row>
    <row r="1689" spans="1:40" hidden="1">
      <c r="A1689" s="123" t="s">
        <v>27</v>
      </c>
      <c r="B1689" s="36" t="s">
        <v>1170</v>
      </c>
      <c r="C1689" s="70">
        <v>5500533448</v>
      </c>
      <c r="D1689" s="165">
        <v>45446</v>
      </c>
      <c r="E1689" s="117" t="s">
        <v>54</v>
      </c>
      <c r="F1689" s="36" t="str">
        <f>IFERROR(VLOOKUP(Table1[[#This Row],[Part Number]],DATABASE_FG!$C$6:D11678,2,FALSE)," ")</f>
        <v>PLATE_4WRD_32_5X_</v>
      </c>
      <c r="G1689" s="117" t="str">
        <f>IFERROR(_xlfn.XLOOKUP(Table1[[#This Row],[Part Number]],Table3[Part number],Table3[Drawing
 Revision]),"")</f>
        <v>AD</v>
      </c>
      <c r="H1689" s="118" cm="1">
        <f t="array" ref="H1689">IFERROR(INDEX(PDB!$C:$AT,MATCH(E1689,PDB!$B:$B,0),MATCH(YEAR(K1689),0+PDB!$C$1:$AT$1,0)),"")</f>
        <v>5.81</v>
      </c>
      <c r="I1689" s="36">
        <f>132-1-16</f>
        <v>115</v>
      </c>
      <c r="J1689" s="125">
        <f>IFERROR(Table1[[#This Row],[Quantity]]*Table1[[#This Row],[Price/Unit
EUR]]," ")</f>
        <v>668.15</v>
      </c>
      <c r="K1689" s="126">
        <v>45821</v>
      </c>
      <c r="L1689" s="36">
        <f>WEEKNUM(Table1[[#This Row],[ETA
As requested
dd.mm.yyyy]])</f>
        <v>24</v>
      </c>
      <c r="M1689" s="36">
        <f>YEAR(Table1[[#This Row],[ETA
As requested
dd.mm.yyyy]])</f>
        <v>2025</v>
      </c>
      <c r="N1689" s="36">
        <f>IFERROR(INDEX(DATABASE_FG!$H$5:$H$367, MATCH(E1689, DATABASE_FG!$C$5:$C$367, 0)), " ")</f>
        <v>0</v>
      </c>
      <c r="O1689" s="129" t="str">
        <f>IF(E1689&lt;&gt;"", _xlfn.XLOOKUP(E1689, DATABASE_FG!C:C, DATABASE_FG!F:F), " ")</f>
        <v>PLATE</v>
      </c>
      <c r="P1689" s="129">
        <f>IFERROR(INDEX(DATABASE_FG!$G$5:$G$367, MATCH(E1689, DATABASE_FG!$C$5:$C$367, 0)), "Not Found")</f>
        <v>0</v>
      </c>
      <c r="Q1689" s="36">
        <v>60</v>
      </c>
      <c r="R1689" s="125" t="s">
        <v>678</v>
      </c>
      <c r="S1689" s="123">
        <f>IFERROR(INDEX(DATABASE_FG!$L$5:$L$367, MATCH(E1689, DATABASE_FG!$C$5:$C$367, 0)), " ")</f>
        <v>56</v>
      </c>
      <c r="T1689" s="36" t="s">
        <v>677</v>
      </c>
      <c r="U1689" s="36"/>
      <c r="V1689" s="36"/>
      <c r="W1689" s="129"/>
      <c r="X1689" s="36"/>
      <c r="Y1689" s="36"/>
      <c r="Z1689" s="36"/>
      <c r="AA1689" s="125" t="s">
        <v>121</v>
      </c>
      <c r="AB1689" s="172">
        <v>45915</v>
      </c>
      <c r="AC1689" s="119">
        <v>251156</v>
      </c>
      <c r="AD1689" s="36">
        <f t="shared" si="190"/>
        <v>5500533448</v>
      </c>
      <c r="AE1689" s="36" t="str">
        <f t="shared" si="191"/>
        <v>R900699249</v>
      </c>
      <c r="AF1689" s="36">
        <v>115</v>
      </c>
      <c r="AG1689" s="120">
        <f t="shared" si="189"/>
        <v>668.15</v>
      </c>
      <c r="AH1689" s="36"/>
      <c r="AI1689" s="124"/>
      <c r="AJ1689" s="122" t="s">
        <v>3280</v>
      </c>
      <c r="AK1689" s="129" t="str">
        <f t="shared" ca="1" si="188"/>
        <v>Late</v>
      </c>
      <c r="AL1689" s="268" t="str">
        <f t="shared" si="187"/>
        <v>June</v>
      </c>
      <c r="AM1689" s="133">
        <f>YEAR(Table1[[#This Row],[ETA
As requested
dd.mm.yyyy]])</f>
        <v>2025</v>
      </c>
    </row>
    <row r="1690" spans="1:40" hidden="1">
      <c r="A1690" s="123" t="s">
        <v>27</v>
      </c>
      <c r="B1690" s="36" t="s">
        <v>1170</v>
      </c>
      <c r="C1690" s="117">
        <v>5500533448</v>
      </c>
      <c r="D1690" s="165">
        <v>45446</v>
      </c>
      <c r="E1690" s="117" t="s">
        <v>54</v>
      </c>
      <c r="F1690" s="36" t="str">
        <f>IFERROR(VLOOKUP(Table1[[#This Row],[Part Number]],DATABASE_FG!$C$6:D11679,2,FALSE)," ")</f>
        <v>PLATE_4WRD_32_5X_</v>
      </c>
      <c r="G1690" s="117" t="str">
        <f>IFERROR(_xlfn.XLOOKUP(Table1[[#This Row],[Part Number]],Table3[Part number],Table3[Drawing
 Revision]),"")</f>
        <v>AD</v>
      </c>
      <c r="H1690" s="118" cm="1">
        <f t="array" ref="H1690">IFERROR(INDEX(PDB!$C:$AT,MATCH(E1690,PDB!$B:$B,0),MATCH(YEAR(K1690),0+PDB!$C$1:$AT$1,0)),"")</f>
        <v>5.81</v>
      </c>
      <c r="I1690" s="36">
        <v>132</v>
      </c>
      <c r="J1690" s="125">
        <f>IFERROR(Table1[[#This Row],[Quantity]]*Table1[[#This Row],[Price/Unit
EUR]]," ")</f>
        <v>766.92</v>
      </c>
      <c r="K1690" s="126">
        <v>45835</v>
      </c>
      <c r="L1690" s="36">
        <f>WEEKNUM(Table1[[#This Row],[ETA
As requested
dd.mm.yyyy]])</f>
        <v>26</v>
      </c>
      <c r="M1690" s="36">
        <f>YEAR(Table1[[#This Row],[ETA
As requested
dd.mm.yyyy]])</f>
        <v>2025</v>
      </c>
      <c r="N1690" s="36">
        <f>IFERROR(INDEX(DATABASE_FG!$H$5:$H$367, MATCH(E1690, DATABASE_FG!$C$5:$C$367, 0)), " ")</f>
        <v>0</v>
      </c>
      <c r="O1690" s="129" t="str">
        <f>IF(E1690&lt;&gt;"", _xlfn.XLOOKUP(E1690, DATABASE_FG!C:C, DATABASE_FG!F:F), " ")</f>
        <v>PLATE</v>
      </c>
      <c r="P1690" s="129">
        <f>IFERROR(INDEX(DATABASE_FG!$G$5:$G$367, MATCH(E1690, DATABASE_FG!$C$5:$C$367, 0)), "Not Found")</f>
        <v>0</v>
      </c>
      <c r="Q1690" s="36">
        <v>60</v>
      </c>
      <c r="R1690" s="125" t="s">
        <v>678</v>
      </c>
      <c r="S1690" s="123">
        <f>IFERROR(INDEX(DATABASE_FG!$L$5:$L$367, MATCH(E1690, DATABASE_FG!$C$5:$C$367, 0)), " ")</f>
        <v>56</v>
      </c>
      <c r="T1690" s="36" t="s">
        <v>677</v>
      </c>
      <c r="U1690" s="36"/>
      <c r="V1690" s="36"/>
      <c r="W1690" s="129"/>
      <c r="X1690" s="36"/>
      <c r="Y1690" s="36"/>
      <c r="Z1690" s="36"/>
      <c r="AA1690" s="125" t="s">
        <v>121</v>
      </c>
      <c r="AB1690" s="173">
        <v>45915</v>
      </c>
      <c r="AC1690" s="119">
        <v>251156</v>
      </c>
      <c r="AD1690" s="36">
        <f t="shared" si="190"/>
        <v>5500533448</v>
      </c>
      <c r="AE1690" s="36" t="str">
        <f t="shared" si="191"/>
        <v>R900699249</v>
      </c>
      <c r="AF1690" s="36">
        <v>132</v>
      </c>
      <c r="AG1690" s="120">
        <f t="shared" si="189"/>
        <v>766.92</v>
      </c>
      <c r="AH1690" s="36"/>
      <c r="AI1690" s="124"/>
      <c r="AJ1690" s="122" t="s">
        <v>3280</v>
      </c>
      <c r="AK1690" s="129" t="str">
        <f t="shared" ca="1" si="188"/>
        <v>Late</v>
      </c>
      <c r="AL1690" s="268" t="str">
        <f t="shared" si="187"/>
        <v>June</v>
      </c>
      <c r="AM1690" s="133">
        <f>YEAR(Table1[[#This Row],[ETA
As requested
dd.mm.yyyy]])</f>
        <v>2025</v>
      </c>
    </row>
    <row r="1691" spans="1:40" hidden="1">
      <c r="A1691" s="123" t="s">
        <v>27</v>
      </c>
      <c r="B1691" s="36" t="s">
        <v>1170</v>
      </c>
      <c r="C1691" s="117">
        <v>5500533448</v>
      </c>
      <c r="D1691" s="165">
        <v>45446</v>
      </c>
      <c r="E1691" s="117" t="s">
        <v>54</v>
      </c>
      <c r="F1691" s="36" t="str">
        <f>IFERROR(VLOOKUP(Table1[[#This Row],[Part Number]],DATABASE_FG!$C$6:D11680,2,FALSE)," ")</f>
        <v>PLATE_4WRD_32_5X_</v>
      </c>
      <c r="G1691" s="117" t="str">
        <f>IFERROR(_xlfn.XLOOKUP(Table1[[#This Row],[Part Number]],Table3[Part number],Table3[Drawing
 Revision]),"")</f>
        <v>AD</v>
      </c>
      <c r="H1691" s="118" cm="1">
        <f t="array" ref="H1691">IFERROR(INDEX(PDB!$C:$AT,MATCH(E1691,PDB!$B:$B,0),MATCH(YEAR(K1691),0+PDB!$C$1:$AT$1,0)),"")</f>
        <v>5.81</v>
      </c>
      <c r="I1691" s="36">
        <v>132</v>
      </c>
      <c r="J1691" s="125">
        <f>IFERROR(Table1[[#This Row],[Quantity]]*Table1[[#This Row],[Price/Unit
EUR]]," ")</f>
        <v>766.92</v>
      </c>
      <c r="K1691" s="126">
        <v>45873</v>
      </c>
      <c r="L1691" s="36">
        <f>WEEKNUM(Table1[[#This Row],[ETA
As requested
dd.mm.yyyy]])</f>
        <v>32</v>
      </c>
      <c r="M1691" s="36">
        <f>YEAR(Table1[[#This Row],[ETA
As requested
dd.mm.yyyy]])</f>
        <v>2025</v>
      </c>
      <c r="N1691" s="36">
        <f>IFERROR(INDEX(DATABASE_FG!$H$5:$H$367, MATCH(E1691, DATABASE_FG!$C$5:$C$367, 0)), " ")</f>
        <v>0</v>
      </c>
      <c r="O1691" s="129" t="str">
        <f>IF(E1691&lt;&gt;"", _xlfn.XLOOKUP(E1691, DATABASE_FG!C:C, DATABASE_FG!F:F), " ")</f>
        <v>PLATE</v>
      </c>
      <c r="P1691" s="129">
        <f>IFERROR(INDEX(DATABASE_FG!$G$5:$G$367, MATCH(E1691, DATABASE_FG!$C$5:$C$367, 0)), "Not Found")</f>
        <v>0</v>
      </c>
      <c r="Q1691" s="36">
        <v>60</v>
      </c>
      <c r="R1691" s="125" t="s">
        <v>678</v>
      </c>
      <c r="S1691" s="123">
        <f>IFERROR(INDEX(DATABASE_FG!$L$5:$L$367, MATCH(E1691, DATABASE_FG!$C$5:$C$367, 0)), " ")</f>
        <v>56</v>
      </c>
      <c r="T1691" s="36" t="s">
        <v>677</v>
      </c>
      <c r="U1691" s="36"/>
      <c r="V1691" s="36"/>
      <c r="W1691" s="129"/>
      <c r="X1691" s="36"/>
      <c r="Y1691" s="36"/>
      <c r="Z1691" s="36"/>
      <c r="AA1691" s="125" t="s">
        <v>121</v>
      </c>
      <c r="AB1691" s="173">
        <v>45915</v>
      </c>
      <c r="AC1691" s="119">
        <v>251156</v>
      </c>
      <c r="AD1691" s="36">
        <f t="shared" si="190"/>
        <v>5500533448</v>
      </c>
      <c r="AE1691" s="36" t="str">
        <f t="shared" si="191"/>
        <v>R900699249</v>
      </c>
      <c r="AF1691" s="36">
        <v>132</v>
      </c>
      <c r="AG1691" s="120">
        <f t="shared" si="189"/>
        <v>766.92</v>
      </c>
      <c r="AH1691" s="36"/>
      <c r="AI1691" s="124"/>
      <c r="AJ1691" s="122" t="s">
        <v>3280</v>
      </c>
      <c r="AK1691" s="129" t="str">
        <f t="shared" ca="1" si="188"/>
        <v>Late</v>
      </c>
      <c r="AL1691" s="268" t="str">
        <f t="shared" si="187"/>
        <v>August</v>
      </c>
      <c r="AM1691" s="133">
        <f>YEAR(Table1[[#This Row],[ETA
As requested
dd.mm.yyyy]])</f>
        <v>2025</v>
      </c>
    </row>
    <row r="1692" spans="1:40" hidden="1">
      <c r="A1692" s="123" t="s">
        <v>27</v>
      </c>
      <c r="B1692" s="36" t="s">
        <v>1170</v>
      </c>
      <c r="C1692" s="117">
        <v>5500533448</v>
      </c>
      <c r="D1692" s="165">
        <v>45446</v>
      </c>
      <c r="E1692" s="117" t="s">
        <v>54</v>
      </c>
      <c r="F1692" s="36" t="str">
        <f>IFERROR(VLOOKUP(Table1[[#This Row],[Part Number]],DATABASE_FG!$C$6:D11681,2,FALSE)," ")</f>
        <v>PLATE_4WRD_32_5X_</v>
      </c>
      <c r="G1692" s="117" t="str">
        <f>IFERROR(_xlfn.XLOOKUP(Table1[[#This Row],[Part Number]],Table3[Part number],Table3[Drawing
 Revision]),"")</f>
        <v>AD</v>
      </c>
      <c r="H1692" s="118" cm="1">
        <f t="array" ref="H1692">IFERROR(INDEX(PDB!$C:$AT,MATCH(E1692,PDB!$B:$B,0),MATCH(YEAR(K1692),0+PDB!$C$1:$AT$1,0)),"")</f>
        <v>5.81</v>
      </c>
      <c r="I1692" s="36">
        <v>15</v>
      </c>
      <c r="J1692" s="125">
        <f>IFERROR(Table1[[#This Row],[Quantity]]*Table1[[#This Row],[Price/Unit
EUR]]," ")</f>
        <v>87.149999999999991</v>
      </c>
      <c r="K1692" s="126">
        <v>45929</v>
      </c>
      <c r="L1692" s="36">
        <f>WEEKNUM(Table1[[#This Row],[ETA
As requested
dd.mm.yyyy]])</f>
        <v>40</v>
      </c>
      <c r="M1692" s="36">
        <f>YEAR(Table1[[#This Row],[ETA
As requested
dd.mm.yyyy]])</f>
        <v>2025</v>
      </c>
      <c r="N1692" s="36">
        <f>IFERROR(INDEX(DATABASE_FG!$H$5:$H$367, MATCH(E1692, DATABASE_FG!$C$5:$C$367, 0)), " ")</f>
        <v>0</v>
      </c>
      <c r="O1692" s="129" t="str">
        <f>IF(E1692&lt;&gt;"", _xlfn.XLOOKUP(E1692, DATABASE_FG!C:C, DATABASE_FG!F:F), " ")</f>
        <v>PLATE</v>
      </c>
      <c r="P1692" s="129">
        <f>IFERROR(INDEX(DATABASE_FG!$G$5:$G$367, MATCH(E1692, DATABASE_FG!$C$5:$C$367, 0)), "Not Found")</f>
        <v>0</v>
      </c>
      <c r="Q1692" s="36">
        <v>60</v>
      </c>
      <c r="R1692" s="125" t="s">
        <v>678</v>
      </c>
      <c r="S1692" s="123">
        <f>IFERROR(INDEX(DATABASE_FG!$L$5:$L$367, MATCH(E1692, DATABASE_FG!$C$5:$C$367, 0)), " ")</f>
        <v>56</v>
      </c>
      <c r="T1692" s="36" t="s">
        <v>677</v>
      </c>
      <c r="U1692" s="36"/>
      <c r="V1692" s="36"/>
      <c r="W1692" s="129"/>
      <c r="X1692" s="36"/>
      <c r="Y1692" s="36"/>
      <c r="Z1692" s="36"/>
      <c r="AA1692" s="125" t="s">
        <v>121</v>
      </c>
      <c r="AB1692" s="173">
        <v>45915</v>
      </c>
      <c r="AC1692" s="119">
        <v>251156</v>
      </c>
      <c r="AD1692" s="36">
        <f t="shared" si="190"/>
        <v>5500533448</v>
      </c>
      <c r="AE1692" s="36" t="str">
        <f t="shared" si="191"/>
        <v>R900699249</v>
      </c>
      <c r="AF1692" s="36">
        <v>15</v>
      </c>
      <c r="AG1692" s="120">
        <f t="shared" si="189"/>
        <v>87.149999999999991</v>
      </c>
      <c r="AH1692" s="36"/>
      <c r="AI1692" s="124"/>
      <c r="AJ1692" s="122" t="s">
        <v>3280</v>
      </c>
      <c r="AK1692" s="129" t="str">
        <f t="shared" ca="1" si="188"/>
        <v>On Time</v>
      </c>
      <c r="AL1692" s="268" t="str">
        <f t="shared" si="187"/>
        <v>September</v>
      </c>
      <c r="AM1692" s="133">
        <f>YEAR(Table1[[#This Row],[ETA
As requested
dd.mm.yyyy]])</f>
        <v>2025</v>
      </c>
    </row>
    <row r="1693" spans="1:40" hidden="1">
      <c r="A1693" s="123" t="s">
        <v>27</v>
      </c>
      <c r="B1693" s="36" t="s">
        <v>1170</v>
      </c>
      <c r="C1693" s="117">
        <v>5500533448</v>
      </c>
      <c r="D1693" s="165">
        <v>45924</v>
      </c>
      <c r="E1693" s="117" t="s">
        <v>54</v>
      </c>
      <c r="F1693" s="36" t="str">
        <f>IFERROR(VLOOKUP(Table1[[#This Row],[Part Number]],DATABASE_FG!$C$6:D11682,2,FALSE)," ")</f>
        <v>PLATE_4WRD_32_5X_</v>
      </c>
      <c r="G1693" s="117" t="str">
        <f>IFERROR(_xlfn.XLOOKUP(Table1[[#This Row],[Part Number]],Table3[Part number],Table3[Drawing
 Revision]),"")</f>
        <v>AD</v>
      </c>
      <c r="H1693" s="118" cm="1">
        <f t="array" ref="H1693">IFERROR(INDEX(PDB!$C:$AT,MATCH(E1693,PDB!$B:$B,0),MATCH(YEAR(K1693),0+PDB!$C$1:$AT$1,0)),"")</f>
        <v>5.81</v>
      </c>
      <c r="I1693" s="36">
        <v>124</v>
      </c>
      <c r="J1693" s="125">
        <f>IFERROR(Table1[[#This Row],[Quantity]]*Table1[[#This Row],[Price/Unit
EUR]]," ")</f>
        <v>720.43999999999994</v>
      </c>
      <c r="K1693" s="126">
        <v>45929</v>
      </c>
      <c r="L1693" s="36">
        <f>WEEKNUM(Table1[[#This Row],[ETA
As requested
dd.mm.yyyy]])</f>
        <v>40</v>
      </c>
      <c r="M1693" s="36">
        <f>YEAR(Table1[[#This Row],[ETA
As requested
dd.mm.yyyy]])</f>
        <v>2025</v>
      </c>
      <c r="N1693" s="36">
        <f>IFERROR(INDEX(DATABASE_FG!$H$5:$H$367, MATCH(E1693, DATABASE_FG!$C$5:$C$367, 0)), " ")</f>
        <v>0</v>
      </c>
      <c r="O1693" s="129" t="str">
        <f>IF(E1693&lt;&gt;"", _xlfn.XLOOKUP(E1693, DATABASE_FG!C:C, DATABASE_FG!F:F), " ")</f>
        <v>PLATE</v>
      </c>
      <c r="P1693" s="129">
        <f>IFERROR(INDEX(DATABASE_FG!$G$5:$G$367, MATCH(E1693, DATABASE_FG!$C$5:$C$367, 0)), "Not Found")</f>
        <v>0</v>
      </c>
      <c r="Q1693" s="36">
        <v>60</v>
      </c>
      <c r="R1693" s="125" t="s">
        <v>678</v>
      </c>
      <c r="S1693" s="123">
        <f>Table1[[#This Row],[Quantity]]/48</f>
        <v>2.5833333333333335</v>
      </c>
      <c r="T1693" s="36"/>
      <c r="U1693" s="36"/>
      <c r="V1693" s="36"/>
      <c r="W1693" s="129"/>
      <c r="X1693" s="36"/>
      <c r="Y1693" s="36"/>
      <c r="Z1693" s="36"/>
      <c r="AA1693" s="125" t="s">
        <v>121</v>
      </c>
      <c r="AB1693" s="173">
        <v>45924</v>
      </c>
      <c r="AC1693" s="119">
        <v>251163</v>
      </c>
      <c r="AD1693" s="36">
        <f t="shared" si="190"/>
        <v>5500533448</v>
      </c>
      <c r="AE1693" s="36" t="str">
        <f t="shared" si="191"/>
        <v>R900699249</v>
      </c>
      <c r="AF1693" s="36">
        <v>124</v>
      </c>
      <c r="AG1693" s="120">
        <f t="shared" si="189"/>
        <v>720.43999999999994</v>
      </c>
      <c r="AH1693" s="36"/>
      <c r="AI1693" s="124"/>
      <c r="AJ1693" s="122" t="s">
        <v>3722</v>
      </c>
      <c r="AK1693" s="129" t="str">
        <f t="shared" ca="1" si="188"/>
        <v>On Time</v>
      </c>
      <c r="AL1693" s="268" t="str">
        <f t="shared" si="187"/>
        <v>September</v>
      </c>
      <c r="AM1693" s="133">
        <f>YEAR(Table1[[#This Row],[ETA
As requested
dd.mm.yyyy]])</f>
        <v>2025</v>
      </c>
      <c r="AN1693" s="191"/>
    </row>
    <row r="1694" spans="1:40" hidden="1">
      <c r="A1694" s="123" t="s">
        <v>27</v>
      </c>
      <c r="B1694" s="36" t="s">
        <v>1170</v>
      </c>
      <c r="C1694" s="117">
        <v>5500533448</v>
      </c>
      <c r="D1694" s="165">
        <v>45924</v>
      </c>
      <c r="E1694" s="117" t="s">
        <v>54</v>
      </c>
      <c r="F1694" s="36" t="str">
        <f>IFERROR(VLOOKUP(Table1[[#This Row],[Part Number]],DATABASE_FG!$C$6:D11683,2,FALSE)," ")</f>
        <v>PLATE_4WRD_32_5X_</v>
      </c>
      <c r="G1694" s="117" t="str">
        <f>IFERROR(_xlfn.XLOOKUP(Table1[[#This Row],[Part Number]],Table3[Part number],Table3[Drawing
 Revision]),"")</f>
        <v>AD</v>
      </c>
      <c r="H1694" s="118" cm="1">
        <f t="array" ref="H1694">IFERROR(INDEX(PDB!$C:$AT,MATCH(E1694,PDB!$B:$B,0),MATCH(YEAR(K1694),0+PDB!$C$1:$AT$1,0)),"")</f>
        <v>5.81</v>
      </c>
      <c r="I1694" s="36">
        <v>5</v>
      </c>
      <c r="J1694" s="125">
        <f>IFERROR(Table1[[#This Row],[Quantity]]*Table1[[#This Row],[Price/Unit
EUR]]," ")</f>
        <v>29.049999999999997</v>
      </c>
      <c r="K1694" s="126">
        <v>45929</v>
      </c>
      <c r="L1694" s="36">
        <f>WEEKNUM(Table1[[#This Row],[ETA
As requested
dd.mm.yyyy]])</f>
        <v>40</v>
      </c>
      <c r="M1694" s="36">
        <f>YEAR(Table1[[#This Row],[ETA
As requested
dd.mm.yyyy]])</f>
        <v>2025</v>
      </c>
      <c r="N1694" s="36">
        <f>IFERROR(INDEX(DATABASE_FG!$H$5:$H$367, MATCH(E1694, DATABASE_FG!$C$5:$C$367, 0)), " ")</f>
        <v>0</v>
      </c>
      <c r="O1694" s="129" t="str">
        <f>IF(E1694&lt;&gt;"", _xlfn.XLOOKUP(E1694, DATABASE_FG!C:C, DATABASE_FG!F:F), " ")</f>
        <v>PLATE</v>
      </c>
      <c r="P1694" s="129">
        <f>IFERROR(INDEX(DATABASE_FG!$G$5:$G$367, MATCH(E1694, DATABASE_FG!$C$5:$C$367, 0)), "Not Found")</f>
        <v>0</v>
      </c>
      <c r="Q1694" s="36">
        <v>60</v>
      </c>
      <c r="R1694" s="125" t="s">
        <v>678</v>
      </c>
      <c r="S1694" s="123">
        <f>Table1[[#This Row],[Quantity]]/48</f>
        <v>0.10416666666666667</v>
      </c>
      <c r="T1694" s="36"/>
      <c r="U1694" s="36"/>
      <c r="V1694" s="36"/>
      <c r="W1694" s="129"/>
      <c r="X1694" s="36"/>
      <c r="Y1694" s="36"/>
      <c r="Z1694" s="36"/>
      <c r="AA1694" s="125" t="s">
        <v>121</v>
      </c>
      <c r="AB1694" s="172">
        <v>45961</v>
      </c>
      <c r="AC1694" s="119">
        <v>251224</v>
      </c>
      <c r="AD1694" s="36">
        <f>IF(NOT(ISBLANK(AC1694)), C1694, "")</f>
        <v>5500533448</v>
      </c>
      <c r="AE1694" s="36" t="str">
        <f>IF(NOT(ISBLANK(AC1694)), E1694, "")</f>
        <v>R900699249</v>
      </c>
      <c r="AF1694" s="36">
        <v>5</v>
      </c>
      <c r="AG1694" s="120">
        <f>AF1694*H1694</f>
        <v>29.049999999999997</v>
      </c>
      <c r="AH1694" s="36"/>
      <c r="AI1694" s="124"/>
      <c r="AJ1694" s="122" t="s">
        <v>4487</v>
      </c>
      <c r="AK1694" s="129" t="str">
        <f ca="1">IF(AB1694="", IF(K1694 &lt; TODAY(), "Late", ""), IF(AB1694 &lt;= K1694 + 2, "On Time", "Late"))</f>
        <v>Late</v>
      </c>
      <c r="AL1694" s="268" t="str">
        <f>TEXT(K1694,"mmmm")</f>
        <v>September</v>
      </c>
      <c r="AM1694" s="133">
        <f>YEAR(Table1[[#This Row],[ETA
As requested
dd.mm.yyyy]])</f>
        <v>2025</v>
      </c>
      <c r="AN1694" s="191"/>
    </row>
    <row r="1695" spans="1:40" hidden="1">
      <c r="A1695" s="123" t="s">
        <v>27</v>
      </c>
      <c r="B1695" s="36" t="s">
        <v>1170</v>
      </c>
      <c r="C1695" s="117">
        <v>5500533448</v>
      </c>
      <c r="D1695" s="165">
        <v>45924</v>
      </c>
      <c r="E1695" s="117" t="s">
        <v>54</v>
      </c>
      <c r="F1695" s="36" t="str">
        <f>IFERROR(VLOOKUP(Table1[[#This Row],[Part Number]],DATABASE_FG!$C$6:D11684,2,FALSE)," ")</f>
        <v>PLATE_4WRD_32_5X_</v>
      </c>
      <c r="G1695" s="117" t="str">
        <f>IFERROR(_xlfn.XLOOKUP(Table1[[#This Row],[Part Number]],Table3[Part number],Table3[Drawing
 Revision]),"")</f>
        <v>AD</v>
      </c>
      <c r="H1695" s="118" cm="1">
        <f t="array" ref="H1695">IFERROR(INDEX(PDB!$C:$AT,MATCH(E1695,PDB!$B:$B,0),MATCH(YEAR(K1695),0+PDB!$C$1:$AT$1,0)),"")</f>
        <v>5.81</v>
      </c>
      <c r="I1695" s="36">
        <f>91-5</f>
        <v>86</v>
      </c>
      <c r="J1695" s="125">
        <f>IFERROR(Table1[[#This Row],[Quantity]]*Table1[[#This Row],[Price/Unit
EUR]]," ")</f>
        <v>499.65999999999997</v>
      </c>
      <c r="K1695" s="126">
        <v>45929</v>
      </c>
      <c r="L1695" s="36">
        <f>WEEKNUM(Table1[[#This Row],[ETA
As requested
dd.mm.yyyy]])</f>
        <v>40</v>
      </c>
      <c r="M1695" s="36">
        <f>YEAR(Table1[[#This Row],[ETA
As requested
dd.mm.yyyy]])</f>
        <v>2025</v>
      </c>
      <c r="N1695" s="36">
        <f>IFERROR(INDEX(DATABASE_FG!$H$5:$H$367, MATCH(E1695, DATABASE_FG!$C$5:$C$367, 0)), " ")</f>
        <v>0</v>
      </c>
      <c r="O1695" s="129" t="str">
        <f>IF(E1695&lt;&gt;"", _xlfn.XLOOKUP(E1695, DATABASE_FG!C:C, DATABASE_FG!F:F), " ")</f>
        <v>PLATE</v>
      </c>
      <c r="P1695" s="129">
        <f>IFERROR(INDEX(DATABASE_FG!$G$5:$G$367, MATCH(E1695, DATABASE_FG!$C$5:$C$367, 0)), "Not Found")</f>
        <v>0</v>
      </c>
      <c r="Q1695" s="36">
        <v>60</v>
      </c>
      <c r="R1695" s="125" t="s">
        <v>678</v>
      </c>
      <c r="S1695" s="123">
        <f>IFERROR(INDEX(DATABASE_FG!$L$5:$L$367, MATCH(E1695, DATABASE_FG!$C$5:$C$367, 0)), " ")</f>
        <v>56</v>
      </c>
      <c r="T1695" s="36" t="s">
        <v>677</v>
      </c>
      <c r="U1695" s="36"/>
      <c r="V1695" s="36"/>
      <c r="W1695" s="129"/>
      <c r="X1695" s="36"/>
      <c r="Y1695" s="36"/>
      <c r="Z1695" s="36"/>
      <c r="AA1695" s="125" t="s">
        <v>3</v>
      </c>
      <c r="AB1695" s="172"/>
      <c r="AC1695" s="119"/>
      <c r="AD1695" s="36" t="str">
        <f t="shared" si="190"/>
        <v/>
      </c>
      <c r="AE1695" s="36" t="str">
        <f t="shared" si="191"/>
        <v/>
      </c>
      <c r="AF1695" s="36"/>
      <c r="AG1695" s="120">
        <f t="shared" si="189"/>
        <v>0</v>
      </c>
      <c r="AH1695" s="36"/>
      <c r="AI1695" s="124"/>
      <c r="AJ1695" s="122"/>
      <c r="AK1695" s="129" t="str">
        <f t="shared" ca="1" si="188"/>
        <v>Late</v>
      </c>
      <c r="AL1695" s="268" t="str">
        <f t="shared" si="187"/>
        <v>September</v>
      </c>
      <c r="AM1695" s="133">
        <f>YEAR(Table1[[#This Row],[ETA
As requested
dd.mm.yyyy]])</f>
        <v>2025</v>
      </c>
    </row>
    <row r="1696" spans="1:40" hidden="1">
      <c r="A1696" s="123" t="s">
        <v>27</v>
      </c>
      <c r="B1696" s="36" t="s">
        <v>1170</v>
      </c>
      <c r="C1696" s="117">
        <v>5500533448</v>
      </c>
      <c r="D1696" s="165">
        <v>45924</v>
      </c>
      <c r="E1696" s="117" t="s">
        <v>54</v>
      </c>
      <c r="F1696" s="36" t="str">
        <f>IFERROR(VLOOKUP(Table1[[#This Row],[Part Number]],DATABASE_FG!$C$6:D11685,2,FALSE)," ")</f>
        <v>PLATE_4WRD_32_5X_</v>
      </c>
      <c r="G1696" s="117" t="str">
        <f>IFERROR(_xlfn.XLOOKUP(Table1[[#This Row],[Part Number]],Table3[Part number],Table3[Drawing
 Revision]),"")</f>
        <v>AD</v>
      </c>
      <c r="H1696" s="118" cm="1">
        <f t="array" ref="H1696">IFERROR(INDEX(PDB!$C:$AT,MATCH(E1696,PDB!$B:$B,0),MATCH(YEAR(K1696),0+PDB!$C$1:$AT$1,0)),"")</f>
        <v>0</v>
      </c>
      <c r="I1696" s="36">
        <v>132</v>
      </c>
      <c r="J1696" s="125">
        <f>IFERROR(Table1[[#This Row],[Quantity]]*Table1[[#This Row],[Price/Unit
EUR]]," ")</f>
        <v>0</v>
      </c>
      <c r="K1696" s="126">
        <v>46031</v>
      </c>
      <c r="L1696" s="36">
        <f>WEEKNUM(Table1[[#This Row],[ETA
As requested
dd.mm.yyyy]])</f>
        <v>2</v>
      </c>
      <c r="M1696" s="36">
        <f>YEAR(Table1[[#This Row],[ETA
As requested
dd.mm.yyyy]])</f>
        <v>2026</v>
      </c>
      <c r="N1696" s="36">
        <f>IFERROR(INDEX(DATABASE_FG!$H$5:$H$367, MATCH(E1696, DATABASE_FG!$C$5:$C$367, 0)), " ")</f>
        <v>0</v>
      </c>
      <c r="O1696" s="129" t="str">
        <f>IF(E1696&lt;&gt;"", _xlfn.XLOOKUP(E1696, DATABASE_FG!C:C, DATABASE_FG!F:F), " ")</f>
        <v>PLATE</v>
      </c>
      <c r="P1696" s="129">
        <f>IFERROR(INDEX(DATABASE_FG!$G$5:$G$367, MATCH(E1696, DATABASE_FG!$C$5:$C$367, 0)), "Not Found")</f>
        <v>0</v>
      </c>
      <c r="Q1696" s="36">
        <v>60</v>
      </c>
      <c r="R1696" s="125" t="s">
        <v>678</v>
      </c>
      <c r="S1696" s="123">
        <f>IFERROR(INDEX(DATABASE_FG!$L$5:$L$367, MATCH(E1696, DATABASE_FG!$C$5:$C$367, 0)), " ")</f>
        <v>56</v>
      </c>
      <c r="T1696" s="36" t="s">
        <v>677</v>
      </c>
      <c r="U1696" s="36"/>
      <c r="V1696" s="36"/>
      <c r="W1696" s="129"/>
      <c r="X1696" s="36"/>
      <c r="Y1696" s="36"/>
      <c r="Z1696" s="36"/>
      <c r="AA1696" s="125" t="s">
        <v>3</v>
      </c>
      <c r="AB1696" s="173"/>
      <c r="AC1696" s="119"/>
      <c r="AD1696" s="36" t="str">
        <f t="shared" si="190"/>
        <v/>
      </c>
      <c r="AE1696" s="36" t="str">
        <f t="shared" si="191"/>
        <v/>
      </c>
      <c r="AF1696" s="36"/>
      <c r="AG1696" s="120">
        <f t="shared" si="189"/>
        <v>0</v>
      </c>
      <c r="AH1696" s="36"/>
      <c r="AI1696" s="124"/>
      <c r="AJ1696" s="122"/>
      <c r="AK1696" s="129" t="str">
        <f t="shared" ca="1" si="188"/>
        <v/>
      </c>
      <c r="AL1696" s="268" t="str">
        <f t="shared" si="187"/>
        <v>January</v>
      </c>
      <c r="AM1696" s="133">
        <f>YEAR(Table1[[#This Row],[ETA
As requested
dd.mm.yyyy]])</f>
        <v>2026</v>
      </c>
      <c r="AN1696" s="76"/>
    </row>
    <row r="1697" spans="1:40" hidden="1">
      <c r="A1697" s="123" t="s">
        <v>27</v>
      </c>
      <c r="B1697" s="36" t="s">
        <v>2464</v>
      </c>
      <c r="C1697" s="117">
        <v>5500533448</v>
      </c>
      <c r="D1697" s="165">
        <v>45924</v>
      </c>
      <c r="E1697" s="117" t="s">
        <v>54</v>
      </c>
      <c r="F1697" s="36" t="str">
        <f>IFERROR(VLOOKUP(Table1[[#This Row],[Part Number]],DATABASE_FG!$C$6:D11686,2,FALSE)," ")</f>
        <v>PLATE_4WRD_32_5X_</v>
      </c>
      <c r="G1697" s="117" t="str">
        <f>IFERROR(_xlfn.XLOOKUP(Table1[[#This Row],[Part Number]],Table3[Part number],Table3[Drawing
 Revision]),"")</f>
        <v>AD</v>
      </c>
      <c r="H1697" s="118" cm="1">
        <f t="array" ref="H1697">IFERROR(INDEX(PDB!$C:$AT,MATCH(E1697,PDB!$B:$B,0),MATCH(YEAR(K1697),0+PDB!$C$1:$AT$1,0)),"")</f>
        <v>0</v>
      </c>
      <c r="I1697" s="36">
        <v>132</v>
      </c>
      <c r="J1697" s="125">
        <f>IFERROR(Table1[[#This Row],[Quantity]]*Table1[[#This Row],[Price/Unit
EUR]]," ")</f>
        <v>0</v>
      </c>
      <c r="K1697" s="126">
        <v>46077</v>
      </c>
      <c r="L1697" s="36">
        <f>WEEKNUM(Table1[[#This Row],[ETA
As requested
dd.mm.yyyy]])</f>
        <v>9</v>
      </c>
      <c r="M1697" s="36">
        <f>YEAR(Table1[[#This Row],[ETA
As requested
dd.mm.yyyy]])</f>
        <v>2026</v>
      </c>
      <c r="N1697" s="36">
        <f>IFERROR(INDEX(DATABASE_FG!$H$5:$H$367, MATCH(E1697, DATABASE_FG!$C$5:$C$367, 0)), " ")</f>
        <v>0</v>
      </c>
      <c r="O1697" s="129" t="str">
        <f>IF(E1697&lt;&gt;"", _xlfn.XLOOKUP(E1697, DATABASE_FG!C:C, DATABASE_FG!F:F), " ")</f>
        <v>PLATE</v>
      </c>
      <c r="P1697" s="129">
        <f>IFERROR(INDEX(DATABASE_FG!$G$5:$G$367, MATCH(E1697, DATABASE_FG!$C$5:$C$367, 0)), "Not Found")</f>
        <v>0</v>
      </c>
      <c r="Q1697" s="36">
        <v>60</v>
      </c>
      <c r="R1697" s="125" t="s">
        <v>678</v>
      </c>
      <c r="S1697" s="123">
        <f>IFERROR(INDEX(DATABASE_FG!$L$5:$L$367, MATCH(E1697, DATABASE_FG!$C$5:$C$367, 0)), " ")</f>
        <v>56</v>
      </c>
      <c r="T1697" s="36" t="s">
        <v>677</v>
      </c>
      <c r="U1697" s="36"/>
      <c r="V1697" s="36"/>
      <c r="W1697" s="129"/>
      <c r="X1697" s="36"/>
      <c r="Y1697" s="36"/>
      <c r="Z1697" s="36"/>
      <c r="AA1697" s="125" t="s">
        <v>3</v>
      </c>
      <c r="AB1697" s="173"/>
      <c r="AC1697" s="119"/>
      <c r="AD1697" s="36" t="str">
        <f t="shared" si="190"/>
        <v/>
      </c>
      <c r="AE1697" s="36" t="str">
        <f t="shared" si="191"/>
        <v/>
      </c>
      <c r="AF1697" s="36"/>
      <c r="AG1697" s="120">
        <f t="shared" si="189"/>
        <v>0</v>
      </c>
      <c r="AH1697" s="36"/>
      <c r="AI1697" s="124"/>
      <c r="AJ1697" s="122"/>
      <c r="AK1697" s="129" t="str">
        <f t="shared" ca="1" si="188"/>
        <v/>
      </c>
      <c r="AL1697" s="268" t="str">
        <f t="shared" si="187"/>
        <v>February</v>
      </c>
      <c r="AM1697" s="133">
        <f>YEAR(Table1[[#This Row],[ETA
As requested
dd.mm.yyyy]])</f>
        <v>2026</v>
      </c>
    </row>
    <row r="1698" spans="1:40" hidden="1">
      <c r="A1698" s="123" t="s">
        <v>27</v>
      </c>
      <c r="B1698" s="36" t="s">
        <v>2464</v>
      </c>
      <c r="C1698" s="117">
        <v>5500533448</v>
      </c>
      <c r="D1698" s="165">
        <v>45924</v>
      </c>
      <c r="E1698" s="117" t="s">
        <v>54</v>
      </c>
      <c r="F1698" s="36" t="str">
        <f>IFERROR(VLOOKUP(Table1[[#This Row],[Part Number]],DATABASE_FG!$C$6:D11687,2,FALSE)," ")</f>
        <v>PLATE_4WRD_32_5X_</v>
      </c>
      <c r="G1698" s="117" t="str">
        <f>IFERROR(_xlfn.XLOOKUP(Table1[[#This Row],[Part Number]],Table3[Part number],Table3[Drawing
 Revision]),"")</f>
        <v>AD</v>
      </c>
      <c r="H1698" s="118" cm="1">
        <f t="array" ref="H1698">IFERROR(INDEX(PDB!$C:$AT,MATCH(E1698,PDB!$B:$B,0),MATCH(YEAR(K1698),0+PDB!$C$1:$AT$1,0)),"")</f>
        <v>0</v>
      </c>
      <c r="I1698" s="36">
        <v>132</v>
      </c>
      <c r="J1698" s="125">
        <f>IFERROR(Table1[[#This Row],[Quantity]]*Table1[[#This Row],[Price/Unit
EUR]]," ")</f>
        <v>0</v>
      </c>
      <c r="K1698" s="126">
        <v>46135</v>
      </c>
      <c r="L1698" s="36">
        <f>WEEKNUM(Table1[[#This Row],[ETA
As requested
dd.mm.yyyy]])</f>
        <v>17</v>
      </c>
      <c r="M1698" s="36">
        <f>YEAR(Table1[[#This Row],[ETA
As requested
dd.mm.yyyy]])</f>
        <v>2026</v>
      </c>
      <c r="N1698" s="36">
        <f>IFERROR(INDEX(DATABASE_FG!$H$5:$H$367, MATCH(E1698, DATABASE_FG!$C$5:$C$367, 0)), " ")</f>
        <v>0</v>
      </c>
      <c r="O1698" s="129" t="str">
        <f>IF(E1698&lt;&gt;"", _xlfn.XLOOKUP(E1698, DATABASE_FG!C:C, DATABASE_FG!F:F), " ")</f>
        <v>PLATE</v>
      </c>
      <c r="P1698" s="129">
        <f>IFERROR(INDEX(DATABASE_FG!$G$5:$G$367, MATCH(E1698, DATABASE_FG!$C$5:$C$367, 0)), "Not Found")</f>
        <v>0</v>
      </c>
      <c r="Q1698" s="36">
        <v>60</v>
      </c>
      <c r="R1698" s="125" t="s">
        <v>678</v>
      </c>
      <c r="S1698" s="123">
        <f>IFERROR(INDEX(DATABASE_FG!$L$5:$L$367, MATCH(E1698, DATABASE_FG!$C$5:$C$367, 0)), " ")</f>
        <v>56</v>
      </c>
      <c r="T1698" s="36" t="s">
        <v>677</v>
      </c>
      <c r="U1698" s="36"/>
      <c r="V1698" s="36"/>
      <c r="W1698" s="129"/>
      <c r="X1698" s="36"/>
      <c r="Y1698" s="36"/>
      <c r="Z1698" s="36"/>
      <c r="AA1698" s="125" t="s">
        <v>3</v>
      </c>
      <c r="AB1698" s="173"/>
      <c r="AC1698" s="119"/>
      <c r="AD1698" s="36" t="str">
        <f t="shared" si="190"/>
        <v/>
      </c>
      <c r="AE1698" s="36" t="str">
        <f t="shared" si="191"/>
        <v/>
      </c>
      <c r="AF1698" s="36"/>
      <c r="AG1698" s="120">
        <f t="shared" si="189"/>
        <v>0</v>
      </c>
      <c r="AH1698" s="36"/>
      <c r="AI1698" s="124"/>
      <c r="AJ1698" s="122"/>
      <c r="AK1698" s="129" t="str">
        <f t="shared" ca="1" si="188"/>
        <v/>
      </c>
      <c r="AL1698" s="268" t="str">
        <f t="shared" si="187"/>
        <v>April</v>
      </c>
      <c r="AM1698" s="133">
        <f>YEAR(Table1[[#This Row],[ETA
As requested
dd.mm.yyyy]])</f>
        <v>2026</v>
      </c>
    </row>
    <row r="1699" spans="1:40" hidden="1">
      <c r="A1699" s="123" t="s">
        <v>27</v>
      </c>
      <c r="B1699" s="36" t="s">
        <v>2464</v>
      </c>
      <c r="C1699" s="117">
        <v>5500533448</v>
      </c>
      <c r="D1699" s="165">
        <v>45924</v>
      </c>
      <c r="E1699" s="117" t="s">
        <v>54</v>
      </c>
      <c r="F1699" s="36" t="str">
        <f>IFERROR(VLOOKUP(Table1[[#This Row],[Part Number]],DATABASE_FG!$C$6:D11688,2,FALSE)," ")</f>
        <v>PLATE_4WRD_32_5X_</v>
      </c>
      <c r="G1699" s="117" t="str">
        <f>IFERROR(_xlfn.XLOOKUP(Table1[[#This Row],[Part Number]],Table3[Part number],Table3[Drawing
 Revision]),"")</f>
        <v>AD</v>
      </c>
      <c r="H1699" s="118" cm="1">
        <f t="array" ref="H1699">IFERROR(INDEX(PDB!$C:$AT,MATCH(E1699,PDB!$B:$B,0),MATCH(YEAR(K1699),0+PDB!$C$1:$AT$1,0)),"")</f>
        <v>0</v>
      </c>
      <c r="I1699" s="36">
        <v>132</v>
      </c>
      <c r="J1699" s="125">
        <f>IFERROR(Table1[[#This Row],[Quantity]]*Table1[[#This Row],[Price/Unit
EUR]]," ")</f>
        <v>0</v>
      </c>
      <c r="K1699" s="126">
        <v>46185</v>
      </c>
      <c r="L1699" s="36">
        <f>WEEKNUM(Table1[[#This Row],[ETA
As requested
dd.mm.yyyy]])</f>
        <v>24</v>
      </c>
      <c r="M1699" s="36">
        <f>YEAR(Table1[[#This Row],[ETA
As requested
dd.mm.yyyy]])</f>
        <v>2026</v>
      </c>
      <c r="N1699" s="36">
        <f>IFERROR(INDEX(DATABASE_FG!$H$5:$H$367, MATCH(E1699, DATABASE_FG!$C$5:$C$367, 0)), " ")</f>
        <v>0</v>
      </c>
      <c r="O1699" s="129" t="str">
        <f>IF(E1699&lt;&gt;"", _xlfn.XLOOKUP(E1699, DATABASE_FG!C:C, DATABASE_FG!F:F), " ")</f>
        <v>PLATE</v>
      </c>
      <c r="P1699" s="129">
        <f>IFERROR(INDEX(DATABASE_FG!$G$5:$G$367, MATCH(E1699, DATABASE_FG!$C$5:$C$367, 0)), "Not Found")</f>
        <v>0</v>
      </c>
      <c r="Q1699" s="36">
        <v>60</v>
      </c>
      <c r="R1699" s="125" t="s">
        <v>678</v>
      </c>
      <c r="S1699" s="123">
        <f>IFERROR(INDEX(DATABASE_FG!$L$5:$L$367, MATCH(E1699, DATABASE_FG!$C$5:$C$367, 0)), " ")</f>
        <v>56</v>
      </c>
      <c r="T1699" s="36" t="s">
        <v>677</v>
      </c>
      <c r="U1699" s="36"/>
      <c r="V1699" s="36"/>
      <c r="W1699" s="129"/>
      <c r="X1699" s="36"/>
      <c r="Y1699" s="36"/>
      <c r="Z1699" s="36"/>
      <c r="AA1699" s="125" t="s">
        <v>3</v>
      </c>
      <c r="AB1699" s="173"/>
      <c r="AC1699" s="119"/>
      <c r="AD1699" s="36" t="str">
        <f t="shared" si="190"/>
        <v/>
      </c>
      <c r="AE1699" s="36" t="str">
        <f t="shared" si="191"/>
        <v/>
      </c>
      <c r="AF1699" s="36"/>
      <c r="AG1699" s="120">
        <f t="shared" si="189"/>
        <v>0</v>
      </c>
      <c r="AH1699" s="36"/>
      <c r="AI1699" s="124"/>
      <c r="AJ1699" s="122"/>
      <c r="AK1699" s="129" t="str">
        <f t="shared" ca="1" si="188"/>
        <v/>
      </c>
      <c r="AL1699" s="268" t="str">
        <f t="shared" si="187"/>
        <v>June</v>
      </c>
      <c r="AM1699" s="133">
        <f>YEAR(Table1[[#This Row],[ETA
As requested
dd.mm.yyyy]])</f>
        <v>2026</v>
      </c>
    </row>
    <row r="1700" spans="1:40" hidden="1">
      <c r="A1700" s="123" t="s">
        <v>27</v>
      </c>
      <c r="B1700" s="36" t="s">
        <v>2464</v>
      </c>
      <c r="C1700" s="117">
        <v>5500533448</v>
      </c>
      <c r="D1700" s="165">
        <v>45924</v>
      </c>
      <c r="E1700" s="117" t="s">
        <v>54</v>
      </c>
      <c r="F1700" s="36" t="str">
        <f>IFERROR(VLOOKUP(Table1[[#This Row],[Part Number]],DATABASE_FG!$C$6:D11689,2,FALSE)," ")</f>
        <v>PLATE_4WRD_32_5X_</v>
      </c>
      <c r="G1700" s="117" t="str">
        <f>IFERROR(_xlfn.XLOOKUP(Table1[[#This Row],[Part Number]],Table3[Part number],Table3[Drawing
 Revision]),"")</f>
        <v>AD</v>
      </c>
      <c r="H1700" s="118" cm="1">
        <f t="array" ref="H1700">IFERROR(INDEX(PDB!$C:$AT,MATCH(E1700,PDB!$B:$B,0),MATCH(YEAR(K1700),0+PDB!$C$1:$AT$1,0)),"")</f>
        <v>0</v>
      </c>
      <c r="I1700" s="36">
        <v>132</v>
      </c>
      <c r="J1700" s="125">
        <f>IFERROR(Table1[[#This Row],[Quantity]]*Table1[[#This Row],[Price/Unit
EUR]]," ")</f>
        <v>0</v>
      </c>
      <c r="K1700" s="126">
        <v>46234</v>
      </c>
      <c r="L1700" s="36">
        <f>WEEKNUM(Table1[[#This Row],[ETA
As requested
dd.mm.yyyy]])</f>
        <v>31</v>
      </c>
      <c r="M1700" s="36">
        <f>YEAR(Table1[[#This Row],[ETA
As requested
dd.mm.yyyy]])</f>
        <v>2026</v>
      </c>
      <c r="N1700" s="36">
        <f>IFERROR(INDEX(DATABASE_FG!$H$5:$H$367, MATCH(E1700, DATABASE_FG!$C$5:$C$367, 0)), " ")</f>
        <v>0</v>
      </c>
      <c r="O1700" s="129" t="str">
        <f>IF(E1700&lt;&gt;"", _xlfn.XLOOKUP(E1700, DATABASE_FG!C:C, DATABASE_FG!F:F), " ")</f>
        <v>PLATE</v>
      </c>
      <c r="P1700" s="129">
        <f>IFERROR(INDEX(DATABASE_FG!$G$5:$G$367, MATCH(E1700, DATABASE_FG!$C$5:$C$367, 0)), "Not Found")</f>
        <v>0</v>
      </c>
      <c r="Q1700" s="36">
        <v>60</v>
      </c>
      <c r="R1700" s="125" t="s">
        <v>678</v>
      </c>
      <c r="S1700" s="123">
        <f>IFERROR(INDEX(DATABASE_FG!$L$5:$L$367, MATCH(E1700, DATABASE_FG!$C$5:$C$367, 0)), " ")</f>
        <v>56</v>
      </c>
      <c r="T1700" s="36" t="s">
        <v>677</v>
      </c>
      <c r="U1700" s="36"/>
      <c r="V1700" s="36"/>
      <c r="W1700" s="129"/>
      <c r="X1700" s="36"/>
      <c r="Y1700" s="36"/>
      <c r="Z1700" s="36"/>
      <c r="AA1700" s="125" t="s">
        <v>3</v>
      </c>
      <c r="AB1700" s="173"/>
      <c r="AC1700" s="119"/>
      <c r="AD1700" s="36" t="str">
        <f t="shared" si="190"/>
        <v/>
      </c>
      <c r="AE1700" s="36" t="str">
        <f t="shared" si="191"/>
        <v/>
      </c>
      <c r="AF1700" s="36"/>
      <c r="AG1700" s="120">
        <f t="shared" si="189"/>
        <v>0</v>
      </c>
      <c r="AH1700" s="36"/>
      <c r="AI1700" s="124"/>
      <c r="AJ1700" s="122"/>
      <c r="AK1700" s="129" t="str">
        <f t="shared" ca="1" si="188"/>
        <v/>
      </c>
      <c r="AL1700" s="268" t="str">
        <f t="shared" si="187"/>
        <v>July</v>
      </c>
      <c r="AM1700" s="133">
        <f>YEAR(Table1[[#This Row],[ETA
As requested
dd.mm.yyyy]])</f>
        <v>2026</v>
      </c>
    </row>
    <row r="1701" spans="1:40" hidden="1">
      <c r="A1701" s="123" t="s">
        <v>27</v>
      </c>
      <c r="B1701" s="36" t="s">
        <v>2464</v>
      </c>
      <c r="C1701" s="117">
        <v>5500533448</v>
      </c>
      <c r="D1701" s="165">
        <v>45924</v>
      </c>
      <c r="E1701" s="117" t="s">
        <v>54</v>
      </c>
      <c r="F1701" s="36" t="str">
        <f>IFERROR(VLOOKUP(Table1[[#This Row],[Part Number]],DATABASE_FG!$C$6:D11690,2,FALSE)," ")</f>
        <v>PLATE_4WRD_32_5X_</v>
      </c>
      <c r="G1701" s="117" t="str">
        <f>IFERROR(_xlfn.XLOOKUP(Table1[[#This Row],[Part Number]],Table3[Part number],Table3[Drawing
 Revision]),"")</f>
        <v>AD</v>
      </c>
      <c r="H1701" s="118" cm="1">
        <f t="array" ref="H1701">IFERROR(INDEX(PDB!$C:$AT,MATCH(E1701,PDB!$B:$B,0),MATCH(YEAR(K1701),0+PDB!$C$1:$AT$1,0)),"")</f>
        <v>0</v>
      </c>
      <c r="I1701" s="36">
        <v>132</v>
      </c>
      <c r="J1701" s="125">
        <f>IFERROR(Table1[[#This Row],[Quantity]]*Table1[[#This Row],[Price/Unit
EUR]]," ")</f>
        <v>0</v>
      </c>
      <c r="K1701" s="126">
        <v>46276</v>
      </c>
      <c r="L1701" s="36">
        <f>WEEKNUM(Table1[[#This Row],[ETA
As requested
dd.mm.yyyy]])</f>
        <v>37</v>
      </c>
      <c r="M1701" s="36">
        <f>YEAR(Table1[[#This Row],[ETA
As requested
dd.mm.yyyy]])</f>
        <v>2026</v>
      </c>
      <c r="N1701" s="36">
        <f>IFERROR(INDEX(DATABASE_FG!$H$5:$H$367, MATCH(E1701, DATABASE_FG!$C$5:$C$367, 0)), " ")</f>
        <v>0</v>
      </c>
      <c r="O1701" s="129" t="str">
        <f>IF(E1701&lt;&gt;"", _xlfn.XLOOKUP(E1701, DATABASE_FG!C:C, DATABASE_FG!F:F), " ")</f>
        <v>PLATE</v>
      </c>
      <c r="P1701" s="129">
        <f>IFERROR(INDEX(DATABASE_FG!$G$5:$G$367, MATCH(E1701, DATABASE_FG!$C$5:$C$367, 0)), "Not Found")</f>
        <v>0</v>
      </c>
      <c r="Q1701" s="36">
        <v>60</v>
      </c>
      <c r="R1701" s="125" t="s">
        <v>678</v>
      </c>
      <c r="S1701" s="123">
        <f>IFERROR(INDEX(DATABASE_FG!$L$5:$L$367, MATCH(E1701, DATABASE_FG!$C$5:$C$367, 0)), " ")</f>
        <v>56</v>
      </c>
      <c r="T1701" s="36" t="s">
        <v>677</v>
      </c>
      <c r="U1701" s="36"/>
      <c r="V1701" s="36"/>
      <c r="W1701" s="129"/>
      <c r="X1701" s="36"/>
      <c r="Y1701" s="36"/>
      <c r="Z1701" s="36"/>
      <c r="AA1701" s="125" t="s">
        <v>3</v>
      </c>
      <c r="AB1701" s="173"/>
      <c r="AC1701" s="119"/>
      <c r="AD1701" s="36" t="str">
        <f t="shared" si="190"/>
        <v/>
      </c>
      <c r="AE1701" s="36" t="str">
        <f t="shared" si="191"/>
        <v/>
      </c>
      <c r="AF1701" s="36">
        <v>0</v>
      </c>
      <c r="AG1701" s="120">
        <f t="shared" si="189"/>
        <v>0</v>
      </c>
      <c r="AH1701" s="36"/>
      <c r="AI1701" s="124"/>
      <c r="AJ1701" s="122"/>
      <c r="AK1701" s="129" t="str">
        <f t="shared" ca="1" si="188"/>
        <v/>
      </c>
      <c r="AL1701" s="268" t="str">
        <f t="shared" si="187"/>
        <v>September</v>
      </c>
      <c r="AM1701" s="133">
        <f>YEAR(Table1[[#This Row],[ETA
As requested
dd.mm.yyyy]])</f>
        <v>2026</v>
      </c>
      <c r="AN1701" s="191"/>
    </row>
    <row r="1702" spans="1:40" hidden="1">
      <c r="A1702" s="123" t="s">
        <v>27</v>
      </c>
      <c r="B1702" s="36" t="s">
        <v>2464</v>
      </c>
      <c r="C1702" s="117">
        <v>5500533448</v>
      </c>
      <c r="D1702" s="165">
        <v>45924</v>
      </c>
      <c r="E1702" s="117" t="s">
        <v>54</v>
      </c>
      <c r="F1702" s="36" t="str">
        <f>IFERROR(VLOOKUP(Table1[[#This Row],[Part Number]],DATABASE_FG!$C$6:D11691,2,FALSE)," ")</f>
        <v>PLATE_4WRD_32_5X_</v>
      </c>
      <c r="G1702" s="117" t="str">
        <f>IFERROR(_xlfn.XLOOKUP(Table1[[#This Row],[Part Number]],Table3[Part number],Table3[Drawing
 Revision]),"")</f>
        <v>AD</v>
      </c>
      <c r="H1702" s="118" cm="1">
        <f t="array" ref="H1702">IFERROR(INDEX(PDB!$C:$AT,MATCH(E1702,PDB!$B:$B,0),MATCH(YEAR(K1702),0+PDB!$C$1:$AT$1,0)),"")</f>
        <v>0</v>
      </c>
      <c r="I1702" s="36">
        <v>132</v>
      </c>
      <c r="J1702" s="125">
        <f>IFERROR(Table1[[#This Row],[Quantity]]*Table1[[#This Row],[Price/Unit
EUR]]," ")</f>
        <v>0</v>
      </c>
      <c r="K1702" s="126">
        <v>46356</v>
      </c>
      <c r="L1702" s="36">
        <f>WEEKNUM(Table1[[#This Row],[ETA
As requested
dd.mm.yyyy]])</f>
        <v>49</v>
      </c>
      <c r="M1702" s="36">
        <f>YEAR(Table1[[#This Row],[ETA
As requested
dd.mm.yyyy]])</f>
        <v>2026</v>
      </c>
      <c r="N1702" s="36">
        <f>IFERROR(INDEX(DATABASE_FG!$H$5:$H$367, MATCH(E1702, DATABASE_FG!$C$5:$C$367, 0)), " ")</f>
        <v>0</v>
      </c>
      <c r="O1702" s="129" t="str">
        <f>IF(E1702&lt;&gt;"", _xlfn.XLOOKUP(E1702, DATABASE_FG!C:C, DATABASE_FG!F:F), " ")</f>
        <v>PLATE</v>
      </c>
      <c r="P1702" s="129">
        <f>IFERROR(INDEX(DATABASE_FG!$G$5:$G$367, MATCH(E1702, DATABASE_FG!$C$5:$C$367, 0)), "Not Found")</f>
        <v>0</v>
      </c>
      <c r="Q1702" s="36">
        <v>60</v>
      </c>
      <c r="R1702" s="125" t="s">
        <v>678</v>
      </c>
      <c r="S1702" s="123">
        <f>IFERROR(INDEX(DATABASE_FG!$L$5:$L$367, MATCH(E1702, DATABASE_FG!$C$5:$C$367, 0)), " ")</f>
        <v>56</v>
      </c>
      <c r="T1702" s="36" t="s">
        <v>677</v>
      </c>
      <c r="U1702" s="36"/>
      <c r="V1702" s="36"/>
      <c r="W1702" s="129"/>
      <c r="X1702" s="36"/>
      <c r="Y1702" s="36"/>
      <c r="Z1702" s="36"/>
      <c r="AA1702" s="125" t="s">
        <v>3</v>
      </c>
      <c r="AB1702" s="173"/>
      <c r="AC1702" s="119"/>
      <c r="AD1702" s="36" t="str">
        <f t="shared" si="190"/>
        <v/>
      </c>
      <c r="AE1702" s="36" t="str">
        <f t="shared" si="191"/>
        <v/>
      </c>
      <c r="AF1702" s="36"/>
      <c r="AG1702" s="120">
        <f t="shared" si="189"/>
        <v>0</v>
      </c>
      <c r="AH1702" s="36"/>
      <c r="AI1702" s="124"/>
      <c r="AJ1702" s="122"/>
      <c r="AK1702" s="129" t="str">
        <f t="shared" ca="1" si="188"/>
        <v/>
      </c>
      <c r="AL1702" s="268" t="str">
        <f t="shared" si="187"/>
        <v>November</v>
      </c>
      <c r="AM1702" s="133">
        <f>YEAR(Table1[[#This Row],[ETA
As requested
dd.mm.yyyy]])</f>
        <v>2026</v>
      </c>
      <c r="AN1702" s="191"/>
    </row>
    <row r="1703" spans="1:40" hidden="1">
      <c r="A1703" s="123" t="s">
        <v>27</v>
      </c>
      <c r="B1703" s="36" t="s">
        <v>1170</v>
      </c>
      <c r="C1703" s="117">
        <v>5500522506</v>
      </c>
      <c r="D1703" s="165">
        <v>45440</v>
      </c>
      <c r="E1703" s="117" t="s">
        <v>29</v>
      </c>
      <c r="F1703" s="36" t="str">
        <f>IFERROR(VLOOKUP(Table1[[#This Row],[Part Number]],DATABASE_FG!$C$6:D11692,2,FALSE)," ")</f>
        <v>CONSOLE            4WRGE-1X/ VORSTE</v>
      </c>
      <c r="G1703" s="117" t="str">
        <f>IFERROR(_xlfn.XLOOKUP(Table1[[#This Row],[Part Number]],Table3[Part number],Table3[Drawing
 Revision]),"")</f>
        <v>AD</v>
      </c>
      <c r="H1703" s="118" cm="1">
        <f t="array" ref="H1703">IFERROR(INDEX(PDB!$C:$AT,MATCH(E1703,PDB!$B:$B,0),MATCH(YEAR(K1703),0+PDB!$C$1:$AT$1,0)),"")</f>
        <v>2.46</v>
      </c>
      <c r="I1703" s="36">
        <v>230</v>
      </c>
      <c r="J1703" s="125">
        <f>IFERROR(Table1[[#This Row],[Quantity]]*Table1[[#This Row],[Price/Unit
EUR]]," ")</f>
        <v>565.79999999999995</v>
      </c>
      <c r="K1703" s="126">
        <v>45845</v>
      </c>
      <c r="L1703" s="36">
        <f>WEEKNUM(Table1[[#This Row],[ETA
As requested
dd.mm.yyyy]])</f>
        <v>28</v>
      </c>
      <c r="M1703" s="36">
        <f>YEAR(Table1[[#This Row],[ETA
As requested
dd.mm.yyyy]])</f>
        <v>2025</v>
      </c>
      <c r="N1703" s="36">
        <f>IFERROR(INDEX(DATABASE_FG!$H$5:$H$367, MATCH(E1703, DATABASE_FG!$C$5:$C$367, 0)), " ")</f>
        <v>319</v>
      </c>
      <c r="O1703" s="129" t="str">
        <f>IF(E1703&lt;&gt;"", _xlfn.XLOOKUP(E1703, DATABASE_FG!C:C, DATABASE_FG!F:F), " ")</f>
        <v>CONSOLE</v>
      </c>
      <c r="P1703" s="129">
        <f>IFERROR(INDEX(DATABASE_FG!$G$5:$G$367, MATCH(E1703, DATABASE_FG!$C$5:$C$367, 0)), "Not Found")</f>
        <v>250</v>
      </c>
      <c r="Q1703" s="36">
        <v>60</v>
      </c>
      <c r="R1703" s="125" t="s">
        <v>678</v>
      </c>
      <c r="S1703" s="123">
        <f>IFERROR(INDEX(DATABASE_FG!$L$5:$L$367, MATCH(E1703, DATABASE_FG!$C$5:$C$367, 0)), " ")</f>
        <v>56</v>
      </c>
      <c r="T1703" s="36" t="s">
        <v>677</v>
      </c>
      <c r="U1703" s="36"/>
      <c r="V1703" s="36"/>
      <c r="W1703" s="129" t="s">
        <v>677</v>
      </c>
      <c r="X1703" s="36"/>
      <c r="Y1703" s="36"/>
      <c r="Z1703" s="36"/>
      <c r="AA1703" s="125" t="s">
        <v>121</v>
      </c>
      <c r="AB1703" s="173">
        <v>45859</v>
      </c>
      <c r="AC1703" s="119">
        <v>251077</v>
      </c>
      <c r="AD1703" s="36">
        <f t="shared" si="190"/>
        <v>5500522506</v>
      </c>
      <c r="AE1703" s="36" t="str">
        <f t="shared" si="191"/>
        <v>R900823749</v>
      </c>
      <c r="AF1703" s="36">
        <f>230-230</f>
        <v>0</v>
      </c>
      <c r="AG1703" s="120">
        <f t="shared" si="189"/>
        <v>0</v>
      </c>
      <c r="AH1703" s="36">
        <v>230</v>
      </c>
      <c r="AI1703" s="124" t="s">
        <v>3403</v>
      </c>
      <c r="AJ1703" s="122" t="s">
        <v>3404</v>
      </c>
      <c r="AK1703" s="129" t="str">
        <f t="shared" ca="1" si="188"/>
        <v>Late</v>
      </c>
      <c r="AL1703" s="268" t="str">
        <f t="shared" si="187"/>
        <v>July</v>
      </c>
      <c r="AM1703" s="133">
        <f>YEAR(Table1[[#This Row],[ETA
As requested
dd.mm.yyyy]])</f>
        <v>2025</v>
      </c>
    </row>
    <row r="1704" spans="1:40" hidden="1">
      <c r="A1704" s="123" t="s">
        <v>27</v>
      </c>
      <c r="B1704" s="36" t="s">
        <v>1170</v>
      </c>
      <c r="C1704" s="117">
        <v>5500522506</v>
      </c>
      <c r="D1704" s="165">
        <v>45440</v>
      </c>
      <c r="E1704" s="117" t="s">
        <v>29</v>
      </c>
      <c r="F1704" s="36" t="str">
        <f>IFERROR(VLOOKUP(Table1[[#This Row],[Part Number]],DATABASE_FG!$C$6:D11693,2,FALSE)," ")</f>
        <v>CONSOLE            4WRGE-1X/ VORSTE</v>
      </c>
      <c r="G1704" s="117" t="str">
        <f>IFERROR(_xlfn.XLOOKUP(Table1[[#This Row],[Part Number]],Table3[Part number],Table3[Drawing
 Revision]),"")</f>
        <v>AD</v>
      </c>
      <c r="H1704" s="118" cm="1">
        <f t="array" ref="H1704">IFERROR(INDEX(PDB!$C:$AT,MATCH(E1704,PDB!$B:$B,0),MATCH(YEAR(K1704),0+PDB!$C$1:$AT$1,0)),"")</f>
        <v>2.46</v>
      </c>
      <c r="I1704" s="36">
        <v>230</v>
      </c>
      <c r="J1704" s="125">
        <f>IFERROR(Table1[[#This Row],[Quantity]]*Table1[[#This Row],[Price/Unit
EUR]]," ")</f>
        <v>565.79999999999995</v>
      </c>
      <c r="K1704" s="126">
        <v>45845</v>
      </c>
      <c r="L1704" s="36">
        <f>WEEKNUM(Table1[[#This Row],[ETA
As requested
dd.mm.yyyy]])</f>
        <v>28</v>
      </c>
      <c r="M1704" s="36">
        <f>YEAR(Table1[[#This Row],[ETA
As requested
dd.mm.yyyy]])</f>
        <v>2025</v>
      </c>
      <c r="N1704" s="36">
        <f>IFERROR(INDEX(DATABASE_FG!$H$5:$H$367, MATCH(E1704, DATABASE_FG!$C$5:$C$367, 0)), " ")</f>
        <v>319</v>
      </c>
      <c r="O1704" s="129" t="str">
        <f>IF(E1704&lt;&gt;"", _xlfn.XLOOKUP(E1704, DATABASE_FG!C:C, DATABASE_FG!F:F), " ")</f>
        <v>CONSOLE</v>
      </c>
      <c r="P1704" s="129">
        <f>IFERROR(INDEX(DATABASE_FG!$G$5:$G$367, MATCH(E1704, DATABASE_FG!$C$5:$C$367, 0)), "Not Found")</f>
        <v>250</v>
      </c>
      <c r="Q1704" s="36">
        <v>60</v>
      </c>
      <c r="R1704" s="125" t="s">
        <v>678</v>
      </c>
      <c r="S1704" s="123">
        <f>IFERROR(INDEX(DATABASE_FG!$L$5:$L$367, MATCH(E1704, DATABASE_FG!$C$5:$C$367, 0)), " ")</f>
        <v>56</v>
      </c>
      <c r="T1704" s="36" t="s">
        <v>677</v>
      </c>
      <c r="U1704" s="36"/>
      <c r="V1704" s="36"/>
      <c r="W1704" s="129" t="s">
        <v>677</v>
      </c>
      <c r="X1704" s="36"/>
      <c r="Y1704" s="36"/>
      <c r="Z1704" s="36"/>
      <c r="AA1704" s="125" t="s">
        <v>121</v>
      </c>
      <c r="AB1704" s="173">
        <v>45883</v>
      </c>
      <c r="AC1704" s="119">
        <v>251130</v>
      </c>
      <c r="AD1704" s="36">
        <f t="shared" si="190"/>
        <v>5500522506</v>
      </c>
      <c r="AE1704" s="36" t="str">
        <f t="shared" si="191"/>
        <v>R900823749</v>
      </c>
      <c r="AF1704" s="36">
        <v>230</v>
      </c>
      <c r="AG1704" s="120">
        <f t="shared" si="189"/>
        <v>565.79999999999995</v>
      </c>
      <c r="AH1704" s="36"/>
      <c r="AI1704" s="124"/>
      <c r="AJ1704" s="122" t="s">
        <v>3409</v>
      </c>
      <c r="AK1704" s="129" t="str">
        <f t="shared" ca="1" si="188"/>
        <v>Late</v>
      </c>
      <c r="AL1704" s="268" t="str">
        <f t="shared" si="187"/>
        <v>July</v>
      </c>
      <c r="AM1704" s="133">
        <f>YEAR(Table1[[#This Row],[ETA
As requested
dd.mm.yyyy]])</f>
        <v>2025</v>
      </c>
    </row>
    <row r="1705" spans="1:40" hidden="1">
      <c r="A1705" s="123" t="s">
        <v>27</v>
      </c>
      <c r="B1705" s="36" t="s">
        <v>1170</v>
      </c>
      <c r="C1705" s="117">
        <v>5500522506</v>
      </c>
      <c r="D1705" s="165">
        <v>45440</v>
      </c>
      <c r="E1705" s="117" t="s">
        <v>29</v>
      </c>
      <c r="F1705" s="36" t="str">
        <f>IFERROR(VLOOKUP(Table1[[#This Row],[Part Number]],DATABASE_FG!$C$6:D11694,2,FALSE)," ")</f>
        <v>CONSOLE            4WRGE-1X/ VORSTE</v>
      </c>
      <c r="G1705" s="117" t="str">
        <f>IFERROR(_xlfn.XLOOKUP(Table1[[#This Row],[Part Number]],Table3[Part number],Table3[Drawing
 Revision]),"")</f>
        <v>AD</v>
      </c>
      <c r="H1705" s="118" cm="1">
        <f t="array" ref="H1705">IFERROR(INDEX(PDB!$C:$AT,MATCH(E1705,PDB!$B:$B,0),MATCH(YEAR(K1705),0+PDB!$C$1:$AT$1,0)),"")</f>
        <v>2.46</v>
      </c>
      <c r="I1705" s="36">
        <f>250-230</f>
        <v>20</v>
      </c>
      <c r="J1705" s="125">
        <f>IFERROR(Table1[[#This Row],[Quantity]]*Table1[[#This Row],[Price/Unit
EUR]]," ")</f>
        <v>49.2</v>
      </c>
      <c r="K1705" s="126">
        <v>45845</v>
      </c>
      <c r="L1705" s="36">
        <f>WEEKNUM(Table1[[#This Row],[ETA
As requested
dd.mm.yyyy]])</f>
        <v>28</v>
      </c>
      <c r="M1705" s="36">
        <f>YEAR(Table1[[#This Row],[ETA
As requested
dd.mm.yyyy]])</f>
        <v>2025</v>
      </c>
      <c r="N1705" s="36">
        <f>IFERROR(INDEX(DATABASE_FG!$H$5:$H$367, MATCH(E1705, DATABASE_FG!$C$5:$C$367, 0)), " ")</f>
        <v>319</v>
      </c>
      <c r="O1705" s="129" t="str">
        <f>IF(E1705&lt;&gt;"", _xlfn.XLOOKUP(E1705, DATABASE_FG!C:C, DATABASE_FG!F:F), " ")</f>
        <v>CONSOLE</v>
      </c>
      <c r="P1705" s="129">
        <f>IFERROR(INDEX(DATABASE_FG!$G$5:$G$367, MATCH(E1705, DATABASE_FG!$C$5:$C$367, 0)), "Not Found")</f>
        <v>250</v>
      </c>
      <c r="Q1705" s="36">
        <v>60</v>
      </c>
      <c r="R1705" s="125" t="s">
        <v>678</v>
      </c>
      <c r="S1705" s="123">
        <f>IFERROR(INDEX(DATABASE_FG!$L$5:$L$367, MATCH(E1705, DATABASE_FG!$C$5:$C$367, 0)), " ")</f>
        <v>56</v>
      </c>
      <c r="T1705" s="36" t="s">
        <v>677</v>
      </c>
      <c r="U1705" s="36"/>
      <c r="V1705" s="36"/>
      <c r="W1705" s="129" t="s">
        <v>677</v>
      </c>
      <c r="X1705" s="36"/>
      <c r="Y1705" s="36"/>
      <c r="Z1705" s="36"/>
      <c r="AA1705" s="125" t="s">
        <v>121</v>
      </c>
      <c r="AB1705" s="173">
        <v>45883</v>
      </c>
      <c r="AC1705" s="119">
        <v>251130</v>
      </c>
      <c r="AD1705" s="36">
        <f t="shared" si="190"/>
        <v>5500522506</v>
      </c>
      <c r="AE1705" s="36" t="str">
        <f t="shared" si="191"/>
        <v>R900823749</v>
      </c>
      <c r="AF1705" s="36">
        <v>20</v>
      </c>
      <c r="AG1705" s="120">
        <f t="shared" si="189"/>
        <v>49.2</v>
      </c>
      <c r="AH1705" s="36"/>
      <c r="AI1705" s="124"/>
      <c r="AJ1705" s="122" t="s">
        <v>3409</v>
      </c>
      <c r="AK1705" s="129" t="str">
        <f t="shared" ca="1" si="188"/>
        <v>Late</v>
      </c>
      <c r="AL1705" s="268" t="str">
        <f t="shared" ref="AL1705:AL1771" si="192">TEXT(K1705,"mmmm")</f>
        <v>July</v>
      </c>
      <c r="AM1705" s="133">
        <f>YEAR(Table1[[#This Row],[ETA
As requested
dd.mm.yyyy]])</f>
        <v>2025</v>
      </c>
    </row>
    <row r="1706" spans="1:40" hidden="1">
      <c r="A1706" s="123" t="s">
        <v>27</v>
      </c>
      <c r="B1706" s="36" t="s">
        <v>1170</v>
      </c>
      <c r="C1706" s="117">
        <v>5500522506</v>
      </c>
      <c r="D1706" s="165">
        <v>45790</v>
      </c>
      <c r="E1706" s="117" t="s">
        <v>29</v>
      </c>
      <c r="F1706" s="36" t="str">
        <f>IFERROR(VLOOKUP(Table1[[#This Row],[Part Number]],DATABASE_FG!$C$6:D11695,2,FALSE)," ")</f>
        <v>CONSOLE            4WRGE-1X/ VORSTE</v>
      </c>
      <c r="G1706" s="117" t="str">
        <f>IFERROR(_xlfn.XLOOKUP(Table1[[#This Row],[Part Number]],Table3[Part number],Table3[Drawing
 Revision]),"")</f>
        <v>AD</v>
      </c>
      <c r="H1706" s="118" cm="1">
        <f t="array" ref="H1706">IFERROR(INDEX(PDB!$C:$AT,MATCH(E1706,PDB!$B:$B,0),MATCH(YEAR(K1706),0+PDB!$C$1:$AT$1,0)),"")</f>
        <v>2.46</v>
      </c>
      <c r="I1706" s="36">
        <v>209</v>
      </c>
      <c r="J1706" s="125">
        <f>IFERROR(Table1[[#This Row],[Quantity]]*Table1[[#This Row],[Price/Unit
EUR]]," ")</f>
        <v>514.14</v>
      </c>
      <c r="K1706" s="126">
        <v>45968</v>
      </c>
      <c r="L1706" s="36">
        <f>WEEKNUM(Table1[[#This Row],[ETA
As requested
dd.mm.yyyy]])</f>
        <v>45</v>
      </c>
      <c r="M1706" s="36">
        <f>YEAR(Table1[[#This Row],[ETA
As requested
dd.mm.yyyy]])</f>
        <v>2025</v>
      </c>
      <c r="N1706" s="36">
        <f>IFERROR(INDEX(DATABASE_FG!$H$5:$H$367, MATCH(E1706, DATABASE_FG!$C$5:$C$367, 0)), " ")</f>
        <v>319</v>
      </c>
      <c r="O1706" s="129" t="str">
        <f>IF(E1706&lt;&gt;"", _xlfn.XLOOKUP(E1706, DATABASE_FG!C:C, DATABASE_FG!F:F), " ")</f>
        <v>CONSOLE</v>
      </c>
      <c r="P1706" s="129">
        <f>IFERROR(INDEX(DATABASE_FG!$G$5:$G$367, MATCH(E1706, DATABASE_FG!$C$5:$C$367, 0)), "Not Found")</f>
        <v>250</v>
      </c>
      <c r="Q1706" s="36">
        <v>61</v>
      </c>
      <c r="R1706" s="125" t="s">
        <v>678</v>
      </c>
      <c r="S1706" s="123">
        <f>IFERROR(INDEX(DATABASE_FG!$L$5:$L$367, MATCH(E1706, DATABASE_FG!$C$5:$C$367, 0)), " ")</f>
        <v>56</v>
      </c>
      <c r="T1706" s="36" t="s">
        <v>677</v>
      </c>
      <c r="U1706" s="36"/>
      <c r="V1706" s="36"/>
      <c r="W1706" s="129"/>
      <c r="X1706" s="36"/>
      <c r="Y1706" s="36"/>
      <c r="Z1706" s="36"/>
      <c r="AA1706" s="125" t="s">
        <v>121</v>
      </c>
      <c r="AB1706" s="173">
        <v>45883</v>
      </c>
      <c r="AC1706" s="119">
        <v>251130</v>
      </c>
      <c r="AD1706" s="36">
        <f t="shared" si="190"/>
        <v>5500522506</v>
      </c>
      <c r="AE1706" s="36" t="str">
        <f t="shared" si="191"/>
        <v>R900823749</v>
      </c>
      <c r="AF1706" s="36">
        <v>209</v>
      </c>
      <c r="AG1706" s="120">
        <f t="shared" si="189"/>
        <v>514.14</v>
      </c>
      <c r="AH1706" s="36"/>
      <c r="AI1706" s="124"/>
      <c r="AJ1706" s="122" t="s">
        <v>3409</v>
      </c>
      <c r="AK1706" s="129" t="str">
        <f t="shared" ca="1" si="188"/>
        <v>On Time</v>
      </c>
      <c r="AL1706" s="268" t="str">
        <f t="shared" si="192"/>
        <v>November</v>
      </c>
      <c r="AM1706" s="133">
        <f>YEAR(Table1[[#This Row],[ETA
As requested
dd.mm.yyyy]])</f>
        <v>2025</v>
      </c>
    </row>
    <row r="1707" spans="1:40" hidden="1">
      <c r="A1707" s="123" t="s">
        <v>27</v>
      </c>
      <c r="B1707" s="36" t="s">
        <v>2464</v>
      </c>
      <c r="C1707" s="117">
        <v>5500522506</v>
      </c>
      <c r="D1707" s="165">
        <v>45790</v>
      </c>
      <c r="E1707" s="117" t="s">
        <v>29</v>
      </c>
      <c r="F1707" s="36" t="str">
        <f>IFERROR(VLOOKUP(Table1[[#This Row],[Part Number]],DATABASE_FG!$C$6:D11696,2,FALSE)," ")</f>
        <v>CONSOLE            4WRGE-1X/ VORSTE</v>
      </c>
      <c r="G1707" s="117" t="str">
        <f>IFERROR(_xlfn.XLOOKUP(Table1[[#This Row],[Part Number]],Table3[Part number],Table3[Drawing
 Revision]),"")</f>
        <v>AD</v>
      </c>
      <c r="H1707" s="118" cm="1">
        <f t="array" ref="H1707">IFERROR(INDEX(PDB!$C:$AT,MATCH(E1707,PDB!$B:$B,0),MATCH(YEAR(K1707),0+PDB!$C$1:$AT$1,0)),"")</f>
        <v>2.46</v>
      </c>
      <c r="I1707" s="36">
        <f>250-209</f>
        <v>41</v>
      </c>
      <c r="J1707" s="125">
        <f>IFERROR(Table1[[#This Row],[Quantity]]*Table1[[#This Row],[Price/Unit
EUR]]," ")</f>
        <v>100.86</v>
      </c>
      <c r="K1707" s="126">
        <v>45968</v>
      </c>
      <c r="L1707" s="36">
        <f>WEEKNUM(Table1[[#This Row],[ETA
As requested
dd.mm.yyyy]])</f>
        <v>45</v>
      </c>
      <c r="M1707" s="36">
        <f>YEAR(Table1[[#This Row],[ETA
As requested
dd.mm.yyyy]])</f>
        <v>2025</v>
      </c>
      <c r="N1707" s="36">
        <f>IFERROR(INDEX(DATABASE_FG!$H$5:$H$367, MATCH(E1707, DATABASE_FG!$C$5:$C$367, 0)), " ")</f>
        <v>319</v>
      </c>
      <c r="O1707" s="129" t="str">
        <f>IF(E1707&lt;&gt;"", _xlfn.XLOOKUP(E1707, DATABASE_FG!C:C, DATABASE_FG!F:F), " ")</f>
        <v>CONSOLE</v>
      </c>
      <c r="P1707" s="129">
        <f>IFERROR(INDEX(DATABASE_FG!$G$5:$G$367, MATCH(E1707, DATABASE_FG!$C$5:$C$367, 0)), "Not Found")</f>
        <v>250</v>
      </c>
      <c r="Q1707" s="36">
        <v>61</v>
      </c>
      <c r="R1707" s="125" t="s">
        <v>678</v>
      </c>
      <c r="S1707" s="123">
        <f>IFERROR(INDEX(DATABASE_FG!$L$5:$L$367, MATCH(E1707, DATABASE_FG!$C$5:$C$367, 0)), " ")</f>
        <v>56</v>
      </c>
      <c r="T1707" s="36" t="s">
        <v>677</v>
      </c>
      <c r="U1707" s="36"/>
      <c r="V1707" s="36"/>
      <c r="W1707" s="129"/>
      <c r="X1707" s="36"/>
      <c r="Y1707" s="36"/>
      <c r="Z1707" s="36"/>
      <c r="AA1707" s="125" t="s">
        <v>3</v>
      </c>
      <c r="AB1707" s="173"/>
      <c r="AC1707" s="119"/>
      <c r="AD1707" s="36" t="str">
        <f t="shared" si="190"/>
        <v/>
      </c>
      <c r="AE1707" s="36" t="str">
        <f t="shared" si="191"/>
        <v/>
      </c>
      <c r="AF1707" s="36"/>
      <c r="AG1707" s="120">
        <f t="shared" si="189"/>
        <v>0</v>
      </c>
      <c r="AH1707" s="36"/>
      <c r="AI1707" s="124"/>
      <c r="AJ1707" s="122"/>
      <c r="AK1707" s="129" t="str">
        <f t="shared" ca="1" si="188"/>
        <v/>
      </c>
      <c r="AL1707" s="268" t="str">
        <f t="shared" si="192"/>
        <v>November</v>
      </c>
      <c r="AM1707" s="133">
        <f>YEAR(Table1[[#This Row],[ETA
As requested
dd.mm.yyyy]])</f>
        <v>2025</v>
      </c>
    </row>
    <row r="1708" spans="1:40" hidden="1">
      <c r="A1708" s="123" t="s">
        <v>27</v>
      </c>
      <c r="B1708" s="36" t="s">
        <v>1170</v>
      </c>
      <c r="C1708" s="117">
        <v>5500511043</v>
      </c>
      <c r="D1708" s="165">
        <v>45446</v>
      </c>
      <c r="E1708" s="117" t="s">
        <v>951</v>
      </c>
      <c r="F1708" s="36" t="str">
        <f>IFERROR(VLOOKUP(Table1[[#This Row],[Part Number]],DATABASE_FG!$C$6:D11697,2,FALSE)," ")</f>
        <v>PLATE              4WRSE10.-30/</v>
      </c>
      <c r="G1708" s="117" t="str">
        <f>IFERROR(_xlfn.XLOOKUP(Table1[[#This Row],[Part Number]],Table3[Part number],Table3[Drawing
 Revision]),"")</f>
        <v>AB</v>
      </c>
      <c r="H1708" s="118" cm="1">
        <f t="array" ref="H1708">IFERROR(INDEX(PDB!$C:$AT,MATCH(E1708,PDB!$B:$B,0),MATCH(YEAR(K1708),0+PDB!$C$1:$AT$1,0)),"")</f>
        <v>5.22</v>
      </c>
      <c r="I1708" s="36">
        <v>15</v>
      </c>
      <c r="J1708" s="125">
        <f>IFERROR(Table1[[#This Row],[Quantity]]*Table1[[#This Row],[Price/Unit
EUR]]," ")</f>
        <v>78.3</v>
      </c>
      <c r="K1708" s="126">
        <v>45729</v>
      </c>
      <c r="L1708" s="36">
        <f>WEEKNUM(Table1[[#This Row],[ETA
As requested
dd.mm.yyyy]])</f>
        <v>11</v>
      </c>
      <c r="M1708" s="36">
        <f>YEAR(Table1[[#This Row],[ETA
As requested
dd.mm.yyyy]])</f>
        <v>2025</v>
      </c>
      <c r="N1708" s="36">
        <f>IFERROR(INDEX(DATABASE_FG!$H$5:$H$367, MATCH(E1708, DATABASE_FG!$C$5:$C$367, 0)), " ")</f>
        <v>170</v>
      </c>
      <c r="O1708" s="129" t="str">
        <f>IF(E1708&lt;&gt;"", _xlfn.XLOOKUP(E1708, DATABASE_FG!C:C, DATABASE_FG!F:F), " ")</f>
        <v>PLATE</v>
      </c>
      <c r="P1708" s="129">
        <f>IFERROR(INDEX(DATABASE_FG!$G$5:$G$367, MATCH(E1708, DATABASE_FG!$C$5:$C$367, 0)), "Not Found")</f>
        <v>500</v>
      </c>
      <c r="Q1708" s="36"/>
      <c r="R1708" s="125" t="s">
        <v>678</v>
      </c>
      <c r="S1708" s="123">
        <f>IFERROR(INDEX(DATABASE_FG!$L$5:$L$367, MATCH(E1708, DATABASE_FG!$C$5:$C$367, 0)), " ")</f>
        <v>42</v>
      </c>
      <c r="T1708" s="36" t="s">
        <v>679</v>
      </c>
      <c r="U1708" s="36"/>
      <c r="V1708" s="36"/>
      <c r="W1708" s="129"/>
      <c r="X1708" s="36"/>
      <c r="Y1708" s="36"/>
      <c r="Z1708" s="36"/>
      <c r="AA1708" s="125" t="s">
        <v>121</v>
      </c>
      <c r="AB1708" s="173">
        <v>45717</v>
      </c>
      <c r="AC1708" s="119" t="s">
        <v>2952</v>
      </c>
      <c r="AD1708" s="36">
        <f t="shared" si="190"/>
        <v>5500511043</v>
      </c>
      <c r="AE1708" s="36" t="str">
        <f t="shared" si="191"/>
        <v>R900831492</v>
      </c>
      <c r="AF1708" s="36">
        <v>15</v>
      </c>
      <c r="AG1708" s="120">
        <f t="shared" si="189"/>
        <v>78.3</v>
      </c>
      <c r="AH1708" s="36"/>
      <c r="AI1708" s="124"/>
      <c r="AJ1708" s="122" t="s">
        <v>2953</v>
      </c>
      <c r="AK1708" s="129" t="str">
        <f t="shared" ca="1" si="188"/>
        <v>On Time</v>
      </c>
      <c r="AL1708" s="268" t="str">
        <f t="shared" si="192"/>
        <v>March</v>
      </c>
      <c r="AM1708" s="133">
        <f>YEAR(Table1[[#This Row],[ETA
As requested
dd.mm.yyyy]])</f>
        <v>2025</v>
      </c>
    </row>
    <row r="1709" spans="1:40" hidden="1">
      <c r="A1709" s="123" t="s">
        <v>27</v>
      </c>
      <c r="B1709" s="36" t="s">
        <v>1170</v>
      </c>
      <c r="C1709" s="117">
        <v>5500511043</v>
      </c>
      <c r="D1709" s="165">
        <v>45446</v>
      </c>
      <c r="E1709" s="117" t="s">
        <v>951</v>
      </c>
      <c r="F1709" s="36" t="str">
        <f>IFERROR(VLOOKUP(Table1[[#This Row],[Part Number]],DATABASE_FG!$C$6:D11698,2,FALSE)," ")</f>
        <v>PLATE              4WRSE10.-30/</v>
      </c>
      <c r="G1709" s="117" t="str">
        <f>IFERROR(_xlfn.XLOOKUP(Table1[[#This Row],[Part Number]],Table3[Part number],Table3[Drawing
 Revision]),"")</f>
        <v>AB</v>
      </c>
      <c r="H1709" s="118" cm="1">
        <f t="array" ref="H1709">IFERROR(INDEX(PDB!$C:$AT,MATCH(E1709,PDB!$B:$B,0),MATCH(YEAR(K1709),0+PDB!$C$1:$AT$1,0)),"")</f>
        <v>5.22</v>
      </c>
      <c r="I1709" s="36">
        <v>96</v>
      </c>
      <c r="J1709" s="125">
        <f>IFERROR(Table1[[#This Row],[Quantity]]*Table1[[#This Row],[Price/Unit
EUR]]," ")</f>
        <v>501.12</v>
      </c>
      <c r="K1709" s="126">
        <v>45737</v>
      </c>
      <c r="L1709" s="36">
        <f>WEEKNUM(Table1[[#This Row],[ETA
As requested
dd.mm.yyyy]])</f>
        <v>12</v>
      </c>
      <c r="M1709" s="36">
        <f>YEAR(Table1[[#This Row],[ETA
As requested
dd.mm.yyyy]])</f>
        <v>2025</v>
      </c>
      <c r="N1709" s="36">
        <f>IFERROR(INDEX(DATABASE_FG!$H$5:$H$367, MATCH(E1709, DATABASE_FG!$C$5:$C$367, 0)), " ")</f>
        <v>170</v>
      </c>
      <c r="O1709" s="129" t="str">
        <f>IF(E1709&lt;&gt;"", _xlfn.XLOOKUP(E1709, DATABASE_FG!C:C, DATABASE_FG!F:F), " ")</f>
        <v>PLATE</v>
      </c>
      <c r="P1709" s="129">
        <f>IFERROR(INDEX(DATABASE_FG!$G$5:$G$367, MATCH(E1709, DATABASE_FG!$C$5:$C$367, 0)), "Not Found")</f>
        <v>500</v>
      </c>
      <c r="Q1709" s="36"/>
      <c r="R1709" s="125" t="s">
        <v>678</v>
      </c>
      <c r="S1709" s="123">
        <f>IFERROR(INDEX(DATABASE_FG!$L$5:$L$367, MATCH(E1709, DATABASE_FG!$C$5:$C$367, 0)), " ")</f>
        <v>42</v>
      </c>
      <c r="T1709" s="36" t="s">
        <v>679</v>
      </c>
      <c r="U1709" s="36"/>
      <c r="V1709" s="36"/>
      <c r="W1709" s="129"/>
      <c r="X1709" s="36"/>
      <c r="Y1709" s="36" t="s">
        <v>677</v>
      </c>
      <c r="Z1709" s="36"/>
      <c r="AA1709" s="125" t="s">
        <v>121</v>
      </c>
      <c r="AB1709" s="173">
        <v>45735</v>
      </c>
      <c r="AC1709" s="119">
        <v>25408</v>
      </c>
      <c r="AD1709" s="36">
        <f t="shared" si="190"/>
        <v>5500511043</v>
      </c>
      <c r="AE1709" s="36" t="str">
        <f t="shared" si="191"/>
        <v>R900831492</v>
      </c>
      <c r="AF1709" s="36">
        <v>96</v>
      </c>
      <c r="AG1709" s="120">
        <f t="shared" si="189"/>
        <v>501.12</v>
      </c>
      <c r="AH1709" s="36"/>
      <c r="AI1709" s="124"/>
      <c r="AJ1709" s="122" t="s">
        <v>3006</v>
      </c>
      <c r="AK1709" s="129" t="str">
        <f t="shared" ref="AK1709:AK1775" ca="1" si="193">IF(AB1709="", IF(K1709 &lt; TODAY(), "Late", ""), IF(AB1709 &lt;= K1709 + 2, "On Time", "Late"))</f>
        <v>On Time</v>
      </c>
      <c r="AL1709" s="268" t="str">
        <f t="shared" si="192"/>
        <v>March</v>
      </c>
      <c r="AM1709" s="133">
        <f>YEAR(Table1[[#This Row],[ETA
As requested
dd.mm.yyyy]])</f>
        <v>2025</v>
      </c>
    </row>
    <row r="1710" spans="1:40" hidden="1">
      <c r="A1710" s="123" t="s">
        <v>27</v>
      </c>
      <c r="B1710" s="36" t="s">
        <v>1170</v>
      </c>
      <c r="C1710" s="117">
        <v>5500511043</v>
      </c>
      <c r="D1710" s="165">
        <v>45446</v>
      </c>
      <c r="E1710" s="117" t="s">
        <v>951</v>
      </c>
      <c r="F1710" s="36" t="str">
        <f>IFERROR(VLOOKUP(Table1[[#This Row],[Part Number]],DATABASE_FG!$C$6:D11699,2,FALSE)," ")</f>
        <v>PLATE              4WRSE10.-30/</v>
      </c>
      <c r="G1710" s="117" t="str">
        <f>IFERROR(_xlfn.XLOOKUP(Table1[[#This Row],[Part Number]],Table3[Part number],Table3[Drawing
 Revision]),"")</f>
        <v>AB</v>
      </c>
      <c r="H1710" s="118" cm="1">
        <f t="array" ref="H1710">IFERROR(INDEX(PDB!$C:$AT,MATCH(E1710,PDB!$B:$B,0),MATCH(YEAR(K1710),0+PDB!$C$1:$AT$1,0)),"")</f>
        <v>5.22</v>
      </c>
      <c r="I1710" s="36">
        <v>188</v>
      </c>
      <c r="J1710" s="125">
        <f>IFERROR(Table1[[#This Row],[Quantity]]*Table1[[#This Row],[Price/Unit
EUR]]," ")</f>
        <v>981.3599999999999</v>
      </c>
      <c r="K1710" s="126">
        <v>45789</v>
      </c>
      <c r="L1710" s="36">
        <f>WEEKNUM(Table1[[#This Row],[ETA
As requested
dd.mm.yyyy]])</f>
        <v>20</v>
      </c>
      <c r="M1710" s="36">
        <f>YEAR(Table1[[#This Row],[ETA
As requested
dd.mm.yyyy]])</f>
        <v>2025</v>
      </c>
      <c r="N1710" s="36">
        <f>IFERROR(INDEX(DATABASE_FG!$H$5:$H$367, MATCH(E1710, DATABASE_FG!$C$5:$C$367, 0)), " ")</f>
        <v>170</v>
      </c>
      <c r="O1710" s="129" t="str">
        <f>IF(E1710&lt;&gt;"", _xlfn.XLOOKUP(E1710, DATABASE_FG!C:C, DATABASE_FG!F:F), " ")</f>
        <v>PLATE</v>
      </c>
      <c r="P1710" s="129">
        <f>IFERROR(INDEX(DATABASE_FG!$G$5:$G$367, MATCH(E1710, DATABASE_FG!$C$5:$C$367, 0)), "Not Found")</f>
        <v>500</v>
      </c>
      <c r="Q1710" s="36"/>
      <c r="R1710" s="125" t="s">
        <v>678</v>
      </c>
      <c r="S1710" s="123">
        <f>IFERROR(INDEX(DATABASE_FG!$L$5:$L$367, MATCH(E1710, DATABASE_FG!$C$5:$C$367, 0)), " ")</f>
        <v>42</v>
      </c>
      <c r="T1710" s="36" t="s">
        <v>679</v>
      </c>
      <c r="U1710" s="36"/>
      <c r="V1710" s="36"/>
      <c r="W1710" s="129"/>
      <c r="X1710" s="36"/>
      <c r="Y1710" s="36" t="s">
        <v>677</v>
      </c>
      <c r="Z1710" s="36"/>
      <c r="AA1710" s="125" t="s">
        <v>121</v>
      </c>
      <c r="AB1710" s="173">
        <v>45804</v>
      </c>
      <c r="AC1710" s="119">
        <v>25822</v>
      </c>
      <c r="AD1710" s="36">
        <f t="shared" si="190"/>
        <v>5500511043</v>
      </c>
      <c r="AE1710" s="36" t="str">
        <f t="shared" si="191"/>
        <v>R900831492</v>
      </c>
      <c r="AF1710" s="36">
        <v>188</v>
      </c>
      <c r="AG1710" s="120">
        <f t="shared" si="189"/>
        <v>981.3599999999999</v>
      </c>
      <c r="AH1710" s="36"/>
      <c r="AI1710" s="124"/>
      <c r="AJ1710" s="122" t="s">
        <v>3179</v>
      </c>
      <c r="AK1710" s="129" t="str">
        <f t="shared" ca="1" si="193"/>
        <v>Late</v>
      </c>
      <c r="AL1710" s="268" t="str">
        <f t="shared" si="192"/>
        <v>May</v>
      </c>
      <c r="AM1710" s="133">
        <f>YEAR(Table1[[#This Row],[ETA
As requested
dd.mm.yyyy]])</f>
        <v>2025</v>
      </c>
    </row>
    <row r="1711" spans="1:40" hidden="1">
      <c r="A1711" s="123" t="s">
        <v>27</v>
      </c>
      <c r="B1711" s="36" t="s">
        <v>1170</v>
      </c>
      <c r="C1711" s="117">
        <v>5500511043</v>
      </c>
      <c r="D1711" s="165">
        <v>45446</v>
      </c>
      <c r="E1711" s="117" t="s">
        <v>951</v>
      </c>
      <c r="F1711" s="36" t="str">
        <f>IFERROR(VLOOKUP(Table1[[#This Row],[Part Number]],DATABASE_FG!$C$6:D11700,2,FALSE)," ")</f>
        <v>PLATE              4WRSE10.-30/</v>
      </c>
      <c r="G1711" s="117" t="str">
        <f>IFERROR(_xlfn.XLOOKUP(Table1[[#This Row],[Part Number]],Table3[Part number],Table3[Drawing
 Revision]),"")</f>
        <v>AB</v>
      </c>
      <c r="H1711" s="118" cm="1">
        <f t="array" ref="H1711">IFERROR(INDEX(PDB!$C:$AT,MATCH(E1711,PDB!$B:$B,0),MATCH(YEAR(K1711),0+PDB!$C$1:$AT$1,0)),"")</f>
        <v>5.22</v>
      </c>
      <c r="I1711" s="36">
        <v>206</v>
      </c>
      <c r="J1711" s="125">
        <f>IFERROR(Table1[[#This Row],[Quantity]]*Table1[[#This Row],[Price/Unit
EUR]]," ")</f>
        <v>1075.32</v>
      </c>
      <c r="K1711" s="126">
        <v>45805</v>
      </c>
      <c r="L1711" s="36">
        <f>WEEKNUM(Table1[[#This Row],[ETA
As requested
dd.mm.yyyy]])</f>
        <v>22</v>
      </c>
      <c r="M1711" s="36">
        <f>YEAR(Table1[[#This Row],[ETA
As requested
dd.mm.yyyy]])</f>
        <v>2025</v>
      </c>
      <c r="N1711" s="36">
        <f>IFERROR(INDEX(DATABASE_FG!$H$5:$H$367, MATCH(E1711, DATABASE_FG!$C$5:$C$367, 0)), " ")</f>
        <v>170</v>
      </c>
      <c r="O1711" s="129" t="str">
        <f>IF(E1711&lt;&gt;"", _xlfn.XLOOKUP(E1711, DATABASE_FG!C:C, DATABASE_FG!F:F), " ")</f>
        <v>PLATE</v>
      </c>
      <c r="P1711" s="129">
        <f>IFERROR(INDEX(DATABASE_FG!$G$5:$G$367, MATCH(E1711, DATABASE_FG!$C$5:$C$367, 0)), "Not Found")</f>
        <v>500</v>
      </c>
      <c r="Q1711" s="36"/>
      <c r="R1711" s="125" t="s">
        <v>678</v>
      </c>
      <c r="S1711" s="123">
        <f>IFERROR(INDEX(DATABASE_FG!$L$5:$L$367, MATCH(E1711, DATABASE_FG!$C$5:$C$367, 0)), " ")</f>
        <v>42</v>
      </c>
      <c r="T1711" s="36" t="s">
        <v>679</v>
      </c>
      <c r="U1711" s="36"/>
      <c r="V1711" s="36"/>
      <c r="W1711" s="129"/>
      <c r="X1711" s="36"/>
      <c r="Y1711" s="36"/>
      <c r="Z1711" s="36"/>
      <c r="AA1711" s="125" t="s">
        <v>121</v>
      </c>
      <c r="AB1711" s="173">
        <v>45807</v>
      </c>
      <c r="AC1711" s="119">
        <v>25857</v>
      </c>
      <c r="AD1711" s="36">
        <f t="shared" si="190"/>
        <v>5500511043</v>
      </c>
      <c r="AE1711" s="36" t="str">
        <f t="shared" si="191"/>
        <v>R900831492</v>
      </c>
      <c r="AF1711" s="36">
        <v>206</v>
      </c>
      <c r="AG1711" s="120">
        <f t="shared" si="189"/>
        <v>1075.32</v>
      </c>
      <c r="AH1711" s="36"/>
      <c r="AI1711" s="124"/>
      <c r="AJ1711" s="122" t="s">
        <v>3214</v>
      </c>
      <c r="AK1711" s="129" t="str">
        <f t="shared" ca="1" si="193"/>
        <v>On Time</v>
      </c>
      <c r="AL1711" s="268" t="str">
        <f t="shared" si="192"/>
        <v>May</v>
      </c>
      <c r="AM1711" s="133">
        <f>YEAR(Table1[[#This Row],[ETA
As requested
dd.mm.yyyy]])</f>
        <v>2025</v>
      </c>
    </row>
    <row r="1712" spans="1:40" hidden="1">
      <c r="A1712" s="123" t="s">
        <v>27</v>
      </c>
      <c r="B1712" s="36" t="s">
        <v>1170</v>
      </c>
      <c r="C1712" s="117">
        <v>5500511043</v>
      </c>
      <c r="D1712" s="165">
        <v>45446</v>
      </c>
      <c r="E1712" s="117" t="s">
        <v>951</v>
      </c>
      <c r="F1712" s="36" t="str">
        <f>IFERROR(VLOOKUP(Table1[[#This Row],[Part Number]],DATABASE_FG!$C$6:D11701,2,FALSE)," ")</f>
        <v>PLATE              4WRSE10.-30/</v>
      </c>
      <c r="G1712" s="117" t="str">
        <f>IFERROR(_xlfn.XLOOKUP(Table1[[#This Row],[Part Number]],Table3[Part number],Table3[Drawing
 Revision]),"")</f>
        <v>AB</v>
      </c>
      <c r="H1712" s="118" cm="1">
        <f t="array" ref="H1712">IFERROR(INDEX(PDB!$C:$AT,MATCH(E1712,PDB!$B:$B,0),MATCH(YEAR(K1712),0+PDB!$C$1:$AT$1,0)),"")</f>
        <v>5.22</v>
      </c>
      <c r="I1712" s="36">
        <v>205</v>
      </c>
      <c r="J1712" s="125">
        <f>IFERROR(Table1[[#This Row],[Quantity]]*Table1[[#This Row],[Price/Unit
EUR]]," ")</f>
        <v>1070.0999999999999</v>
      </c>
      <c r="K1712" s="126">
        <v>45846</v>
      </c>
      <c r="L1712" s="36">
        <f>WEEKNUM(Table1[[#This Row],[ETA
As requested
dd.mm.yyyy]])</f>
        <v>28</v>
      </c>
      <c r="M1712" s="36">
        <f>YEAR(Table1[[#This Row],[ETA
As requested
dd.mm.yyyy]])</f>
        <v>2025</v>
      </c>
      <c r="N1712" s="36">
        <f>IFERROR(INDEX(DATABASE_FG!$H$5:$H$367, MATCH(E1712, DATABASE_FG!$C$5:$C$367, 0)), " ")</f>
        <v>170</v>
      </c>
      <c r="O1712" s="129" t="str">
        <f>IF(E1712&lt;&gt;"", _xlfn.XLOOKUP(E1712, DATABASE_FG!C:C, DATABASE_FG!F:F), " ")</f>
        <v>PLATE</v>
      </c>
      <c r="P1712" s="129">
        <f>IFERROR(INDEX(DATABASE_FG!$G$5:$G$367, MATCH(E1712, DATABASE_FG!$C$5:$C$367, 0)), "Not Found")</f>
        <v>500</v>
      </c>
      <c r="Q1712" s="36"/>
      <c r="R1712" s="125" t="s">
        <v>678</v>
      </c>
      <c r="S1712" s="123">
        <f>IFERROR(INDEX(DATABASE_FG!$L$5:$L$367, MATCH(E1712, DATABASE_FG!$C$5:$C$367, 0)), " ")</f>
        <v>42</v>
      </c>
      <c r="T1712" s="36" t="s">
        <v>679</v>
      </c>
      <c r="U1712" s="36"/>
      <c r="V1712" s="36"/>
      <c r="W1712" s="129"/>
      <c r="X1712" s="36"/>
      <c r="Y1712" s="36"/>
      <c r="Z1712" s="36"/>
      <c r="AA1712" s="125" t="s">
        <v>121</v>
      </c>
      <c r="AB1712" s="173">
        <v>45924</v>
      </c>
      <c r="AC1712" s="119"/>
      <c r="AD1712" s="36" t="str">
        <f t="shared" si="190"/>
        <v/>
      </c>
      <c r="AE1712" s="36" t="str">
        <f t="shared" si="191"/>
        <v/>
      </c>
      <c r="AF1712" s="36">
        <v>0</v>
      </c>
      <c r="AG1712" s="120">
        <f t="shared" si="189"/>
        <v>0</v>
      </c>
      <c r="AH1712" s="36"/>
      <c r="AI1712" s="124" t="s">
        <v>2620</v>
      </c>
      <c r="AJ1712" s="122"/>
      <c r="AK1712" s="129" t="str">
        <f t="shared" ca="1" si="193"/>
        <v>Late</v>
      </c>
      <c r="AL1712" s="268" t="str">
        <f t="shared" si="192"/>
        <v>July</v>
      </c>
      <c r="AM1712" s="133">
        <f>YEAR(Table1[[#This Row],[ETA
As requested
dd.mm.yyyy]])</f>
        <v>2025</v>
      </c>
    </row>
    <row r="1713" spans="1:40" hidden="1">
      <c r="A1713" s="123" t="s">
        <v>25</v>
      </c>
      <c r="B1713" s="36" t="s">
        <v>1170</v>
      </c>
      <c r="C1713" s="117">
        <v>4509987295</v>
      </c>
      <c r="D1713" s="165">
        <v>45377</v>
      </c>
      <c r="E1713" s="117" t="s">
        <v>361</v>
      </c>
      <c r="F1713" s="36" t="str">
        <f>IFERROR(VLOOKUP(Table1[[#This Row],[Part Number]],DATABASE_FG!$C$6:D11702,2,FALSE)," ")</f>
        <v>GEHAEUSE Z2S 22 -.-50/</v>
      </c>
      <c r="G1713" s="117" t="str">
        <f>IFERROR(_xlfn.XLOOKUP(Table1[[#This Row],[Part Number]],Table3[Part number],Table3[Drawing
 Revision]),"")</f>
        <v xml:space="preserve">d </v>
      </c>
      <c r="H1713" s="118" cm="1">
        <f t="array" ref="H1713">IFERROR(INDEX(PDB!$C:$AT,MATCH(E1713,PDB!$B:$B,0),MATCH(YEAR(K1713),0+PDB!$C$1:$AT$1,0)),"")</f>
        <v>88.03</v>
      </c>
      <c r="I1713" s="36">
        <v>144</v>
      </c>
      <c r="J1713" s="125">
        <f>IFERROR(Table1[[#This Row],[Quantity]]*Table1[[#This Row],[Price/Unit
EUR]]," ")</f>
        <v>12676.32</v>
      </c>
      <c r="K1713" s="126">
        <v>45385</v>
      </c>
      <c r="L1713" s="36">
        <f>WEEKNUM(Table1[[#This Row],[ETA
As requested
dd.mm.yyyy]])</f>
        <v>14</v>
      </c>
      <c r="M1713" s="36">
        <f>YEAR(Table1[[#This Row],[ETA
As requested
dd.mm.yyyy]])</f>
        <v>2024</v>
      </c>
      <c r="N1713" s="36">
        <f>IFERROR(INDEX(DATABASE_FG!$H$5:$H$367, MATCH(E1713, DATABASE_FG!$C$5:$C$367, 0)), " ")</f>
        <v>6</v>
      </c>
      <c r="O1713" s="129" t="str">
        <f>IF(E1713&lt;&gt;"", _xlfn.XLOOKUP(E1713, DATABASE_FG!C:C, DATABASE_FG!F:F), " ")</f>
        <v>Z2S 22</v>
      </c>
      <c r="P1713" s="129">
        <f>IFERROR(INDEX(DATABASE_FG!$G$5:$G$367, MATCH(E1713, DATABASE_FG!$C$5:$C$367, 0)), "Not Found")</f>
        <v>24</v>
      </c>
      <c r="Q1713" s="36">
        <v>42</v>
      </c>
      <c r="R1713" s="125" t="s">
        <v>678</v>
      </c>
      <c r="S1713" s="123">
        <f>IFERROR(INDEX(DATABASE_FG!$L$5:$L$367, MATCH(E1713, DATABASE_FG!$C$5:$C$367, 0)), " ")</f>
        <v>42</v>
      </c>
      <c r="T1713" s="36" t="s">
        <v>679</v>
      </c>
      <c r="U1713" s="36"/>
      <c r="V1713" s="36"/>
      <c r="W1713" s="129"/>
      <c r="X1713" s="36"/>
      <c r="Y1713" s="36"/>
      <c r="Z1713" s="36" t="s">
        <v>1269</v>
      </c>
      <c r="AA1713" s="125" t="s">
        <v>121</v>
      </c>
      <c r="AB1713" s="173">
        <v>45380</v>
      </c>
      <c r="AC1713" s="119">
        <v>2024287</v>
      </c>
      <c r="AD1713" s="36">
        <f t="shared" si="190"/>
        <v>4509987295</v>
      </c>
      <c r="AE1713" s="36" t="str">
        <f t="shared" si="191"/>
        <v>R900865757 - R900147181 V</v>
      </c>
      <c r="AF1713" s="36">
        <v>144</v>
      </c>
      <c r="AG1713" s="120">
        <f t="shared" si="189"/>
        <v>12676.32</v>
      </c>
      <c r="AH1713" s="36"/>
      <c r="AI1713" s="124"/>
      <c r="AJ1713" s="122" t="s">
        <v>1270</v>
      </c>
      <c r="AK1713" s="129" t="str">
        <f t="shared" ca="1" si="193"/>
        <v>On Time</v>
      </c>
      <c r="AL1713" s="268" t="str">
        <f t="shared" si="192"/>
        <v>April</v>
      </c>
      <c r="AM1713" s="133">
        <f>YEAR(Table1[[#This Row],[ETA
As requested
dd.mm.yyyy]])</f>
        <v>2024</v>
      </c>
    </row>
    <row r="1714" spans="1:40" hidden="1">
      <c r="A1714" s="123" t="s">
        <v>25</v>
      </c>
      <c r="B1714" s="36" t="s">
        <v>1170</v>
      </c>
      <c r="C1714" s="117">
        <v>4509995367</v>
      </c>
      <c r="D1714" s="165">
        <v>45383</v>
      </c>
      <c r="E1714" s="117" t="s">
        <v>361</v>
      </c>
      <c r="F1714" s="36" t="str">
        <f>IFERROR(VLOOKUP(Table1[[#This Row],[Part Number]],DATABASE_FG!$C$6:D11703,2,FALSE)," ")</f>
        <v>GEHAEUSE Z2S 22 -.-50/</v>
      </c>
      <c r="G1714" s="117" t="str">
        <f>IFERROR(_xlfn.XLOOKUP(Table1[[#This Row],[Part Number]],Table3[Part number],Table3[Drawing
 Revision]),"")</f>
        <v xml:space="preserve">d </v>
      </c>
      <c r="H1714" s="118" cm="1">
        <f t="array" ref="H1714">IFERROR(INDEX(PDB!$C:$AT,MATCH(E1714,PDB!$B:$B,0),MATCH(YEAR(K1714),0+PDB!$C$1:$AT$1,0)),"")</f>
        <v>88.03</v>
      </c>
      <c r="I1714" s="36">
        <v>19</v>
      </c>
      <c r="J1714" s="125">
        <f>IFERROR(Table1[[#This Row],[Quantity]]*Table1[[#This Row],[Price/Unit
EUR]]," ")</f>
        <v>1672.57</v>
      </c>
      <c r="K1714" s="126">
        <v>45387</v>
      </c>
      <c r="L1714" s="36">
        <f>WEEKNUM(Table1[[#This Row],[ETA
As requested
dd.mm.yyyy]])</f>
        <v>14</v>
      </c>
      <c r="M1714" s="36">
        <f>YEAR(Table1[[#This Row],[ETA
As requested
dd.mm.yyyy]])</f>
        <v>2024</v>
      </c>
      <c r="N1714" s="36">
        <f>IFERROR(INDEX(DATABASE_FG!$H$5:$H$367, MATCH(E1714, DATABASE_FG!$C$5:$C$367, 0)), " ")</f>
        <v>6</v>
      </c>
      <c r="O1714" s="129" t="str">
        <f>IF(E1714&lt;&gt;"", _xlfn.XLOOKUP(E1714, DATABASE_FG!C:C, DATABASE_FG!F:F), " ")</f>
        <v>Z2S 22</v>
      </c>
      <c r="P1714" s="129">
        <f>IFERROR(INDEX(DATABASE_FG!$G$5:$G$367, MATCH(E1714, DATABASE_FG!$C$5:$C$367, 0)), "Not Found")</f>
        <v>24</v>
      </c>
      <c r="Q1714" s="36">
        <v>42</v>
      </c>
      <c r="R1714" s="125" t="s">
        <v>678</v>
      </c>
      <c r="S1714" s="123">
        <f>IFERROR(INDEX(DATABASE_FG!$L$5:$L$367, MATCH(E1714, DATABASE_FG!$C$5:$C$367, 0)), " ")</f>
        <v>42</v>
      </c>
      <c r="T1714" s="36" t="s">
        <v>679</v>
      </c>
      <c r="U1714" s="36"/>
      <c r="V1714" s="36"/>
      <c r="W1714" s="129"/>
      <c r="X1714" s="36"/>
      <c r="Y1714" s="36" t="s">
        <v>680</v>
      </c>
      <c r="Z1714" s="36">
        <v>242114</v>
      </c>
      <c r="AA1714" s="125" t="s">
        <v>121</v>
      </c>
      <c r="AB1714" s="173">
        <v>45441</v>
      </c>
      <c r="AC1714" s="119">
        <v>2024564</v>
      </c>
      <c r="AD1714" s="36">
        <f t="shared" si="190"/>
        <v>4509995367</v>
      </c>
      <c r="AE1714" s="36" t="str">
        <f t="shared" si="191"/>
        <v>R900865757 - R900147181 V</v>
      </c>
      <c r="AF1714" s="36">
        <v>19</v>
      </c>
      <c r="AG1714" s="120">
        <f t="shared" si="189"/>
        <v>1672.57</v>
      </c>
      <c r="AH1714" s="36"/>
      <c r="AI1714" s="124" t="s">
        <v>1285</v>
      </c>
      <c r="AJ1714" s="122" t="s">
        <v>1286</v>
      </c>
      <c r="AK1714" s="129" t="str">
        <f t="shared" ca="1" si="193"/>
        <v>Late</v>
      </c>
      <c r="AL1714" s="268" t="str">
        <f t="shared" si="192"/>
        <v>April</v>
      </c>
      <c r="AM1714" s="133">
        <f>YEAR(Table1[[#This Row],[ETA
As requested
dd.mm.yyyy]])</f>
        <v>2024</v>
      </c>
    </row>
    <row r="1715" spans="1:40" hidden="1">
      <c r="A1715" s="123" t="s">
        <v>25</v>
      </c>
      <c r="B1715" s="36" t="s">
        <v>1170</v>
      </c>
      <c r="C1715" s="117">
        <v>4510006030</v>
      </c>
      <c r="D1715" s="165">
        <v>45390</v>
      </c>
      <c r="E1715" s="117" t="s">
        <v>361</v>
      </c>
      <c r="F1715" s="36" t="str">
        <f>IFERROR(VLOOKUP(Table1[[#This Row],[Part Number]],DATABASE_FG!$C$6:D11704,2,FALSE)," ")</f>
        <v>GEHAEUSE Z2S 22 -.-50/</v>
      </c>
      <c r="G1715" s="117" t="str">
        <f>IFERROR(_xlfn.XLOOKUP(Table1[[#This Row],[Part Number]],Table3[Part number],Table3[Drawing
 Revision]),"")</f>
        <v xml:space="preserve">d </v>
      </c>
      <c r="H1715" s="118" cm="1">
        <f t="array" ref="H1715">IFERROR(INDEX(PDB!$C:$AT,MATCH(E1715,PDB!$B:$B,0),MATCH(YEAR(K1715),0+PDB!$C$1:$AT$1,0)),"")</f>
        <v>88.03</v>
      </c>
      <c r="I1715" s="36">
        <v>117</v>
      </c>
      <c r="J1715" s="125">
        <f>IFERROR(Table1[[#This Row],[Quantity]]*Table1[[#This Row],[Price/Unit
EUR]]," ")</f>
        <v>10299.51</v>
      </c>
      <c r="K1715" s="126">
        <v>45394</v>
      </c>
      <c r="L1715" s="36">
        <f>WEEKNUM(Table1[[#This Row],[ETA
As requested
dd.mm.yyyy]])</f>
        <v>15</v>
      </c>
      <c r="M1715" s="36">
        <f>YEAR(Table1[[#This Row],[ETA
As requested
dd.mm.yyyy]])</f>
        <v>2024</v>
      </c>
      <c r="N1715" s="36">
        <f>IFERROR(INDEX(DATABASE_FG!$H$5:$H$367, MATCH(E1715, DATABASE_FG!$C$5:$C$367, 0)), " ")</f>
        <v>6</v>
      </c>
      <c r="O1715" s="129" t="str">
        <f>IF(E1715&lt;&gt;"", _xlfn.XLOOKUP(E1715, DATABASE_FG!C:C, DATABASE_FG!F:F), " ")</f>
        <v>Z2S 22</v>
      </c>
      <c r="P1715" s="129">
        <f>IFERROR(INDEX(DATABASE_FG!$G$5:$G$367, MATCH(E1715, DATABASE_FG!$C$5:$C$367, 0)), "Not Found")</f>
        <v>24</v>
      </c>
      <c r="Q1715" s="36">
        <v>42</v>
      </c>
      <c r="R1715" s="125" t="s">
        <v>678</v>
      </c>
      <c r="S1715" s="123">
        <f>IFERROR(INDEX(DATABASE_FG!$L$5:$L$367, MATCH(E1715, DATABASE_FG!$C$5:$C$367, 0)), " ")</f>
        <v>42</v>
      </c>
      <c r="T1715" s="36" t="s">
        <v>679</v>
      </c>
      <c r="U1715" s="36"/>
      <c r="V1715" s="36"/>
      <c r="W1715" s="129"/>
      <c r="X1715" s="36"/>
      <c r="Y1715" s="36"/>
      <c r="Z1715" s="36" t="s">
        <v>1321</v>
      </c>
      <c r="AA1715" s="125" t="s">
        <v>121</v>
      </c>
      <c r="AB1715" s="173">
        <v>45411</v>
      </c>
      <c r="AC1715" s="119">
        <v>2024420</v>
      </c>
      <c r="AD1715" s="36">
        <f t="shared" si="190"/>
        <v>4510006030</v>
      </c>
      <c r="AE1715" s="36" t="str">
        <f t="shared" si="191"/>
        <v>R900865757 - R900147181 V</v>
      </c>
      <c r="AF1715" s="36">
        <v>40</v>
      </c>
      <c r="AG1715" s="120">
        <f t="shared" si="189"/>
        <v>3521.2</v>
      </c>
      <c r="AH1715" s="36"/>
      <c r="AI1715" s="124"/>
      <c r="AJ1715" s="122" t="s">
        <v>1322</v>
      </c>
      <c r="AK1715" s="129" t="str">
        <f t="shared" ca="1" si="193"/>
        <v>Late</v>
      </c>
      <c r="AL1715" s="268" t="str">
        <f t="shared" si="192"/>
        <v>April</v>
      </c>
      <c r="AM1715" s="133">
        <f>YEAR(Table1[[#This Row],[ETA
As requested
dd.mm.yyyy]])</f>
        <v>2024</v>
      </c>
    </row>
    <row r="1716" spans="1:40" hidden="1">
      <c r="A1716" s="123" t="s">
        <v>25</v>
      </c>
      <c r="B1716" s="36" t="s">
        <v>1170</v>
      </c>
      <c r="C1716" s="117">
        <v>4510006030</v>
      </c>
      <c r="D1716" s="165">
        <v>45390</v>
      </c>
      <c r="E1716" s="117" t="s">
        <v>361</v>
      </c>
      <c r="F1716" s="36" t="str">
        <f>IFERROR(VLOOKUP(Table1[[#This Row],[Part Number]],DATABASE_FG!$C$6:D11705,2,FALSE)," ")</f>
        <v>GEHAEUSE Z2S 22 -.-50/</v>
      </c>
      <c r="G1716" s="117" t="str">
        <f>IFERROR(_xlfn.XLOOKUP(Table1[[#This Row],[Part Number]],Table3[Part number],Table3[Drawing
 Revision]),"")</f>
        <v xml:space="preserve">d </v>
      </c>
      <c r="H1716" s="118" cm="1">
        <f t="array" ref="H1716">IFERROR(INDEX(PDB!$C:$AT,MATCH(E1716,PDB!$B:$B,0),MATCH(YEAR(K1716),0+PDB!$C$1:$AT$1,0)),"")</f>
        <v>88.03</v>
      </c>
      <c r="I1716" s="36"/>
      <c r="J1716" s="125">
        <f>IFERROR(Table1[[#This Row],[Quantity]]*Table1[[#This Row],[Price/Unit
EUR]]," ")</f>
        <v>0</v>
      </c>
      <c r="K1716" s="126">
        <v>45394</v>
      </c>
      <c r="L1716" s="36">
        <f>WEEKNUM(Table1[[#This Row],[ETA
As requested
dd.mm.yyyy]])</f>
        <v>15</v>
      </c>
      <c r="M1716" s="36">
        <f>YEAR(Table1[[#This Row],[ETA
As requested
dd.mm.yyyy]])</f>
        <v>2024</v>
      </c>
      <c r="N1716" s="36">
        <f>IFERROR(INDEX(DATABASE_FG!$H$5:$H$367, MATCH(E1716, DATABASE_FG!$C$5:$C$367, 0)), " ")</f>
        <v>6</v>
      </c>
      <c r="O1716" s="129" t="str">
        <f>IF(E1716&lt;&gt;"", _xlfn.XLOOKUP(E1716, DATABASE_FG!C:C, DATABASE_FG!F:F), " ")</f>
        <v>Z2S 22</v>
      </c>
      <c r="P1716" s="129">
        <f>IFERROR(INDEX(DATABASE_FG!$G$5:$G$367, MATCH(E1716, DATABASE_FG!$C$5:$C$367, 0)), "Not Found")</f>
        <v>24</v>
      </c>
      <c r="Q1716" s="36">
        <v>42</v>
      </c>
      <c r="R1716" s="125" t="s">
        <v>678</v>
      </c>
      <c r="S1716" s="123">
        <f>IFERROR(INDEX(DATABASE_FG!$L$5:$L$367, MATCH(E1716, DATABASE_FG!$C$5:$C$367, 0)), " ")</f>
        <v>42</v>
      </c>
      <c r="T1716" s="36" t="s">
        <v>679</v>
      </c>
      <c r="U1716" s="36"/>
      <c r="V1716" s="36"/>
      <c r="W1716" s="129"/>
      <c r="X1716" s="36"/>
      <c r="Y1716" s="36"/>
      <c r="Z1716" s="36"/>
      <c r="AA1716" s="125" t="s">
        <v>121</v>
      </c>
      <c r="AB1716" s="173">
        <v>45441</v>
      </c>
      <c r="AC1716" s="119">
        <v>2024563</v>
      </c>
      <c r="AD1716" s="36">
        <f t="shared" si="190"/>
        <v>4510006030</v>
      </c>
      <c r="AE1716" s="36" t="str">
        <f t="shared" si="191"/>
        <v>R900865757 - R900147181 V</v>
      </c>
      <c r="AF1716" s="36">
        <v>77</v>
      </c>
      <c r="AG1716" s="120">
        <f t="shared" ref="AG1716:AG1782" si="194">AF1716*H1716</f>
        <v>6778.31</v>
      </c>
      <c r="AH1716" s="36"/>
      <c r="AI1716" s="124"/>
      <c r="AJ1716" s="122" t="s">
        <v>1325</v>
      </c>
      <c r="AK1716" s="129" t="str">
        <f t="shared" ca="1" si="193"/>
        <v>Late</v>
      </c>
      <c r="AL1716" s="268" t="str">
        <f t="shared" si="192"/>
        <v>April</v>
      </c>
      <c r="AM1716" s="133">
        <f>YEAR(Table1[[#This Row],[ETA
As requested
dd.mm.yyyy]])</f>
        <v>2024</v>
      </c>
    </row>
    <row r="1717" spans="1:40" hidden="1">
      <c r="A1717" s="123" t="s">
        <v>25</v>
      </c>
      <c r="B1717" s="36" t="s">
        <v>1170</v>
      </c>
      <c r="C1717" s="117">
        <v>4510183047</v>
      </c>
      <c r="D1717" s="165">
        <v>45496</v>
      </c>
      <c r="E1717" s="117" t="s">
        <v>361</v>
      </c>
      <c r="F1717" s="36" t="str">
        <f>IFERROR(VLOOKUP(Table1[[#This Row],[Part Number]],DATABASE_FG!$C$6:D11706,2,FALSE)," ")</f>
        <v>GEHAEUSE Z2S 22 -.-50/</v>
      </c>
      <c r="G1717" s="117" t="str">
        <f>IFERROR(_xlfn.XLOOKUP(Table1[[#This Row],[Part Number]],Table3[Part number],Table3[Drawing
 Revision]),"")</f>
        <v xml:space="preserve">d </v>
      </c>
      <c r="H1717" s="118" cm="1">
        <f t="array" ref="H1717">IFERROR(INDEX(PDB!$C:$AT,MATCH(E1717,PDB!$B:$B,0),MATCH(YEAR(K1717),0+PDB!$C$1:$AT$1,0)),"")</f>
        <v>88.03</v>
      </c>
      <c r="I1717" s="36">
        <v>72</v>
      </c>
      <c r="J1717" s="125">
        <f>IFERROR(Table1[[#This Row],[Quantity]]*Table1[[#This Row],[Price/Unit
EUR]]," ")</f>
        <v>6338.16</v>
      </c>
      <c r="K1717" s="126">
        <v>45502</v>
      </c>
      <c r="L1717" s="36">
        <f>WEEKNUM(Table1[[#This Row],[ETA
As requested
dd.mm.yyyy]])</f>
        <v>31</v>
      </c>
      <c r="M1717" s="36">
        <f>YEAR(Table1[[#This Row],[ETA
As requested
dd.mm.yyyy]])</f>
        <v>2024</v>
      </c>
      <c r="N1717" s="36">
        <f>IFERROR(INDEX(DATABASE_FG!$H$5:$H$367, MATCH(E1717, DATABASE_FG!$C$5:$C$367, 0)), " ")</f>
        <v>6</v>
      </c>
      <c r="O1717" s="129" t="str">
        <f>IF(E1717&lt;&gt;"", _xlfn.XLOOKUP(E1717, DATABASE_FG!C:C, DATABASE_FG!F:F), " ")</f>
        <v>Z2S 22</v>
      </c>
      <c r="P1717" s="129">
        <f>IFERROR(INDEX(DATABASE_FG!$G$5:$G$367, MATCH(E1717, DATABASE_FG!$C$5:$C$367, 0)), "Not Found")</f>
        <v>24</v>
      </c>
      <c r="Q1717" s="36">
        <v>42</v>
      </c>
      <c r="R1717" s="125" t="s">
        <v>678</v>
      </c>
      <c r="S1717" s="123">
        <f>IFERROR(INDEX(DATABASE_FG!$L$5:$L$367, MATCH(E1717, DATABASE_FG!$C$5:$C$367, 0)), " ")</f>
        <v>42</v>
      </c>
      <c r="T1717" s="36" t="s">
        <v>679</v>
      </c>
      <c r="U1717" s="36"/>
      <c r="V1717" s="36"/>
      <c r="W1717" s="129"/>
      <c r="X1717" s="36"/>
      <c r="Y1717" s="36"/>
      <c r="Z1717" s="36"/>
      <c r="AA1717" s="125" t="s">
        <v>121</v>
      </c>
      <c r="AB1717" s="173">
        <v>45506</v>
      </c>
      <c r="AC1717" s="119">
        <v>2024972</v>
      </c>
      <c r="AD1717" s="36">
        <f t="shared" si="190"/>
        <v>4510183047</v>
      </c>
      <c r="AE1717" s="36" t="str">
        <f t="shared" si="191"/>
        <v>R900865757 - R900147181 V</v>
      </c>
      <c r="AF1717" s="36">
        <v>72</v>
      </c>
      <c r="AG1717" s="120">
        <f t="shared" si="194"/>
        <v>6338.16</v>
      </c>
      <c r="AH1717" s="36"/>
      <c r="AI1717" s="124"/>
      <c r="AJ1717" s="122" t="s">
        <v>1880</v>
      </c>
      <c r="AK1717" s="129" t="str">
        <f t="shared" ca="1" si="193"/>
        <v>Late</v>
      </c>
      <c r="AL1717" s="268" t="str">
        <f t="shared" si="192"/>
        <v>July</v>
      </c>
      <c r="AM1717" s="133">
        <f>YEAR(Table1[[#This Row],[ETA
As requested
dd.mm.yyyy]])</f>
        <v>2024</v>
      </c>
    </row>
    <row r="1718" spans="1:40" hidden="1">
      <c r="A1718" s="123" t="s">
        <v>25</v>
      </c>
      <c r="B1718" s="36" t="s">
        <v>1170</v>
      </c>
      <c r="C1718" s="117">
        <v>4510147358</v>
      </c>
      <c r="D1718" s="165">
        <v>45477</v>
      </c>
      <c r="E1718" s="117" t="s">
        <v>361</v>
      </c>
      <c r="F1718" s="36" t="str">
        <f>IFERROR(VLOOKUP(Table1[[#This Row],[Part Number]],DATABASE_FG!$C$6:D11707,2,FALSE)," ")</f>
        <v>GEHAEUSE Z2S 22 -.-50/</v>
      </c>
      <c r="G1718" s="117" t="str">
        <f>IFERROR(_xlfn.XLOOKUP(Table1[[#This Row],[Part Number]],Table3[Part number],Table3[Drawing
 Revision]),"")</f>
        <v xml:space="preserve">d </v>
      </c>
      <c r="H1718" s="118" cm="1">
        <f t="array" ref="H1718">IFERROR(INDEX(PDB!$C:$AT,MATCH(E1718,PDB!$B:$B,0),MATCH(YEAR(K1718),0+PDB!$C$1:$AT$1,0)),"")</f>
        <v>88.03</v>
      </c>
      <c r="I1718" s="36">
        <v>50</v>
      </c>
      <c r="J1718" s="125">
        <f>IFERROR(Table1[[#This Row],[Quantity]]*Table1[[#This Row],[Price/Unit
EUR]]," ")</f>
        <v>4401.5</v>
      </c>
      <c r="K1718" s="126">
        <v>45586</v>
      </c>
      <c r="L1718" s="36">
        <f>WEEKNUM(Table1[[#This Row],[ETA
As requested
dd.mm.yyyy]])</f>
        <v>43</v>
      </c>
      <c r="M1718" s="36">
        <f>YEAR(Table1[[#This Row],[ETA
As requested
dd.mm.yyyy]])</f>
        <v>2024</v>
      </c>
      <c r="N1718" s="36">
        <f>IFERROR(INDEX(DATABASE_FG!$H$5:$H$367, MATCH(E1718, DATABASE_FG!$C$5:$C$367, 0)), " ")</f>
        <v>6</v>
      </c>
      <c r="O1718" s="129" t="str">
        <f>IF(E1718&lt;&gt;"", _xlfn.XLOOKUP(E1718, DATABASE_FG!C:C, DATABASE_FG!F:F), " ")</f>
        <v>Z2S 22</v>
      </c>
      <c r="P1718" s="129">
        <f>IFERROR(INDEX(DATABASE_FG!$G$5:$G$367, MATCH(E1718, DATABASE_FG!$C$5:$C$367, 0)), "Not Found")</f>
        <v>24</v>
      </c>
      <c r="Q1718" s="36">
        <v>42</v>
      </c>
      <c r="R1718" s="125" t="s">
        <v>678</v>
      </c>
      <c r="S1718" s="123">
        <f>IFERROR(INDEX(DATABASE_FG!$L$5:$L$367, MATCH(E1718, DATABASE_FG!$C$5:$C$367, 0)), " ")</f>
        <v>42</v>
      </c>
      <c r="T1718" s="36" t="s">
        <v>679</v>
      </c>
      <c r="U1718" s="36"/>
      <c r="V1718" s="36"/>
      <c r="W1718" s="129"/>
      <c r="X1718" s="36"/>
      <c r="Y1718" s="36"/>
      <c r="Z1718" s="36"/>
      <c r="AA1718" s="125" t="s">
        <v>121</v>
      </c>
      <c r="AB1718" s="173">
        <v>45800</v>
      </c>
      <c r="AC1718" s="119">
        <v>25810</v>
      </c>
      <c r="AD1718" s="36">
        <f t="shared" si="190"/>
        <v>4510147358</v>
      </c>
      <c r="AE1718" s="36" t="str">
        <f t="shared" si="191"/>
        <v>R900865757 - R900147181 V</v>
      </c>
      <c r="AF1718" s="36">
        <f>50-1</f>
        <v>49</v>
      </c>
      <c r="AG1718" s="120">
        <f t="shared" si="194"/>
        <v>4313.47</v>
      </c>
      <c r="AH1718" s="36"/>
      <c r="AI1718" s="124"/>
      <c r="AJ1718" s="122" t="s">
        <v>2498</v>
      </c>
      <c r="AK1718" s="129" t="str">
        <f t="shared" ca="1" si="193"/>
        <v>Late</v>
      </c>
      <c r="AL1718" s="268" t="str">
        <f t="shared" si="192"/>
        <v>October</v>
      </c>
      <c r="AM1718" s="133">
        <f>YEAR(Table1[[#This Row],[ETA
As requested
dd.mm.yyyy]])</f>
        <v>2024</v>
      </c>
    </row>
    <row r="1719" spans="1:40" hidden="1">
      <c r="A1719" s="123" t="s">
        <v>25</v>
      </c>
      <c r="B1719" s="36" t="s">
        <v>1170</v>
      </c>
      <c r="C1719" s="117">
        <v>4510147358</v>
      </c>
      <c r="D1719" s="165">
        <v>45477</v>
      </c>
      <c r="E1719" s="117" t="s">
        <v>361</v>
      </c>
      <c r="F1719" s="36" t="str">
        <f>IFERROR(VLOOKUP(Table1[[#This Row],[Part Number]],DATABASE_FG!$C$6:D11708,2,FALSE)," ")</f>
        <v>GEHAEUSE Z2S 22 -.-50/</v>
      </c>
      <c r="G1719" s="117" t="str">
        <f>IFERROR(_xlfn.XLOOKUP(Table1[[#This Row],[Part Number]],Table3[Part number],Table3[Drawing
 Revision]),"")</f>
        <v xml:space="preserve">d </v>
      </c>
      <c r="H1719" s="118" cm="1">
        <f t="array" ref="H1719">IFERROR(INDEX(PDB!$C:$AT,MATCH(E1719,PDB!$B:$B,0),MATCH(YEAR(K1719),0+PDB!$C$1:$AT$1,0)),"")</f>
        <v>88.03</v>
      </c>
      <c r="I1719" s="36">
        <v>69</v>
      </c>
      <c r="J1719" s="125">
        <f>IFERROR(Table1[[#This Row],[Quantity]]*Table1[[#This Row],[Price/Unit
EUR]]," ")</f>
        <v>6074.07</v>
      </c>
      <c r="K1719" s="126">
        <v>45586</v>
      </c>
      <c r="L1719" s="36">
        <f>WEEKNUM(Table1[[#This Row],[ETA
As requested
dd.mm.yyyy]])</f>
        <v>43</v>
      </c>
      <c r="M1719" s="36">
        <f>YEAR(Table1[[#This Row],[ETA
As requested
dd.mm.yyyy]])</f>
        <v>2024</v>
      </c>
      <c r="N1719" s="36">
        <f>IFERROR(INDEX(DATABASE_FG!$H$5:$H$367, MATCH(E1719, DATABASE_FG!$C$5:$C$367, 0)), " ")</f>
        <v>6</v>
      </c>
      <c r="O1719" s="129" t="str">
        <f>IF(E1719&lt;&gt;"", _xlfn.XLOOKUP(E1719, DATABASE_FG!C:C, DATABASE_FG!F:F), " ")</f>
        <v>Z2S 22</v>
      </c>
      <c r="P1719" s="129">
        <f>IFERROR(INDEX(DATABASE_FG!$G$5:$G$367, MATCH(E1719, DATABASE_FG!$C$5:$C$367, 0)), "Not Found")</f>
        <v>24</v>
      </c>
      <c r="Q1719" s="36">
        <v>42</v>
      </c>
      <c r="R1719" s="125" t="s">
        <v>678</v>
      </c>
      <c r="S1719" s="123">
        <f>Table1[[#This Row],[Quantity]]/48</f>
        <v>1.4375</v>
      </c>
      <c r="T1719" s="36"/>
      <c r="U1719" s="36"/>
      <c r="V1719" s="36"/>
      <c r="W1719" s="129"/>
      <c r="X1719" s="36"/>
      <c r="Y1719" s="36"/>
      <c r="Z1719" s="36"/>
      <c r="AA1719" s="125" t="s">
        <v>121</v>
      </c>
      <c r="AB1719" s="173">
        <v>45930</v>
      </c>
      <c r="AC1719" s="119">
        <v>251170</v>
      </c>
      <c r="AD1719" s="36">
        <f t="shared" si="190"/>
        <v>4510147358</v>
      </c>
      <c r="AE1719" s="36" t="str">
        <f t="shared" si="191"/>
        <v>R900865757 - R900147181 V</v>
      </c>
      <c r="AF1719" s="36">
        <v>69</v>
      </c>
      <c r="AG1719" s="120">
        <f t="shared" si="194"/>
        <v>6074.07</v>
      </c>
      <c r="AH1719" s="36"/>
      <c r="AI1719" s="124"/>
      <c r="AJ1719" s="122" t="s">
        <v>2500</v>
      </c>
      <c r="AK1719" s="129" t="str">
        <f t="shared" ca="1" si="193"/>
        <v>Late</v>
      </c>
      <c r="AL1719" s="268" t="str">
        <f t="shared" si="192"/>
        <v>October</v>
      </c>
      <c r="AM1719" s="133">
        <f>YEAR(Table1[[#This Row],[Dată de livrare]])</f>
        <v>2025</v>
      </c>
      <c r="AN1719" s="191"/>
    </row>
    <row r="1720" spans="1:40" hidden="1">
      <c r="A1720" s="123" t="s">
        <v>25</v>
      </c>
      <c r="B1720" s="36" t="s">
        <v>1170</v>
      </c>
      <c r="C1720" s="117">
        <v>4510147358</v>
      </c>
      <c r="D1720" s="165">
        <v>45477</v>
      </c>
      <c r="E1720" s="117" t="s">
        <v>361</v>
      </c>
      <c r="F1720" s="36" t="str">
        <f>IFERROR(VLOOKUP(Table1[[#This Row],[Part Number]],DATABASE_FG!$C$6:D11709,2,FALSE)," ")</f>
        <v>GEHAEUSE Z2S 22 -.-50/</v>
      </c>
      <c r="G1720" s="117" t="str">
        <f>IFERROR(_xlfn.XLOOKUP(Table1[[#This Row],[Part Number]],Table3[Part number],Table3[Drawing
 Revision]),"")</f>
        <v xml:space="preserve">d </v>
      </c>
      <c r="H1720" s="118" cm="1">
        <f t="array" ref="H1720">IFERROR(INDEX(PDB!$C:$AT,MATCH(E1720,PDB!$B:$B,0),MATCH(YEAR(K1720),0+PDB!$C$1:$AT$1,0)),"")</f>
        <v>88.03</v>
      </c>
      <c r="I1720" s="36">
        <v>0</v>
      </c>
      <c r="J1720" s="125">
        <v>8010.7300000000005</v>
      </c>
      <c r="K1720" s="126">
        <v>45586</v>
      </c>
      <c r="L1720" s="36">
        <v>43</v>
      </c>
      <c r="M1720" s="36">
        <v>2024</v>
      </c>
      <c r="N1720" s="36">
        <v>6</v>
      </c>
      <c r="O1720" s="129" t="s">
        <v>4102</v>
      </c>
      <c r="P1720" s="129">
        <v>24</v>
      </c>
      <c r="Q1720" s="36">
        <v>42</v>
      </c>
      <c r="R1720" s="125" t="s">
        <v>678</v>
      </c>
      <c r="S1720" s="123" t="s">
        <v>3</v>
      </c>
      <c r="T1720" s="36"/>
      <c r="U1720" s="36"/>
      <c r="V1720" s="36" t="s">
        <v>2720</v>
      </c>
      <c r="W1720" s="129" t="s">
        <v>2720</v>
      </c>
      <c r="X1720" s="36"/>
      <c r="Y1720" s="36">
        <v>0</v>
      </c>
      <c r="Z1720" s="36"/>
      <c r="AA1720" s="125" t="s">
        <v>121</v>
      </c>
      <c r="AB1720" s="173">
        <v>45945</v>
      </c>
      <c r="AC1720" s="119">
        <v>251190</v>
      </c>
      <c r="AD1720" s="36">
        <f t="shared" si="190"/>
        <v>4510147358</v>
      </c>
      <c r="AE1720" s="36" t="str">
        <f t="shared" si="191"/>
        <v>R900865757 - R900147181 V</v>
      </c>
      <c r="AF1720" s="36">
        <v>0</v>
      </c>
      <c r="AG1720" s="120">
        <f t="shared" si="194"/>
        <v>0</v>
      </c>
      <c r="AH1720" s="36"/>
      <c r="AI1720" s="124" t="s">
        <v>4403</v>
      </c>
      <c r="AJ1720" s="122" t="s">
        <v>4407</v>
      </c>
      <c r="AK1720" s="129" t="str">
        <f t="shared" ca="1" si="193"/>
        <v>Late</v>
      </c>
      <c r="AL1720" s="268" t="str">
        <f t="shared" si="192"/>
        <v>October</v>
      </c>
      <c r="AM1720" s="133">
        <f>YEAR(Table1[[#This Row],[Dată de livrare]])</f>
        <v>2025</v>
      </c>
      <c r="AN1720" s="191"/>
    </row>
    <row r="1721" spans="1:40" hidden="1">
      <c r="A1721" s="123" t="s">
        <v>25</v>
      </c>
      <c r="B1721" s="36" t="s">
        <v>1170</v>
      </c>
      <c r="C1721" s="117">
        <v>4510147358</v>
      </c>
      <c r="D1721" s="165">
        <v>45477</v>
      </c>
      <c r="E1721" s="117" t="s">
        <v>361</v>
      </c>
      <c r="F1721" s="36" t="str">
        <f>IFERROR(VLOOKUP(Table1[[#This Row],[Part Number]],DATABASE_FG!$C$6:D11710,2,FALSE)," ")</f>
        <v>GEHAEUSE Z2S 22 -.-50/</v>
      </c>
      <c r="G1721" s="117" t="str">
        <f>IFERROR(_xlfn.XLOOKUP(Table1[[#This Row],[Part Number]],Table3[Part number],Table3[Drawing
 Revision]),"")</f>
        <v xml:space="preserve">d </v>
      </c>
      <c r="H1721" s="118" cm="1">
        <f t="array" ref="H1721">IFERROR(INDEX(PDB!$C:$AT,MATCH(E1721,PDB!$B:$B,0),MATCH(YEAR(K1721),0+PDB!$C$1:$AT$1,0)),"")</f>
        <v>88.03</v>
      </c>
      <c r="I1721" s="36">
        <f>210-50-69+1</f>
        <v>92</v>
      </c>
      <c r="J1721" s="125">
        <f>IFERROR(Table1[[#This Row],[Quantity]]*Table1[[#This Row],[Price/Unit
EUR]]," ")</f>
        <v>8098.76</v>
      </c>
      <c r="K1721" s="126">
        <v>45586</v>
      </c>
      <c r="L1721" s="36">
        <f>WEEKNUM(Table1[[#This Row],[ETA
As requested
dd.mm.yyyy]])</f>
        <v>43</v>
      </c>
      <c r="M1721" s="36">
        <f>YEAR(Table1[[#This Row],[ETA
As requested
dd.mm.yyyy]])</f>
        <v>2024</v>
      </c>
      <c r="N1721" s="36">
        <f>IFERROR(INDEX(DATABASE_FG!$H$5:$H$367, MATCH(E1721, DATABASE_FG!$C$5:$C$367, 0)), " ")</f>
        <v>6</v>
      </c>
      <c r="O1721" s="129" t="str">
        <f>IF(E1721&lt;&gt;"", _xlfn.XLOOKUP(E1721, DATABASE_FG!C:C, DATABASE_FG!F:F), " ")</f>
        <v>Z2S 22</v>
      </c>
      <c r="P1721" s="129">
        <f>IFERROR(INDEX(DATABASE_FG!$G$5:$G$367, MATCH(E1721, DATABASE_FG!$C$5:$C$367, 0)), "Not Found")</f>
        <v>24</v>
      </c>
      <c r="Q1721" s="36">
        <v>42</v>
      </c>
      <c r="R1721" s="125" t="s">
        <v>678</v>
      </c>
      <c r="S1721" s="123">
        <f>IFERROR(INDEX(DATABASE_FG!$L$5:$L$367, MATCH(E1721, DATABASE_FG!$C$5:$C$367, 0)), " ")</f>
        <v>42</v>
      </c>
      <c r="T1721" s="36" t="s">
        <v>679</v>
      </c>
      <c r="U1721" s="36"/>
      <c r="V1721" s="36"/>
      <c r="W1721" s="129"/>
      <c r="X1721" s="36"/>
      <c r="Y1721" s="36"/>
      <c r="Z1721" s="36"/>
      <c r="AA1721" s="125" t="s">
        <v>121</v>
      </c>
      <c r="AB1721" s="173">
        <v>45959</v>
      </c>
      <c r="AC1721" s="119">
        <v>251209</v>
      </c>
      <c r="AD1721" s="36">
        <f t="shared" si="190"/>
        <v>4510147358</v>
      </c>
      <c r="AE1721" s="36" t="str">
        <f t="shared" si="191"/>
        <v>R900865757 - R900147181 V</v>
      </c>
      <c r="AF1721" s="36">
        <v>92</v>
      </c>
      <c r="AG1721" s="120">
        <f t="shared" si="194"/>
        <v>8098.76</v>
      </c>
      <c r="AH1721" s="36"/>
      <c r="AI1721" s="124"/>
      <c r="AJ1721" s="122" t="s">
        <v>4442</v>
      </c>
      <c r="AK1721" s="129" t="str">
        <f t="shared" ca="1" si="193"/>
        <v>Late</v>
      </c>
      <c r="AL1721" s="268" t="str">
        <f t="shared" si="192"/>
        <v>October</v>
      </c>
      <c r="AM1721" s="133">
        <f>YEAR(Table1[[#This Row],[ETA
As requested
dd.mm.yyyy]])</f>
        <v>2024</v>
      </c>
    </row>
    <row r="1722" spans="1:40" hidden="1">
      <c r="A1722" s="123" t="s">
        <v>25</v>
      </c>
      <c r="B1722" s="36" t="s">
        <v>1170</v>
      </c>
      <c r="C1722" s="117">
        <v>4510147360</v>
      </c>
      <c r="D1722" s="165">
        <v>45477</v>
      </c>
      <c r="E1722" s="117" t="s">
        <v>361</v>
      </c>
      <c r="F1722" s="36" t="str">
        <f>IFERROR(VLOOKUP(Table1[[#This Row],[Part Number]],DATABASE_FG!$C$6:D11711,2,FALSE)," ")</f>
        <v>GEHAEUSE Z2S 22 -.-50/</v>
      </c>
      <c r="G1722" s="117" t="str">
        <f>IFERROR(_xlfn.XLOOKUP(Table1[[#This Row],[Part Number]],Table3[Part number],Table3[Drawing
 Revision]),"")</f>
        <v xml:space="preserve">d </v>
      </c>
      <c r="H1722" s="118" cm="1">
        <f t="array" ref="H1722">IFERROR(INDEX(PDB!$C:$AT,MATCH(E1722,PDB!$B:$B,0),MATCH(YEAR(K1722),0+PDB!$C$1:$AT$1,0)),"")</f>
        <v>88.03</v>
      </c>
      <c r="I1722" s="36">
        <v>145</v>
      </c>
      <c r="J1722" s="125">
        <f>IFERROR(Table1[[#This Row],[Quantity]]*Table1[[#This Row],[Price/Unit
EUR]]," ")</f>
        <v>12764.35</v>
      </c>
      <c r="K1722" s="126">
        <v>45586</v>
      </c>
      <c r="L1722" s="36">
        <f>WEEKNUM(Table1[[#This Row],[ETA
As requested
dd.mm.yyyy]])</f>
        <v>43</v>
      </c>
      <c r="M1722" s="36">
        <f>YEAR(Table1[[#This Row],[ETA
As requested
dd.mm.yyyy]])</f>
        <v>2024</v>
      </c>
      <c r="N1722" s="36">
        <f>IFERROR(INDEX(DATABASE_FG!$H$5:$H$367, MATCH(E1722, DATABASE_FG!$C$5:$C$367, 0)), " ")</f>
        <v>6</v>
      </c>
      <c r="O1722" s="129" t="str">
        <f>IF(E1722&lt;&gt;"", _xlfn.XLOOKUP(E1722, DATABASE_FG!C:C, DATABASE_FG!F:F), " ")</f>
        <v>Z2S 22</v>
      </c>
      <c r="P1722" s="129">
        <f>IFERROR(INDEX(DATABASE_FG!$G$5:$G$367, MATCH(E1722, DATABASE_FG!$C$5:$C$367, 0)), "Not Found")</f>
        <v>24</v>
      </c>
      <c r="Q1722" s="36">
        <v>42</v>
      </c>
      <c r="R1722" s="125" t="s">
        <v>678</v>
      </c>
      <c r="S1722" s="123">
        <f>Table1[[#This Row],[Quantity]]/48</f>
        <v>3.0208333333333335</v>
      </c>
      <c r="T1722" s="36"/>
      <c r="U1722" s="36"/>
      <c r="V1722" s="36"/>
      <c r="W1722" s="129"/>
      <c r="X1722" s="36"/>
      <c r="Y1722" s="36"/>
      <c r="Z1722" s="36"/>
      <c r="AA1722" s="125" t="s">
        <v>121</v>
      </c>
      <c r="AB1722" s="173">
        <v>45953</v>
      </c>
      <c r="AC1722" s="119">
        <v>251200</v>
      </c>
      <c r="AD1722" s="36">
        <f t="shared" ref="AD1722:AD1723" si="195">IF(NOT(ISBLANK(AC1722)), C1722, "")</f>
        <v>4510147360</v>
      </c>
      <c r="AE1722" s="36" t="str">
        <f t="shared" ref="AE1722:AE1723" si="196">IF(NOT(ISBLANK(AC1722)), E1722, "")</f>
        <v>R900865757 - R900147181 V</v>
      </c>
      <c r="AF1722" s="36">
        <v>145</v>
      </c>
      <c r="AG1722" s="120">
        <f t="shared" ref="AG1722:AG1723" si="197">AF1722*H1722</f>
        <v>12764.35</v>
      </c>
      <c r="AH1722" s="36"/>
      <c r="AI1722" s="124"/>
      <c r="AJ1722" s="122" t="s">
        <v>4408</v>
      </c>
      <c r="AK1722" s="129" t="str">
        <f t="shared" ref="AK1722:AK1723" ca="1" si="198">IF(AB1722="", IF(K1722 &lt; TODAY(), "Late", ""), IF(AB1722 &lt;= K1722 + 2, "On Time", "Late"))</f>
        <v>Late</v>
      </c>
      <c r="AL1722" s="268" t="str">
        <f t="shared" ref="AL1722:AL1723" si="199">TEXT(K1722,"mmmm")</f>
        <v>October</v>
      </c>
      <c r="AM1722" s="133">
        <f>YEAR(Table1[[#This Row],[ETA
As requested
dd.mm.yyyy]])</f>
        <v>2024</v>
      </c>
      <c r="AN1722" s="191"/>
    </row>
    <row r="1723" spans="1:40" hidden="1">
      <c r="A1723" s="123" t="s">
        <v>25</v>
      </c>
      <c r="B1723" s="36" t="s">
        <v>1170</v>
      </c>
      <c r="C1723" s="117">
        <v>4510147360</v>
      </c>
      <c r="D1723" s="165">
        <v>45477</v>
      </c>
      <c r="E1723" s="117" t="s">
        <v>361</v>
      </c>
      <c r="F1723" s="36" t="str">
        <f>IFERROR(VLOOKUP(Table1[[#This Row],[Part Number]],DATABASE_FG!$C$6:D11712,2,FALSE)," ")</f>
        <v>GEHAEUSE Z2S 22 -.-50/</v>
      </c>
      <c r="G1723" s="117" t="str">
        <f>IFERROR(_xlfn.XLOOKUP(Table1[[#This Row],[Part Number]],Table3[Part number],Table3[Drawing
 Revision]),"")</f>
        <v xml:space="preserve">d </v>
      </c>
      <c r="H1723" s="118" cm="1">
        <f t="array" ref="H1723">IFERROR(INDEX(PDB!$C:$AT,MATCH(E1723,PDB!$B:$B,0),MATCH(YEAR(K1723),0+PDB!$C$1:$AT$1,0)),"")</f>
        <v>88.03</v>
      </c>
      <c r="I1723" s="36">
        <v>16</v>
      </c>
      <c r="J1723" s="125">
        <f>IFERROR(Table1[[#This Row],[Quantity]]*Table1[[#This Row],[Price/Unit
EUR]]," ")</f>
        <v>1408.48</v>
      </c>
      <c r="K1723" s="126">
        <v>45586</v>
      </c>
      <c r="L1723" s="36">
        <f>WEEKNUM(Table1[[#This Row],[ETA
As requested
dd.mm.yyyy]])</f>
        <v>43</v>
      </c>
      <c r="M1723" s="36">
        <f>YEAR(Table1[[#This Row],[ETA
As requested
dd.mm.yyyy]])</f>
        <v>2024</v>
      </c>
      <c r="N1723" s="36">
        <f>IFERROR(INDEX(DATABASE_FG!$H$5:$H$367, MATCH(E1723, DATABASE_FG!$C$5:$C$367, 0)), " ")</f>
        <v>6</v>
      </c>
      <c r="O1723" s="129" t="str">
        <f>IF(E1723&lt;&gt;"", _xlfn.XLOOKUP(E1723, DATABASE_FG!C:C, DATABASE_FG!F:F), " ")</f>
        <v>Z2S 22</v>
      </c>
      <c r="P1723" s="129">
        <f>IFERROR(INDEX(DATABASE_FG!$G$5:$G$367, MATCH(E1723, DATABASE_FG!$C$5:$C$367, 0)), "Not Found")</f>
        <v>24</v>
      </c>
      <c r="Q1723" s="36">
        <v>42</v>
      </c>
      <c r="R1723" s="125" t="s">
        <v>678</v>
      </c>
      <c r="S1723" s="123">
        <f>Table1[[#This Row],[Quantity]]/48</f>
        <v>0.33333333333333331</v>
      </c>
      <c r="T1723" s="36"/>
      <c r="U1723" s="36"/>
      <c r="V1723" s="36"/>
      <c r="W1723" s="129"/>
      <c r="X1723" s="36"/>
      <c r="Y1723" s="36"/>
      <c r="Z1723" s="36"/>
      <c r="AA1723" s="125" t="s">
        <v>121</v>
      </c>
      <c r="AB1723" s="173">
        <v>45961</v>
      </c>
      <c r="AC1723" s="119">
        <v>251210</v>
      </c>
      <c r="AD1723" s="36">
        <f t="shared" si="195"/>
        <v>4510147360</v>
      </c>
      <c r="AE1723" s="36" t="str">
        <f t="shared" si="196"/>
        <v>R900865757 - R900147181 V</v>
      </c>
      <c r="AF1723" s="36">
        <v>16</v>
      </c>
      <c r="AG1723" s="120">
        <f t="shared" si="197"/>
        <v>1408.48</v>
      </c>
      <c r="AH1723" s="36"/>
      <c r="AI1723" s="124"/>
      <c r="AJ1723" s="122" t="s">
        <v>4443</v>
      </c>
      <c r="AK1723" s="129" t="str">
        <f t="shared" ca="1" si="198"/>
        <v>Late</v>
      </c>
      <c r="AL1723" s="268" t="str">
        <f t="shared" si="199"/>
        <v>October</v>
      </c>
      <c r="AM1723" s="133">
        <f>YEAR(Table1[[#This Row],[ETA
As requested
dd.mm.yyyy]])</f>
        <v>2024</v>
      </c>
      <c r="AN1723" s="191"/>
    </row>
    <row r="1724" spans="1:40" hidden="1">
      <c r="A1724" s="123" t="s">
        <v>25</v>
      </c>
      <c r="B1724" s="36" t="s">
        <v>1170</v>
      </c>
      <c r="C1724" s="117">
        <v>4510147360</v>
      </c>
      <c r="D1724" s="165">
        <v>45477</v>
      </c>
      <c r="E1724" s="117" t="s">
        <v>361</v>
      </c>
      <c r="F1724" s="36" t="str">
        <f>IFERROR(VLOOKUP(Table1[[#This Row],[Part Number]],DATABASE_FG!$C$6:D11713,2,FALSE)," ")</f>
        <v>GEHAEUSE Z2S 22 -.-50/</v>
      </c>
      <c r="G1724" s="117" t="str">
        <f>IFERROR(_xlfn.XLOOKUP(Table1[[#This Row],[Part Number]],Table3[Part number],Table3[Drawing
 Revision]),"")</f>
        <v xml:space="preserve">d </v>
      </c>
      <c r="H1724" s="118" cm="1">
        <f t="array" ref="H1724">IFERROR(INDEX(PDB!$C:$AT,MATCH(E1724,PDB!$B:$B,0),MATCH(YEAR(K1724),0+PDB!$C$1:$AT$1,0)),"")</f>
        <v>88.03</v>
      </c>
      <c r="I1724" s="36">
        <v>47</v>
      </c>
      <c r="J1724" s="125">
        <f>IFERROR(Table1[[#This Row],[Quantity]]*Table1[[#This Row],[Price/Unit
EUR]]," ")</f>
        <v>4137.41</v>
      </c>
      <c r="K1724" s="126">
        <v>45586</v>
      </c>
      <c r="L1724" s="36">
        <f>WEEKNUM(Table1[[#This Row],[ETA
As requested
dd.mm.yyyy]])</f>
        <v>43</v>
      </c>
      <c r="M1724" s="36">
        <f>YEAR(Table1[[#This Row],[ETA
As requested
dd.mm.yyyy]])</f>
        <v>2024</v>
      </c>
      <c r="N1724" s="36">
        <f>IFERROR(INDEX(DATABASE_FG!$H$5:$H$367, MATCH(E1724, DATABASE_FG!$C$5:$C$367, 0)), " ")</f>
        <v>6</v>
      </c>
      <c r="O1724" s="129" t="str">
        <f>IF(E1724&lt;&gt;"", _xlfn.XLOOKUP(E1724, DATABASE_FG!C:C, DATABASE_FG!F:F), " ")</f>
        <v>Z2S 22</v>
      </c>
      <c r="P1724" s="129">
        <f>IFERROR(INDEX(DATABASE_FG!$G$5:$G$367, MATCH(E1724, DATABASE_FG!$C$5:$C$367, 0)), "Not Found")</f>
        <v>24</v>
      </c>
      <c r="Q1724" s="36">
        <v>42</v>
      </c>
      <c r="R1724" s="125" t="s">
        <v>678</v>
      </c>
      <c r="S1724" s="123">
        <f>Table1[[#This Row],[Quantity]]/48</f>
        <v>0.97916666666666663</v>
      </c>
      <c r="T1724" s="36"/>
      <c r="U1724" s="36"/>
      <c r="V1724" s="36"/>
      <c r="W1724" s="129"/>
      <c r="X1724" s="36"/>
      <c r="Y1724" s="36"/>
      <c r="Z1724" s="36"/>
      <c r="AA1724" s="125" t="s">
        <v>121</v>
      </c>
      <c r="AB1724" s="173">
        <v>45959</v>
      </c>
      <c r="AC1724" s="119">
        <v>251217</v>
      </c>
      <c r="AD1724" s="36">
        <f>IF(NOT(ISBLANK(AC1724)), C1724, "")</f>
        <v>4510147360</v>
      </c>
      <c r="AE1724" s="36" t="str">
        <f>IF(NOT(ISBLANK(AC1724)), E1724, "")</f>
        <v>R900865757 - R900147181 V</v>
      </c>
      <c r="AF1724" s="36">
        <v>47</v>
      </c>
      <c r="AG1724" s="120">
        <f>AF1724*H1724</f>
        <v>4137.41</v>
      </c>
      <c r="AH1724" s="36"/>
      <c r="AI1724" s="124"/>
      <c r="AJ1724" s="122" t="s">
        <v>4467</v>
      </c>
      <c r="AK1724" s="129" t="str">
        <f ca="1">IF(AB1724="", IF(K1724 &lt; TODAY(), "Late", ""), IF(AB1724 &lt;= K1724 + 2, "On Time", "Late"))</f>
        <v>Late</v>
      </c>
      <c r="AL1724" s="268" t="str">
        <f>TEXT(K1724,"mmmm")</f>
        <v>October</v>
      </c>
      <c r="AM1724" s="133">
        <f>YEAR(Table1[[#This Row],[ETA
As requested
dd.mm.yyyy]])</f>
        <v>2024</v>
      </c>
      <c r="AN1724" s="191"/>
    </row>
    <row r="1725" spans="1:40" hidden="1">
      <c r="A1725" s="123" t="s">
        <v>25</v>
      </c>
      <c r="B1725" s="36" t="s">
        <v>1170</v>
      </c>
      <c r="C1725" s="117">
        <v>4510147360</v>
      </c>
      <c r="D1725" s="165">
        <v>45477</v>
      </c>
      <c r="E1725" s="117" t="s">
        <v>361</v>
      </c>
      <c r="F1725" s="36" t="str">
        <f>IFERROR(VLOOKUP(Table1[[#This Row],[Part Number]],DATABASE_FG!$C$6:D11714,2,FALSE)," ")</f>
        <v>GEHAEUSE Z2S 22 -.-50/</v>
      </c>
      <c r="G1725" s="117" t="str">
        <f>IFERROR(_xlfn.XLOOKUP(Table1[[#This Row],[Part Number]],Table3[Part number],Table3[Drawing
 Revision]),"")</f>
        <v xml:space="preserve">d </v>
      </c>
      <c r="H1725" s="118" cm="1">
        <f t="array" ref="H1725">IFERROR(INDEX(PDB!$C:$AT,MATCH(E1725,PDB!$B:$B,0),MATCH(YEAR(K1725),0+PDB!$C$1:$AT$1,0)),"")</f>
        <v>88.03</v>
      </c>
      <c r="I1725" s="36">
        <f>210-145-16-47</f>
        <v>2</v>
      </c>
      <c r="J1725" s="125">
        <f>IFERROR(Table1[[#This Row],[Quantity]]*Table1[[#This Row],[Price/Unit
EUR]]," ")</f>
        <v>176.06</v>
      </c>
      <c r="K1725" s="126">
        <v>45586</v>
      </c>
      <c r="L1725" s="36">
        <f>WEEKNUM(Table1[[#This Row],[ETA
As requested
dd.mm.yyyy]])</f>
        <v>43</v>
      </c>
      <c r="M1725" s="36">
        <f>YEAR(Table1[[#This Row],[ETA
As requested
dd.mm.yyyy]])</f>
        <v>2024</v>
      </c>
      <c r="N1725" s="36">
        <f>IFERROR(INDEX(DATABASE_FG!$H$5:$H$367, MATCH(E1725, DATABASE_FG!$C$5:$C$367, 0)), " ")</f>
        <v>6</v>
      </c>
      <c r="O1725" s="129" t="str">
        <f>IF(E1725&lt;&gt;"", _xlfn.XLOOKUP(E1725, DATABASE_FG!C:C, DATABASE_FG!F:F), " ")</f>
        <v>Z2S 22</v>
      </c>
      <c r="P1725" s="129">
        <f>IFERROR(INDEX(DATABASE_FG!$G$5:$G$367, MATCH(E1725, DATABASE_FG!$C$5:$C$367, 0)), "Not Found")</f>
        <v>24</v>
      </c>
      <c r="Q1725" s="36">
        <v>42</v>
      </c>
      <c r="R1725" s="125" t="s">
        <v>678</v>
      </c>
      <c r="S1725" s="123">
        <f>IFERROR(INDEX(DATABASE_FG!$L$5:$L$367, MATCH(E1725, DATABASE_FG!$C$5:$C$367, 0)), " ")</f>
        <v>42</v>
      </c>
      <c r="T1725" s="36" t="s">
        <v>679</v>
      </c>
      <c r="U1725" s="36"/>
      <c r="V1725" s="36"/>
      <c r="W1725" s="129"/>
      <c r="X1725" s="36"/>
      <c r="Y1725" s="36"/>
      <c r="Z1725" s="36"/>
      <c r="AA1725" s="125" t="s">
        <v>3</v>
      </c>
      <c r="AB1725" s="173"/>
      <c r="AC1725" s="119"/>
      <c r="AD1725" s="36"/>
      <c r="AE1725" s="36"/>
      <c r="AF1725" s="36"/>
      <c r="AG1725" s="120">
        <f t="shared" si="194"/>
        <v>0</v>
      </c>
      <c r="AH1725" s="36"/>
      <c r="AI1725" s="124"/>
      <c r="AJ1725" s="122"/>
      <c r="AK1725" s="129" t="str">
        <f t="shared" ca="1" si="193"/>
        <v>Late</v>
      </c>
      <c r="AL1725" s="268" t="str">
        <f t="shared" si="192"/>
        <v>October</v>
      </c>
      <c r="AM1725" s="133">
        <f>YEAR(Table1[[#This Row],[ETA
As requested
dd.mm.yyyy]])</f>
        <v>2024</v>
      </c>
    </row>
    <row r="1726" spans="1:40" hidden="1">
      <c r="A1726" s="123" t="s">
        <v>25</v>
      </c>
      <c r="B1726" s="36" t="s">
        <v>1170</v>
      </c>
      <c r="C1726" s="117">
        <v>4509987292</v>
      </c>
      <c r="D1726" s="165">
        <v>45377</v>
      </c>
      <c r="E1726" s="117" t="s">
        <v>1047</v>
      </c>
      <c r="F1726" s="36" t="str">
        <f>IFERROR(VLOOKUP(Table1[[#This Row],[Part Number]],DATABASE_FG!$C$6:D11715,2,FALSE)," ")</f>
        <v xml:space="preserve">GEHAEUSE Z2S 16 .-5X/ </v>
      </c>
      <c r="G1726" s="117" t="str">
        <f>IFERROR(_xlfn.XLOOKUP(Table1[[#This Row],[Part Number]],Table3[Part number],Table3[Drawing
 Revision]),"")</f>
        <v>AG</v>
      </c>
      <c r="H1726" s="118" cm="1">
        <f t="array" ref="H1726">IFERROR(INDEX(PDB!$C:$AT,MATCH(E1726,PDB!$B:$B,0),MATCH(YEAR(K1726),0+PDB!$C$1:$AT$1,0)),"")</f>
        <v>74.55</v>
      </c>
      <c r="I1726" s="36">
        <v>107</v>
      </c>
      <c r="J1726" s="125">
        <f>IFERROR(Table1[[#This Row],[Quantity]]*Table1[[#This Row],[Price/Unit
EUR]]," ")</f>
        <v>7976.8499999999995</v>
      </c>
      <c r="K1726" s="126">
        <v>45385</v>
      </c>
      <c r="L1726" s="36">
        <f>WEEKNUM(Table1[[#This Row],[ETA
As requested
dd.mm.yyyy]])</f>
        <v>14</v>
      </c>
      <c r="M1726" s="36">
        <f>YEAR(Table1[[#This Row],[ETA
As requested
dd.mm.yyyy]])</f>
        <v>2024</v>
      </c>
      <c r="N1726" s="36">
        <f>IFERROR(INDEX(DATABASE_FG!$H$5:$H$367, MATCH(E1726, DATABASE_FG!$C$5:$C$367, 0)), " ")</f>
        <v>7</v>
      </c>
      <c r="O1726" s="129" t="str">
        <f>IF(E1726&lt;&gt;"", _xlfn.XLOOKUP(E1726, DATABASE_FG!C:C, DATABASE_FG!F:F), " ")</f>
        <v>Z2S 16</v>
      </c>
      <c r="P1726" s="129">
        <f>IFERROR(INDEX(DATABASE_FG!$G$5:$G$367, MATCH(E1726, DATABASE_FG!$C$5:$C$367, 0)), "Not Found")</f>
        <v>35</v>
      </c>
      <c r="Q1726" s="36">
        <v>42</v>
      </c>
      <c r="R1726" s="125" t="s">
        <v>678</v>
      </c>
      <c r="S1726" s="123">
        <f>IFERROR(INDEX(DATABASE_FG!$L$5:$L$367, MATCH(E1726, DATABASE_FG!$C$5:$C$367, 0)), " ")</f>
        <v>42</v>
      </c>
      <c r="T1726" s="36" t="s">
        <v>679</v>
      </c>
      <c r="U1726" s="36"/>
      <c r="V1726" s="36"/>
      <c r="W1726" s="129"/>
      <c r="X1726" s="36"/>
      <c r="Y1726" s="36"/>
      <c r="Z1726" s="36" t="s">
        <v>1272</v>
      </c>
      <c r="AA1726" s="125" t="s">
        <v>121</v>
      </c>
      <c r="AB1726" s="173">
        <v>45380</v>
      </c>
      <c r="AC1726" s="119">
        <v>2024288</v>
      </c>
      <c r="AD1726" s="36">
        <f t="shared" si="190"/>
        <v>4509987292</v>
      </c>
      <c r="AE1726" s="36" t="str">
        <f t="shared" si="191"/>
        <v>R900865758 - R900145251 V</v>
      </c>
      <c r="AF1726" s="36">
        <v>107</v>
      </c>
      <c r="AG1726" s="120">
        <f t="shared" si="194"/>
        <v>7976.8499999999995</v>
      </c>
      <c r="AH1726" s="36"/>
      <c r="AI1726" s="124"/>
      <c r="AJ1726" s="122" t="s">
        <v>1273</v>
      </c>
      <c r="AK1726" s="129" t="str">
        <f t="shared" ca="1" si="193"/>
        <v>On Time</v>
      </c>
      <c r="AL1726" s="268" t="str">
        <f t="shared" si="192"/>
        <v>April</v>
      </c>
      <c r="AM1726" s="133">
        <f>YEAR(Table1[[#This Row],[ETA
As requested
dd.mm.yyyy]])</f>
        <v>2024</v>
      </c>
    </row>
    <row r="1727" spans="1:40" hidden="1">
      <c r="A1727" s="123" t="s">
        <v>25</v>
      </c>
      <c r="B1727" s="36" t="s">
        <v>1170</v>
      </c>
      <c r="C1727" s="117">
        <v>4510005971</v>
      </c>
      <c r="D1727" s="165">
        <v>45390</v>
      </c>
      <c r="E1727" s="117" t="s">
        <v>1047</v>
      </c>
      <c r="F1727" s="36" t="str">
        <f>IFERROR(VLOOKUP(Table1[[#This Row],[Part Number]],DATABASE_FG!$C$6:D11716,2,FALSE)," ")</f>
        <v xml:space="preserve">GEHAEUSE Z2S 16 .-5X/ </v>
      </c>
      <c r="G1727" s="117" t="str">
        <f>IFERROR(_xlfn.XLOOKUP(Table1[[#This Row],[Part Number]],Table3[Part number],Table3[Drawing
 Revision]),"")</f>
        <v>AG</v>
      </c>
      <c r="H1727" s="118" cm="1">
        <f t="array" ref="H1727">IFERROR(INDEX(PDB!$C:$AT,MATCH(E1727,PDB!$B:$B,0),MATCH(YEAR(K1727),0+PDB!$C$1:$AT$1,0)),"")</f>
        <v>74.55</v>
      </c>
      <c r="I1727" s="36">
        <v>140</v>
      </c>
      <c r="J1727" s="125">
        <f>IFERROR(Table1[[#This Row],[Quantity]]*Table1[[#This Row],[Price/Unit
EUR]]," ")</f>
        <v>10437</v>
      </c>
      <c r="K1727" s="126">
        <v>45394</v>
      </c>
      <c r="L1727" s="36">
        <f>WEEKNUM(Table1[[#This Row],[ETA
As requested
dd.mm.yyyy]])</f>
        <v>15</v>
      </c>
      <c r="M1727" s="36">
        <f>YEAR(Table1[[#This Row],[ETA
As requested
dd.mm.yyyy]])</f>
        <v>2024</v>
      </c>
      <c r="N1727" s="36">
        <f>IFERROR(INDEX(DATABASE_FG!$H$5:$H$367, MATCH(E1727, DATABASE_FG!$C$5:$C$367, 0)), " ")</f>
        <v>7</v>
      </c>
      <c r="O1727" s="129" t="str">
        <f>IF(E1727&lt;&gt;"", _xlfn.XLOOKUP(E1727, DATABASE_FG!C:C, DATABASE_FG!F:F), " ")</f>
        <v>Z2S 16</v>
      </c>
      <c r="P1727" s="129">
        <f>IFERROR(INDEX(DATABASE_FG!$G$5:$G$367, MATCH(E1727, DATABASE_FG!$C$5:$C$367, 0)), "Not Found")</f>
        <v>35</v>
      </c>
      <c r="Q1727" s="36">
        <v>42</v>
      </c>
      <c r="R1727" s="125" t="s">
        <v>678</v>
      </c>
      <c r="S1727" s="123">
        <f>IFERROR(INDEX(DATABASE_FG!$L$5:$L$367, MATCH(E1727, DATABASE_FG!$C$5:$C$367, 0)), " ")</f>
        <v>42</v>
      </c>
      <c r="T1727" s="36" t="s">
        <v>679</v>
      </c>
      <c r="U1727" s="36"/>
      <c r="V1727" s="36"/>
      <c r="W1727" s="129"/>
      <c r="X1727" s="36"/>
      <c r="Y1727" s="36"/>
      <c r="Z1727" s="36">
        <v>241602</v>
      </c>
      <c r="AA1727" s="125" t="s">
        <v>121</v>
      </c>
      <c r="AB1727" s="173">
        <v>45407</v>
      </c>
      <c r="AC1727" s="119" t="s">
        <v>1319</v>
      </c>
      <c r="AD1727" s="36">
        <f t="shared" si="190"/>
        <v>4510005971</v>
      </c>
      <c r="AE1727" s="36" t="str">
        <f t="shared" si="191"/>
        <v>R900865758 - R900145251 V</v>
      </c>
      <c r="AF1727" s="36">
        <f>70 +70</f>
        <v>140</v>
      </c>
      <c r="AG1727" s="120">
        <f t="shared" si="194"/>
        <v>10437</v>
      </c>
      <c r="AH1727" s="36"/>
      <c r="AI1727" s="124"/>
      <c r="AJ1727" s="122" t="s">
        <v>1320</v>
      </c>
      <c r="AK1727" s="129" t="str">
        <f t="shared" ca="1" si="193"/>
        <v>Late</v>
      </c>
      <c r="AL1727" s="268" t="str">
        <f t="shared" si="192"/>
        <v>April</v>
      </c>
      <c r="AM1727" s="133">
        <f>YEAR(Table1[[#This Row],[ETA
As requested
dd.mm.yyyy]])</f>
        <v>2024</v>
      </c>
    </row>
    <row r="1728" spans="1:40" hidden="1">
      <c r="A1728" s="123" t="s">
        <v>25</v>
      </c>
      <c r="B1728" s="36" t="s">
        <v>1170</v>
      </c>
      <c r="C1728" s="117">
        <v>4510059753</v>
      </c>
      <c r="D1728" s="165">
        <v>45422</v>
      </c>
      <c r="E1728" s="117" t="s">
        <v>1047</v>
      </c>
      <c r="F1728" s="36" t="str">
        <f>IFERROR(VLOOKUP(Table1[[#This Row],[Part Number]],DATABASE_FG!$C$6:D11717,2,FALSE)," ")</f>
        <v xml:space="preserve">GEHAEUSE Z2S 16 .-5X/ </v>
      </c>
      <c r="G1728" s="117" t="str">
        <f>IFERROR(_xlfn.XLOOKUP(Table1[[#This Row],[Part Number]],Table3[Part number],Table3[Drawing
 Revision]),"")</f>
        <v>AG</v>
      </c>
      <c r="H1728" s="118" cm="1">
        <f t="array" ref="H1728">IFERROR(INDEX(PDB!$C:$AT,MATCH(E1728,PDB!$B:$B,0),MATCH(YEAR(K1728),0+PDB!$C$1:$AT$1,0)),"")</f>
        <v>74.55</v>
      </c>
      <c r="I1728" s="36">
        <v>23</v>
      </c>
      <c r="J1728" s="125">
        <f>IFERROR(Table1[[#This Row],[Quantity]]*Table1[[#This Row],[Price/Unit
EUR]]," ")</f>
        <v>1714.6499999999999</v>
      </c>
      <c r="K1728" s="126">
        <v>45421</v>
      </c>
      <c r="L1728" s="36">
        <f>WEEKNUM(Table1[[#This Row],[ETA
As requested
dd.mm.yyyy]])</f>
        <v>19</v>
      </c>
      <c r="M1728" s="36">
        <f>YEAR(Table1[[#This Row],[ETA
As requested
dd.mm.yyyy]])</f>
        <v>2024</v>
      </c>
      <c r="N1728" s="36">
        <f>IFERROR(INDEX(DATABASE_FG!$H$5:$H$367, MATCH(E1728, DATABASE_FG!$C$5:$C$367, 0)), " ")</f>
        <v>7</v>
      </c>
      <c r="O1728" s="129" t="str">
        <f>IF(E1728&lt;&gt;"", _xlfn.XLOOKUP(E1728, DATABASE_FG!C:C, DATABASE_FG!F:F), " ")</f>
        <v>Z2S 16</v>
      </c>
      <c r="P1728" s="129">
        <f>IFERROR(INDEX(DATABASE_FG!$G$5:$G$367, MATCH(E1728, DATABASE_FG!$C$5:$C$367, 0)), "Not Found")</f>
        <v>35</v>
      </c>
      <c r="Q1728" s="36">
        <v>42</v>
      </c>
      <c r="R1728" s="125" t="s">
        <v>678</v>
      </c>
      <c r="S1728" s="123">
        <f>IFERROR(INDEX(DATABASE_FG!$L$5:$L$367, MATCH(E1728, DATABASE_FG!$C$5:$C$367, 0)), " ")</f>
        <v>42</v>
      </c>
      <c r="T1728" s="36" t="s">
        <v>679</v>
      </c>
      <c r="U1728" s="36"/>
      <c r="V1728" s="36"/>
      <c r="W1728" s="129"/>
      <c r="X1728" s="36"/>
      <c r="Y1728" s="36"/>
      <c r="Z1728" s="36" t="s">
        <v>1483</v>
      </c>
      <c r="AA1728" s="125" t="s">
        <v>121</v>
      </c>
      <c r="AB1728" s="173">
        <v>45412</v>
      </c>
      <c r="AC1728" s="119">
        <v>2024424</v>
      </c>
      <c r="AD1728" s="36">
        <f t="shared" si="190"/>
        <v>4510059753</v>
      </c>
      <c r="AE1728" s="36" t="str">
        <f t="shared" si="191"/>
        <v>R900865758 - R900145251 V</v>
      </c>
      <c r="AF1728" s="36">
        <v>23</v>
      </c>
      <c r="AG1728" s="120">
        <f t="shared" si="194"/>
        <v>1714.6499999999999</v>
      </c>
      <c r="AH1728" s="36"/>
      <c r="AI1728" s="124" t="s">
        <v>1484</v>
      </c>
      <c r="AJ1728" s="122" t="s">
        <v>1485</v>
      </c>
      <c r="AK1728" s="129" t="str">
        <f t="shared" ca="1" si="193"/>
        <v>On Time</v>
      </c>
      <c r="AL1728" s="268" t="str">
        <f t="shared" si="192"/>
        <v>May</v>
      </c>
      <c r="AM1728" s="133">
        <f>YEAR(Table1[[#This Row],[ETA
As requested
dd.mm.yyyy]])</f>
        <v>2024</v>
      </c>
    </row>
    <row r="1729" spans="1:40" hidden="1">
      <c r="A1729" s="123" t="s">
        <v>25</v>
      </c>
      <c r="B1729" s="36" t="s">
        <v>1170</v>
      </c>
      <c r="C1729" s="117">
        <v>4510151031</v>
      </c>
      <c r="D1729" s="165">
        <v>45477</v>
      </c>
      <c r="E1729" s="117" t="s">
        <v>1047</v>
      </c>
      <c r="F1729" s="36" t="str">
        <f>IFERROR(VLOOKUP(Table1[[#This Row],[Part Number]],DATABASE_FG!$C$6:D11718,2,FALSE)," ")</f>
        <v xml:space="preserve">GEHAEUSE Z2S 16 .-5X/ </v>
      </c>
      <c r="G1729" s="117" t="str">
        <f>IFERROR(_xlfn.XLOOKUP(Table1[[#This Row],[Part Number]],Table3[Part number],Table3[Drawing
 Revision]),"")</f>
        <v>AG</v>
      </c>
      <c r="H1729" s="118" cm="1">
        <f t="array" ref="H1729">IFERROR(INDEX(PDB!$C:$AT,MATCH(E1729,PDB!$B:$B,0),MATCH(YEAR(K1729),0+PDB!$C$1:$AT$1,0)),"")</f>
        <v>74.55</v>
      </c>
      <c r="I1729" s="36">
        <v>39</v>
      </c>
      <c r="J1729" s="125">
        <f>IFERROR(Table1[[#This Row],[Quantity]]*Table1[[#This Row],[Price/Unit
EUR]]," ")</f>
        <v>2907.45</v>
      </c>
      <c r="K1729" s="126">
        <v>45481</v>
      </c>
      <c r="L1729" s="36">
        <f>WEEKNUM(Table1[[#This Row],[ETA
As requested
dd.mm.yyyy]])</f>
        <v>28</v>
      </c>
      <c r="M1729" s="36">
        <f>YEAR(Table1[[#This Row],[ETA
As requested
dd.mm.yyyy]])</f>
        <v>2024</v>
      </c>
      <c r="N1729" s="36">
        <f>IFERROR(INDEX(DATABASE_FG!$H$5:$H$367, MATCH(E1729, DATABASE_FG!$C$5:$C$367, 0)), " ")</f>
        <v>7</v>
      </c>
      <c r="O1729" s="129" t="str">
        <f>IF(E1729&lt;&gt;"", _xlfn.XLOOKUP(E1729, DATABASE_FG!C:C, DATABASE_FG!F:F), " ")</f>
        <v>Z2S 16</v>
      </c>
      <c r="P1729" s="129">
        <f>IFERROR(INDEX(DATABASE_FG!$G$5:$G$367, MATCH(E1729, DATABASE_FG!$C$5:$C$367, 0)), "Not Found")</f>
        <v>35</v>
      </c>
      <c r="Q1729" s="36">
        <v>42</v>
      </c>
      <c r="R1729" s="125" t="s">
        <v>678</v>
      </c>
      <c r="S1729" s="123">
        <f>IFERROR(INDEX(DATABASE_FG!$L$5:$L$367, MATCH(E1729, DATABASE_FG!$C$5:$C$367, 0)), " ")</f>
        <v>42</v>
      </c>
      <c r="T1729" s="36" t="s">
        <v>679</v>
      </c>
      <c r="U1729" s="36"/>
      <c r="V1729" s="36"/>
      <c r="W1729" s="129"/>
      <c r="X1729" s="36"/>
      <c r="Y1729" s="36"/>
      <c r="Z1729" s="36"/>
      <c r="AA1729" s="125" t="s">
        <v>121</v>
      </c>
      <c r="AB1729" s="173">
        <v>45478</v>
      </c>
      <c r="AC1729" s="119">
        <v>2024800</v>
      </c>
      <c r="AD1729" s="36">
        <f t="shared" si="190"/>
        <v>4510151031</v>
      </c>
      <c r="AE1729" s="36" t="str">
        <f t="shared" si="191"/>
        <v>R900865758 - R900145251 V</v>
      </c>
      <c r="AF1729" s="36">
        <v>39</v>
      </c>
      <c r="AG1729" s="120">
        <f t="shared" si="194"/>
        <v>2907.45</v>
      </c>
      <c r="AH1729" s="36"/>
      <c r="AI1729" s="124" t="s">
        <v>1793</v>
      </c>
      <c r="AJ1729" s="122" t="s">
        <v>1794</v>
      </c>
      <c r="AK1729" s="129" t="str">
        <f t="shared" ca="1" si="193"/>
        <v>On Time</v>
      </c>
      <c r="AL1729" s="268" t="str">
        <f t="shared" si="192"/>
        <v>July</v>
      </c>
      <c r="AM1729" s="133">
        <f>YEAR(Table1[[#This Row],[ETA
As requested
dd.mm.yyyy]])</f>
        <v>2024</v>
      </c>
    </row>
    <row r="1730" spans="1:40" hidden="1">
      <c r="A1730" s="123" t="s">
        <v>25</v>
      </c>
      <c r="B1730" s="36" t="s">
        <v>1170</v>
      </c>
      <c r="C1730" s="117">
        <v>4510201488</v>
      </c>
      <c r="D1730" s="165">
        <v>45506</v>
      </c>
      <c r="E1730" s="117" t="s">
        <v>1047</v>
      </c>
      <c r="F1730" s="36" t="str">
        <f>IFERROR(VLOOKUP(Table1[[#This Row],[Part Number]],DATABASE_FG!$C$6:D11719,2,FALSE)," ")</f>
        <v xml:space="preserve">GEHAEUSE Z2S 16 .-5X/ </v>
      </c>
      <c r="G1730" s="117" t="str">
        <f>IFERROR(_xlfn.XLOOKUP(Table1[[#This Row],[Part Number]],Table3[Part number],Table3[Drawing
 Revision]),"")</f>
        <v>AG</v>
      </c>
      <c r="H1730" s="118" cm="1">
        <f t="array" ref="H1730">IFERROR(INDEX(PDB!$C:$AT,MATCH(E1730,PDB!$B:$B,0),MATCH(YEAR(K1730),0+PDB!$C$1:$AT$1,0)),"")</f>
        <v>74.55</v>
      </c>
      <c r="I1730" s="36">
        <v>210</v>
      </c>
      <c r="J1730" s="125">
        <f>IFERROR(Table1[[#This Row],[Quantity]]*Table1[[#This Row],[Price/Unit
EUR]]," ")</f>
        <v>15655.5</v>
      </c>
      <c r="K1730" s="126">
        <v>45513</v>
      </c>
      <c r="L1730" s="36">
        <f>WEEKNUM(Table1[[#This Row],[ETA
As requested
dd.mm.yyyy]])</f>
        <v>32</v>
      </c>
      <c r="M1730" s="36">
        <f>YEAR(Table1[[#This Row],[ETA
As requested
dd.mm.yyyy]])</f>
        <v>2024</v>
      </c>
      <c r="N1730" s="36">
        <f>IFERROR(INDEX(DATABASE_FG!$H$5:$H$367, MATCH(E1730, DATABASE_FG!$C$5:$C$367, 0)), " ")</f>
        <v>7</v>
      </c>
      <c r="O1730" s="129" t="str">
        <f>IF(E1730&lt;&gt;"", _xlfn.XLOOKUP(E1730, DATABASE_FG!C:C, DATABASE_FG!F:F), " ")</f>
        <v>Z2S 16</v>
      </c>
      <c r="P1730" s="129">
        <f>IFERROR(INDEX(DATABASE_FG!$G$5:$G$367, MATCH(E1730, DATABASE_FG!$C$5:$C$367, 0)), "Not Found")</f>
        <v>35</v>
      </c>
      <c r="Q1730" s="36"/>
      <c r="R1730" s="125" t="s">
        <v>678</v>
      </c>
      <c r="S1730" s="123">
        <f>IFERROR(INDEX(DATABASE_FG!$L$5:$L$367, MATCH(E1730, DATABASE_FG!$C$5:$C$367, 0)), " ")</f>
        <v>42</v>
      </c>
      <c r="T1730" s="36" t="s">
        <v>679</v>
      </c>
      <c r="U1730" s="36"/>
      <c r="V1730" s="36"/>
      <c r="W1730" s="129"/>
      <c r="X1730" s="36"/>
      <c r="Y1730" s="36"/>
      <c r="Z1730" s="36"/>
      <c r="AA1730" s="125" t="s">
        <v>121</v>
      </c>
      <c r="AB1730" s="173">
        <v>45517</v>
      </c>
      <c r="AC1730" s="119">
        <v>202401017</v>
      </c>
      <c r="AD1730" s="36">
        <f t="shared" si="190"/>
        <v>4510201488</v>
      </c>
      <c r="AE1730" s="36" t="str">
        <f t="shared" si="191"/>
        <v>R900865758 - R900145251 V</v>
      </c>
      <c r="AF1730" s="36">
        <v>210</v>
      </c>
      <c r="AG1730" s="120">
        <f t="shared" si="194"/>
        <v>15655.5</v>
      </c>
      <c r="AH1730" s="36"/>
      <c r="AI1730" s="124"/>
      <c r="AJ1730" s="122" t="s">
        <v>1927</v>
      </c>
      <c r="AK1730" s="129" t="str">
        <f t="shared" ca="1" si="193"/>
        <v>Late</v>
      </c>
      <c r="AL1730" s="268" t="str">
        <f t="shared" si="192"/>
        <v>August</v>
      </c>
      <c r="AM1730" s="133">
        <f>YEAR(Table1[[#This Row],[ETA
As requested
dd.mm.yyyy]])</f>
        <v>2024</v>
      </c>
    </row>
    <row r="1731" spans="1:40" hidden="1">
      <c r="A1731" s="123" t="s">
        <v>25</v>
      </c>
      <c r="B1731" s="36" t="s">
        <v>1170</v>
      </c>
      <c r="C1731" s="117">
        <v>4510200818</v>
      </c>
      <c r="D1731" s="165">
        <v>45506</v>
      </c>
      <c r="E1731" s="117" t="s">
        <v>1047</v>
      </c>
      <c r="F1731" s="36" t="str">
        <f>IFERROR(VLOOKUP(Table1[[#This Row],[Part Number]],DATABASE_FG!$C$6:D11720,2,FALSE)," ")</f>
        <v xml:space="preserve">GEHAEUSE Z2S 16 .-5X/ </v>
      </c>
      <c r="G1731" s="117" t="str">
        <f>IFERROR(_xlfn.XLOOKUP(Table1[[#This Row],[Part Number]],Table3[Part number],Table3[Drawing
 Revision]),"")</f>
        <v>AG</v>
      </c>
      <c r="H1731" s="118" cm="1">
        <f t="array" ref="H1731">IFERROR(INDEX(PDB!$C:$AT,MATCH(E1731,PDB!$B:$B,0),MATCH(YEAR(K1731),0+PDB!$C$1:$AT$1,0)),"")</f>
        <v>74.55</v>
      </c>
      <c r="I1731" s="36">
        <v>223</v>
      </c>
      <c r="J1731" s="125">
        <f>IFERROR(Table1[[#This Row],[Quantity]]*Table1[[#This Row],[Price/Unit
EUR]]," ")</f>
        <v>16624.649999999998</v>
      </c>
      <c r="K1731" s="126">
        <v>45513</v>
      </c>
      <c r="L1731" s="36">
        <f>WEEKNUM(Table1[[#This Row],[ETA
As requested
dd.mm.yyyy]])</f>
        <v>32</v>
      </c>
      <c r="M1731" s="36">
        <f>YEAR(Table1[[#This Row],[ETA
As requested
dd.mm.yyyy]])</f>
        <v>2024</v>
      </c>
      <c r="N1731" s="36">
        <f>IFERROR(INDEX(DATABASE_FG!$H$5:$H$367, MATCH(E1731, DATABASE_FG!$C$5:$C$367, 0)), " ")</f>
        <v>7</v>
      </c>
      <c r="O1731" s="129" t="str">
        <f>IF(E1731&lt;&gt;"", _xlfn.XLOOKUP(E1731, DATABASE_FG!C:C, DATABASE_FG!F:F), " ")</f>
        <v>Z2S 16</v>
      </c>
      <c r="P1731" s="129">
        <f>IFERROR(INDEX(DATABASE_FG!$G$5:$G$367, MATCH(E1731, DATABASE_FG!$C$5:$C$367, 0)), "Not Found")</f>
        <v>35</v>
      </c>
      <c r="Q1731" s="36"/>
      <c r="R1731" s="125" t="s">
        <v>678</v>
      </c>
      <c r="S1731" s="123">
        <f>IFERROR(INDEX(DATABASE_FG!$L$5:$L$367, MATCH(E1731, DATABASE_FG!$C$5:$C$367, 0)), " ")</f>
        <v>42</v>
      </c>
      <c r="T1731" s="36" t="s">
        <v>679</v>
      </c>
      <c r="U1731" s="36"/>
      <c r="V1731" s="36"/>
      <c r="W1731" s="129"/>
      <c r="X1731" s="36"/>
      <c r="Y1731" s="36"/>
      <c r="Z1731" s="36"/>
      <c r="AA1731" s="125" t="s">
        <v>121</v>
      </c>
      <c r="AB1731" s="173">
        <v>45519</v>
      </c>
      <c r="AC1731" s="119">
        <v>202401024</v>
      </c>
      <c r="AD1731" s="36">
        <f t="shared" si="190"/>
        <v>4510200818</v>
      </c>
      <c r="AE1731" s="36" t="str">
        <f t="shared" si="191"/>
        <v>R900865758 - R900145251 V</v>
      </c>
      <c r="AF1731" s="36">
        <v>222</v>
      </c>
      <c r="AG1731" s="120">
        <f t="shared" si="194"/>
        <v>16550.099999999999</v>
      </c>
      <c r="AH1731" s="36"/>
      <c r="AI1731" s="124"/>
      <c r="AJ1731" s="122" t="s">
        <v>1928</v>
      </c>
      <c r="AK1731" s="129" t="str">
        <f t="shared" ca="1" si="193"/>
        <v>Late</v>
      </c>
      <c r="AL1731" s="268" t="str">
        <f t="shared" si="192"/>
        <v>August</v>
      </c>
      <c r="AM1731" s="133">
        <f>YEAR(Table1[[#This Row],[ETA
As requested
dd.mm.yyyy]])</f>
        <v>2024</v>
      </c>
    </row>
    <row r="1732" spans="1:40" hidden="1">
      <c r="A1732" s="123" t="s">
        <v>25</v>
      </c>
      <c r="B1732" s="36" t="s">
        <v>1170</v>
      </c>
      <c r="C1732" s="117">
        <v>4510215149</v>
      </c>
      <c r="D1732" s="165">
        <v>45516</v>
      </c>
      <c r="E1732" s="117" t="s">
        <v>1047</v>
      </c>
      <c r="F1732" s="36" t="str">
        <f>IFERROR(VLOOKUP(Table1[[#This Row],[Part Number]],DATABASE_FG!$C$6:D11721,2,FALSE)," ")</f>
        <v xml:space="preserve">GEHAEUSE Z2S 16 .-5X/ </v>
      </c>
      <c r="G1732" s="117" t="str">
        <f>IFERROR(_xlfn.XLOOKUP(Table1[[#This Row],[Part Number]],Table3[Part number],Table3[Drawing
 Revision]),"")</f>
        <v>AG</v>
      </c>
      <c r="H1732" s="118" cm="1">
        <f t="array" ref="H1732">IFERROR(INDEX(PDB!$C:$AT,MATCH(E1732,PDB!$B:$B,0),MATCH(YEAR(K1732),0+PDB!$C$1:$AT$1,0)),"")</f>
        <v>74.55</v>
      </c>
      <c r="I1732" s="36">
        <v>140</v>
      </c>
      <c r="J1732" s="125">
        <f>IFERROR(Table1[[#This Row],[Quantity]]*Table1[[#This Row],[Price/Unit
EUR]]," ")</f>
        <v>10437</v>
      </c>
      <c r="K1732" s="126">
        <v>45527</v>
      </c>
      <c r="L1732" s="36">
        <f>WEEKNUM(Table1[[#This Row],[ETA
As requested
dd.mm.yyyy]])</f>
        <v>34</v>
      </c>
      <c r="M1732" s="36">
        <f>YEAR(Table1[[#This Row],[ETA
As requested
dd.mm.yyyy]])</f>
        <v>2024</v>
      </c>
      <c r="N1732" s="36">
        <f>IFERROR(INDEX(DATABASE_FG!$H$5:$H$367, MATCH(E1732, DATABASE_FG!$C$5:$C$367, 0)), " ")</f>
        <v>7</v>
      </c>
      <c r="O1732" s="129" t="str">
        <f>IF(E1732&lt;&gt;"", _xlfn.XLOOKUP(E1732, DATABASE_FG!C:C, DATABASE_FG!F:F), " ")</f>
        <v>Z2S 16</v>
      </c>
      <c r="P1732" s="129">
        <f>IFERROR(INDEX(DATABASE_FG!$G$5:$G$367, MATCH(E1732, DATABASE_FG!$C$5:$C$367, 0)), "Not Found")</f>
        <v>35</v>
      </c>
      <c r="Q1732" s="36"/>
      <c r="R1732" s="125" t="s">
        <v>678</v>
      </c>
      <c r="S1732" s="123">
        <f>IFERROR(INDEX(DATABASE_FG!$L$5:$L$367, MATCH(E1732, DATABASE_FG!$C$5:$C$367, 0)), " ")</f>
        <v>42</v>
      </c>
      <c r="T1732" s="36" t="s">
        <v>679</v>
      </c>
      <c r="U1732" s="36"/>
      <c r="V1732" s="36"/>
      <c r="W1732" s="129"/>
      <c r="X1732" s="36">
        <v>45517</v>
      </c>
      <c r="Y1732" s="36"/>
      <c r="Z1732" s="36">
        <v>243307</v>
      </c>
      <c r="AA1732" s="125" t="s">
        <v>121</v>
      </c>
      <c r="AB1732" s="173">
        <v>45519</v>
      </c>
      <c r="AC1732" s="119">
        <v>202401025</v>
      </c>
      <c r="AD1732" s="36">
        <f t="shared" ref="AD1732:AD1795" si="200">IF(NOT(ISBLANK(AC1732)), C1732, "")</f>
        <v>4510215149</v>
      </c>
      <c r="AE1732" s="36" t="str">
        <f t="shared" si="191"/>
        <v>R900865758 - R900145251 V</v>
      </c>
      <c r="AF1732" s="36">
        <v>70</v>
      </c>
      <c r="AG1732" s="120">
        <f t="shared" si="194"/>
        <v>5218.5</v>
      </c>
      <c r="AH1732" s="36"/>
      <c r="AI1732" s="124"/>
      <c r="AJ1732" s="122" t="s">
        <v>2114</v>
      </c>
      <c r="AK1732" s="129" t="str">
        <f t="shared" ca="1" si="193"/>
        <v>On Time</v>
      </c>
      <c r="AL1732" s="268" t="str">
        <f t="shared" si="192"/>
        <v>August</v>
      </c>
      <c r="AM1732" s="133">
        <f>YEAR(Table1[[#This Row],[ETA
As requested
dd.mm.yyyy]])</f>
        <v>2024</v>
      </c>
    </row>
    <row r="1733" spans="1:40" hidden="1">
      <c r="A1733" s="123" t="s">
        <v>25</v>
      </c>
      <c r="B1733" s="36" t="s">
        <v>1170</v>
      </c>
      <c r="C1733" s="117">
        <v>4510215149</v>
      </c>
      <c r="D1733" s="165">
        <v>45517</v>
      </c>
      <c r="E1733" s="117" t="s">
        <v>1047</v>
      </c>
      <c r="F1733" s="36" t="str">
        <f>IFERROR(VLOOKUP(Table1[[#This Row],[Part Number]],DATABASE_FG!$C$6:D11722,2,FALSE)," ")</f>
        <v xml:space="preserve">GEHAEUSE Z2S 16 .-5X/ </v>
      </c>
      <c r="G1733" s="117" t="str">
        <f>IFERROR(_xlfn.XLOOKUP(Table1[[#This Row],[Part Number]],Table3[Part number],Table3[Drawing
 Revision]),"")</f>
        <v>AG</v>
      </c>
      <c r="H1733" s="118" cm="1">
        <f t="array" ref="H1733">IFERROR(INDEX(PDB!$C:$AT,MATCH(E1733,PDB!$B:$B,0),MATCH(YEAR(K1733),0+PDB!$C$1:$AT$1,0)),"")</f>
        <v>74.55</v>
      </c>
      <c r="I1733" s="36">
        <v>0</v>
      </c>
      <c r="J1733" s="125">
        <f>IFERROR(Table1[[#This Row],[Quantity]]*Table1[[#This Row],[Price/Unit
EUR]]," ")</f>
        <v>0</v>
      </c>
      <c r="K1733" s="126">
        <v>45527</v>
      </c>
      <c r="L1733" s="36">
        <f>WEEKNUM(Table1[[#This Row],[ETA
As requested
dd.mm.yyyy]])</f>
        <v>34</v>
      </c>
      <c r="M1733" s="36">
        <f>YEAR(Table1[[#This Row],[ETA
As requested
dd.mm.yyyy]])</f>
        <v>2024</v>
      </c>
      <c r="N1733" s="36">
        <f>IFERROR(INDEX(DATABASE_FG!$H$5:$H$367, MATCH(E1733, DATABASE_FG!$C$5:$C$367, 0)), " ")</f>
        <v>7</v>
      </c>
      <c r="O1733" s="129" t="str">
        <f>IF(E1733&lt;&gt;"", _xlfn.XLOOKUP(E1733, DATABASE_FG!C:C, DATABASE_FG!F:F), " ")</f>
        <v>Z2S 16</v>
      </c>
      <c r="P1733" s="129">
        <f>IFERROR(INDEX(DATABASE_FG!$G$5:$G$367, MATCH(E1733, DATABASE_FG!$C$5:$C$367, 0)), "Not Found")</f>
        <v>35</v>
      </c>
      <c r="Q1733" s="36"/>
      <c r="R1733" s="125" t="s">
        <v>678</v>
      </c>
      <c r="S1733" s="123">
        <f>IFERROR(INDEX(DATABASE_FG!$L$5:$L$367, MATCH(E1733, DATABASE_FG!$C$5:$C$367, 0)), " ")</f>
        <v>42</v>
      </c>
      <c r="T1733" s="36" t="s">
        <v>679</v>
      </c>
      <c r="U1733" s="36"/>
      <c r="V1733" s="36"/>
      <c r="W1733" s="129"/>
      <c r="X1733" s="36"/>
      <c r="Y1733" s="36"/>
      <c r="Z1733" s="36">
        <v>243307</v>
      </c>
      <c r="AA1733" s="125" t="s">
        <v>121</v>
      </c>
      <c r="AB1733" s="173">
        <v>45523</v>
      </c>
      <c r="AC1733" s="119">
        <v>202401037</v>
      </c>
      <c r="AD1733" s="36">
        <f t="shared" si="200"/>
        <v>4510215149</v>
      </c>
      <c r="AE1733" s="36" t="str">
        <f t="shared" si="191"/>
        <v>R900865758 - R900145251 V</v>
      </c>
      <c r="AF1733" s="36">
        <v>70</v>
      </c>
      <c r="AG1733" s="120">
        <f t="shared" si="194"/>
        <v>5218.5</v>
      </c>
      <c r="AH1733" s="36"/>
      <c r="AI1733" s="124"/>
      <c r="AJ1733" s="122" t="s">
        <v>2116</v>
      </c>
      <c r="AK1733" s="129" t="str">
        <f t="shared" ca="1" si="193"/>
        <v>On Time</v>
      </c>
      <c r="AL1733" s="268" t="str">
        <f t="shared" si="192"/>
        <v>August</v>
      </c>
      <c r="AM1733" s="133">
        <f>YEAR(Table1[[#This Row],[ETA
As requested
dd.mm.yyyy]])</f>
        <v>2024</v>
      </c>
    </row>
    <row r="1734" spans="1:40" hidden="1">
      <c r="A1734" s="123" t="s">
        <v>25</v>
      </c>
      <c r="B1734" s="36" t="s">
        <v>1170</v>
      </c>
      <c r="C1734" s="117">
        <v>4510278986</v>
      </c>
      <c r="D1734" s="165">
        <v>45559</v>
      </c>
      <c r="E1734" s="117" t="s">
        <v>1047</v>
      </c>
      <c r="F1734" s="36" t="str">
        <f>IFERROR(VLOOKUP(Table1[[#This Row],[Part Number]],DATABASE_FG!$C$6:D11723,2,FALSE)," ")</f>
        <v xml:space="preserve">GEHAEUSE Z2S 16 .-5X/ </v>
      </c>
      <c r="G1734" s="117" t="str">
        <f>IFERROR(_xlfn.XLOOKUP(Table1[[#This Row],[Part Number]],Table3[Part number],Table3[Drawing
 Revision]),"")</f>
        <v>AG</v>
      </c>
      <c r="H1734" s="118" cm="1">
        <f t="array" ref="H1734">IFERROR(INDEX(PDB!$C:$AT,MATCH(E1734,PDB!$B:$B,0),MATCH(YEAR(K1734),0+PDB!$C$1:$AT$1,0)),"")</f>
        <v>74.55</v>
      </c>
      <c r="I1734" s="36">
        <v>17</v>
      </c>
      <c r="J1734" s="125">
        <f>IFERROR(Table1[[#This Row],[Quantity]]*Table1[[#This Row],[Price/Unit
EUR]]," ")</f>
        <v>1267.3499999999999</v>
      </c>
      <c r="K1734" s="126">
        <v>45551</v>
      </c>
      <c r="L1734" s="36">
        <f>WEEKNUM(Table1[[#This Row],[ETA
As requested
dd.mm.yyyy]])</f>
        <v>38</v>
      </c>
      <c r="M1734" s="36">
        <f>YEAR(Table1[[#This Row],[ETA
As requested
dd.mm.yyyy]])</f>
        <v>2024</v>
      </c>
      <c r="N1734" s="36">
        <f>IFERROR(INDEX(DATABASE_FG!$H$5:$H$367, MATCH(E1734, DATABASE_FG!$C$5:$C$367, 0)), " ")</f>
        <v>7</v>
      </c>
      <c r="O1734" s="129" t="str">
        <f>IF(E1734&lt;&gt;"", _xlfn.XLOOKUP(E1734, DATABASE_FG!C:C, DATABASE_FG!F:F), " ")</f>
        <v>Z2S 16</v>
      </c>
      <c r="P1734" s="129">
        <f>IFERROR(INDEX(DATABASE_FG!$G$5:$G$367, MATCH(E1734, DATABASE_FG!$C$5:$C$367, 0)), "Not Found")</f>
        <v>35</v>
      </c>
      <c r="Q1734" s="36"/>
      <c r="R1734" s="125" t="s">
        <v>678</v>
      </c>
      <c r="S1734" s="123">
        <f>IFERROR(INDEX(DATABASE_FG!$L$5:$L$367, MATCH(E1734, DATABASE_FG!$C$5:$C$367, 0)), " ")</f>
        <v>42</v>
      </c>
      <c r="T1734" s="36" t="s">
        <v>679</v>
      </c>
      <c r="U1734" s="36"/>
      <c r="V1734" s="36"/>
      <c r="W1734" s="129"/>
      <c r="X1734" s="36"/>
      <c r="Y1734" s="36"/>
      <c r="Z1734" s="36"/>
      <c r="AA1734" s="125" t="s">
        <v>121</v>
      </c>
      <c r="AB1734" s="173">
        <v>45548</v>
      </c>
      <c r="AC1734" s="119">
        <v>202401133</v>
      </c>
      <c r="AD1734" s="36">
        <f t="shared" si="200"/>
        <v>4510278986</v>
      </c>
      <c r="AE1734" s="36" t="str">
        <f t="shared" ref="AE1734:AE1797" si="201">IF(NOT(ISBLANK(AC1734)), E1734, "")</f>
        <v>R900865758 - R900145251 V</v>
      </c>
      <c r="AF1734" s="36">
        <v>17</v>
      </c>
      <c r="AG1734" s="120">
        <f t="shared" si="194"/>
        <v>1267.3499999999999</v>
      </c>
      <c r="AH1734" s="36"/>
      <c r="AI1734" s="124"/>
      <c r="AJ1734" s="122" t="s">
        <v>2378</v>
      </c>
      <c r="AK1734" s="129" t="str">
        <f t="shared" ca="1" si="193"/>
        <v>On Time</v>
      </c>
      <c r="AL1734" s="268" t="str">
        <f t="shared" si="192"/>
        <v>September</v>
      </c>
      <c r="AM1734" s="133">
        <f>YEAR(Table1[[#This Row],[ETA
As requested
dd.mm.yyyy]])</f>
        <v>2024</v>
      </c>
    </row>
    <row r="1735" spans="1:40" hidden="1">
      <c r="A1735" s="123" t="s">
        <v>25</v>
      </c>
      <c r="B1735" s="36" t="s">
        <v>1170</v>
      </c>
      <c r="C1735" s="117">
        <v>4510147363</v>
      </c>
      <c r="D1735" s="165">
        <v>45482</v>
      </c>
      <c r="E1735" s="117" t="s">
        <v>1047</v>
      </c>
      <c r="F1735" s="36" t="str">
        <f>IFERROR(VLOOKUP(Table1[[#This Row],[Part Number]],DATABASE_FG!$C$6:D11724,2,FALSE)," ")</f>
        <v xml:space="preserve">GEHAEUSE Z2S 16 .-5X/ </v>
      </c>
      <c r="G1735" s="117" t="str">
        <f>IFERROR(_xlfn.XLOOKUP(Table1[[#This Row],[Part Number]],Table3[Part number],Table3[Drawing
 Revision]),"")</f>
        <v>AG</v>
      </c>
      <c r="H1735" s="118" cm="1">
        <f t="array" ref="H1735">IFERROR(INDEX(PDB!$C:$AT,MATCH(E1735,PDB!$B:$B,0),MATCH(YEAR(K1735),0+PDB!$C$1:$AT$1,0)),"")</f>
        <v>74.55</v>
      </c>
      <c r="I1735" s="36">
        <v>91</v>
      </c>
      <c r="J1735" s="125">
        <f>IFERROR(Table1[[#This Row],[Quantity]]*Table1[[#This Row],[Price/Unit
EUR]]," ")</f>
        <v>6784.05</v>
      </c>
      <c r="K1735" s="126">
        <v>45586</v>
      </c>
      <c r="L1735" s="36">
        <f>WEEKNUM(Table1[[#This Row],[ETA
As requested
dd.mm.yyyy]])</f>
        <v>43</v>
      </c>
      <c r="M1735" s="36">
        <f>YEAR(Table1[[#This Row],[ETA
As requested
dd.mm.yyyy]])</f>
        <v>2024</v>
      </c>
      <c r="N1735" s="36">
        <f>IFERROR(INDEX(DATABASE_FG!$H$5:$H$367, MATCH(E1735, DATABASE_FG!$C$5:$C$367, 0)), " ")</f>
        <v>7</v>
      </c>
      <c r="O1735" s="129" t="str">
        <f>IF(E1735&lt;&gt;"", _xlfn.XLOOKUP(E1735, DATABASE_FG!C:C, DATABASE_FG!F:F), " ")</f>
        <v>Z2S 16</v>
      </c>
      <c r="P1735" s="129">
        <f>IFERROR(INDEX(DATABASE_FG!$G$5:$G$367, MATCH(E1735, DATABASE_FG!$C$5:$C$367, 0)), "Not Found")</f>
        <v>35</v>
      </c>
      <c r="Q1735" s="36" t="str">
        <f>IFERROR(VLOOKUP(Table1[[#This Row],[Drawing 
Revision]],DATABASE_FG!$C$6:H363,4,FALSE),"")</f>
        <v/>
      </c>
      <c r="R1735" s="125" t="s">
        <v>678</v>
      </c>
      <c r="S1735" s="123">
        <v>42</v>
      </c>
      <c r="T1735" s="36" t="s">
        <v>679</v>
      </c>
      <c r="U1735" s="36"/>
      <c r="V1735" s="36"/>
      <c r="W1735" s="129"/>
      <c r="X1735" s="36"/>
      <c r="Y1735" s="36"/>
      <c r="Z1735" s="36"/>
      <c r="AA1735" s="125" t="s">
        <v>121</v>
      </c>
      <c r="AB1735" s="173">
        <v>45688</v>
      </c>
      <c r="AC1735" s="119" t="s">
        <v>2493</v>
      </c>
      <c r="AD1735" s="36">
        <f t="shared" si="200"/>
        <v>4510147363</v>
      </c>
      <c r="AE1735" s="36" t="str">
        <f t="shared" si="201"/>
        <v>R900865758 - R900145251 V</v>
      </c>
      <c r="AF1735" s="36">
        <v>91</v>
      </c>
      <c r="AG1735" s="120">
        <f t="shared" si="194"/>
        <v>6784.05</v>
      </c>
      <c r="AH1735" s="36"/>
      <c r="AI1735" s="124"/>
      <c r="AJ1735" s="122" t="s">
        <v>2494</v>
      </c>
      <c r="AK1735" s="129" t="str">
        <f t="shared" ca="1" si="193"/>
        <v>Late</v>
      </c>
      <c r="AL1735" s="268" t="str">
        <f t="shared" si="192"/>
        <v>October</v>
      </c>
      <c r="AM1735" s="133">
        <f>YEAR(Table1[[#This Row],[ETA
As requested
dd.mm.yyyy]])</f>
        <v>2024</v>
      </c>
    </row>
    <row r="1736" spans="1:40" hidden="1">
      <c r="A1736" s="123" t="s">
        <v>25</v>
      </c>
      <c r="B1736" s="36" t="s">
        <v>1170</v>
      </c>
      <c r="C1736" s="117">
        <v>4510147363</v>
      </c>
      <c r="D1736" s="165">
        <v>45482</v>
      </c>
      <c r="E1736" s="117" t="s">
        <v>1047</v>
      </c>
      <c r="F1736" s="36" t="str">
        <f>IFERROR(VLOOKUP(Table1[[#This Row],[Part Number]],DATABASE_FG!$C$6:D11725,2,FALSE)," ")</f>
        <v xml:space="preserve">GEHAEUSE Z2S 16 .-5X/ </v>
      </c>
      <c r="G1736" s="117" t="str">
        <f>IFERROR(_xlfn.XLOOKUP(Table1[[#This Row],[Part Number]],Table3[Part number],Table3[Drawing
 Revision]),"")</f>
        <v>AG</v>
      </c>
      <c r="H1736" s="118" cm="1">
        <f t="array" ref="H1736">IFERROR(INDEX(PDB!$C:$AT,MATCH(E1736,PDB!$B:$B,0),MATCH(YEAR(K1736),0+PDB!$C$1:$AT$1,0)),"")</f>
        <v>74.55</v>
      </c>
      <c r="I1736" s="36">
        <v>55</v>
      </c>
      <c r="J1736" s="125">
        <f>IFERROR(Table1[[#This Row],[Quantity]]*Table1[[#This Row],[Price/Unit
EUR]]," ")</f>
        <v>4100.25</v>
      </c>
      <c r="K1736" s="126">
        <v>45586</v>
      </c>
      <c r="L1736" s="36">
        <f>WEEKNUM(Table1[[#This Row],[ETA
As requested
dd.mm.yyyy]])</f>
        <v>43</v>
      </c>
      <c r="M1736" s="36">
        <f>YEAR(Table1[[#This Row],[ETA
As requested
dd.mm.yyyy]])</f>
        <v>2024</v>
      </c>
      <c r="N1736" s="36">
        <f>IFERROR(INDEX(DATABASE_FG!$H$5:$H$367, MATCH(E1736, DATABASE_FG!$C$5:$C$367, 0)), " ")</f>
        <v>7</v>
      </c>
      <c r="O1736" s="129" t="str">
        <f>IF(E1736&lt;&gt;"", _xlfn.XLOOKUP(E1736, DATABASE_FG!C:C, DATABASE_FG!F:F), " ")</f>
        <v>Z2S 16</v>
      </c>
      <c r="P1736" s="129">
        <f>IFERROR(INDEX(DATABASE_FG!$G$5:$G$367, MATCH(E1736, DATABASE_FG!$C$5:$C$367, 0)), "Not Found")</f>
        <v>35</v>
      </c>
      <c r="Q1736" s="36" t="str">
        <f>IFERROR(VLOOKUP(Table1[[#This Row],[Drawing 
Revision]],DATABASE_FG!$C$6:H363,4,FALSE),"")</f>
        <v/>
      </c>
      <c r="R1736" s="125" t="s">
        <v>678</v>
      </c>
      <c r="S1736" s="123">
        <v>42</v>
      </c>
      <c r="T1736" s="36" t="s">
        <v>679</v>
      </c>
      <c r="U1736" s="36"/>
      <c r="V1736" s="36"/>
      <c r="W1736" s="129"/>
      <c r="X1736" s="36"/>
      <c r="Y1736" s="36"/>
      <c r="Z1736" s="36"/>
      <c r="AA1736" s="125" t="s">
        <v>121</v>
      </c>
      <c r="AB1736" s="173">
        <v>45695</v>
      </c>
      <c r="AC1736" s="119">
        <v>25169</v>
      </c>
      <c r="AD1736" s="36">
        <f t="shared" si="200"/>
        <v>4510147363</v>
      </c>
      <c r="AE1736" s="36" t="str">
        <f t="shared" si="201"/>
        <v>R900865758 - R900145251 V</v>
      </c>
      <c r="AF1736" s="36">
        <v>55</v>
      </c>
      <c r="AG1736" s="120">
        <f t="shared" si="194"/>
        <v>4100.25</v>
      </c>
      <c r="AH1736" s="36"/>
      <c r="AI1736" s="124"/>
      <c r="AJ1736" s="122" t="s">
        <v>2495</v>
      </c>
      <c r="AK1736" s="129" t="str">
        <f t="shared" ca="1" si="193"/>
        <v>Late</v>
      </c>
      <c r="AL1736" s="268" t="str">
        <f t="shared" si="192"/>
        <v>October</v>
      </c>
      <c r="AM1736" s="133">
        <f>YEAR(Table1[[#This Row],[ETA
As requested
dd.mm.yyyy]])</f>
        <v>2024</v>
      </c>
    </row>
    <row r="1737" spans="1:40" hidden="1">
      <c r="A1737" s="123" t="s">
        <v>25</v>
      </c>
      <c r="B1737" s="36" t="s">
        <v>1170</v>
      </c>
      <c r="C1737" s="117">
        <v>4510147363</v>
      </c>
      <c r="D1737" s="165">
        <v>45482</v>
      </c>
      <c r="E1737" s="117" t="s">
        <v>1047</v>
      </c>
      <c r="F1737" s="36" t="str">
        <f>IFERROR(VLOOKUP(Table1[[#This Row],[Part Number]],DATABASE_FG!$C$6:D11726,2,FALSE)," ")</f>
        <v xml:space="preserve">GEHAEUSE Z2S 16 .-5X/ </v>
      </c>
      <c r="G1737" s="117" t="str">
        <f>IFERROR(_xlfn.XLOOKUP(Table1[[#This Row],[Part Number]],Table3[Part number],Table3[Drawing
 Revision]),"")</f>
        <v>AG</v>
      </c>
      <c r="H1737" s="118" cm="1">
        <f t="array" ref="H1737">IFERROR(INDEX(PDB!$C:$AT,MATCH(E1737,PDB!$B:$B,0),MATCH(YEAR(K1737),0+PDB!$C$1:$AT$1,0)),"")</f>
        <v>74.55</v>
      </c>
      <c r="I1737" s="36">
        <v>103</v>
      </c>
      <c r="J1737" s="125">
        <f>IFERROR(Table1[[#This Row],[Quantity]]*Table1[[#This Row],[Price/Unit
EUR]]," ")</f>
        <v>7678.65</v>
      </c>
      <c r="K1737" s="126">
        <v>45586</v>
      </c>
      <c r="L1737" s="36">
        <f>WEEKNUM(Table1[[#This Row],[ETA
As requested
dd.mm.yyyy]])</f>
        <v>43</v>
      </c>
      <c r="M1737" s="36">
        <f>YEAR(Table1[[#This Row],[ETA
As requested
dd.mm.yyyy]])</f>
        <v>2024</v>
      </c>
      <c r="N1737" s="36">
        <f>IFERROR(INDEX(DATABASE_FG!$H$5:$H$367, MATCH(E1737, DATABASE_FG!$C$5:$C$367, 0)), " ")</f>
        <v>7</v>
      </c>
      <c r="O1737" s="129" t="str">
        <f>IF(E1737&lt;&gt;"", _xlfn.XLOOKUP(E1737, DATABASE_FG!C:C, DATABASE_FG!F:F), " ")</f>
        <v>Z2S 16</v>
      </c>
      <c r="P1737" s="129">
        <f>IFERROR(INDEX(DATABASE_FG!$G$5:$G$367, MATCH(E1737, DATABASE_FG!$C$5:$C$367, 0)), "Not Found")</f>
        <v>35</v>
      </c>
      <c r="Q1737" s="36" t="str">
        <f>IFERROR(VLOOKUP(Table1[[#This Row],[Drawing 
Revision]],DATABASE_FG!$C$6:H363,4,FALSE),"")</f>
        <v/>
      </c>
      <c r="R1737" s="125" t="s">
        <v>678</v>
      </c>
      <c r="S1737" s="123">
        <v>42</v>
      </c>
      <c r="T1737" s="36" t="s">
        <v>679</v>
      </c>
      <c r="U1737" s="36"/>
      <c r="V1737" s="36"/>
      <c r="W1737" s="129"/>
      <c r="X1737" s="36"/>
      <c r="Y1737" s="36"/>
      <c r="Z1737" s="36"/>
      <c r="AA1737" s="125" t="s">
        <v>121</v>
      </c>
      <c r="AB1737" s="173">
        <v>45702</v>
      </c>
      <c r="AC1737" s="119">
        <v>25201</v>
      </c>
      <c r="AD1737" s="36">
        <f t="shared" si="200"/>
        <v>4510147363</v>
      </c>
      <c r="AE1737" s="36" t="str">
        <f t="shared" si="201"/>
        <v>R900865758 - R900145251 V</v>
      </c>
      <c r="AF1737" s="36">
        <v>103</v>
      </c>
      <c r="AG1737" s="120">
        <f t="shared" si="194"/>
        <v>7678.65</v>
      </c>
      <c r="AH1737" s="36"/>
      <c r="AI1737" s="124"/>
      <c r="AJ1737" s="122" t="s">
        <v>2496</v>
      </c>
      <c r="AK1737" s="129" t="str">
        <f t="shared" ca="1" si="193"/>
        <v>Late</v>
      </c>
      <c r="AL1737" s="268" t="str">
        <f t="shared" si="192"/>
        <v>October</v>
      </c>
      <c r="AM1737" s="133">
        <f>YEAR(Table1[[#This Row],[ETA
As requested
dd.mm.yyyy]])</f>
        <v>2024</v>
      </c>
    </row>
    <row r="1738" spans="1:40" hidden="1">
      <c r="A1738" s="123" t="s">
        <v>25</v>
      </c>
      <c r="B1738" s="36" t="s">
        <v>1170</v>
      </c>
      <c r="C1738" s="117">
        <v>4510147363</v>
      </c>
      <c r="D1738" s="165">
        <v>45482</v>
      </c>
      <c r="E1738" s="117" t="s">
        <v>1047</v>
      </c>
      <c r="F1738" s="36" t="str">
        <f>IFERROR(VLOOKUP(Table1[[#This Row],[Part Number]],DATABASE_FG!$C$6:D11727,2,FALSE)," ")</f>
        <v xml:space="preserve">GEHAEUSE Z2S 16 .-5X/ </v>
      </c>
      <c r="G1738" s="117" t="str">
        <f>IFERROR(_xlfn.XLOOKUP(Table1[[#This Row],[Part Number]],Table3[Part number],Table3[Drawing
 Revision]),"")</f>
        <v>AG</v>
      </c>
      <c r="H1738" s="118" cm="1">
        <f t="array" ref="H1738">IFERROR(INDEX(PDB!$C:$AT,MATCH(E1738,PDB!$B:$B,0),MATCH(YEAR(K1738),0+PDB!$C$1:$AT$1,0)),"")</f>
        <v>74.55</v>
      </c>
      <c r="I1738" s="36">
        <v>25</v>
      </c>
      <c r="J1738" s="125">
        <f>IFERROR(Table1[[#This Row],[Quantity]]*Table1[[#This Row],[Price/Unit
EUR]]," ")</f>
        <v>1863.75</v>
      </c>
      <c r="K1738" s="126">
        <v>45586</v>
      </c>
      <c r="L1738" s="36">
        <f>WEEKNUM(Table1[[#This Row],[ETA
As requested
dd.mm.yyyy]])</f>
        <v>43</v>
      </c>
      <c r="M1738" s="36">
        <f>YEAR(Table1[[#This Row],[ETA
As requested
dd.mm.yyyy]])</f>
        <v>2024</v>
      </c>
      <c r="N1738" s="36">
        <f>IFERROR(INDEX(DATABASE_FG!$H$5:$H$367, MATCH(E1738, DATABASE_FG!$C$5:$C$367, 0)), " ")</f>
        <v>7</v>
      </c>
      <c r="O1738" s="129" t="str">
        <f>IF(E1738&lt;&gt;"", _xlfn.XLOOKUP(E1738, DATABASE_FG!C:C, DATABASE_FG!F:F), " ")</f>
        <v>Z2S 16</v>
      </c>
      <c r="P1738" s="129">
        <f>IFERROR(INDEX(DATABASE_FG!$G$5:$G$367, MATCH(E1738, DATABASE_FG!$C$5:$C$367, 0)), "Not Found")</f>
        <v>35</v>
      </c>
      <c r="Q1738" s="36" t="str">
        <f>IFERROR(VLOOKUP(Table1[[#This Row],[Drawing 
Revision]],DATABASE_FG!$C$6:H363,4,FALSE),"")</f>
        <v/>
      </c>
      <c r="R1738" s="125" t="s">
        <v>678</v>
      </c>
      <c r="S1738" s="123">
        <v>42</v>
      </c>
      <c r="T1738" s="36" t="s">
        <v>679</v>
      </c>
      <c r="U1738" s="36"/>
      <c r="V1738" s="36"/>
      <c r="W1738" s="129"/>
      <c r="X1738" s="36"/>
      <c r="Y1738" s="36"/>
      <c r="Z1738" s="36"/>
      <c r="AA1738" s="125" t="s">
        <v>121</v>
      </c>
      <c r="AB1738" s="173">
        <v>45702</v>
      </c>
      <c r="AC1738" s="119">
        <v>25202</v>
      </c>
      <c r="AD1738" s="36">
        <f t="shared" si="200"/>
        <v>4510147363</v>
      </c>
      <c r="AE1738" s="36" t="str">
        <f t="shared" si="201"/>
        <v>R900865758 - R900145251 V</v>
      </c>
      <c r="AF1738" s="36">
        <v>25</v>
      </c>
      <c r="AG1738" s="120">
        <f t="shared" si="194"/>
        <v>1863.75</v>
      </c>
      <c r="AH1738" s="36"/>
      <c r="AI1738" s="124"/>
      <c r="AJ1738" s="122" t="s">
        <v>2497</v>
      </c>
      <c r="AK1738" s="129" t="str">
        <f t="shared" ca="1" si="193"/>
        <v>Late</v>
      </c>
      <c r="AL1738" s="268" t="str">
        <f t="shared" si="192"/>
        <v>October</v>
      </c>
      <c r="AM1738" s="133">
        <f>YEAR(Table1[[#This Row],[ETA
As requested
dd.mm.yyyy]])</f>
        <v>2024</v>
      </c>
    </row>
    <row r="1739" spans="1:40" hidden="1">
      <c r="A1739" s="123" t="s">
        <v>25</v>
      </c>
      <c r="B1739" s="36" t="s">
        <v>1170</v>
      </c>
      <c r="C1739" s="117">
        <v>4510147363</v>
      </c>
      <c r="D1739" s="165">
        <v>45482</v>
      </c>
      <c r="E1739" s="117" t="s">
        <v>1047</v>
      </c>
      <c r="F1739" s="36" t="str">
        <f>IFERROR(VLOOKUP(Table1[[#This Row],[Part Number]],DATABASE_FG!$C$6:D11728,2,FALSE)," ")</f>
        <v xml:space="preserve">GEHAEUSE Z2S 16 .-5X/ </v>
      </c>
      <c r="G1739" s="117" t="str">
        <f>IFERROR(_xlfn.XLOOKUP(Table1[[#This Row],[Part Number]],Table3[Part number],Table3[Drawing
 Revision]),"")</f>
        <v>AG</v>
      </c>
      <c r="H1739" s="118" cm="1">
        <f t="array" ref="H1739">IFERROR(INDEX(PDB!$C:$AT,MATCH(E1739,PDB!$B:$B,0),MATCH(YEAR(K1739),0+PDB!$C$1:$AT$1,0)),"")</f>
        <v>74.55</v>
      </c>
      <c r="I1739" s="36">
        <v>19</v>
      </c>
      <c r="J1739" s="125">
        <f>IFERROR(Table1[[#This Row],[Quantity]]*Table1[[#This Row],[Price/Unit
EUR]]," ")</f>
        <v>1416.45</v>
      </c>
      <c r="K1739" s="126">
        <v>45586</v>
      </c>
      <c r="L1739" s="36">
        <f>WEEKNUM(Table1[[#This Row],[ETA
As requested
dd.mm.yyyy]])</f>
        <v>43</v>
      </c>
      <c r="M1739" s="36">
        <f>YEAR(Table1[[#This Row],[ETA
As requested
dd.mm.yyyy]])</f>
        <v>2024</v>
      </c>
      <c r="N1739" s="36">
        <f>IFERROR(INDEX(DATABASE_FG!$H$5:$H$367, MATCH(E1739, DATABASE_FG!$C$5:$C$367, 0)), " ")</f>
        <v>7</v>
      </c>
      <c r="O1739" s="129" t="str">
        <f>IF(E1739&lt;&gt;"", _xlfn.XLOOKUP(E1739, DATABASE_FG!C:C, DATABASE_FG!F:F), " ")</f>
        <v>Z2S 16</v>
      </c>
      <c r="P1739" s="129">
        <f>IFERROR(INDEX(DATABASE_FG!$G$5:$G$367, MATCH(E1739, DATABASE_FG!$C$5:$C$367, 0)), "Not Found")</f>
        <v>35</v>
      </c>
      <c r="Q1739" s="36" t="str">
        <f>IFERROR(VLOOKUP(Table1[[#This Row],[Drawing 
Revision]],DATABASE_FG!$C$6:H363,4,FALSE),"")</f>
        <v/>
      </c>
      <c r="R1739" s="125" t="s">
        <v>678</v>
      </c>
      <c r="S1739" s="123">
        <v>42</v>
      </c>
      <c r="T1739" s="36" t="s">
        <v>679</v>
      </c>
      <c r="U1739" s="36"/>
      <c r="V1739" s="36"/>
      <c r="W1739" s="129"/>
      <c r="X1739" s="36"/>
      <c r="Y1739" s="36"/>
      <c r="Z1739" s="36"/>
      <c r="AA1739" s="125" t="s">
        <v>121</v>
      </c>
      <c r="AB1739" s="173">
        <v>45838</v>
      </c>
      <c r="AC1739" s="119">
        <v>260016</v>
      </c>
      <c r="AD1739" s="36">
        <f t="shared" si="200"/>
        <v>4510147363</v>
      </c>
      <c r="AE1739" s="36" t="str">
        <f t="shared" si="201"/>
        <v>R900865758 - R900145251 V</v>
      </c>
      <c r="AF1739" s="36">
        <v>19</v>
      </c>
      <c r="AG1739" s="120">
        <f t="shared" si="194"/>
        <v>1416.45</v>
      </c>
      <c r="AH1739" s="36"/>
      <c r="AI1739" s="124"/>
      <c r="AJ1739" s="122"/>
      <c r="AK1739" s="129" t="str">
        <f t="shared" ca="1" si="193"/>
        <v>Late</v>
      </c>
      <c r="AL1739" s="268" t="str">
        <f t="shared" si="192"/>
        <v>October</v>
      </c>
      <c r="AM1739" s="133">
        <f>YEAR(Table1[[#This Row],[ETA
As requested
dd.mm.yyyy]])</f>
        <v>2024</v>
      </c>
    </row>
    <row r="1740" spans="1:40" ht="15" hidden="1" customHeight="1">
      <c r="A1740" s="123" t="s">
        <v>25</v>
      </c>
      <c r="B1740" s="36" t="s">
        <v>1170</v>
      </c>
      <c r="C1740" s="117">
        <v>4510147363</v>
      </c>
      <c r="D1740" s="165">
        <v>45482</v>
      </c>
      <c r="E1740" s="117" t="s">
        <v>1047</v>
      </c>
      <c r="F1740" s="36" t="str">
        <f>IFERROR(VLOOKUP(Table1[[#This Row],[Part Number]],DATABASE_FG!$C$6:D11729,2,FALSE)," ")</f>
        <v xml:space="preserve">GEHAEUSE Z2S 16 .-5X/ </v>
      </c>
      <c r="G1740" s="117" t="str">
        <f>IFERROR(_xlfn.XLOOKUP(Table1[[#This Row],[Part Number]],Table3[Part number],Table3[Drawing
 Revision]),"")</f>
        <v>AG</v>
      </c>
      <c r="H1740" s="118" cm="1">
        <f t="array" ref="H1740">IFERROR(INDEX(PDB!$C:$AT,MATCH(E1740,PDB!$B:$B,0),MATCH(YEAR(K1740),0+PDB!$C$1:$AT$1,0)),"")</f>
        <v>74.55</v>
      </c>
      <c r="I1740" s="36">
        <v>31</v>
      </c>
      <c r="J1740" s="125">
        <f>IFERROR(Table1[[#This Row],[Quantity]]*Table1[[#This Row],[Price/Unit
EUR]]," ")</f>
        <v>2311.0499999999997</v>
      </c>
      <c r="K1740" s="126">
        <v>45586</v>
      </c>
      <c r="L1740" s="36">
        <f>WEEKNUM(Table1[[#This Row],[ETA
As requested
dd.mm.yyyy]])</f>
        <v>43</v>
      </c>
      <c r="M1740" s="36">
        <f>YEAR(Table1[[#This Row],[ETA
As requested
dd.mm.yyyy]])</f>
        <v>2024</v>
      </c>
      <c r="N1740" s="36">
        <f>IFERROR(INDEX(DATABASE_FG!$H$5:$H$367, MATCH(E1740, DATABASE_FG!$C$5:$C$367, 0)), " ")</f>
        <v>7</v>
      </c>
      <c r="O1740" s="129" t="str">
        <f>IF(E1740&lt;&gt;"", _xlfn.XLOOKUP(E1740, DATABASE_FG!C:C, DATABASE_FG!F:F), " ")</f>
        <v>Z2S 16</v>
      </c>
      <c r="P1740" s="129">
        <f>IFERROR(INDEX(DATABASE_FG!$G$5:$G$367, MATCH(E1740, DATABASE_FG!$C$5:$C$367, 0)), "Not Found")</f>
        <v>35</v>
      </c>
      <c r="Q1740" s="36" t="str">
        <f>IFERROR(VLOOKUP(Table1[[#This Row],[Drawing 
Revision]],DATABASE_FG!$C$6:H363,4,FALSE),"")</f>
        <v/>
      </c>
      <c r="R1740" s="125" t="s">
        <v>678</v>
      </c>
      <c r="S1740" s="123">
        <v>42</v>
      </c>
      <c r="T1740" s="36" t="s">
        <v>679</v>
      </c>
      <c r="U1740" s="36"/>
      <c r="V1740" s="36"/>
      <c r="W1740" s="129"/>
      <c r="X1740" s="36"/>
      <c r="Y1740" s="36"/>
      <c r="Z1740" s="36"/>
      <c r="AA1740" s="125" t="s">
        <v>121</v>
      </c>
      <c r="AB1740" s="173">
        <v>45852</v>
      </c>
      <c r="AC1740" s="119">
        <v>251068</v>
      </c>
      <c r="AD1740" s="36">
        <f t="shared" si="200"/>
        <v>4510147363</v>
      </c>
      <c r="AE1740" s="36" t="str">
        <f t="shared" si="201"/>
        <v>R900865758 - R900145251 V</v>
      </c>
      <c r="AF1740" s="36">
        <v>31</v>
      </c>
      <c r="AG1740" s="120">
        <f t="shared" si="194"/>
        <v>2311.0499999999997</v>
      </c>
      <c r="AH1740" s="36"/>
      <c r="AI1740" s="124"/>
      <c r="AJ1740" s="122" t="s">
        <v>2499</v>
      </c>
      <c r="AK1740" s="129" t="str">
        <f t="shared" ca="1" si="193"/>
        <v>Late</v>
      </c>
      <c r="AL1740" s="268" t="str">
        <f t="shared" si="192"/>
        <v>October</v>
      </c>
      <c r="AM1740" s="133">
        <f>YEAR(Table1[[#This Row],[ETA
As requested
dd.mm.yyyy]])</f>
        <v>2024</v>
      </c>
    </row>
    <row r="1741" spans="1:40" hidden="1">
      <c r="A1741" s="123" t="s">
        <v>25</v>
      </c>
      <c r="B1741" s="36" t="s">
        <v>1170</v>
      </c>
      <c r="C1741" s="117">
        <v>4510819281</v>
      </c>
      <c r="D1741" s="165">
        <v>45873</v>
      </c>
      <c r="E1741" s="117" t="s">
        <v>1047</v>
      </c>
      <c r="F1741" s="36" t="str">
        <f>IFERROR(VLOOKUP(Table1[[#This Row],[Part Number]],DATABASE_FG!$C$6:D11730,2,FALSE)," ")</f>
        <v xml:space="preserve">GEHAEUSE Z2S 16 .-5X/ </v>
      </c>
      <c r="G1741" s="117" t="str">
        <f>IFERROR(_xlfn.XLOOKUP(Table1[[#This Row],[Part Number]],Table3[Part number],Table3[Drawing
 Revision]),"")</f>
        <v>AG</v>
      </c>
      <c r="H1741" s="118" cm="1">
        <f t="array" ref="H1741">IFERROR(INDEX(PDB!$C:$AT,MATCH(E1741,PDB!$B:$B,0),MATCH(YEAR(K1741),0+PDB!$C$1:$AT$1,0)),"")</f>
        <v>73.06</v>
      </c>
      <c r="I1741" s="36">
        <v>267</v>
      </c>
      <c r="J1741" s="125">
        <f>IFERROR(Table1[[#This Row],[Quantity]]*Table1[[#This Row],[Price/Unit
EUR]]," ")</f>
        <v>19507.02</v>
      </c>
      <c r="K1741" s="126">
        <v>45874</v>
      </c>
      <c r="L1741" s="36">
        <f>WEEKNUM(Table1[[#This Row],[ETA
As requested
dd.mm.yyyy]])</f>
        <v>32</v>
      </c>
      <c r="M1741" s="36">
        <f>YEAR(Table1[[#This Row],[ETA
As requested
dd.mm.yyyy]])</f>
        <v>2025</v>
      </c>
      <c r="N1741" s="36">
        <f>IFERROR(INDEX(DATABASE_FG!$H$5:$H$367, MATCH(E1741, DATABASE_FG!$C$5:$C$367, 0)), " ")</f>
        <v>7</v>
      </c>
      <c r="O1741" s="129" t="str">
        <f>IF(E1741&lt;&gt;"", _xlfn.XLOOKUP(E1741, DATABASE_FG!C:C, DATABASE_FG!F:F), " ")</f>
        <v>Z2S 16</v>
      </c>
      <c r="P1741" s="129">
        <f>IFERROR(INDEX(DATABASE_FG!$G$5:$G$367, MATCH(E1741, DATABASE_FG!$C$5:$C$367, 0)), "Not Found")</f>
        <v>35</v>
      </c>
      <c r="Q1741" s="36"/>
      <c r="R1741" s="125" t="s">
        <v>678</v>
      </c>
      <c r="S1741" s="208">
        <f>Table1[[#This Row],[Quantity]]/48</f>
        <v>5.5625</v>
      </c>
      <c r="T1741" s="207"/>
      <c r="U1741" s="207"/>
      <c r="V1741" s="207"/>
      <c r="W1741" s="213"/>
      <c r="X1741" s="207"/>
      <c r="Y1741" s="207"/>
      <c r="Z1741" s="207"/>
      <c r="AA1741" s="125" t="s">
        <v>121</v>
      </c>
      <c r="AB1741" s="173">
        <v>45869</v>
      </c>
      <c r="AC1741" s="119">
        <v>251107</v>
      </c>
      <c r="AD1741" s="36">
        <f t="shared" si="200"/>
        <v>4510819281</v>
      </c>
      <c r="AE1741" s="36" t="str">
        <f t="shared" si="201"/>
        <v>R900865758 - R900145251 V</v>
      </c>
      <c r="AF1741" s="36">
        <v>267</v>
      </c>
      <c r="AG1741" s="120">
        <f t="shared" si="194"/>
        <v>19507.02</v>
      </c>
      <c r="AH1741" s="36"/>
      <c r="AI1741" s="124"/>
      <c r="AJ1741" s="122" t="s">
        <v>3521</v>
      </c>
      <c r="AK1741" s="129" t="str">
        <f t="shared" ca="1" si="193"/>
        <v>On Time</v>
      </c>
      <c r="AL1741" s="268" t="str">
        <f t="shared" si="192"/>
        <v>August</v>
      </c>
      <c r="AM1741" s="133">
        <f>YEAR(Table1[[#This Row],[ETA
As requested
dd.mm.yyyy]])</f>
        <v>2025</v>
      </c>
    </row>
    <row r="1742" spans="1:40" hidden="1">
      <c r="A1742" s="123" t="s">
        <v>25</v>
      </c>
      <c r="B1742" s="36" t="s">
        <v>1170</v>
      </c>
      <c r="C1742" s="117">
        <v>4510859926</v>
      </c>
      <c r="D1742" s="165">
        <v>45873</v>
      </c>
      <c r="E1742" s="117" t="s">
        <v>1047</v>
      </c>
      <c r="F1742" s="36" t="str">
        <f>IFERROR(VLOOKUP(Table1[[#This Row],[Part Number]],DATABASE_FG!$C$6:D11731,2,FALSE)," ")</f>
        <v xml:space="preserve">GEHAEUSE Z2S 16 .-5X/ </v>
      </c>
      <c r="G1742" s="117" t="str">
        <f>IFERROR(_xlfn.XLOOKUP(Table1[[#This Row],[Part Number]],Table3[Part number],Table3[Drawing
 Revision]),"")</f>
        <v>AG</v>
      </c>
      <c r="H1742" s="118" cm="1">
        <f t="array" ref="H1742">IFERROR(INDEX(PDB!$C:$AT,MATCH(E1742,PDB!$B:$B,0),MATCH(YEAR(K1742),0+PDB!$C$1:$AT$1,0)),"")</f>
        <v>73.06</v>
      </c>
      <c r="I1742" s="36">
        <v>111</v>
      </c>
      <c r="J1742" s="125">
        <f>IFERROR(Table1[[#This Row],[Quantity]]*Table1[[#This Row],[Price/Unit
EUR]]," ")</f>
        <v>8109.66</v>
      </c>
      <c r="K1742" s="126">
        <v>45905</v>
      </c>
      <c r="L1742" s="36">
        <f>WEEKNUM(Table1[[#This Row],[ETA
As requested
dd.mm.yyyy]])</f>
        <v>36</v>
      </c>
      <c r="M1742" s="36">
        <f>YEAR(Table1[[#This Row],[ETA
As requested
dd.mm.yyyy]])</f>
        <v>2025</v>
      </c>
      <c r="N1742" s="36">
        <f>IFERROR(INDEX(DATABASE_FG!$H$5:$H$367, MATCH(E1742, DATABASE_FG!$C$5:$C$367, 0)), " ")</f>
        <v>7</v>
      </c>
      <c r="O1742" s="129" t="str">
        <f>IF(E1742&lt;&gt;"", _xlfn.XLOOKUP(E1742, DATABASE_FG!C:C, DATABASE_FG!F:F), " ")</f>
        <v>Z2S 16</v>
      </c>
      <c r="P1742" s="129">
        <f>IFERROR(INDEX(DATABASE_FG!$G$5:$G$367, MATCH(E1742, DATABASE_FG!$C$5:$C$367, 0)), "Not Found")</f>
        <v>35</v>
      </c>
      <c r="Q1742" s="36"/>
      <c r="R1742" s="125" t="s">
        <v>678</v>
      </c>
      <c r="S1742" s="208">
        <f>Table1[[#This Row],[Quantity]]/48</f>
        <v>2.3125</v>
      </c>
      <c r="T1742" s="207"/>
      <c r="U1742" s="207"/>
      <c r="V1742" s="207"/>
      <c r="W1742" s="213"/>
      <c r="X1742" s="207"/>
      <c r="Y1742" s="207"/>
      <c r="Z1742" s="207"/>
      <c r="AA1742" s="125" t="s">
        <v>121</v>
      </c>
      <c r="AB1742" s="173">
        <v>45900</v>
      </c>
      <c r="AC1742" s="119">
        <v>251146</v>
      </c>
      <c r="AD1742" s="36">
        <f t="shared" si="200"/>
        <v>4510859926</v>
      </c>
      <c r="AE1742" s="36" t="str">
        <f t="shared" si="201"/>
        <v>R900865758 - R900145251 V</v>
      </c>
      <c r="AF1742" s="36">
        <v>111</v>
      </c>
      <c r="AG1742" s="120">
        <f t="shared" si="194"/>
        <v>8109.66</v>
      </c>
      <c r="AH1742" s="36"/>
      <c r="AI1742" s="124"/>
      <c r="AJ1742" s="122" t="s">
        <v>3665</v>
      </c>
      <c r="AK1742" s="129" t="str">
        <f t="shared" ca="1" si="193"/>
        <v>On Time</v>
      </c>
      <c r="AL1742" s="268" t="str">
        <f t="shared" si="192"/>
        <v>September</v>
      </c>
      <c r="AM1742" s="133">
        <f>YEAR(Table1[[#This Row],[ETA
As requested
dd.mm.yyyy]])</f>
        <v>2025</v>
      </c>
    </row>
    <row r="1743" spans="1:40" hidden="1">
      <c r="A1743" s="208" t="s">
        <v>25</v>
      </c>
      <c r="B1743" s="207" t="s">
        <v>1170</v>
      </c>
      <c r="C1743" s="210">
        <v>4510900165</v>
      </c>
      <c r="D1743" s="209">
        <v>45924</v>
      </c>
      <c r="E1743" s="210" t="s">
        <v>1047</v>
      </c>
      <c r="F1743" s="36" t="str">
        <f>IFERROR(VLOOKUP(Table1[[#This Row],[Part Number]],DATABASE_FG!$C$6:D11732,2,FALSE)," ")</f>
        <v xml:space="preserve">GEHAEUSE Z2S 16 .-5X/ </v>
      </c>
      <c r="G1743" s="117" t="str">
        <f>IFERROR(_xlfn.XLOOKUP(Table1[[#This Row],[Part Number]],Table3[Part number],Table3[Drawing
 Revision]),"")</f>
        <v>AG</v>
      </c>
      <c r="H1743" s="118" cm="1">
        <f t="array" ref="H1743">IFERROR(INDEX(PDB!$C:$AT,MATCH(E1743,PDB!$B:$B,0),MATCH(YEAR(K1743),0+PDB!$C$1:$AT$1,0)),"")</f>
        <v>73.06</v>
      </c>
      <c r="I1743" s="207">
        <v>25</v>
      </c>
      <c r="J1743" s="211">
        <f>IFERROR(Table1[[#This Row],[Quantity]]*Table1[[#This Row],[Price/Unit
EUR]]," ")</f>
        <v>1826.5</v>
      </c>
      <c r="K1743" s="212">
        <v>45931</v>
      </c>
      <c r="L1743" s="207">
        <f>WEEKNUM(Table1[[#This Row],[ETA
As requested
dd.mm.yyyy]])</f>
        <v>40</v>
      </c>
      <c r="M1743" s="207">
        <f>YEAR(Table1[[#This Row],[ETA
As requested
dd.mm.yyyy]])</f>
        <v>2025</v>
      </c>
      <c r="N1743" s="36">
        <f>IFERROR(INDEX(DATABASE_FG!$H$5:$H$367, MATCH(E1743, DATABASE_FG!$C$5:$C$367, 0)), " ")</f>
        <v>7</v>
      </c>
      <c r="O1743" s="129" t="str">
        <f>IF(E1743&lt;&gt;"", _xlfn.XLOOKUP(E1743, DATABASE_FG!C:C, DATABASE_FG!F:F), " ")</f>
        <v>Z2S 16</v>
      </c>
      <c r="P1743" s="129">
        <f>IFERROR(INDEX(DATABASE_FG!$G$5:$G$367, MATCH(E1743, DATABASE_FG!$C$5:$C$367, 0)), "Not Found")</f>
        <v>35</v>
      </c>
      <c r="Q1743" s="207"/>
      <c r="R1743" s="125" t="s">
        <v>678</v>
      </c>
      <c r="S1743" s="123">
        <f>Table1[[#This Row],[Quantity]]/48</f>
        <v>0.52083333333333337</v>
      </c>
      <c r="T1743" s="36"/>
      <c r="U1743" s="36"/>
      <c r="V1743" s="36"/>
      <c r="W1743" s="129"/>
      <c r="X1743" s="36"/>
      <c r="Y1743" s="36"/>
      <c r="Z1743" s="36"/>
      <c r="AA1743" s="125" t="s">
        <v>121</v>
      </c>
      <c r="AB1743" s="173">
        <v>45930</v>
      </c>
      <c r="AC1743" s="119">
        <v>251169</v>
      </c>
      <c r="AD1743" s="36">
        <f t="shared" si="200"/>
        <v>4510900165</v>
      </c>
      <c r="AE1743" s="36" t="str">
        <f t="shared" si="201"/>
        <v>R900865758 - R900145251 V</v>
      </c>
      <c r="AF1743" s="36">
        <v>25</v>
      </c>
      <c r="AG1743" s="120">
        <f t="shared" si="194"/>
        <v>1826.5</v>
      </c>
      <c r="AH1743" s="36"/>
      <c r="AI1743" s="124"/>
      <c r="AJ1743" s="122" t="s">
        <v>3787</v>
      </c>
      <c r="AK1743" s="129" t="str">
        <f t="shared" ca="1" si="193"/>
        <v>On Time</v>
      </c>
      <c r="AL1743" s="268" t="str">
        <f t="shared" si="192"/>
        <v>October</v>
      </c>
      <c r="AM1743" s="133">
        <f>YEAR(Table1[[#This Row],[ETA
As requested
dd.mm.yyyy]])</f>
        <v>2025</v>
      </c>
      <c r="AN1743" s="191"/>
    </row>
    <row r="1744" spans="1:40" ht="15.75" hidden="1">
      <c r="A1744" s="123" t="s">
        <v>25</v>
      </c>
      <c r="B1744" s="36" t="s">
        <v>1170</v>
      </c>
      <c r="C1744" s="117">
        <v>5500502905</v>
      </c>
      <c r="D1744" s="165">
        <v>45439</v>
      </c>
      <c r="E1744" s="117" t="s">
        <v>1055</v>
      </c>
      <c r="F1744" s="36" t="str">
        <f>IFERROR(VLOOKUP(Table1[[#This Row],[Part Number]],DATABASE_FG!$C$6:D11733,2,FALSE)," ")</f>
        <v>BUSHING            M26X1,0X48,0 SW3</v>
      </c>
      <c r="G1744" s="117" t="str">
        <f>IFERROR(_xlfn.XLOOKUP(Table1[[#This Row],[Part Number]],Table3[Part number],Table3[Drawing
 Revision]),"")</f>
        <v>B</v>
      </c>
      <c r="H1744" s="118" cm="1">
        <f t="array" ref="H1744">IFERROR(INDEX(PDB!$C:$AT,MATCH(E1744,PDB!$B:$B,0),MATCH(YEAR(K1744),0+PDB!$C$1:$AT$1,0)),"")</f>
        <v>8.35</v>
      </c>
      <c r="I1744" s="36">
        <v>24</v>
      </c>
      <c r="J1744" s="125">
        <f>IFERROR(Table1[[#This Row],[Quantity]]*Table1[[#This Row],[Price/Unit
EUR]]," ")</f>
        <v>200.39999999999998</v>
      </c>
      <c r="K1744" s="126">
        <v>45519</v>
      </c>
      <c r="L1744" s="36">
        <f>WEEKNUM(Table1[[#This Row],[ETA
As requested
dd.mm.yyyy]])</f>
        <v>33</v>
      </c>
      <c r="M1744" s="36">
        <f>YEAR(Table1[[#This Row],[ETA
As requested
dd.mm.yyyy]])</f>
        <v>2024</v>
      </c>
      <c r="N1744" s="36">
        <f>IFERROR(INDEX(DATABASE_FG!$H$5:$H$367, MATCH(E1744, DATABASE_FG!$C$5:$C$367, 0)), " ")</f>
        <v>548</v>
      </c>
      <c r="O1744" s="129" t="str">
        <f>IF(E1744&lt;&gt;"", _xlfn.XLOOKUP(E1744, DATABASE_FG!C:C, DATABASE_FG!F:F), " ")</f>
        <v>BUSHING</v>
      </c>
      <c r="P1744" s="129">
        <f>IFERROR(INDEX(DATABASE_FG!$G$5:$G$367, MATCH(E1744, DATABASE_FG!$C$5:$C$367, 0)), "Not Found")</f>
        <v>650</v>
      </c>
      <c r="Q1744" s="36">
        <v>42</v>
      </c>
      <c r="R1744" s="125" t="s">
        <v>678</v>
      </c>
      <c r="S1744" s="123">
        <f>IFERROR(INDEX(DATABASE_FG!$L$5:$L$367, MATCH(E1744, DATABASE_FG!$C$5:$C$367, 0)), " ")</f>
        <v>56</v>
      </c>
      <c r="T1744" s="36" t="s">
        <v>679</v>
      </c>
      <c r="U1744" s="36"/>
      <c r="V1744" s="36"/>
      <c r="W1744" s="129"/>
      <c r="X1744" s="36"/>
      <c r="Y1744" s="36"/>
      <c r="Z1744" s="36"/>
      <c r="AA1744" s="125" t="s">
        <v>121</v>
      </c>
      <c r="AB1744" s="173">
        <v>45553</v>
      </c>
      <c r="AC1744" s="119">
        <v>202401146</v>
      </c>
      <c r="AD1744" s="36">
        <f t="shared" si="200"/>
        <v>5500502905</v>
      </c>
      <c r="AE1744" s="36" t="str">
        <f t="shared" si="201"/>
        <v>R901035906</v>
      </c>
      <c r="AF1744" s="36">
        <v>24</v>
      </c>
      <c r="AG1744" s="120">
        <f t="shared" si="194"/>
        <v>200.39999999999998</v>
      </c>
      <c r="AH1744" s="36"/>
      <c r="AI1744" s="124"/>
      <c r="AJ1744" s="122" t="s">
        <v>1952</v>
      </c>
      <c r="AK1744" s="129" t="str">
        <f t="shared" ca="1" si="193"/>
        <v>Late</v>
      </c>
      <c r="AL1744" s="268" t="str">
        <f t="shared" si="192"/>
        <v>August</v>
      </c>
      <c r="AM1744" s="133">
        <f>YEAR(Table1[[#This Row],[ETA
As requested
dd.mm.yyyy]])</f>
        <v>2024</v>
      </c>
    </row>
    <row r="1745" spans="1:39" ht="15.75" hidden="1">
      <c r="A1745" s="123" t="s">
        <v>25</v>
      </c>
      <c r="B1745" s="36" t="s">
        <v>1170</v>
      </c>
      <c r="C1745" s="117">
        <v>5500502905</v>
      </c>
      <c r="D1745" s="165">
        <v>45439</v>
      </c>
      <c r="E1745" s="117" t="s">
        <v>1055</v>
      </c>
      <c r="F1745" s="36" t="str">
        <f>IFERROR(VLOOKUP(Table1[[#This Row],[Part Number]],DATABASE_FG!$C$6:D11734,2,FALSE)," ")</f>
        <v>BUSHING            M26X1,0X48,0 SW3</v>
      </c>
      <c r="G1745" s="117" t="str">
        <f>IFERROR(_xlfn.XLOOKUP(Table1[[#This Row],[Part Number]],Table3[Part number],Table3[Drawing
 Revision]),"")</f>
        <v>B</v>
      </c>
      <c r="H1745" s="118" cm="1">
        <f t="array" ref="H1745">IFERROR(INDEX(PDB!$C:$AT,MATCH(E1745,PDB!$B:$B,0),MATCH(YEAR(K1745),0+PDB!$C$1:$AT$1,0)),"")</f>
        <v>8.35</v>
      </c>
      <c r="I1745" s="36">
        <v>56</v>
      </c>
      <c r="J1745" s="125">
        <f>IFERROR(Table1[[#This Row],[Quantity]]*Table1[[#This Row],[Price/Unit
EUR]]," ")</f>
        <v>467.59999999999997</v>
      </c>
      <c r="K1745" s="126">
        <v>45519</v>
      </c>
      <c r="L1745" s="36">
        <f>WEEKNUM(Table1[[#This Row],[ETA
As requested
dd.mm.yyyy]])</f>
        <v>33</v>
      </c>
      <c r="M1745" s="36">
        <f>YEAR(Table1[[#This Row],[ETA
As requested
dd.mm.yyyy]])</f>
        <v>2024</v>
      </c>
      <c r="N1745" s="36">
        <f>IFERROR(INDEX(DATABASE_FG!$H$5:$H$367, MATCH(E1745, DATABASE_FG!$C$5:$C$367, 0)), " ")</f>
        <v>548</v>
      </c>
      <c r="O1745" s="129" t="str">
        <f>IF(E1745&lt;&gt;"", _xlfn.XLOOKUP(E1745, DATABASE_FG!C:C, DATABASE_FG!F:F), " ")</f>
        <v>BUSHING</v>
      </c>
      <c r="P1745" s="129">
        <f>IFERROR(INDEX(DATABASE_FG!$G$5:$G$367, MATCH(E1745, DATABASE_FG!$C$5:$C$367, 0)), "Not Found")</f>
        <v>650</v>
      </c>
      <c r="Q1745" s="36">
        <v>42</v>
      </c>
      <c r="R1745" s="125" t="s">
        <v>678</v>
      </c>
      <c r="S1745" s="123">
        <f>IFERROR(INDEX(DATABASE_FG!$L$5:$L$367, MATCH(E1745, DATABASE_FG!$C$5:$C$367, 0)), " ")</f>
        <v>56</v>
      </c>
      <c r="T1745" s="36" t="s">
        <v>679</v>
      </c>
      <c r="U1745" s="36"/>
      <c r="V1745" s="36"/>
      <c r="W1745" s="129"/>
      <c r="X1745" s="36"/>
      <c r="Y1745" s="36"/>
      <c r="Z1745" s="36"/>
      <c r="AA1745" s="125" t="s">
        <v>121</v>
      </c>
      <c r="AB1745" s="173">
        <v>45553</v>
      </c>
      <c r="AC1745" s="119">
        <v>202401146</v>
      </c>
      <c r="AD1745" s="36">
        <f t="shared" si="200"/>
        <v>5500502905</v>
      </c>
      <c r="AE1745" s="36" t="str">
        <f t="shared" si="201"/>
        <v>R901035906</v>
      </c>
      <c r="AF1745" s="36">
        <v>56</v>
      </c>
      <c r="AG1745" s="120">
        <f t="shared" si="194"/>
        <v>467.59999999999997</v>
      </c>
      <c r="AH1745" s="36"/>
      <c r="AI1745" s="124" t="s">
        <v>1953</v>
      </c>
      <c r="AJ1745" s="122" t="s">
        <v>1952</v>
      </c>
      <c r="AK1745" s="129" t="str">
        <f t="shared" ca="1" si="193"/>
        <v>Late</v>
      </c>
      <c r="AL1745" s="268" t="str">
        <f t="shared" si="192"/>
        <v>August</v>
      </c>
      <c r="AM1745" s="133">
        <f>YEAR(Table1[[#This Row],[ETA
As requested
dd.mm.yyyy]])</f>
        <v>2024</v>
      </c>
    </row>
    <row r="1746" spans="1:39" ht="15.75" hidden="1">
      <c r="A1746" s="123" t="s">
        <v>25</v>
      </c>
      <c r="B1746" s="36" t="s">
        <v>1170</v>
      </c>
      <c r="C1746" s="117">
        <v>5500502905</v>
      </c>
      <c r="D1746" s="165">
        <v>45439</v>
      </c>
      <c r="E1746" s="117" t="s">
        <v>1055</v>
      </c>
      <c r="F1746" s="36" t="str">
        <f>IFERROR(VLOOKUP(Table1[[#This Row],[Part Number]],DATABASE_FG!$C$6:D11735,2,FALSE)," ")</f>
        <v>BUSHING            M26X1,0X48,0 SW3</v>
      </c>
      <c r="G1746" s="117" t="str">
        <f>IFERROR(_xlfn.XLOOKUP(Table1[[#This Row],[Part Number]],Table3[Part number],Table3[Drawing
 Revision]),"")</f>
        <v>B</v>
      </c>
      <c r="H1746" s="118" cm="1">
        <f t="array" ref="H1746">IFERROR(INDEX(PDB!$C:$AT,MATCH(E1746,PDB!$B:$B,0),MATCH(YEAR(K1746),0+PDB!$C$1:$AT$1,0)),"")</f>
        <v>8.35</v>
      </c>
      <c r="I1746" s="36">
        <v>133</v>
      </c>
      <c r="J1746" s="125">
        <f>IFERROR(Table1[[#This Row],[Quantity]]*Table1[[#This Row],[Price/Unit
EUR]]," ")</f>
        <v>1110.55</v>
      </c>
      <c r="K1746" s="126">
        <v>45519</v>
      </c>
      <c r="L1746" s="36">
        <f>WEEKNUM(Table1[[#This Row],[ETA
As requested
dd.mm.yyyy]])</f>
        <v>33</v>
      </c>
      <c r="M1746" s="36">
        <f>YEAR(Table1[[#This Row],[ETA
As requested
dd.mm.yyyy]])</f>
        <v>2024</v>
      </c>
      <c r="N1746" s="36">
        <f>IFERROR(INDEX(DATABASE_FG!$H$5:$H$367, MATCH(E1748, DATABASE_FG!$C$5:$C$367, 0)), " ")</f>
        <v>548</v>
      </c>
      <c r="O1746" s="129" t="str">
        <f>IF(E1746&lt;&gt;"", _xlfn.XLOOKUP(E1746, DATABASE_FG!C:C, DATABASE_FG!F:F), " ")</f>
        <v>BUSHING</v>
      </c>
      <c r="P1746" s="129">
        <f>IFERROR(INDEX(DATABASE_FG!$G$5:$G$367, MATCH(E1746, DATABASE_FG!$C$5:$C$367, 0)), "Not Found")</f>
        <v>650</v>
      </c>
      <c r="Q1746" s="36">
        <v>42</v>
      </c>
      <c r="R1746" s="125" t="s">
        <v>678</v>
      </c>
      <c r="S1746" s="123">
        <f>IFERROR(INDEX(DATABASE_FG!$L$5:$L$367, MATCH(E1748, DATABASE_FG!$C$5:$C$367, 0)), " ")</f>
        <v>56</v>
      </c>
      <c r="T1746" s="36" t="s">
        <v>679</v>
      </c>
      <c r="U1746" s="36"/>
      <c r="V1746" s="36"/>
      <c r="W1746" s="129"/>
      <c r="X1746" s="36"/>
      <c r="Y1746" s="36"/>
      <c r="Z1746" s="36"/>
      <c r="AA1746" s="125" t="s">
        <v>121</v>
      </c>
      <c r="AB1746" s="173">
        <v>45573</v>
      </c>
      <c r="AC1746" s="119">
        <v>202401215</v>
      </c>
      <c r="AD1746" s="36">
        <f t="shared" si="200"/>
        <v>5500502905</v>
      </c>
      <c r="AE1746" s="36" t="str">
        <f t="shared" si="201"/>
        <v>R901035906</v>
      </c>
      <c r="AF1746" s="36">
        <f>133-96-16</f>
        <v>21</v>
      </c>
      <c r="AG1746" s="120">
        <f t="shared" si="194"/>
        <v>175.35</v>
      </c>
      <c r="AH1746" s="36"/>
      <c r="AI1746" s="124" t="s">
        <v>1954</v>
      </c>
      <c r="AJ1746" s="122" t="s">
        <v>1955</v>
      </c>
      <c r="AK1746" s="129" t="str">
        <f t="shared" ca="1" si="193"/>
        <v>Late</v>
      </c>
      <c r="AL1746" s="268" t="str">
        <f t="shared" si="192"/>
        <v>August</v>
      </c>
      <c r="AM1746" s="133">
        <f>YEAR(Table1[[#This Row],[ETA
As requested
dd.mm.yyyy]])</f>
        <v>2024</v>
      </c>
    </row>
    <row r="1747" spans="1:39" hidden="1">
      <c r="A1747" s="123" t="s">
        <v>25</v>
      </c>
      <c r="B1747" s="36" t="s">
        <v>1170</v>
      </c>
      <c r="C1747" s="117">
        <v>5500502905</v>
      </c>
      <c r="D1747" s="165">
        <v>45439</v>
      </c>
      <c r="E1747" s="117" t="s">
        <v>1055</v>
      </c>
      <c r="F1747" s="36" t="str">
        <f>IFERROR(VLOOKUP(Table1[[#This Row],[Part Number]],DATABASE_FG!$C$6:D11736,2,FALSE)," ")</f>
        <v>BUSHING            M26X1,0X48,0 SW3</v>
      </c>
      <c r="G1747" s="117" t="str">
        <f>IFERROR(_xlfn.XLOOKUP(Table1[[#This Row],[Part Number]],Table3[Part number],Table3[Drawing
 Revision]),"")</f>
        <v>B</v>
      </c>
      <c r="H1747" s="118" cm="1">
        <f t="array" ref="H1747">IFERROR(INDEX(PDB!$C:$AT,MATCH(E1747,PDB!$B:$B,0),MATCH(YEAR(K1747),0+PDB!$C$1:$AT$1,0)),"")</f>
        <v>8.35</v>
      </c>
      <c r="I1747" s="36">
        <v>38</v>
      </c>
      <c r="J1747" s="125">
        <f>IFERROR(Table1[[#This Row],[Quantity]]*Table1[[#This Row],[Price/Unit
EUR]]," ")</f>
        <v>317.3</v>
      </c>
      <c r="K1747" s="126">
        <v>45519</v>
      </c>
      <c r="L1747" s="36">
        <f>WEEKNUM(Table1[[#This Row],[ETA
As requested
dd.mm.yyyy]])</f>
        <v>33</v>
      </c>
      <c r="M1747" s="36">
        <f>YEAR(Table1[[#This Row],[ETA
As requested
dd.mm.yyyy]])</f>
        <v>2024</v>
      </c>
      <c r="N1747" s="36">
        <f>IFERROR(INDEX(DATABASE_FG!$H$5:$H$367, MATCH(E1752, DATABASE_FG!$C$5:$C$367, 0)), " ")</f>
        <v>548</v>
      </c>
      <c r="O1747" s="129" t="str">
        <f>IF(E1747&lt;&gt;"", _xlfn.XLOOKUP(E1747, DATABASE_FG!C:C, DATABASE_FG!F:F), " ")</f>
        <v>BUSHING</v>
      </c>
      <c r="P1747" s="129">
        <f>IFERROR(INDEX(DATABASE_FG!$G$5:$G$367, MATCH(E1747, DATABASE_FG!$C$5:$C$367, 0)), "Not Found")</f>
        <v>650</v>
      </c>
      <c r="Q1747" s="36">
        <v>42</v>
      </c>
      <c r="R1747" s="125" t="s">
        <v>678</v>
      </c>
      <c r="S1747" s="123">
        <f>IFERROR(INDEX(DATABASE_FG!$L$5:$L$367, MATCH(E1752, DATABASE_FG!$C$5:$C$367, 0)), " ")</f>
        <v>56</v>
      </c>
      <c r="T1747" s="36" t="s">
        <v>679</v>
      </c>
      <c r="U1747" s="36"/>
      <c r="V1747" s="36"/>
      <c r="W1747" s="129"/>
      <c r="X1747" s="36"/>
      <c r="Y1747" s="36"/>
      <c r="Z1747" s="36"/>
      <c r="AA1747" s="125" t="s">
        <v>121</v>
      </c>
      <c r="AB1747" s="173">
        <v>45593</v>
      </c>
      <c r="AC1747" s="119">
        <v>202401287</v>
      </c>
      <c r="AD1747" s="36">
        <f t="shared" si="200"/>
        <v>5500502905</v>
      </c>
      <c r="AE1747" s="36" t="str">
        <f t="shared" si="201"/>
        <v>R901035906</v>
      </c>
      <c r="AF1747" s="36">
        <v>38</v>
      </c>
      <c r="AG1747" s="120">
        <f t="shared" si="194"/>
        <v>317.3</v>
      </c>
      <c r="AH1747" s="36"/>
      <c r="AI1747" s="124"/>
      <c r="AJ1747" s="122" t="s">
        <v>1956</v>
      </c>
      <c r="AK1747" s="129" t="str">
        <f t="shared" ca="1" si="193"/>
        <v>Late</v>
      </c>
      <c r="AL1747" s="268" t="str">
        <f t="shared" si="192"/>
        <v>August</v>
      </c>
      <c r="AM1747" s="133">
        <f>YEAR(Table1[[#This Row],[ETA
As requested
dd.mm.yyyy]])</f>
        <v>2024</v>
      </c>
    </row>
    <row r="1748" spans="1:39" hidden="1">
      <c r="A1748" s="123" t="s">
        <v>25</v>
      </c>
      <c r="B1748" s="36" t="s">
        <v>1170</v>
      </c>
      <c r="C1748" s="117">
        <v>5500502905</v>
      </c>
      <c r="D1748" s="165">
        <v>45439</v>
      </c>
      <c r="E1748" s="117" t="s">
        <v>1055</v>
      </c>
      <c r="F1748" s="36" t="str">
        <f>IFERROR(VLOOKUP(Table1[[#This Row],[Part Number]],DATABASE_FG!$C$6:D11737,2,FALSE)," ")</f>
        <v>BUSHING            M26X1,0X48,0 SW3</v>
      </c>
      <c r="G1748" s="117" t="str">
        <f>IFERROR(_xlfn.XLOOKUP(Table1[[#This Row],[Part Number]],Table3[Part number],Table3[Drawing
 Revision]),"")</f>
        <v>B</v>
      </c>
      <c r="H1748" s="118" cm="1">
        <f t="array" ref="H1748">IFERROR(INDEX(PDB!$C:$AT,MATCH(E1748,PDB!$B:$B,0),MATCH(YEAR(K1748),0+PDB!$C$1:$AT$1,0)),"")</f>
        <v>8.35</v>
      </c>
      <c r="I1748" s="36">
        <v>106</v>
      </c>
      <c r="J1748" s="125">
        <f>IFERROR(Table1[[#This Row],[Quantity]]*Table1[[#This Row],[Price/Unit
EUR]]," ")</f>
        <v>885.09999999999991</v>
      </c>
      <c r="K1748" s="126">
        <v>45519</v>
      </c>
      <c r="L1748" s="36">
        <f>WEEKNUM(Table1[[#This Row],[ETA
As requested
dd.mm.yyyy]])</f>
        <v>33</v>
      </c>
      <c r="M1748" s="36">
        <f>YEAR(Table1[[#This Row],[ETA
As requested
dd.mm.yyyy]])</f>
        <v>2024</v>
      </c>
      <c r="N1748" s="36" t="str">
        <f>IFERROR(INDEX(DATABASE_FG!$H$5:$H$367, MATCH(#REF!, DATABASE_FG!$C$5:$C$367, 0)), " ")</f>
        <v xml:space="preserve"> </v>
      </c>
      <c r="O1748" s="129" t="str">
        <f>IF(E1748&lt;&gt;"", _xlfn.XLOOKUP(E1748, DATABASE_FG!C:C, DATABASE_FG!F:F), " ")</f>
        <v>BUSHING</v>
      </c>
      <c r="P1748" s="129">
        <f>IFERROR(INDEX(DATABASE_FG!$G$5:$G$367, MATCH(E1748, DATABASE_FG!$C$5:$C$367, 0)), "Not Found")</f>
        <v>650</v>
      </c>
      <c r="Q1748" s="36">
        <v>42</v>
      </c>
      <c r="R1748" s="125" t="s">
        <v>678</v>
      </c>
      <c r="S1748" s="123">
        <f>IFERROR(INDEX(DATABASE_FG!$L$5:$L$367, MATCH(E1748, DATABASE_FG!$C$5:$C$367, 0)), " ")</f>
        <v>56</v>
      </c>
      <c r="T1748" s="36" t="s">
        <v>679</v>
      </c>
      <c r="U1748" s="36"/>
      <c r="V1748" s="36"/>
      <c r="W1748" s="129"/>
      <c r="X1748" s="36" t="s">
        <v>1957</v>
      </c>
      <c r="Y1748" s="36" t="s">
        <v>1958</v>
      </c>
      <c r="Z1748" s="36" t="s">
        <v>1959</v>
      </c>
      <c r="AA1748" s="125" t="s">
        <v>121</v>
      </c>
      <c r="AB1748" s="173">
        <v>45602</v>
      </c>
      <c r="AC1748" s="119">
        <v>202401339</v>
      </c>
      <c r="AD1748" s="36">
        <f t="shared" si="200"/>
        <v>5500502905</v>
      </c>
      <c r="AE1748" s="36" t="str">
        <f t="shared" si="201"/>
        <v>R901035906</v>
      </c>
      <c r="AF1748" s="36">
        <v>106</v>
      </c>
      <c r="AG1748" s="120">
        <f t="shared" si="194"/>
        <v>885.09999999999991</v>
      </c>
      <c r="AH1748" s="36"/>
      <c r="AI1748" s="124"/>
      <c r="AJ1748" s="122" t="s">
        <v>1960</v>
      </c>
      <c r="AK1748" s="129" t="str">
        <f t="shared" ca="1" si="193"/>
        <v>Late</v>
      </c>
      <c r="AL1748" s="268" t="str">
        <f t="shared" si="192"/>
        <v>August</v>
      </c>
      <c r="AM1748" s="133">
        <f>YEAR(Table1[[#This Row],[ETA
As requested
dd.mm.yyyy]])</f>
        <v>2024</v>
      </c>
    </row>
    <row r="1749" spans="1:39" hidden="1">
      <c r="A1749" s="123" t="s">
        <v>25</v>
      </c>
      <c r="B1749" s="36" t="s">
        <v>1170</v>
      </c>
      <c r="C1749" s="117">
        <v>5500502905</v>
      </c>
      <c r="D1749" s="165">
        <v>45439</v>
      </c>
      <c r="E1749" s="117" t="s">
        <v>1055</v>
      </c>
      <c r="F1749" s="36" t="str">
        <f>IFERROR(VLOOKUP(Table1[[#This Row],[Part Number]],DATABASE_FG!$C$6:D11738,2,FALSE)," ")</f>
        <v>BUSHING            M26X1,0X48,0 SW3</v>
      </c>
      <c r="G1749" s="117" t="str">
        <f>IFERROR(_xlfn.XLOOKUP(Table1[[#This Row],[Part Number]],Table3[Part number],Table3[Drawing
 Revision]),"")</f>
        <v>B</v>
      </c>
      <c r="H1749" s="118" cm="1">
        <f t="array" ref="H1749">IFERROR(INDEX(PDB!$C:$AT,MATCH(E1749,PDB!$B:$B,0),MATCH(YEAR(K1749),0+PDB!$C$1:$AT$1,0)),"")</f>
        <v>8.35</v>
      </c>
      <c r="I1749" s="36">
        <v>15</v>
      </c>
      <c r="J1749" s="125">
        <f>IFERROR(Table1[[#This Row],[Quantity]]*Table1[[#This Row],[Price/Unit
EUR]]," ")</f>
        <v>125.25</v>
      </c>
      <c r="K1749" s="126">
        <v>45519</v>
      </c>
      <c r="L1749" s="36">
        <f>WEEKNUM(Table1[[#This Row],[ETA
As requested
dd.mm.yyyy]])</f>
        <v>33</v>
      </c>
      <c r="M1749" s="36">
        <f>YEAR(Table1[[#This Row],[ETA
As requested
dd.mm.yyyy]])</f>
        <v>2024</v>
      </c>
      <c r="N1749" s="36">
        <f>IFERROR(INDEX(DATABASE_FG!$H$5:$H$367, MATCH(E1753, DATABASE_FG!$C$5:$C$367, 0)), " ")</f>
        <v>548</v>
      </c>
      <c r="O1749" s="129" t="str">
        <f>IF(E1749&lt;&gt;"", _xlfn.XLOOKUP(E1749, DATABASE_FG!C:C, DATABASE_FG!F:F), " ")</f>
        <v>BUSHING</v>
      </c>
      <c r="P1749" s="129">
        <f>IFERROR(INDEX(DATABASE_FG!$G$5:$G$367, MATCH(E1749, DATABASE_FG!$C$5:$C$367, 0)), "Not Found")</f>
        <v>650</v>
      </c>
      <c r="Q1749" s="36">
        <v>42</v>
      </c>
      <c r="R1749" s="125" t="s">
        <v>678</v>
      </c>
      <c r="S1749" s="123">
        <f>IFERROR(INDEX(DATABASE_FG!$L$5:$L$367, MATCH(E1753, DATABASE_FG!$C$5:$C$367, 0)), " ")</f>
        <v>56</v>
      </c>
      <c r="T1749" s="36" t="s">
        <v>679</v>
      </c>
      <c r="U1749" s="36"/>
      <c r="V1749" s="36"/>
      <c r="W1749" s="129"/>
      <c r="X1749" s="36" t="s">
        <v>1957</v>
      </c>
      <c r="Y1749" s="36" t="s">
        <v>1958</v>
      </c>
      <c r="Z1749" s="36" t="s">
        <v>1959</v>
      </c>
      <c r="AA1749" s="125" t="s">
        <v>121</v>
      </c>
      <c r="AB1749" s="173">
        <v>45604</v>
      </c>
      <c r="AC1749" s="119">
        <v>202401354</v>
      </c>
      <c r="AD1749" s="36">
        <f t="shared" si="200"/>
        <v>5500502905</v>
      </c>
      <c r="AE1749" s="36" t="str">
        <f t="shared" si="201"/>
        <v>R901035906</v>
      </c>
      <c r="AF1749" s="36">
        <v>15</v>
      </c>
      <c r="AG1749" s="120">
        <f t="shared" si="194"/>
        <v>125.25</v>
      </c>
      <c r="AH1749" s="36"/>
      <c r="AI1749" s="124"/>
      <c r="AJ1749" s="122" t="s">
        <v>1961</v>
      </c>
      <c r="AK1749" s="129" t="str">
        <f t="shared" ca="1" si="193"/>
        <v>Late</v>
      </c>
      <c r="AL1749" s="268" t="str">
        <f t="shared" si="192"/>
        <v>August</v>
      </c>
      <c r="AM1749" s="133">
        <f>YEAR(Table1[[#This Row],[ETA
As requested
dd.mm.yyyy]])</f>
        <v>2024</v>
      </c>
    </row>
    <row r="1750" spans="1:39" hidden="1">
      <c r="A1750" s="123" t="s">
        <v>25</v>
      </c>
      <c r="B1750" s="36" t="s">
        <v>1170</v>
      </c>
      <c r="C1750" s="117">
        <v>5500502905</v>
      </c>
      <c r="D1750" s="165">
        <v>45439</v>
      </c>
      <c r="E1750" s="117" t="s">
        <v>1055</v>
      </c>
      <c r="F1750" s="36" t="str">
        <f>IFERROR(VLOOKUP(Table1[[#This Row],[Part Number]],DATABASE_FG!$C$6:D11739,2,FALSE)," ")</f>
        <v>BUSHING            M26X1,0X48,0 SW3</v>
      </c>
      <c r="G1750" s="117" t="str">
        <f>IFERROR(_xlfn.XLOOKUP(Table1[[#This Row],[Part Number]],Table3[Part number],Table3[Drawing
 Revision]),"")</f>
        <v>B</v>
      </c>
      <c r="H1750" s="118" cm="1">
        <f t="array" ref="H1750">IFERROR(INDEX(PDB!$C:$AT,MATCH(E1750,PDB!$B:$B,0),MATCH(YEAR(K1750),0+PDB!$C$1:$AT$1,0)),"")</f>
        <v>8.35</v>
      </c>
      <c r="I1750" s="36">
        <v>41</v>
      </c>
      <c r="J1750" s="125">
        <f>IFERROR(Table1[[#This Row],[Quantity]]*Table1[[#This Row],[Price/Unit
EUR]]," ")</f>
        <v>342.34999999999997</v>
      </c>
      <c r="K1750" s="126">
        <v>45519</v>
      </c>
      <c r="L1750" s="36">
        <f>WEEKNUM(Table1[[#This Row],[ETA
As requested
dd.mm.yyyy]])</f>
        <v>33</v>
      </c>
      <c r="M1750" s="36">
        <f>YEAR(Table1[[#This Row],[ETA
As requested
dd.mm.yyyy]])</f>
        <v>2024</v>
      </c>
      <c r="N1750" s="36">
        <f>IFERROR(INDEX(DATABASE_FG!$H$5:$H$367, MATCH(E1750, DATABASE_FG!$C$5:$C$367, 0)), " ")</f>
        <v>548</v>
      </c>
      <c r="O1750" s="129" t="str">
        <f>IF(E1750&lt;&gt;"", _xlfn.XLOOKUP(E1750, DATABASE_FG!C:C, DATABASE_FG!F:F), " ")</f>
        <v>BUSHING</v>
      </c>
      <c r="P1750" s="129">
        <f>IFERROR(INDEX(DATABASE_FG!$G$5:$G$367, MATCH(E1750, DATABASE_FG!$C$5:$C$367, 0)), "Not Found")</f>
        <v>650</v>
      </c>
      <c r="Q1750" s="36">
        <v>42</v>
      </c>
      <c r="R1750" s="125" t="s">
        <v>678</v>
      </c>
      <c r="S1750" s="123">
        <f>IFERROR(INDEX(DATABASE_FG!$L$5:$L$367, MATCH(E1758, DATABASE_FG!$C$5:$C$367, 0)), " ")</f>
        <v>56</v>
      </c>
      <c r="T1750" s="36" t="s">
        <v>679</v>
      </c>
      <c r="U1750" s="36"/>
      <c r="V1750" s="36"/>
      <c r="W1750" s="129"/>
      <c r="X1750" s="36"/>
      <c r="Y1750" s="36"/>
      <c r="Z1750" s="36"/>
      <c r="AA1750" s="125" t="s">
        <v>121</v>
      </c>
      <c r="AB1750" s="173">
        <v>45637</v>
      </c>
      <c r="AC1750" s="119">
        <v>202401519</v>
      </c>
      <c r="AD1750" s="36">
        <f t="shared" si="200"/>
        <v>5500502905</v>
      </c>
      <c r="AE1750" s="36" t="str">
        <f t="shared" si="201"/>
        <v>R901035906</v>
      </c>
      <c r="AF1750" s="36">
        <v>41</v>
      </c>
      <c r="AG1750" s="120">
        <f t="shared" si="194"/>
        <v>342.34999999999997</v>
      </c>
      <c r="AH1750" s="36"/>
      <c r="AI1750" s="124"/>
      <c r="AJ1750" s="122" t="s">
        <v>1962</v>
      </c>
      <c r="AK1750" s="129" t="str">
        <f t="shared" ca="1" si="193"/>
        <v>Late</v>
      </c>
      <c r="AL1750" s="268" t="str">
        <f t="shared" si="192"/>
        <v>August</v>
      </c>
      <c r="AM1750" s="133">
        <f>YEAR(Table1[[#This Row],[ETA
As requested
dd.mm.yyyy]])</f>
        <v>2024</v>
      </c>
    </row>
    <row r="1751" spans="1:39" hidden="1">
      <c r="A1751" s="123" t="s">
        <v>25</v>
      </c>
      <c r="B1751" s="36" t="s">
        <v>1170</v>
      </c>
      <c r="C1751" s="117">
        <v>5500502905</v>
      </c>
      <c r="D1751" s="165">
        <v>45439</v>
      </c>
      <c r="E1751" s="117" t="s">
        <v>1055</v>
      </c>
      <c r="F1751" s="36" t="str">
        <f>IFERROR(VLOOKUP(Table1[[#This Row],[Part Number]],DATABASE_FG!$C$6:D11740,2,FALSE)," ")</f>
        <v>BUSHING            M26X1,0X48,0 SW3</v>
      </c>
      <c r="G1751" s="117" t="str">
        <f>IFERROR(_xlfn.XLOOKUP(Table1[[#This Row],[Part Number]],Table3[Part number],Table3[Drawing
 Revision]),"")</f>
        <v>B</v>
      </c>
      <c r="H1751" s="118" cm="1">
        <f t="array" ref="H1751">IFERROR(INDEX(PDB!$C:$AT,MATCH(E1751,PDB!$B:$B,0),MATCH(YEAR(K1751),0+PDB!$C$1:$AT$1,0)),"")</f>
        <v>8.35</v>
      </c>
      <c r="I1751" s="36">
        <v>50</v>
      </c>
      <c r="J1751" s="125">
        <f>IFERROR(Table1[[#This Row],[Quantity]]*Table1[[#This Row],[Price/Unit
EUR]]," ")</f>
        <v>417.5</v>
      </c>
      <c r="K1751" s="126">
        <v>45519</v>
      </c>
      <c r="L1751" s="36">
        <f>WEEKNUM(Table1[[#This Row],[ETA
As requested
dd.mm.yyyy]])</f>
        <v>33</v>
      </c>
      <c r="M1751" s="36">
        <f>YEAR(Table1[[#This Row],[ETA
As requested
dd.mm.yyyy]])</f>
        <v>2024</v>
      </c>
      <c r="N1751" s="36">
        <f>IFERROR(INDEX(DATABASE_FG!$H$5:$H$367, MATCH(E1751, DATABASE_FG!$C$5:$C$367, 0)), " ")</f>
        <v>548</v>
      </c>
      <c r="O1751" s="129" t="str">
        <f>IF(E1751&lt;&gt;"", _xlfn.XLOOKUP(E1751, DATABASE_FG!C:C, DATABASE_FG!F:F), " ")</f>
        <v>BUSHING</v>
      </c>
      <c r="P1751" s="129">
        <f>IFERROR(INDEX(DATABASE_FG!$G$5:$G$367, MATCH(E1751, DATABASE_FG!$C$5:$C$367, 0)), "Not Found")</f>
        <v>650</v>
      </c>
      <c r="Q1751" s="36">
        <v>42</v>
      </c>
      <c r="R1751" s="125" t="s">
        <v>678</v>
      </c>
      <c r="S1751" s="123">
        <f>IFERROR(INDEX(DATABASE_FG!$L$5:$L$367, MATCH(E1757, DATABASE_FG!$C$5:$C$367, 0)), " ")</f>
        <v>56</v>
      </c>
      <c r="T1751" s="36" t="s">
        <v>679</v>
      </c>
      <c r="U1751" s="36"/>
      <c r="V1751" s="36"/>
      <c r="W1751" s="129"/>
      <c r="X1751" s="36"/>
      <c r="Y1751" s="36" t="s">
        <v>677</v>
      </c>
      <c r="Z1751" s="36"/>
      <c r="AA1751" s="125" t="s">
        <v>121</v>
      </c>
      <c r="AB1751" s="173">
        <v>45698</v>
      </c>
      <c r="AC1751" s="119">
        <v>25180</v>
      </c>
      <c r="AD1751" s="36">
        <f t="shared" si="200"/>
        <v>5500502905</v>
      </c>
      <c r="AE1751" s="36" t="str">
        <f t="shared" si="201"/>
        <v>R901035906</v>
      </c>
      <c r="AF1751" s="36">
        <v>50</v>
      </c>
      <c r="AG1751" s="120">
        <f t="shared" si="194"/>
        <v>417.5</v>
      </c>
      <c r="AH1751" s="36"/>
      <c r="AI1751" s="124"/>
      <c r="AJ1751" s="122" t="s">
        <v>1963</v>
      </c>
      <c r="AK1751" s="129" t="str">
        <f t="shared" ca="1" si="193"/>
        <v>Late</v>
      </c>
      <c r="AL1751" s="268" t="str">
        <f t="shared" si="192"/>
        <v>August</v>
      </c>
      <c r="AM1751" s="133">
        <f>YEAR(Table1[[#This Row],[ETA
As requested
dd.mm.yyyy]])</f>
        <v>2024</v>
      </c>
    </row>
    <row r="1752" spans="1:39" ht="15.75" hidden="1">
      <c r="A1752" s="123" t="s">
        <v>25</v>
      </c>
      <c r="B1752" s="36" t="s">
        <v>1170</v>
      </c>
      <c r="C1752" s="117">
        <v>5500502905</v>
      </c>
      <c r="D1752" s="165">
        <v>45572</v>
      </c>
      <c r="E1752" s="117" t="s">
        <v>1055</v>
      </c>
      <c r="F1752" s="36" t="str">
        <f>IFERROR(VLOOKUP(Table1[[#This Row],[Part Number]],DATABASE_FG!$C$6:D11741,2,FALSE)," ")</f>
        <v>BUSHING            M26X1,0X48,0 SW3</v>
      </c>
      <c r="G1752" s="117" t="str">
        <f>IFERROR(_xlfn.XLOOKUP(Table1[[#This Row],[Part Number]],Table3[Part number],Table3[Drawing
 Revision]),"")</f>
        <v>B</v>
      </c>
      <c r="H1752" s="118" cm="1">
        <f t="array" ref="H1752">IFERROR(INDEX(PDB!$C:$AT,MATCH(E1752,PDB!$B:$B,0),MATCH(YEAR(K1752),0+PDB!$C$1:$AT$1,0)),"")</f>
        <v>8.35</v>
      </c>
      <c r="I1752" s="36">
        <f>293-5</f>
        <v>288</v>
      </c>
      <c r="J1752" s="125">
        <f>IFERROR(Table1[[#This Row],[Quantity]]*Table1[[#This Row],[Price/Unit
EUR]]," ")</f>
        <v>2404.7999999999997</v>
      </c>
      <c r="K1752" s="126">
        <v>45596</v>
      </c>
      <c r="L1752" s="36">
        <f>WEEKNUM(Table1[[#This Row],[ETA
As requested
dd.mm.yyyy]])</f>
        <v>44</v>
      </c>
      <c r="M1752" s="36">
        <f>YEAR(Table1[[#This Row],[ETA
As requested
dd.mm.yyyy]])</f>
        <v>2024</v>
      </c>
      <c r="N1752" s="36">
        <f>IFERROR(INDEX(DATABASE_FG!$H$5:$H$367, MATCH(E1752, DATABASE_FG!$C$5:$C$367, 0)), " ")</f>
        <v>548</v>
      </c>
      <c r="O1752" s="129" t="str">
        <f>IF(E1752&lt;&gt;"", _xlfn.XLOOKUP(E1752, DATABASE_FG!C:C, DATABASE_FG!F:F), " ")</f>
        <v>BUSHING</v>
      </c>
      <c r="P1752" s="129">
        <f>IFERROR(INDEX(DATABASE_FG!$G$5:$G$367, MATCH(E1752, DATABASE_FG!$C$5:$C$367, 0)), "Not Found")</f>
        <v>650</v>
      </c>
      <c r="Q1752" s="36">
        <v>42</v>
      </c>
      <c r="R1752" s="125" t="s">
        <v>678</v>
      </c>
      <c r="S1752" s="123">
        <f>IFERROR(INDEX(DATABASE_FG!$L$5:$L$367, MATCH(E1752, DATABASE_FG!$C$5:$C$367, 0)), " ")</f>
        <v>56</v>
      </c>
      <c r="T1752" s="36" t="s">
        <v>679</v>
      </c>
      <c r="U1752" s="36"/>
      <c r="V1752" s="36"/>
      <c r="W1752" s="129"/>
      <c r="X1752" s="36" t="s">
        <v>2539</v>
      </c>
      <c r="Y1752" s="36" t="s">
        <v>677</v>
      </c>
      <c r="Z1752" s="36"/>
      <c r="AA1752" s="125" t="s">
        <v>121</v>
      </c>
      <c r="AB1752" s="173">
        <v>45702</v>
      </c>
      <c r="AC1752" s="119">
        <v>25200</v>
      </c>
      <c r="AD1752" s="36">
        <f t="shared" si="200"/>
        <v>5500502905</v>
      </c>
      <c r="AE1752" s="36" t="str">
        <f t="shared" si="201"/>
        <v>R901035906</v>
      </c>
      <c r="AF1752" s="36">
        <f>293-5</f>
        <v>288</v>
      </c>
      <c r="AG1752" s="120">
        <f t="shared" si="194"/>
        <v>2404.7999999999997</v>
      </c>
      <c r="AH1752" s="36"/>
      <c r="AI1752" s="124" t="s">
        <v>2540</v>
      </c>
      <c r="AJ1752" s="122" t="s">
        <v>2541</v>
      </c>
      <c r="AK1752" s="129" t="str">
        <f t="shared" ca="1" si="193"/>
        <v>Late</v>
      </c>
      <c r="AL1752" s="268" t="str">
        <f t="shared" si="192"/>
        <v>October</v>
      </c>
      <c r="AM1752" s="133">
        <f>YEAR(Table1[[#This Row],[ETA
As requested
dd.mm.yyyy]])</f>
        <v>2024</v>
      </c>
    </row>
    <row r="1753" spans="1:39" hidden="1">
      <c r="A1753" s="123" t="s">
        <v>25</v>
      </c>
      <c r="B1753" s="36" t="s">
        <v>1170</v>
      </c>
      <c r="C1753" s="117">
        <v>5500502905</v>
      </c>
      <c r="D1753" s="165">
        <v>45572</v>
      </c>
      <c r="E1753" s="117" t="s">
        <v>1055</v>
      </c>
      <c r="F1753" s="36" t="str">
        <f>IFERROR(VLOOKUP(Table1[[#This Row],[Part Number]],DATABASE_FG!$C$6:D11742,2,FALSE)," ")</f>
        <v>BUSHING            M26X1,0X48,0 SW3</v>
      </c>
      <c r="G1753" s="117" t="str">
        <f>IFERROR(_xlfn.XLOOKUP(Table1[[#This Row],[Part Number]],Table3[Part number],Table3[Drawing
 Revision]),"")</f>
        <v>B</v>
      </c>
      <c r="H1753" s="118" cm="1">
        <f t="array" ref="H1753">IFERROR(INDEX(PDB!$C:$AT,MATCH(E1753,PDB!$B:$B,0),MATCH(YEAR(K1753),0+PDB!$C$1:$AT$1,0)),"")</f>
        <v>8.35</v>
      </c>
      <c r="I1753" s="36">
        <f>355-29</f>
        <v>326</v>
      </c>
      <c r="J1753" s="125">
        <f>IFERROR(Table1[[#This Row],[Quantity]]*Table1[[#This Row],[Price/Unit
EUR]]," ")</f>
        <v>2722.1</v>
      </c>
      <c r="K1753" s="126">
        <v>45596</v>
      </c>
      <c r="L1753" s="36">
        <f>WEEKNUM(Table1[[#This Row],[ETA
As requested
dd.mm.yyyy]])</f>
        <v>44</v>
      </c>
      <c r="M1753" s="36">
        <f>YEAR(Table1[[#This Row],[ETA
As requested
dd.mm.yyyy]])</f>
        <v>2024</v>
      </c>
      <c r="N1753" s="36">
        <f>IFERROR(INDEX(DATABASE_FG!$H$5:$H$367, MATCH(E1753, DATABASE_FG!$C$5:$C$367, 0)), " ")</f>
        <v>548</v>
      </c>
      <c r="O1753" s="129" t="str">
        <f>IF(E1753&lt;&gt;"", _xlfn.XLOOKUP(E1753, DATABASE_FG!C:C, DATABASE_FG!F:F), " ")</f>
        <v>BUSHING</v>
      </c>
      <c r="P1753" s="129">
        <f>IFERROR(INDEX(DATABASE_FG!$G$5:$G$367, MATCH(E1753, DATABASE_FG!$C$5:$C$367, 0)), "Not Found")</f>
        <v>650</v>
      </c>
      <c r="Q1753" s="36">
        <v>42</v>
      </c>
      <c r="R1753" s="125" t="s">
        <v>678</v>
      </c>
      <c r="S1753" s="123">
        <f>IFERROR(INDEX(DATABASE_FG!$L$5:$L$367, MATCH(E1753, DATABASE_FG!$C$5:$C$367, 0)), " ")</f>
        <v>56</v>
      </c>
      <c r="T1753" s="36" t="s">
        <v>679</v>
      </c>
      <c r="U1753" s="36"/>
      <c r="V1753" s="36"/>
      <c r="W1753" s="129"/>
      <c r="X1753" s="36" t="s">
        <v>2539</v>
      </c>
      <c r="Y1753" s="36" t="s">
        <v>677</v>
      </c>
      <c r="Z1753" s="36"/>
      <c r="AA1753" s="125" t="s">
        <v>121</v>
      </c>
      <c r="AB1753" s="173">
        <v>45719</v>
      </c>
      <c r="AC1753" s="119">
        <v>25298</v>
      </c>
      <c r="AD1753" s="36">
        <f t="shared" si="200"/>
        <v>5500502905</v>
      </c>
      <c r="AE1753" s="36" t="str">
        <f t="shared" si="201"/>
        <v>R901035906</v>
      </c>
      <c r="AF1753" s="36">
        <f>355-29</f>
        <v>326</v>
      </c>
      <c r="AG1753" s="120">
        <f t="shared" si="194"/>
        <v>2722.1</v>
      </c>
      <c r="AH1753" s="36"/>
      <c r="AI1753" s="124" t="s">
        <v>2542</v>
      </c>
      <c r="AJ1753" s="341" t="s">
        <v>2543</v>
      </c>
      <c r="AK1753" s="129" t="str">
        <f t="shared" ca="1" si="193"/>
        <v>Late</v>
      </c>
      <c r="AL1753" s="268" t="str">
        <f t="shared" si="192"/>
        <v>October</v>
      </c>
      <c r="AM1753" s="133">
        <f>YEAR(Table1[[#This Row],[ETA
As requested
dd.mm.yyyy]])</f>
        <v>2024</v>
      </c>
    </row>
    <row r="1754" spans="1:39" hidden="1">
      <c r="A1754" s="123" t="s">
        <v>27</v>
      </c>
      <c r="B1754" s="36" t="s">
        <v>1170</v>
      </c>
      <c r="C1754" s="117">
        <v>5500511032</v>
      </c>
      <c r="D1754" s="165">
        <v>45446</v>
      </c>
      <c r="E1754" s="117" t="s">
        <v>963</v>
      </c>
      <c r="F1754" s="36" t="str">
        <f>IFERROR(VLOOKUP(Table1[[#This Row],[Part Number]],DATABASE_FG!$C$6:D11743,2,FALSE)," ")</f>
        <v>COVER              ZDC 16.-2X/NEUE</v>
      </c>
      <c r="G1754" s="117" t="str">
        <f>IFERROR(_xlfn.XLOOKUP(Table1[[#This Row],[Part Number]],Table3[Part number],Table3[Drawing
 Revision]),"")</f>
        <v>A</v>
      </c>
      <c r="H1754" s="118" cm="1">
        <f t="array" ref="H1754">IFERROR(INDEX(PDB!$C:$AT,MATCH(E1754,PDB!$B:$B,0),MATCH(YEAR(K1754),0+PDB!$C$1:$AT$1,0)),"")</f>
        <v>22.81</v>
      </c>
      <c r="I1754" s="36">
        <v>38</v>
      </c>
      <c r="J1754" s="125">
        <f>IFERROR(Table1[[#This Row],[Quantity]]*Table1[[#This Row],[Price/Unit
EUR]]," ")</f>
        <v>866.78</v>
      </c>
      <c r="K1754" s="126">
        <v>45722</v>
      </c>
      <c r="L1754" s="36">
        <f>WEEKNUM(Table1[[#This Row],[ETA
As requested
dd.mm.yyyy]])</f>
        <v>10</v>
      </c>
      <c r="M1754" s="36">
        <f>YEAR(Table1[[#This Row],[ETA
As requested
dd.mm.yyyy]])</f>
        <v>2025</v>
      </c>
      <c r="N1754" s="36">
        <f>IFERROR(INDEX(DATABASE_FG!$H$5:$H$367, MATCH(E1754, DATABASE_FG!$C$5:$C$367, 0)), " ")</f>
        <v>98</v>
      </c>
      <c r="O1754" s="129" t="str">
        <f>IF(E1754&lt;&gt;"", _xlfn.XLOOKUP(E1754, DATABASE_FG!C:C, DATABASE_FG!F:F), " ")</f>
        <v>COVER</v>
      </c>
      <c r="P1754" s="129">
        <f>IFERROR(INDEX(DATABASE_FG!$G$5:$G$367, MATCH(E1754, DATABASE_FG!$C$5:$C$367, 0)), "Not Found")</f>
        <v>50</v>
      </c>
      <c r="Q1754" s="36">
        <v>60</v>
      </c>
      <c r="R1754" s="125" t="s">
        <v>678</v>
      </c>
      <c r="S1754" s="123">
        <f>IFERROR(INDEX(DATABASE_FG!$L$5:$L$367, MATCH(E1754, DATABASE_FG!$C$5:$C$367, 0)), " ")</f>
        <v>56</v>
      </c>
      <c r="T1754" s="36" t="s">
        <v>677</v>
      </c>
      <c r="U1754" s="36"/>
      <c r="V1754" s="36"/>
      <c r="W1754" s="129"/>
      <c r="X1754" s="36"/>
      <c r="Y1754" s="36" t="s">
        <v>677</v>
      </c>
      <c r="Z1754" s="36"/>
      <c r="AA1754" s="125" t="s">
        <v>121</v>
      </c>
      <c r="AB1754" s="173">
        <v>45741</v>
      </c>
      <c r="AC1754" s="119">
        <v>25451</v>
      </c>
      <c r="AD1754" s="36">
        <f t="shared" si="200"/>
        <v>5500511032</v>
      </c>
      <c r="AE1754" s="36" t="str">
        <f t="shared" si="201"/>
        <v>R901075698</v>
      </c>
      <c r="AF1754" s="36">
        <v>38</v>
      </c>
      <c r="AG1754" s="120">
        <f t="shared" si="194"/>
        <v>866.78</v>
      </c>
      <c r="AH1754" s="36"/>
      <c r="AI1754" s="124"/>
      <c r="AJ1754" s="122" t="s">
        <v>2933</v>
      </c>
      <c r="AK1754" s="129" t="str">
        <f t="shared" ca="1" si="193"/>
        <v>Late</v>
      </c>
      <c r="AL1754" s="268" t="str">
        <f t="shared" si="192"/>
        <v>March</v>
      </c>
      <c r="AM1754" s="133">
        <f>YEAR(Table1[[#This Row],[ETA
As requested
dd.mm.yyyy]])</f>
        <v>2025</v>
      </c>
    </row>
    <row r="1755" spans="1:39" hidden="1">
      <c r="A1755" s="123" t="s">
        <v>27</v>
      </c>
      <c r="B1755" s="36" t="s">
        <v>1170</v>
      </c>
      <c r="C1755" s="117">
        <v>5500511032</v>
      </c>
      <c r="D1755" s="165">
        <v>45446</v>
      </c>
      <c r="E1755" s="117" t="s">
        <v>963</v>
      </c>
      <c r="F1755" s="36" t="str">
        <f>IFERROR(VLOOKUP(Table1[[#This Row],[Part Number]],DATABASE_FG!$C$6:D11744,2,FALSE)," ")</f>
        <v>COVER              ZDC 16.-2X/NEUE</v>
      </c>
      <c r="G1755" s="117" t="str">
        <f>IFERROR(_xlfn.XLOOKUP(Table1[[#This Row],[Part Number]],Table3[Part number],Table3[Drawing
 Revision]),"")</f>
        <v>A</v>
      </c>
      <c r="H1755" s="118" cm="1">
        <f t="array" ref="H1755">IFERROR(INDEX(PDB!$C:$AT,MATCH(E1755,PDB!$B:$B,0),MATCH(YEAR(K1755),0+PDB!$C$1:$AT$1,0)),"")</f>
        <v>22.81</v>
      </c>
      <c r="I1755" s="36">
        <v>1</v>
      </c>
      <c r="J1755" s="125">
        <f>IFERROR(Table1[[#This Row],[Quantity]]*Table1[[#This Row],[Price/Unit
EUR]]," ")</f>
        <v>22.81</v>
      </c>
      <c r="K1755" s="126">
        <v>45722</v>
      </c>
      <c r="L1755" s="36">
        <f>WEEKNUM(Table1[[#This Row],[ETA
As requested
dd.mm.yyyy]])</f>
        <v>10</v>
      </c>
      <c r="M1755" s="36">
        <f>YEAR(Table1[[#This Row],[ETA
As requested
dd.mm.yyyy]])</f>
        <v>2025</v>
      </c>
      <c r="N1755" s="36">
        <f>IFERROR(INDEX(DATABASE_FG!$H$5:$H$367, MATCH(E1755, DATABASE_FG!$C$5:$C$367, 0)), " ")</f>
        <v>98</v>
      </c>
      <c r="O1755" s="129" t="str">
        <f>IF(E1755&lt;&gt;"", _xlfn.XLOOKUP(E1755, DATABASE_FG!C:C, DATABASE_FG!F:F), " ")</f>
        <v>COVER</v>
      </c>
      <c r="P1755" s="129">
        <f>IFERROR(INDEX(DATABASE_FG!$G$5:$G$367, MATCH(E1755, DATABASE_FG!$C$5:$C$367, 0)), "Not Found")</f>
        <v>50</v>
      </c>
      <c r="Q1755" s="36">
        <v>60</v>
      </c>
      <c r="R1755" s="125" t="s">
        <v>678</v>
      </c>
      <c r="S1755" s="123">
        <f>IFERROR(INDEX(DATABASE_FG!$L$5:$L$367, MATCH(E1755, DATABASE_FG!$C$5:$C$367, 0)), " ")</f>
        <v>56</v>
      </c>
      <c r="T1755" s="36" t="s">
        <v>677</v>
      </c>
      <c r="U1755" s="36"/>
      <c r="V1755" s="36"/>
      <c r="W1755" s="129"/>
      <c r="X1755" s="36"/>
      <c r="Y1755" s="36" t="s">
        <v>677</v>
      </c>
      <c r="Z1755" s="36"/>
      <c r="AA1755" s="125" t="s">
        <v>121</v>
      </c>
      <c r="AB1755" s="173">
        <v>45744</v>
      </c>
      <c r="AC1755" s="119">
        <v>25485</v>
      </c>
      <c r="AD1755" s="36">
        <f t="shared" si="200"/>
        <v>5500511032</v>
      </c>
      <c r="AE1755" s="36" t="str">
        <f t="shared" si="201"/>
        <v>R901075698</v>
      </c>
      <c r="AF1755" s="36">
        <v>1</v>
      </c>
      <c r="AG1755" s="120">
        <f t="shared" si="194"/>
        <v>22.81</v>
      </c>
      <c r="AH1755" s="36"/>
      <c r="AI1755" s="124"/>
      <c r="AJ1755" s="122" t="s">
        <v>2934</v>
      </c>
      <c r="AK1755" s="129" t="str">
        <f t="shared" ca="1" si="193"/>
        <v>Late</v>
      </c>
      <c r="AL1755" s="268" t="str">
        <f t="shared" si="192"/>
        <v>March</v>
      </c>
      <c r="AM1755" s="133">
        <f>YEAR(Table1[[#This Row],[ETA
As requested
dd.mm.yyyy]])</f>
        <v>2025</v>
      </c>
    </row>
    <row r="1756" spans="1:39" hidden="1">
      <c r="A1756" s="123" t="s">
        <v>27</v>
      </c>
      <c r="B1756" s="36" t="s">
        <v>1170</v>
      </c>
      <c r="C1756" s="117">
        <v>5500511032</v>
      </c>
      <c r="D1756" s="165">
        <v>45446</v>
      </c>
      <c r="E1756" s="117" t="s">
        <v>963</v>
      </c>
      <c r="F1756" s="36" t="str">
        <f>IFERROR(VLOOKUP(Table1[[#This Row],[Part Number]],DATABASE_FG!$C$6:D11745,2,FALSE)," ")</f>
        <v>COVER              ZDC 16.-2X/NEUE</v>
      </c>
      <c r="G1756" s="117" t="str">
        <f>IFERROR(_xlfn.XLOOKUP(Table1[[#This Row],[Part Number]],Table3[Part number],Table3[Drawing
 Revision]),"")</f>
        <v>A</v>
      </c>
      <c r="H1756" s="118" cm="1">
        <f t="array" ref="H1756">IFERROR(INDEX(PDB!$C:$AT,MATCH(E1756,PDB!$B:$B,0),MATCH(YEAR(K1756),0+PDB!$C$1:$AT$1,0)),"")</f>
        <v>22.81</v>
      </c>
      <c r="I1756" s="36">
        <v>93</v>
      </c>
      <c r="J1756" s="125">
        <f>IFERROR(Table1[[#This Row],[Quantity]]*Table1[[#This Row],[Price/Unit
EUR]]," ")</f>
        <v>2121.33</v>
      </c>
      <c r="K1756" s="126">
        <v>45722</v>
      </c>
      <c r="L1756" s="36">
        <f>WEEKNUM(Table1[[#This Row],[ETA
As requested
dd.mm.yyyy]])</f>
        <v>10</v>
      </c>
      <c r="M1756" s="36">
        <f>YEAR(Table1[[#This Row],[ETA
As requested
dd.mm.yyyy]])</f>
        <v>2025</v>
      </c>
      <c r="N1756" s="36">
        <f>IFERROR(INDEX(DATABASE_FG!$H$5:$H$367, MATCH(E1756, DATABASE_FG!$C$5:$C$367, 0)), " ")</f>
        <v>98</v>
      </c>
      <c r="O1756" s="129" t="str">
        <f>IF(E1756&lt;&gt;"", _xlfn.XLOOKUP(E1756, DATABASE_FG!C:C, DATABASE_FG!F:F), " ")</f>
        <v>COVER</v>
      </c>
      <c r="P1756" s="129">
        <f>IFERROR(INDEX(DATABASE_FG!$G$5:$G$367, MATCH(E1756, DATABASE_FG!$C$5:$C$367, 0)), "Not Found")</f>
        <v>50</v>
      </c>
      <c r="Q1756" s="36">
        <v>60</v>
      </c>
      <c r="R1756" s="125" t="s">
        <v>678</v>
      </c>
      <c r="S1756" s="123">
        <f>IFERROR(INDEX(DATABASE_FG!$L$5:$L$367, MATCH(E1756, DATABASE_FG!$C$5:$C$367, 0)), " ")</f>
        <v>56</v>
      </c>
      <c r="T1756" s="36" t="s">
        <v>677</v>
      </c>
      <c r="U1756" s="36"/>
      <c r="V1756" s="36"/>
      <c r="W1756" s="129"/>
      <c r="X1756" s="36"/>
      <c r="Y1756" s="36"/>
      <c r="Z1756" s="36"/>
      <c r="AA1756" s="125" t="s">
        <v>121</v>
      </c>
      <c r="AB1756" s="173">
        <v>45764</v>
      </c>
      <c r="AC1756" s="119">
        <v>25638</v>
      </c>
      <c r="AD1756" s="36">
        <f t="shared" si="200"/>
        <v>5500511032</v>
      </c>
      <c r="AE1756" s="36" t="str">
        <f t="shared" si="201"/>
        <v>R901075698</v>
      </c>
      <c r="AF1756" s="36">
        <v>93</v>
      </c>
      <c r="AG1756" s="120">
        <f t="shared" si="194"/>
        <v>2121.33</v>
      </c>
      <c r="AH1756" s="36"/>
      <c r="AI1756" s="124"/>
      <c r="AJ1756" s="122" t="s">
        <v>2935</v>
      </c>
      <c r="AK1756" s="129" t="str">
        <f t="shared" ca="1" si="193"/>
        <v>Late</v>
      </c>
      <c r="AL1756" s="268" t="str">
        <f t="shared" si="192"/>
        <v>March</v>
      </c>
      <c r="AM1756" s="133">
        <f>YEAR(Table1[[#This Row],[ETA
As requested
dd.mm.yyyy]])</f>
        <v>2025</v>
      </c>
    </row>
    <row r="1757" spans="1:39" hidden="1">
      <c r="A1757" s="123" t="s">
        <v>27</v>
      </c>
      <c r="B1757" s="36" t="s">
        <v>1170</v>
      </c>
      <c r="C1757" s="117">
        <v>5500511032</v>
      </c>
      <c r="D1757" s="165">
        <v>45446</v>
      </c>
      <c r="E1757" s="117" t="s">
        <v>963</v>
      </c>
      <c r="F1757" s="36" t="str">
        <f>IFERROR(VLOOKUP(Table1[[#This Row],[Part Number]],DATABASE_FG!$C$6:D11746,2,FALSE)," ")</f>
        <v>COVER              ZDC 16.-2X/NEUE</v>
      </c>
      <c r="G1757" s="117" t="str">
        <f>IFERROR(_xlfn.XLOOKUP(Table1[[#This Row],[Part Number]],Table3[Part number],Table3[Drawing
 Revision]),"")</f>
        <v>A</v>
      </c>
      <c r="H1757" s="118" cm="1">
        <f t="array" ref="H1757">IFERROR(INDEX(PDB!$C:$AT,MATCH(E1757,PDB!$B:$B,0),MATCH(YEAR(K1757),0+PDB!$C$1:$AT$1,0)),"")</f>
        <v>22.81</v>
      </c>
      <c r="I1757" s="36">
        <v>12</v>
      </c>
      <c r="J1757" s="125">
        <f>IFERROR(Table1[[#This Row],[Quantity]]*Table1[[#This Row],[Price/Unit
EUR]]," ")</f>
        <v>273.71999999999997</v>
      </c>
      <c r="K1757" s="126">
        <v>45722</v>
      </c>
      <c r="L1757" s="36">
        <f>WEEKNUM(Table1[[#This Row],[ETA
As requested
dd.mm.yyyy]])</f>
        <v>10</v>
      </c>
      <c r="M1757" s="36">
        <f>YEAR(Table1[[#This Row],[ETA
As requested
dd.mm.yyyy]])</f>
        <v>2025</v>
      </c>
      <c r="N1757" s="36">
        <f>IFERROR(INDEX(DATABASE_FG!$H$5:$H$367, MATCH(E1757, DATABASE_FG!$C$5:$C$367, 0)), " ")</f>
        <v>98</v>
      </c>
      <c r="O1757" s="129" t="str">
        <f>IF(E1757&lt;&gt;"", _xlfn.XLOOKUP(E1757, DATABASE_FG!C:C, DATABASE_FG!F:F), " ")</f>
        <v>COVER</v>
      </c>
      <c r="P1757" s="129">
        <f>IFERROR(INDEX(DATABASE_FG!$G$5:$G$367, MATCH(E1757, DATABASE_FG!$C$5:$C$367, 0)), "Not Found")</f>
        <v>50</v>
      </c>
      <c r="Q1757" s="36">
        <v>60</v>
      </c>
      <c r="R1757" s="125" t="s">
        <v>678</v>
      </c>
      <c r="S1757" s="123">
        <f>IFERROR(INDEX(DATABASE_FG!$L$5:$L$367, MATCH(E1757, DATABASE_FG!$C$5:$C$367, 0)), " ")</f>
        <v>56</v>
      </c>
      <c r="T1757" s="36" t="s">
        <v>677</v>
      </c>
      <c r="U1757" s="36"/>
      <c r="V1757" s="36"/>
      <c r="W1757" s="129"/>
      <c r="X1757" s="36"/>
      <c r="Y1757" s="36"/>
      <c r="Z1757" s="36"/>
      <c r="AA1757" s="125" t="s">
        <v>121</v>
      </c>
      <c r="AB1757" s="173">
        <v>45778</v>
      </c>
      <c r="AC1757" s="119">
        <v>25708</v>
      </c>
      <c r="AD1757" s="36">
        <f t="shared" si="200"/>
        <v>5500511032</v>
      </c>
      <c r="AE1757" s="36" t="str">
        <f t="shared" si="201"/>
        <v>R901075698</v>
      </c>
      <c r="AF1757" s="36">
        <v>12</v>
      </c>
      <c r="AG1757" s="120">
        <f t="shared" si="194"/>
        <v>273.71999999999997</v>
      </c>
      <c r="AH1757" s="36"/>
      <c r="AI1757" s="124"/>
      <c r="AJ1757" s="122" t="s">
        <v>2936</v>
      </c>
      <c r="AK1757" s="129" t="str">
        <f t="shared" ca="1" si="193"/>
        <v>Late</v>
      </c>
      <c r="AL1757" s="268" t="str">
        <f t="shared" si="192"/>
        <v>March</v>
      </c>
      <c r="AM1757" s="133">
        <f>YEAR(Table1[[#This Row],[ETA
As requested
dd.mm.yyyy]])</f>
        <v>2025</v>
      </c>
    </row>
    <row r="1758" spans="1:39" hidden="1">
      <c r="A1758" s="123" t="s">
        <v>27</v>
      </c>
      <c r="B1758" s="36" t="s">
        <v>1170</v>
      </c>
      <c r="C1758" s="117">
        <v>5500511032</v>
      </c>
      <c r="D1758" s="165">
        <v>45446</v>
      </c>
      <c r="E1758" s="117" t="s">
        <v>963</v>
      </c>
      <c r="F1758" s="36" t="str">
        <f>IFERROR(VLOOKUP(Table1[[#This Row],[Part Number]],DATABASE_FG!$C$6:D11747,2,FALSE)," ")</f>
        <v>COVER              ZDC 16.-2X/NEUE</v>
      </c>
      <c r="G1758" s="117" t="str">
        <f>IFERROR(_xlfn.XLOOKUP(Table1[[#This Row],[Part Number]],Table3[Part number],Table3[Drawing
 Revision]),"")</f>
        <v>A</v>
      </c>
      <c r="H1758" s="118" cm="1">
        <f t="array" ref="H1758">IFERROR(INDEX(PDB!$C:$AT,MATCH(E1758,PDB!$B:$B,0),MATCH(YEAR(K1758),0+PDB!$C$1:$AT$1,0)),"")</f>
        <v>22.81</v>
      </c>
      <c r="I1758" s="36">
        <v>25</v>
      </c>
      <c r="J1758" s="125">
        <f>IFERROR(Table1[[#This Row],[Quantity]]*Table1[[#This Row],[Price/Unit
EUR]]," ")</f>
        <v>570.25</v>
      </c>
      <c r="K1758" s="126">
        <v>45791</v>
      </c>
      <c r="L1758" s="36">
        <f>WEEKNUM(Table1[[#This Row],[ETA
As requested
dd.mm.yyyy]])</f>
        <v>20</v>
      </c>
      <c r="M1758" s="36">
        <f>YEAR(Table1[[#This Row],[ETA
As requested
dd.mm.yyyy]])</f>
        <v>2025</v>
      </c>
      <c r="N1758" s="36">
        <f>IFERROR(INDEX(DATABASE_FG!$H$5:$H$367, MATCH(E1758, DATABASE_FG!$C$5:$C$367, 0)), " ")</f>
        <v>98</v>
      </c>
      <c r="O1758" s="129" t="str">
        <f>IF(E1758&lt;&gt;"", _xlfn.XLOOKUP(E1758, DATABASE_FG!C:C, DATABASE_FG!F:F), " ")</f>
        <v>COVER</v>
      </c>
      <c r="P1758" s="129">
        <f>IFERROR(INDEX(DATABASE_FG!$G$5:$G$367, MATCH(E1758, DATABASE_FG!$C$5:$C$367, 0)), "Not Found")</f>
        <v>50</v>
      </c>
      <c r="Q1758" s="36">
        <v>60</v>
      </c>
      <c r="R1758" s="125" t="s">
        <v>678</v>
      </c>
      <c r="S1758" s="123">
        <f>IFERROR(INDEX(DATABASE_FG!$L$5:$L$367, MATCH(E1758, DATABASE_FG!$C$5:$C$367, 0)), " ")</f>
        <v>56</v>
      </c>
      <c r="T1758" s="36" t="s">
        <v>677</v>
      </c>
      <c r="U1758" s="36"/>
      <c r="V1758" s="36"/>
      <c r="W1758" s="129"/>
      <c r="X1758" s="36"/>
      <c r="Y1758" s="36" t="s">
        <v>677</v>
      </c>
      <c r="Z1758" s="36"/>
      <c r="AA1758" s="125" t="s">
        <v>121</v>
      </c>
      <c r="AB1758" s="173">
        <v>45793</v>
      </c>
      <c r="AC1758" s="119">
        <v>25785</v>
      </c>
      <c r="AD1758" s="36">
        <f t="shared" si="200"/>
        <v>5500511032</v>
      </c>
      <c r="AE1758" s="36" t="str">
        <f t="shared" si="201"/>
        <v>R901075698</v>
      </c>
      <c r="AF1758" s="36">
        <v>25</v>
      </c>
      <c r="AG1758" s="120">
        <f t="shared" si="194"/>
        <v>570.25</v>
      </c>
      <c r="AH1758" s="36"/>
      <c r="AI1758" s="124"/>
      <c r="AJ1758" s="122" t="s">
        <v>3193</v>
      </c>
      <c r="AK1758" s="129" t="str">
        <f t="shared" ca="1" si="193"/>
        <v>On Time</v>
      </c>
      <c r="AL1758" s="268" t="str">
        <f t="shared" si="192"/>
        <v>May</v>
      </c>
      <c r="AM1758" s="133">
        <f>YEAR(Table1[[#This Row],[ETA
As requested
dd.mm.yyyy]])</f>
        <v>2025</v>
      </c>
    </row>
    <row r="1759" spans="1:39" hidden="1">
      <c r="A1759" s="123" t="s">
        <v>27</v>
      </c>
      <c r="B1759" s="36" t="s">
        <v>1170</v>
      </c>
      <c r="C1759" s="117">
        <v>5500511032</v>
      </c>
      <c r="D1759" s="165">
        <v>45446</v>
      </c>
      <c r="E1759" s="117" t="s">
        <v>963</v>
      </c>
      <c r="F1759" s="36" t="str">
        <f>IFERROR(VLOOKUP(Table1[[#This Row],[Part Number]],DATABASE_FG!$C$6:D11748,2,FALSE)," ")</f>
        <v>COVER              ZDC 16.-2X/NEUE</v>
      </c>
      <c r="G1759" s="117" t="str">
        <f>IFERROR(_xlfn.XLOOKUP(Table1[[#This Row],[Part Number]],Table3[Part number],Table3[Drawing
 Revision]),"")</f>
        <v>A</v>
      </c>
      <c r="H1759" s="118" cm="1">
        <f t="array" ref="H1759">IFERROR(INDEX(PDB!$C:$AT,MATCH(E1759,PDB!$B:$B,0),MATCH(YEAR(K1759),0+PDB!$C$1:$AT$1,0)),"")</f>
        <v>22.81</v>
      </c>
      <c r="I1759" s="36">
        <v>10</v>
      </c>
      <c r="J1759" s="125">
        <f>IFERROR(Table1[[#This Row],[Quantity]]*Table1[[#This Row],[Price/Unit
EUR]]," ")</f>
        <v>228.1</v>
      </c>
      <c r="K1759" s="126">
        <v>45791</v>
      </c>
      <c r="L1759" s="36">
        <f>WEEKNUM(Table1[[#This Row],[ETA
As requested
dd.mm.yyyy]])</f>
        <v>20</v>
      </c>
      <c r="M1759" s="36">
        <f>YEAR(Table1[[#This Row],[ETA
As requested
dd.mm.yyyy]])</f>
        <v>2025</v>
      </c>
      <c r="N1759" s="36">
        <f>IFERROR(INDEX(DATABASE_FG!$H$5:$H$367, MATCH(E1759, DATABASE_FG!$C$5:$C$367, 0)), " ")</f>
        <v>98</v>
      </c>
      <c r="O1759" s="129" t="str">
        <f>IF(E1759&lt;&gt;"", _xlfn.XLOOKUP(E1759, DATABASE_FG!C:C, DATABASE_FG!F:F), " ")</f>
        <v>COVER</v>
      </c>
      <c r="P1759" s="129">
        <f>IFERROR(INDEX(DATABASE_FG!$G$5:$G$367, MATCH(E1759, DATABASE_FG!$C$5:$C$367, 0)), "Not Found")</f>
        <v>50</v>
      </c>
      <c r="Q1759" s="36">
        <v>60</v>
      </c>
      <c r="R1759" s="125" t="s">
        <v>678</v>
      </c>
      <c r="S1759" s="123">
        <f>IFERROR(INDEX(DATABASE_FG!$L$5:$L$367, MATCH(E1759, DATABASE_FG!$C$5:$C$367, 0)), " ")</f>
        <v>56</v>
      </c>
      <c r="T1759" s="36" t="s">
        <v>677</v>
      </c>
      <c r="U1759" s="36"/>
      <c r="V1759" s="36"/>
      <c r="W1759" s="129"/>
      <c r="X1759" s="36"/>
      <c r="Y1759" s="36"/>
      <c r="Z1759" s="36"/>
      <c r="AA1759" s="125" t="s">
        <v>121</v>
      </c>
      <c r="AB1759" s="173">
        <v>45800</v>
      </c>
      <c r="AC1759" s="119">
        <v>25813</v>
      </c>
      <c r="AD1759" s="36">
        <f t="shared" si="200"/>
        <v>5500511032</v>
      </c>
      <c r="AE1759" s="36" t="str">
        <f t="shared" si="201"/>
        <v>R901075698</v>
      </c>
      <c r="AF1759" s="36">
        <v>10</v>
      </c>
      <c r="AG1759" s="120">
        <f t="shared" si="194"/>
        <v>228.1</v>
      </c>
      <c r="AH1759" s="36"/>
      <c r="AI1759" s="124"/>
      <c r="AJ1759" s="122" t="s">
        <v>3194</v>
      </c>
      <c r="AK1759" s="129" t="str">
        <f t="shared" ca="1" si="193"/>
        <v>Late</v>
      </c>
      <c r="AL1759" s="268" t="str">
        <f t="shared" si="192"/>
        <v>May</v>
      </c>
      <c r="AM1759" s="133">
        <f>YEAR(Table1[[#This Row],[ETA
As requested
dd.mm.yyyy]])</f>
        <v>2025</v>
      </c>
    </row>
    <row r="1760" spans="1:39" hidden="1">
      <c r="A1760" s="123" t="s">
        <v>27</v>
      </c>
      <c r="B1760" s="36" t="s">
        <v>1170</v>
      </c>
      <c r="C1760" s="117">
        <v>5500511032</v>
      </c>
      <c r="D1760" s="165">
        <v>45446</v>
      </c>
      <c r="E1760" s="117" t="s">
        <v>963</v>
      </c>
      <c r="F1760" s="36" t="str">
        <f>IFERROR(VLOOKUP(Table1[[#This Row],[Part Number]],DATABASE_FG!$C$6:D11749,2,FALSE)," ")</f>
        <v>COVER              ZDC 16.-2X/NEUE</v>
      </c>
      <c r="G1760" s="117" t="str">
        <f>IFERROR(_xlfn.XLOOKUP(Table1[[#This Row],[Part Number]],Table3[Part number],Table3[Drawing
 Revision]),"")</f>
        <v>A</v>
      </c>
      <c r="H1760" s="118" cm="1">
        <f t="array" ref="H1760">IFERROR(INDEX(PDB!$C:$AT,MATCH(E1760,PDB!$B:$B,0),MATCH(YEAR(K1760),0+PDB!$C$1:$AT$1,0)),"")</f>
        <v>22.81</v>
      </c>
      <c r="I1760" s="36">
        <v>28</v>
      </c>
      <c r="J1760" s="125">
        <f>IFERROR(Table1[[#This Row],[Quantity]]*Table1[[#This Row],[Price/Unit
EUR]]," ")</f>
        <v>638.67999999999995</v>
      </c>
      <c r="K1760" s="126">
        <v>45807</v>
      </c>
      <c r="L1760" s="36">
        <f>WEEKNUM(Table1[[#This Row],[ETA
As requested
dd.mm.yyyy]])</f>
        <v>22</v>
      </c>
      <c r="M1760" s="36">
        <f>YEAR(Table1[[#This Row],[ETA
As requested
dd.mm.yyyy]])</f>
        <v>2025</v>
      </c>
      <c r="N1760" s="36">
        <f>IFERROR(INDEX(DATABASE_FG!$H$5:$H$367, MATCH(E1760, DATABASE_FG!$C$5:$C$367, 0)), " ")</f>
        <v>98</v>
      </c>
      <c r="O1760" s="129" t="str">
        <f>IF(E1760&lt;&gt;"", _xlfn.XLOOKUP(E1760, DATABASE_FG!C:C, DATABASE_FG!F:F), " ")</f>
        <v>COVER</v>
      </c>
      <c r="P1760" s="129">
        <f>IFERROR(INDEX(DATABASE_FG!$G$5:$G$367, MATCH(E1760, DATABASE_FG!$C$5:$C$367, 0)), "Not Found")</f>
        <v>50</v>
      </c>
      <c r="Q1760" s="36">
        <v>60</v>
      </c>
      <c r="R1760" s="125" t="s">
        <v>678</v>
      </c>
      <c r="S1760" s="123">
        <f>IFERROR(INDEX(DATABASE_FG!$L$5:$L$367, MATCH(E1760, DATABASE_FG!$C$5:$C$367, 0)), " ")</f>
        <v>56</v>
      </c>
      <c r="T1760" s="36" t="s">
        <v>677</v>
      </c>
      <c r="U1760" s="36"/>
      <c r="V1760" s="36"/>
      <c r="W1760" s="129"/>
      <c r="X1760" s="36"/>
      <c r="Y1760" s="36"/>
      <c r="Z1760" s="36"/>
      <c r="AA1760" s="125" t="s">
        <v>121</v>
      </c>
      <c r="AB1760" s="173">
        <v>45807</v>
      </c>
      <c r="AC1760" s="119">
        <v>25855</v>
      </c>
      <c r="AD1760" s="36">
        <f t="shared" si="200"/>
        <v>5500511032</v>
      </c>
      <c r="AE1760" s="36" t="str">
        <f t="shared" si="201"/>
        <v>R901075698</v>
      </c>
      <c r="AF1760" s="36">
        <v>28</v>
      </c>
      <c r="AG1760" s="120">
        <f t="shared" si="194"/>
        <v>638.67999999999995</v>
      </c>
      <c r="AH1760" s="36"/>
      <c r="AI1760" s="124"/>
      <c r="AJ1760" s="122" t="s">
        <v>3220</v>
      </c>
      <c r="AK1760" s="129" t="str">
        <f t="shared" ca="1" si="193"/>
        <v>On Time</v>
      </c>
      <c r="AL1760" s="268" t="str">
        <f t="shared" si="192"/>
        <v>May</v>
      </c>
      <c r="AM1760" s="133">
        <f>YEAR(Table1[[#This Row],[ETA
As requested
dd.mm.yyyy]])</f>
        <v>2025</v>
      </c>
    </row>
    <row r="1761" spans="1:40" hidden="1">
      <c r="A1761" s="177" t="s">
        <v>27</v>
      </c>
      <c r="B1761" s="178" t="s">
        <v>1170</v>
      </c>
      <c r="C1761" s="180">
        <v>5500511032</v>
      </c>
      <c r="D1761" s="179">
        <v>45446</v>
      </c>
      <c r="E1761" s="180" t="s">
        <v>963</v>
      </c>
      <c r="F1761" s="36" t="str">
        <f>IFERROR(VLOOKUP(Table1[[#This Row],[Part Number]],DATABASE_FG!$C$6:D11750,2,FALSE)," ")</f>
        <v>COVER              ZDC 16.-2X/NEUE</v>
      </c>
      <c r="G1761" s="117" t="str">
        <f>IFERROR(_xlfn.XLOOKUP(Table1[[#This Row],[Part Number]],Table3[Part number],Table3[Drawing
 Revision]),"")</f>
        <v>A</v>
      </c>
      <c r="H1761" s="118" cm="1">
        <f t="array" ref="H1761">IFERROR(INDEX(PDB!$C:$AT,MATCH(E1761,PDB!$B:$B,0),MATCH(YEAR(K1761),0+PDB!$C$1:$AT$1,0)),"")</f>
        <v>22.81</v>
      </c>
      <c r="I1761" s="178">
        <v>3</v>
      </c>
      <c r="J1761" s="181">
        <f>IFERROR(Table1[[#This Row],[Quantity]]*Table1[[#This Row],[Price/Unit
EUR]]," ")</f>
        <v>68.429999999999993</v>
      </c>
      <c r="K1761" s="182">
        <v>45807</v>
      </c>
      <c r="L1761" s="36">
        <f>WEEKNUM(Table1[[#This Row],[ETA
As requested
dd.mm.yyyy]])</f>
        <v>22</v>
      </c>
      <c r="M1761" s="36">
        <f>YEAR(Table1[[#This Row],[ETA
As requested
dd.mm.yyyy]])</f>
        <v>2025</v>
      </c>
      <c r="N1761" s="36">
        <f>IFERROR(INDEX(DATABASE_FG!$H$5:$H$367, MATCH(E1761, DATABASE_FG!$C$5:$C$367, 0)), " ")</f>
        <v>98</v>
      </c>
      <c r="O1761" s="129" t="str">
        <f>IF(E1761&lt;&gt;"", _xlfn.XLOOKUP(E1761, DATABASE_FG!C:C, DATABASE_FG!F:F), " ")</f>
        <v>COVER</v>
      </c>
      <c r="P1761" s="129">
        <f>IFERROR(INDEX(DATABASE_FG!$G$5:$G$367, MATCH(E1761, DATABASE_FG!$C$5:$C$367, 0)), "Not Found")</f>
        <v>50</v>
      </c>
      <c r="Q1761" s="36">
        <v>60</v>
      </c>
      <c r="R1761" s="125" t="s">
        <v>678</v>
      </c>
      <c r="S1761" s="123">
        <f>IFERROR(INDEX(DATABASE_FG!$L$5:$L$367, MATCH(E1761, DATABASE_FG!$C$5:$C$367, 0)), " ")</f>
        <v>56</v>
      </c>
      <c r="T1761" s="36" t="s">
        <v>677</v>
      </c>
      <c r="U1761" s="36"/>
      <c r="V1761" s="36"/>
      <c r="W1761" s="129"/>
      <c r="X1761" s="36"/>
      <c r="Y1761" s="36"/>
      <c r="Z1761" s="36"/>
      <c r="AA1761" s="181" t="s">
        <v>121</v>
      </c>
      <c r="AB1761" s="184">
        <v>45842</v>
      </c>
      <c r="AC1761" s="185">
        <v>251018</v>
      </c>
      <c r="AD1761" s="178">
        <f t="shared" si="200"/>
        <v>5500511032</v>
      </c>
      <c r="AE1761" s="178" t="str">
        <f t="shared" si="201"/>
        <v>R901075698</v>
      </c>
      <c r="AF1761" s="178">
        <v>3</v>
      </c>
      <c r="AG1761" s="120">
        <f t="shared" si="194"/>
        <v>68.429999999999993</v>
      </c>
      <c r="AH1761" s="178"/>
      <c r="AI1761" s="188"/>
      <c r="AJ1761" s="206" t="s">
        <v>3223</v>
      </c>
      <c r="AK1761" s="129" t="str">
        <f t="shared" ca="1" si="193"/>
        <v>Late</v>
      </c>
      <c r="AL1761" s="268" t="str">
        <f t="shared" si="192"/>
        <v>May</v>
      </c>
      <c r="AM1761" s="133">
        <f>YEAR(Table1[[#This Row],[ETA
As requested
dd.mm.yyyy]])</f>
        <v>2025</v>
      </c>
    </row>
    <row r="1762" spans="1:40" hidden="1">
      <c r="A1762" s="123" t="s">
        <v>27</v>
      </c>
      <c r="B1762" s="36" t="s">
        <v>1170</v>
      </c>
      <c r="C1762" s="117">
        <v>5500511033</v>
      </c>
      <c r="D1762" s="165">
        <v>45446</v>
      </c>
      <c r="E1762" s="117" t="s">
        <v>49</v>
      </c>
      <c r="F1762" s="36" t="str">
        <f>IFERROR(VLOOKUP(Table1[[#This Row],[Part Number]],DATABASE_FG!$C$6:D11751,2,FALSE)," ")</f>
        <v>HOUSING            DBD.30G1X/V        BG</v>
      </c>
      <c r="G1762" s="117" t="str">
        <f>IFERROR(_xlfn.XLOOKUP(Table1[[#This Row],[Part Number]],Table3[Part number],Table3[Drawing
 Revision]),"")</f>
        <v>F</v>
      </c>
      <c r="H1762" s="118" cm="1">
        <f t="array" ref="H1762">IFERROR(INDEX(PDB!$C:$AT,MATCH(E1762,PDB!$B:$B,0),MATCH(YEAR(K1762),0+PDB!$C$1:$AT$1,0)),"")</f>
        <v>124.72</v>
      </c>
      <c r="I1762" s="36">
        <v>27</v>
      </c>
      <c r="J1762" s="125">
        <v>3367.44</v>
      </c>
      <c r="K1762" s="126">
        <v>45419</v>
      </c>
      <c r="L1762" s="36">
        <v>19</v>
      </c>
      <c r="M1762" s="36">
        <v>2024</v>
      </c>
      <c r="N1762" s="36">
        <v>277</v>
      </c>
      <c r="O1762" s="129" t="s">
        <v>47</v>
      </c>
      <c r="P1762" s="129">
        <v>20</v>
      </c>
      <c r="Q1762" s="36">
        <v>60</v>
      </c>
      <c r="R1762" s="125" t="s">
        <v>678</v>
      </c>
      <c r="S1762" s="123" t="s">
        <v>121</v>
      </c>
      <c r="T1762" s="36">
        <v>45793</v>
      </c>
      <c r="U1762" s="36">
        <v>26782</v>
      </c>
      <c r="V1762" s="36">
        <v>5500511033</v>
      </c>
      <c r="W1762" s="129" t="s">
        <v>49</v>
      </c>
      <c r="X1762" s="36">
        <v>27</v>
      </c>
      <c r="Y1762" s="36">
        <v>3367.44</v>
      </c>
      <c r="Z1762" s="36"/>
      <c r="AA1762" s="125" t="s">
        <v>121</v>
      </c>
      <c r="AB1762" s="173">
        <v>45793</v>
      </c>
      <c r="AC1762" s="119">
        <v>26782</v>
      </c>
      <c r="AD1762" s="36">
        <f t="shared" si="200"/>
        <v>5500511033</v>
      </c>
      <c r="AE1762" s="36" t="str">
        <f t="shared" si="201"/>
        <v>R901157145</v>
      </c>
      <c r="AF1762" s="36">
        <v>27</v>
      </c>
      <c r="AG1762" s="120">
        <f t="shared" si="194"/>
        <v>3367.44</v>
      </c>
      <c r="AH1762" s="36"/>
      <c r="AI1762" s="124"/>
      <c r="AJ1762" s="122" t="s">
        <v>1477</v>
      </c>
      <c r="AK1762" s="129" t="str">
        <f t="shared" ca="1" si="193"/>
        <v>Late</v>
      </c>
      <c r="AL1762" s="268" t="str">
        <f t="shared" si="192"/>
        <v>May</v>
      </c>
      <c r="AM1762" s="133">
        <f>YEAR(Table1[[#This Row],[ETA
As requested
dd.mm.yyyy]])</f>
        <v>2024</v>
      </c>
      <c r="AN1762" s="191"/>
    </row>
    <row r="1763" spans="1:40" hidden="1">
      <c r="A1763" s="123" t="s">
        <v>27</v>
      </c>
      <c r="B1763" s="36" t="s">
        <v>1170</v>
      </c>
      <c r="C1763" s="117">
        <v>5500511033</v>
      </c>
      <c r="D1763" s="165">
        <v>45446</v>
      </c>
      <c r="E1763" s="117" t="s">
        <v>49</v>
      </c>
      <c r="F1763" s="36" t="str">
        <f>IFERROR(VLOOKUP(Table1[[#This Row],[Part Number]],DATABASE_FG!$C$6:D11752,2,FALSE)," ")</f>
        <v>HOUSING            DBD.30G1X/V        BG</v>
      </c>
      <c r="G1763" s="117" t="str">
        <f>IFERROR(_xlfn.XLOOKUP(Table1[[#This Row],[Part Number]],Table3[Part number],Table3[Drawing
 Revision]),"")</f>
        <v>F</v>
      </c>
      <c r="H1763" s="118" cm="1">
        <f t="array" ref="H1763">IFERROR(INDEX(PDB!$C:$AT,MATCH(E1763,PDB!$B:$B,0),MATCH(YEAR(K1763),0+PDB!$C$1:$AT$1,0)),"")</f>
        <v>124.72</v>
      </c>
      <c r="I1763" s="36">
        <v>20</v>
      </c>
      <c r="J1763" s="125">
        <f>IFERROR(Table1[[#This Row],[Quantity]]*Table1[[#This Row],[Price/Unit
EUR]]," ")</f>
        <v>2494.4</v>
      </c>
      <c r="K1763" s="126">
        <v>45546</v>
      </c>
      <c r="L1763" s="36">
        <f>WEEKNUM(Table1[[#This Row],[ETA
As requested
dd.mm.yyyy]])</f>
        <v>37</v>
      </c>
      <c r="M1763" s="36">
        <f>YEAR(Table1[[#This Row],[ETA
As requested
dd.mm.yyyy]])</f>
        <v>2024</v>
      </c>
      <c r="N1763" s="36">
        <f>IFERROR(INDEX(DATABASE_FG!$H$5:$H$367, MATCH(E1763, DATABASE_FG!$C$5:$C$367, 0)), " ")</f>
        <v>277</v>
      </c>
      <c r="O1763" s="129" t="str">
        <f>IF(E1763&lt;&gt;"", _xlfn.XLOOKUP(E1763, DATABASE_FG!C:C, DATABASE_FG!F:F), " ")</f>
        <v>DBD.30</v>
      </c>
      <c r="P1763" s="129">
        <f>IFERROR(INDEX(DATABASE_FG!$G$5:$G$367, MATCH(E1763, DATABASE_FG!$C$5:$C$367, 0)), "Not Found")</f>
        <v>20</v>
      </c>
      <c r="Q1763" s="36">
        <v>60</v>
      </c>
      <c r="R1763" s="125" t="s">
        <v>678</v>
      </c>
      <c r="S1763" s="123">
        <f>IFERROR(INDEX(DATABASE_FG!$L$5:$L$367, MATCH(E1763, DATABASE_FG!$C$5:$C$367, 0)), " ")</f>
        <v>56</v>
      </c>
      <c r="T1763" s="36" t="s">
        <v>677</v>
      </c>
      <c r="U1763" s="36"/>
      <c r="V1763" s="36"/>
      <c r="W1763" s="129"/>
      <c r="X1763" s="36"/>
      <c r="Y1763" s="36"/>
      <c r="Z1763" s="36">
        <v>242809</v>
      </c>
      <c r="AA1763" s="125" t="s">
        <v>121</v>
      </c>
      <c r="AB1763" s="173">
        <v>45541</v>
      </c>
      <c r="AC1763" s="119">
        <v>202401109</v>
      </c>
      <c r="AD1763" s="36">
        <f t="shared" si="200"/>
        <v>5500511033</v>
      </c>
      <c r="AE1763" s="36" t="str">
        <f t="shared" si="201"/>
        <v>R901157145</v>
      </c>
      <c r="AF1763" s="36">
        <v>20</v>
      </c>
      <c r="AG1763" s="120">
        <f t="shared" si="194"/>
        <v>2494.4</v>
      </c>
      <c r="AH1763" s="36"/>
      <c r="AI1763" s="124"/>
      <c r="AJ1763" s="122" t="s">
        <v>2374</v>
      </c>
      <c r="AK1763" s="129" t="str">
        <f t="shared" ca="1" si="193"/>
        <v>On Time</v>
      </c>
      <c r="AL1763" s="268" t="str">
        <f t="shared" si="192"/>
        <v>September</v>
      </c>
      <c r="AM1763" s="133">
        <f>YEAR(Table1[[#This Row],[ETA
As requested
dd.mm.yyyy]])</f>
        <v>2024</v>
      </c>
    </row>
    <row r="1764" spans="1:40" hidden="1">
      <c r="A1764" s="123" t="s">
        <v>27</v>
      </c>
      <c r="B1764" s="36" t="s">
        <v>1170</v>
      </c>
      <c r="C1764" s="117">
        <v>5500511033</v>
      </c>
      <c r="D1764" s="165">
        <v>45446</v>
      </c>
      <c r="E1764" s="117" t="s">
        <v>49</v>
      </c>
      <c r="F1764" s="36" t="str">
        <f>IFERROR(VLOOKUP(Table1[[#This Row],[Part Number]],DATABASE_FG!$C$6:D11753,2,FALSE)," ")</f>
        <v>HOUSING            DBD.30G1X/V        BG</v>
      </c>
      <c r="G1764" s="117" t="str">
        <f>IFERROR(_xlfn.XLOOKUP(Table1[[#This Row],[Part Number]],Table3[Part number],Table3[Drawing
 Revision]),"")</f>
        <v>F</v>
      </c>
      <c r="H1764" s="118" cm="1">
        <f t="array" ref="H1764">IFERROR(INDEX(PDB!$C:$AT,MATCH(E1764,PDB!$B:$B,0),MATCH(YEAR(K1764),0+PDB!$C$1:$AT$1,0)),"")</f>
        <v>124.72</v>
      </c>
      <c r="I1764" s="36">
        <v>1</v>
      </c>
      <c r="J1764" s="125">
        <f>IFERROR(Table1[[#This Row],[Quantity]]*Table1[[#This Row],[Price/Unit
EUR]]," ")</f>
        <v>124.72</v>
      </c>
      <c r="K1764" s="126">
        <v>45546</v>
      </c>
      <c r="L1764" s="36">
        <f>WEEKNUM(Table1[[#This Row],[ETA
As requested
dd.mm.yyyy]])</f>
        <v>37</v>
      </c>
      <c r="M1764" s="36">
        <f>YEAR(Table1[[#This Row],[ETA
As requested
dd.mm.yyyy]])</f>
        <v>2024</v>
      </c>
      <c r="N1764" s="36">
        <f>IFERROR(INDEX(DATABASE_FG!$H$5:$H$367, MATCH(E1764, DATABASE_FG!$C$5:$C$367, 0)), " ")</f>
        <v>277</v>
      </c>
      <c r="O1764" s="129" t="str">
        <f>IF(E1764&lt;&gt;"", _xlfn.XLOOKUP(E1764, DATABASE_FG!C:C, DATABASE_FG!F:F), " ")</f>
        <v>DBD.30</v>
      </c>
      <c r="P1764" s="129">
        <f>IFERROR(INDEX(DATABASE_FG!$G$5:$G$367, MATCH(E1764, DATABASE_FG!$C$5:$C$367, 0)), "Not Found")</f>
        <v>20</v>
      </c>
      <c r="Q1764" s="36">
        <v>60</v>
      </c>
      <c r="R1764" s="125" t="s">
        <v>678</v>
      </c>
      <c r="S1764" s="123">
        <f>IFERROR(INDEX(DATABASE_FG!$L$5:$L$367, MATCH(E1764, DATABASE_FG!$C$5:$C$367, 0)), " ")</f>
        <v>56</v>
      </c>
      <c r="T1764" s="36" t="s">
        <v>677</v>
      </c>
      <c r="U1764" s="36"/>
      <c r="V1764" s="36"/>
      <c r="W1764" s="129"/>
      <c r="X1764" s="36"/>
      <c r="Y1764" s="36"/>
      <c r="Z1764" s="36"/>
      <c r="AA1764" s="125" t="s">
        <v>121</v>
      </c>
      <c r="AB1764" s="173">
        <v>45548</v>
      </c>
      <c r="AC1764" s="119">
        <v>202401131</v>
      </c>
      <c r="AD1764" s="36">
        <f t="shared" si="200"/>
        <v>5500511033</v>
      </c>
      <c r="AE1764" s="36" t="str">
        <f t="shared" si="201"/>
        <v>R901157145</v>
      </c>
      <c r="AF1764" s="36">
        <v>1</v>
      </c>
      <c r="AG1764" s="120">
        <f t="shared" si="194"/>
        <v>124.72</v>
      </c>
      <c r="AH1764" s="36"/>
      <c r="AI1764" s="124"/>
      <c r="AJ1764" s="122" t="s">
        <v>2375</v>
      </c>
      <c r="AK1764" s="129" t="str">
        <f t="shared" ca="1" si="193"/>
        <v>On Time</v>
      </c>
      <c r="AL1764" s="268" t="str">
        <f t="shared" si="192"/>
        <v>September</v>
      </c>
      <c r="AM1764" s="133">
        <f>YEAR(Table1[[#This Row],[ETA
As requested
dd.mm.yyyy]])</f>
        <v>2024</v>
      </c>
    </row>
    <row r="1765" spans="1:40" hidden="1">
      <c r="A1765" s="123" t="s">
        <v>27</v>
      </c>
      <c r="B1765" s="36" t="s">
        <v>1170</v>
      </c>
      <c r="C1765" s="117">
        <v>5500511033</v>
      </c>
      <c r="D1765" s="165">
        <v>45446</v>
      </c>
      <c r="E1765" s="117" t="s">
        <v>49</v>
      </c>
      <c r="F1765" s="36" t="str">
        <f>IFERROR(VLOOKUP(Table1[[#This Row],[Part Number]],DATABASE_FG!$C$6:D11754,2,FALSE)," ")</f>
        <v>HOUSING            DBD.30G1X/V        BG</v>
      </c>
      <c r="G1765" s="117" t="str">
        <f>IFERROR(_xlfn.XLOOKUP(Table1[[#This Row],[Part Number]],Table3[Part number],Table3[Drawing
 Revision]),"")</f>
        <v>F</v>
      </c>
      <c r="H1765" s="118" cm="1">
        <f t="array" ref="H1765">IFERROR(INDEX(PDB!$C:$AT,MATCH(E1765,PDB!$B:$B,0),MATCH(YEAR(K1765),0+PDB!$C$1:$AT$1,0)),"")</f>
        <v>118.26</v>
      </c>
      <c r="I1765" s="36">
        <v>20</v>
      </c>
      <c r="J1765" s="125">
        <f>IFERROR(Table1[[#This Row],[Quantity]]*Table1[[#This Row],[Price/Unit
EUR]]," ")</f>
        <v>2365.2000000000003</v>
      </c>
      <c r="K1765" s="126">
        <v>45775</v>
      </c>
      <c r="L1765" s="36">
        <f>WEEKNUM(Table1[[#This Row],[ETA
As requested
dd.mm.yyyy]])</f>
        <v>18</v>
      </c>
      <c r="M1765" s="36">
        <f>YEAR(Table1[[#This Row],[ETA
As requested
dd.mm.yyyy]])</f>
        <v>2025</v>
      </c>
      <c r="N1765" s="36">
        <f>IFERROR(INDEX(DATABASE_FG!$H$5:$H$367, MATCH(E1765, DATABASE_FG!$C$5:$C$367, 0)), " ")</f>
        <v>277</v>
      </c>
      <c r="O1765" s="129" t="str">
        <f>IF(E1765&lt;&gt;"", _xlfn.XLOOKUP(E1765, DATABASE_FG!C:C, DATABASE_FG!F:F), " ")</f>
        <v>DBD.30</v>
      </c>
      <c r="P1765" s="129">
        <f>IFERROR(INDEX(DATABASE_FG!$G$5:$G$367, MATCH(E1765, DATABASE_FG!$C$5:$C$367, 0)), "Not Found")</f>
        <v>20</v>
      </c>
      <c r="Q1765" s="36">
        <v>60</v>
      </c>
      <c r="R1765" s="125" t="s">
        <v>678</v>
      </c>
      <c r="S1765" s="123">
        <f>Table1[[#This Row],[Quantity]]/48</f>
        <v>0.41666666666666669</v>
      </c>
      <c r="T1765" s="36"/>
      <c r="U1765" s="36"/>
      <c r="V1765" s="36"/>
      <c r="W1765" s="129"/>
      <c r="X1765" s="36"/>
      <c r="Y1765" s="36"/>
      <c r="Z1765" s="36"/>
      <c r="AA1765" s="125" t="s">
        <v>121</v>
      </c>
      <c r="AB1765" s="173">
        <v>45775</v>
      </c>
      <c r="AC1765" s="119">
        <v>25677</v>
      </c>
      <c r="AD1765" s="36">
        <f t="shared" si="200"/>
        <v>5500511033</v>
      </c>
      <c r="AE1765" s="36" t="str">
        <f t="shared" si="201"/>
        <v>R901157145</v>
      </c>
      <c r="AF1765" s="36">
        <v>20</v>
      </c>
      <c r="AG1765" s="120">
        <f t="shared" si="194"/>
        <v>2365.2000000000003</v>
      </c>
      <c r="AH1765" s="36"/>
      <c r="AI1765" s="124" t="s">
        <v>3132</v>
      </c>
      <c r="AJ1765" s="122" t="s">
        <v>3133</v>
      </c>
      <c r="AK1765" s="129" t="str">
        <f t="shared" ca="1" si="193"/>
        <v>On Time</v>
      </c>
      <c r="AL1765" s="268" t="str">
        <f t="shared" si="192"/>
        <v>April</v>
      </c>
      <c r="AM1765" s="133">
        <f>YEAR(Table1[[#This Row],[ETA
As requested
dd.mm.yyyy]])</f>
        <v>2025</v>
      </c>
    </row>
    <row r="1766" spans="1:40" hidden="1">
      <c r="A1766" s="123" t="s">
        <v>27</v>
      </c>
      <c r="B1766" s="36" t="s">
        <v>2464</v>
      </c>
      <c r="C1766" s="117">
        <v>5500511033</v>
      </c>
      <c r="D1766" s="165">
        <v>45924</v>
      </c>
      <c r="E1766" s="117" t="s">
        <v>49</v>
      </c>
      <c r="F1766" s="36" t="str">
        <f>IFERROR(VLOOKUP(Table1[[#This Row],[Part Number]],DATABASE_FG!$C$6:D11755,2,FALSE)," ")</f>
        <v>HOUSING            DBD.30G1X/V        BG</v>
      </c>
      <c r="G1766" s="117" t="str">
        <f>IFERROR(_xlfn.XLOOKUP(Table1[[#This Row],[Part Number]],Table3[Part number],Table3[Drawing
 Revision]),"")</f>
        <v>F</v>
      </c>
      <c r="H1766" s="118" cm="1">
        <f t="array" ref="H1766">IFERROR(INDEX(PDB!$C:$AT,MATCH(E1766,PDB!$B:$B,0),MATCH(YEAR(K1766),0+PDB!$C$1:$AT$1,0)),"")</f>
        <v>118.26</v>
      </c>
      <c r="I1766" s="36">
        <v>20</v>
      </c>
      <c r="J1766" s="125">
        <v>2494.4</v>
      </c>
      <c r="K1766" s="126">
        <v>46007</v>
      </c>
      <c r="L1766" s="36">
        <v>51</v>
      </c>
      <c r="M1766" s="36">
        <v>2025</v>
      </c>
      <c r="N1766" s="36">
        <v>277</v>
      </c>
      <c r="O1766" s="129" t="s">
        <v>47</v>
      </c>
      <c r="P1766" s="129">
        <v>20</v>
      </c>
      <c r="Q1766" s="36">
        <v>60</v>
      </c>
      <c r="R1766" s="125" t="s">
        <v>678</v>
      </c>
      <c r="S1766" s="123" t="s">
        <v>3</v>
      </c>
      <c r="T1766" s="36"/>
      <c r="U1766" s="36"/>
      <c r="V1766" s="36" t="s">
        <v>2720</v>
      </c>
      <c r="W1766" s="129" t="s">
        <v>2720</v>
      </c>
      <c r="X1766" s="36"/>
      <c r="Y1766" s="36">
        <v>0</v>
      </c>
      <c r="Z1766" s="36"/>
      <c r="AA1766" s="125" t="s">
        <v>3</v>
      </c>
      <c r="AB1766" s="173"/>
      <c r="AC1766" s="119"/>
      <c r="AD1766" s="36" t="str">
        <f t="shared" si="200"/>
        <v/>
      </c>
      <c r="AE1766" s="36" t="str">
        <f t="shared" si="201"/>
        <v/>
      </c>
      <c r="AF1766" s="36"/>
      <c r="AG1766" s="120">
        <f t="shared" si="194"/>
        <v>0</v>
      </c>
      <c r="AH1766" s="36"/>
      <c r="AI1766" s="124"/>
      <c r="AJ1766" s="122"/>
      <c r="AK1766" s="129" t="str">
        <f t="shared" ca="1" si="193"/>
        <v/>
      </c>
      <c r="AL1766" s="268" t="str">
        <f t="shared" si="192"/>
        <v>December</v>
      </c>
      <c r="AM1766" s="133">
        <f>YEAR(Table1[[#This Row],[ETA
As requested
dd.mm.yyyy]])</f>
        <v>2025</v>
      </c>
      <c r="AN1766" s="191"/>
    </row>
    <row r="1767" spans="1:40" hidden="1">
      <c r="A1767" s="123" t="s">
        <v>27</v>
      </c>
      <c r="B1767" s="36" t="s">
        <v>2464</v>
      </c>
      <c r="C1767" s="117">
        <v>5500511033</v>
      </c>
      <c r="D1767" s="165">
        <v>45924</v>
      </c>
      <c r="E1767" s="117" t="s">
        <v>49</v>
      </c>
      <c r="F1767" s="36" t="str">
        <f>IFERROR(VLOOKUP(Table1[[#This Row],[Part Number]],DATABASE_FG!$C$6:D11756,2,FALSE)," ")</f>
        <v>HOUSING            DBD.30G1X/V        BG</v>
      </c>
      <c r="G1767" s="117" t="str">
        <f>IFERROR(_xlfn.XLOOKUP(Table1[[#This Row],[Part Number]],Table3[Part number],Table3[Drawing
 Revision]),"")</f>
        <v>F</v>
      </c>
      <c r="H1767" s="118" cm="1">
        <f t="array" ref="H1767">IFERROR(INDEX(PDB!$C:$AT,MATCH(E1767,PDB!$B:$B,0),MATCH(YEAR(K1767),0+PDB!$C$1:$AT$1,0)),"")</f>
        <v>0</v>
      </c>
      <c r="I1767" s="36">
        <v>20</v>
      </c>
      <c r="J1767" s="125">
        <f>IFERROR(Table1[[#This Row],[Quantity]]*Table1[[#This Row],[Price/Unit
EUR]]," ")</f>
        <v>0</v>
      </c>
      <c r="K1767" s="126">
        <v>46100</v>
      </c>
      <c r="L1767" s="36">
        <f>WEEKNUM(Table1[[#This Row],[ETA
As requested
dd.mm.yyyy]])</f>
        <v>12</v>
      </c>
      <c r="M1767" s="36">
        <f>YEAR(Table1[[#This Row],[ETA
As requested
dd.mm.yyyy]])</f>
        <v>2026</v>
      </c>
      <c r="N1767" s="36">
        <f>IFERROR(INDEX(DATABASE_FG!$H$5:$H$367, MATCH(E1767, DATABASE_FG!$C$5:$C$367, 0)), " ")</f>
        <v>277</v>
      </c>
      <c r="O1767" s="129" t="str">
        <f>IF(E1767&lt;&gt;"", _xlfn.XLOOKUP(E1767, DATABASE_FG!C:C, DATABASE_FG!F:F), " ")</f>
        <v>DBD.30</v>
      </c>
      <c r="P1767" s="129">
        <f>IFERROR(INDEX(DATABASE_FG!$G$5:$G$367, MATCH(E1767, DATABASE_FG!$C$5:$C$367, 0)), "Not Found")</f>
        <v>20</v>
      </c>
      <c r="Q1767" s="36">
        <v>60</v>
      </c>
      <c r="R1767" s="125" t="s">
        <v>678</v>
      </c>
      <c r="S1767" s="123">
        <f>IFERROR(INDEX(DATABASE_FG!$L$5:$L$367, MATCH(E1767, DATABASE_FG!$C$5:$C$367, 0)), " ")</f>
        <v>56</v>
      </c>
      <c r="T1767" s="36" t="s">
        <v>677</v>
      </c>
      <c r="U1767" s="36"/>
      <c r="V1767" s="36"/>
      <c r="W1767" s="129"/>
      <c r="X1767" s="36"/>
      <c r="Y1767" s="36"/>
      <c r="Z1767" s="36"/>
      <c r="AA1767" s="125" t="s">
        <v>3</v>
      </c>
      <c r="AB1767" s="173"/>
      <c r="AC1767" s="119"/>
      <c r="AD1767" s="36" t="str">
        <f t="shared" si="200"/>
        <v/>
      </c>
      <c r="AE1767" s="36" t="str">
        <f t="shared" si="201"/>
        <v/>
      </c>
      <c r="AF1767" s="36"/>
      <c r="AG1767" s="120">
        <f t="shared" si="194"/>
        <v>0</v>
      </c>
      <c r="AH1767" s="36"/>
      <c r="AI1767" s="124"/>
      <c r="AJ1767" s="122"/>
      <c r="AK1767" s="129" t="str">
        <f t="shared" ca="1" si="193"/>
        <v/>
      </c>
      <c r="AL1767" s="268" t="str">
        <f t="shared" si="192"/>
        <v>March</v>
      </c>
      <c r="AM1767" s="133">
        <f>YEAR(Table1[[#This Row],[ETA
As requested
dd.mm.yyyy]])</f>
        <v>2026</v>
      </c>
    </row>
    <row r="1768" spans="1:40" hidden="1">
      <c r="A1768" s="123" t="s">
        <v>27</v>
      </c>
      <c r="B1768" s="36" t="s">
        <v>1170</v>
      </c>
      <c r="C1768" s="117">
        <v>5500511034</v>
      </c>
      <c r="D1768" s="165">
        <v>45369</v>
      </c>
      <c r="E1768" s="117" t="s">
        <v>383</v>
      </c>
      <c r="F1768" s="36" t="str">
        <f>IFERROR(VLOOKUP(Table1[[#This Row],[Part Number]],DATABASE_FG!$C$6:D11757,2,FALSE)," ")</f>
        <v>HOUSING            DBD.25G1X/V</v>
      </c>
      <c r="G1768" s="117" t="str">
        <f>IFERROR(_xlfn.XLOOKUP(Table1[[#This Row],[Part Number]],Table3[Part number],Table3[Drawing
 Revision]),"")</f>
        <v>f</v>
      </c>
      <c r="H1768" s="118" cm="1">
        <f t="array" ref="H1768">IFERROR(INDEX(PDB!$C:$AT,MATCH(E1768,PDB!$B:$B,0),MATCH(YEAR(K1768),0+PDB!$C$1:$AT$1,0)),"")</f>
        <v>99.16</v>
      </c>
      <c r="I1768" s="36">
        <v>10</v>
      </c>
      <c r="J1768" s="125">
        <f>IFERROR(Table1[[#This Row],[Quantity]]*Table1[[#This Row],[Price/Unit
EUR]]," ")</f>
        <v>991.59999999999991</v>
      </c>
      <c r="K1768" s="126">
        <v>45358</v>
      </c>
      <c r="L1768" s="36">
        <f>WEEKNUM(Table1[[#This Row],[ETA
As requested
dd.mm.yyyy]])</f>
        <v>10</v>
      </c>
      <c r="M1768" s="36">
        <f>YEAR(Table1[[#This Row],[ETA
As requested
dd.mm.yyyy]])</f>
        <v>2024</v>
      </c>
      <c r="N1768" s="36">
        <f>IFERROR(INDEX(DATABASE_FG!$H$5:$H$367, MATCH(E1768, DATABASE_FG!$C$5:$C$367, 0)), " ")</f>
        <v>180</v>
      </c>
      <c r="O1768" s="129" t="str">
        <f>IF(E1768&lt;&gt;"", _xlfn.XLOOKUP(E1768, DATABASE_FG!C:C, DATABASE_FG!F:F), " ")</f>
        <v>DBD.25</v>
      </c>
      <c r="P1768" s="129">
        <f>IFERROR(INDEX(DATABASE_FG!$G$5:$G$367, MATCH(E1768, DATABASE_FG!$C$5:$C$367, 0)), "Not Found")</f>
        <v>10</v>
      </c>
      <c r="Q1768" s="36">
        <v>60</v>
      </c>
      <c r="R1768" s="125" t="s">
        <v>678</v>
      </c>
      <c r="S1768" s="123">
        <f>IFERROR(INDEX(DATABASE_FG!$L$5:$L$367, MATCH(E1768, DATABASE_FG!$C$5:$C$367, 0)), " ")</f>
        <v>56</v>
      </c>
      <c r="T1768" s="36" t="s">
        <v>677</v>
      </c>
      <c r="U1768" s="36"/>
      <c r="V1768" s="36"/>
      <c r="W1768" s="129"/>
      <c r="X1768" s="36"/>
      <c r="Y1768" s="36"/>
      <c r="Z1768" s="36">
        <v>241208</v>
      </c>
      <c r="AA1768" s="125" t="s">
        <v>121</v>
      </c>
      <c r="AB1768" s="173">
        <v>45386</v>
      </c>
      <c r="AC1768" s="119">
        <v>2024303</v>
      </c>
      <c r="AD1768" s="36">
        <f t="shared" si="200"/>
        <v>5500511034</v>
      </c>
      <c r="AE1768" s="36" t="str">
        <f t="shared" si="201"/>
        <v>R901157146</v>
      </c>
      <c r="AF1768" s="36">
        <v>10</v>
      </c>
      <c r="AG1768" s="120">
        <f t="shared" si="194"/>
        <v>991.59999999999991</v>
      </c>
      <c r="AH1768" s="36"/>
      <c r="AI1768" s="124"/>
      <c r="AJ1768" s="122" t="s">
        <v>1214</v>
      </c>
      <c r="AK1768" s="129" t="str">
        <f t="shared" ca="1" si="193"/>
        <v>Late</v>
      </c>
      <c r="AL1768" s="268" t="str">
        <f t="shared" si="192"/>
        <v>March</v>
      </c>
      <c r="AM1768" s="133">
        <f>YEAR(Table1[[#This Row],[ETA
As requested
dd.mm.yyyy]])</f>
        <v>2024</v>
      </c>
    </row>
    <row r="1769" spans="1:40" hidden="1">
      <c r="A1769" s="123" t="s">
        <v>27</v>
      </c>
      <c r="B1769" s="36" t="s">
        <v>1170</v>
      </c>
      <c r="C1769" s="117">
        <v>5500511034</v>
      </c>
      <c r="D1769" s="165">
        <v>45446</v>
      </c>
      <c r="E1769" s="117" t="s">
        <v>383</v>
      </c>
      <c r="F1769" s="36" t="str">
        <f>IFERROR(VLOOKUP(Table1[[#This Row],[Part Number]],DATABASE_FG!$C$6:D11758,2,FALSE)," ")</f>
        <v>HOUSING            DBD.25G1X/V</v>
      </c>
      <c r="G1769" s="117" t="str">
        <f>IFERROR(_xlfn.XLOOKUP(Table1[[#This Row],[Part Number]],Table3[Part number],Table3[Drawing
 Revision]),"")</f>
        <v>f</v>
      </c>
      <c r="H1769" s="118" cm="1">
        <f t="array" ref="H1769">IFERROR(INDEX(PDB!$C:$AT,MATCH(E1769,PDB!$B:$B,0),MATCH(YEAR(K1769),0+PDB!$C$1:$AT$1,0)),"")</f>
        <v>99.16</v>
      </c>
      <c r="I1769" s="36">
        <v>10</v>
      </c>
      <c r="J1769" s="125">
        <f>IFERROR(Table1[[#This Row],[Quantity]]*Table1[[#This Row],[Price/Unit
EUR]]," ")</f>
        <v>991.59999999999991</v>
      </c>
      <c r="K1769" s="126">
        <v>45453</v>
      </c>
      <c r="L1769" s="36">
        <f>WEEKNUM(Table1[[#This Row],[ETA
As requested
dd.mm.yyyy]])</f>
        <v>24</v>
      </c>
      <c r="M1769" s="36">
        <f>YEAR(Table1[[#This Row],[ETA
As requested
dd.mm.yyyy]])</f>
        <v>2024</v>
      </c>
      <c r="N1769" s="36">
        <f>IFERROR(INDEX(DATABASE_FG!$H$5:$H$367, MATCH(E1769, DATABASE_FG!$C$5:$C$367, 0)), " ")</f>
        <v>180</v>
      </c>
      <c r="O1769" s="129" t="str">
        <f>IF(E1769&lt;&gt;"", _xlfn.XLOOKUP(E1769, DATABASE_FG!C:C, DATABASE_FG!F:F), " ")</f>
        <v>DBD.25</v>
      </c>
      <c r="P1769" s="129">
        <f>IFERROR(INDEX(DATABASE_FG!$G$5:$G$367, MATCH(E1769, DATABASE_FG!$C$5:$C$367, 0)), "Not Found")</f>
        <v>10</v>
      </c>
      <c r="Q1769" s="36">
        <v>60</v>
      </c>
      <c r="R1769" s="125" t="s">
        <v>678</v>
      </c>
      <c r="S1769" s="123">
        <f>IFERROR(INDEX(DATABASE_FG!$L$5:$L$367, MATCH(E1769, DATABASE_FG!$C$5:$C$367, 0)), " ")</f>
        <v>56</v>
      </c>
      <c r="T1769" s="36" t="s">
        <v>677</v>
      </c>
      <c r="U1769" s="36"/>
      <c r="V1769" s="36"/>
      <c r="W1769" s="129"/>
      <c r="X1769" s="36"/>
      <c r="Y1769" s="36"/>
      <c r="Z1769" s="36" t="s">
        <v>1639</v>
      </c>
      <c r="AA1769" s="125" t="s">
        <v>121</v>
      </c>
      <c r="AB1769" s="173">
        <v>45471</v>
      </c>
      <c r="AC1769" s="119">
        <v>2024736</v>
      </c>
      <c r="AD1769" s="36">
        <f t="shared" si="200"/>
        <v>5500511034</v>
      </c>
      <c r="AE1769" s="36" t="str">
        <f t="shared" si="201"/>
        <v>R901157146</v>
      </c>
      <c r="AF1769" s="36">
        <v>10</v>
      </c>
      <c r="AG1769" s="120">
        <f t="shared" si="194"/>
        <v>991.59999999999991</v>
      </c>
      <c r="AH1769" s="36"/>
      <c r="AI1769" s="124"/>
      <c r="AJ1769" s="122" t="s">
        <v>1640</v>
      </c>
      <c r="AK1769" s="129" t="str">
        <f t="shared" ca="1" si="193"/>
        <v>Late</v>
      </c>
      <c r="AL1769" s="268" t="str">
        <f t="shared" si="192"/>
        <v>June</v>
      </c>
      <c r="AM1769" s="133">
        <f>YEAR(Table1[[#This Row],[ETA
As requested
dd.mm.yyyy]])</f>
        <v>2024</v>
      </c>
    </row>
    <row r="1770" spans="1:40" hidden="1">
      <c r="A1770" s="123" t="s">
        <v>27</v>
      </c>
      <c r="B1770" s="36" t="s">
        <v>1170</v>
      </c>
      <c r="C1770" s="117">
        <v>5500511034</v>
      </c>
      <c r="D1770" s="165">
        <v>45446</v>
      </c>
      <c r="E1770" s="117" t="s">
        <v>383</v>
      </c>
      <c r="F1770" s="36" t="str">
        <f>IFERROR(VLOOKUP(Table1[[#This Row],[Part Number]],DATABASE_FG!$C$6:D11759,2,FALSE)," ")</f>
        <v>HOUSING            DBD.25G1X/V</v>
      </c>
      <c r="G1770" s="117" t="str">
        <f>IFERROR(_xlfn.XLOOKUP(Table1[[#This Row],[Part Number]],Table3[Part number],Table3[Drawing
 Revision]),"")</f>
        <v>f</v>
      </c>
      <c r="H1770" s="118" cm="1">
        <f t="array" ref="H1770">IFERROR(INDEX(PDB!$C:$AT,MATCH(E1770,PDB!$B:$B,0),MATCH(YEAR(K1770),0+PDB!$C$1:$AT$1,0)),"")</f>
        <v>99.16</v>
      </c>
      <c r="I1770" s="36">
        <v>10</v>
      </c>
      <c r="J1770" s="125">
        <f>IFERROR(Table1[[#This Row],[Quantity]]*Table1[[#This Row],[Price/Unit
EUR]]," ")</f>
        <v>991.59999999999991</v>
      </c>
      <c r="K1770" s="126">
        <v>45558</v>
      </c>
      <c r="L1770" s="36">
        <f>WEEKNUM(Table1[[#This Row],[ETA
As requested
dd.mm.yyyy]])</f>
        <v>39</v>
      </c>
      <c r="M1770" s="36">
        <f>YEAR(Table1[[#This Row],[ETA
As requested
dd.mm.yyyy]])</f>
        <v>2024</v>
      </c>
      <c r="N1770" s="36">
        <f>IFERROR(INDEX(DATABASE_FG!$H$5:$H$367, MATCH(E1770, DATABASE_FG!$C$5:$C$367, 0)), " ")</f>
        <v>180</v>
      </c>
      <c r="O1770" s="129" t="str">
        <f>IF(E1770&lt;&gt;"", _xlfn.XLOOKUP(E1770, DATABASE_FG!C:C, DATABASE_FG!F:F), " ")</f>
        <v>DBD.25</v>
      </c>
      <c r="P1770" s="129">
        <f>IFERROR(INDEX(DATABASE_FG!$G$5:$G$367, MATCH(E1770, DATABASE_FG!$C$5:$C$367, 0)), "Not Found")</f>
        <v>10</v>
      </c>
      <c r="Q1770" s="36">
        <v>60</v>
      </c>
      <c r="R1770" s="125" t="s">
        <v>678</v>
      </c>
      <c r="S1770" s="123">
        <f>IFERROR(INDEX(DATABASE_FG!$L$5:$L$367, MATCH(E1770, DATABASE_FG!$C$5:$C$367, 0)), " ")</f>
        <v>56</v>
      </c>
      <c r="T1770" s="36" t="s">
        <v>677</v>
      </c>
      <c r="U1770" s="36"/>
      <c r="V1770" s="36"/>
      <c r="W1770" s="129"/>
      <c r="X1770" s="36"/>
      <c r="Y1770" s="36"/>
      <c r="Z1770" s="36" t="s">
        <v>2388</v>
      </c>
      <c r="AA1770" s="125" t="s">
        <v>121</v>
      </c>
      <c r="AB1770" s="173">
        <v>45471</v>
      </c>
      <c r="AC1770" s="119">
        <v>2024736</v>
      </c>
      <c r="AD1770" s="36">
        <f t="shared" si="200"/>
        <v>5500511034</v>
      </c>
      <c r="AE1770" s="36" t="str">
        <f t="shared" si="201"/>
        <v>R901157146</v>
      </c>
      <c r="AF1770" s="36">
        <v>10</v>
      </c>
      <c r="AG1770" s="120">
        <f t="shared" si="194"/>
        <v>991.59999999999991</v>
      </c>
      <c r="AH1770" s="36"/>
      <c r="AI1770" s="124"/>
      <c r="AJ1770" s="122" t="s">
        <v>1640</v>
      </c>
      <c r="AK1770" s="129" t="str">
        <f t="shared" ca="1" si="193"/>
        <v>On Time</v>
      </c>
      <c r="AL1770" s="268" t="str">
        <f t="shared" si="192"/>
        <v>September</v>
      </c>
      <c r="AM1770" s="133">
        <f>YEAR(Table1[[#This Row],[ETA
As requested
dd.mm.yyyy]])</f>
        <v>2024</v>
      </c>
    </row>
    <row r="1771" spans="1:40" hidden="1">
      <c r="A1771" s="123" t="s">
        <v>25</v>
      </c>
      <c r="B1771" s="36" t="s">
        <v>1170</v>
      </c>
      <c r="C1771" s="117">
        <v>4510243273</v>
      </c>
      <c r="D1771" s="165">
        <v>45538</v>
      </c>
      <c r="E1771" s="117" t="s">
        <v>484</v>
      </c>
      <c r="F1771" s="36" t="str">
        <f>IFERROR(VLOOKUP(Table1[[#This Row],[Part Number]],DATABASE_FG!$C$6:D11760,2,FALSE)," ")</f>
        <v>Bushing RV NG6 P</v>
      </c>
      <c r="G1771" s="117" t="str">
        <f>IFERROR(_xlfn.XLOOKUP(Table1[[#This Row],[Part Number]],Table3[Part number],Table3[Drawing
 Revision]),"")</f>
        <v>B</v>
      </c>
      <c r="H1771" s="118" cm="1">
        <f t="array" ref="H1771">IFERROR(INDEX(PDB!$C:$AT,MATCH(E1771,PDB!$B:$B,0),MATCH(YEAR(K1771),0+PDB!$C$1:$AT$1,0)),"")</f>
        <v>2</v>
      </c>
      <c r="I1771" s="36">
        <v>132</v>
      </c>
      <c r="J1771" s="125">
        <f>IFERROR(Table1[[#This Row],[Quantity]]*Table1[[#This Row],[Price/Unit
EUR]]," ")</f>
        <v>264</v>
      </c>
      <c r="K1771" s="126">
        <v>45561</v>
      </c>
      <c r="L1771" s="36">
        <f>WEEKNUM(Table1[[#This Row],[ETA
As requested
dd.mm.yyyy]])</f>
        <v>39</v>
      </c>
      <c r="M1771" s="36">
        <f>YEAR(Table1[[#This Row],[ETA
As requested
dd.mm.yyyy]])</f>
        <v>2024</v>
      </c>
      <c r="N1771" s="36">
        <f>IFERROR(INDEX(DATABASE_FG!$H$5:$H$367, MATCH(E1771, DATABASE_FG!$C$5:$C$367, 0)), " ")</f>
        <v>0</v>
      </c>
      <c r="O1771" s="129" t="str">
        <f>IF(E1771&lt;&gt;"", _xlfn.XLOOKUP(E1771, DATABASE_FG!C:C, DATABASE_FG!F:F), " ")</f>
        <v>BUSHING</v>
      </c>
      <c r="P1771" s="129">
        <f>IFERROR(INDEX(DATABASE_FG!$G$5:$G$367, MATCH(E1771, DATABASE_FG!$C$5:$C$367, 0)), "Not Found")</f>
        <v>380</v>
      </c>
      <c r="Q1771" s="36"/>
      <c r="R1771" s="125" t="s">
        <v>680</v>
      </c>
      <c r="S1771" s="123">
        <f>IFERROR(INDEX(DATABASE_FG!$L$5:$L$367, MATCH(E1771, DATABASE_FG!$C$5:$C$367, 0)), " ")</f>
        <v>42</v>
      </c>
      <c r="T1771" s="36"/>
      <c r="U1771" s="36"/>
      <c r="V1771" s="36"/>
      <c r="W1771" s="129"/>
      <c r="X1771" s="36" t="s">
        <v>2391</v>
      </c>
      <c r="Y1771" s="36" t="s">
        <v>2392</v>
      </c>
      <c r="Z1771" s="36"/>
      <c r="AA1771" s="125" t="s">
        <v>121</v>
      </c>
      <c r="AB1771" s="173">
        <v>45702</v>
      </c>
      <c r="AC1771" s="119">
        <v>25203</v>
      </c>
      <c r="AD1771" s="36">
        <f t="shared" si="200"/>
        <v>4510243273</v>
      </c>
      <c r="AE1771" s="36" t="str">
        <f t="shared" si="201"/>
        <v>R901162946</v>
      </c>
      <c r="AF1771" s="36">
        <v>132</v>
      </c>
      <c r="AG1771" s="120">
        <f t="shared" si="194"/>
        <v>264</v>
      </c>
      <c r="AH1771" s="36"/>
      <c r="AI1771" s="124"/>
      <c r="AJ1771" s="122" t="s">
        <v>2393</v>
      </c>
      <c r="AK1771" s="129" t="str">
        <f t="shared" ca="1" si="193"/>
        <v>Late</v>
      </c>
      <c r="AL1771" s="268" t="str">
        <f t="shared" si="192"/>
        <v>September</v>
      </c>
      <c r="AM1771" s="133">
        <f>YEAR(Table1[[#This Row],[ETA
As requested
dd.mm.yyyy]])</f>
        <v>2024</v>
      </c>
    </row>
    <row r="1772" spans="1:40" hidden="1">
      <c r="A1772" s="123" t="s">
        <v>27</v>
      </c>
      <c r="B1772" s="36" t="s">
        <v>1170</v>
      </c>
      <c r="C1772" s="117">
        <v>5500511036</v>
      </c>
      <c r="D1772" s="165">
        <v>45411</v>
      </c>
      <c r="E1772" s="117" t="s">
        <v>389</v>
      </c>
      <c r="F1772" s="36" t="str">
        <f>IFERROR(VLOOKUP(Table1[[#This Row],[Part Number]],DATABASE_FG!$C$6:D11761,2,FALSE)," ")</f>
        <v>HOUSING            DBD.10 P1X/./V B</v>
      </c>
      <c r="G1772" s="117" t="str">
        <f>IFERROR(_xlfn.XLOOKUP(Table1[[#This Row],[Part Number]],Table3[Part number],Table3[Drawing
 Revision]),"")</f>
        <v>A</v>
      </c>
      <c r="H1772" s="118" cm="1">
        <f t="array" ref="H1772">IFERROR(INDEX(PDB!$C:$AT,MATCH(E1772,PDB!$B:$B,0),MATCH(YEAR(K1772),0+PDB!$C$1:$AT$1,0)),"")</f>
        <v>50.63</v>
      </c>
      <c r="I1772" s="36">
        <v>10</v>
      </c>
      <c r="J1772" s="125">
        <f>IFERROR(Table1[[#This Row],[Quantity]]*Table1[[#This Row],[Price/Unit
EUR]]," ")</f>
        <v>506.3</v>
      </c>
      <c r="K1772" s="126">
        <v>45484</v>
      </c>
      <c r="L1772" s="36">
        <f>WEEKNUM(Table1[[#This Row],[ETA
As requested
dd.mm.yyyy]])</f>
        <v>28</v>
      </c>
      <c r="M1772" s="36">
        <f>YEAR(Table1[[#This Row],[ETA
As requested
dd.mm.yyyy]])</f>
        <v>2024</v>
      </c>
      <c r="N1772" s="36">
        <f>IFERROR(INDEX(DATABASE_FG!$H$5:$H$367, MATCH(E1772, DATABASE_FG!$C$5:$C$367, 0)), " ")</f>
        <v>135</v>
      </c>
      <c r="O1772" s="129" t="str">
        <f>IF(E1772&lt;&gt;"", _xlfn.XLOOKUP(E1772, DATABASE_FG!C:C, DATABASE_FG!F:F), " ")</f>
        <v>DBD.10</v>
      </c>
      <c r="P1772" s="129">
        <f>IFERROR(INDEX(DATABASE_FG!$G$5:$G$367, MATCH(E1772, DATABASE_FG!$C$5:$C$367, 0)), "Not Found")</f>
        <v>3</v>
      </c>
      <c r="Q1772" s="36">
        <v>60</v>
      </c>
      <c r="R1772" s="125" t="s">
        <v>678</v>
      </c>
      <c r="S1772" s="123">
        <f>IFERROR(INDEX(DATABASE_FG!$L$5:$L$367, MATCH(E1772, DATABASE_FG!$C$5:$C$367, 0)), " ")</f>
        <v>56</v>
      </c>
      <c r="T1772" s="36" t="s">
        <v>677</v>
      </c>
      <c r="U1772" s="36"/>
      <c r="V1772" s="36"/>
      <c r="W1772" s="129"/>
      <c r="X1772" s="36"/>
      <c r="Y1772" s="36"/>
      <c r="Z1772" s="36">
        <v>242510</v>
      </c>
      <c r="AA1772" s="125" t="s">
        <v>121</v>
      </c>
      <c r="AB1772" s="172">
        <v>45483</v>
      </c>
      <c r="AC1772" s="119">
        <v>2024833</v>
      </c>
      <c r="AD1772" s="36">
        <f t="shared" si="200"/>
        <v>5500511036</v>
      </c>
      <c r="AE1772" s="36" t="str">
        <f t="shared" si="201"/>
        <v>R901190149</v>
      </c>
      <c r="AF1772" s="36">
        <v>10</v>
      </c>
      <c r="AG1772" s="120">
        <f t="shared" si="194"/>
        <v>506.3</v>
      </c>
      <c r="AH1772" s="36"/>
      <c r="AI1772" s="124"/>
      <c r="AJ1772" s="122" t="s">
        <v>1819</v>
      </c>
      <c r="AK1772" s="129" t="str">
        <f t="shared" ca="1" si="193"/>
        <v>On Time</v>
      </c>
      <c r="AL1772" s="268" t="str">
        <f t="shared" ref="AL1772:AL1787" si="202">TEXT(K1772,"mmmm")</f>
        <v>July</v>
      </c>
      <c r="AM1772" s="133">
        <f>YEAR(Table1[[#This Row],[ETA
As requested
dd.mm.yyyy]])</f>
        <v>2024</v>
      </c>
    </row>
    <row r="1773" spans="1:40" hidden="1">
      <c r="A1773" s="123" t="s">
        <v>27</v>
      </c>
      <c r="B1773" s="36" t="s">
        <v>1170</v>
      </c>
      <c r="C1773" s="117">
        <v>5500511036</v>
      </c>
      <c r="D1773" s="165">
        <v>45446</v>
      </c>
      <c r="E1773" s="117" t="s">
        <v>389</v>
      </c>
      <c r="F1773" s="36" t="str">
        <f>IFERROR(VLOOKUP(Table1[[#This Row],[Part Number]],DATABASE_FG!$C$6:D11762,2,FALSE)," ")</f>
        <v>HOUSING            DBD.10 P1X/./V B</v>
      </c>
      <c r="G1773" s="117" t="str">
        <f>IFERROR(_xlfn.XLOOKUP(Table1[[#This Row],[Part Number]],Table3[Part number],Table3[Drawing
 Revision]),"")</f>
        <v>A</v>
      </c>
      <c r="H1773" s="118" cm="1">
        <f t="array" ref="H1773">IFERROR(INDEX(PDB!$C:$AT,MATCH(E1773,PDB!$B:$B,0),MATCH(YEAR(K1773),0+PDB!$C$1:$AT$1,0)),"")</f>
        <v>50.63</v>
      </c>
      <c r="I1773" s="36">
        <v>7</v>
      </c>
      <c r="J1773" s="125">
        <f>IFERROR(Table1[[#This Row],[Quantity]]*Table1[[#This Row],[Price/Unit
EUR]]," ")</f>
        <v>354.41</v>
      </c>
      <c r="K1773" s="126">
        <v>45568</v>
      </c>
      <c r="L1773" s="36">
        <f>WEEKNUM(Table1[[#This Row],[ETA
As requested
dd.mm.yyyy]])</f>
        <v>40</v>
      </c>
      <c r="M1773" s="36">
        <f>YEAR(Table1[[#This Row],[ETA
As requested
dd.mm.yyyy]])</f>
        <v>2024</v>
      </c>
      <c r="N1773" s="36">
        <f>IFERROR(INDEX(DATABASE_FG!$H$5:$H$367, MATCH(E1773, DATABASE_FG!$C$5:$C$367, 0)), " ")</f>
        <v>135</v>
      </c>
      <c r="O1773" s="129" t="str">
        <f>IF(E1773&lt;&gt;"", _xlfn.XLOOKUP(E1773, DATABASE_FG!C:C, DATABASE_FG!F:F), " ")</f>
        <v>DBD.10</v>
      </c>
      <c r="P1773" s="129">
        <f>IFERROR(INDEX(DATABASE_FG!$G$5:$G$367, MATCH(E1773, DATABASE_FG!$C$5:$C$367, 0)), "Not Found")</f>
        <v>3</v>
      </c>
      <c r="Q1773" s="36">
        <v>60</v>
      </c>
      <c r="R1773" s="125" t="s">
        <v>678</v>
      </c>
      <c r="S1773" s="123">
        <f>IFERROR(INDEX(DATABASE_FG!$L$5:$L$367, MATCH(E1773, DATABASE_FG!$C$5:$C$367, 0)), " ")</f>
        <v>56</v>
      </c>
      <c r="T1773" s="36" t="s">
        <v>677</v>
      </c>
      <c r="U1773" s="36"/>
      <c r="V1773" s="36"/>
      <c r="W1773" s="129"/>
      <c r="X1773" s="36"/>
      <c r="Y1773" s="36"/>
      <c r="Z1773" s="36"/>
      <c r="AA1773" s="125" t="s">
        <v>121</v>
      </c>
      <c r="AB1773" s="172">
        <v>45686</v>
      </c>
      <c r="AC1773" s="119">
        <v>25114</v>
      </c>
      <c r="AD1773" s="36">
        <f t="shared" si="200"/>
        <v>5500511036</v>
      </c>
      <c r="AE1773" s="36" t="str">
        <f t="shared" si="201"/>
        <v>R901190149</v>
      </c>
      <c r="AF1773" s="36">
        <v>7</v>
      </c>
      <c r="AG1773" s="120">
        <f t="shared" si="194"/>
        <v>354.41</v>
      </c>
      <c r="AH1773" s="36"/>
      <c r="AI1773" s="124"/>
      <c r="AJ1773" s="122" t="s">
        <v>2420</v>
      </c>
      <c r="AK1773" s="129" t="str">
        <f t="shared" ca="1" si="193"/>
        <v>Late</v>
      </c>
      <c r="AL1773" s="268" t="str">
        <f t="shared" si="202"/>
        <v>October</v>
      </c>
      <c r="AM1773" s="133">
        <f>YEAR(Table1[[#This Row],[ETA
As requested
dd.mm.yyyy]])</f>
        <v>2024</v>
      </c>
    </row>
    <row r="1774" spans="1:40" hidden="1">
      <c r="A1774" s="123" t="s">
        <v>27</v>
      </c>
      <c r="B1774" s="36" t="s">
        <v>1170</v>
      </c>
      <c r="C1774" s="117">
        <v>5500511036</v>
      </c>
      <c r="D1774" s="165">
        <v>45446</v>
      </c>
      <c r="E1774" s="117" t="s">
        <v>389</v>
      </c>
      <c r="F1774" s="36" t="str">
        <f>IFERROR(VLOOKUP(Table1[[#This Row],[Part Number]],DATABASE_FG!$C$6:D11763,2,FALSE)," ")</f>
        <v>HOUSING            DBD.10 P1X/./V B</v>
      </c>
      <c r="G1774" s="117" t="str">
        <f>IFERROR(_xlfn.XLOOKUP(Table1[[#This Row],[Part Number]],Table3[Part number],Table3[Drawing
 Revision]),"")</f>
        <v>A</v>
      </c>
      <c r="H1774" s="118" cm="1">
        <f t="array" ref="H1774">IFERROR(INDEX(PDB!$C:$AT,MATCH(E1774,PDB!$B:$B,0),MATCH(YEAR(K1774),0+PDB!$C$1:$AT$1,0)),"")</f>
        <v>50.63</v>
      </c>
      <c r="I1774" s="36">
        <f>12-7</f>
        <v>5</v>
      </c>
      <c r="J1774" s="125">
        <f>IFERROR(Table1[[#This Row],[Quantity]]*Table1[[#This Row],[Price/Unit
EUR]]," ")</f>
        <v>253.15</v>
      </c>
      <c r="K1774" s="126">
        <v>45568</v>
      </c>
      <c r="L1774" s="36">
        <f>WEEKNUM(Table1[[#This Row],[ETA
As requested
dd.mm.yyyy]])</f>
        <v>40</v>
      </c>
      <c r="M1774" s="36">
        <f>YEAR(Table1[[#This Row],[ETA
As requested
dd.mm.yyyy]])</f>
        <v>2024</v>
      </c>
      <c r="N1774" s="36">
        <f>IFERROR(INDEX(DATABASE_FG!$H$5:$H$367, MATCH(E1774, DATABASE_FG!$C$5:$C$367, 0)), " ")</f>
        <v>135</v>
      </c>
      <c r="O1774" s="129" t="str">
        <f>IF(E1774&lt;&gt;"", _xlfn.XLOOKUP(E1774, DATABASE_FG!C:C, DATABASE_FG!F:F), " ")</f>
        <v>DBD.10</v>
      </c>
      <c r="P1774" s="129">
        <f>IFERROR(INDEX(DATABASE_FG!$G$5:$G$367, MATCH(E1774, DATABASE_FG!$C$5:$C$367, 0)), "Not Found")</f>
        <v>3</v>
      </c>
      <c r="Q1774" s="36">
        <v>60</v>
      </c>
      <c r="R1774" s="125" t="s">
        <v>678</v>
      </c>
      <c r="S1774" s="123">
        <f>IFERROR(INDEX(DATABASE_FG!$L$5:$L$367, MATCH(E1774, DATABASE_FG!$C$5:$C$367, 0)), " ")</f>
        <v>56</v>
      </c>
      <c r="T1774" s="36" t="s">
        <v>677</v>
      </c>
      <c r="U1774" s="36"/>
      <c r="V1774" s="36"/>
      <c r="W1774" s="129"/>
      <c r="X1774" s="36"/>
      <c r="Y1774" s="36"/>
      <c r="Z1774" s="36"/>
      <c r="AA1774" s="125" t="s">
        <v>121</v>
      </c>
      <c r="AB1774" s="172">
        <v>45876</v>
      </c>
      <c r="AC1774" s="119"/>
      <c r="AD1774" s="36" t="str">
        <f t="shared" si="200"/>
        <v/>
      </c>
      <c r="AE1774" s="36" t="str">
        <f t="shared" si="201"/>
        <v/>
      </c>
      <c r="AF1774" s="36">
        <v>0</v>
      </c>
      <c r="AG1774" s="120">
        <f t="shared" si="194"/>
        <v>0</v>
      </c>
      <c r="AH1774" s="36"/>
      <c r="AI1774" s="124"/>
      <c r="AJ1774" s="122"/>
      <c r="AK1774" s="129" t="str">
        <f t="shared" ca="1" si="193"/>
        <v>Late</v>
      </c>
      <c r="AL1774" s="268" t="str">
        <f t="shared" si="202"/>
        <v>October</v>
      </c>
      <c r="AM1774" s="133">
        <f>YEAR(Table1[[#This Row],[ETA
As requested
dd.mm.yyyy]])</f>
        <v>2024</v>
      </c>
    </row>
    <row r="1775" spans="1:40" hidden="1">
      <c r="A1775" s="123" t="s">
        <v>27</v>
      </c>
      <c r="B1775" s="36" t="s">
        <v>1170</v>
      </c>
      <c r="C1775" s="117">
        <v>5500511036</v>
      </c>
      <c r="D1775" s="165">
        <v>45446</v>
      </c>
      <c r="E1775" s="117" t="s">
        <v>389</v>
      </c>
      <c r="F1775" s="36" t="str">
        <f>IFERROR(VLOOKUP(Table1[[#This Row],[Part Number]],DATABASE_FG!$C$6:D11764,2,FALSE)," ")</f>
        <v>HOUSING            DBD.10 P1X/./V B</v>
      </c>
      <c r="G1775" s="117" t="str">
        <f>IFERROR(_xlfn.XLOOKUP(Table1[[#This Row],[Part Number]],Table3[Part number],Table3[Drawing
 Revision]),"")</f>
        <v>A</v>
      </c>
      <c r="H1775" s="118" cm="1">
        <f t="array" ref="H1775">IFERROR(INDEX(PDB!$C:$AT,MATCH(E1775,PDB!$B:$B,0),MATCH(YEAR(K1775),0+PDB!$C$1:$AT$1,0)),"")</f>
        <v>50.63</v>
      </c>
      <c r="I1775" s="36">
        <v>12</v>
      </c>
      <c r="J1775" s="125">
        <f>IFERROR(Table1[[#This Row],[Quantity]]*Table1[[#This Row],[Price/Unit
EUR]]," ")</f>
        <v>607.56000000000006</v>
      </c>
      <c r="K1775" s="126">
        <v>45574</v>
      </c>
      <c r="L1775" s="36">
        <f>WEEKNUM(Table1[[#This Row],[ETA
As requested
dd.mm.yyyy]])</f>
        <v>41</v>
      </c>
      <c r="M1775" s="36">
        <f>YEAR(Table1[[#This Row],[ETA
As requested
dd.mm.yyyy]])</f>
        <v>2024</v>
      </c>
      <c r="N1775" s="36">
        <f>IFERROR(INDEX(DATABASE_FG!$H$5:$H$367, MATCH(E1775, DATABASE_FG!$C$5:$C$367, 0)), " ")</f>
        <v>135</v>
      </c>
      <c r="O1775" s="129" t="str">
        <f>IF(E1775&lt;&gt;"", _xlfn.XLOOKUP(E1775, DATABASE_FG!C:C, DATABASE_FG!F:F), " ")</f>
        <v>DBD.10</v>
      </c>
      <c r="P1775" s="129">
        <f>IFERROR(INDEX(DATABASE_FG!$G$5:$G$367, MATCH(E1775, DATABASE_FG!$C$5:$C$367, 0)), "Not Found")</f>
        <v>3</v>
      </c>
      <c r="Q1775" s="36">
        <v>60</v>
      </c>
      <c r="R1775" s="125" t="s">
        <v>678</v>
      </c>
      <c r="S1775" s="123">
        <f>IFERROR(INDEX(DATABASE_FG!$L$5:$L$367, MATCH(E1775, DATABASE_FG!$C$5:$C$367, 0)), " ")</f>
        <v>56</v>
      </c>
      <c r="T1775" s="36" t="s">
        <v>677</v>
      </c>
      <c r="U1775" s="36"/>
      <c r="V1775" s="36"/>
      <c r="W1775" s="129"/>
      <c r="X1775" s="36" t="s">
        <v>1769</v>
      </c>
      <c r="Y1775" s="36"/>
      <c r="Z1775" s="36"/>
      <c r="AA1775" s="125" t="s">
        <v>121</v>
      </c>
      <c r="AB1775" s="173">
        <v>45562</v>
      </c>
      <c r="AC1775" s="119">
        <v>202401167</v>
      </c>
      <c r="AD1775" s="36">
        <f t="shared" si="200"/>
        <v>5500511036</v>
      </c>
      <c r="AE1775" s="36" t="str">
        <f t="shared" si="201"/>
        <v>R901190149</v>
      </c>
      <c r="AF1775" s="36">
        <v>12</v>
      </c>
      <c r="AG1775" s="120">
        <f t="shared" si="194"/>
        <v>607.56000000000006</v>
      </c>
      <c r="AH1775" s="36"/>
      <c r="AI1775" s="124"/>
      <c r="AJ1775" s="122" t="s">
        <v>2455</v>
      </c>
      <c r="AK1775" s="129" t="str">
        <f t="shared" ca="1" si="193"/>
        <v>On Time</v>
      </c>
      <c r="AL1775" s="268" t="str">
        <f t="shared" si="202"/>
        <v>October</v>
      </c>
      <c r="AM1775" s="133">
        <f>YEAR(Table1[[#This Row],[ETA
As requested
dd.mm.yyyy]])</f>
        <v>2024</v>
      </c>
    </row>
    <row r="1776" spans="1:40" hidden="1">
      <c r="A1776" s="123" t="s">
        <v>27</v>
      </c>
      <c r="B1776" s="36" t="s">
        <v>1170</v>
      </c>
      <c r="C1776" s="117">
        <v>5500511037</v>
      </c>
      <c r="D1776" s="165">
        <v>45439</v>
      </c>
      <c r="E1776" s="117" t="s">
        <v>35</v>
      </c>
      <c r="F1776" s="36" t="str">
        <f>IFERROR(VLOOKUP(Table1[[#This Row],[Part Number]],DATABASE_FG!$C$6:D11765,2,FALSE)," ")</f>
        <v>HOUSING            DBD.10 G1X/.BG S</v>
      </c>
      <c r="G1776" s="117" t="str">
        <f>IFERROR(_xlfn.XLOOKUP(Table1[[#This Row],[Part Number]],Table3[Part number],Table3[Drawing
 Revision]),"")</f>
        <v>A</v>
      </c>
      <c r="H1776" s="118" cm="1">
        <f t="array" ref="H1776">IFERROR(INDEX(PDB!$C:$AT,MATCH(E1776,PDB!$B:$B,0),MATCH(YEAR(K1776),0+PDB!$C$1:$AT$1,0)),"")</f>
        <v>30.65</v>
      </c>
      <c r="I1776" s="36">
        <v>37</v>
      </c>
      <c r="J1776" s="125">
        <f>IFERROR(Table1[[#This Row],[Quantity]]*Table1[[#This Row],[Price/Unit
EUR]]," ")</f>
        <v>1134.05</v>
      </c>
      <c r="K1776" s="126">
        <v>45498</v>
      </c>
      <c r="L1776" s="36">
        <f>WEEKNUM(Table1[[#This Row],[ETA
As requested
dd.mm.yyyy]])</f>
        <v>30</v>
      </c>
      <c r="M1776" s="36">
        <f>YEAR(Table1[[#This Row],[ETA
As requested
dd.mm.yyyy]])</f>
        <v>2024</v>
      </c>
      <c r="N1776" s="36">
        <f>IFERROR(INDEX(DATABASE_FG!$H$5:$H$367, MATCH(E1776, DATABASE_FG!$C$5:$C$367, 0)), " ")</f>
        <v>69</v>
      </c>
      <c r="O1776" s="129" t="str">
        <f>IF(E1776&lt;&gt;"", _xlfn.XLOOKUP(E1776, DATABASE_FG!C:C, DATABASE_FG!F:F), " ")</f>
        <v>DBD.10</v>
      </c>
      <c r="P1776" s="129">
        <f>IFERROR(INDEX(DATABASE_FG!$G$5:$G$367, MATCH(E1776, DATABASE_FG!$C$5:$C$367, 0)), "Not Found")</f>
        <v>10</v>
      </c>
      <c r="Q1776" s="36">
        <v>60</v>
      </c>
      <c r="R1776" s="125" t="s">
        <v>678</v>
      </c>
      <c r="S1776" s="123">
        <f>IFERROR(INDEX(DATABASE_FG!$L$5:$L$367, MATCH(E1776, DATABASE_FG!$C$5:$C$367, 0)), " ")</f>
        <v>56</v>
      </c>
      <c r="T1776" s="36" t="s">
        <v>677</v>
      </c>
      <c r="U1776" s="36"/>
      <c r="V1776" s="36"/>
      <c r="W1776" s="129"/>
      <c r="X1776" s="36"/>
      <c r="Y1776" s="36"/>
      <c r="Z1776" s="36">
        <v>241713</v>
      </c>
      <c r="AA1776" s="125" t="s">
        <v>121</v>
      </c>
      <c r="AB1776" s="172">
        <v>45464</v>
      </c>
      <c r="AC1776" s="119">
        <v>2024705</v>
      </c>
      <c r="AD1776" s="36">
        <f t="shared" si="200"/>
        <v>5500511037</v>
      </c>
      <c r="AE1776" s="36" t="str">
        <f t="shared" si="201"/>
        <v>R901190153</v>
      </c>
      <c r="AF1776" s="36">
        <v>37</v>
      </c>
      <c r="AG1776" s="120">
        <f t="shared" si="194"/>
        <v>1134.05</v>
      </c>
      <c r="AH1776" s="36"/>
      <c r="AI1776" s="124"/>
      <c r="AJ1776" s="122" t="s">
        <v>1864</v>
      </c>
      <c r="AK1776" s="129" t="str">
        <f t="shared" ref="AK1776:AK1839" ca="1" si="203">IF(AB1776="", IF(K1776 &lt; TODAY(), "Late", ""), IF(AB1776 &lt;= K1776 + 2, "On Time", "Late"))</f>
        <v>On Time</v>
      </c>
      <c r="AL1776" s="268" t="str">
        <f t="shared" si="202"/>
        <v>July</v>
      </c>
      <c r="AM1776" s="133">
        <f>YEAR(Table1[[#This Row],[ETA
As requested
dd.mm.yyyy]])</f>
        <v>2024</v>
      </c>
    </row>
    <row r="1777" spans="1:40" hidden="1">
      <c r="A1777" s="123" t="s">
        <v>27</v>
      </c>
      <c r="B1777" s="36" t="s">
        <v>1170</v>
      </c>
      <c r="C1777" s="117">
        <v>5500511037</v>
      </c>
      <c r="D1777" s="165">
        <v>45439</v>
      </c>
      <c r="E1777" s="117" t="s">
        <v>35</v>
      </c>
      <c r="F1777" s="36" t="str">
        <f>IFERROR(VLOOKUP(Table1[[#This Row],[Part Number]],DATABASE_FG!$C$6:D11766,2,FALSE)," ")</f>
        <v>HOUSING            DBD.10 G1X/.BG S</v>
      </c>
      <c r="G1777" s="117" t="str">
        <f>IFERROR(_xlfn.XLOOKUP(Table1[[#This Row],[Part Number]],Table3[Part number],Table3[Drawing
 Revision]),"")</f>
        <v>A</v>
      </c>
      <c r="H1777" s="118" cm="1">
        <f t="array" ref="H1777">IFERROR(INDEX(PDB!$C:$AT,MATCH(E1777,PDB!$B:$B,0),MATCH(YEAR(K1777),0+PDB!$C$1:$AT$1,0)),"")</f>
        <v>30.65</v>
      </c>
      <c r="I1777" s="36">
        <v>3</v>
      </c>
      <c r="J1777" s="125">
        <f>IFERROR(Table1[[#This Row],[Quantity]]*Table1[[#This Row],[Price/Unit
EUR]]," ")</f>
        <v>91.949999999999989</v>
      </c>
      <c r="K1777" s="126">
        <v>45498</v>
      </c>
      <c r="L1777" s="36">
        <f>WEEKNUM(Table1[[#This Row],[ETA
As requested
dd.mm.yyyy]])</f>
        <v>30</v>
      </c>
      <c r="M1777" s="36">
        <f>YEAR(Table1[[#This Row],[ETA
As requested
dd.mm.yyyy]])</f>
        <v>2024</v>
      </c>
      <c r="N1777" s="36">
        <f>IFERROR(INDEX(DATABASE_FG!$H$5:$H$367, MATCH(E1777, DATABASE_FG!$C$5:$C$367, 0)), " ")</f>
        <v>69</v>
      </c>
      <c r="O1777" s="129" t="str">
        <f>IF(E1777&lt;&gt;"", _xlfn.XLOOKUP(E1777, DATABASE_FG!C:C, DATABASE_FG!F:F), " ")</f>
        <v>DBD.10</v>
      </c>
      <c r="P1777" s="129">
        <f>IFERROR(INDEX(DATABASE_FG!$G$5:$G$367, MATCH(E1777, DATABASE_FG!$C$5:$C$367, 0)), "Not Found")</f>
        <v>10</v>
      </c>
      <c r="Q1777" s="36">
        <v>60</v>
      </c>
      <c r="R1777" s="125" t="s">
        <v>678</v>
      </c>
      <c r="S1777" s="123">
        <f>IFERROR(INDEX(DATABASE_FG!$L$5:$L$367, MATCH(E1777, DATABASE_FG!$C$5:$C$367, 0)), " ")</f>
        <v>56</v>
      </c>
      <c r="T1777" s="36" t="s">
        <v>677</v>
      </c>
      <c r="U1777" s="36"/>
      <c r="V1777" s="36"/>
      <c r="W1777" s="129"/>
      <c r="X1777" s="36"/>
      <c r="Y1777" s="36"/>
      <c r="Z1777" s="36"/>
      <c r="AA1777" s="125" t="s">
        <v>121</v>
      </c>
      <c r="AB1777" s="173">
        <v>45499</v>
      </c>
      <c r="AC1777" s="119">
        <v>2024927</v>
      </c>
      <c r="AD1777" s="36">
        <f t="shared" si="200"/>
        <v>5500511037</v>
      </c>
      <c r="AE1777" s="36" t="str">
        <f t="shared" si="201"/>
        <v>R901190153</v>
      </c>
      <c r="AF1777" s="36">
        <v>3</v>
      </c>
      <c r="AG1777" s="120">
        <f t="shared" si="194"/>
        <v>91.949999999999989</v>
      </c>
      <c r="AH1777" s="36"/>
      <c r="AI1777" s="124"/>
      <c r="AJ1777" s="122" t="s">
        <v>1866</v>
      </c>
      <c r="AK1777" s="129" t="str">
        <f t="shared" ca="1" si="203"/>
        <v>On Time</v>
      </c>
      <c r="AL1777" s="268" t="str">
        <f t="shared" si="202"/>
        <v>July</v>
      </c>
      <c r="AM1777" s="133">
        <f>YEAR(Table1[[#This Row],[ETA
As requested
dd.mm.yyyy]])</f>
        <v>2024</v>
      </c>
    </row>
    <row r="1778" spans="1:40" hidden="1">
      <c r="A1778" s="123" t="s">
        <v>27</v>
      </c>
      <c r="B1778" s="36" t="s">
        <v>1170</v>
      </c>
      <c r="C1778" s="117">
        <v>5500511037</v>
      </c>
      <c r="D1778" s="165">
        <v>45439</v>
      </c>
      <c r="E1778" s="117" t="s">
        <v>35</v>
      </c>
      <c r="F1778" s="36" t="str">
        <f>IFERROR(VLOOKUP(Table1[[#This Row],[Part Number]],DATABASE_FG!$C$6:D11767,2,FALSE)," ")</f>
        <v>HOUSING            DBD.10 G1X/.BG S</v>
      </c>
      <c r="G1778" s="117" t="str">
        <f>IFERROR(_xlfn.XLOOKUP(Table1[[#This Row],[Part Number]],Table3[Part number],Table3[Drawing
 Revision]),"")</f>
        <v>A</v>
      </c>
      <c r="H1778" s="118" cm="1">
        <f t="array" ref="H1778">IFERROR(INDEX(PDB!$C:$AT,MATCH(E1778,PDB!$B:$B,0),MATCH(YEAR(K1778),0+PDB!$C$1:$AT$1,0)),"")</f>
        <v>29.19</v>
      </c>
      <c r="I1778" s="36">
        <v>10</v>
      </c>
      <c r="J1778" s="125">
        <f>IFERROR(Table1[[#This Row],[Quantity]]*Table1[[#This Row],[Price/Unit
EUR]]," ")</f>
        <v>291.90000000000003</v>
      </c>
      <c r="K1778" s="126">
        <v>45950</v>
      </c>
      <c r="L1778" s="36">
        <f>WEEKNUM(Table1[[#This Row],[ETA
As requested
dd.mm.yyyy]])</f>
        <v>43</v>
      </c>
      <c r="M1778" s="36">
        <f>YEAR(Table1[[#This Row],[ETA
As requested
dd.mm.yyyy]])</f>
        <v>2025</v>
      </c>
      <c r="N1778" s="36">
        <f>IFERROR(INDEX(DATABASE_FG!$H$5:$H$367, MATCH(E1778, DATABASE_FG!$C$5:$C$367, 0)), " ")</f>
        <v>69</v>
      </c>
      <c r="O1778" s="129" t="str">
        <f>IF(E1778&lt;&gt;"", _xlfn.XLOOKUP(E1778, DATABASE_FG!C:C, DATABASE_FG!F:F), " ")</f>
        <v>DBD.10</v>
      </c>
      <c r="P1778" s="129">
        <f>IFERROR(INDEX(DATABASE_FG!$G$5:$G$367, MATCH(E1778, DATABASE_FG!$C$5:$C$367, 0)), "Not Found")</f>
        <v>10</v>
      </c>
      <c r="Q1778" s="36">
        <v>60</v>
      </c>
      <c r="R1778" s="125" t="s">
        <v>678</v>
      </c>
      <c r="S1778" s="123">
        <f>IFERROR(INDEX(DATABASE_FG!$L$5:$L$367, MATCH(E1778, DATABASE_FG!$C$5:$C$367, 0)), " ")</f>
        <v>56</v>
      </c>
      <c r="T1778" s="36" t="s">
        <v>677</v>
      </c>
      <c r="U1778" s="36"/>
      <c r="V1778" s="36"/>
      <c r="W1778" s="129"/>
      <c r="X1778" s="36"/>
      <c r="Y1778" s="36"/>
      <c r="Z1778" s="36"/>
      <c r="AA1778" s="125" t="s">
        <v>3</v>
      </c>
      <c r="AB1778" s="173"/>
      <c r="AC1778" s="119"/>
      <c r="AD1778" s="36" t="str">
        <f t="shared" si="200"/>
        <v/>
      </c>
      <c r="AE1778" s="36" t="str">
        <f t="shared" si="201"/>
        <v/>
      </c>
      <c r="AF1778" s="36"/>
      <c r="AG1778" s="120">
        <f t="shared" si="194"/>
        <v>0</v>
      </c>
      <c r="AH1778" s="36"/>
      <c r="AI1778" s="124"/>
      <c r="AJ1778" s="122"/>
      <c r="AK1778" s="129" t="str">
        <f t="shared" ca="1" si="203"/>
        <v>Late</v>
      </c>
      <c r="AL1778" s="268" t="str">
        <f t="shared" si="202"/>
        <v>October</v>
      </c>
      <c r="AM1778" s="133">
        <f>YEAR(Table1[[#This Row],[ETA
As requested
dd.mm.yyyy]])</f>
        <v>2025</v>
      </c>
    </row>
    <row r="1779" spans="1:40" hidden="1">
      <c r="A1779" s="123" t="s">
        <v>27</v>
      </c>
      <c r="B1779" s="36" t="s">
        <v>1170</v>
      </c>
      <c r="C1779" s="117">
        <v>5500511037</v>
      </c>
      <c r="D1779" s="165">
        <v>45439</v>
      </c>
      <c r="E1779" s="117" t="s">
        <v>35</v>
      </c>
      <c r="F1779" s="36" t="str">
        <f>IFERROR(VLOOKUP(Table1[[#This Row],[Part Number]],DATABASE_FG!$C$6:D11768,2,FALSE)," ")</f>
        <v>HOUSING            DBD.10 G1X/.BG S</v>
      </c>
      <c r="G1779" s="117" t="str">
        <f>IFERROR(_xlfn.XLOOKUP(Table1[[#This Row],[Part Number]],Table3[Part number],Table3[Drawing
 Revision]),"")</f>
        <v>A</v>
      </c>
      <c r="H1779" s="118" cm="1">
        <f t="array" ref="H1779">IFERROR(INDEX(PDB!$C:$AT,MATCH(E1779,PDB!$B:$B,0),MATCH(YEAR(K1779),0+PDB!$C$1:$AT$1,0)),"")</f>
        <v>29.19</v>
      </c>
      <c r="I1779" s="36">
        <v>10</v>
      </c>
      <c r="J1779" s="125">
        <v>306.5</v>
      </c>
      <c r="K1779" s="126">
        <v>45960</v>
      </c>
      <c r="L1779" s="36">
        <v>43</v>
      </c>
      <c r="M1779" s="36">
        <v>2025</v>
      </c>
      <c r="N1779" s="36">
        <v>69</v>
      </c>
      <c r="O1779" s="129" t="s">
        <v>32</v>
      </c>
      <c r="P1779" s="129">
        <v>10</v>
      </c>
      <c r="Q1779" s="36">
        <v>60</v>
      </c>
      <c r="R1779" s="125" t="s">
        <v>678</v>
      </c>
      <c r="S1779" s="123" t="s">
        <v>3</v>
      </c>
      <c r="T1779" s="36"/>
      <c r="U1779" s="36"/>
      <c r="V1779" s="36" t="s">
        <v>2720</v>
      </c>
      <c r="W1779" s="129" t="s">
        <v>2720</v>
      </c>
      <c r="X1779" s="36"/>
      <c r="Y1779" s="36">
        <v>0</v>
      </c>
      <c r="Z1779" s="36"/>
      <c r="AA1779" s="125" t="s">
        <v>3</v>
      </c>
      <c r="AB1779" s="172"/>
      <c r="AC1779" s="119"/>
      <c r="AD1779" s="36" t="str">
        <f t="shared" si="200"/>
        <v/>
      </c>
      <c r="AE1779" s="36" t="str">
        <f t="shared" si="201"/>
        <v/>
      </c>
      <c r="AF1779" s="36"/>
      <c r="AG1779" s="120">
        <f t="shared" si="194"/>
        <v>0</v>
      </c>
      <c r="AH1779" s="36"/>
      <c r="AI1779" s="124"/>
      <c r="AJ1779" s="122"/>
      <c r="AK1779" s="129" t="str">
        <f t="shared" ca="1" si="203"/>
        <v>Late</v>
      </c>
      <c r="AL1779" s="268" t="str">
        <f t="shared" si="202"/>
        <v>October</v>
      </c>
      <c r="AM1779" s="133">
        <f>YEAR(Table1[[#This Row],[ETA
As requested
dd.mm.yyyy]])</f>
        <v>2025</v>
      </c>
      <c r="AN1779" s="191"/>
    </row>
    <row r="1780" spans="1:40" hidden="1">
      <c r="A1780" s="123" t="s">
        <v>27</v>
      </c>
      <c r="B1780" s="36" t="s">
        <v>2464</v>
      </c>
      <c r="C1780" s="117">
        <v>5500511037</v>
      </c>
      <c r="D1780" s="165">
        <v>45439</v>
      </c>
      <c r="E1780" s="117" t="s">
        <v>35</v>
      </c>
      <c r="F1780" s="36" t="str">
        <f>IFERROR(VLOOKUP(Table1[[#This Row],[Part Number]],DATABASE_FG!$C$6:D11769,2,FALSE)," ")</f>
        <v>HOUSING            DBD.10 G1X/.BG S</v>
      </c>
      <c r="G1780" s="117" t="str">
        <f>IFERROR(_xlfn.XLOOKUP(Table1[[#This Row],[Part Number]],Table3[Part number],Table3[Drawing
 Revision]),"")</f>
        <v>A</v>
      </c>
      <c r="H1780" s="118" cm="1">
        <f t="array" ref="H1780">IFERROR(INDEX(PDB!$C:$AT,MATCH(E1780,PDB!$B:$B,0),MATCH(YEAR(K1780),0+PDB!$C$1:$AT$1,0)),"")</f>
        <v>29.19</v>
      </c>
      <c r="I1780" s="36">
        <v>14</v>
      </c>
      <c r="J1780" s="125">
        <v>306.5</v>
      </c>
      <c r="K1780" s="126">
        <v>46003</v>
      </c>
      <c r="L1780" s="36">
        <v>45</v>
      </c>
      <c r="M1780" s="36">
        <v>2025</v>
      </c>
      <c r="N1780" s="36">
        <v>69</v>
      </c>
      <c r="O1780" s="129" t="s">
        <v>32</v>
      </c>
      <c r="P1780" s="129">
        <v>10</v>
      </c>
      <c r="Q1780" s="36">
        <v>60</v>
      </c>
      <c r="R1780" s="125" t="s">
        <v>678</v>
      </c>
      <c r="S1780" s="123" t="s">
        <v>3</v>
      </c>
      <c r="T1780" s="36"/>
      <c r="U1780" s="36"/>
      <c r="V1780" s="36" t="s">
        <v>2720</v>
      </c>
      <c r="W1780" s="129" t="s">
        <v>2720</v>
      </c>
      <c r="X1780" s="36"/>
      <c r="Y1780" s="36">
        <v>0</v>
      </c>
      <c r="Z1780" s="36"/>
      <c r="AA1780" s="125" t="s">
        <v>3</v>
      </c>
      <c r="AB1780" s="172"/>
      <c r="AC1780" s="119"/>
      <c r="AD1780" s="36" t="str">
        <f t="shared" si="200"/>
        <v/>
      </c>
      <c r="AE1780" s="36" t="str">
        <f t="shared" si="201"/>
        <v/>
      </c>
      <c r="AF1780" s="36"/>
      <c r="AG1780" s="120">
        <f t="shared" si="194"/>
        <v>0</v>
      </c>
      <c r="AH1780" s="36"/>
      <c r="AI1780" s="124"/>
      <c r="AJ1780" s="122"/>
      <c r="AK1780" s="129" t="str">
        <f t="shared" ca="1" si="203"/>
        <v/>
      </c>
      <c r="AL1780" s="268" t="str">
        <f t="shared" si="202"/>
        <v>December</v>
      </c>
      <c r="AM1780" s="133">
        <f>YEAR(Table1[[#This Row],[ETA
As requested
dd.mm.yyyy]])</f>
        <v>2025</v>
      </c>
      <c r="AN1780" s="191"/>
    </row>
    <row r="1781" spans="1:40" hidden="1">
      <c r="A1781" s="123" t="s">
        <v>27</v>
      </c>
      <c r="B1781" s="36" t="s">
        <v>2464</v>
      </c>
      <c r="C1781" s="117">
        <v>5500511037</v>
      </c>
      <c r="D1781" s="165">
        <v>45439</v>
      </c>
      <c r="E1781" s="304" t="s">
        <v>35</v>
      </c>
      <c r="F1781" s="36" t="str">
        <f>IFERROR(VLOOKUP(Table1[[#This Row],[Part Number]],DATABASE_FG!$C$6:D11770,2,FALSE)," ")</f>
        <v>HOUSING            DBD.10 G1X/.BG S</v>
      </c>
      <c r="G1781" s="117" t="str">
        <f>IFERROR(_xlfn.XLOOKUP(Table1[[#This Row],[Part Number]],Table3[Part number],Table3[Drawing
 Revision]),"")</f>
        <v>A</v>
      </c>
      <c r="H1781" s="118" cm="1">
        <f t="array" ref="H1781">IFERROR(INDEX(PDB!$C:$AT,MATCH(E1781,PDB!$B:$B,0),MATCH(YEAR(K1781),0+PDB!$C$1:$AT$1,0)),"")</f>
        <v>0</v>
      </c>
      <c r="I1781" s="36">
        <v>10</v>
      </c>
      <c r="J1781" s="125">
        <f>IFERROR(Table1[[#This Row],[Quantity]]*Table1[[#This Row],[Price/Unit
EUR]]," ")</f>
        <v>0</v>
      </c>
      <c r="K1781" s="126">
        <v>46076</v>
      </c>
      <c r="L1781" s="36">
        <f>WEEKNUM(Table1[[#This Row],[ETA
As requested
dd.mm.yyyy]])</f>
        <v>9</v>
      </c>
      <c r="M1781" s="36">
        <f>YEAR(Table1[[#This Row],[ETA
As requested
dd.mm.yyyy]])</f>
        <v>2026</v>
      </c>
      <c r="N1781" s="36">
        <f>IFERROR(INDEX(DATABASE_FG!$H$5:$H$367, MATCH(E1781, DATABASE_FG!$C$5:$C$367, 0)), " ")</f>
        <v>69</v>
      </c>
      <c r="O1781" s="129" t="str">
        <f>IF(E1781&lt;&gt;"", _xlfn.XLOOKUP(E1781, DATABASE_FG!C:C, DATABASE_FG!F:F), " ")</f>
        <v>DBD.10</v>
      </c>
      <c r="P1781" s="129">
        <f>IFERROR(INDEX(DATABASE_FG!$G$5:$G$367, MATCH(E1781, DATABASE_FG!$C$5:$C$367, 0)), "Not Found")</f>
        <v>10</v>
      </c>
      <c r="Q1781" s="36">
        <v>60</v>
      </c>
      <c r="R1781" s="125" t="s">
        <v>678</v>
      </c>
      <c r="S1781" s="123">
        <f>IFERROR(INDEX(DATABASE_FG!$L$5:$L$367, MATCH(E1781, DATABASE_FG!$C$5:$C$367, 0)), " ")</f>
        <v>56</v>
      </c>
      <c r="T1781" s="36" t="s">
        <v>677</v>
      </c>
      <c r="U1781" s="36"/>
      <c r="V1781" s="36"/>
      <c r="W1781" s="129"/>
      <c r="X1781" s="36"/>
      <c r="Y1781" s="36"/>
      <c r="Z1781" s="36"/>
      <c r="AA1781" s="125" t="s">
        <v>3</v>
      </c>
      <c r="AB1781" s="172"/>
      <c r="AC1781" s="119"/>
      <c r="AD1781" s="36" t="str">
        <f t="shared" si="200"/>
        <v/>
      </c>
      <c r="AE1781" s="36" t="str">
        <f t="shared" si="201"/>
        <v/>
      </c>
      <c r="AF1781" s="36"/>
      <c r="AG1781" s="120">
        <f t="shared" si="194"/>
        <v>0</v>
      </c>
      <c r="AH1781" s="36"/>
      <c r="AI1781" s="124"/>
      <c r="AJ1781" s="122"/>
      <c r="AK1781" s="129" t="str">
        <f t="shared" ca="1" si="203"/>
        <v/>
      </c>
      <c r="AL1781" s="268" t="str">
        <f t="shared" si="202"/>
        <v>February</v>
      </c>
      <c r="AM1781" s="133">
        <f>YEAR(Table1[[#This Row],[ETA
As requested
dd.mm.yyyy]])</f>
        <v>2026</v>
      </c>
    </row>
    <row r="1782" spans="1:40" hidden="1">
      <c r="A1782" s="123" t="s">
        <v>27</v>
      </c>
      <c r="B1782" s="36" t="s">
        <v>1170</v>
      </c>
      <c r="C1782" s="117">
        <v>5500511038</v>
      </c>
      <c r="D1782" s="165">
        <v>45446</v>
      </c>
      <c r="E1782" s="304" t="s">
        <v>31</v>
      </c>
      <c r="F1782" s="36" t="str">
        <f>IFERROR(VLOOKUP(Table1[[#This Row],[Part Number]],DATABASE_FG!$C$6:D11771,2,FALSE)," ")</f>
        <v>COVER              ZDC 10.-25/</v>
      </c>
      <c r="G1782" s="117" t="str">
        <f>IFERROR(_xlfn.XLOOKUP(Table1[[#This Row],[Part Number]],Table3[Part number],Table3[Drawing
 Revision]),"")</f>
        <v>AF</v>
      </c>
      <c r="H1782" s="118" cm="1">
        <f t="array" ref="H1782">IFERROR(INDEX(PDB!$C:$AT,MATCH(E1782,PDB!$B:$B,0),MATCH(YEAR(K1782),0+PDB!$C$1:$AT$1,0)),"")</f>
        <v>26.49</v>
      </c>
      <c r="I1782" s="36">
        <v>37</v>
      </c>
      <c r="J1782" s="125">
        <f>IFERROR(Table1[[#This Row],[Quantity]]*Table1[[#This Row],[Price/Unit
EUR]]," ")</f>
        <v>980.13</v>
      </c>
      <c r="K1782" s="126">
        <v>45821</v>
      </c>
      <c r="L1782" s="36">
        <f>WEEKNUM(Table1[[#This Row],[ETA
As requested
dd.mm.yyyy]])</f>
        <v>24</v>
      </c>
      <c r="M1782" s="36">
        <f>YEAR(Table1[[#This Row],[ETA
As requested
dd.mm.yyyy]])</f>
        <v>2025</v>
      </c>
      <c r="N1782" s="36">
        <f>IFERROR(INDEX(DATABASE_FG!$H$5:$H$367, MATCH(E1782, DATABASE_FG!$C$5:$C$367, 0)), " ")</f>
        <v>21</v>
      </c>
      <c r="O1782" s="129" t="str">
        <f>IF(E1782&lt;&gt;"", _xlfn.XLOOKUP(E1782, DATABASE_FG!C:C, DATABASE_FG!F:F), " ")</f>
        <v>COVER</v>
      </c>
      <c r="P1782" s="129">
        <f>IFERROR(INDEX(DATABASE_FG!$G$5:$G$367, MATCH(E1782, DATABASE_FG!$C$5:$C$367, 0)), "Not Found")</f>
        <v>20</v>
      </c>
      <c r="Q1782" s="36">
        <v>60</v>
      </c>
      <c r="R1782" s="125" t="s">
        <v>678</v>
      </c>
      <c r="S1782" s="123">
        <f>IFERROR(INDEX(DATABASE_FG!$L$5:$L$367, MATCH(E1782, DATABASE_FG!$C$5:$C$367, 0)), " ")</f>
        <v>42</v>
      </c>
      <c r="T1782" s="36" t="s">
        <v>677</v>
      </c>
      <c r="U1782" s="36"/>
      <c r="V1782" s="36"/>
      <c r="W1782" s="129"/>
      <c r="X1782" s="36"/>
      <c r="Y1782" s="36"/>
      <c r="Z1782" s="36"/>
      <c r="AA1782" s="125" t="s">
        <v>121</v>
      </c>
      <c r="AB1782" s="172">
        <v>45828</v>
      </c>
      <c r="AC1782" s="119">
        <v>25962</v>
      </c>
      <c r="AD1782" s="36">
        <f t="shared" si="200"/>
        <v>5500511038</v>
      </c>
      <c r="AE1782" s="36" t="str">
        <f t="shared" si="201"/>
        <v>R901238578</v>
      </c>
      <c r="AF1782" s="36">
        <v>37</v>
      </c>
      <c r="AG1782" s="120">
        <f t="shared" si="194"/>
        <v>980.13</v>
      </c>
      <c r="AH1782" s="36"/>
      <c r="AI1782" s="124"/>
      <c r="AJ1782" s="122" t="s">
        <v>3271</v>
      </c>
      <c r="AK1782" s="129" t="str">
        <f t="shared" ca="1" si="203"/>
        <v>Late</v>
      </c>
      <c r="AL1782" s="268" t="str">
        <f t="shared" si="202"/>
        <v>June</v>
      </c>
      <c r="AM1782" s="133">
        <f>YEAR(Table1[[#This Row],[ETA
As requested
dd.mm.yyyy]])</f>
        <v>2025</v>
      </c>
    </row>
    <row r="1783" spans="1:40" hidden="1">
      <c r="A1783" s="123" t="s">
        <v>27</v>
      </c>
      <c r="B1783" s="36" t="s">
        <v>1170</v>
      </c>
      <c r="C1783" s="117">
        <v>5500511038</v>
      </c>
      <c r="D1783" s="165">
        <v>45446</v>
      </c>
      <c r="E1783" s="117" t="s">
        <v>31</v>
      </c>
      <c r="F1783" s="36" t="str">
        <f>IFERROR(VLOOKUP(Table1[[#This Row],[Part Number]],DATABASE_FG!$C$6:D11772,2,FALSE)," ")</f>
        <v>COVER              ZDC 10.-25/</v>
      </c>
      <c r="G1783" s="117" t="str">
        <f>IFERROR(_xlfn.XLOOKUP(Table1[[#This Row],[Part Number]],Table3[Part number],Table3[Drawing
 Revision]),"")</f>
        <v>AF</v>
      </c>
      <c r="H1783" s="118" cm="1">
        <f t="array" ref="H1783">IFERROR(INDEX(PDB!$C:$AT,MATCH(E1783,PDB!$B:$B,0),MATCH(YEAR(K1783),0+PDB!$C$1:$AT$1,0)),"")</f>
        <v>26.49</v>
      </c>
      <c r="I1783" s="36">
        <v>36</v>
      </c>
      <c r="J1783" s="125">
        <f>IFERROR(Table1[[#This Row],[Quantity]]*Table1[[#This Row],[Price/Unit
EUR]]," ")</f>
        <v>953.64</v>
      </c>
      <c r="K1783" s="126">
        <v>45821</v>
      </c>
      <c r="L1783" s="36">
        <f>WEEKNUM(Table1[[#This Row],[ETA
As requested
dd.mm.yyyy]])</f>
        <v>24</v>
      </c>
      <c r="M1783" s="36">
        <f>YEAR(Table1[[#This Row],[ETA
As requested
dd.mm.yyyy]])</f>
        <v>2025</v>
      </c>
      <c r="N1783" s="36">
        <f>IFERROR(INDEX(DATABASE_FG!$H$5:$H$367, MATCH(E1783, DATABASE_FG!$C$5:$C$367, 0)), " ")</f>
        <v>21</v>
      </c>
      <c r="O1783" s="129" t="str">
        <f>IF(E1783&lt;&gt;"", _xlfn.XLOOKUP(E1783, DATABASE_FG!C:C, DATABASE_FG!F:F), " ")</f>
        <v>COVER</v>
      </c>
      <c r="P1783" s="129">
        <f>IFERROR(INDEX(DATABASE_FG!$G$5:$G$367, MATCH(E1783, DATABASE_FG!$C$5:$C$367, 0)), "Not Found")</f>
        <v>20</v>
      </c>
      <c r="Q1783" s="36">
        <v>60</v>
      </c>
      <c r="R1783" s="125" t="s">
        <v>678</v>
      </c>
      <c r="S1783" s="123">
        <f>IFERROR(INDEX(DATABASE_FG!$L$5:$L$367, MATCH(E1783, DATABASE_FG!$C$5:$C$367, 0)), " ")</f>
        <v>42</v>
      </c>
      <c r="T1783" s="36" t="s">
        <v>677</v>
      </c>
      <c r="U1783" s="36"/>
      <c r="V1783" s="36"/>
      <c r="W1783" s="129"/>
      <c r="X1783" s="36"/>
      <c r="Y1783" s="36"/>
      <c r="Z1783" s="36"/>
      <c r="AA1783" s="125" t="s">
        <v>121</v>
      </c>
      <c r="AB1783" s="172">
        <v>45847</v>
      </c>
      <c r="AC1783" s="119">
        <v>251049</v>
      </c>
      <c r="AD1783" s="36">
        <f t="shared" si="200"/>
        <v>5500511038</v>
      </c>
      <c r="AE1783" s="36" t="str">
        <f t="shared" si="201"/>
        <v>R901238578</v>
      </c>
      <c r="AF1783" s="36">
        <v>36</v>
      </c>
      <c r="AG1783" s="120">
        <f t="shared" ref="AG1783:AG1847" si="204">AF1783*H1783</f>
        <v>953.64</v>
      </c>
      <c r="AH1783" s="36"/>
      <c r="AI1783" s="124"/>
      <c r="AJ1783" s="122" t="s">
        <v>3274</v>
      </c>
      <c r="AK1783" s="129" t="str">
        <f t="shared" ca="1" si="203"/>
        <v>Late</v>
      </c>
      <c r="AL1783" s="268" t="str">
        <f t="shared" si="202"/>
        <v>June</v>
      </c>
      <c r="AM1783" s="133">
        <f>YEAR(Table1[[#This Row],[ETA
As requested
dd.mm.yyyy]])</f>
        <v>2025</v>
      </c>
    </row>
    <row r="1784" spans="1:40" hidden="1">
      <c r="A1784" s="123" t="s">
        <v>27</v>
      </c>
      <c r="B1784" s="36" t="s">
        <v>1170</v>
      </c>
      <c r="C1784" s="117">
        <v>5500511038</v>
      </c>
      <c r="D1784" s="165">
        <v>45446</v>
      </c>
      <c r="E1784" s="117" t="s">
        <v>31</v>
      </c>
      <c r="F1784" s="36" t="str">
        <f>IFERROR(VLOOKUP(Table1[[#This Row],[Part Number]],DATABASE_FG!$C$6:D11773,2,FALSE)," ")</f>
        <v>COVER              ZDC 10.-25/</v>
      </c>
      <c r="G1784" s="117" t="str">
        <f>IFERROR(_xlfn.XLOOKUP(Table1[[#This Row],[Part Number]],Table3[Part number],Table3[Drawing
 Revision]),"")</f>
        <v>AF</v>
      </c>
      <c r="H1784" s="118" cm="1">
        <f t="array" ref="H1784">IFERROR(INDEX(PDB!$C:$AT,MATCH(E1784,PDB!$B:$B,0),MATCH(YEAR(K1784),0+PDB!$C$1:$AT$1,0)),"")</f>
        <v>26.49</v>
      </c>
      <c r="I1784" s="36">
        <f>10+40</f>
        <v>50</v>
      </c>
      <c r="J1784" s="125">
        <f>IFERROR(Table1[[#This Row],[Quantity]]*Table1[[#This Row],[Price/Unit
EUR]]," ")</f>
        <v>1324.5</v>
      </c>
      <c r="K1784" s="126">
        <v>45870</v>
      </c>
      <c r="L1784" s="36">
        <f>WEEKNUM(Table1[[#This Row],[ETA
As requested
dd.mm.yyyy]])</f>
        <v>31</v>
      </c>
      <c r="M1784" s="36">
        <f>YEAR(Table1[[#This Row],[ETA
As requested
dd.mm.yyyy]])</f>
        <v>2025</v>
      </c>
      <c r="N1784" s="36">
        <f>IFERROR(INDEX(DATABASE_FG!$H$5:$H$367, MATCH(E1784, DATABASE_FG!$C$5:$C$367, 0)), " ")</f>
        <v>21</v>
      </c>
      <c r="O1784" s="129" t="str">
        <f>IF(E1784&lt;&gt;"", _xlfn.XLOOKUP(E1784, DATABASE_FG!C:C, DATABASE_FG!F:F), " ")</f>
        <v>COVER</v>
      </c>
      <c r="P1784" s="129">
        <f>IFERROR(INDEX(DATABASE_FG!$G$5:$G$367, MATCH(E1784, DATABASE_FG!$C$5:$C$367, 0)), "Not Found")</f>
        <v>20</v>
      </c>
      <c r="Q1784" s="36">
        <v>60</v>
      </c>
      <c r="R1784" s="125" t="s">
        <v>678</v>
      </c>
      <c r="S1784" s="123">
        <f>IFERROR(INDEX(DATABASE_FG!$L$5:$L$367, MATCH(E1784, DATABASE_FG!$C$5:$C$367, 0)), " ")</f>
        <v>42</v>
      </c>
      <c r="T1784" s="36" t="s">
        <v>677</v>
      </c>
      <c r="U1784" s="36"/>
      <c r="V1784" s="36"/>
      <c r="W1784" s="129"/>
      <c r="X1784" s="36"/>
      <c r="Y1784" s="36"/>
      <c r="Z1784" s="36"/>
      <c r="AA1784" s="125" t="s">
        <v>121</v>
      </c>
      <c r="AB1784" s="173">
        <v>45859</v>
      </c>
      <c r="AC1784" s="119">
        <v>251080</v>
      </c>
      <c r="AD1784" s="36">
        <f t="shared" si="200"/>
        <v>5500511038</v>
      </c>
      <c r="AE1784" s="36" t="str">
        <f t="shared" si="201"/>
        <v>R901238578</v>
      </c>
      <c r="AF1784" s="36">
        <v>50</v>
      </c>
      <c r="AG1784" s="120">
        <f t="shared" si="204"/>
        <v>1324.5</v>
      </c>
      <c r="AH1784" s="36"/>
      <c r="AI1784" s="124"/>
      <c r="AJ1784" s="122" t="s">
        <v>3509</v>
      </c>
      <c r="AK1784" s="129" t="str">
        <f t="shared" ca="1" si="203"/>
        <v>On Time</v>
      </c>
      <c r="AL1784" s="268" t="str">
        <f t="shared" si="202"/>
        <v>August</v>
      </c>
      <c r="AM1784" s="133">
        <f>YEAR(Table1[[#This Row],[ETA
As requested
dd.mm.yyyy]])</f>
        <v>2025</v>
      </c>
    </row>
    <row r="1785" spans="1:40" hidden="1">
      <c r="A1785" s="123" t="s">
        <v>27</v>
      </c>
      <c r="B1785" s="36" t="s">
        <v>1170</v>
      </c>
      <c r="C1785" s="117">
        <v>5500511038</v>
      </c>
      <c r="D1785" s="165">
        <v>45446</v>
      </c>
      <c r="E1785" s="117" t="s">
        <v>31</v>
      </c>
      <c r="F1785" s="36" t="str">
        <f>IFERROR(VLOOKUP(Table1[[#This Row],[Part Number]],DATABASE_FG!$C$6:D11774,2,FALSE)," ")</f>
        <v>COVER              ZDC 10.-25/</v>
      </c>
      <c r="G1785" s="117" t="str">
        <f>IFERROR(_xlfn.XLOOKUP(Table1[[#This Row],[Part Number]],Table3[Part number],Table3[Drawing
 Revision]),"")</f>
        <v>AF</v>
      </c>
      <c r="H1785" s="118" cm="1">
        <f t="array" ref="H1785">IFERROR(INDEX(PDB!$C:$AT,MATCH(E1785,PDB!$B:$B,0),MATCH(YEAR(K1785),0+PDB!$C$1:$AT$1,0)),"")</f>
        <v>26.49</v>
      </c>
      <c r="I1785" s="36">
        <f>44-40+1</f>
        <v>5</v>
      </c>
      <c r="J1785" s="125">
        <f>IFERROR(Table1[[#This Row],[Quantity]]*Table1[[#This Row],[Price/Unit
EUR]]," ")</f>
        <v>132.44999999999999</v>
      </c>
      <c r="K1785" s="126">
        <v>45870</v>
      </c>
      <c r="L1785" s="36">
        <f>WEEKNUM(Table1[[#This Row],[ETA
As requested
dd.mm.yyyy]])</f>
        <v>31</v>
      </c>
      <c r="M1785" s="36">
        <f>YEAR(Table1[[#This Row],[ETA
As requested
dd.mm.yyyy]])</f>
        <v>2025</v>
      </c>
      <c r="N1785" s="36">
        <f>IFERROR(INDEX(DATABASE_FG!$H$5:$H$367, MATCH(E1785, DATABASE_FG!$C$5:$C$367, 0)), " ")</f>
        <v>21</v>
      </c>
      <c r="O1785" s="129" t="str">
        <f>IF(E1785&lt;&gt;"", _xlfn.XLOOKUP(E1785, DATABASE_FG!C:C, DATABASE_FG!F:F), " ")</f>
        <v>COVER</v>
      </c>
      <c r="P1785" s="129">
        <f>IFERROR(INDEX(DATABASE_FG!$G$5:$G$367, MATCH(E1785, DATABASE_FG!$C$5:$C$367, 0)), "Not Found")</f>
        <v>20</v>
      </c>
      <c r="Q1785" s="36">
        <v>60</v>
      </c>
      <c r="R1785" s="125" t="s">
        <v>678</v>
      </c>
      <c r="S1785" s="123">
        <f>IFERROR(INDEX(DATABASE_FG!$L$5:$L$367, MATCH(E1785, DATABASE_FG!$C$5:$C$367, 0)), " ")</f>
        <v>42</v>
      </c>
      <c r="T1785" s="36" t="s">
        <v>677</v>
      </c>
      <c r="U1785" s="36"/>
      <c r="V1785" s="36"/>
      <c r="W1785" s="129"/>
      <c r="X1785" s="36"/>
      <c r="Y1785" s="36"/>
      <c r="Z1785" s="36"/>
      <c r="AA1785" s="125" t="s">
        <v>121</v>
      </c>
      <c r="AB1785" s="173">
        <v>45869</v>
      </c>
      <c r="AC1785" s="119">
        <v>251113</v>
      </c>
      <c r="AD1785" s="36">
        <f t="shared" si="200"/>
        <v>5500511038</v>
      </c>
      <c r="AE1785" s="36" t="str">
        <f t="shared" si="201"/>
        <v>R901238578</v>
      </c>
      <c r="AF1785" s="36">
        <v>5</v>
      </c>
      <c r="AG1785" s="120">
        <f t="shared" si="204"/>
        <v>132.44999999999999</v>
      </c>
      <c r="AH1785" s="36"/>
      <c r="AI1785" s="124"/>
      <c r="AJ1785" s="122" t="s">
        <v>4438</v>
      </c>
      <c r="AK1785" s="129" t="str">
        <f t="shared" ca="1" si="203"/>
        <v>On Time</v>
      </c>
      <c r="AL1785" s="268" t="str">
        <f t="shared" si="202"/>
        <v>August</v>
      </c>
      <c r="AM1785" s="133">
        <f>YEAR(Table1[[#This Row],[ETA
As requested
dd.mm.yyyy]])</f>
        <v>2025</v>
      </c>
    </row>
    <row r="1786" spans="1:40" hidden="1">
      <c r="A1786" s="123" t="s">
        <v>27</v>
      </c>
      <c r="B1786" s="36" t="s">
        <v>1170</v>
      </c>
      <c r="C1786" s="117">
        <v>5500511038</v>
      </c>
      <c r="D1786" s="165">
        <v>45446</v>
      </c>
      <c r="E1786" s="117" t="s">
        <v>31</v>
      </c>
      <c r="F1786" s="36" t="str">
        <f>IFERROR(VLOOKUP(Table1[[#This Row],[Part Number]],DATABASE_FG!$C$6:D11775,2,FALSE)," ")</f>
        <v>COVER              ZDC 10.-25/</v>
      </c>
      <c r="G1786" s="117" t="str">
        <f>IFERROR(_xlfn.XLOOKUP(Table1[[#This Row],[Part Number]],Table3[Part number],Table3[Drawing
 Revision]),"")</f>
        <v>AF</v>
      </c>
      <c r="H1786" s="118" cm="1">
        <f t="array" ref="H1786">IFERROR(INDEX(PDB!$C:$AT,MATCH(E1786,PDB!$B:$B,0),MATCH(YEAR(K1786),0+PDB!$C$1:$AT$1,0)),"")</f>
        <v>26.49</v>
      </c>
      <c r="I1786" s="36">
        <v>31</v>
      </c>
      <c r="J1786" s="125">
        <f>IFERROR(Table1[[#This Row],[Quantity]]*Table1[[#This Row],[Price/Unit
EUR]]," ")</f>
        <v>821.18999999999994</v>
      </c>
      <c r="K1786" s="126">
        <v>45912</v>
      </c>
      <c r="L1786" s="36">
        <f>WEEKNUM(Table1[[#This Row],[ETA
As requested
dd.mm.yyyy]])</f>
        <v>37</v>
      </c>
      <c r="M1786" s="36">
        <f>YEAR(Table1[[#This Row],[ETA
As requested
dd.mm.yyyy]])</f>
        <v>2025</v>
      </c>
      <c r="N1786" s="36">
        <f>IFERROR(INDEX(DATABASE_FG!$H$5:$H$367, MATCH(E1786, DATABASE_FG!$C$5:$C$367, 0)), " ")</f>
        <v>21</v>
      </c>
      <c r="O1786" s="129" t="str">
        <f>IF(E1786&lt;&gt;"", _xlfn.XLOOKUP(E1786, DATABASE_FG!C:C, DATABASE_FG!F:F), " ")</f>
        <v>COVER</v>
      </c>
      <c r="P1786" s="129">
        <f>IFERROR(INDEX(DATABASE_FG!$G$5:$G$367, MATCH(E1786, DATABASE_FG!$C$5:$C$367, 0)), "Not Found")</f>
        <v>20</v>
      </c>
      <c r="Q1786" s="36">
        <v>60</v>
      </c>
      <c r="R1786" s="125" t="s">
        <v>678</v>
      </c>
      <c r="S1786" s="123">
        <f>IFERROR(INDEX(DATABASE_FG!$L$5:$L$367, MATCH(E1786, DATABASE_FG!$C$5:$C$367, 0)), " ")</f>
        <v>42</v>
      </c>
      <c r="T1786" s="36" t="s">
        <v>677</v>
      </c>
      <c r="U1786" s="36"/>
      <c r="V1786" s="36"/>
      <c r="W1786" s="129"/>
      <c r="X1786" s="36"/>
      <c r="Y1786" s="36"/>
      <c r="Z1786" s="36"/>
      <c r="AA1786" s="125" t="s">
        <v>121</v>
      </c>
      <c r="AB1786" s="173">
        <v>45869</v>
      </c>
      <c r="AC1786" s="119">
        <v>251112</v>
      </c>
      <c r="AD1786" s="36">
        <f t="shared" si="200"/>
        <v>5500511038</v>
      </c>
      <c r="AE1786" s="36" t="str">
        <f t="shared" si="201"/>
        <v>R901238578</v>
      </c>
      <c r="AF1786" s="36">
        <v>31</v>
      </c>
      <c r="AG1786" s="120">
        <f t="shared" si="204"/>
        <v>821.18999999999994</v>
      </c>
      <c r="AH1786" s="36"/>
      <c r="AI1786" s="124"/>
      <c r="AJ1786" s="122" t="s">
        <v>3510</v>
      </c>
      <c r="AK1786" s="129" t="str">
        <f t="shared" ca="1" si="203"/>
        <v>On Time</v>
      </c>
      <c r="AL1786" s="268" t="str">
        <f t="shared" si="202"/>
        <v>September</v>
      </c>
      <c r="AM1786" s="133">
        <f>YEAR(Table1[[#This Row],[ETA
As requested
dd.mm.yyyy]])</f>
        <v>2025</v>
      </c>
    </row>
    <row r="1787" spans="1:40" hidden="1">
      <c r="A1787" s="123" t="s">
        <v>27</v>
      </c>
      <c r="B1787" s="36" t="s">
        <v>1170</v>
      </c>
      <c r="C1787" s="117">
        <v>5500511038</v>
      </c>
      <c r="D1787" s="165">
        <v>45929</v>
      </c>
      <c r="E1787" s="117" t="s">
        <v>31</v>
      </c>
      <c r="F1787" s="36" t="str">
        <f>IFERROR(VLOOKUP(Table1[[#This Row],[Part Number]],DATABASE_FG!$C$6:D11776,2,FALSE)," ")</f>
        <v>COVER              ZDC 10.-25/</v>
      </c>
      <c r="G1787" s="117" t="str">
        <f>IFERROR(_xlfn.XLOOKUP(Table1[[#This Row],[Part Number]],Table3[Part number],Table3[Drawing
 Revision]),"")</f>
        <v>AF</v>
      </c>
      <c r="H1787" s="118" cm="1">
        <f t="array" ref="H1787">IFERROR(INDEX(PDB!$C:$AT,MATCH(E1787,PDB!$B:$B,0),MATCH(YEAR(K1787),0+PDB!$C$1:$AT$1,0)),"")</f>
        <v>26.49</v>
      </c>
      <c r="I1787" s="36">
        <v>51</v>
      </c>
      <c r="J1787" s="125">
        <f>IFERROR(Table1[[#This Row],[Quantity]]*Table1[[#This Row],[Price/Unit
EUR]]," ")</f>
        <v>1350.99</v>
      </c>
      <c r="K1787" s="126">
        <v>45932</v>
      </c>
      <c r="L1787" s="36">
        <f>WEEKNUM(Table1[[#This Row],[ETA
As requested
dd.mm.yyyy]])</f>
        <v>40</v>
      </c>
      <c r="M1787" s="36">
        <f>YEAR(Table1[[#This Row],[ETA
As requested
dd.mm.yyyy]])</f>
        <v>2025</v>
      </c>
      <c r="N1787" s="36">
        <f>IFERROR(INDEX(DATABASE_FG!$H$5:$H$367, MATCH(E1787, DATABASE_FG!$C$5:$C$367, 0)), " ")</f>
        <v>21</v>
      </c>
      <c r="O1787" s="129" t="str">
        <f>IF(E1787&lt;&gt;"", _xlfn.XLOOKUP(E1787, DATABASE_FG!C:C, DATABASE_FG!F:F), " ")</f>
        <v>COVER</v>
      </c>
      <c r="P1787" s="129">
        <f>IFERROR(INDEX(DATABASE_FG!$G$5:$G$367, MATCH(E1787, DATABASE_FG!$C$5:$C$367, 0)), "Not Found")</f>
        <v>20</v>
      </c>
      <c r="Q1787" s="36">
        <v>60</v>
      </c>
      <c r="R1787" s="125" t="s">
        <v>678</v>
      </c>
      <c r="S1787" s="123">
        <f>Table1[[#This Row],[Quantity]]/48</f>
        <v>1.0625</v>
      </c>
      <c r="T1787" s="36"/>
      <c r="U1787" s="36"/>
      <c r="V1787" s="36"/>
      <c r="W1787" s="129"/>
      <c r="X1787" s="36"/>
      <c r="Y1787" s="36"/>
      <c r="Z1787" s="36"/>
      <c r="AA1787" s="125" t="s">
        <v>3</v>
      </c>
      <c r="AB1787" s="173"/>
      <c r="AC1787" s="119"/>
      <c r="AD1787" s="36" t="str">
        <f t="shared" si="200"/>
        <v/>
      </c>
      <c r="AE1787" s="36" t="str">
        <f t="shared" si="201"/>
        <v/>
      </c>
      <c r="AF1787" s="36"/>
      <c r="AG1787" s="120">
        <f t="shared" si="204"/>
        <v>0</v>
      </c>
      <c r="AH1787" s="36"/>
      <c r="AI1787" s="124"/>
      <c r="AJ1787" s="122"/>
      <c r="AK1787" s="129" t="str">
        <f t="shared" ca="1" si="203"/>
        <v>Late</v>
      </c>
      <c r="AL1787" s="268" t="str">
        <f t="shared" si="202"/>
        <v>October</v>
      </c>
      <c r="AM1787" s="133">
        <f>YEAR(Table1[[#This Row],[ETA
As requested
dd.mm.yyyy]])</f>
        <v>2025</v>
      </c>
      <c r="AN1787" s="191"/>
    </row>
    <row r="1788" spans="1:40" hidden="1">
      <c r="A1788" s="123" t="s">
        <v>27</v>
      </c>
      <c r="B1788" s="36" t="s">
        <v>2464</v>
      </c>
      <c r="C1788" s="117">
        <v>5500511038</v>
      </c>
      <c r="D1788" s="165">
        <v>45924</v>
      </c>
      <c r="E1788" s="117" t="s">
        <v>31</v>
      </c>
      <c r="F1788" s="36" t="str">
        <f>IFERROR(VLOOKUP(Table1[[#This Row],[Part Number]],DATABASE_FG!$C$6:D11777,2,FALSE)," ")</f>
        <v>COVER              ZDC 10.-25/</v>
      </c>
      <c r="G1788" s="117" t="str">
        <f>IFERROR(_xlfn.XLOOKUP(Table1[[#This Row],[Part Number]],Table3[Part number],Table3[Drawing
 Revision]),"")</f>
        <v>AF</v>
      </c>
      <c r="H1788" s="118" cm="1">
        <f t="array" ref="H1788">IFERROR(INDEX(PDB!$C:$AT,MATCH(E1788,PDB!$B:$B,0),MATCH(YEAR(K1788),0+PDB!$C$1:$AT$1,0)),"")</f>
        <v>26.49</v>
      </c>
      <c r="I1788" s="36">
        <v>28</v>
      </c>
      <c r="J1788" s="125">
        <f>IFERROR(Table1[[#This Row],[Quantity]]*Table1[[#This Row],[Price/Unit
EUR]]," ")</f>
        <v>741.71999999999991</v>
      </c>
      <c r="K1788" s="126">
        <v>45958</v>
      </c>
      <c r="L1788" s="36">
        <f>WEEKNUM(Table1[[#This Row],[ETA
As requested
dd.mm.yyyy]])</f>
        <v>44</v>
      </c>
      <c r="M1788" s="36">
        <f>YEAR(Table1[[#This Row],[ETA
As requested
dd.mm.yyyy]])</f>
        <v>2025</v>
      </c>
      <c r="N1788" s="36">
        <f>IFERROR(INDEX(DATABASE_FG!$H$5:$H$367, MATCH(E1788, DATABASE_FG!$C$5:$C$367, 0)), " ")</f>
        <v>21</v>
      </c>
      <c r="O1788" s="129" t="str">
        <f>IF(E1788&lt;&gt;"", _xlfn.XLOOKUP(E1788, DATABASE_FG!C:C, DATABASE_FG!F:F), " ")</f>
        <v>COVER</v>
      </c>
      <c r="P1788" s="129">
        <f>IFERROR(INDEX(DATABASE_FG!$G$5:$G$367, MATCH(E1788, DATABASE_FG!$C$5:$C$367, 0)), "Not Found")</f>
        <v>20</v>
      </c>
      <c r="Q1788" s="36">
        <v>60</v>
      </c>
      <c r="R1788" s="125" t="s">
        <v>678</v>
      </c>
      <c r="S1788" s="123">
        <f>IFERROR(INDEX(DATABASE_FG!$L$5:$L$367, MATCH(E1788, DATABASE_FG!$C$5:$C$367, 0)), " ")</f>
        <v>42</v>
      </c>
      <c r="T1788" s="36" t="s">
        <v>677</v>
      </c>
      <c r="U1788" s="36"/>
      <c r="V1788" s="36"/>
      <c r="W1788" s="129"/>
      <c r="X1788" s="36"/>
      <c r="Y1788" s="36"/>
      <c r="Z1788" s="36"/>
      <c r="AA1788" s="125" t="s">
        <v>3</v>
      </c>
      <c r="AB1788" s="173"/>
      <c r="AC1788" s="119"/>
      <c r="AD1788" s="36" t="str">
        <f t="shared" si="200"/>
        <v/>
      </c>
      <c r="AE1788" s="36" t="str">
        <f t="shared" si="201"/>
        <v/>
      </c>
      <c r="AF1788" s="36"/>
      <c r="AG1788" s="120">
        <f t="shared" si="204"/>
        <v>0</v>
      </c>
      <c r="AH1788" s="36"/>
      <c r="AI1788" s="124"/>
      <c r="AJ1788" s="122"/>
      <c r="AK1788" s="129" t="str">
        <f t="shared" ca="1" si="203"/>
        <v>Late</v>
      </c>
      <c r="AL1788" s="268" t="str">
        <f>TEXT(K1788,"mmmm")</f>
        <v>October</v>
      </c>
      <c r="AM1788" s="133">
        <f>YEAR(Table1[[#This Row],[ETA
As requested
dd.mm.yyyy]])</f>
        <v>2025</v>
      </c>
    </row>
    <row r="1789" spans="1:40" hidden="1">
      <c r="A1789" s="123" t="s">
        <v>27</v>
      </c>
      <c r="B1789" s="36" t="s">
        <v>1170</v>
      </c>
      <c r="C1789" s="117">
        <v>5500511038</v>
      </c>
      <c r="D1789" s="165">
        <v>45929</v>
      </c>
      <c r="E1789" s="117" t="s">
        <v>31</v>
      </c>
      <c r="F1789" s="36" t="str">
        <f>IFERROR(VLOOKUP(Table1[[#This Row],[Part Number]],DATABASE_FG!$C$6:D11778,2,FALSE)," ")</f>
        <v>COVER              ZDC 10.-25/</v>
      </c>
      <c r="G1789" s="117" t="str">
        <f>IFERROR(_xlfn.XLOOKUP(Table1[[#This Row],[Part Number]],Table3[Part number],Table3[Drawing
 Revision]),"")</f>
        <v>AF</v>
      </c>
      <c r="H1789" s="118" cm="1">
        <f t="array" ref="H1789">IFERROR(INDEX(PDB!$C:$AT,MATCH(E1789,PDB!$B:$B,0),MATCH(YEAR(K1789),0+PDB!$C$1:$AT$1,0)),"")</f>
        <v>0</v>
      </c>
      <c r="I1789" s="36">
        <v>46</v>
      </c>
      <c r="J1789" s="125">
        <f>IFERROR(Table1[[#This Row],[Quantity]]*Table1[[#This Row],[Price/Unit
EUR]]," ")</f>
        <v>0</v>
      </c>
      <c r="K1789" s="126">
        <v>46027</v>
      </c>
      <c r="L1789" s="36">
        <f>WEEKNUM(Table1[[#This Row],[ETA
As requested
dd.mm.yyyy]])</f>
        <v>2</v>
      </c>
      <c r="M1789" s="36">
        <f>YEAR(Table1[[#This Row],[ETA
As requested
dd.mm.yyyy]])</f>
        <v>2026</v>
      </c>
      <c r="N1789" s="36">
        <f>IFERROR(INDEX(DATABASE_FG!$H$5:$H$367, MATCH(E1789, DATABASE_FG!$C$5:$C$367, 0)), " ")</f>
        <v>21</v>
      </c>
      <c r="O1789" s="129" t="str">
        <f>IF(E1789&lt;&gt;"", _xlfn.XLOOKUP(E1789, DATABASE_FG!C:C, DATABASE_FG!F:F), " ")</f>
        <v>COVER</v>
      </c>
      <c r="P1789" s="129">
        <f>IFERROR(INDEX(DATABASE_FG!$G$5:$G$367, MATCH(E1789, DATABASE_FG!$C$5:$C$367, 0)), "Not Found")</f>
        <v>20</v>
      </c>
      <c r="Q1789" s="36">
        <v>60</v>
      </c>
      <c r="R1789" s="125" t="s">
        <v>678</v>
      </c>
      <c r="S1789" s="123">
        <f>Table1[[#This Row],[Quantity]]/48</f>
        <v>0.95833333333333337</v>
      </c>
      <c r="T1789" s="36"/>
      <c r="U1789" s="36"/>
      <c r="V1789" s="36"/>
      <c r="W1789" s="129"/>
      <c r="X1789" s="36"/>
      <c r="Y1789" s="36"/>
      <c r="Z1789" s="36"/>
      <c r="AA1789" s="125" t="s">
        <v>3</v>
      </c>
      <c r="AB1789" s="173"/>
      <c r="AC1789" s="119"/>
      <c r="AD1789" s="36" t="str">
        <f t="shared" si="200"/>
        <v/>
      </c>
      <c r="AE1789" s="36" t="str">
        <f t="shared" si="201"/>
        <v/>
      </c>
      <c r="AF1789" s="36"/>
      <c r="AG1789" s="120">
        <f t="shared" si="204"/>
        <v>0</v>
      </c>
      <c r="AH1789" s="36"/>
      <c r="AI1789" s="124"/>
      <c r="AJ1789" s="122"/>
      <c r="AK1789" s="129" t="str">
        <f t="shared" ca="1" si="203"/>
        <v/>
      </c>
      <c r="AL1789" s="268" t="str">
        <f t="shared" ref="AL1789" si="205">TEXT(K1789,"mmmm")</f>
        <v>January</v>
      </c>
      <c r="AM1789" s="133">
        <f>YEAR(Table1[[#This Row],[ETA
As requested
dd.mm.yyyy]])</f>
        <v>2026</v>
      </c>
      <c r="AN1789" s="191"/>
    </row>
    <row r="1790" spans="1:40" hidden="1">
      <c r="A1790" s="123" t="s">
        <v>27</v>
      </c>
      <c r="B1790" s="36" t="s">
        <v>2464</v>
      </c>
      <c r="C1790" s="117">
        <v>5500511038</v>
      </c>
      <c r="D1790" s="165">
        <v>45924</v>
      </c>
      <c r="E1790" s="117" t="s">
        <v>31</v>
      </c>
      <c r="F1790" s="36" t="str">
        <f>IFERROR(VLOOKUP(Table1[[#This Row],[Part Number]],DATABASE_FG!$C$6:D11779,2,FALSE)," ")</f>
        <v>COVER              ZDC 10.-25/</v>
      </c>
      <c r="G1790" s="117" t="str">
        <f>IFERROR(_xlfn.XLOOKUP(Table1[[#This Row],[Part Number]],Table3[Part number],Table3[Drawing
 Revision]),"")</f>
        <v>AF</v>
      </c>
      <c r="H1790" s="118" cm="1">
        <f t="array" ref="H1790">IFERROR(INDEX(PDB!$C:$AT,MATCH(E1790,PDB!$B:$B,0),MATCH(YEAR(K1790),0+PDB!$C$1:$AT$1,0)),"")</f>
        <v>0</v>
      </c>
      <c r="I1790" s="36">
        <v>72</v>
      </c>
      <c r="J1790" s="125">
        <f>IFERROR(Table1[[#This Row],[Quantity]]*Table1[[#This Row],[Price/Unit
EUR]]," ")</f>
        <v>0</v>
      </c>
      <c r="K1790" s="126">
        <v>46056</v>
      </c>
      <c r="L1790" s="36">
        <f>WEEKNUM(Table1[[#This Row],[ETA
As requested
dd.mm.yyyy]])</f>
        <v>6</v>
      </c>
      <c r="M1790" s="36">
        <f>YEAR(Table1[[#This Row],[ETA
As requested
dd.mm.yyyy]])</f>
        <v>2026</v>
      </c>
      <c r="N1790" s="36">
        <f>IFERROR(INDEX(DATABASE_FG!$H$5:$H$367, MATCH(E1790, DATABASE_FG!$C$5:$C$367, 0)), " ")</f>
        <v>21</v>
      </c>
      <c r="O1790" s="129" t="str">
        <f>IF(E1790&lt;&gt;"", _xlfn.XLOOKUP(E1790, DATABASE_FG!C:C, DATABASE_FG!F:F), " ")</f>
        <v>COVER</v>
      </c>
      <c r="P1790" s="129">
        <f>IFERROR(INDEX(DATABASE_FG!$G$5:$G$367, MATCH(E1790, DATABASE_FG!$C$5:$C$367, 0)), "Not Found")</f>
        <v>20</v>
      </c>
      <c r="Q1790" s="36">
        <v>60</v>
      </c>
      <c r="R1790" s="125" t="s">
        <v>678</v>
      </c>
      <c r="S1790" s="123">
        <f>IFERROR(INDEX(DATABASE_FG!$L$5:$L$367, MATCH(E1790, DATABASE_FG!$C$5:$C$367, 0)), " ")</f>
        <v>42</v>
      </c>
      <c r="T1790" s="36" t="s">
        <v>677</v>
      </c>
      <c r="U1790" s="36"/>
      <c r="V1790" s="36"/>
      <c r="W1790" s="129"/>
      <c r="X1790" s="36"/>
      <c r="Y1790" s="36"/>
      <c r="Z1790" s="36"/>
      <c r="AA1790" s="125" t="s">
        <v>3</v>
      </c>
      <c r="AB1790" s="172"/>
      <c r="AC1790" s="119"/>
      <c r="AD1790" s="36" t="str">
        <f t="shared" si="200"/>
        <v/>
      </c>
      <c r="AE1790" s="36" t="str">
        <f t="shared" si="201"/>
        <v/>
      </c>
      <c r="AF1790" s="36"/>
      <c r="AG1790" s="120">
        <f t="shared" si="204"/>
        <v>0</v>
      </c>
      <c r="AH1790" s="36"/>
      <c r="AI1790" s="124"/>
      <c r="AJ1790" s="122"/>
      <c r="AK1790" s="129" t="str">
        <f t="shared" ca="1" si="203"/>
        <v/>
      </c>
      <c r="AL1790" s="268" t="str">
        <f>TEXT(K1790,"mmmm")</f>
        <v>February</v>
      </c>
      <c r="AM1790" s="133">
        <f>YEAR(Table1[[#This Row],[ETA
As requested
dd.mm.yyyy]])</f>
        <v>2026</v>
      </c>
    </row>
    <row r="1791" spans="1:40" hidden="1">
      <c r="A1791" s="123" t="s">
        <v>27</v>
      </c>
      <c r="B1791" s="36" t="s">
        <v>1170</v>
      </c>
      <c r="C1791" s="117">
        <v>5500511038</v>
      </c>
      <c r="D1791" s="165">
        <v>45929</v>
      </c>
      <c r="E1791" s="117" t="s">
        <v>31</v>
      </c>
      <c r="F1791" s="36" t="str">
        <f>IFERROR(VLOOKUP(Table1[[#This Row],[Part Number]],DATABASE_FG!$C$6:D11780,2,FALSE)," ")</f>
        <v>COVER              ZDC 10.-25/</v>
      </c>
      <c r="G1791" s="117" t="str">
        <f>IFERROR(_xlfn.XLOOKUP(Table1[[#This Row],[Part Number]],Table3[Part number],Table3[Drawing
 Revision]),"")</f>
        <v>AF</v>
      </c>
      <c r="H1791" s="118" cm="1">
        <f t="array" ref="H1791">IFERROR(INDEX(PDB!$C:$AT,MATCH(E1791,PDB!$B:$B,0),MATCH(YEAR(K1791),0+PDB!$C$1:$AT$1,0)),"")</f>
        <v>0</v>
      </c>
      <c r="I1791" s="36">
        <v>70</v>
      </c>
      <c r="J1791" s="125">
        <f>IFERROR(Table1[[#This Row],[Quantity]]*Table1[[#This Row],[Price/Unit
EUR]]," ")</f>
        <v>0</v>
      </c>
      <c r="K1791" s="126">
        <v>46056</v>
      </c>
      <c r="L1791" s="36">
        <f>WEEKNUM(Table1[[#This Row],[ETA
As requested
dd.mm.yyyy]])</f>
        <v>6</v>
      </c>
      <c r="M1791" s="36">
        <f>YEAR(Table1[[#This Row],[ETA
As requested
dd.mm.yyyy]])</f>
        <v>2026</v>
      </c>
      <c r="N1791" s="36">
        <f>IFERROR(INDEX(DATABASE_FG!$H$5:$H$367, MATCH(E1791, DATABASE_FG!$C$5:$C$367, 0)), " ")</f>
        <v>21</v>
      </c>
      <c r="O1791" s="129" t="str">
        <f>IF(E1791&lt;&gt;"", _xlfn.XLOOKUP(E1791, DATABASE_FG!C:C, DATABASE_FG!F:F), " ")</f>
        <v>COVER</v>
      </c>
      <c r="P1791" s="129">
        <f>IFERROR(INDEX(DATABASE_FG!$G$5:$G$367, MATCH(E1791, DATABASE_FG!$C$5:$C$367, 0)), "Not Found")</f>
        <v>20</v>
      </c>
      <c r="Q1791" s="36">
        <v>60</v>
      </c>
      <c r="R1791" s="125" t="s">
        <v>678</v>
      </c>
      <c r="S1791" s="123">
        <f>Table1[[#This Row],[Quantity]]/48</f>
        <v>1.4583333333333333</v>
      </c>
      <c r="T1791" s="36"/>
      <c r="U1791" s="36"/>
      <c r="V1791" s="36"/>
      <c r="W1791" s="129"/>
      <c r="X1791" s="36"/>
      <c r="Y1791" s="36"/>
      <c r="Z1791" s="36"/>
      <c r="AA1791" s="125" t="s">
        <v>3</v>
      </c>
      <c r="AB1791" s="172"/>
      <c r="AC1791" s="119"/>
      <c r="AD1791" s="36" t="str">
        <f t="shared" si="200"/>
        <v/>
      </c>
      <c r="AE1791" s="36" t="str">
        <f t="shared" si="201"/>
        <v/>
      </c>
      <c r="AF1791" s="36"/>
      <c r="AG1791" s="120">
        <f t="shared" si="204"/>
        <v>0</v>
      </c>
      <c r="AH1791" s="36"/>
      <c r="AI1791" s="124"/>
      <c r="AJ1791" s="122"/>
      <c r="AK1791" s="129" t="str">
        <f t="shared" ca="1" si="203"/>
        <v/>
      </c>
      <c r="AL1791" s="268" t="str">
        <f t="shared" ref="AL1791" si="206">TEXT(K1791,"mmmm")</f>
        <v>February</v>
      </c>
      <c r="AM1791" s="133">
        <f>YEAR(Table1[[#This Row],[ETA
As requested
dd.mm.yyyy]])</f>
        <v>2026</v>
      </c>
      <c r="AN1791" s="191"/>
    </row>
    <row r="1792" spans="1:40" hidden="1">
      <c r="A1792" s="123" t="s">
        <v>27</v>
      </c>
      <c r="B1792" s="36" t="s">
        <v>2464</v>
      </c>
      <c r="C1792" s="117">
        <v>5500511038</v>
      </c>
      <c r="D1792" s="165">
        <v>45924</v>
      </c>
      <c r="E1792" s="117" t="s">
        <v>31</v>
      </c>
      <c r="F1792" s="36" t="str">
        <f>IFERROR(VLOOKUP(Table1[[#This Row],[Part Number]],DATABASE_FG!$C$6:D11781,2,FALSE)," ")</f>
        <v>COVER              ZDC 10.-25/</v>
      </c>
      <c r="G1792" s="117" t="str">
        <f>IFERROR(_xlfn.XLOOKUP(Table1[[#This Row],[Part Number]],Table3[Part number],Table3[Drawing
 Revision]),"")</f>
        <v>AF</v>
      </c>
      <c r="H1792" s="118" cm="1">
        <f t="array" ref="H1792">IFERROR(INDEX(PDB!$C:$AT,MATCH(E1792,PDB!$B:$B,0),MATCH(YEAR(K1792),0+PDB!$C$1:$AT$1,0)),"")</f>
        <v>0</v>
      </c>
      <c r="I1792" s="36">
        <v>63</v>
      </c>
      <c r="J1792" s="125">
        <f>IFERROR(Table1[[#This Row],[Quantity]]*Table1[[#This Row],[Price/Unit
EUR]]," ")</f>
        <v>0</v>
      </c>
      <c r="K1792" s="126">
        <v>46035</v>
      </c>
      <c r="L1792" s="36">
        <v>45</v>
      </c>
      <c r="M1792" s="36">
        <v>2025</v>
      </c>
      <c r="N1792" s="36">
        <v>21</v>
      </c>
      <c r="O1792" s="129" t="s">
        <v>3833</v>
      </c>
      <c r="P1792" s="129">
        <v>20</v>
      </c>
      <c r="Q1792" s="36">
        <v>60</v>
      </c>
      <c r="R1792" s="125" t="s">
        <v>678</v>
      </c>
      <c r="S1792" s="123" t="s">
        <v>3</v>
      </c>
      <c r="T1792" s="36"/>
      <c r="U1792" s="36"/>
      <c r="V1792" s="36" t="s">
        <v>2720</v>
      </c>
      <c r="W1792" s="129" t="s">
        <v>2720</v>
      </c>
      <c r="X1792" s="36"/>
      <c r="Y1792" s="36">
        <v>0</v>
      </c>
      <c r="Z1792" s="36"/>
      <c r="AA1792" s="125" t="s">
        <v>3</v>
      </c>
      <c r="AB1792" s="172"/>
      <c r="AC1792" s="119"/>
      <c r="AD1792" s="36" t="str">
        <f t="shared" si="200"/>
        <v/>
      </c>
      <c r="AE1792" s="36" t="str">
        <f t="shared" si="201"/>
        <v/>
      </c>
      <c r="AF1792" s="36"/>
      <c r="AG1792" s="120">
        <f t="shared" si="204"/>
        <v>0</v>
      </c>
      <c r="AH1792" s="36"/>
      <c r="AI1792" s="124"/>
      <c r="AJ1792" s="122"/>
      <c r="AK1792" s="129" t="str">
        <f t="shared" ca="1" si="203"/>
        <v/>
      </c>
      <c r="AL1792" s="268" t="str">
        <f>TEXT(K1792,"mmmm")</f>
        <v>January</v>
      </c>
      <c r="AM1792" s="133">
        <f>YEAR(Table1[[#This Row],[ETA
As requested
dd.mm.yyyy]])</f>
        <v>2026</v>
      </c>
      <c r="AN1792" s="191"/>
    </row>
    <row r="1793" spans="1:40" hidden="1">
      <c r="A1793" s="123" t="s">
        <v>27</v>
      </c>
      <c r="B1793" s="36" t="s">
        <v>1170</v>
      </c>
      <c r="C1793" s="117">
        <v>5500511038</v>
      </c>
      <c r="D1793" s="165">
        <v>45929</v>
      </c>
      <c r="E1793" s="117" t="s">
        <v>31</v>
      </c>
      <c r="F1793" s="36" t="str">
        <f>IFERROR(VLOOKUP(Table1[[#This Row],[Part Number]],DATABASE_FG!$C$6:D11782,2,FALSE)," ")</f>
        <v>COVER              ZDC 10.-25/</v>
      </c>
      <c r="G1793" s="117" t="str">
        <f>IFERROR(_xlfn.XLOOKUP(Table1[[#This Row],[Part Number]],Table3[Part number],Table3[Drawing
 Revision]),"")</f>
        <v>AF</v>
      </c>
      <c r="H1793" s="118" cm="1">
        <f t="array" ref="H1793">IFERROR(INDEX(PDB!$C:$AT,MATCH(E1793,PDB!$B:$B,0),MATCH(YEAR(K1793),0+PDB!$C$1:$AT$1,0)),"")</f>
        <v>0</v>
      </c>
      <c r="I1793" s="36">
        <v>69</v>
      </c>
      <c r="J1793" s="125">
        <f>IFERROR(Table1[[#This Row],[Quantity]]*Table1[[#This Row],[Price/Unit
EUR]]," ")</f>
        <v>0</v>
      </c>
      <c r="K1793" s="126">
        <v>46084</v>
      </c>
      <c r="L1793" s="36">
        <f>WEEKNUM(Table1[[#This Row],[ETA
As requested
dd.mm.yyyy]])</f>
        <v>10</v>
      </c>
      <c r="M1793" s="36">
        <f>YEAR(Table1[[#This Row],[ETA
As requested
dd.mm.yyyy]])</f>
        <v>2026</v>
      </c>
      <c r="N1793" s="36">
        <f>IFERROR(INDEX(DATABASE_FG!$H$5:$H$367, MATCH(E1793, DATABASE_FG!$C$5:$C$367, 0)), " ")</f>
        <v>21</v>
      </c>
      <c r="O1793" s="129" t="str">
        <f>IF(E1793&lt;&gt;"", _xlfn.XLOOKUP(E1793, DATABASE_FG!C:C, DATABASE_FG!F:F), " ")</f>
        <v>COVER</v>
      </c>
      <c r="P1793" s="129">
        <f>IFERROR(INDEX(DATABASE_FG!$G$5:$G$367, MATCH(E1793, DATABASE_FG!$C$5:$C$367, 0)), "Not Found")</f>
        <v>20</v>
      </c>
      <c r="Q1793" s="36">
        <v>60</v>
      </c>
      <c r="R1793" s="125" t="s">
        <v>678</v>
      </c>
      <c r="S1793" s="123">
        <f>Table1[[#This Row],[Quantity]]/48</f>
        <v>1.4375</v>
      </c>
      <c r="T1793" s="36"/>
      <c r="U1793" s="36"/>
      <c r="V1793" s="36"/>
      <c r="W1793" s="129"/>
      <c r="X1793" s="36"/>
      <c r="Y1793" s="36"/>
      <c r="Z1793" s="36"/>
      <c r="AA1793" s="125" t="s">
        <v>3</v>
      </c>
      <c r="AB1793" s="172"/>
      <c r="AC1793" s="119"/>
      <c r="AD1793" s="36" t="str">
        <f t="shared" si="200"/>
        <v/>
      </c>
      <c r="AE1793" s="36" t="str">
        <f t="shared" si="201"/>
        <v/>
      </c>
      <c r="AF1793" s="36"/>
      <c r="AG1793" s="120">
        <f t="shared" si="204"/>
        <v>0</v>
      </c>
      <c r="AH1793" s="36"/>
      <c r="AI1793" s="124"/>
      <c r="AJ1793" s="122"/>
      <c r="AK1793" s="129" t="str">
        <f t="shared" ca="1" si="203"/>
        <v/>
      </c>
      <c r="AL1793" s="268" t="str">
        <f t="shared" ref="AL1793" si="207">TEXT(K1793,"mmmm")</f>
        <v>March</v>
      </c>
      <c r="AM1793" s="133">
        <f>YEAR(Table1[[#This Row],[ETA
As requested
dd.mm.yyyy]])</f>
        <v>2026</v>
      </c>
      <c r="AN1793" s="191"/>
    </row>
    <row r="1794" spans="1:40" hidden="1">
      <c r="A1794" s="123" t="s">
        <v>27</v>
      </c>
      <c r="B1794" s="36" t="s">
        <v>2464</v>
      </c>
      <c r="C1794" s="117">
        <v>5500511038</v>
      </c>
      <c r="D1794" s="165">
        <v>45924</v>
      </c>
      <c r="E1794" s="117" t="s">
        <v>31</v>
      </c>
      <c r="F1794" s="36" t="str">
        <f>IFERROR(VLOOKUP(Table1[[#This Row],[Part Number]],DATABASE_FG!$C$6:D11783,2,FALSE)," ")</f>
        <v>COVER              ZDC 10.-25/</v>
      </c>
      <c r="G1794" s="117" t="str">
        <f>IFERROR(_xlfn.XLOOKUP(Table1[[#This Row],[Part Number]],Table3[Part number],Table3[Drawing
 Revision]),"")</f>
        <v>AF</v>
      </c>
      <c r="H1794" s="118" cm="1">
        <f t="array" ref="H1794">IFERROR(INDEX(PDB!$C:$AT,MATCH(E1794,PDB!$B:$B,0),MATCH(YEAR(K1794),0+PDB!$C$1:$AT$1,0)),"")</f>
        <v>0</v>
      </c>
      <c r="I1794" s="36">
        <v>57</v>
      </c>
      <c r="J1794" s="125">
        <f>IFERROR(Table1[[#This Row],[Quantity]]*Table1[[#This Row],[Price/Unit
EUR]]," ")</f>
        <v>0</v>
      </c>
      <c r="K1794" s="126">
        <v>46084</v>
      </c>
      <c r="L1794" s="36">
        <f>WEEKNUM(Table1[[#This Row],[ETA
As requested
dd.mm.yyyy]])</f>
        <v>10</v>
      </c>
      <c r="M1794" s="36">
        <f>YEAR(Table1[[#This Row],[ETA
As requested
dd.mm.yyyy]])</f>
        <v>2026</v>
      </c>
      <c r="N1794" s="36">
        <f>IFERROR(INDEX(DATABASE_FG!$H$5:$H$367, MATCH(E1794, DATABASE_FG!$C$5:$C$367, 0)), " ")</f>
        <v>21</v>
      </c>
      <c r="O1794" s="129" t="str">
        <f>IF(E1794&lt;&gt;"", _xlfn.XLOOKUP(E1794, DATABASE_FG!C:C, DATABASE_FG!F:F), " ")</f>
        <v>COVER</v>
      </c>
      <c r="P1794" s="129">
        <f>IFERROR(INDEX(DATABASE_FG!$G$5:$G$367, MATCH(E1794, DATABASE_FG!$C$5:$C$367, 0)), "Not Found")</f>
        <v>20</v>
      </c>
      <c r="Q1794" s="36">
        <v>60</v>
      </c>
      <c r="R1794" s="125" t="s">
        <v>678</v>
      </c>
      <c r="S1794" s="123">
        <f>IFERROR(INDEX(DATABASE_FG!$L$5:$L$367, MATCH(E1794, DATABASE_FG!$C$5:$C$367, 0)), " ")</f>
        <v>42</v>
      </c>
      <c r="T1794" s="36" t="s">
        <v>677</v>
      </c>
      <c r="U1794" s="36"/>
      <c r="V1794" s="36"/>
      <c r="W1794" s="129"/>
      <c r="X1794" s="36"/>
      <c r="Y1794" s="36"/>
      <c r="Z1794" s="36"/>
      <c r="AA1794" s="125" t="s">
        <v>3</v>
      </c>
      <c r="AB1794" s="172"/>
      <c r="AC1794" s="119"/>
      <c r="AD1794" s="36" t="str">
        <f t="shared" si="200"/>
        <v/>
      </c>
      <c r="AE1794" s="36" t="str">
        <f t="shared" si="201"/>
        <v/>
      </c>
      <c r="AF1794" s="36"/>
      <c r="AG1794" s="120">
        <f t="shared" si="204"/>
        <v>0</v>
      </c>
      <c r="AH1794" s="36"/>
      <c r="AI1794" s="124"/>
      <c r="AJ1794" s="122"/>
      <c r="AK1794" s="129" t="str">
        <f t="shared" ca="1" si="203"/>
        <v/>
      </c>
      <c r="AL1794" s="268" t="str">
        <f t="shared" ref="AL1794:AL1836" si="208">TEXT(K1794,"mmmm")</f>
        <v>March</v>
      </c>
      <c r="AM1794" s="133">
        <f>YEAR(Table1[[#This Row],[ETA
As requested
dd.mm.yyyy]])</f>
        <v>2026</v>
      </c>
    </row>
    <row r="1795" spans="1:40" hidden="1">
      <c r="A1795" s="123" t="s">
        <v>25</v>
      </c>
      <c r="B1795" s="36" t="s">
        <v>1170</v>
      </c>
      <c r="C1795" s="117">
        <v>5500502908</v>
      </c>
      <c r="D1795" s="165">
        <v>45607</v>
      </c>
      <c r="E1795" s="117" t="s">
        <v>1060</v>
      </c>
      <c r="F1795" s="36" t="str">
        <f>IFERROR(VLOOKUP(Table1[[#This Row],[Part Number]],DATABASE_FG!$C$6:D11784,2,FALSE)," ")</f>
        <v>RING               6,37/11X3,6 Z9,3</v>
      </c>
      <c r="G1795" s="117" t="str">
        <f>IFERROR(_xlfn.XLOOKUP(Table1[[#This Row],[Part Number]],Table3[Part number],Table3[Drawing
 Revision]),"")</f>
        <v>A</v>
      </c>
      <c r="H1795" s="118" cm="1">
        <f t="array" ref="H1795">IFERROR(INDEX(PDB!$C:$AT,MATCH(E1795,PDB!$B:$B,0),MATCH(YEAR(K1795),0+PDB!$C$1:$AT$1,0)),"")</f>
        <v>2.63</v>
      </c>
      <c r="I1795" s="36">
        <v>154</v>
      </c>
      <c r="J1795" s="125">
        <f>IFERROR(Table1[[#This Row],[Quantity]]*Table1[[#This Row],[Price/Unit
EUR]]," ")</f>
        <v>405.02</v>
      </c>
      <c r="K1795" s="126">
        <v>45701</v>
      </c>
      <c r="L1795" s="36">
        <f>WEEKNUM(Table1[[#This Row],[ETA
As requested
dd.mm.yyyy]])</f>
        <v>7</v>
      </c>
      <c r="M1795" s="36">
        <f>YEAR(Table1[[#This Row],[ETA
As requested
dd.mm.yyyy]])</f>
        <v>2025</v>
      </c>
      <c r="N1795" s="36">
        <f>IFERROR(INDEX(DATABASE_FG!$H$5:$H$367, MATCH(E1795, DATABASE_FG!$C$5:$C$367, 0)), " ")</f>
        <v>415</v>
      </c>
      <c r="O1795" s="129" t="str">
        <f>IF(E1795&lt;&gt;"", _xlfn.XLOOKUP(E1795, DATABASE_FG!C:C, DATABASE_FG!F:F), " ")</f>
        <v>RING</v>
      </c>
      <c r="P1795" s="129">
        <f>IFERROR(INDEX(DATABASE_FG!$G$5:$G$367, MATCH(E1795, DATABASE_FG!$C$5:$C$367, 0)), "Not Found")</f>
        <v>150</v>
      </c>
      <c r="Q1795" s="36"/>
      <c r="R1795" s="125" t="s">
        <v>680</v>
      </c>
      <c r="S1795" s="123">
        <f>IFERROR(INDEX(DATABASE_FG!$L$5:$L$367, MATCH(E1795, DATABASE_FG!$C$5:$C$367, 0)), " ")</f>
        <v>42</v>
      </c>
      <c r="T1795" s="36" t="s">
        <v>677</v>
      </c>
      <c r="U1795" s="36"/>
      <c r="V1795" s="36"/>
      <c r="W1795" s="129"/>
      <c r="X1795" s="36"/>
      <c r="Y1795" s="36" t="s">
        <v>677</v>
      </c>
      <c r="Z1795" s="36"/>
      <c r="AA1795" s="125" t="s">
        <v>121</v>
      </c>
      <c r="AB1795" s="172">
        <v>45723</v>
      </c>
      <c r="AC1795" s="119">
        <v>25338</v>
      </c>
      <c r="AD1795" s="36">
        <f t="shared" si="200"/>
        <v>5500502908</v>
      </c>
      <c r="AE1795" s="36" t="str">
        <f t="shared" si="201"/>
        <v>R901269565</v>
      </c>
      <c r="AF1795" s="36">
        <v>154</v>
      </c>
      <c r="AG1795" s="120">
        <f t="shared" si="204"/>
        <v>405.02</v>
      </c>
      <c r="AH1795" s="36"/>
      <c r="AI1795" s="124" t="s">
        <v>2815</v>
      </c>
      <c r="AJ1795" s="122" t="s">
        <v>2816</v>
      </c>
      <c r="AK1795" s="129" t="str">
        <f t="shared" ca="1" si="203"/>
        <v>Late</v>
      </c>
      <c r="AL1795" s="268" t="str">
        <f t="shared" si="208"/>
        <v>February</v>
      </c>
      <c r="AM1795" s="133">
        <f>YEAR(Table1[[#This Row],[ETA
As requested
dd.mm.yyyy]])</f>
        <v>2025</v>
      </c>
    </row>
    <row r="1796" spans="1:40" hidden="1">
      <c r="A1796" s="123" t="s">
        <v>27</v>
      </c>
      <c r="B1796" s="36" t="s">
        <v>1170</v>
      </c>
      <c r="C1796" s="117">
        <v>5500511046</v>
      </c>
      <c r="D1796" s="165">
        <v>45572</v>
      </c>
      <c r="E1796" s="117" t="s">
        <v>55</v>
      </c>
      <c r="F1796" s="36" t="str">
        <f>IFERROR(VLOOKUP(Table1[[#This Row],[Part Number]],DATABASE_FG!$C$6:D11785,2,FALSE)," ")</f>
        <v>PLATE              STW0360/ ADAPTER</v>
      </c>
      <c r="G1796" s="117" t="str">
        <f>IFERROR(_xlfn.XLOOKUP(Table1[[#This Row],[Part Number]],Table3[Part number],Table3[Drawing
 Revision]),"")</f>
        <v>AD</v>
      </c>
      <c r="H1796" s="118" cm="1">
        <f t="array" ref="H1796">IFERROR(INDEX(PDB!$C:$AT,MATCH(E1796,PDB!$B:$B,0),MATCH(YEAR(K1796),0+PDB!$C$1:$AT$1,0)),"")</f>
        <v>7.28</v>
      </c>
      <c r="I1796" s="36">
        <v>41</v>
      </c>
      <c r="J1796" s="125">
        <f>IFERROR(Table1[[#This Row],[Quantity]]*Table1[[#This Row],[Price/Unit
EUR]]," ")</f>
        <v>298.48</v>
      </c>
      <c r="K1796" s="126">
        <v>45553</v>
      </c>
      <c r="L1796" s="36">
        <f>WEEKNUM(Table1[[#This Row],[ETA
As requested
dd.mm.yyyy]])</f>
        <v>38</v>
      </c>
      <c r="M1796" s="36">
        <f>YEAR(Table1[[#This Row],[ETA
As requested
dd.mm.yyyy]])</f>
        <v>2024</v>
      </c>
      <c r="N1796" s="36">
        <f>IFERROR(INDEX(DATABASE_FG!$H$5:$H$367, MATCH(E1796, DATABASE_FG!$C$5:$C$367, 0)), " ")</f>
        <v>0</v>
      </c>
      <c r="O1796" s="129" t="str">
        <f>IF(E1796&lt;&gt;"", _xlfn.XLOOKUP(E1796, DATABASE_FG!C:C, DATABASE_FG!F:F), " ")</f>
        <v>PLATE</v>
      </c>
      <c r="P1796" s="129">
        <f>IFERROR(INDEX(DATABASE_FG!$G$5:$G$367, MATCH(E1796, DATABASE_FG!$C$5:$C$367, 0)), "Not Found")</f>
        <v>150</v>
      </c>
      <c r="Q1796" s="36">
        <v>60</v>
      </c>
      <c r="R1796" s="125" t="s">
        <v>678</v>
      </c>
      <c r="S1796" s="123">
        <f>IFERROR(INDEX(DATABASE_FG!$L$5:$L$367, MATCH(E1796, DATABASE_FG!$C$5:$C$367, 0)), " ")</f>
        <v>42</v>
      </c>
      <c r="T1796" s="36" t="s">
        <v>679</v>
      </c>
      <c r="U1796" s="36"/>
      <c r="V1796" s="36"/>
      <c r="W1796" s="129"/>
      <c r="X1796" s="36"/>
      <c r="Y1796" s="36"/>
      <c r="Z1796" s="36"/>
      <c r="AA1796" s="125" t="s">
        <v>121</v>
      </c>
      <c r="AB1796" s="172">
        <v>45574</v>
      </c>
      <c r="AC1796" s="119">
        <v>202401234</v>
      </c>
      <c r="AD1796" s="36">
        <f t="shared" ref="AD1796:AD1862" si="209">IF(NOT(ISBLANK(AC1796)), C1796, "")</f>
        <v>5500511046</v>
      </c>
      <c r="AE1796" s="36" t="str">
        <f t="shared" si="201"/>
        <v>R901279760</v>
      </c>
      <c r="AF1796" s="36">
        <v>41</v>
      </c>
      <c r="AG1796" s="120">
        <f t="shared" si="204"/>
        <v>298.48</v>
      </c>
      <c r="AH1796" s="36"/>
      <c r="AI1796" s="124"/>
      <c r="AJ1796" s="122" t="s">
        <v>2386</v>
      </c>
      <c r="AK1796" s="129" t="str">
        <f t="shared" ca="1" si="203"/>
        <v>Late</v>
      </c>
      <c r="AL1796" s="268" t="str">
        <f t="shared" si="208"/>
        <v>September</v>
      </c>
      <c r="AM1796" s="133">
        <f>YEAR(Table1[[#This Row],[ETA
As requested
dd.mm.yyyy]])</f>
        <v>2024</v>
      </c>
    </row>
    <row r="1797" spans="1:40" hidden="1">
      <c r="A1797" s="123" t="s">
        <v>27</v>
      </c>
      <c r="B1797" s="36" t="s">
        <v>1170</v>
      </c>
      <c r="C1797" s="117">
        <v>5500511046</v>
      </c>
      <c r="D1797" s="165">
        <v>45572</v>
      </c>
      <c r="E1797" s="117" t="s">
        <v>55</v>
      </c>
      <c r="F1797" s="36" t="str">
        <f>IFERROR(VLOOKUP(Table1[[#This Row],[Part Number]],DATABASE_FG!$C$6:D11786,2,FALSE)," ")</f>
        <v>PLATE              STW0360/ ADAPTER</v>
      </c>
      <c r="G1797" s="117" t="str">
        <f>IFERROR(_xlfn.XLOOKUP(Table1[[#This Row],[Part Number]],Table3[Part number],Table3[Drawing
 Revision]),"")</f>
        <v>AD</v>
      </c>
      <c r="H1797" s="118" cm="1">
        <f t="array" ref="H1797">IFERROR(INDEX(PDB!$C:$AT,MATCH(E1797,PDB!$B:$B,0),MATCH(YEAR(K1797),0+PDB!$C$1:$AT$1,0)),"")</f>
        <v>7.28</v>
      </c>
      <c r="I1797" s="36">
        <v>12</v>
      </c>
      <c r="J1797" s="125">
        <f>IFERROR(Table1[[#This Row],[Quantity]]*Table1[[#This Row],[Price/Unit
EUR]]," ")</f>
        <v>87.36</v>
      </c>
      <c r="K1797" s="126">
        <v>45596</v>
      </c>
      <c r="L1797" s="36">
        <f>WEEKNUM(Table1[[#This Row],[ETA
As requested
dd.mm.yyyy]])</f>
        <v>44</v>
      </c>
      <c r="M1797" s="36">
        <f>YEAR(Table1[[#This Row],[ETA
As requested
dd.mm.yyyy]])</f>
        <v>2024</v>
      </c>
      <c r="N1797" s="36">
        <f>IFERROR(INDEX(DATABASE_FG!$H$5:$H$367, MATCH(E1797, DATABASE_FG!$C$5:$C$367, 0)), " ")</f>
        <v>0</v>
      </c>
      <c r="O1797" s="129" t="str">
        <f>IF(E1797&lt;&gt;"", _xlfn.XLOOKUP(E1797, DATABASE_FG!C:C, DATABASE_FG!F:F), " ")</f>
        <v>PLATE</v>
      </c>
      <c r="P1797" s="129">
        <f>IFERROR(INDEX(DATABASE_FG!$G$5:$G$367, MATCH(E1797, DATABASE_FG!$C$5:$C$367, 0)), "Not Found")</f>
        <v>150</v>
      </c>
      <c r="Q1797" s="36">
        <v>60</v>
      </c>
      <c r="R1797" s="125" t="s">
        <v>678</v>
      </c>
      <c r="S1797" s="123">
        <f>IFERROR(INDEX(DATABASE_FG!$L$5:$L$367, MATCH(E1797, DATABASE_FG!$C$5:$C$367, 0)), " ")</f>
        <v>42</v>
      </c>
      <c r="T1797" s="36" t="s">
        <v>679</v>
      </c>
      <c r="U1797" s="36"/>
      <c r="V1797" s="36"/>
      <c r="W1797" s="129"/>
      <c r="X1797" s="36"/>
      <c r="Y1797" s="36"/>
      <c r="Z1797" s="36"/>
      <c r="AA1797" s="125" t="s">
        <v>121</v>
      </c>
      <c r="AB1797" s="172">
        <v>45595</v>
      </c>
      <c r="AC1797" s="119">
        <v>202401301</v>
      </c>
      <c r="AD1797" s="36">
        <f t="shared" si="209"/>
        <v>5500511046</v>
      </c>
      <c r="AE1797" s="36" t="str">
        <f t="shared" si="201"/>
        <v>R901279760</v>
      </c>
      <c r="AF1797" s="36">
        <v>12</v>
      </c>
      <c r="AG1797" s="120">
        <f t="shared" si="204"/>
        <v>87.36</v>
      </c>
      <c r="AH1797" s="36"/>
      <c r="AI1797" s="124"/>
      <c r="AJ1797" s="122" t="s">
        <v>2534</v>
      </c>
      <c r="AK1797" s="129" t="str">
        <f t="shared" ca="1" si="203"/>
        <v>On Time</v>
      </c>
      <c r="AL1797" s="268" t="str">
        <f t="shared" si="208"/>
        <v>October</v>
      </c>
      <c r="AM1797" s="133">
        <f>YEAR(Table1[[#This Row],[ETA
As requested
dd.mm.yyyy]])</f>
        <v>2024</v>
      </c>
    </row>
    <row r="1798" spans="1:40" hidden="1">
      <c r="A1798" s="123" t="s">
        <v>27</v>
      </c>
      <c r="B1798" s="36" t="s">
        <v>1170</v>
      </c>
      <c r="C1798" s="117">
        <v>5500511046</v>
      </c>
      <c r="D1798" s="165">
        <v>45572</v>
      </c>
      <c r="E1798" s="117" t="s">
        <v>55</v>
      </c>
      <c r="F1798" s="36" t="str">
        <f>IFERROR(VLOOKUP(Table1[[#This Row],[Part Number]],DATABASE_FG!$C$6:D11787,2,FALSE)," ")</f>
        <v>PLATE              STW0360/ ADAPTER</v>
      </c>
      <c r="G1798" s="117" t="str">
        <f>IFERROR(_xlfn.XLOOKUP(Table1[[#This Row],[Part Number]],Table3[Part number],Table3[Drawing
 Revision]),"")</f>
        <v>AD</v>
      </c>
      <c r="H1798" s="118" cm="1">
        <f t="array" ref="H1798">IFERROR(INDEX(PDB!$C:$AT,MATCH(E1798,PDB!$B:$B,0),MATCH(YEAR(K1798),0+PDB!$C$1:$AT$1,0)),"")</f>
        <v>7.28</v>
      </c>
      <c r="I1798" s="36">
        <v>10</v>
      </c>
      <c r="J1798" s="125">
        <f>IFERROR(Table1[[#This Row],[Quantity]]*Table1[[#This Row],[Price/Unit
EUR]]," ")</f>
        <v>72.8</v>
      </c>
      <c r="K1798" s="126">
        <v>45596</v>
      </c>
      <c r="L1798" s="36">
        <f>WEEKNUM(Table1[[#This Row],[ETA
As requested
dd.mm.yyyy]])</f>
        <v>44</v>
      </c>
      <c r="M1798" s="36">
        <f>YEAR(Table1[[#This Row],[ETA
As requested
dd.mm.yyyy]])</f>
        <v>2024</v>
      </c>
      <c r="N1798" s="36">
        <f>IFERROR(INDEX(DATABASE_FG!$H$5:$H$367, MATCH(E1798, DATABASE_FG!$C$5:$C$367, 0)), " ")</f>
        <v>0</v>
      </c>
      <c r="O1798" s="129" t="str">
        <f>IF(E1798&lt;&gt;"", _xlfn.XLOOKUP(E1798, DATABASE_FG!C:C, DATABASE_FG!F:F), " ")</f>
        <v>PLATE</v>
      </c>
      <c r="P1798" s="129">
        <f>IFERROR(INDEX(DATABASE_FG!$G$5:$G$367, MATCH(E1798, DATABASE_FG!$C$5:$C$367, 0)), "Not Found")</f>
        <v>150</v>
      </c>
      <c r="Q1798" s="36">
        <v>60</v>
      </c>
      <c r="R1798" s="125" t="s">
        <v>678</v>
      </c>
      <c r="S1798" s="123">
        <f>IFERROR(INDEX(DATABASE_FG!$L$5:$L$367, MATCH(E1798, DATABASE_FG!$C$5:$C$367, 0)), " ")</f>
        <v>42</v>
      </c>
      <c r="T1798" s="36" t="s">
        <v>679</v>
      </c>
      <c r="U1798" s="36"/>
      <c r="V1798" s="36"/>
      <c r="W1798" s="129"/>
      <c r="X1798" s="36"/>
      <c r="Y1798" s="36"/>
      <c r="Z1798" s="36"/>
      <c r="AA1798" s="125" t="s">
        <v>121</v>
      </c>
      <c r="AB1798" s="172">
        <v>45595</v>
      </c>
      <c r="AC1798" s="119">
        <v>202401301</v>
      </c>
      <c r="AD1798" s="36">
        <f t="shared" si="209"/>
        <v>5500511046</v>
      </c>
      <c r="AE1798" s="36" t="str">
        <f t="shared" ref="AE1798:AE1864" si="210">IF(NOT(ISBLANK(AC1798)), E1798, "")</f>
        <v>R901279760</v>
      </c>
      <c r="AF1798" s="36">
        <v>10</v>
      </c>
      <c r="AG1798" s="120">
        <f t="shared" si="204"/>
        <v>72.8</v>
      </c>
      <c r="AH1798" s="36"/>
      <c r="AI1798" s="124"/>
      <c r="AJ1798" s="122" t="s">
        <v>2534</v>
      </c>
      <c r="AK1798" s="129" t="str">
        <f t="shared" ca="1" si="203"/>
        <v>On Time</v>
      </c>
      <c r="AL1798" s="268" t="str">
        <f t="shared" si="208"/>
        <v>October</v>
      </c>
      <c r="AM1798" s="133">
        <f>YEAR(Table1[[#This Row],[ETA
As requested
dd.mm.yyyy]])</f>
        <v>2024</v>
      </c>
    </row>
    <row r="1799" spans="1:40" hidden="1">
      <c r="A1799" s="123" t="s">
        <v>27</v>
      </c>
      <c r="B1799" s="36" t="s">
        <v>1170</v>
      </c>
      <c r="C1799" s="117">
        <v>5500511046</v>
      </c>
      <c r="D1799" s="165">
        <v>45572</v>
      </c>
      <c r="E1799" s="117" t="s">
        <v>55</v>
      </c>
      <c r="F1799" s="36" t="str">
        <f>IFERROR(VLOOKUP(Table1[[#This Row],[Part Number]],DATABASE_FG!$C$6:D11788,2,FALSE)," ")</f>
        <v>PLATE              STW0360/ ADAPTER</v>
      </c>
      <c r="G1799" s="117" t="str">
        <f>IFERROR(_xlfn.XLOOKUP(Table1[[#This Row],[Part Number]],Table3[Part number],Table3[Drawing
 Revision]),"")</f>
        <v>AD</v>
      </c>
      <c r="H1799" s="118" cm="1">
        <f t="array" ref="H1799">IFERROR(INDEX(PDB!$C:$AT,MATCH(E1799,PDB!$B:$B,0),MATCH(YEAR(K1799),0+PDB!$C$1:$AT$1,0)),"")</f>
        <v>7.28</v>
      </c>
      <c r="I1799" s="36">
        <v>74</v>
      </c>
      <c r="J1799" s="125">
        <f>IFERROR(Table1[[#This Row],[Quantity]]*Table1[[#This Row],[Price/Unit
EUR]]," ")</f>
        <v>538.72</v>
      </c>
      <c r="K1799" s="126">
        <v>45596</v>
      </c>
      <c r="L1799" s="36">
        <f>WEEKNUM(Table1[[#This Row],[ETA
As requested
dd.mm.yyyy]])</f>
        <v>44</v>
      </c>
      <c r="M1799" s="36">
        <f>YEAR(Table1[[#This Row],[ETA
As requested
dd.mm.yyyy]])</f>
        <v>2024</v>
      </c>
      <c r="N1799" s="36">
        <f>IFERROR(INDEX(DATABASE_FG!$H$5:$H$367, MATCH(E1799, DATABASE_FG!$C$5:$C$367, 0)), " ")</f>
        <v>0</v>
      </c>
      <c r="O1799" s="129" t="str">
        <f>IF(E1799&lt;&gt;"", _xlfn.XLOOKUP(E1799, DATABASE_FG!C:C, DATABASE_FG!F:F), " ")</f>
        <v>PLATE</v>
      </c>
      <c r="P1799" s="129">
        <f>IFERROR(INDEX(DATABASE_FG!$G$5:$G$367, MATCH(E1799, DATABASE_FG!$C$5:$C$367, 0)), "Not Found")</f>
        <v>150</v>
      </c>
      <c r="Q1799" s="36">
        <v>60</v>
      </c>
      <c r="R1799" s="125" t="s">
        <v>678</v>
      </c>
      <c r="S1799" s="123">
        <f>IFERROR(INDEX(DATABASE_FG!$L$5:$L$367, MATCH(E1799, DATABASE_FG!$C$5:$C$367, 0)), " ")</f>
        <v>42</v>
      </c>
      <c r="T1799" s="36" t="s">
        <v>679</v>
      </c>
      <c r="U1799" s="36"/>
      <c r="V1799" s="36"/>
      <c r="W1799" s="129"/>
      <c r="X1799" s="36"/>
      <c r="Y1799" s="36"/>
      <c r="Z1799" s="36" t="s">
        <v>2535</v>
      </c>
      <c r="AA1799" s="125" t="s">
        <v>121</v>
      </c>
      <c r="AB1799" s="172">
        <v>45604</v>
      </c>
      <c r="AC1799" s="119">
        <v>202401345</v>
      </c>
      <c r="AD1799" s="36">
        <f t="shared" si="209"/>
        <v>5500511046</v>
      </c>
      <c r="AE1799" s="36" t="str">
        <f t="shared" si="210"/>
        <v>R901279760</v>
      </c>
      <c r="AF1799" s="36">
        <v>74</v>
      </c>
      <c r="AG1799" s="120">
        <f t="shared" si="204"/>
        <v>538.72</v>
      </c>
      <c r="AH1799" s="36"/>
      <c r="AI1799" s="124"/>
      <c r="AJ1799" s="122" t="s">
        <v>2538</v>
      </c>
      <c r="AK1799" s="129" t="str">
        <f t="shared" ca="1" si="203"/>
        <v>Late</v>
      </c>
      <c r="AL1799" s="268" t="str">
        <f t="shared" si="208"/>
        <v>October</v>
      </c>
      <c r="AM1799" s="133">
        <f>YEAR(Table1[[#This Row],[ETA
As requested
dd.mm.yyyy]])</f>
        <v>2024</v>
      </c>
    </row>
    <row r="1800" spans="1:40" hidden="1">
      <c r="A1800" s="123" t="s">
        <v>27</v>
      </c>
      <c r="B1800" s="36" t="s">
        <v>1170</v>
      </c>
      <c r="C1800" s="117">
        <v>5500511046</v>
      </c>
      <c r="D1800" s="165">
        <v>45572</v>
      </c>
      <c r="E1800" s="117" t="s">
        <v>55</v>
      </c>
      <c r="F1800" s="36" t="str">
        <f>IFERROR(VLOOKUP(Table1[[#This Row],[Part Number]],DATABASE_FG!$C$6:D11789,2,FALSE)," ")</f>
        <v>PLATE              STW0360/ ADAPTER</v>
      </c>
      <c r="G1800" s="117" t="str">
        <f>IFERROR(_xlfn.XLOOKUP(Table1[[#This Row],[Part Number]],Table3[Part number],Table3[Drawing
 Revision]),"")</f>
        <v>AD</v>
      </c>
      <c r="H1800" s="118" cm="1">
        <f t="array" ref="H1800">IFERROR(INDEX(PDB!$C:$AT,MATCH(E1800,PDB!$B:$B,0),MATCH(YEAR(K1800),0+PDB!$C$1:$AT$1,0)),"")</f>
        <v>7.28</v>
      </c>
      <c r="I1800" s="36">
        <v>42</v>
      </c>
      <c r="J1800" s="125">
        <f>IFERROR(Table1[[#This Row],[Quantity]]*Table1[[#This Row],[Price/Unit
EUR]]," ")</f>
        <v>305.76</v>
      </c>
      <c r="K1800" s="126">
        <v>45614</v>
      </c>
      <c r="L1800" s="36">
        <f>WEEKNUM(Table1[[#This Row],[ETA
As requested
dd.mm.yyyy]])</f>
        <v>47</v>
      </c>
      <c r="M1800" s="36">
        <f>YEAR(Table1[[#This Row],[ETA
As requested
dd.mm.yyyy]])</f>
        <v>2024</v>
      </c>
      <c r="N1800" s="36">
        <f>IFERROR(INDEX(DATABASE_FG!$H$5:$H$367, MATCH(E1800, DATABASE_FG!$C$5:$C$367, 0)), " ")</f>
        <v>0</v>
      </c>
      <c r="O1800" s="129" t="str">
        <f>IF(E1800&lt;&gt;"", _xlfn.XLOOKUP(E1800, DATABASE_FG!C:C, DATABASE_FG!F:F), " ")</f>
        <v>PLATE</v>
      </c>
      <c r="P1800" s="129">
        <f>IFERROR(INDEX(DATABASE_FG!$G$5:$G$367, MATCH(E1800, DATABASE_FG!$C$5:$C$367, 0)), "Not Found")</f>
        <v>150</v>
      </c>
      <c r="Q1800" s="36">
        <v>60</v>
      </c>
      <c r="R1800" s="125" t="s">
        <v>678</v>
      </c>
      <c r="S1800" s="123">
        <f>IFERROR(INDEX(DATABASE_FG!$L$5:$L$367, MATCH(E1800, DATABASE_FG!$C$5:$C$367, 0)), " ")</f>
        <v>42</v>
      </c>
      <c r="T1800" s="36" t="s">
        <v>679</v>
      </c>
      <c r="U1800" s="36"/>
      <c r="V1800" s="36"/>
      <c r="W1800" s="129"/>
      <c r="X1800" s="36"/>
      <c r="Y1800" s="36"/>
      <c r="Z1800" s="36" t="s">
        <v>2535</v>
      </c>
      <c r="AA1800" s="125" t="s">
        <v>121</v>
      </c>
      <c r="AB1800" s="172">
        <v>45604</v>
      </c>
      <c r="AC1800" s="119">
        <v>202401345</v>
      </c>
      <c r="AD1800" s="36">
        <f t="shared" si="209"/>
        <v>5500511046</v>
      </c>
      <c r="AE1800" s="36" t="str">
        <f t="shared" si="210"/>
        <v>R901279760</v>
      </c>
      <c r="AF1800" s="36">
        <f>116-74</f>
        <v>42</v>
      </c>
      <c r="AG1800" s="120">
        <f t="shared" si="204"/>
        <v>305.76</v>
      </c>
      <c r="AH1800" s="36"/>
      <c r="AI1800" s="124"/>
      <c r="AJ1800" s="122" t="s">
        <v>2538</v>
      </c>
      <c r="AK1800" s="129" t="str">
        <f t="shared" ca="1" si="203"/>
        <v>On Time</v>
      </c>
      <c r="AL1800" s="268" t="str">
        <f t="shared" si="208"/>
        <v>November</v>
      </c>
      <c r="AM1800" s="133">
        <f>YEAR(Table1[[#This Row],[ETA
As requested
dd.mm.yyyy]])</f>
        <v>2024</v>
      </c>
    </row>
    <row r="1801" spans="1:40" hidden="1">
      <c r="A1801" s="123" t="s">
        <v>27</v>
      </c>
      <c r="B1801" s="36" t="s">
        <v>1170</v>
      </c>
      <c r="C1801" s="117">
        <v>5500511046</v>
      </c>
      <c r="D1801" s="165">
        <v>45572</v>
      </c>
      <c r="E1801" s="117" t="s">
        <v>55</v>
      </c>
      <c r="F1801" s="36" t="str">
        <f>IFERROR(VLOOKUP(Table1[[#This Row],[Part Number]],DATABASE_FG!$C$6:D11790,2,FALSE)," ")</f>
        <v>PLATE              STW0360/ ADAPTER</v>
      </c>
      <c r="G1801" s="117" t="str">
        <f>IFERROR(_xlfn.XLOOKUP(Table1[[#This Row],[Part Number]],Table3[Part number],Table3[Drawing
 Revision]),"")</f>
        <v>AD</v>
      </c>
      <c r="H1801" s="118" cm="1">
        <f t="array" ref="H1801">IFERROR(INDEX(PDB!$C:$AT,MATCH(E1801,PDB!$B:$B,0),MATCH(YEAR(K1801),0+PDB!$C$1:$AT$1,0)),"")</f>
        <v>7.28</v>
      </c>
      <c r="I1801" s="36">
        <v>8</v>
      </c>
      <c r="J1801" s="125">
        <f>IFERROR(Table1[[#This Row],[Quantity]]*Table1[[#This Row],[Price/Unit
EUR]]," ")</f>
        <v>58.24</v>
      </c>
      <c r="K1801" s="126">
        <v>45614</v>
      </c>
      <c r="L1801" s="36">
        <f>WEEKNUM(Table1[[#This Row],[ETA
As requested
dd.mm.yyyy]])</f>
        <v>47</v>
      </c>
      <c r="M1801" s="36">
        <f>YEAR(Table1[[#This Row],[ETA
As requested
dd.mm.yyyy]])</f>
        <v>2024</v>
      </c>
      <c r="N1801" s="36">
        <f>IFERROR(INDEX(DATABASE_FG!$H$5:$H$367, MATCH(E1801, DATABASE_FG!$C$5:$C$367, 0)), " ")</f>
        <v>0</v>
      </c>
      <c r="O1801" s="129" t="str">
        <f>IF(E1801&lt;&gt;"", _xlfn.XLOOKUP(E1801, DATABASE_FG!C:C, DATABASE_FG!F:F), " ")</f>
        <v>PLATE</v>
      </c>
      <c r="P1801" s="129">
        <f>IFERROR(INDEX(DATABASE_FG!$G$5:$G$367, MATCH(E1801, DATABASE_FG!$C$5:$C$367, 0)), "Not Found")</f>
        <v>150</v>
      </c>
      <c r="Q1801" s="36">
        <v>60</v>
      </c>
      <c r="R1801" s="125" t="s">
        <v>678</v>
      </c>
      <c r="S1801" s="123">
        <f>IFERROR(INDEX(DATABASE_FG!$L$5:$L$367, MATCH(E1801, DATABASE_FG!$C$5:$C$367, 0)), " ")</f>
        <v>42</v>
      </c>
      <c r="T1801" s="36"/>
      <c r="U1801" s="36"/>
      <c r="V1801" s="36"/>
      <c r="W1801" s="129"/>
      <c r="X1801" s="36"/>
      <c r="Y1801" s="36"/>
      <c r="Z1801" s="36"/>
      <c r="AA1801" s="125" t="s">
        <v>121</v>
      </c>
      <c r="AB1801" s="172">
        <v>45610</v>
      </c>
      <c r="AC1801" s="119">
        <v>202401389</v>
      </c>
      <c r="AD1801" s="36">
        <f t="shared" si="209"/>
        <v>5500511046</v>
      </c>
      <c r="AE1801" s="36" t="str">
        <f t="shared" si="210"/>
        <v>R901279760</v>
      </c>
      <c r="AF1801" s="36">
        <v>8</v>
      </c>
      <c r="AG1801" s="120">
        <f t="shared" si="204"/>
        <v>58.24</v>
      </c>
      <c r="AH1801" s="36"/>
      <c r="AI1801" s="124"/>
      <c r="AJ1801" s="122" t="s">
        <v>2606</v>
      </c>
      <c r="AK1801" s="129" t="str">
        <f t="shared" ca="1" si="203"/>
        <v>On Time</v>
      </c>
      <c r="AL1801" s="268" t="str">
        <f t="shared" si="208"/>
        <v>November</v>
      </c>
      <c r="AM1801" s="133">
        <f>YEAR(Table1[[#This Row],[ETA
As requested
dd.mm.yyyy]])</f>
        <v>2024</v>
      </c>
    </row>
    <row r="1802" spans="1:40" hidden="1">
      <c r="A1802" s="123" t="s">
        <v>27</v>
      </c>
      <c r="B1802" s="36" t="s">
        <v>1170</v>
      </c>
      <c r="C1802" s="117">
        <v>5500511046</v>
      </c>
      <c r="D1802" s="165">
        <v>45572</v>
      </c>
      <c r="E1802" s="117" t="s">
        <v>55</v>
      </c>
      <c r="F1802" s="36" t="str">
        <f>IFERROR(VLOOKUP(Table1[[#This Row],[Part Number]],DATABASE_FG!$C$6:D11791,2,FALSE)," ")</f>
        <v>PLATE              STW0360/ ADAPTER</v>
      </c>
      <c r="G1802" s="117" t="str">
        <f>IFERROR(_xlfn.XLOOKUP(Table1[[#This Row],[Part Number]],Table3[Part number],Table3[Drawing
 Revision]),"")</f>
        <v>AD</v>
      </c>
      <c r="H1802" s="118" cm="1">
        <f t="array" ref="H1802">IFERROR(INDEX(PDB!$C:$AT,MATCH(E1802,PDB!$B:$B,0),MATCH(YEAR(K1802),0+PDB!$C$1:$AT$1,0)),"")</f>
        <v>7.73</v>
      </c>
      <c r="I1802" s="36">
        <v>20</v>
      </c>
      <c r="J1802" s="125">
        <f>IFERROR(Table1[[#This Row],[Quantity]]*Table1[[#This Row],[Price/Unit
EUR]]," ")</f>
        <v>154.60000000000002</v>
      </c>
      <c r="K1802" s="126">
        <v>45660</v>
      </c>
      <c r="L1802" s="36">
        <f>WEEKNUM(Table1[[#This Row],[ETA
As requested
dd.mm.yyyy]])</f>
        <v>1</v>
      </c>
      <c r="M1802" s="36">
        <f>YEAR(Table1[[#This Row],[ETA
As requested
dd.mm.yyyy]])</f>
        <v>2025</v>
      </c>
      <c r="N1802" s="36">
        <f>IFERROR(INDEX(DATABASE_FG!$H$5:$H$367, MATCH(E1802, DATABASE_FG!$C$5:$C$367, 0)), " ")</f>
        <v>0</v>
      </c>
      <c r="O1802" s="129" t="str">
        <f>IF(E1802&lt;&gt;"", _xlfn.XLOOKUP(E1802, DATABASE_FG!C:C, DATABASE_FG!F:F), " ")</f>
        <v>PLATE</v>
      </c>
      <c r="P1802" s="129">
        <f>IFERROR(INDEX(DATABASE_FG!$G$5:$G$367, MATCH(E1802, DATABASE_FG!$C$5:$C$367, 0)), "Not Found")</f>
        <v>150</v>
      </c>
      <c r="Q1802" s="36">
        <v>60</v>
      </c>
      <c r="R1802" s="125" t="s">
        <v>678</v>
      </c>
      <c r="S1802" s="123">
        <f>IFERROR(INDEX(DATABASE_FG!$L$5:$L$367, MATCH(E1802, DATABASE_FG!$C$5:$C$367, 0)), " ")</f>
        <v>42</v>
      </c>
      <c r="T1802" s="36"/>
      <c r="U1802" s="36"/>
      <c r="V1802" s="36"/>
      <c r="W1802" s="129"/>
      <c r="X1802" s="36"/>
      <c r="Y1802" s="36"/>
      <c r="Z1802" s="36"/>
      <c r="AA1802" s="125" t="s">
        <v>121</v>
      </c>
      <c r="AB1802" s="172">
        <v>45610</v>
      </c>
      <c r="AC1802" s="119">
        <v>202401389</v>
      </c>
      <c r="AD1802" s="36">
        <f t="shared" si="209"/>
        <v>5500511046</v>
      </c>
      <c r="AE1802" s="36" t="str">
        <f t="shared" si="210"/>
        <v>R901279760</v>
      </c>
      <c r="AF1802" s="36">
        <v>20</v>
      </c>
      <c r="AG1802" s="120">
        <f t="shared" si="204"/>
        <v>154.60000000000002</v>
      </c>
      <c r="AH1802" s="36"/>
      <c r="AI1802" s="124"/>
      <c r="AJ1802" s="122" t="s">
        <v>2606</v>
      </c>
      <c r="AK1802" s="129" t="str">
        <f t="shared" ca="1" si="203"/>
        <v>On Time</v>
      </c>
      <c r="AL1802" s="268" t="str">
        <f t="shared" si="208"/>
        <v>January</v>
      </c>
      <c r="AM1802" s="133">
        <f>YEAR(Table1[[#This Row],[ETA
As requested
dd.mm.yyyy]])</f>
        <v>2025</v>
      </c>
    </row>
    <row r="1803" spans="1:40" hidden="1">
      <c r="A1803" s="123" t="s">
        <v>27</v>
      </c>
      <c r="B1803" s="36" t="s">
        <v>1170</v>
      </c>
      <c r="C1803" s="117">
        <v>5500511046</v>
      </c>
      <c r="D1803" s="165">
        <v>45572</v>
      </c>
      <c r="E1803" s="117" t="s">
        <v>55</v>
      </c>
      <c r="F1803" s="36" t="str">
        <f>IFERROR(VLOOKUP(Table1[[#This Row],[Part Number]],DATABASE_FG!$C$6:D11792,2,FALSE)," ")</f>
        <v>PLATE              STW0360/ ADAPTER</v>
      </c>
      <c r="G1803" s="117" t="str">
        <f>IFERROR(_xlfn.XLOOKUP(Table1[[#This Row],[Part Number]],Table3[Part number],Table3[Drawing
 Revision]),"")</f>
        <v>AD</v>
      </c>
      <c r="H1803" s="118" cm="1">
        <f t="array" ref="H1803">IFERROR(INDEX(PDB!$C:$AT,MATCH(E1803,PDB!$B:$B,0),MATCH(YEAR(K1803),0+PDB!$C$1:$AT$1,0)),"")</f>
        <v>7.73</v>
      </c>
      <c r="I1803" s="36">
        <v>37</v>
      </c>
      <c r="J1803" s="125">
        <f>IFERROR(Table1[[#This Row],[Quantity]]*Table1[[#This Row],[Price/Unit
EUR]]," ")</f>
        <v>286.01</v>
      </c>
      <c r="K1803" s="126">
        <v>45757</v>
      </c>
      <c r="L1803" s="36">
        <f>WEEKNUM(Table1[[#This Row],[ETA
As requested
dd.mm.yyyy]])</f>
        <v>15</v>
      </c>
      <c r="M1803" s="36">
        <f>YEAR(Table1[[#This Row],[ETA
As requested
dd.mm.yyyy]])</f>
        <v>2025</v>
      </c>
      <c r="N1803" s="36">
        <f>IFERROR(INDEX(DATABASE_FG!$H$5:$H$367, MATCH(E1803, DATABASE_FG!$C$5:$C$367, 0)), " ")</f>
        <v>0</v>
      </c>
      <c r="O1803" s="129" t="str">
        <f>IF(E1803&lt;&gt;"", _xlfn.XLOOKUP(E1803, DATABASE_FG!C:C, DATABASE_FG!F:F), " ")</f>
        <v>PLATE</v>
      </c>
      <c r="P1803" s="129">
        <f>IFERROR(INDEX(DATABASE_FG!$G$5:$G$367, MATCH(E1803, DATABASE_FG!$C$5:$C$367, 0)), "Not Found")</f>
        <v>150</v>
      </c>
      <c r="Q1803" s="36">
        <v>60</v>
      </c>
      <c r="R1803" s="125" t="s">
        <v>678</v>
      </c>
      <c r="S1803" s="123">
        <f>IFERROR(INDEX(DATABASE_FG!$L$5:$L$367, MATCH(E1803, DATABASE_FG!$C$5:$C$367, 0)), " ")</f>
        <v>42</v>
      </c>
      <c r="T1803" s="36" t="s">
        <v>679</v>
      </c>
      <c r="U1803" s="36"/>
      <c r="V1803" s="36"/>
      <c r="W1803" s="129"/>
      <c r="X1803" s="36"/>
      <c r="Y1803" s="36"/>
      <c r="Z1803" s="36"/>
      <c r="AA1803" s="125" t="s">
        <v>121</v>
      </c>
      <c r="AB1803" s="172">
        <v>45771</v>
      </c>
      <c r="AC1803" s="119">
        <v>25662</v>
      </c>
      <c r="AD1803" s="36">
        <f t="shared" si="209"/>
        <v>5500511046</v>
      </c>
      <c r="AE1803" s="36" t="str">
        <f t="shared" si="210"/>
        <v>R901279760</v>
      </c>
      <c r="AF1803" s="36">
        <v>37</v>
      </c>
      <c r="AG1803" s="120">
        <f t="shared" si="204"/>
        <v>286.01</v>
      </c>
      <c r="AH1803" s="36"/>
      <c r="AI1803" s="124"/>
      <c r="AJ1803" s="122" t="s">
        <v>3063</v>
      </c>
      <c r="AK1803" s="129" t="str">
        <f t="shared" ca="1" si="203"/>
        <v>Late</v>
      </c>
      <c r="AL1803" s="268" t="str">
        <f t="shared" si="208"/>
        <v>April</v>
      </c>
      <c r="AM1803" s="133">
        <f>YEAR(Table1[[#This Row],[ETA
As requested
dd.mm.yyyy]])</f>
        <v>2025</v>
      </c>
    </row>
    <row r="1804" spans="1:40" ht="45" hidden="1">
      <c r="A1804" s="177" t="s">
        <v>27</v>
      </c>
      <c r="B1804" s="178" t="s">
        <v>1170</v>
      </c>
      <c r="C1804" s="180">
        <v>5500511046</v>
      </c>
      <c r="D1804" s="179">
        <v>45572</v>
      </c>
      <c r="E1804" s="180" t="s">
        <v>55</v>
      </c>
      <c r="F1804" s="36" t="str">
        <f>IFERROR(VLOOKUP(Table1[[#This Row],[Part Number]],DATABASE_FG!$C$6:D11793,2,FALSE)," ")</f>
        <v>PLATE              STW0360/ ADAPTER</v>
      </c>
      <c r="G1804" s="117" t="str">
        <f>IFERROR(_xlfn.XLOOKUP(Table1[[#This Row],[Part Number]],Table3[Part number],Table3[Drawing
 Revision]),"")</f>
        <v>AD</v>
      </c>
      <c r="H1804" s="118" cm="1">
        <f t="array" ref="H1804">IFERROR(INDEX(PDB!$C:$AT,MATCH(E1804,PDB!$B:$B,0),MATCH(YEAR(K1804),0+PDB!$C$1:$AT$1,0)),"")</f>
        <v>7.73</v>
      </c>
      <c r="I1804" s="178">
        <v>218</v>
      </c>
      <c r="J1804" s="181">
        <f>IFERROR(Table1[[#This Row],[Quantity]]*Table1[[#This Row],[Price/Unit
EUR]]," ")</f>
        <v>1685.14</v>
      </c>
      <c r="K1804" s="182">
        <v>45757</v>
      </c>
      <c r="L1804" s="36">
        <f>WEEKNUM(Table1[[#This Row],[ETA
As requested
dd.mm.yyyy]])</f>
        <v>15</v>
      </c>
      <c r="M1804" s="36">
        <f>YEAR(Table1[[#This Row],[ETA
As requested
dd.mm.yyyy]])</f>
        <v>2025</v>
      </c>
      <c r="N1804" s="36">
        <f>IFERROR(INDEX(DATABASE_FG!$H$5:$H$367, MATCH(E1804, DATABASE_FG!$C$5:$C$367, 0)), " ")</f>
        <v>0</v>
      </c>
      <c r="O1804" s="129" t="str">
        <f>IF(E1804&lt;&gt;"", _xlfn.XLOOKUP(E1804, DATABASE_FG!C:C, DATABASE_FG!F:F), " ")</f>
        <v>PLATE</v>
      </c>
      <c r="P1804" s="129">
        <f>IFERROR(INDEX(DATABASE_FG!$G$5:$G$367, MATCH(E1804, DATABASE_FG!$C$5:$C$367, 0)), "Not Found")</f>
        <v>150</v>
      </c>
      <c r="Q1804" s="36">
        <v>60</v>
      </c>
      <c r="R1804" s="125" t="s">
        <v>678</v>
      </c>
      <c r="S1804" s="123">
        <f>IFERROR(INDEX(DATABASE_FG!$L$5:$L$367, MATCH(E1804, DATABASE_FG!$C$5:$C$367, 0)), " ")</f>
        <v>42</v>
      </c>
      <c r="T1804" s="36" t="s">
        <v>679</v>
      </c>
      <c r="U1804" s="36"/>
      <c r="V1804" s="178"/>
      <c r="W1804" s="183"/>
      <c r="X1804" s="178"/>
      <c r="Y1804" s="178"/>
      <c r="Z1804" s="178"/>
      <c r="AA1804" s="181" t="s">
        <v>121</v>
      </c>
      <c r="AB1804" s="361">
        <v>45828</v>
      </c>
      <c r="AC1804" s="185">
        <v>25969</v>
      </c>
      <c r="AD1804" s="178">
        <f t="shared" si="209"/>
        <v>5500511046</v>
      </c>
      <c r="AE1804" s="178" t="str">
        <f t="shared" si="210"/>
        <v>R901279760</v>
      </c>
      <c r="AF1804" s="178">
        <v>218</v>
      </c>
      <c r="AG1804" s="120">
        <f t="shared" si="204"/>
        <v>1685.14</v>
      </c>
      <c r="AH1804" s="178"/>
      <c r="AI1804" s="187" t="s">
        <v>3064</v>
      </c>
      <c r="AJ1804" s="186" t="s">
        <v>3065</v>
      </c>
      <c r="AK1804" s="129" t="str">
        <f t="shared" ca="1" si="203"/>
        <v>Late</v>
      </c>
      <c r="AL1804" s="268" t="str">
        <f t="shared" si="208"/>
        <v>April</v>
      </c>
      <c r="AM1804" s="133">
        <f>YEAR(Table1[[#This Row],[ETA
As requested
dd.mm.yyyy]])</f>
        <v>2025</v>
      </c>
    </row>
    <row r="1805" spans="1:40" hidden="1">
      <c r="A1805" s="123" t="s">
        <v>27</v>
      </c>
      <c r="B1805" s="36" t="s">
        <v>1170</v>
      </c>
      <c r="C1805" s="117">
        <v>5500511046</v>
      </c>
      <c r="D1805" s="165">
        <v>45572</v>
      </c>
      <c r="E1805" s="117" t="s">
        <v>55</v>
      </c>
      <c r="F1805" s="36" t="str">
        <f>IFERROR(VLOOKUP(Table1[[#This Row],[Part Number]],DATABASE_FG!$C$6:D11794,2,FALSE)," ")</f>
        <v>PLATE              STW0360/ ADAPTER</v>
      </c>
      <c r="G1805" s="117" t="str">
        <f>IFERROR(_xlfn.XLOOKUP(Table1[[#This Row],[Part Number]],Table3[Part number],Table3[Drawing
 Revision]),"")</f>
        <v>AD</v>
      </c>
      <c r="H1805" s="118" cm="1">
        <f t="array" ref="H1805">IFERROR(INDEX(PDB!$C:$AT,MATCH(E1805,PDB!$B:$B,0),MATCH(YEAR(K1805),0+PDB!$C$1:$AT$1,0)),"")</f>
        <v>7.73</v>
      </c>
      <c r="I1805" s="36">
        <v>58</v>
      </c>
      <c r="J1805" s="125">
        <f>IFERROR(Table1[[#This Row],[Quantity]]*Table1[[#This Row],[Price/Unit
EUR]]," ")</f>
        <v>448.34000000000003</v>
      </c>
      <c r="K1805" s="126">
        <v>45909</v>
      </c>
      <c r="L1805" s="36">
        <f>WEEKNUM(Table1[[#This Row],[ETA
As requested
dd.mm.yyyy]])</f>
        <v>37</v>
      </c>
      <c r="M1805" s="36">
        <f>YEAR(Table1[[#This Row],[ETA
As requested
dd.mm.yyyy]])</f>
        <v>2025</v>
      </c>
      <c r="N1805" s="36">
        <f>IFERROR(INDEX(DATABASE_FG!$H$5:$H$367, MATCH(E1805, DATABASE_FG!$C$5:$C$367, 0)), " ")</f>
        <v>0</v>
      </c>
      <c r="O1805" s="129" t="str">
        <f>IF(E1805&lt;&gt;"", _xlfn.XLOOKUP(E1805, DATABASE_FG!C:C, DATABASE_FG!F:F), " ")</f>
        <v>PLATE</v>
      </c>
      <c r="P1805" s="129">
        <f>IFERROR(INDEX(DATABASE_FG!$G$5:$G$367, MATCH(E1805, DATABASE_FG!$C$5:$C$367, 0)), "Not Found")</f>
        <v>150</v>
      </c>
      <c r="Q1805" s="36">
        <v>60</v>
      </c>
      <c r="R1805" s="125" t="s">
        <v>678</v>
      </c>
      <c r="S1805" s="123">
        <f>IFERROR(INDEX(DATABASE_FG!$L$5:$L$367, MATCH(E1805, DATABASE_FG!$C$5:$C$367, 0)), " ")</f>
        <v>42</v>
      </c>
      <c r="T1805" s="36" t="s">
        <v>679</v>
      </c>
      <c r="U1805" s="36"/>
      <c r="V1805" s="36"/>
      <c r="W1805" s="129" t="s">
        <v>677</v>
      </c>
      <c r="X1805" s="36"/>
      <c r="Y1805" s="36"/>
      <c r="Z1805" s="36"/>
      <c r="AA1805" s="198" t="s">
        <v>121</v>
      </c>
      <c r="AB1805" s="200">
        <v>45866</v>
      </c>
      <c r="AC1805" s="201">
        <v>251099</v>
      </c>
      <c r="AD1805" s="194">
        <f t="shared" si="209"/>
        <v>5500511046</v>
      </c>
      <c r="AE1805" s="194" t="str">
        <f t="shared" si="210"/>
        <v>R901279760</v>
      </c>
      <c r="AF1805" s="194">
        <v>58</v>
      </c>
      <c r="AG1805" s="120">
        <f t="shared" si="204"/>
        <v>448.34000000000003</v>
      </c>
      <c r="AH1805" s="194"/>
      <c r="AI1805" s="227"/>
      <c r="AJ1805" s="203" t="s">
        <v>3666</v>
      </c>
      <c r="AK1805" s="129" t="str">
        <f t="shared" ca="1" si="203"/>
        <v>On Time</v>
      </c>
      <c r="AL1805" s="268" t="str">
        <f t="shared" si="208"/>
        <v>September</v>
      </c>
      <c r="AM1805" s="133">
        <f>YEAR(Table1[[#This Row],[ETA
As requested
dd.mm.yyyy]])</f>
        <v>2025</v>
      </c>
    </row>
    <row r="1806" spans="1:40" hidden="1">
      <c r="A1806" s="123" t="s">
        <v>27</v>
      </c>
      <c r="B1806" s="36" t="s">
        <v>1170</v>
      </c>
      <c r="C1806" s="117">
        <v>5500511046</v>
      </c>
      <c r="D1806" s="165">
        <v>45572</v>
      </c>
      <c r="E1806" s="117" t="s">
        <v>55</v>
      </c>
      <c r="F1806" s="36" t="str">
        <f>IFERROR(VLOOKUP(Table1[[#This Row],[Part Number]],DATABASE_FG!$C$6:D11795,2,FALSE)," ")</f>
        <v>PLATE              STW0360/ ADAPTER</v>
      </c>
      <c r="G1806" s="117" t="str">
        <f>IFERROR(_xlfn.XLOOKUP(Table1[[#This Row],[Part Number]],Table3[Part number],Table3[Drawing
 Revision]),"")</f>
        <v>AD</v>
      </c>
      <c r="H1806" s="118" cm="1">
        <f t="array" ref="H1806">IFERROR(INDEX(PDB!$C:$AT,MATCH(E1806,PDB!$B:$B,0),MATCH(YEAR(K1806),0+PDB!$C$1:$AT$1,0)),"")</f>
        <v>7.73</v>
      </c>
      <c r="I1806" s="36">
        <f>100-58</f>
        <v>42</v>
      </c>
      <c r="J1806" s="125">
        <f>IFERROR(Table1[[#This Row],[Quantity]]*Table1[[#This Row],[Price/Unit
EUR]]," ")</f>
        <v>324.66000000000003</v>
      </c>
      <c r="K1806" s="126">
        <v>45909</v>
      </c>
      <c r="L1806" s="36">
        <f>WEEKNUM(Table1[[#This Row],[ETA
As requested
dd.mm.yyyy]])</f>
        <v>37</v>
      </c>
      <c r="M1806" s="36">
        <f>YEAR(Table1[[#This Row],[ETA
As requested
dd.mm.yyyy]])</f>
        <v>2025</v>
      </c>
      <c r="N1806" s="36">
        <f>IFERROR(INDEX(DATABASE_FG!$H$5:$H$367, MATCH(E1806, DATABASE_FG!$C$5:$C$367, 0)), " ")</f>
        <v>0</v>
      </c>
      <c r="O1806" s="129" t="str">
        <f>IF(E1806&lt;&gt;"", _xlfn.XLOOKUP(E1806, DATABASE_FG!C:C, DATABASE_FG!F:F), " ")</f>
        <v>PLATE</v>
      </c>
      <c r="P1806" s="129">
        <f>IFERROR(INDEX(DATABASE_FG!$G$5:$G$367, MATCH(E1806, DATABASE_FG!$C$5:$C$367, 0)), "Not Found")</f>
        <v>150</v>
      </c>
      <c r="Q1806" s="36">
        <v>60</v>
      </c>
      <c r="R1806" s="125" t="s">
        <v>678</v>
      </c>
      <c r="S1806" s="123">
        <f>IFERROR(INDEX(DATABASE_FG!$L$5:$L$367, MATCH(E1806, DATABASE_FG!$C$5:$C$367, 0)), " ")</f>
        <v>42</v>
      </c>
      <c r="T1806" s="36" t="s">
        <v>679</v>
      </c>
      <c r="U1806" s="36"/>
      <c r="V1806" s="36"/>
      <c r="W1806" s="129" t="s">
        <v>677</v>
      </c>
      <c r="X1806" s="36"/>
      <c r="Y1806" s="36"/>
      <c r="Z1806" s="36"/>
      <c r="AA1806" s="125" t="s">
        <v>121</v>
      </c>
      <c r="AB1806" s="173">
        <v>45924</v>
      </c>
      <c r="AC1806" s="119"/>
      <c r="AD1806" s="36" t="str">
        <f t="shared" si="209"/>
        <v/>
      </c>
      <c r="AE1806" s="36" t="str">
        <f t="shared" si="210"/>
        <v/>
      </c>
      <c r="AF1806" s="36">
        <v>0</v>
      </c>
      <c r="AG1806" s="120">
        <f t="shared" si="204"/>
        <v>0</v>
      </c>
      <c r="AH1806" s="36"/>
      <c r="AI1806" s="124" t="s">
        <v>3671</v>
      </c>
      <c r="AJ1806" s="122"/>
      <c r="AK1806" s="129" t="str">
        <f t="shared" ca="1" si="203"/>
        <v>Late</v>
      </c>
      <c r="AL1806" s="268" t="str">
        <f t="shared" si="208"/>
        <v>September</v>
      </c>
      <c r="AM1806" s="133">
        <f>YEAR(Table1[[#This Row],[ETA
As requested
dd.mm.yyyy]])</f>
        <v>2025</v>
      </c>
    </row>
    <row r="1807" spans="1:40" hidden="1">
      <c r="A1807" s="123" t="s">
        <v>27</v>
      </c>
      <c r="B1807" s="36" t="s">
        <v>2464</v>
      </c>
      <c r="C1807" s="117">
        <v>5500511046</v>
      </c>
      <c r="D1807" s="165">
        <v>45572</v>
      </c>
      <c r="E1807" s="117" t="s">
        <v>55</v>
      </c>
      <c r="F1807" s="36" t="str">
        <f>IFERROR(VLOOKUP(Table1[[#This Row],[Part Number]],DATABASE_FG!$C$6:D11796,2,FALSE)," ")</f>
        <v>PLATE              STW0360/ ADAPTER</v>
      </c>
      <c r="G1807" s="117" t="str">
        <f>IFERROR(_xlfn.XLOOKUP(Table1[[#This Row],[Part Number]],Table3[Part number],Table3[Drawing
 Revision]),"")</f>
        <v>AD</v>
      </c>
      <c r="H1807" s="118" cm="1">
        <f t="array" ref="H1807">IFERROR(INDEX(PDB!$C:$AT,MATCH(E1807,PDB!$B:$B,0),MATCH(YEAR(K1807),0+PDB!$C$1:$AT$1,0)),"")</f>
        <v>7.73</v>
      </c>
      <c r="I1807" s="36">
        <v>100</v>
      </c>
      <c r="J1807" s="125">
        <f>IFERROR(Table1[[#This Row],[Quantity]]*Table1[[#This Row],[Price/Unit
EUR]]," ")</f>
        <v>773</v>
      </c>
      <c r="K1807" s="126">
        <v>45965</v>
      </c>
      <c r="L1807" s="36">
        <f>WEEKNUM(Table1[[#This Row],[ETA
As requested
dd.mm.yyyy]])</f>
        <v>45</v>
      </c>
      <c r="M1807" s="36">
        <f>YEAR(Table1[[#This Row],[ETA
As requested
dd.mm.yyyy]])</f>
        <v>2025</v>
      </c>
      <c r="N1807" s="36">
        <f>IFERROR(INDEX(DATABASE_FG!$H$5:$H$367, MATCH(E1807, DATABASE_FG!$C$5:$C$367, 0)), " ")</f>
        <v>0</v>
      </c>
      <c r="O1807" s="129" t="str">
        <f>IF(E1807&lt;&gt;"", _xlfn.XLOOKUP(E1807, DATABASE_FG!C:C, DATABASE_FG!F:F), " ")</f>
        <v>PLATE</v>
      </c>
      <c r="P1807" s="129">
        <f>IFERROR(INDEX(DATABASE_FG!$G$5:$G$367, MATCH(E1807, DATABASE_FG!$C$5:$C$367, 0)), "Not Found")</f>
        <v>150</v>
      </c>
      <c r="Q1807" s="36">
        <v>60</v>
      </c>
      <c r="R1807" s="125" t="s">
        <v>678</v>
      </c>
      <c r="S1807" s="123">
        <f>IFERROR(INDEX(DATABASE_FG!$L$5:$L$367, MATCH(E1807, DATABASE_FG!$C$5:$C$367, 0)), " ")</f>
        <v>42</v>
      </c>
      <c r="T1807" s="36" t="s">
        <v>679</v>
      </c>
      <c r="U1807" s="36"/>
      <c r="V1807" s="36"/>
      <c r="W1807" s="129" t="s">
        <v>677</v>
      </c>
      <c r="X1807" s="36"/>
      <c r="Y1807" s="36"/>
      <c r="Z1807" s="36"/>
      <c r="AA1807" s="125" t="s">
        <v>3</v>
      </c>
      <c r="AB1807" s="173"/>
      <c r="AC1807" s="119"/>
      <c r="AD1807" s="36" t="str">
        <f t="shared" si="209"/>
        <v/>
      </c>
      <c r="AE1807" s="36" t="str">
        <f t="shared" si="210"/>
        <v/>
      </c>
      <c r="AF1807" s="36"/>
      <c r="AG1807" s="120">
        <f t="shared" si="204"/>
        <v>0</v>
      </c>
      <c r="AH1807" s="36"/>
      <c r="AI1807" s="124"/>
      <c r="AJ1807" s="122"/>
      <c r="AK1807" s="129" t="str">
        <f t="shared" ca="1" si="203"/>
        <v>Late</v>
      </c>
      <c r="AL1807" s="268" t="str">
        <f t="shared" si="208"/>
        <v>November</v>
      </c>
      <c r="AM1807" s="133">
        <f>YEAR(Table1[[#This Row],[ETA
As requested
dd.mm.yyyy]])</f>
        <v>2025</v>
      </c>
    </row>
    <row r="1808" spans="1:40" hidden="1">
      <c r="A1808" s="123" t="s">
        <v>27</v>
      </c>
      <c r="B1808" s="36" t="s">
        <v>2464</v>
      </c>
      <c r="C1808" s="117">
        <v>5500511046</v>
      </c>
      <c r="D1808" s="165">
        <v>45572</v>
      </c>
      <c r="E1808" s="117" t="s">
        <v>55</v>
      </c>
      <c r="F1808" s="36" t="str">
        <f>IFERROR(VLOOKUP(Table1[[#This Row],[Part Number]],DATABASE_FG!$C$6:D11797,2,FALSE)," ")</f>
        <v>PLATE              STW0360/ ADAPTER</v>
      </c>
      <c r="G1808" s="117" t="str">
        <f>IFERROR(_xlfn.XLOOKUP(Table1[[#This Row],[Part Number]],Table3[Part number],Table3[Drawing
 Revision]),"")</f>
        <v>AD</v>
      </c>
      <c r="H1808" s="118" cm="1">
        <f t="array" ref="H1808">IFERROR(INDEX(PDB!$C:$AT,MATCH(E1808,PDB!$B:$B,0),MATCH(YEAR(K1808),0+PDB!$C$1:$AT$1,0)),"")</f>
        <v>0</v>
      </c>
      <c r="I1808" s="36">
        <v>100</v>
      </c>
      <c r="J1808" s="125">
        <f>IFERROR(Table1[[#This Row],[Quantity]]*Table1[[#This Row],[Price/Unit
EUR]]," ")</f>
        <v>0</v>
      </c>
      <c r="K1808" s="126">
        <v>46037</v>
      </c>
      <c r="L1808" s="36">
        <f>WEEKNUM(Table1[[#This Row],[ETA
As requested
dd.mm.yyyy]])</f>
        <v>3</v>
      </c>
      <c r="M1808" s="36">
        <f>YEAR(Table1[[#This Row],[ETA
As requested
dd.mm.yyyy]])</f>
        <v>2026</v>
      </c>
      <c r="N1808" s="36">
        <f>IFERROR(INDEX(DATABASE_FG!$H$5:$H$367, MATCH(E1808, DATABASE_FG!$C$5:$C$367, 0)), " ")</f>
        <v>0</v>
      </c>
      <c r="O1808" s="129" t="str">
        <f>IF(E1808&lt;&gt;"", _xlfn.XLOOKUP(E1808, DATABASE_FG!C:C, DATABASE_FG!F:F), " ")</f>
        <v>PLATE</v>
      </c>
      <c r="P1808" s="129">
        <f>IFERROR(INDEX(DATABASE_FG!$G$5:$G$367, MATCH(E1808, DATABASE_FG!$C$5:$C$367, 0)), "Not Found")</f>
        <v>150</v>
      </c>
      <c r="Q1808" s="36">
        <v>60</v>
      </c>
      <c r="R1808" s="125" t="s">
        <v>678</v>
      </c>
      <c r="S1808" s="123">
        <f>IFERROR(INDEX(DATABASE_FG!$L$5:$L$367, MATCH(E1808, DATABASE_FG!$C$5:$C$367, 0)), " ")</f>
        <v>42</v>
      </c>
      <c r="T1808" s="36" t="s">
        <v>679</v>
      </c>
      <c r="U1808" s="36"/>
      <c r="V1808" s="36"/>
      <c r="W1808" s="129"/>
      <c r="X1808" s="36"/>
      <c r="Y1808" s="36"/>
      <c r="Z1808" s="36"/>
      <c r="AA1808" s="125" t="s">
        <v>3</v>
      </c>
      <c r="AB1808" s="172"/>
      <c r="AC1808" s="119"/>
      <c r="AD1808" s="36" t="str">
        <f t="shared" si="209"/>
        <v/>
      </c>
      <c r="AE1808" s="36" t="str">
        <f t="shared" si="210"/>
        <v/>
      </c>
      <c r="AF1808" s="36"/>
      <c r="AG1808" s="120">
        <f t="shared" si="204"/>
        <v>0</v>
      </c>
      <c r="AH1808" s="36"/>
      <c r="AI1808" s="124"/>
      <c r="AJ1808" s="122"/>
      <c r="AK1808" s="129" t="str">
        <f t="shared" ca="1" si="203"/>
        <v/>
      </c>
      <c r="AL1808" s="268" t="str">
        <f t="shared" si="208"/>
        <v>January</v>
      </c>
      <c r="AM1808" s="133">
        <f>YEAR(Table1[[#This Row],[ETA
As requested
dd.mm.yyyy]])</f>
        <v>2026</v>
      </c>
    </row>
    <row r="1809" spans="1:39" hidden="1">
      <c r="A1809" s="123" t="s">
        <v>27</v>
      </c>
      <c r="B1809" s="36" t="s">
        <v>2464</v>
      </c>
      <c r="C1809" s="117">
        <v>5500511046</v>
      </c>
      <c r="D1809" s="165">
        <v>45572</v>
      </c>
      <c r="E1809" s="117" t="s">
        <v>55</v>
      </c>
      <c r="F1809" s="36" t="str">
        <f>IFERROR(VLOOKUP(Table1[[#This Row],[Part Number]],DATABASE_FG!$C$6:D11798,2,FALSE)," ")</f>
        <v>PLATE              STW0360/ ADAPTER</v>
      </c>
      <c r="G1809" s="117" t="str">
        <f>IFERROR(_xlfn.XLOOKUP(Table1[[#This Row],[Part Number]],Table3[Part number],Table3[Drawing
 Revision]),"")</f>
        <v>AD</v>
      </c>
      <c r="H1809" s="118" cm="1">
        <f t="array" ref="H1809">IFERROR(INDEX(PDB!$C:$AT,MATCH(E1809,PDB!$B:$B,0),MATCH(YEAR(K1809),0+PDB!$C$1:$AT$1,0)),"")</f>
        <v>0</v>
      </c>
      <c r="I1809" s="36">
        <v>100</v>
      </c>
      <c r="J1809" s="125">
        <f>IFERROR(Table1[[#This Row],[Quantity]]*Table1[[#This Row],[Price/Unit
EUR]]," ")</f>
        <v>0</v>
      </c>
      <c r="K1809" s="126">
        <v>46091</v>
      </c>
      <c r="L1809" s="36">
        <f>WEEKNUM(Table1[[#This Row],[ETA
As requested
dd.mm.yyyy]])</f>
        <v>11</v>
      </c>
      <c r="M1809" s="36">
        <f>YEAR(Table1[[#This Row],[ETA
As requested
dd.mm.yyyy]])</f>
        <v>2026</v>
      </c>
      <c r="N1809" s="36">
        <f>IFERROR(INDEX(DATABASE_FG!$H$5:$H$367, MATCH(E1809, DATABASE_FG!$C$5:$C$367, 0)), " ")</f>
        <v>0</v>
      </c>
      <c r="O1809" s="129" t="str">
        <f>IF(E1809&lt;&gt;"", _xlfn.XLOOKUP(E1809, DATABASE_FG!C:C, DATABASE_FG!F:F), " ")</f>
        <v>PLATE</v>
      </c>
      <c r="P1809" s="129">
        <f>IFERROR(INDEX(DATABASE_FG!$G$5:$G$367, MATCH(E1809, DATABASE_FG!$C$5:$C$367, 0)), "Not Found")</f>
        <v>150</v>
      </c>
      <c r="Q1809" s="36">
        <v>60</v>
      </c>
      <c r="R1809" s="125" t="s">
        <v>678</v>
      </c>
      <c r="S1809" s="123">
        <f>IFERROR(INDEX(DATABASE_FG!$L$5:$L$367, MATCH(E1809, DATABASE_FG!$C$5:$C$367, 0)), " ")</f>
        <v>42</v>
      </c>
      <c r="T1809" s="36" t="s">
        <v>679</v>
      </c>
      <c r="U1809" s="36"/>
      <c r="V1809" s="36"/>
      <c r="W1809" s="129"/>
      <c r="X1809" s="36"/>
      <c r="Y1809" s="36"/>
      <c r="Z1809" s="36"/>
      <c r="AA1809" s="125" t="s">
        <v>3</v>
      </c>
      <c r="AB1809" s="172"/>
      <c r="AC1809" s="119"/>
      <c r="AD1809" s="36" t="str">
        <f t="shared" si="209"/>
        <v/>
      </c>
      <c r="AE1809" s="36" t="str">
        <f t="shared" si="210"/>
        <v/>
      </c>
      <c r="AF1809" s="36"/>
      <c r="AG1809" s="120">
        <f t="shared" si="204"/>
        <v>0</v>
      </c>
      <c r="AH1809" s="36"/>
      <c r="AI1809" s="124"/>
      <c r="AJ1809" s="122"/>
      <c r="AK1809" s="129" t="str">
        <f t="shared" ca="1" si="203"/>
        <v/>
      </c>
      <c r="AL1809" s="268" t="str">
        <f t="shared" si="208"/>
        <v>March</v>
      </c>
      <c r="AM1809" s="133">
        <f>YEAR(Table1[[#This Row],[ETA
As requested
dd.mm.yyyy]])</f>
        <v>2026</v>
      </c>
    </row>
    <row r="1810" spans="1:39" hidden="1">
      <c r="A1810" s="123" t="s">
        <v>27</v>
      </c>
      <c r="B1810" s="36" t="s">
        <v>1170</v>
      </c>
      <c r="C1810" s="117">
        <v>5500511045</v>
      </c>
      <c r="D1810" s="165">
        <v>45446</v>
      </c>
      <c r="E1810" s="117" t="s">
        <v>56</v>
      </c>
      <c r="F1810" s="36" t="str">
        <f>IFERROR(VLOOKUP(Table1[[#This Row],[Part Number]],DATABASE_FG!$C$6:D11799,2,FALSE)," ")</f>
        <v>PLATE              4WRPN 6/ ADAPTER</v>
      </c>
      <c r="G1810" s="117" t="str">
        <f>IFERROR(_xlfn.XLOOKUP(Table1[[#This Row],[Part Number]],Table3[Part number],Table3[Drawing
 Revision]),"")</f>
        <v>AD</v>
      </c>
      <c r="H1810" s="118" cm="1">
        <f t="array" ref="H1810">IFERROR(INDEX(PDB!$C:$AT,MATCH(E1810,PDB!$B:$B,0),MATCH(YEAR(K1810),0+PDB!$C$1:$AT$1,0)),"")</f>
        <v>4.32</v>
      </c>
      <c r="I1810" s="36">
        <v>95</v>
      </c>
      <c r="J1810" s="125">
        <f>IFERROR(Table1[[#This Row],[Quantity]]*Table1[[#This Row],[Price/Unit
EUR]]," ")</f>
        <v>410.40000000000003</v>
      </c>
      <c r="K1810" s="126">
        <v>45589</v>
      </c>
      <c r="L1810" s="36">
        <f>WEEKNUM(Table1[[#This Row],[ETA
As requested
dd.mm.yyyy]])</f>
        <v>43</v>
      </c>
      <c r="M1810" s="36">
        <f>YEAR(Table1[[#This Row],[ETA
As requested
dd.mm.yyyy]])</f>
        <v>2024</v>
      </c>
      <c r="N1810" s="36">
        <f>IFERROR(INDEX(DATABASE_FG!$H$5:$H$367, MATCH(E1810, DATABASE_FG!$C$5:$C$367, 0)), " ")</f>
        <v>0</v>
      </c>
      <c r="O1810" s="129" t="str">
        <f>IF(E1810&lt;&gt;"", _xlfn.XLOOKUP(E1810, DATABASE_FG!C:C, DATABASE_FG!F:F), " ")</f>
        <v>PLATE</v>
      </c>
      <c r="P1810" s="129">
        <f>IFERROR(INDEX(DATABASE_FG!$G$5:$G$367, MATCH(E1810, DATABASE_FG!$C$5:$C$367, 0)), "Not Found")</f>
        <v>500</v>
      </c>
      <c r="Q1810" s="36">
        <v>60</v>
      </c>
      <c r="R1810" s="125" t="s">
        <v>678</v>
      </c>
      <c r="S1810" s="123">
        <f>IFERROR(INDEX(DATABASE_FG!$L$5:$L$367, MATCH(E1810, DATABASE_FG!$C$5:$C$367, 0)), " ")</f>
        <v>42</v>
      </c>
      <c r="T1810" s="36" t="s">
        <v>679</v>
      </c>
      <c r="U1810" s="36"/>
      <c r="V1810" s="36"/>
      <c r="W1810" s="129"/>
      <c r="X1810" s="36"/>
      <c r="Y1810" s="36"/>
      <c r="Z1810" s="36"/>
      <c r="AA1810" s="125" t="s">
        <v>121</v>
      </c>
      <c r="AB1810" s="172">
        <v>45595</v>
      </c>
      <c r="AC1810" s="119">
        <v>202401302</v>
      </c>
      <c r="AD1810" s="36">
        <f t="shared" si="209"/>
        <v>5500511045</v>
      </c>
      <c r="AE1810" s="36" t="str">
        <f t="shared" si="210"/>
        <v>R901321450</v>
      </c>
      <c r="AF1810" s="36">
        <v>95</v>
      </c>
      <c r="AG1810" s="120">
        <f t="shared" si="204"/>
        <v>410.40000000000003</v>
      </c>
      <c r="AH1810" s="36"/>
      <c r="AI1810" s="124"/>
      <c r="AJ1810" s="122" t="s">
        <v>2516</v>
      </c>
      <c r="AK1810" s="129" t="str">
        <f t="shared" ca="1" si="203"/>
        <v>Late</v>
      </c>
      <c r="AL1810" s="268" t="str">
        <f t="shared" si="208"/>
        <v>October</v>
      </c>
      <c r="AM1810" s="133">
        <f>YEAR(Table1[[#This Row],[ETA
As requested
dd.mm.yyyy]])</f>
        <v>2024</v>
      </c>
    </row>
    <row r="1811" spans="1:39" hidden="1">
      <c r="A1811" s="123" t="s">
        <v>27</v>
      </c>
      <c r="B1811" s="36" t="s">
        <v>1170</v>
      </c>
      <c r="C1811" s="117">
        <v>5500511045</v>
      </c>
      <c r="D1811" s="165">
        <v>45446</v>
      </c>
      <c r="E1811" s="117" t="s">
        <v>56</v>
      </c>
      <c r="F1811" s="36" t="str">
        <f>IFERROR(VLOOKUP(Table1[[#This Row],[Part Number]],DATABASE_FG!$C$6:D11800,2,FALSE)," ")</f>
        <v>PLATE              4WRPN 6/ ADAPTER</v>
      </c>
      <c r="G1811" s="117" t="str">
        <f>IFERROR(_xlfn.XLOOKUP(Table1[[#This Row],[Part Number]],Table3[Part number],Table3[Drawing
 Revision]),"")</f>
        <v>AD</v>
      </c>
      <c r="H1811" s="118" cm="1">
        <f t="array" ref="H1811">IFERROR(INDEX(PDB!$C:$AT,MATCH(E1811,PDB!$B:$B,0),MATCH(YEAR(K1811),0+PDB!$C$1:$AT$1,0)),"")</f>
        <v>4.32</v>
      </c>
      <c r="I1811" s="36">
        <v>84</v>
      </c>
      <c r="J1811" s="125">
        <f>IFERROR(Table1[[#This Row],[Quantity]]*Table1[[#This Row],[Price/Unit
EUR]]," ")</f>
        <v>362.88</v>
      </c>
      <c r="K1811" s="126">
        <v>45589</v>
      </c>
      <c r="L1811" s="36">
        <f>WEEKNUM(Table1[[#This Row],[ETA
As requested
dd.mm.yyyy]])</f>
        <v>43</v>
      </c>
      <c r="M1811" s="36">
        <f>YEAR(Table1[[#This Row],[ETA
As requested
dd.mm.yyyy]])</f>
        <v>2024</v>
      </c>
      <c r="N1811" s="36">
        <f>IFERROR(INDEX(DATABASE_FG!$H$5:$H$367, MATCH(E1811, DATABASE_FG!$C$5:$C$367, 0)), " ")</f>
        <v>0</v>
      </c>
      <c r="O1811" s="129" t="str">
        <f>IF(E1811&lt;&gt;"", _xlfn.XLOOKUP(E1811, DATABASE_FG!C:C, DATABASE_FG!F:F), " ")</f>
        <v>PLATE</v>
      </c>
      <c r="P1811" s="129">
        <f>IFERROR(INDEX(DATABASE_FG!$G$5:$G$367, MATCH(E1811, DATABASE_FG!$C$5:$C$367, 0)), "Not Found")</f>
        <v>500</v>
      </c>
      <c r="Q1811" s="36">
        <v>60</v>
      </c>
      <c r="R1811" s="125" t="s">
        <v>678</v>
      </c>
      <c r="S1811" s="123">
        <f>IFERROR(INDEX(DATABASE_FG!$L$5:$L$367, MATCH(E1811, DATABASE_FG!$C$5:$C$367, 0)), " ")</f>
        <v>42</v>
      </c>
      <c r="T1811" s="36" t="s">
        <v>679</v>
      </c>
      <c r="U1811" s="36"/>
      <c r="V1811" s="36"/>
      <c r="W1811" s="129"/>
      <c r="X1811" s="36"/>
      <c r="Y1811" s="36"/>
      <c r="Z1811" s="36"/>
      <c r="AA1811" s="125" t="s">
        <v>121</v>
      </c>
      <c r="AB1811" s="172">
        <v>45597</v>
      </c>
      <c r="AC1811" s="119">
        <v>202401316</v>
      </c>
      <c r="AD1811" s="36">
        <f t="shared" si="209"/>
        <v>5500511045</v>
      </c>
      <c r="AE1811" s="36" t="str">
        <f t="shared" si="210"/>
        <v>R901321450</v>
      </c>
      <c r="AF1811" s="36">
        <v>84</v>
      </c>
      <c r="AG1811" s="120">
        <f t="shared" si="204"/>
        <v>362.88</v>
      </c>
      <c r="AH1811" s="36"/>
      <c r="AI1811" s="124"/>
      <c r="AJ1811" s="122" t="s">
        <v>2517</v>
      </c>
      <c r="AK1811" s="129" t="str">
        <f t="shared" ca="1" si="203"/>
        <v>Late</v>
      </c>
      <c r="AL1811" s="268" t="str">
        <f t="shared" si="208"/>
        <v>October</v>
      </c>
      <c r="AM1811" s="133">
        <f>YEAR(Table1[[#This Row],[ETA
As requested
dd.mm.yyyy]])</f>
        <v>2024</v>
      </c>
    </row>
    <row r="1812" spans="1:39" hidden="1">
      <c r="A1812" s="123" t="s">
        <v>27</v>
      </c>
      <c r="B1812" s="36" t="s">
        <v>1170</v>
      </c>
      <c r="C1812" s="117">
        <v>5500511045</v>
      </c>
      <c r="D1812" s="165">
        <v>45446</v>
      </c>
      <c r="E1812" s="117" t="s">
        <v>56</v>
      </c>
      <c r="F1812" s="36" t="str">
        <f>IFERROR(VLOOKUP(Table1[[#This Row],[Part Number]],DATABASE_FG!$C$6:D11801,2,FALSE)," ")</f>
        <v>PLATE              4WRPN 6/ ADAPTER</v>
      </c>
      <c r="G1812" s="117" t="str">
        <f>IFERROR(_xlfn.XLOOKUP(Table1[[#This Row],[Part Number]],Table3[Part number],Table3[Drawing
 Revision]),"")</f>
        <v>AD</v>
      </c>
      <c r="H1812" s="118" cm="1">
        <f t="array" ref="H1812">IFERROR(INDEX(PDB!$C:$AT,MATCH(E1812,PDB!$B:$B,0),MATCH(YEAR(K1812),0+PDB!$C$1:$AT$1,0)),"")</f>
        <v>4.32</v>
      </c>
      <c r="I1812" s="36">
        <f>125-54</f>
        <v>71</v>
      </c>
      <c r="J1812" s="125">
        <f>IFERROR(Table1[[#This Row],[Quantity]]*Table1[[#This Row],[Price/Unit
EUR]]," ")</f>
        <v>306.72000000000003</v>
      </c>
      <c r="K1812" s="126">
        <v>45596</v>
      </c>
      <c r="L1812" s="36">
        <f>WEEKNUM(Table1[[#This Row],[ETA
As requested
dd.mm.yyyy]])</f>
        <v>44</v>
      </c>
      <c r="M1812" s="36">
        <f>YEAR(Table1[[#This Row],[ETA
As requested
dd.mm.yyyy]])</f>
        <v>2024</v>
      </c>
      <c r="N1812" s="36">
        <f>IFERROR(INDEX(DATABASE_FG!$H$5:$H$367, MATCH(E1812, DATABASE_FG!$C$5:$C$367, 0)), " ")</f>
        <v>0</v>
      </c>
      <c r="O1812" s="129" t="str">
        <f>IF(E1812&lt;&gt;"", _xlfn.XLOOKUP(E1812, DATABASE_FG!C:C, DATABASE_FG!F:F), " ")</f>
        <v>PLATE</v>
      </c>
      <c r="P1812" s="129">
        <f>IFERROR(INDEX(DATABASE_FG!$G$5:$G$367, MATCH(E1812, DATABASE_FG!$C$5:$C$367, 0)), "Not Found")</f>
        <v>500</v>
      </c>
      <c r="Q1812" s="36">
        <v>60</v>
      </c>
      <c r="R1812" s="125" t="s">
        <v>678</v>
      </c>
      <c r="S1812" s="123">
        <f>IFERROR(INDEX(DATABASE_FG!$L$5:$L$367, MATCH(E1812, DATABASE_FG!$C$5:$C$367, 0)), " ")</f>
        <v>42</v>
      </c>
      <c r="T1812" s="36" t="s">
        <v>679</v>
      </c>
      <c r="U1812" s="36"/>
      <c r="V1812" s="36"/>
      <c r="W1812" s="129"/>
      <c r="X1812" s="36"/>
      <c r="Y1812" s="36" t="s">
        <v>121</v>
      </c>
      <c r="Z1812" s="36" t="s">
        <v>2535</v>
      </c>
      <c r="AA1812" s="125" t="s">
        <v>121</v>
      </c>
      <c r="AB1812" s="172">
        <v>45604</v>
      </c>
      <c r="AC1812" s="119">
        <v>202401346</v>
      </c>
      <c r="AD1812" s="36">
        <f t="shared" si="209"/>
        <v>5500511045</v>
      </c>
      <c r="AE1812" s="36" t="str">
        <f t="shared" si="210"/>
        <v>R901321450</v>
      </c>
      <c r="AF1812" s="36">
        <v>71</v>
      </c>
      <c r="AG1812" s="120">
        <f t="shared" si="204"/>
        <v>306.72000000000003</v>
      </c>
      <c r="AH1812" s="36"/>
      <c r="AI1812" s="124"/>
      <c r="AJ1812" s="122" t="s">
        <v>2536</v>
      </c>
      <c r="AK1812" s="129" t="str">
        <f t="shared" ca="1" si="203"/>
        <v>Late</v>
      </c>
      <c r="AL1812" s="268" t="str">
        <f t="shared" si="208"/>
        <v>October</v>
      </c>
      <c r="AM1812" s="133">
        <f>YEAR(Table1[[#This Row],[ETA
As requested
dd.mm.yyyy]])</f>
        <v>2024</v>
      </c>
    </row>
    <row r="1813" spans="1:39" hidden="1">
      <c r="A1813" s="123" t="s">
        <v>27</v>
      </c>
      <c r="B1813" s="36" t="s">
        <v>1170</v>
      </c>
      <c r="C1813" s="117">
        <v>5500511045</v>
      </c>
      <c r="D1813" s="165">
        <v>45440</v>
      </c>
      <c r="E1813" s="117" t="s">
        <v>56</v>
      </c>
      <c r="F1813" s="36" t="str">
        <f>IFERROR(VLOOKUP(Table1[[#This Row],[Part Number]],DATABASE_FG!$C$6:D11802,2,FALSE)," ")</f>
        <v>PLATE              4WRPN 6/ ADAPTER</v>
      </c>
      <c r="G1813" s="117" t="str">
        <f>IFERROR(_xlfn.XLOOKUP(Table1[[#This Row],[Part Number]],Table3[Part number],Table3[Drawing
 Revision]),"")</f>
        <v>AD</v>
      </c>
      <c r="H1813" s="118" cm="1">
        <f t="array" ref="H1813">IFERROR(INDEX(PDB!$C:$AT,MATCH(E1813,PDB!$B:$B,0),MATCH(YEAR(K1813),0+PDB!$C$1:$AT$1,0)),"")</f>
        <v>4.32</v>
      </c>
      <c r="I1813" s="36">
        <v>3</v>
      </c>
      <c r="J1813" s="125">
        <f>IFERROR(Table1[[#This Row],[Quantity]]*Table1[[#This Row],[Price/Unit
EUR]]," ")</f>
        <v>12.96</v>
      </c>
      <c r="K1813" s="126">
        <v>45603</v>
      </c>
      <c r="L1813" s="36">
        <f>WEEKNUM(Table1[[#This Row],[ETA
As requested
dd.mm.yyyy]])</f>
        <v>45</v>
      </c>
      <c r="M1813" s="36">
        <f>YEAR(Table1[[#This Row],[ETA
As requested
dd.mm.yyyy]])</f>
        <v>2024</v>
      </c>
      <c r="N1813" s="36">
        <f>IFERROR(INDEX(DATABASE_FG!$H$5:$H$367, MATCH(E1813, DATABASE_FG!$C$5:$C$367, 0)), " ")</f>
        <v>0</v>
      </c>
      <c r="O1813" s="129" t="str">
        <f>IF(E1813&lt;&gt;"", _xlfn.XLOOKUP(E1813, DATABASE_FG!C:C, DATABASE_FG!F:F), " ")</f>
        <v>PLATE</v>
      </c>
      <c r="P1813" s="129">
        <f>IFERROR(INDEX(DATABASE_FG!$G$5:$G$367, MATCH(E1813, DATABASE_FG!$C$5:$C$367, 0)), "Not Found")</f>
        <v>500</v>
      </c>
      <c r="Q1813" s="36">
        <v>60</v>
      </c>
      <c r="R1813" s="125" t="s">
        <v>678</v>
      </c>
      <c r="S1813" s="123">
        <f>IFERROR(INDEX(DATABASE_FG!$L$5:$L$367, MATCH(E1813, DATABASE_FG!$C$5:$C$367, 0)), " ")</f>
        <v>42</v>
      </c>
      <c r="T1813" s="36" t="s">
        <v>679</v>
      </c>
      <c r="U1813" s="36"/>
      <c r="V1813" s="36"/>
      <c r="W1813" s="129"/>
      <c r="X1813" s="36"/>
      <c r="Y1813" s="36" t="s">
        <v>121</v>
      </c>
      <c r="Z1813" s="36" t="s">
        <v>2535</v>
      </c>
      <c r="AA1813" s="125" t="s">
        <v>121</v>
      </c>
      <c r="AB1813" s="173">
        <v>45604</v>
      </c>
      <c r="AC1813" s="119">
        <v>202401346</v>
      </c>
      <c r="AD1813" s="36">
        <f t="shared" si="209"/>
        <v>5500511045</v>
      </c>
      <c r="AE1813" s="36" t="str">
        <f t="shared" si="210"/>
        <v>R901321450</v>
      </c>
      <c r="AF1813" s="36">
        <v>3</v>
      </c>
      <c r="AG1813" s="120">
        <f t="shared" si="204"/>
        <v>12.96</v>
      </c>
      <c r="AH1813" s="36"/>
      <c r="AI1813" s="124"/>
      <c r="AJ1813" s="122" t="s">
        <v>2536</v>
      </c>
      <c r="AK1813" s="129" t="str">
        <f t="shared" ca="1" si="203"/>
        <v>On Time</v>
      </c>
      <c r="AL1813" s="268" t="str">
        <f t="shared" si="208"/>
        <v>November</v>
      </c>
      <c r="AM1813" s="133">
        <f>YEAR(Table1[[#This Row],[ETA
As requested
dd.mm.yyyy]])</f>
        <v>2024</v>
      </c>
    </row>
    <row r="1814" spans="1:39" hidden="1">
      <c r="A1814" s="123" t="s">
        <v>27</v>
      </c>
      <c r="B1814" s="36" t="s">
        <v>1170</v>
      </c>
      <c r="C1814" s="117">
        <v>5500511045</v>
      </c>
      <c r="D1814" s="165">
        <v>45440</v>
      </c>
      <c r="E1814" s="117" t="s">
        <v>56</v>
      </c>
      <c r="F1814" s="36" t="str">
        <f>IFERROR(VLOOKUP(Table1[[#This Row],[Part Number]],DATABASE_FG!$C$6:D11803,2,FALSE)," ")</f>
        <v>PLATE              4WRPN 6/ ADAPTER</v>
      </c>
      <c r="G1814" s="117" t="str">
        <f>IFERROR(_xlfn.XLOOKUP(Table1[[#This Row],[Part Number]],Table3[Part number],Table3[Drawing
 Revision]),"")</f>
        <v>AD</v>
      </c>
      <c r="H1814" s="118" cm="1">
        <f t="array" ref="H1814">IFERROR(INDEX(PDB!$C:$AT,MATCH(E1814,PDB!$B:$B,0),MATCH(YEAR(K1814),0+PDB!$C$1:$AT$1,0)),"")</f>
        <v>4.32</v>
      </c>
      <c r="I1814" s="36">
        <f>84-74</f>
        <v>10</v>
      </c>
      <c r="J1814" s="125">
        <f>IFERROR(Table1[[#This Row],[Quantity]]*Table1[[#This Row],[Price/Unit
EUR]]," ")</f>
        <v>43.2</v>
      </c>
      <c r="K1814" s="126">
        <v>45603</v>
      </c>
      <c r="L1814" s="36">
        <f>WEEKNUM(Table1[[#This Row],[ETA
As requested
dd.mm.yyyy]])</f>
        <v>45</v>
      </c>
      <c r="M1814" s="36">
        <f>YEAR(Table1[[#This Row],[ETA
As requested
dd.mm.yyyy]])</f>
        <v>2024</v>
      </c>
      <c r="N1814" s="36">
        <f>IFERROR(INDEX(DATABASE_FG!$H$5:$H$367, MATCH(E1814, DATABASE_FG!$C$5:$C$367, 0)), " ")</f>
        <v>0</v>
      </c>
      <c r="O1814" s="129" t="str">
        <f>IF(E1814&lt;&gt;"", _xlfn.XLOOKUP(E1814, DATABASE_FG!C:C, DATABASE_FG!F:F), " ")</f>
        <v>PLATE</v>
      </c>
      <c r="P1814" s="129">
        <f>IFERROR(INDEX(DATABASE_FG!$G$5:$G$367, MATCH(E1814, DATABASE_FG!$C$5:$C$367, 0)), "Not Found")</f>
        <v>500</v>
      </c>
      <c r="Q1814" s="36">
        <v>61</v>
      </c>
      <c r="R1814" s="125" t="s">
        <v>678</v>
      </c>
      <c r="S1814" s="123">
        <f>IFERROR(INDEX(DATABASE_FG!$L$5:$L$367, MATCH(E1814, DATABASE_FG!$C$5:$C$367, 0)), " ")</f>
        <v>42</v>
      </c>
      <c r="T1814" s="36" t="s">
        <v>679</v>
      </c>
      <c r="U1814" s="36"/>
      <c r="V1814" s="36"/>
      <c r="W1814" s="129"/>
      <c r="X1814" s="36"/>
      <c r="Y1814" s="36"/>
      <c r="Z1814" s="36"/>
      <c r="AA1814" s="125" t="s">
        <v>121</v>
      </c>
      <c r="AB1814" s="173">
        <v>45604</v>
      </c>
      <c r="AC1814" s="119">
        <v>202401346</v>
      </c>
      <c r="AD1814" s="36">
        <f t="shared" si="209"/>
        <v>5500511045</v>
      </c>
      <c r="AE1814" s="36" t="str">
        <f t="shared" si="210"/>
        <v>R901321450</v>
      </c>
      <c r="AF1814" s="36">
        <v>10</v>
      </c>
      <c r="AG1814" s="120">
        <f t="shared" si="204"/>
        <v>43.2</v>
      </c>
      <c r="AH1814" s="36"/>
      <c r="AI1814" s="124"/>
      <c r="AJ1814" s="122" t="s">
        <v>2536</v>
      </c>
      <c r="AK1814" s="129" t="str">
        <f t="shared" ca="1" si="203"/>
        <v>On Time</v>
      </c>
      <c r="AL1814" s="268" t="str">
        <f t="shared" si="208"/>
        <v>November</v>
      </c>
      <c r="AM1814" s="133">
        <f>YEAR(Table1[[#This Row],[ETA
As requested
dd.mm.yyyy]])</f>
        <v>2024</v>
      </c>
    </row>
    <row r="1815" spans="1:39" hidden="1">
      <c r="A1815" s="123" t="s">
        <v>27</v>
      </c>
      <c r="B1815" s="36" t="s">
        <v>1170</v>
      </c>
      <c r="C1815" s="117">
        <v>5500511045</v>
      </c>
      <c r="D1815" s="165">
        <v>45440</v>
      </c>
      <c r="E1815" s="117" t="s">
        <v>56</v>
      </c>
      <c r="F1815" s="36" t="str">
        <f>IFERROR(VLOOKUP(Table1[[#This Row],[Part Number]],DATABASE_FG!$C$6:D11804,2,FALSE)," ")</f>
        <v>PLATE              4WRPN 6/ ADAPTER</v>
      </c>
      <c r="G1815" s="117" t="str">
        <f>IFERROR(_xlfn.XLOOKUP(Table1[[#This Row],[Part Number]],Table3[Part number],Table3[Drawing
 Revision]),"")</f>
        <v>AD</v>
      </c>
      <c r="H1815" s="118" cm="1">
        <f t="array" ref="H1815">IFERROR(INDEX(PDB!$C:$AT,MATCH(E1815,PDB!$B:$B,0),MATCH(YEAR(K1815),0+PDB!$C$1:$AT$1,0)),"")</f>
        <v>4.32</v>
      </c>
      <c r="I1815" s="36">
        <v>84</v>
      </c>
      <c r="J1815" s="125">
        <f>IFERROR(Table1[[#This Row],[Quantity]]*Table1[[#This Row],[Price/Unit
EUR]]," ")</f>
        <v>362.88</v>
      </c>
      <c r="K1815" s="126">
        <v>45603</v>
      </c>
      <c r="L1815" s="36">
        <f>WEEKNUM(Table1[[#This Row],[ETA
As requested
dd.mm.yyyy]])</f>
        <v>45</v>
      </c>
      <c r="M1815" s="36">
        <f>YEAR(Table1[[#This Row],[ETA
As requested
dd.mm.yyyy]])</f>
        <v>2024</v>
      </c>
      <c r="N1815" s="36">
        <f>IFERROR(INDEX(DATABASE_FG!$H$5:$H$367, MATCH(E1815, DATABASE_FG!$C$5:$C$367, 0)), " ")</f>
        <v>0</v>
      </c>
      <c r="O1815" s="129" t="str">
        <f>IF(E1815&lt;&gt;"", _xlfn.XLOOKUP(E1815, DATABASE_FG!C:C, DATABASE_FG!F:F), " ")</f>
        <v>PLATE</v>
      </c>
      <c r="P1815" s="129">
        <f>IFERROR(INDEX(DATABASE_FG!$G$5:$G$367, MATCH(E1815, DATABASE_FG!$C$5:$C$367, 0)), "Not Found")</f>
        <v>500</v>
      </c>
      <c r="Q1815" s="36">
        <v>60</v>
      </c>
      <c r="R1815" s="125" t="s">
        <v>678</v>
      </c>
      <c r="S1815" s="123">
        <f>IFERROR(INDEX(DATABASE_FG!$L$5:$L$367, MATCH(E1815, DATABASE_FG!$C$5:$C$367, 0)), " ")</f>
        <v>42</v>
      </c>
      <c r="T1815" s="36" t="s">
        <v>679</v>
      </c>
      <c r="U1815" s="36"/>
      <c r="V1815" s="36"/>
      <c r="W1815" s="129"/>
      <c r="X1815" s="36"/>
      <c r="Y1815" s="36"/>
      <c r="Z1815" s="36"/>
      <c r="AA1815" s="125" t="s">
        <v>121</v>
      </c>
      <c r="AB1815" s="172">
        <v>45632</v>
      </c>
      <c r="AC1815" s="119">
        <v>202401480</v>
      </c>
      <c r="AD1815" s="36">
        <f t="shared" si="209"/>
        <v>5500511045</v>
      </c>
      <c r="AE1815" s="36" t="str">
        <f t="shared" si="210"/>
        <v>R901321450</v>
      </c>
      <c r="AF1815" s="36">
        <v>84</v>
      </c>
      <c r="AG1815" s="120">
        <f t="shared" si="204"/>
        <v>362.88</v>
      </c>
      <c r="AH1815" s="36"/>
      <c r="AI1815" s="124"/>
      <c r="AJ1815" s="122" t="s">
        <v>2569</v>
      </c>
      <c r="AK1815" s="129" t="str">
        <f t="shared" ca="1" si="203"/>
        <v>Late</v>
      </c>
      <c r="AL1815" s="268" t="str">
        <f t="shared" si="208"/>
        <v>November</v>
      </c>
      <c r="AM1815" s="133">
        <f>YEAR(Table1[[#This Row],[ETA
As requested
dd.mm.yyyy]])</f>
        <v>2024</v>
      </c>
    </row>
    <row r="1816" spans="1:39" hidden="1">
      <c r="A1816" s="123" t="s">
        <v>27</v>
      </c>
      <c r="B1816" s="36" t="s">
        <v>1170</v>
      </c>
      <c r="C1816" s="117">
        <v>5500511045</v>
      </c>
      <c r="D1816" s="165">
        <v>45440</v>
      </c>
      <c r="E1816" s="117" t="s">
        <v>56</v>
      </c>
      <c r="F1816" s="36" t="str">
        <f>IFERROR(VLOOKUP(Table1[[#This Row],[Part Number]],DATABASE_FG!$C$6:D11805,2,FALSE)," ")</f>
        <v>PLATE              4WRPN 6/ ADAPTER</v>
      </c>
      <c r="G1816" s="117" t="str">
        <f>IFERROR(_xlfn.XLOOKUP(Table1[[#This Row],[Part Number]],Table3[Part number],Table3[Drawing
 Revision]),"")</f>
        <v>AD</v>
      </c>
      <c r="H1816" s="118" cm="1">
        <f t="array" ref="H1816">IFERROR(INDEX(PDB!$C:$AT,MATCH(E1816,PDB!$B:$B,0),MATCH(YEAR(K1816),0+PDB!$C$1:$AT$1,0)),"")</f>
        <v>4.32</v>
      </c>
      <c r="I1816" s="36">
        <v>114</v>
      </c>
      <c r="J1816" s="125">
        <f>IFERROR(Table1[[#This Row],[Quantity]]*Table1[[#This Row],[Price/Unit
EUR]]," ")</f>
        <v>492.48</v>
      </c>
      <c r="K1816" s="126">
        <v>45603</v>
      </c>
      <c r="L1816" s="36">
        <f>WEEKNUM(Table1[[#This Row],[ETA
As requested
dd.mm.yyyy]])</f>
        <v>45</v>
      </c>
      <c r="M1816" s="36">
        <f>YEAR(Table1[[#This Row],[ETA
As requested
dd.mm.yyyy]])</f>
        <v>2024</v>
      </c>
      <c r="N1816" s="36">
        <f>IFERROR(INDEX(DATABASE_FG!$H$5:$H$367, MATCH(E1816, DATABASE_FG!$C$5:$C$367, 0)), " ")</f>
        <v>0</v>
      </c>
      <c r="O1816" s="129" t="str">
        <f>IF(E1816&lt;&gt;"", _xlfn.XLOOKUP(E1816, DATABASE_FG!C:C, DATABASE_FG!F:F), " ")</f>
        <v>PLATE</v>
      </c>
      <c r="P1816" s="129">
        <f>IFERROR(INDEX(DATABASE_FG!$G$5:$G$367, MATCH(E1816, DATABASE_FG!$C$5:$C$367, 0)), "Not Found")</f>
        <v>500</v>
      </c>
      <c r="Q1816" s="36">
        <v>61</v>
      </c>
      <c r="R1816" s="125" t="s">
        <v>678</v>
      </c>
      <c r="S1816" s="123">
        <f>IFERROR(INDEX(DATABASE_FG!$L$5:$L$367, MATCH(E1816, DATABASE_FG!$C$5:$C$367, 0)), " ")</f>
        <v>42</v>
      </c>
      <c r="T1816" s="36" t="s">
        <v>679</v>
      </c>
      <c r="U1816" s="36"/>
      <c r="V1816" s="36"/>
      <c r="W1816" s="129"/>
      <c r="X1816" s="36"/>
      <c r="Y1816" s="36"/>
      <c r="Z1816" s="36"/>
      <c r="AA1816" s="125" t="s">
        <v>121</v>
      </c>
      <c r="AB1816" s="172">
        <v>45638</v>
      </c>
      <c r="AC1816" s="119">
        <v>202401528</v>
      </c>
      <c r="AD1816" s="36">
        <f t="shared" si="209"/>
        <v>5500511045</v>
      </c>
      <c r="AE1816" s="36" t="str">
        <f t="shared" si="210"/>
        <v>R901321450</v>
      </c>
      <c r="AF1816" s="36">
        <v>114</v>
      </c>
      <c r="AG1816" s="120">
        <f t="shared" si="204"/>
        <v>492.48</v>
      </c>
      <c r="AH1816" s="36"/>
      <c r="AI1816" s="124"/>
      <c r="AJ1816" s="122" t="s">
        <v>2570</v>
      </c>
      <c r="AK1816" s="129" t="str">
        <f t="shared" ca="1" si="203"/>
        <v>Late</v>
      </c>
      <c r="AL1816" s="268" t="str">
        <f t="shared" si="208"/>
        <v>November</v>
      </c>
      <c r="AM1816" s="133">
        <f>YEAR(Table1[[#This Row],[ETA
As requested
dd.mm.yyyy]])</f>
        <v>2024</v>
      </c>
    </row>
    <row r="1817" spans="1:39" hidden="1">
      <c r="A1817" s="123" t="s">
        <v>27</v>
      </c>
      <c r="B1817" s="36" t="s">
        <v>1170</v>
      </c>
      <c r="C1817" s="117">
        <v>5500511045</v>
      </c>
      <c r="D1817" s="165">
        <v>45440</v>
      </c>
      <c r="E1817" s="117" t="s">
        <v>56</v>
      </c>
      <c r="F1817" s="36" t="str">
        <f>IFERROR(VLOOKUP(Table1[[#This Row],[Part Number]],DATABASE_FG!$C$6:D11806,2,FALSE)," ")</f>
        <v>PLATE              4WRPN 6/ ADAPTER</v>
      </c>
      <c r="G1817" s="117" t="str">
        <f>IFERROR(_xlfn.XLOOKUP(Table1[[#This Row],[Part Number]],Table3[Part number],Table3[Drawing
 Revision]),"")</f>
        <v>AD</v>
      </c>
      <c r="H1817" s="118" cm="1">
        <f t="array" ref="H1817">IFERROR(INDEX(PDB!$C:$AT,MATCH(E1817,PDB!$B:$B,0),MATCH(YEAR(K1817),0+PDB!$C$1:$AT$1,0)),"")</f>
        <v>4.32</v>
      </c>
      <c r="I1817" s="36">
        <f>237-84-114</f>
        <v>39</v>
      </c>
      <c r="J1817" s="125">
        <f>IFERROR(Table1[[#This Row],[Quantity]]*Table1[[#This Row],[Price/Unit
EUR]]," ")</f>
        <v>168.48000000000002</v>
      </c>
      <c r="K1817" s="126">
        <v>45603</v>
      </c>
      <c r="L1817" s="36">
        <f>WEEKNUM(Table1[[#This Row],[ETA
As requested
dd.mm.yyyy]])</f>
        <v>45</v>
      </c>
      <c r="M1817" s="36">
        <f>YEAR(Table1[[#This Row],[ETA
As requested
dd.mm.yyyy]])</f>
        <v>2024</v>
      </c>
      <c r="N1817" s="36">
        <f>IFERROR(INDEX(DATABASE_FG!$H$5:$H$367, MATCH(E1817, DATABASE_FG!$C$5:$C$367, 0)), " ")</f>
        <v>0</v>
      </c>
      <c r="O1817" s="129" t="str">
        <f>IF(E1817&lt;&gt;"", _xlfn.XLOOKUP(E1817, DATABASE_FG!C:C, DATABASE_FG!F:F), " ")</f>
        <v>PLATE</v>
      </c>
      <c r="P1817" s="129">
        <f>IFERROR(INDEX(DATABASE_FG!$G$5:$G$367, MATCH(E1817, DATABASE_FG!$C$5:$C$367, 0)), "Not Found")</f>
        <v>500</v>
      </c>
      <c r="Q1817" s="36">
        <v>60</v>
      </c>
      <c r="R1817" s="125" t="s">
        <v>678</v>
      </c>
      <c r="S1817" s="123">
        <f>IFERROR(INDEX(DATABASE_FG!$L$5:$L$367, MATCH(E1817, DATABASE_FG!$C$5:$C$367, 0)), " ")</f>
        <v>42</v>
      </c>
      <c r="T1817" s="36" t="s">
        <v>679</v>
      </c>
      <c r="U1817" s="36"/>
      <c r="V1817" s="36"/>
      <c r="W1817" s="129"/>
      <c r="X1817" s="36"/>
      <c r="Y1817" s="36"/>
      <c r="Z1817" s="36"/>
      <c r="AA1817" s="125" t="s">
        <v>121</v>
      </c>
      <c r="AB1817" s="172">
        <v>45646</v>
      </c>
      <c r="AC1817" s="119">
        <v>202401589</v>
      </c>
      <c r="AD1817" s="36">
        <f t="shared" si="209"/>
        <v>5500511045</v>
      </c>
      <c r="AE1817" s="36" t="str">
        <f t="shared" si="210"/>
        <v>R901321450</v>
      </c>
      <c r="AF1817" s="36">
        <v>39</v>
      </c>
      <c r="AG1817" s="120">
        <f t="shared" si="204"/>
        <v>168.48000000000002</v>
      </c>
      <c r="AH1817" s="36"/>
      <c r="AI1817" s="124"/>
      <c r="AJ1817" s="122" t="s">
        <v>2571</v>
      </c>
      <c r="AK1817" s="129" t="str">
        <f t="shared" ca="1" si="203"/>
        <v>Late</v>
      </c>
      <c r="AL1817" s="268" t="str">
        <f t="shared" si="208"/>
        <v>November</v>
      </c>
      <c r="AM1817" s="133">
        <f>YEAR(Table1[[#This Row],[ETA
As requested
dd.mm.yyyy]])</f>
        <v>2024</v>
      </c>
    </row>
    <row r="1818" spans="1:39" hidden="1">
      <c r="A1818" s="123" t="s">
        <v>27</v>
      </c>
      <c r="B1818" s="36" t="s">
        <v>1170</v>
      </c>
      <c r="C1818" s="117">
        <v>5500511045</v>
      </c>
      <c r="D1818" s="165">
        <v>45440</v>
      </c>
      <c r="E1818" s="117" t="s">
        <v>56</v>
      </c>
      <c r="F1818" s="36" t="str">
        <f>IFERROR(VLOOKUP(Table1[[#This Row],[Part Number]],DATABASE_FG!$C$6:D11807,2,FALSE)," ")</f>
        <v>PLATE              4WRPN 6/ ADAPTER</v>
      </c>
      <c r="G1818" s="117" t="str">
        <f>IFERROR(_xlfn.XLOOKUP(Table1[[#This Row],[Part Number]],Table3[Part number],Table3[Drawing
 Revision]),"")</f>
        <v>AD</v>
      </c>
      <c r="H1818" s="118" cm="1">
        <f t="array" ref="H1818">IFERROR(INDEX(PDB!$C:$AT,MATCH(E1818,PDB!$B:$B,0),MATCH(YEAR(K1818),0+PDB!$C$1:$AT$1,0)),"")</f>
        <v>4.32</v>
      </c>
      <c r="I1818" s="36">
        <v>176</v>
      </c>
      <c r="J1818" s="125">
        <f>IFERROR(Table1[[#This Row],[Quantity]]*Table1[[#This Row],[Price/Unit
EUR]]," ")</f>
        <v>760.32</v>
      </c>
      <c r="K1818" s="126">
        <v>45630</v>
      </c>
      <c r="L1818" s="36">
        <f>WEEKNUM(Table1[[#This Row],[ETA
As requested
dd.mm.yyyy]])</f>
        <v>49</v>
      </c>
      <c r="M1818" s="36">
        <f>YEAR(Table1[[#This Row],[ETA
As requested
dd.mm.yyyy]])</f>
        <v>2024</v>
      </c>
      <c r="N1818" s="36">
        <f>IFERROR(INDEX(DATABASE_FG!$H$5:$H$367, MATCH(E1818, DATABASE_FG!$C$5:$C$367, 0)), " ")</f>
        <v>0</v>
      </c>
      <c r="O1818" s="129" t="str">
        <f>IF(E1818&lt;&gt;"", _xlfn.XLOOKUP(E1818, DATABASE_FG!C:C, DATABASE_FG!F:F), " ")</f>
        <v>PLATE</v>
      </c>
      <c r="P1818" s="129">
        <f>IFERROR(INDEX(DATABASE_FG!$G$5:$G$367, MATCH(E1818, DATABASE_FG!$C$5:$C$367, 0)), "Not Found")</f>
        <v>500</v>
      </c>
      <c r="Q1818" s="36">
        <v>60</v>
      </c>
      <c r="R1818" s="125" t="s">
        <v>678</v>
      </c>
      <c r="S1818" s="123">
        <f>IFERROR(INDEX(DATABASE_FG!$L$5:$L$367, MATCH(E1818, DATABASE_FG!$C$5:$C$367, 0)), " ")</f>
        <v>42</v>
      </c>
      <c r="T1818" s="36" t="s">
        <v>679</v>
      </c>
      <c r="U1818" s="36"/>
      <c r="V1818" s="36"/>
      <c r="W1818" s="129"/>
      <c r="X1818" s="36"/>
      <c r="Y1818" s="36"/>
      <c r="Z1818" s="36"/>
      <c r="AA1818" s="125" t="s">
        <v>121</v>
      </c>
      <c r="AB1818" s="172">
        <v>45646</v>
      </c>
      <c r="AC1818" s="119">
        <v>202401589</v>
      </c>
      <c r="AD1818" s="36">
        <f t="shared" si="209"/>
        <v>5500511045</v>
      </c>
      <c r="AE1818" s="36" t="str">
        <f t="shared" si="210"/>
        <v>R901321450</v>
      </c>
      <c r="AF1818" s="36">
        <v>176</v>
      </c>
      <c r="AG1818" s="120">
        <f t="shared" si="204"/>
        <v>760.32</v>
      </c>
      <c r="AH1818" s="36"/>
      <c r="AI1818" s="124"/>
      <c r="AJ1818" s="122" t="s">
        <v>2571</v>
      </c>
      <c r="AK1818" s="129" t="str">
        <f t="shared" ca="1" si="203"/>
        <v>Late</v>
      </c>
      <c r="AL1818" s="268" t="str">
        <f t="shared" si="208"/>
        <v>December</v>
      </c>
      <c r="AM1818" s="133">
        <f>YEAR(Table1[[#This Row],[ETA
As requested
dd.mm.yyyy]])</f>
        <v>2024</v>
      </c>
    </row>
    <row r="1819" spans="1:39" hidden="1">
      <c r="A1819" s="123" t="s">
        <v>27</v>
      </c>
      <c r="B1819" s="36" t="s">
        <v>1170</v>
      </c>
      <c r="C1819" s="117">
        <v>5500511045</v>
      </c>
      <c r="D1819" s="165">
        <v>45440</v>
      </c>
      <c r="E1819" s="117" t="s">
        <v>56</v>
      </c>
      <c r="F1819" s="36" t="str">
        <f>IFERROR(VLOOKUP(Table1[[#This Row],[Part Number]],DATABASE_FG!$C$6:D11808,2,FALSE)," ")</f>
        <v>PLATE              4WRPN 6/ ADAPTER</v>
      </c>
      <c r="G1819" s="117" t="str">
        <f>IFERROR(_xlfn.XLOOKUP(Table1[[#This Row],[Part Number]],Table3[Part number],Table3[Drawing
 Revision]),"")</f>
        <v>AD</v>
      </c>
      <c r="H1819" s="118" cm="1">
        <f t="array" ref="H1819">IFERROR(INDEX(PDB!$C:$AT,MATCH(E1819,PDB!$B:$B,0),MATCH(YEAR(K1819),0+PDB!$C$1:$AT$1,0)),"")</f>
        <v>4.4000000000000004</v>
      </c>
      <c r="I1819" s="36">
        <v>232</v>
      </c>
      <c r="J1819" s="125">
        <f>IFERROR(Table1[[#This Row],[Quantity]]*Table1[[#This Row],[Price/Unit
EUR]]," ")</f>
        <v>1020.8000000000001</v>
      </c>
      <c r="K1819" s="126">
        <v>45709</v>
      </c>
      <c r="L1819" s="36">
        <f>WEEKNUM(Table1[[#This Row],[ETA
As requested
dd.mm.yyyy]])</f>
        <v>8</v>
      </c>
      <c r="M1819" s="36">
        <f>YEAR(Table1[[#This Row],[ETA
As requested
dd.mm.yyyy]])</f>
        <v>2025</v>
      </c>
      <c r="N1819" s="36">
        <f>IFERROR(INDEX(DATABASE_FG!$H$5:$H$367, MATCH(E1819, DATABASE_FG!$C$5:$C$367, 0)), " ")</f>
        <v>0</v>
      </c>
      <c r="O1819" s="129" t="str">
        <f>IF(E1819&lt;&gt;"", _xlfn.XLOOKUP(E1819, DATABASE_FG!C:C, DATABASE_FG!F:F), " ")</f>
        <v>PLATE</v>
      </c>
      <c r="P1819" s="129">
        <f>IFERROR(INDEX(DATABASE_FG!$G$5:$G$367, MATCH(E1819, DATABASE_FG!$C$5:$C$367, 0)), "Not Found")</f>
        <v>500</v>
      </c>
      <c r="Q1819" s="36">
        <v>60</v>
      </c>
      <c r="R1819" s="125" t="s">
        <v>678</v>
      </c>
      <c r="S1819" s="123">
        <f>IFERROR(INDEX(DATABASE_FG!$L$5:$L$367, MATCH(E1819, DATABASE_FG!$C$5:$C$367, 0)), " ")</f>
        <v>42</v>
      </c>
      <c r="T1819" s="36" t="s">
        <v>679</v>
      </c>
      <c r="U1819" s="36"/>
      <c r="V1819" s="36"/>
      <c r="W1819" s="129"/>
      <c r="X1819" s="36"/>
      <c r="Y1819" s="36" t="s">
        <v>677</v>
      </c>
      <c r="Z1819" s="36"/>
      <c r="AA1819" s="125" t="s">
        <v>121</v>
      </c>
      <c r="AB1819" s="172">
        <v>45715</v>
      </c>
      <c r="AC1819" s="119">
        <v>25272</v>
      </c>
      <c r="AD1819" s="36">
        <f t="shared" si="209"/>
        <v>5500511045</v>
      </c>
      <c r="AE1819" s="36" t="str">
        <f t="shared" si="210"/>
        <v>R901321450</v>
      </c>
      <c r="AF1819" s="36">
        <v>232</v>
      </c>
      <c r="AG1819" s="120">
        <f t="shared" si="204"/>
        <v>1020.8000000000001</v>
      </c>
      <c r="AH1819" s="36"/>
      <c r="AI1819" s="124"/>
      <c r="AJ1819" s="122" t="s">
        <v>2858</v>
      </c>
      <c r="AK1819" s="129" t="str">
        <f t="shared" ca="1" si="203"/>
        <v>Late</v>
      </c>
      <c r="AL1819" s="268" t="str">
        <f t="shared" si="208"/>
        <v>February</v>
      </c>
      <c r="AM1819" s="133">
        <f>YEAR(Table1[[#This Row],[ETA
As requested
dd.mm.yyyy]])</f>
        <v>2025</v>
      </c>
    </row>
    <row r="1820" spans="1:39" hidden="1">
      <c r="A1820" s="123" t="s">
        <v>27</v>
      </c>
      <c r="B1820" s="36" t="s">
        <v>1170</v>
      </c>
      <c r="C1820" s="117">
        <v>5500511045</v>
      </c>
      <c r="D1820" s="165">
        <v>45440</v>
      </c>
      <c r="E1820" s="117" t="s">
        <v>56</v>
      </c>
      <c r="F1820" s="36" t="str">
        <f>IFERROR(VLOOKUP(Table1[[#This Row],[Part Number]],DATABASE_FG!$C$6:D11809,2,FALSE)," ")</f>
        <v>PLATE              4WRPN 6/ ADAPTER</v>
      </c>
      <c r="G1820" s="117" t="str">
        <f>IFERROR(_xlfn.XLOOKUP(Table1[[#This Row],[Part Number]],Table3[Part number],Table3[Drawing
 Revision]),"")</f>
        <v>AD</v>
      </c>
      <c r="H1820" s="118" cm="1">
        <f t="array" ref="H1820">IFERROR(INDEX(PDB!$C:$AT,MATCH(E1820,PDB!$B:$B,0),MATCH(YEAR(K1820),0+PDB!$C$1:$AT$1,0)),"")</f>
        <v>4.4000000000000004</v>
      </c>
      <c r="I1820" s="36">
        <v>18</v>
      </c>
      <c r="J1820" s="125">
        <f>IFERROR(Table1[[#This Row],[Quantity]]*Table1[[#This Row],[Price/Unit
EUR]]," ")</f>
        <v>79.2</v>
      </c>
      <c r="K1820" s="126">
        <v>45730</v>
      </c>
      <c r="L1820" s="36">
        <f>WEEKNUM(Table1[[#This Row],[ETA
As requested
dd.mm.yyyy]])</f>
        <v>11</v>
      </c>
      <c r="M1820" s="36">
        <f>YEAR(Table1[[#This Row],[ETA
As requested
dd.mm.yyyy]])</f>
        <v>2025</v>
      </c>
      <c r="N1820" s="36">
        <f>IFERROR(INDEX(DATABASE_FG!$H$5:$H$367, MATCH(E1820, DATABASE_FG!$C$5:$C$367, 0)), " ")</f>
        <v>0</v>
      </c>
      <c r="O1820" s="129" t="str">
        <f>IF(E1820&lt;&gt;"", _xlfn.XLOOKUP(E1820, DATABASE_FG!C:C, DATABASE_FG!F:F), " ")</f>
        <v>PLATE</v>
      </c>
      <c r="P1820" s="129">
        <f>IFERROR(INDEX(DATABASE_FG!$G$5:$G$367, MATCH(E1820, DATABASE_FG!$C$5:$C$367, 0)), "Not Found")</f>
        <v>500</v>
      </c>
      <c r="Q1820" s="36">
        <v>60</v>
      </c>
      <c r="R1820" s="125" t="s">
        <v>678</v>
      </c>
      <c r="S1820" s="123">
        <f>IFERROR(INDEX(DATABASE_FG!$L$5:$L$367, MATCH(E1820, DATABASE_FG!$C$5:$C$367, 0)), " ")</f>
        <v>42</v>
      </c>
      <c r="T1820" s="36" t="s">
        <v>679</v>
      </c>
      <c r="U1820" s="36"/>
      <c r="V1820" s="36"/>
      <c r="W1820" s="129"/>
      <c r="X1820" s="36"/>
      <c r="Y1820" s="36" t="s">
        <v>2956</v>
      </c>
      <c r="Z1820" s="36"/>
      <c r="AA1820" s="125" t="s">
        <v>121</v>
      </c>
      <c r="AB1820" s="172">
        <v>45758</v>
      </c>
      <c r="AC1820" s="119">
        <v>25595</v>
      </c>
      <c r="AD1820" s="36">
        <f t="shared" si="209"/>
        <v>5500511045</v>
      </c>
      <c r="AE1820" s="36" t="str">
        <f t="shared" si="210"/>
        <v>R901321450</v>
      </c>
      <c r="AF1820" s="36">
        <v>18</v>
      </c>
      <c r="AG1820" s="120">
        <f t="shared" si="204"/>
        <v>79.2</v>
      </c>
      <c r="AH1820" s="36"/>
      <c r="AI1820" s="124"/>
      <c r="AJ1820" s="122" t="s">
        <v>2957</v>
      </c>
      <c r="AK1820" s="129" t="str">
        <f t="shared" ca="1" si="203"/>
        <v>Late</v>
      </c>
      <c r="AL1820" s="268" t="str">
        <f t="shared" si="208"/>
        <v>March</v>
      </c>
      <c r="AM1820" s="133">
        <f>YEAR(Table1[[#This Row],[ETA
As requested
dd.mm.yyyy]])</f>
        <v>2025</v>
      </c>
    </row>
    <row r="1821" spans="1:39" hidden="1">
      <c r="A1821" s="123" t="s">
        <v>27</v>
      </c>
      <c r="B1821" s="36" t="s">
        <v>1170</v>
      </c>
      <c r="C1821" s="117">
        <v>5500511045</v>
      </c>
      <c r="D1821" s="165">
        <v>45440</v>
      </c>
      <c r="E1821" s="117" t="s">
        <v>56</v>
      </c>
      <c r="F1821" s="36" t="str">
        <f>IFERROR(VLOOKUP(Table1[[#This Row],[Part Number]],DATABASE_FG!$C$6:D11810,2,FALSE)," ")</f>
        <v>PLATE              4WRPN 6/ ADAPTER</v>
      </c>
      <c r="G1821" s="117" t="str">
        <f>IFERROR(_xlfn.XLOOKUP(Table1[[#This Row],[Part Number]],Table3[Part number],Table3[Drawing
 Revision]),"")</f>
        <v>AD</v>
      </c>
      <c r="H1821" s="118" cm="1">
        <f t="array" ref="H1821">IFERROR(INDEX(PDB!$C:$AT,MATCH(E1821,PDB!$B:$B,0),MATCH(YEAR(K1821),0+PDB!$C$1:$AT$1,0)),"")</f>
        <v>4.4000000000000004</v>
      </c>
      <c r="I1821" s="36">
        <v>38</v>
      </c>
      <c r="J1821" s="125">
        <f>IFERROR(Table1[[#This Row],[Quantity]]*Table1[[#This Row],[Price/Unit
EUR]]," ")</f>
        <v>167.20000000000002</v>
      </c>
      <c r="K1821" s="126">
        <v>45737</v>
      </c>
      <c r="L1821" s="36">
        <f>WEEKNUM(Table1[[#This Row],[ETA
As requested
dd.mm.yyyy]])</f>
        <v>12</v>
      </c>
      <c r="M1821" s="36">
        <f>YEAR(Table1[[#This Row],[ETA
As requested
dd.mm.yyyy]])</f>
        <v>2025</v>
      </c>
      <c r="N1821" s="36">
        <f>IFERROR(INDEX(DATABASE_FG!$H$5:$H$367, MATCH(E1821, DATABASE_FG!$C$5:$C$367, 0)), " ")</f>
        <v>0</v>
      </c>
      <c r="O1821" s="129" t="str">
        <f>IF(E1821&lt;&gt;"", _xlfn.XLOOKUP(E1821, DATABASE_FG!C:C, DATABASE_FG!F:F), " ")</f>
        <v>PLATE</v>
      </c>
      <c r="P1821" s="129">
        <f>IFERROR(INDEX(DATABASE_FG!$G$5:$G$367, MATCH(E1821, DATABASE_FG!$C$5:$C$367, 0)), "Not Found")</f>
        <v>500</v>
      </c>
      <c r="Q1821" s="36">
        <v>60</v>
      </c>
      <c r="R1821" s="125" t="s">
        <v>678</v>
      </c>
      <c r="S1821" s="123">
        <f>IFERROR(INDEX(DATABASE_FG!$L$5:$L$367, MATCH(E1821, DATABASE_FG!$C$5:$C$367, 0)), " ")</f>
        <v>42</v>
      </c>
      <c r="T1821" s="36" t="s">
        <v>679</v>
      </c>
      <c r="U1821" s="36"/>
      <c r="V1821" s="36"/>
      <c r="W1821" s="129"/>
      <c r="X1821" s="36"/>
      <c r="Y1821" s="36"/>
      <c r="Z1821" s="36"/>
      <c r="AA1821" s="125" t="s">
        <v>121</v>
      </c>
      <c r="AB1821" s="172">
        <v>45758</v>
      </c>
      <c r="AC1821" s="119">
        <v>25595</v>
      </c>
      <c r="AD1821" s="36">
        <f t="shared" si="209"/>
        <v>5500511045</v>
      </c>
      <c r="AE1821" s="36" t="str">
        <f t="shared" si="210"/>
        <v>R901321450</v>
      </c>
      <c r="AF1821" s="36">
        <v>38</v>
      </c>
      <c r="AG1821" s="120">
        <f t="shared" si="204"/>
        <v>167.20000000000002</v>
      </c>
      <c r="AH1821" s="36"/>
      <c r="AI1821" s="124"/>
      <c r="AJ1821" s="122" t="s">
        <v>2957</v>
      </c>
      <c r="AK1821" s="129" t="str">
        <f t="shared" ca="1" si="203"/>
        <v>Late</v>
      </c>
      <c r="AL1821" s="268" t="str">
        <f t="shared" si="208"/>
        <v>March</v>
      </c>
      <c r="AM1821" s="133">
        <f>YEAR(Table1[[#This Row],[ETA
As requested
dd.mm.yyyy]])</f>
        <v>2025</v>
      </c>
    </row>
    <row r="1822" spans="1:39" hidden="1">
      <c r="A1822" s="123" t="s">
        <v>27</v>
      </c>
      <c r="B1822" s="36" t="s">
        <v>1170</v>
      </c>
      <c r="C1822" s="117">
        <v>5500511045</v>
      </c>
      <c r="D1822" s="165">
        <v>45440</v>
      </c>
      <c r="E1822" s="117" t="s">
        <v>56</v>
      </c>
      <c r="F1822" s="36" t="str">
        <f>IFERROR(VLOOKUP(Table1[[#This Row],[Part Number]],DATABASE_FG!$C$6:D11811,2,FALSE)," ")</f>
        <v>PLATE              4WRPN 6/ ADAPTER</v>
      </c>
      <c r="G1822" s="117" t="str">
        <f>IFERROR(_xlfn.XLOOKUP(Table1[[#This Row],[Part Number]],Table3[Part number],Table3[Drawing
 Revision]),"")</f>
        <v>AD</v>
      </c>
      <c r="H1822" s="118" cm="1">
        <f t="array" ref="H1822">IFERROR(INDEX(PDB!$C:$AT,MATCH(E1822,PDB!$B:$B,0),MATCH(YEAR(K1822),0+PDB!$C$1:$AT$1,0)),"")</f>
        <v>4.4000000000000004</v>
      </c>
      <c r="I1822" s="36">
        <v>51</v>
      </c>
      <c r="J1822" s="125">
        <f>IFERROR(Table1[[#This Row],[Quantity]]*Table1[[#This Row],[Price/Unit
EUR]]," ")</f>
        <v>224.4</v>
      </c>
      <c r="K1822" s="126">
        <v>45737</v>
      </c>
      <c r="L1822" s="36">
        <f>WEEKNUM(Table1[[#This Row],[ETA
As requested
dd.mm.yyyy]])</f>
        <v>12</v>
      </c>
      <c r="M1822" s="36">
        <f>YEAR(Table1[[#This Row],[ETA
As requested
dd.mm.yyyy]])</f>
        <v>2025</v>
      </c>
      <c r="N1822" s="36">
        <f>IFERROR(INDEX(DATABASE_FG!$H$5:$H$367, MATCH(E1822, DATABASE_FG!$C$5:$C$367, 0)), " ")</f>
        <v>0</v>
      </c>
      <c r="O1822" s="129" t="str">
        <f>IF(E1822&lt;&gt;"", _xlfn.XLOOKUP(E1822, DATABASE_FG!C:C, DATABASE_FG!F:F), " ")</f>
        <v>PLATE</v>
      </c>
      <c r="P1822" s="129">
        <f>IFERROR(INDEX(DATABASE_FG!$G$5:$G$367, MATCH(E1822, DATABASE_FG!$C$5:$C$367, 0)), "Not Found")</f>
        <v>500</v>
      </c>
      <c r="Q1822" s="36">
        <v>60</v>
      </c>
      <c r="R1822" s="125" t="s">
        <v>678</v>
      </c>
      <c r="S1822" s="123">
        <f>IFERROR(INDEX(DATABASE_FG!$L$5:$L$367, MATCH(E1822, DATABASE_FG!$C$5:$C$367, 0)), " ")</f>
        <v>42</v>
      </c>
      <c r="T1822" s="36" t="s">
        <v>679</v>
      </c>
      <c r="U1822" s="36"/>
      <c r="V1822" s="36"/>
      <c r="W1822" s="129"/>
      <c r="X1822" s="36"/>
      <c r="Y1822" s="36"/>
      <c r="Z1822" s="36"/>
      <c r="AA1822" s="125" t="s">
        <v>121</v>
      </c>
      <c r="AB1822" s="172">
        <v>45764</v>
      </c>
      <c r="AC1822" s="119">
        <v>25641</v>
      </c>
      <c r="AD1822" s="36">
        <f t="shared" si="209"/>
        <v>5500511045</v>
      </c>
      <c r="AE1822" s="36" t="str">
        <f t="shared" si="210"/>
        <v>R901321450</v>
      </c>
      <c r="AF1822" s="36">
        <v>51</v>
      </c>
      <c r="AG1822" s="120">
        <f t="shared" si="204"/>
        <v>224.4</v>
      </c>
      <c r="AH1822" s="36"/>
      <c r="AI1822" s="124"/>
      <c r="AJ1822" s="122" t="s">
        <v>3007</v>
      </c>
      <c r="AK1822" s="129" t="str">
        <f t="shared" ca="1" si="203"/>
        <v>Late</v>
      </c>
      <c r="AL1822" s="268" t="str">
        <f t="shared" si="208"/>
        <v>March</v>
      </c>
      <c r="AM1822" s="133">
        <f>YEAR(Table1[[#This Row],[ETA
As requested
dd.mm.yyyy]])</f>
        <v>2025</v>
      </c>
    </row>
    <row r="1823" spans="1:39" hidden="1">
      <c r="A1823" s="123" t="s">
        <v>27</v>
      </c>
      <c r="B1823" s="36" t="s">
        <v>1170</v>
      </c>
      <c r="C1823" s="117">
        <v>5500511045</v>
      </c>
      <c r="D1823" s="165">
        <v>45440</v>
      </c>
      <c r="E1823" s="117" t="s">
        <v>56</v>
      </c>
      <c r="F1823" s="36" t="str">
        <f>IFERROR(VLOOKUP(Table1[[#This Row],[Part Number]],DATABASE_FG!$C$6:D11812,2,FALSE)," ")</f>
        <v>PLATE              4WRPN 6/ ADAPTER</v>
      </c>
      <c r="G1823" s="117" t="str">
        <f>IFERROR(_xlfn.XLOOKUP(Table1[[#This Row],[Part Number]],Table3[Part number],Table3[Drawing
 Revision]),"")</f>
        <v>AD</v>
      </c>
      <c r="H1823" s="118" cm="1">
        <f t="array" ref="H1823">IFERROR(INDEX(PDB!$C:$AT,MATCH(E1823,PDB!$B:$B,0),MATCH(YEAR(K1823),0+PDB!$C$1:$AT$1,0)),"")</f>
        <v>4.4000000000000004</v>
      </c>
      <c r="I1823" s="36">
        <v>50</v>
      </c>
      <c r="J1823" s="125">
        <f>IFERROR(Table1[[#This Row],[Quantity]]*Table1[[#This Row],[Price/Unit
EUR]]," ")</f>
        <v>220.00000000000003</v>
      </c>
      <c r="K1823" s="126">
        <v>45770</v>
      </c>
      <c r="L1823" s="36">
        <f>WEEKNUM(Table1[[#This Row],[ETA
As requested
dd.mm.yyyy]])</f>
        <v>17</v>
      </c>
      <c r="M1823" s="36">
        <f>YEAR(Table1[[#This Row],[ETA
As requested
dd.mm.yyyy]])</f>
        <v>2025</v>
      </c>
      <c r="N1823" s="36">
        <f>IFERROR(INDEX(DATABASE_FG!$H$5:$H$367, MATCH(E1823, DATABASE_FG!$C$5:$C$367, 0)), " ")</f>
        <v>0</v>
      </c>
      <c r="O1823" s="129" t="str">
        <f>IF(E1823&lt;&gt;"", _xlfn.XLOOKUP(E1823, DATABASE_FG!C:C, DATABASE_FG!F:F), " ")</f>
        <v>PLATE</v>
      </c>
      <c r="P1823" s="129">
        <f>IFERROR(INDEX(DATABASE_FG!$G$5:$G$367, MATCH(E1823, DATABASE_FG!$C$5:$C$367, 0)), "Not Found")</f>
        <v>500</v>
      </c>
      <c r="Q1823" s="36">
        <v>60</v>
      </c>
      <c r="R1823" s="125" t="s">
        <v>678</v>
      </c>
      <c r="S1823" s="123">
        <f>IFERROR(INDEX(DATABASE_FG!$L$5:$L$367, MATCH(E1823, DATABASE_FG!$C$5:$C$367, 0)), " ")</f>
        <v>42</v>
      </c>
      <c r="T1823" s="36" t="s">
        <v>679</v>
      </c>
      <c r="U1823" s="36"/>
      <c r="V1823" s="36"/>
      <c r="W1823" s="129"/>
      <c r="X1823" s="36"/>
      <c r="Y1823" s="36"/>
      <c r="Z1823" s="36"/>
      <c r="AA1823" s="125" t="s">
        <v>121</v>
      </c>
      <c r="AB1823" s="172">
        <v>45790</v>
      </c>
      <c r="AC1823" s="119">
        <v>25763</v>
      </c>
      <c r="AD1823" s="36">
        <f t="shared" si="209"/>
        <v>5500511045</v>
      </c>
      <c r="AE1823" s="36" t="str">
        <f t="shared" si="210"/>
        <v>R901321450</v>
      </c>
      <c r="AF1823" s="36">
        <v>50</v>
      </c>
      <c r="AG1823" s="120">
        <f t="shared" si="204"/>
        <v>220.00000000000003</v>
      </c>
      <c r="AH1823" s="36"/>
      <c r="AI1823" s="124"/>
      <c r="AJ1823" s="122" t="s">
        <v>3123</v>
      </c>
      <c r="AK1823" s="129" t="str">
        <f t="shared" ca="1" si="203"/>
        <v>Late</v>
      </c>
      <c r="AL1823" s="268" t="str">
        <f t="shared" si="208"/>
        <v>April</v>
      </c>
      <c r="AM1823" s="133">
        <f>YEAR(Table1[[#This Row],[ETA
As requested
dd.mm.yyyy]])</f>
        <v>2025</v>
      </c>
    </row>
    <row r="1824" spans="1:39" hidden="1">
      <c r="A1824" s="123" t="s">
        <v>27</v>
      </c>
      <c r="B1824" s="36" t="s">
        <v>1170</v>
      </c>
      <c r="C1824" s="117">
        <v>5500511045</v>
      </c>
      <c r="D1824" s="165">
        <v>45440</v>
      </c>
      <c r="E1824" s="117" t="s">
        <v>56</v>
      </c>
      <c r="F1824" s="36" t="str">
        <f>IFERROR(VLOOKUP(Table1[[#This Row],[Part Number]],DATABASE_FG!$C$6:D11813,2,FALSE)," ")</f>
        <v>PLATE              4WRPN 6/ ADAPTER</v>
      </c>
      <c r="G1824" s="117" t="str">
        <f>IFERROR(_xlfn.XLOOKUP(Table1[[#This Row],[Part Number]],Table3[Part number],Table3[Drawing
 Revision]),"")</f>
        <v>AD</v>
      </c>
      <c r="H1824" s="118" cm="1">
        <f t="array" ref="H1824">IFERROR(INDEX(PDB!$C:$AT,MATCH(E1824,PDB!$B:$B,0),MATCH(YEAR(K1824),0+PDB!$C$1:$AT$1,0)),"")</f>
        <v>4.4000000000000004</v>
      </c>
      <c r="I1824" s="36">
        <v>49</v>
      </c>
      <c r="J1824" s="125">
        <f>IFERROR(Table1[[#This Row],[Quantity]]*Table1[[#This Row],[Price/Unit
EUR]]," ")</f>
        <v>215.60000000000002</v>
      </c>
      <c r="K1824" s="126">
        <v>45776</v>
      </c>
      <c r="L1824" s="36">
        <f>WEEKNUM(Table1[[#This Row],[ETA
As requested
dd.mm.yyyy]])</f>
        <v>18</v>
      </c>
      <c r="M1824" s="36">
        <f>YEAR(Table1[[#This Row],[ETA
As requested
dd.mm.yyyy]])</f>
        <v>2025</v>
      </c>
      <c r="N1824" s="36">
        <f>IFERROR(INDEX(DATABASE_FG!$H$5:$H$367, MATCH(E1824, DATABASE_FG!$C$5:$C$367, 0)), " ")</f>
        <v>0</v>
      </c>
      <c r="O1824" s="129" t="str">
        <f>IF(E1824&lt;&gt;"", _xlfn.XLOOKUP(E1824, DATABASE_FG!C:C, DATABASE_FG!F:F), " ")</f>
        <v>PLATE</v>
      </c>
      <c r="P1824" s="129">
        <f>IFERROR(INDEX(DATABASE_FG!$G$5:$G$367, MATCH(E1824, DATABASE_FG!$C$5:$C$367, 0)), "Not Found")</f>
        <v>500</v>
      </c>
      <c r="Q1824" s="36">
        <v>60</v>
      </c>
      <c r="R1824" s="125" t="s">
        <v>678</v>
      </c>
      <c r="S1824" s="123">
        <f>IFERROR(INDEX(DATABASE_FG!$L$5:$L$367, MATCH(E1824, DATABASE_FG!$C$5:$C$367, 0)), " ")</f>
        <v>42</v>
      </c>
      <c r="T1824" s="36" t="s">
        <v>679</v>
      </c>
      <c r="U1824" s="36"/>
      <c r="V1824" s="36"/>
      <c r="W1824" s="129"/>
      <c r="X1824" s="36"/>
      <c r="Y1824" s="36"/>
      <c r="Z1824" s="36"/>
      <c r="AA1824" s="125" t="s">
        <v>121</v>
      </c>
      <c r="AB1824" s="172">
        <v>45793</v>
      </c>
      <c r="AC1824" s="119">
        <v>25784</v>
      </c>
      <c r="AD1824" s="36">
        <f t="shared" si="209"/>
        <v>5500511045</v>
      </c>
      <c r="AE1824" s="36" t="str">
        <f t="shared" si="210"/>
        <v>R901321450</v>
      </c>
      <c r="AF1824" s="36">
        <v>49</v>
      </c>
      <c r="AG1824" s="120">
        <f t="shared" si="204"/>
        <v>215.60000000000002</v>
      </c>
      <c r="AH1824" s="36"/>
      <c r="AI1824" s="124"/>
      <c r="AJ1824" s="122" t="s">
        <v>3134</v>
      </c>
      <c r="AK1824" s="129" t="str">
        <f t="shared" ca="1" si="203"/>
        <v>Late</v>
      </c>
      <c r="AL1824" s="268" t="str">
        <f t="shared" si="208"/>
        <v>April</v>
      </c>
      <c r="AM1824" s="133">
        <f>YEAR(Table1[[#This Row],[ETA
As requested
dd.mm.yyyy]])</f>
        <v>2025</v>
      </c>
    </row>
    <row r="1825" spans="1:40" hidden="1">
      <c r="A1825" s="123" t="s">
        <v>27</v>
      </c>
      <c r="B1825" s="36" t="s">
        <v>1170</v>
      </c>
      <c r="C1825" s="117">
        <v>5500511045</v>
      </c>
      <c r="D1825" s="165">
        <v>45440</v>
      </c>
      <c r="E1825" s="117" t="s">
        <v>56</v>
      </c>
      <c r="F1825" s="36" t="str">
        <f>IFERROR(VLOOKUP(Table1[[#This Row],[Part Number]],DATABASE_FG!$C$6:D11814,2,FALSE)," ")</f>
        <v>PLATE              4WRPN 6/ ADAPTER</v>
      </c>
      <c r="G1825" s="117" t="str">
        <f>IFERROR(_xlfn.XLOOKUP(Table1[[#This Row],[Part Number]],Table3[Part number],Table3[Drawing
 Revision]),"")</f>
        <v>AD</v>
      </c>
      <c r="H1825" s="118" cm="1">
        <f t="array" ref="H1825">IFERROR(INDEX(PDB!$C:$AT,MATCH(E1825,PDB!$B:$B,0),MATCH(YEAR(K1825),0+PDB!$C$1:$AT$1,0)),"")</f>
        <v>4.4000000000000004</v>
      </c>
      <c r="I1825" s="36">
        <v>241</v>
      </c>
      <c r="J1825" s="125">
        <f>IFERROR(Table1[[#This Row],[Quantity]]*Table1[[#This Row],[Price/Unit
EUR]]," ")</f>
        <v>1060.4000000000001</v>
      </c>
      <c r="K1825" s="126">
        <v>45784</v>
      </c>
      <c r="L1825" s="36">
        <f>WEEKNUM(Table1[[#This Row],[ETA
As requested
dd.mm.yyyy]])</f>
        <v>19</v>
      </c>
      <c r="M1825" s="36">
        <f>YEAR(Table1[[#This Row],[ETA
As requested
dd.mm.yyyy]])</f>
        <v>2025</v>
      </c>
      <c r="N1825" s="36">
        <f>IFERROR(INDEX(DATABASE_FG!$H$5:$H$367, MATCH(E1825, DATABASE_FG!$C$5:$C$367, 0)), " ")</f>
        <v>0</v>
      </c>
      <c r="O1825" s="129" t="str">
        <f>IF(E1825&lt;&gt;"", _xlfn.XLOOKUP(E1825, DATABASE_FG!C:C, DATABASE_FG!F:F), " ")</f>
        <v>PLATE</v>
      </c>
      <c r="P1825" s="129">
        <f>IFERROR(INDEX(DATABASE_FG!$G$5:$G$367, MATCH(E1825, DATABASE_FG!$C$5:$C$367, 0)), "Not Found")</f>
        <v>500</v>
      </c>
      <c r="Q1825" s="36">
        <v>60</v>
      </c>
      <c r="R1825" s="125" t="s">
        <v>678</v>
      </c>
      <c r="S1825" s="123">
        <f>IFERROR(INDEX(DATABASE_FG!$L$5:$L$367, MATCH(E1825, DATABASE_FG!$C$5:$C$367, 0)), " ")</f>
        <v>42</v>
      </c>
      <c r="T1825" s="36" t="s">
        <v>679</v>
      </c>
      <c r="U1825" s="36"/>
      <c r="V1825" s="36"/>
      <c r="W1825" s="129" t="s">
        <v>677</v>
      </c>
      <c r="X1825" s="36"/>
      <c r="Y1825" s="36"/>
      <c r="Z1825" s="36"/>
      <c r="AA1825" s="125" t="s">
        <v>121</v>
      </c>
      <c r="AB1825" s="172">
        <v>45800</v>
      </c>
      <c r="AC1825" s="119">
        <v>25814</v>
      </c>
      <c r="AD1825" s="36">
        <f t="shared" si="209"/>
        <v>5500511045</v>
      </c>
      <c r="AE1825" s="36" t="str">
        <f t="shared" si="210"/>
        <v>R901321450</v>
      </c>
      <c r="AF1825" s="36">
        <v>241</v>
      </c>
      <c r="AG1825" s="120">
        <f t="shared" si="204"/>
        <v>1060.4000000000001</v>
      </c>
      <c r="AH1825" s="36"/>
      <c r="AI1825" s="124"/>
      <c r="AJ1825" s="122" t="s">
        <v>3157</v>
      </c>
      <c r="AK1825" s="129" t="str">
        <f t="shared" ca="1" si="203"/>
        <v>Late</v>
      </c>
      <c r="AL1825" s="268" t="str">
        <f t="shared" si="208"/>
        <v>May</v>
      </c>
      <c r="AM1825" s="133">
        <f>YEAR(Table1[[#This Row],[ETA
As requested
dd.mm.yyyy]])</f>
        <v>2025</v>
      </c>
    </row>
    <row r="1826" spans="1:40" hidden="1">
      <c r="A1826" s="123" t="s">
        <v>27</v>
      </c>
      <c r="B1826" s="36" t="s">
        <v>1170</v>
      </c>
      <c r="C1826" s="117">
        <v>5500511045</v>
      </c>
      <c r="D1826" s="165">
        <v>45440</v>
      </c>
      <c r="E1826" s="117" t="s">
        <v>56</v>
      </c>
      <c r="F1826" s="36" t="str">
        <f>IFERROR(VLOOKUP(Table1[[#This Row],[Part Number]],DATABASE_FG!$C$6:D11815,2,FALSE)," ")</f>
        <v>PLATE              4WRPN 6/ ADAPTER</v>
      </c>
      <c r="G1826" s="117" t="str">
        <f>IFERROR(_xlfn.XLOOKUP(Table1[[#This Row],[Part Number]],Table3[Part number],Table3[Drawing
 Revision]),"")</f>
        <v>AD</v>
      </c>
      <c r="H1826" s="118" cm="1">
        <f t="array" ref="H1826">IFERROR(INDEX(PDB!$C:$AT,MATCH(E1826,PDB!$B:$B,0),MATCH(YEAR(K1826),0+PDB!$C$1:$AT$1,0)),"")</f>
        <v>4.4000000000000004</v>
      </c>
      <c r="I1826" s="36">
        <v>86</v>
      </c>
      <c r="J1826" s="125">
        <f>IFERROR(Table1[[#This Row],[Quantity]]*Table1[[#This Row],[Price/Unit
EUR]]," ")</f>
        <v>378.40000000000003</v>
      </c>
      <c r="K1826" s="126">
        <v>45785</v>
      </c>
      <c r="L1826" s="36">
        <f>WEEKNUM(Table1[[#This Row],[ETA
As requested
dd.mm.yyyy]])</f>
        <v>19</v>
      </c>
      <c r="M1826" s="36">
        <f>YEAR(Table1[[#This Row],[ETA
As requested
dd.mm.yyyy]])</f>
        <v>2025</v>
      </c>
      <c r="N1826" s="36">
        <f>IFERROR(INDEX(DATABASE_FG!$H$5:$H$367, MATCH(E1826, DATABASE_FG!$C$5:$C$367, 0)), " ")</f>
        <v>0</v>
      </c>
      <c r="O1826" s="129" t="str">
        <f>IF(E1826&lt;&gt;"", _xlfn.XLOOKUP(E1826, DATABASE_FG!C:C, DATABASE_FG!F:F), " ")</f>
        <v>PLATE</v>
      </c>
      <c r="P1826" s="129">
        <f>IFERROR(INDEX(DATABASE_FG!$G$5:$G$367, MATCH(E1826, DATABASE_FG!$C$5:$C$367, 0)), "Not Found")</f>
        <v>500</v>
      </c>
      <c r="Q1826" s="36">
        <v>60</v>
      </c>
      <c r="R1826" s="125" t="s">
        <v>678</v>
      </c>
      <c r="S1826" s="123">
        <f>IFERROR(INDEX(DATABASE_FG!$L$5:$L$367, MATCH(E1826, DATABASE_FG!$C$5:$C$367, 0)), " ")</f>
        <v>42</v>
      </c>
      <c r="T1826" s="36" t="s">
        <v>679</v>
      </c>
      <c r="U1826" s="36"/>
      <c r="V1826" s="36"/>
      <c r="W1826" s="129"/>
      <c r="X1826" s="36"/>
      <c r="Y1826" s="36"/>
      <c r="Z1826" s="36"/>
      <c r="AA1826" s="125" t="s">
        <v>121</v>
      </c>
      <c r="AB1826" s="172">
        <v>45785</v>
      </c>
      <c r="AC1826" s="119">
        <v>25726</v>
      </c>
      <c r="AD1826" s="36">
        <f t="shared" si="209"/>
        <v>5500511045</v>
      </c>
      <c r="AE1826" s="36" t="str">
        <f t="shared" si="210"/>
        <v>R901321450</v>
      </c>
      <c r="AF1826" s="36">
        <v>86</v>
      </c>
      <c r="AG1826" s="120">
        <f t="shared" si="204"/>
        <v>378.40000000000003</v>
      </c>
      <c r="AH1826" s="36"/>
      <c r="AI1826" s="124"/>
      <c r="AJ1826" s="122" t="s">
        <v>3172</v>
      </c>
      <c r="AK1826" s="129" t="str">
        <f t="shared" ca="1" si="203"/>
        <v>On Time</v>
      </c>
      <c r="AL1826" s="268" t="str">
        <f t="shared" si="208"/>
        <v>May</v>
      </c>
      <c r="AM1826" s="133">
        <f>YEAR(Table1[[#This Row],[ETA
As requested
dd.mm.yyyy]])</f>
        <v>2025</v>
      </c>
    </row>
    <row r="1827" spans="1:40" hidden="1">
      <c r="A1827" s="123" t="s">
        <v>27</v>
      </c>
      <c r="B1827" s="36" t="s">
        <v>1170</v>
      </c>
      <c r="C1827" s="117">
        <v>5500511045</v>
      </c>
      <c r="D1827" s="165">
        <v>45440</v>
      </c>
      <c r="E1827" s="117" t="s">
        <v>56</v>
      </c>
      <c r="F1827" s="36" t="str">
        <f>IFERROR(VLOOKUP(Table1[[#This Row],[Part Number]],DATABASE_FG!$C$6:D11816,2,FALSE)," ")</f>
        <v>PLATE              4WRPN 6/ ADAPTER</v>
      </c>
      <c r="G1827" s="117" t="str">
        <f>IFERROR(_xlfn.XLOOKUP(Table1[[#This Row],[Part Number]],Table3[Part number],Table3[Drawing
 Revision]),"")</f>
        <v>AD</v>
      </c>
      <c r="H1827" s="118" cm="1">
        <f t="array" ref="H1827">IFERROR(INDEX(PDB!$C:$AT,MATCH(E1827,PDB!$B:$B,0),MATCH(YEAR(K1827),0+PDB!$C$1:$AT$1,0)),"")</f>
        <v>4.4000000000000004</v>
      </c>
      <c r="I1827" s="36">
        <v>44</v>
      </c>
      <c r="J1827" s="125">
        <f>IFERROR(Table1[[#This Row],[Quantity]]*Table1[[#This Row],[Price/Unit
EUR]]," ")</f>
        <v>193.60000000000002</v>
      </c>
      <c r="K1827" s="126">
        <v>45797</v>
      </c>
      <c r="L1827" s="36">
        <f>WEEKNUM(Table1[[#This Row],[ETA
As requested
dd.mm.yyyy]])</f>
        <v>21</v>
      </c>
      <c r="M1827" s="36">
        <f>YEAR(Table1[[#This Row],[ETA
As requested
dd.mm.yyyy]])</f>
        <v>2025</v>
      </c>
      <c r="N1827" s="36">
        <f>IFERROR(INDEX(DATABASE_FG!$H$5:$H$367, MATCH(E1827, DATABASE_FG!$C$5:$C$367, 0)), " ")</f>
        <v>0</v>
      </c>
      <c r="O1827" s="129" t="str">
        <f>IF(E1827&lt;&gt;"", _xlfn.XLOOKUP(E1827, DATABASE_FG!C:C, DATABASE_FG!F:F), " ")</f>
        <v>PLATE</v>
      </c>
      <c r="P1827" s="129">
        <f>IFERROR(INDEX(DATABASE_FG!$G$5:$G$367, MATCH(E1827, DATABASE_FG!$C$5:$C$367, 0)), "Not Found")</f>
        <v>500</v>
      </c>
      <c r="Q1827" s="36">
        <v>60</v>
      </c>
      <c r="R1827" s="125" t="s">
        <v>678</v>
      </c>
      <c r="S1827" s="123">
        <f>IFERROR(INDEX(DATABASE_FG!$L$5:$L$367, MATCH(E1827, DATABASE_FG!$C$5:$C$367, 0)), " ")</f>
        <v>42</v>
      </c>
      <c r="T1827" s="36" t="s">
        <v>679</v>
      </c>
      <c r="U1827" s="36"/>
      <c r="V1827" s="36"/>
      <c r="W1827" s="129"/>
      <c r="X1827" s="36"/>
      <c r="Y1827" s="36"/>
      <c r="Z1827" s="36"/>
      <c r="AA1827" s="125" t="s">
        <v>121</v>
      </c>
      <c r="AB1827" s="172">
        <v>45776</v>
      </c>
      <c r="AC1827" s="119">
        <v>25689</v>
      </c>
      <c r="AD1827" s="36">
        <f t="shared" si="209"/>
        <v>5500511045</v>
      </c>
      <c r="AE1827" s="36" t="str">
        <f t="shared" si="210"/>
        <v>R901321450</v>
      </c>
      <c r="AF1827" s="36">
        <v>44</v>
      </c>
      <c r="AG1827" s="120">
        <f t="shared" si="204"/>
        <v>193.60000000000002</v>
      </c>
      <c r="AH1827" s="36"/>
      <c r="AI1827" s="124"/>
      <c r="AJ1827" s="122" t="s">
        <v>3202</v>
      </c>
      <c r="AK1827" s="129" t="str">
        <f t="shared" ca="1" si="203"/>
        <v>On Time</v>
      </c>
      <c r="AL1827" s="268" t="str">
        <f t="shared" si="208"/>
        <v>May</v>
      </c>
      <c r="AM1827" s="133">
        <f>YEAR(Table1[[#This Row],[ETA
As requested
dd.mm.yyyy]])</f>
        <v>2025</v>
      </c>
    </row>
    <row r="1828" spans="1:40" hidden="1">
      <c r="A1828" s="123" t="s">
        <v>27</v>
      </c>
      <c r="B1828" s="36" t="s">
        <v>1170</v>
      </c>
      <c r="C1828" s="117">
        <v>5500511045</v>
      </c>
      <c r="D1828" s="165">
        <v>45440</v>
      </c>
      <c r="E1828" s="117" t="s">
        <v>56</v>
      </c>
      <c r="F1828" s="36" t="str">
        <f>IFERROR(VLOOKUP(Table1[[#This Row],[Part Number]],DATABASE_FG!$C$6:D11817,2,FALSE)," ")</f>
        <v>PLATE              4WRPN 6/ ADAPTER</v>
      </c>
      <c r="G1828" s="117" t="str">
        <f>IFERROR(_xlfn.XLOOKUP(Table1[[#This Row],[Part Number]],Table3[Part number],Table3[Drawing
 Revision]),"")</f>
        <v>AD</v>
      </c>
      <c r="H1828" s="118" cm="1">
        <f t="array" ref="H1828">IFERROR(INDEX(PDB!$C:$AT,MATCH(E1828,PDB!$B:$B,0),MATCH(YEAR(K1828),0+PDB!$C$1:$AT$1,0)),"")</f>
        <v>4.4000000000000004</v>
      </c>
      <c r="I1828" s="36">
        <v>10</v>
      </c>
      <c r="J1828" s="125">
        <f>IFERROR(Table1[[#This Row],[Quantity]]*Table1[[#This Row],[Price/Unit
EUR]]," ")</f>
        <v>44</v>
      </c>
      <c r="K1828" s="126">
        <v>45797</v>
      </c>
      <c r="L1828" s="36">
        <f>WEEKNUM(Table1[[#This Row],[ETA
As requested
dd.mm.yyyy]])</f>
        <v>21</v>
      </c>
      <c r="M1828" s="36">
        <f>YEAR(Table1[[#This Row],[ETA
As requested
dd.mm.yyyy]])</f>
        <v>2025</v>
      </c>
      <c r="N1828" s="36">
        <f>IFERROR(INDEX(DATABASE_FG!$H$5:$H$367, MATCH(E1828, DATABASE_FG!$C$5:$C$367, 0)), " ")</f>
        <v>0</v>
      </c>
      <c r="O1828" s="129" t="str">
        <f>IF(E1828&lt;&gt;"", _xlfn.XLOOKUP(E1828, DATABASE_FG!C:C, DATABASE_FG!F:F), " ")</f>
        <v>PLATE</v>
      </c>
      <c r="P1828" s="129">
        <f>IFERROR(INDEX(DATABASE_FG!$G$5:$G$367, MATCH(E1828, DATABASE_FG!$C$5:$C$367, 0)), "Not Found")</f>
        <v>500</v>
      </c>
      <c r="Q1828" s="36">
        <v>60</v>
      </c>
      <c r="R1828" s="125" t="s">
        <v>678</v>
      </c>
      <c r="S1828" s="123">
        <f>IFERROR(INDEX(DATABASE_FG!$L$5:$L$367, MATCH(E1828, DATABASE_FG!$C$5:$C$367, 0)), " ")</f>
        <v>42</v>
      </c>
      <c r="T1828" s="36" t="s">
        <v>679</v>
      </c>
      <c r="U1828" s="36"/>
      <c r="V1828" s="36"/>
      <c r="W1828" s="129" t="s">
        <v>677</v>
      </c>
      <c r="X1828" s="36"/>
      <c r="Y1828" s="36"/>
      <c r="Z1828" s="36"/>
      <c r="AA1828" s="125" t="s">
        <v>121</v>
      </c>
      <c r="AB1828" s="172">
        <v>45807</v>
      </c>
      <c r="AC1828" s="119">
        <v>25856</v>
      </c>
      <c r="AD1828" s="36">
        <f t="shared" si="209"/>
        <v>5500511045</v>
      </c>
      <c r="AE1828" s="36" t="str">
        <f t="shared" si="210"/>
        <v>R901321450</v>
      </c>
      <c r="AF1828" s="36">
        <v>10</v>
      </c>
      <c r="AG1828" s="120">
        <f t="shared" si="204"/>
        <v>44</v>
      </c>
      <c r="AH1828" s="36"/>
      <c r="AI1828" s="124"/>
      <c r="AJ1828" s="122" t="s">
        <v>3203</v>
      </c>
      <c r="AK1828" s="129" t="str">
        <f t="shared" ca="1" si="203"/>
        <v>Late</v>
      </c>
      <c r="AL1828" s="268" t="str">
        <f t="shared" si="208"/>
        <v>May</v>
      </c>
      <c r="AM1828" s="133">
        <f>YEAR(Table1[[#This Row],[ETA
As requested
dd.mm.yyyy]])</f>
        <v>2025</v>
      </c>
    </row>
    <row r="1829" spans="1:40" hidden="1">
      <c r="A1829" s="123" t="s">
        <v>27</v>
      </c>
      <c r="B1829" s="36" t="s">
        <v>1170</v>
      </c>
      <c r="C1829" s="117">
        <v>5500511045</v>
      </c>
      <c r="D1829" s="165">
        <v>45440</v>
      </c>
      <c r="E1829" s="117" t="s">
        <v>56</v>
      </c>
      <c r="F1829" s="36" t="str">
        <f>IFERROR(VLOOKUP(Table1[[#This Row],[Part Number]],DATABASE_FG!$C$6:D11818,2,FALSE)," ")</f>
        <v>PLATE              4WRPN 6/ ADAPTER</v>
      </c>
      <c r="G1829" s="117" t="str">
        <f>IFERROR(_xlfn.XLOOKUP(Table1[[#This Row],[Part Number]],Table3[Part number],Table3[Drawing
 Revision]),"")</f>
        <v>AD</v>
      </c>
      <c r="H1829" s="118" cm="1">
        <f t="array" ref="H1829">IFERROR(INDEX(PDB!$C:$AT,MATCH(E1829,PDB!$B:$B,0),MATCH(YEAR(K1829),0+PDB!$C$1:$AT$1,0)),"")</f>
        <v>4.4000000000000004</v>
      </c>
      <c r="I1829" s="36">
        <v>265</v>
      </c>
      <c r="J1829" s="125">
        <f>IFERROR(Table1[[#This Row],[Quantity]]*Table1[[#This Row],[Price/Unit
EUR]]," ")</f>
        <v>1166</v>
      </c>
      <c r="K1829" s="126">
        <v>45797</v>
      </c>
      <c r="L1829" s="36">
        <f>WEEKNUM(Table1[[#This Row],[ETA
As requested
dd.mm.yyyy]])</f>
        <v>21</v>
      </c>
      <c r="M1829" s="36">
        <f>YEAR(Table1[[#This Row],[ETA
As requested
dd.mm.yyyy]])</f>
        <v>2025</v>
      </c>
      <c r="N1829" s="36">
        <f>IFERROR(INDEX(DATABASE_FG!$H$5:$H$367, MATCH(E1829, DATABASE_FG!$C$5:$C$367, 0)), " ")</f>
        <v>0</v>
      </c>
      <c r="O1829" s="129" t="str">
        <f>IF(E1829&lt;&gt;"", _xlfn.XLOOKUP(E1829, DATABASE_FG!C:C, DATABASE_FG!F:F), " ")</f>
        <v>PLATE</v>
      </c>
      <c r="P1829" s="129">
        <f>IFERROR(INDEX(DATABASE_FG!$G$5:$G$367, MATCH(E1829, DATABASE_FG!$C$5:$C$367, 0)), "Not Found")</f>
        <v>500</v>
      </c>
      <c r="Q1829" s="36">
        <v>60</v>
      </c>
      <c r="R1829" s="125" t="s">
        <v>678</v>
      </c>
      <c r="S1829" s="123">
        <f>IFERROR(INDEX(DATABASE_FG!$L$5:$L$367, MATCH(E1829, DATABASE_FG!$C$5:$C$367, 0)), " ")</f>
        <v>42</v>
      </c>
      <c r="T1829" s="36" t="s">
        <v>679</v>
      </c>
      <c r="U1829" s="36"/>
      <c r="V1829" s="36"/>
      <c r="W1829" s="129" t="s">
        <v>677</v>
      </c>
      <c r="X1829" s="36"/>
      <c r="Y1829" s="36"/>
      <c r="Z1829" s="36"/>
      <c r="AA1829" s="125" t="s">
        <v>121</v>
      </c>
      <c r="AB1829" s="172">
        <v>45814</v>
      </c>
      <c r="AC1829" s="119">
        <v>25892</v>
      </c>
      <c r="AD1829" s="36">
        <f t="shared" si="209"/>
        <v>5500511045</v>
      </c>
      <c r="AE1829" s="36" t="str">
        <f t="shared" si="210"/>
        <v>R901321450</v>
      </c>
      <c r="AF1829" s="36">
        <v>265</v>
      </c>
      <c r="AG1829" s="120">
        <f t="shared" si="204"/>
        <v>1166</v>
      </c>
      <c r="AH1829" s="36"/>
      <c r="AI1829" s="124"/>
      <c r="AJ1829" s="122" t="s">
        <v>3204</v>
      </c>
      <c r="AK1829" s="129" t="str">
        <f t="shared" ca="1" si="203"/>
        <v>Late</v>
      </c>
      <c r="AL1829" s="268" t="str">
        <f t="shared" si="208"/>
        <v>May</v>
      </c>
      <c r="AM1829" s="133">
        <f>YEAR(Table1[[#This Row],[ETA
As requested
dd.mm.yyyy]])</f>
        <v>2025</v>
      </c>
    </row>
    <row r="1830" spans="1:40" hidden="1">
      <c r="A1830" s="123" t="s">
        <v>27</v>
      </c>
      <c r="B1830" s="36" t="s">
        <v>1170</v>
      </c>
      <c r="C1830" s="117">
        <v>5500511045</v>
      </c>
      <c r="D1830" s="165">
        <v>45440</v>
      </c>
      <c r="E1830" s="117" t="s">
        <v>56</v>
      </c>
      <c r="F1830" s="36" t="str">
        <f>IFERROR(VLOOKUP(Table1[[#This Row],[Part Number]],DATABASE_FG!$C$6:D11819,2,FALSE)," ")</f>
        <v>PLATE              4WRPN 6/ ADAPTER</v>
      </c>
      <c r="G1830" s="117" t="str">
        <f>IFERROR(_xlfn.XLOOKUP(Table1[[#This Row],[Part Number]],Table3[Part number],Table3[Drawing
 Revision]),"")</f>
        <v>AD</v>
      </c>
      <c r="H1830" s="118" cm="1">
        <f t="array" ref="H1830">IFERROR(INDEX(PDB!$C:$AT,MATCH(E1830,PDB!$B:$B,0),MATCH(YEAR(K1830),0+PDB!$C$1:$AT$1,0)),"")</f>
        <v>4.4000000000000004</v>
      </c>
      <c r="I1830" s="36">
        <v>35</v>
      </c>
      <c r="J1830" s="125">
        <f>IFERROR(Table1[[#This Row],[Quantity]]*Table1[[#This Row],[Price/Unit
EUR]]," ")</f>
        <v>154</v>
      </c>
      <c r="K1830" s="126">
        <v>45852</v>
      </c>
      <c r="L1830" s="36">
        <f>WEEKNUM(Table1[[#This Row],[ETA
As requested
dd.mm.yyyy]])</f>
        <v>29</v>
      </c>
      <c r="M1830" s="36">
        <f>YEAR(Table1[[#This Row],[ETA
As requested
dd.mm.yyyy]])</f>
        <v>2025</v>
      </c>
      <c r="N1830" s="36">
        <f>IFERROR(INDEX(DATABASE_FG!$H$5:$H$367, MATCH(E1830, DATABASE_FG!$C$5:$C$367, 0)), " ")</f>
        <v>0</v>
      </c>
      <c r="O1830" s="129" t="str">
        <f>IF(E1830&lt;&gt;"", _xlfn.XLOOKUP(E1830, DATABASE_FG!C:C, DATABASE_FG!F:F), " ")</f>
        <v>PLATE</v>
      </c>
      <c r="P1830" s="129">
        <f>IFERROR(INDEX(DATABASE_FG!$G$5:$G$367, MATCH(E1830, DATABASE_FG!$C$5:$C$367, 0)), "Not Found")</f>
        <v>500</v>
      </c>
      <c r="Q1830" s="36">
        <v>61</v>
      </c>
      <c r="R1830" s="125" t="s">
        <v>678</v>
      </c>
      <c r="S1830" s="123">
        <f>IFERROR(INDEX(DATABASE_FG!$L$5:$L$367, MATCH(E1830, DATABASE_FG!$C$5:$C$367, 0)), " ")</f>
        <v>42</v>
      </c>
      <c r="T1830" s="36" t="s">
        <v>679</v>
      </c>
      <c r="U1830" s="36"/>
      <c r="V1830" s="36"/>
      <c r="W1830" s="129"/>
      <c r="X1830" s="36"/>
      <c r="Y1830" s="36"/>
      <c r="Z1830" s="36"/>
      <c r="AA1830" s="125" t="s">
        <v>121</v>
      </c>
      <c r="AB1830" s="172">
        <v>45866</v>
      </c>
      <c r="AC1830" s="119">
        <v>251100</v>
      </c>
      <c r="AD1830" s="36">
        <f t="shared" si="209"/>
        <v>5500511045</v>
      </c>
      <c r="AE1830" s="36" t="str">
        <f t="shared" si="210"/>
        <v>R901321450</v>
      </c>
      <c r="AF1830" s="36">
        <v>35</v>
      </c>
      <c r="AG1830" s="120">
        <f t="shared" si="204"/>
        <v>154</v>
      </c>
      <c r="AH1830" s="36"/>
      <c r="AI1830" s="124"/>
      <c r="AJ1830" s="122" t="s">
        <v>3421</v>
      </c>
      <c r="AK1830" s="129" t="str">
        <f t="shared" ca="1" si="203"/>
        <v>Late</v>
      </c>
      <c r="AL1830" s="268" t="str">
        <f t="shared" si="208"/>
        <v>July</v>
      </c>
      <c r="AM1830" s="133">
        <f>YEAR(Table1[[#This Row],[ETA
As requested
dd.mm.yyyy]])</f>
        <v>2025</v>
      </c>
    </row>
    <row r="1831" spans="1:40" hidden="1">
      <c r="A1831" s="123" t="s">
        <v>27</v>
      </c>
      <c r="B1831" s="36" t="s">
        <v>1170</v>
      </c>
      <c r="C1831" s="117">
        <v>5500511045</v>
      </c>
      <c r="D1831" s="165">
        <v>45440</v>
      </c>
      <c r="E1831" s="117" t="s">
        <v>56</v>
      </c>
      <c r="F1831" s="36" t="str">
        <f>IFERROR(VLOOKUP(Table1[[#This Row],[Part Number]],DATABASE_FG!$C$6:D11820,2,FALSE)," ")</f>
        <v>PLATE              4WRPN 6/ ADAPTER</v>
      </c>
      <c r="G1831" s="117" t="str">
        <f>IFERROR(_xlfn.XLOOKUP(Table1[[#This Row],[Part Number]],Table3[Part number],Table3[Drawing
 Revision]),"")</f>
        <v>AD</v>
      </c>
      <c r="H1831" s="118" cm="1">
        <f t="array" ref="H1831">IFERROR(INDEX(PDB!$C:$AT,MATCH(E1831,PDB!$B:$B,0),MATCH(YEAR(K1831),0+PDB!$C$1:$AT$1,0)),"")</f>
        <v>4.4000000000000004</v>
      </c>
      <c r="I1831" s="36">
        <v>81</v>
      </c>
      <c r="J1831" s="125">
        <f>IFERROR(Table1[[#This Row],[Quantity]]*Table1[[#This Row],[Price/Unit
EUR]]," ")</f>
        <v>356.40000000000003</v>
      </c>
      <c r="K1831" s="126">
        <v>45852</v>
      </c>
      <c r="L1831" s="36">
        <f>WEEKNUM(Table1[[#This Row],[ETA
As requested
dd.mm.yyyy]])</f>
        <v>29</v>
      </c>
      <c r="M1831" s="36">
        <f>YEAR(Table1[[#This Row],[ETA
As requested
dd.mm.yyyy]])</f>
        <v>2025</v>
      </c>
      <c r="N1831" s="36">
        <f>IFERROR(INDEX(DATABASE_FG!$H$5:$H$367, MATCH(E1831, DATABASE_FG!$C$5:$C$367, 0)), " ")</f>
        <v>0</v>
      </c>
      <c r="O1831" s="129" t="str">
        <f>IF(E1831&lt;&gt;"", _xlfn.XLOOKUP(E1831, DATABASE_FG!C:C, DATABASE_FG!F:F), " ")</f>
        <v>PLATE</v>
      </c>
      <c r="P1831" s="129">
        <f>IFERROR(INDEX(DATABASE_FG!$G$5:$G$367, MATCH(E1831, DATABASE_FG!$C$5:$C$367, 0)), "Not Found")</f>
        <v>500</v>
      </c>
      <c r="Q1831" s="36">
        <v>61</v>
      </c>
      <c r="R1831" s="125" t="s">
        <v>678</v>
      </c>
      <c r="S1831" s="123">
        <f>IFERROR(INDEX(DATABASE_FG!$L$5:$L$367, MATCH(E1831, DATABASE_FG!$C$5:$C$367, 0)), " ")</f>
        <v>42</v>
      </c>
      <c r="T1831" s="36" t="s">
        <v>679</v>
      </c>
      <c r="U1831" s="36"/>
      <c r="V1831" s="36"/>
      <c r="W1831" s="129"/>
      <c r="X1831" s="36"/>
      <c r="Y1831" s="36"/>
      <c r="Z1831" s="36"/>
      <c r="AA1831" s="125" t="s">
        <v>121</v>
      </c>
      <c r="AB1831" s="172">
        <v>45869</v>
      </c>
      <c r="AC1831" s="226">
        <v>251106</v>
      </c>
      <c r="AD1831" s="36">
        <f t="shared" si="209"/>
        <v>5500511045</v>
      </c>
      <c r="AE1831" s="36" t="str">
        <f t="shared" si="210"/>
        <v>R901321450</v>
      </c>
      <c r="AF1831" s="36">
        <v>81</v>
      </c>
      <c r="AG1831" s="120">
        <f t="shared" si="204"/>
        <v>356.40000000000003</v>
      </c>
      <c r="AH1831" s="36"/>
      <c r="AI1831" s="124"/>
      <c r="AJ1831" s="122" t="s">
        <v>3422</v>
      </c>
      <c r="AK1831" s="129" t="str">
        <f t="shared" ca="1" si="203"/>
        <v>Late</v>
      </c>
      <c r="AL1831" s="268" t="str">
        <f t="shared" si="208"/>
        <v>July</v>
      </c>
      <c r="AM1831" s="133">
        <f>YEAR(Table1[[#This Row],[ETA
As requested
dd.mm.yyyy]])</f>
        <v>2025</v>
      </c>
    </row>
    <row r="1832" spans="1:40" hidden="1">
      <c r="A1832" s="123" t="s">
        <v>27</v>
      </c>
      <c r="B1832" s="36" t="s">
        <v>1170</v>
      </c>
      <c r="C1832" s="117">
        <v>5500511045</v>
      </c>
      <c r="D1832" s="165">
        <v>45440</v>
      </c>
      <c r="E1832" s="117" t="s">
        <v>56</v>
      </c>
      <c r="F1832" s="36" t="str">
        <f>IFERROR(VLOOKUP(Table1[[#This Row],[Part Number]],DATABASE_FG!$C$6:D11821,2,FALSE)," ")</f>
        <v>PLATE              4WRPN 6/ ADAPTER</v>
      </c>
      <c r="G1832" s="117" t="str">
        <f>IFERROR(_xlfn.XLOOKUP(Table1[[#This Row],[Part Number]],Table3[Part number],Table3[Drawing
 Revision]),"")</f>
        <v>AD</v>
      </c>
      <c r="H1832" s="118" cm="1">
        <f t="array" ref="H1832">IFERROR(INDEX(PDB!$C:$AT,MATCH(E1832,PDB!$B:$B,0),MATCH(YEAR(K1832),0+PDB!$C$1:$AT$1,0)),"")</f>
        <v>4.4000000000000004</v>
      </c>
      <c r="I1832" s="36">
        <f>209-35-81</f>
        <v>93</v>
      </c>
      <c r="J1832" s="125">
        <f>IFERROR(Table1[[#This Row],[Quantity]]*Table1[[#This Row],[Price/Unit
EUR]]," ")</f>
        <v>409.20000000000005</v>
      </c>
      <c r="K1832" s="126">
        <v>45852</v>
      </c>
      <c r="L1832" s="36">
        <f>WEEKNUM(Table1[[#This Row],[ETA
As requested
dd.mm.yyyy]])</f>
        <v>29</v>
      </c>
      <c r="M1832" s="36">
        <f>YEAR(Table1[[#This Row],[ETA
As requested
dd.mm.yyyy]])</f>
        <v>2025</v>
      </c>
      <c r="N1832" s="36">
        <f>IFERROR(INDEX(DATABASE_FG!$H$5:$H$367, MATCH(E1832, DATABASE_FG!$C$5:$C$367, 0)), " ")</f>
        <v>0</v>
      </c>
      <c r="O1832" s="129" t="str">
        <f>IF(E1832&lt;&gt;"", _xlfn.XLOOKUP(E1832, DATABASE_FG!C:C, DATABASE_FG!F:F), " ")</f>
        <v>PLATE</v>
      </c>
      <c r="P1832" s="129">
        <f>IFERROR(INDEX(DATABASE_FG!$G$5:$G$367, MATCH(E1832, DATABASE_FG!$C$5:$C$367, 0)), "Not Found")</f>
        <v>500</v>
      </c>
      <c r="Q1832" s="36">
        <v>61</v>
      </c>
      <c r="R1832" s="125" t="s">
        <v>678</v>
      </c>
      <c r="S1832" s="123">
        <f>IFERROR(INDEX(DATABASE_FG!$L$5:$L$367, MATCH(E1832, DATABASE_FG!$C$5:$C$367, 0)), " ")</f>
        <v>42</v>
      </c>
      <c r="T1832" s="36" t="s">
        <v>679</v>
      </c>
      <c r="U1832" s="36"/>
      <c r="V1832" s="36"/>
      <c r="W1832" s="129"/>
      <c r="X1832" s="36"/>
      <c r="Y1832" s="36"/>
      <c r="Z1832" s="36"/>
      <c r="AA1832" s="125" t="s">
        <v>121</v>
      </c>
      <c r="AB1832" s="172">
        <v>45877</v>
      </c>
      <c r="AC1832" s="119">
        <v>251125</v>
      </c>
      <c r="AD1832" s="36">
        <f t="shared" si="209"/>
        <v>5500511045</v>
      </c>
      <c r="AE1832" s="36" t="str">
        <f t="shared" si="210"/>
        <v>R901321450</v>
      </c>
      <c r="AF1832" s="36">
        <v>93</v>
      </c>
      <c r="AG1832" s="120">
        <f t="shared" si="204"/>
        <v>409.20000000000005</v>
      </c>
      <c r="AH1832" s="36"/>
      <c r="AI1832" s="124"/>
      <c r="AJ1832" s="122"/>
      <c r="AK1832" s="129" t="str">
        <f t="shared" ca="1" si="203"/>
        <v>Late</v>
      </c>
      <c r="AL1832" s="268" t="str">
        <f t="shared" si="208"/>
        <v>July</v>
      </c>
      <c r="AM1832" s="133">
        <f>YEAR(Table1[[#This Row],[ETA
As requested
dd.mm.yyyy]])</f>
        <v>2025</v>
      </c>
    </row>
    <row r="1833" spans="1:40" hidden="1">
      <c r="A1833" s="123" t="s">
        <v>27</v>
      </c>
      <c r="B1833" s="36" t="s">
        <v>1170</v>
      </c>
      <c r="C1833" s="117">
        <v>5500511045</v>
      </c>
      <c r="D1833" s="165">
        <v>45440</v>
      </c>
      <c r="E1833" s="117" t="s">
        <v>56</v>
      </c>
      <c r="F1833" s="36" t="str">
        <f>IFERROR(VLOOKUP(Table1[[#This Row],[Part Number]],DATABASE_FG!$C$6:D11822,2,FALSE)," ")</f>
        <v>PLATE              4WRPN 6/ ADAPTER</v>
      </c>
      <c r="G1833" s="117" t="str">
        <f>IFERROR(_xlfn.XLOOKUP(Table1[[#This Row],[Part Number]],Table3[Part number],Table3[Drawing
 Revision]),"")</f>
        <v>AD</v>
      </c>
      <c r="H1833" s="118" cm="1">
        <f t="array" ref="H1833">IFERROR(INDEX(PDB!$C:$AT,MATCH(E1833,PDB!$B:$B,0),MATCH(YEAR(K1833),0+PDB!$C$1:$AT$1,0)),"")</f>
        <v>4.4000000000000004</v>
      </c>
      <c r="I1833" s="36">
        <v>159</v>
      </c>
      <c r="J1833" s="125">
        <f>IFERROR(Table1[[#This Row],[Quantity]]*Table1[[#This Row],[Price/Unit
EUR]]," ")</f>
        <v>699.6</v>
      </c>
      <c r="K1833" s="126">
        <v>45861</v>
      </c>
      <c r="L1833" s="36">
        <f>WEEKNUM(Table1[[#This Row],[ETA
As requested
dd.mm.yyyy]])</f>
        <v>30</v>
      </c>
      <c r="M1833" s="36">
        <f>YEAR(Table1[[#This Row],[ETA
As requested
dd.mm.yyyy]])</f>
        <v>2025</v>
      </c>
      <c r="N1833" s="36">
        <f>IFERROR(INDEX(DATABASE_FG!$H$5:$H$367, MATCH(E1833, DATABASE_FG!$C$5:$C$367, 0)), " ")</f>
        <v>0</v>
      </c>
      <c r="O1833" s="129" t="str">
        <f>IF(E1833&lt;&gt;"", _xlfn.XLOOKUP(E1833, DATABASE_FG!C:C, DATABASE_FG!F:F), " ")</f>
        <v>PLATE</v>
      </c>
      <c r="P1833" s="129">
        <f>IFERROR(INDEX(DATABASE_FG!$G$5:$G$367, MATCH(E1833, DATABASE_FG!$C$5:$C$367, 0)), "Not Found")</f>
        <v>500</v>
      </c>
      <c r="Q1833" s="36">
        <v>60</v>
      </c>
      <c r="R1833" s="125" t="s">
        <v>678</v>
      </c>
      <c r="S1833" s="123">
        <f>IFERROR(INDEX(DATABASE_FG!$L$5:$L$367, MATCH(E1833, DATABASE_FG!$C$5:$C$367, 0)), " ")</f>
        <v>42</v>
      </c>
      <c r="T1833" s="36" t="s">
        <v>679</v>
      </c>
      <c r="U1833" s="36"/>
      <c r="V1833" s="36"/>
      <c r="W1833" s="129" t="s">
        <v>677</v>
      </c>
      <c r="X1833" s="36"/>
      <c r="Y1833" s="36"/>
      <c r="Z1833" s="36"/>
      <c r="AA1833" s="125" t="s">
        <v>121</v>
      </c>
      <c r="AB1833" s="173">
        <v>45877</v>
      </c>
      <c r="AC1833" s="119">
        <v>251125</v>
      </c>
      <c r="AD1833" s="36">
        <f t="shared" si="209"/>
        <v>5500511045</v>
      </c>
      <c r="AE1833" s="36" t="str">
        <f t="shared" si="210"/>
        <v>R901321450</v>
      </c>
      <c r="AF1833" s="36">
        <v>159</v>
      </c>
      <c r="AG1833" s="120">
        <f t="shared" si="204"/>
        <v>699.6</v>
      </c>
      <c r="AH1833" s="36"/>
      <c r="AI1833" s="124"/>
      <c r="AJ1833" s="122"/>
      <c r="AK1833" s="129" t="str">
        <f t="shared" ca="1" si="203"/>
        <v>Late</v>
      </c>
      <c r="AL1833" s="268" t="str">
        <f t="shared" si="208"/>
        <v>July</v>
      </c>
      <c r="AM1833" s="133">
        <f>YEAR(Table1[[#This Row],[ETA
As requested
dd.mm.yyyy]])</f>
        <v>2025</v>
      </c>
    </row>
    <row r="1834" spans="1:40" hidden="1">
      <c r="A1834" s="123" t="s">
        <v>27</v>
      </c>
      <c r="B1834" s="36" t="s">
        <v>1170</v>
      </c>
      <c r="C1834" s="117">
        <v>5500511045</v>
      </c>
      <c r="D1834" s="165">
        <v>45440</v>
      </c>
      <c r="E1834" s="117" t="s">
        <v>56</v>
      </c>
      <c r="F1834" s="36" t="str">
        <f>IFERROR(VLOOKUP(Table1[[#This Row],[Part Number]],DATABASE_FG!$C$6:D11823,2,FALSE)," ")</f>
        <v>PLATE              4WRPN 6/ ADAPTER</v>
      </c>
      <c r="G1834" s="117" t="str">
        <f>IFERROR(_xlfn.XLOOKUP(Table1[[#This Row],[Part Number]],Table3[Part number],Table3[Drawing
 Revision]),"")</f>
        <v>AD</v>
      </c>
      <c r="H1834" s="118" cm="1">
        <f t="array" ref="H1834">IFERROR(INDEX(PDB!$C:$AT,MATCH(E1834,PDB!$B:$B,0),MATCH(YEAR(K1834),0+PDB!$C$1:$AT$1,0)),"")</f>
        <v>4.4000000000000004</v>
      </c>
      <c r="I1834" s="36">
        <v>145</v>
      </c>
      <c r="J1834" s="125">
        <f>IFERROR(Table1[[#This Row],[Quantity]]*Table1[[#This Row],[Price/Unit
EUR]]," ")</f>
        <v>638</v>
      </c>
      <c r="K1834" s="126">
        <v>45861</v>
      </c>
      <c r="L1834" s="36">
        <f>WEEKNUM(Table1[[#This Row],[ETA
As requested
dd.mm.yyyy]])</f>
        <v>30</v>
      </c>
      <c r="M1834" s="36">
        <f>YEAR(Table1[[#This Row],[ETA
As requested
dd.mm.yyyy]])</f>
        <v>2025</v>
      </c>
      <c r="N1834" s="36">
        <f>IFERROR(INDEX(DATABASE_FG!$H$5:$H$367, MATCH(E1834, DATABASE_FG!$C$5:$C$367, 0)), " ")</f>
        <v>0</v>
      </c>
      <c r="O1834" s="129" t="str">
        <f>IF(E1834&lt;&gt;"", _xlfn.XLOOKUP(E1834, DATABASE_FG!C:C, DATABASE_FG!F:F), " ")</f>
        <v>PLATE</v>
      </c>
      <c r="P1834" s="129">
        <f>IFERROR(INDEX(DATABASE_FG!$G$5:$G$367, MATCH(E1834, DATABASE_FG!$C$5:$C$367, 0)), "Not Found")</f>
        <v>500</v>
      </c>
      <c r="Q1834" s="36">
        <v>60</v>
      </c>
      <c r="R1834" s="125" t="s">
        <v>678</v>
      </c>
      <c r="S1834" s="123">
        <f>IFERROR(INDEX(DATABASE_FG!$L$5:$L$367, MATCH(E1834, DATABASE_FG!$C$5:$C$367, 0)), " ")</f>
        <v>42</v>
      </c>
      <c r="T1834" s="36" t="s">
        <v>679</v>
      </c>
      <c r="U1834" s="36"/>
      <c r="V1834" s="36"/>
      <c r="W1834" s="129" t="s">
        <v>677</v>
      </c>
      <c r="X1834" s="36"/>
      <c r="Y1834" s="36"/>
      <c r="Z1834" s="36"/>
      <c r="AA1834" s="125" t="s">
        <v>121</v>
      </c>
      <c r="AB1834" s="173">
        <v>45916</v>
      </c>
      <c r="AC1834" s="119">
        <v>251155</v>
      </c>
      <c r="AD1834" s="36">
        <f t="shared" si="209"/>
        <v>5500511045</v>
      </c>
      <c r="AE1834" s="36" t="str">
        <f t="shared" si="210"/>
        <v>R901321450</v>
      </c>
      <c r="AF1834" s="36">
        <v>145</v>
      </c>
      <c r="AG1834" s="120">
        <f t="shared" si="204"/>
        <v>638</v>
      </c>
      <c r="AH1834" s="36"/>
      <c r="AI1834" s="124"/>
      <c r="AJ1834" s="122" t="s">
        <v>3454</v>
      </c>
      <c r="AK1834" s="129" t="str">
        <f t="shared" ca="1" si="203"/>
        <v>Late</v>
      </c>
      <c r="AL1834" s="268" t="str">
        <f t="shared" si="208"/>
        <v>July</v>
      </c>
      <c r="AM1834" s="133">
        <f>YEAR(Table1[[#This Row],[ETA
As requested
dd.mm.yyyy]])</f>
        <v>2025</v>
      </c>
    </row>
    <row r="1835" spans="1:40" ht="18.75" hidden="1" customHeight="1">
      <c r="A1835" s="123" t="s">
        <v>27</v>
      </c>
      <c r="B1835" s="36" t="s">
        <v>1170</v>
      </c>
      <c r="C1835" s="117">
        <v>5500511045</v>
      </c>
      <c r="D1835" s="165">
        <v>45440</v>
      </c>
      <c r="E1835" s="117" t="s">
        <v>56</v>
      </c>
      <c r="F1835" s="36" t="str">
        <f>IFERROR(VLOOKUP(Table1[[#This Row],[Part Number]],DATABASE_FG!$C$6:D11824,2,FALSE)," ")</f>
        <v>PLATE              4WRPN 6/ ADAPTER</v>
      </c>
      <c r="G1835" s="117" t="str">
        <f>IFERROR(_xlfn.XLOOKUP(Table1[[#This Row],[Part Number]],Table3[Part number],Table3[Drawing
 Revision]),"")</f>
        <v>AD</v>
      </c>
      <c r="H1835" s="118" cm="1">
        <f t="array" ref="H1835">IFERROR(INDEX(PDB!$C:$AT,MATCH(E1835,PDB!$B:$B,0),MATCH(YEAR(K1835),0+PDB!$C$1:$AT$1,0)),"")</f>
        <v>4.4000000000000004</v>
      </c>
      <c r="I1835" s="36">
        <f>500-159-145</f>
        <v>196</v>
      </c>
      <c r="J1835" s="125">
        <f>IFERROR(Table1[[#This Row],[Quantity]]*Table1[[#This Row],[Price/Unit
EUR]]," ")</f>
        <v>862.40000000000009</v>
      </c>
      <c r="K1835" s="126">
        <v>45861</v>
      </c>
      <c r="L1835" s="36">
        <f>WEEKNUM(Table1[[#This Row],[ETA
As requested
dd.mm.yyyy]])</f>
        <v>30</v>
      </c>
      <c r="M1835" s="36">
        <f>YEAR(Table1[[#This Row],[ETA
As requested
dd.mm.yyyy]])</f>
        <v>2025</v>
      </c>
      <c r="N1835" s="36">
        <f>IFERROR(INDEX(DATABASE_FG!$H$5:$H$367, MATCH(E1835, DATABASE_FG!$C$5:$C$367, 0)), " ")</f>
        <v>0</v>
      </c>
      <c r="O1835" s="129" t="str">
        <f>IF(E1835&lt;&gt;"", _xlfn.XLOOKUP(E1835, DATABASE_FG!C:C, DATABASE_FG!F:F), " ")</f>
        <v>PLATE</v>
      </c>
      <c r="P1835" s="129">
        <f>IFERROR(INDEX(DATABASE_FG!$G$5:$G$367, MATCH(E1835, DATABASE_FG!$C$5:$C$367, 0)), "Not Found")</f>
        <v>500</v>
      </c>
      <c r="Q1835" s="36">
        <v>60</v>
      </c>
      <c r="R1835" s="125" t="s">
        <v>678</v>
      </c>
      <c r="S1835" s="123">
        <f>Table1[[#This Row],[Quantity]]/48</f>
        <v>4.083333333333333</v>
      </c>
      <c r="T1835" s="36"/>
      <c r="U1835" s="36"/>
      <c r="V1835" s="36"/>
      <c r="W1835" s="129"/>
      <c r="X1835" s="36"/>
      <c r="Y1835" s="36"/>
      <c r="Z1835" s="36"/>
      <c r="AA1835" s="125" t="s">
        <v>121</v>
      </c>
      <c r="AB1835" s="172">
        <v>45924</v>
      </c>
      <c r="AC1835" s="119">
        <v>251164</v>
      </c>
      <c r="AD1835" s="36">
        <f t="shared" si="209"/>
        <v>5500511045</v>
      </c>
      <c r="AE1835" s="36" t="str">
        <f t="shared" si="210"/>
        <v>R901321450</v>
      </c>
      <c r="AF1835" s="36">
        <v>196</v>
      </c>
      <c r="AG1835" s="120">
        <f t="shared" si="204"/>
        <v>862.40000000000009</v>
      </c>
      <c r="AH1835" s="36"/>
      <c r="AI1835" s="124"/>
      <c r="AJ1835" s="122" t="s">
        <v>3455</v>
      </c>
      <c r="AK1835" s="129" t="str">
        <f t="shared" ca="1" si="203"/>
        <v>Late</v>
      </c>
      <c r="AL1835" s="268" t="str">
        <f t="shared" si="208"/>
        <v>July</v>
      </c>
      <c r="AM1835" s="133">
        <f>YEAR(Table1[[#This Row],[ETA
As requested
dd.mm.yyyy]])</f>
        <v>2025</v>
      </c>
      <c r="AN1835" s="191"/>
    </row>
    <row r="1836" spans="1:40" hidden="1">
      <c r="A1836" s="123" t="s">
        <v>27</v>
      </c>
      <c r="B1836" s="36" t="s">
        <v>1170</v>
      </c>
      <c r="C1836" s="117">
        <v>5500511045</v>
      </c>
      <c r="D1836" s="165">
        <v>45440</v>
      </c>
      <c r="E1836" s="117" t="s">
        <v>56</v>
      </c>
      <c r="F1836" s="36" t="str">
        <f>IFERROR(VLOOKUP(Table1[[#This Row],[Part Number]],DATABASE_FG!$C$6:D11825,2,FALSE)," ")</f>
        <v>PLATE              4WRPN 6/ ADAPTER</v>
      </c>
      <c r="G1836" s="117" t="str">
        <f>IFERROR(_xlfn.XLOOKUP(Table1[[#This Row],[Part Number]],Table3[Part number],Table3[Drawing
 Revision]),"")</f>
        <v>AD</v>
      </c>
      <c r="H1836" s="118" cm="1">
        <f t="array" ref="H1836">IFERROR(INDEX(PDB!$C:$AT,MATCH(E1836,PDB!$B:$B,0),MATCH(YEAR(K1836),0+PDB!$C$1:$AT$1,0)),"")</f>
        <v>4.4000000000000004</v>
      </c>
      <c r="I1836" s="36">
        <v>123</v>
      </c>
      <c r="J1836" s="125">
        <f>IFERROR(Table1[[#This Row],[Quantity]]*Table1[[#This Row],[Price/Unit
EUR]]," ")</f>
        <v>541.20000000000005</v>
      </c>
      <c r="K1836" s="126">
        <v>45931</v>
      </c>
      <c r="L1836" s="36">
        <f>WEEKNUM(Table1[[#This Row],[ETA
As requested
dd.mm.yyyy]])</f>
        <v>40</v>
      </c>
      <c r="M1836" s="36">
        <f>YEAR(Table1[[#This Row],[ETA
As requested
dd.mm.yyyy]])</f>
        <v>2025</v>
      </c>
      <c r="N1836" s="36">
        <f>IFERROR(INDEX(DATABASE_FG!$H$5:$H$367, MATCH(E1836, DATABASE_FG!$C$5:$C$367, 0)), " ")</f>
        <v>0</v>
      </c>
      <c r="O1836" s="129" t="str">
        <f>IF(E1836&lt;&gt;"", _xlfn.XLOOKUP(E1836, DATABASE_FG!C:C, DATABASE_FG!F:F), " ")</f>
        <v>PLATE</v>
      </c>
      <c r="P1836" s="129">
        <f>IFERROR(INDEX(DATABASE_FG!$G$5:$G$367, MATCH(E1836, DATABASE_FG!$C$5:$C$367, 0)), "Not Found")</f>
        <v>500</v>
      </c>
      <c r="Q1836" s="36">
        <v>60</v>
      </c>
      <c r="R1836" s="125" t="s">
        <v>678</v>
      </c>
      <c r="S1836" s="123">
        <f>IFERROR(INDEX(DATABASE_FG!$L$5:$L$367, MATCH(E1836, DATABASE_FG!$C$5:$C$367, 0)), " ")</f>
        <v>42</v>
      </c>
      <c r="T1836" s="36" t="s">
        <v>679</v>
      </c>
      <c r="U1836" s="36"/>
      <c r="V1836" s="36"/>
      <c r="W1836" s="129" t="s">
        <v>677</v>
      </c>
      <c r="X1836" s="36"/>
      <c r="Y1836" s="36"/>
      <c r="Z1836" s="36"/>
      <c r="AA1836" s="125" t="s">
        <v>121</v>
      </c>
      <c r="AB1836" s="172">
        <v>45924</v>
      </c>
      <c r="AC1836" s="119">
        <v>251164</v>
      </c>
      <c r="AD1836" s="36">
        <f t="shared" si="209"/>
        <v>5500511045</v>
      </c>
      <c r="AE1836" s="36" t="str">
        <f t="shared" si="210"/>
        <v>R901321450</v>
      </c>
      <c r="AF1836" s="36">
        <v>123</v>
      </c>
      <c r="AG1836" s="120">
        <f t="shared" si="204"/>
        <v>541.20000000000005</v>
      </c>
      <c r="AH1836" s="36"/>
      <c r="AI1836" s="124"/>
      <c r="AJ1836" s="122" t="s">
        <v>3455</v>
      </c>
      <c r="AK1836" s="129" t="str">
        <f t="shared" ca="1" si="203"/>
        <v>On Time</v>
      </c>
      <c r="AL1836" s="268" t="str">
        <f t="shared" si="208"/>
        <v>October</v>
      </c>
      <c r="AM1836" s="133">
        <f>YEAR(Table1[[#This Row],[ETA
As requested
dd.mm.yyyy]])</f>
        <v>2025</v>
      </c>
    </row>
    <row r="1837" spans="1:40" hidden="1">
      <c r="A1837" s="123" t="s">
        <v>27</v>
      </c>
      <c r="B1837" s="36" t="s">
        <v>2464</v>
      </c>
      <c r="C1837" s="117">
        <v>5500511045</v>
      </c>
      <c r="D1837" s="165">
        <v>45440</v>
      </c>
      <c r="E1837" s="117" t="s">
        <v>56</v>
      </c>
      <c r="F1837" s="36" t="str">
        <f>IFERROR(VLOOKUP(Table1[[#This Row],[Part Number]],DATABASE_FG!$C$6:D11826,2,FALSE)," ")</f>
        <v>PLATE              4WRPN 6/ ADAPTER</v>
      </c>
      <c r="G1837" s="117" t="str">
        <f>IFERROR(_xlfn.XLOOKUP(Table1[[#This Row],[Part Number]],Table3[Part number],Table3[Drawing
 Revision]),"")</f>
        <v>AD</v>
      </c>
      <c r="H1837" s="118" cm="1">
        <f t="array" ref="H1837">IFERROR(INDEX(PDB!$C:$AT,MATCH(E1837,PDB!$B:$B,0),MATCH(YEAR(K1837),0+PDB!$C$1:$AT$1,0)),"")</f>
        <v>4.4000000000000004</v>
      </c>
      <c r="I1837" s="36">
        <v>130</v>
      </c>
      <c r="J1837" s="125">
        <f>IFERROR(Table1[[#This Row],[Quantity]]*Table1[[#This Row],[Price/Unit
EUR]]," ")</f>
        <v>572</v>
      </c>
      <c r="K1837" s="126">
        <v>45953</v>
      </c>
      <c r="L1837" s="36">
        <f>WEEKNUM(Table1[[#This Row],[ETA
As requested
dd.mm.yyyy]])</f>
        <v>43</v>
      </c>
      <c r="M1837" s="36">
        <f>YEAR(Table1[[#This Row],[ETA
As requested
dd.mm.yyyy]])</f>
        <v>2025</v>
      </c>
      <c r="N1837" s="36">
        <f>IFERROR(INDEX(DATABASE_FG!$H$5:$H$367, MATCH(E1837, DATABASE_FG!$C$5:$C$367, 0)), " ")</f>
        <v>0</v>
      </c>
      <c r="O1837" s="129" t="str">
        <f>IF(E1837&lt;&gt;"", _xlfn.XLOOKUP(E1837, DATABASE_FG!C:C, DATABASE_FG!F:F), " ")</f>
        <v>PLATE</v>
      </c>
      <c r="P1837" s="129">
        <f>IFERROR(INDEX(DATABASE_FG!$G$5:$G$367, MATCH(E1837, DATABASE_FG!$C$5:$C$367, 0)), "Not Found")</f>
        <v>500</v>
      </c>
      <c r="Q1837" s="36">
        <v>60</v>
      </c>
      <c r="R1837" s="125" t="s">
        <v>678</v>
      </c>
      <c r="S1837" s="123">
        <f>Table1[[#This Row],[Quantity]]/48</f>
        <v>2.7083333333333335</v>
      </c>
      <c r="T1837" s="36"/>
      <c r="U1837" s="36"/>
      <c r="V1837" s="36"/>
      <c r="W1837" s="129"/>
      <c r="X1837" s="36"/>
      <c r="Y1837" s="36"/>
      <c r="Z1837" s="36"/>
      <c r="AA1837" s="125" t="s">
        <v>121</v>
      </c>
      <c r="AB1837" s="172">
        <v>45938</v>
      </c>
      <c r="AC1837" s="119">
        <v>251177</v>
      </c>
      <c r="AD1837" s="36">
        <f t="shared" si="209"/>
        <v>5500511045</v>
      </c>
      <c r="AE1837" s="36" t="str">
        <f t="shared" si="210"/>
        <v>R901321450</v>
      </c>
      <c r="AF1837" s="36">
        <v>130</v>
      </c>
      <c r="AG1837" s="120">
        <f t="shared" si="204"/>
        <v>572</v>
      </c>
      <c r="AH1837" s="36"/>
      <c r="AI1837" s="124"/>
      <c r="AJ1837" s="122" t="s">
        <v>4329</v>
      </c>
      <c r="AK1837" s="129" t="str">
        <f t="shared" ca="1" si="203"/>
        <v>On Time</v>
      </c>
      <c r="AL1837" s="268" t="str">
        <f t="shared" ref="AL1837" si="211">TEXT(K1837,"mmmm")</f>
        <v>October</v>
      </c>
      <c r="AM1837" s="133">
        <f>YEAR(Table1[[#This Row],[ETA
As requested
dd.mm.yyyy]])</f>
        <v>2025</v>
      </c>
      <c r="AN1837" s="191"/>
    </row>
    <row r="1838" spans="1:40" hidden="1">
      <c r="A1838" s="123" t="s">
        <v>27</v>
      </c>
      <c r="B1838" s="36" t="s">
        <v>2464</v>
      </c>
      <c r="C1838" s="117">
        <v>5500511045</v>
      </c>
      <c r="D1838" s="165">
        <v>45440</v>
      </c>
      <c r="E1838" s="117" t="s">
        <v>56</v>
      </c>
      <c r="F1838" s="36" t="str">
        <f>IFERROR(VLOOKUP(Table1[[#This Row],[Part Number]],DATABASE_FG!$C$6:D11827,2,FALSE)," ")</f>
        <v>PLATE              4WRPN 6/ ADAPTER</v>
      </c>
      <c r="G1838" s="117" t="str">
        <f>IFERROR(_xlfn.XLOOKUP(Table1[[#This Row],[Part Number]],Table3[Part number],Table3[Drawing
 Revision]),"")</f>
        <v>AD</v>
      </c>
      <c r="H1838" s="118" cm="1">
        <f t="array" ref="H1838">IFERROR(INDEX(PDB!$C:$AT,MATCH(E1838,PDB!$B:$B,0),MATCH(YEAR(K1838),0+PDB!$C$1:$AT$1,0)),"")</f>
        <v>4.4000000000000004</v>
      </c>
      <c r="I1838" s="36">
        <f>500-130</f>
        <v>370</v>
      </c>
      <c r="J1838" s="125">
        <f>IFERROR(Table1[[#This Row],[Quantity]]*Table1[[#This Row],[Price/Unit
EUR]]," ")</f>
        <v>1628.0000000000002</v>
      </c>
      <c r="K1838" s="126">
        <v>45953</v>
      </c>
      <c r="L1838" s="36">
        <f>WEEKNUM(Table1[[#This Row],[ETA
As requested
dd.mm.yyyy]])</f>
        <v>43</v>
      </c>
      <c r="M1838" s="36">
        <f>YEAR(Table1[[#This Row],[ETA
As requested
dd.mm.yyyy]])</f>
        <v>2025</v>
      </c>
      <c r="N1838" s="36">
        <f>IFERROR(INDEX(DATABASE_FG!$H$5:$H$367, MATCH(E1838, DATABASE_FG!$C$5:$C$367, 0)), " ")</f>
        <v>0</v>
      </c>
      <c r="O1838" s="129" t="str">
        <f>IF(E1838&lt;&gt;"", _xlfn.XLOOKUP(E1838, DATABASE_FG!C:C, DATABASE_FG!F:F), " ")</f>
        <v>PLATE</v>
      </c>
      <c r="P1838" s="129">
        <f>IFERROR(INDEX(DATABASE_FG!$G$5:$G$367, MATCH(E1838, DATABASE_FG!$C$5:$C$367, 0)), "Not Found")</f>
        <v>500</v>
      </c>
      <c r="Q1838" s="36">
        <v>60</v>
      </c>
      <c r="R1838" s="125" t="s">
        <v>678</v>
      </c>
      <c r="S1838" s="123">
        <f>IFERROR(INDEX(DATABASE_FG!$L$5:$L$367, MATCH(E1838, DATABASE_FG!$C$5:$C$367, 0)), " ")</f>
        <v>42</v>
      </c>
      <c r="T1838" s="36" t="s">
        <v>679</v>
      </c>
      <c r="U1838" s="36"/>
      <c r="V1838" s="36"/>
      <c r="W1838" s="129"/>
      <c r="X1838" s="36"/>
      <c r="Y1838" s="36"/>
      <c r="Z1838" s="36"/>
      <c r="AA1838" s="125" t="s">
        <v>121</v>
      </c>
      <c r="AB1838" s="173">
        <v>45945</v>
      </c>
      <c r="AC1838" s="119">
        <v>251188</v>
      </c>
      <c r="AD1838" s="36">
        <f t="shared" si="209"/>
        <v>5500511045</v>
      </c>
      <c r="AE1838" s="36" t="str">
        <f t="shared" si="210"/>
        <v>R901321450</v>
      </c>
      <c r="AF1838" s="36">
        <v>370</v>
      </c>
      <c r="AG1838" s="120">
        <f t="shared" si="204"/>
        <v>1628.0000000000002</v>
      </c>
      <c r="AH1838" s="36"/>
      <c r="AI1838" s="124"/>
      <c r="AJ1838" s="122" t="s">
        <v>4363</v>
      </c>
      <c r="AK1838" s="129" t="str">
        <f t="shared" ca="1" si="203"/>
        <v>On Time</v>
      </c>
      <c r="AL1838" s="268" t="str">
        <f t="shared" ref="AL1838:AL1905" si="212">TEXT(K1838,"mmmm")</f>
        <v>October</v>
      </c>
      <c r="AM1838" s="133">
        <f>YEAR(Table1[[#This Row],[ETA
As requested
dd.mm.yyyy]])</f>
        <v>2025</v>
      </c>
    </row>
    <row r="1839" spans="1:40" hidden="1">
      <c r="A1839" s="123" t="s">
        <v>27</v>
      </c>
      <c r="B1839" s="36" t="s">
        <v>2464</v>
      </c>
      <c r="C1839" s="117">
        <v>5500511045</v>
      </c>
      <c r="D1839" s="165">
        <v>45440</v>
      </c>
      <c r="E1839" s="117" t="s">
        <v>56</v>
      </c>
      <c r="F1839" s="36" t="str">
        <f>IFERROR(VLOOKUP(Table1[[#This Row],[Part Number]],DATABASE_FG!$C$6:D11828,2,FALSE)," ")</f>
        <v>PLATE              4WRPN 6/ ADAPTER</v>
      </c>
      <c r="G1839" s="117" t="str">
        <f>IFERROR(_xlfn.XLOOKUP(Table1[[#This Row],[Part Number]],Table3[Part number],Table3[Drawing
 Revision]),"")</f>
        <v>AD</v>
      </c>
      <c r="H1839" s="118" cm="1">
        <f t="array" ref="H1839">IFERROR(INDEX(PDB!$C:$AT,MATCH(E1839,PDB!$B:$B,0),MATCH(YEAR(K1839),0+PDB!$C$1:$AT$1,0)),"")</f>
        <v>4.4000000000000004</v>
      </c>
      <c r="I1839" s="36">
        <v>134</v>
      </c>
      <c r="J1839" s="125">
        <f>IFERROR(Table1[[#This Row],[Quantity]]*Table1[[#This Row],[Price/Unit
EUR]]," ")</f>
        <v>589.6</v>
      </c>
      <c r="K1839" s="126">
        <v>45988</v>
      </c>
      <c r="L1839" s="36">
        <f>WEEKNUM(Table1[[#This Row],[ETA
As requested
dd.mm.yyyy]])</f>
        <v>48</v>
      </c>
      <c r="M1839" s="36">
        <f>YEAR(Table1[[#This Row],[ETA
As requested
dd.mm.yyyy]])</f>
        <v>2025</v>
      </c>
      <c r="N1839" s="36">
        <f>IFERROR(INDEX(DATABASE_FG!$H$5:$H$367, MATCH(E1839, DATABASE_FG!$C$5:$C$367, 0)), " ")</f>
        <v>0</v>
      </c>
      <c r="O1839" s="129" t="str">
        <f>IF(E1839&lt;&gt;"", _xlfn.XLOOKUP(E1839, DATABASE_FG!C:C, DATABASE_FG!F:F), " ")</f>
        <v>PLATE</v>
      </c>
      <c r="P1839" s="129">
        <f>IFERROR(INDEX(DATABASE_FG!$G$5:$G$367, MATCH(E1839, DATABASE_FG!$C$5:$C$367, 0)), "Not Found")</f>
        <v>500</v>
      </c>
      <c r="Q1839" s="36">
        <v>60</v>
      </c>
      <c r="R1839" s="125" t="s">
        <v>678</v>
      </c>
      <c r="S1839" s="123">
        <f>Table1[[#This Row],[Quantity]]/48</f>
        <v>2.7916666666666665</v>
      </c>
      <c r="T1839" s="36"/>
      <c r="U1839" s="36"/>
      <c r="V1839" s="36"/>
      <c r="W1839" s="129"/>
      <c r="X1839" s="36"/>
      <c r="Y1839" s="36"/>
      <c r="Z1839" s="36"/>
      <c r="AA1839" s="125" t="s">
        <v>121</v>
      </c>
      <c r="AB1839" s="173">
        <v>45945</v>
      </c>
      <c r="AC1839" s="119">
        <v>251188</v>
      </c>
      <c r="AD1839" s="36">
        <f t="shared" si="209"/>
        <v>5500511045</v>
      </c>
      <c r="AE1839" s="36" t="str">
        <f t="shared" si="210"/>
        <v>R901321450</v>
      </c>
      <c r="AF1839" s="36">
        <v>134</v>
      </c>
      <c r="AG1839" s="120">
        <f t="shared" si="204"/>
        <v>589.6</v>
      </c>
      <c r="AH1839" s="36"/>
      <c r="AI1839" s="124"/>
      <c r="AJ1839" s="122" t="s">
        <v>4363</v>
      </c>
      <c r="AK1839" s="129" t="str">
        <f t="shared" ca="1" si="203"/>
        <v>On Time</v>
      </c>
      <c r="AL1839" s="268" t="str">
        <f t="shared" si="212"/>
        <v>November</v>
      </c>
      <c r="AM1839" s="133">
        <f>YEAR(Table1[[#This Row],[ETA
As requested
dd.mm.yyyy]])</f>
        <v>2025</v>
      </c>
      <c r="AN1839" s="191"/>
    </row>
    <row r="1840" spans="1:40" hidden="1">
      <c r="A1840" s="123" t="s">
        <v>27</v>
      </c>
      <c r="B1840" s="36" t="s">
        <v>2464</v>
      </c>
      <c r="C1840" s="117">
        <v>5500511045</v>
      </c>
      <c r="D1840" s="165">
        <v>45440</v>
      </c>
      <c r="E1840" s="117" t="s">
        <v>56</v>
      </c>
      <c r="F1840" s="36" t="str">
        <f>IFERROR(VLOOKUP(Table1[[#This Row],[Part Number]],DATABASE_FG!$C$6:D11829,2,FALSE)," ")</f>
        <v>PLATE              4WRPN 6/ ADAPTER</v>
      </c>
      <c r="G1840" s="117" t="str">
        <f>IFERROR(_xlfn.XLOOKUP(Table1[[#This Row],[Part Number]],Table3[Part number],Table3[Drawing
 Revision]),"")</f>
        <v>AD</v>
      </c>
      <c r="H1840" s="118" cm="1">
        <f t="array" ref="H1840">IFERROR(INDEX(PDB!$C:$AT,MATCH(E1840,PDB!$B:$B,0),MATCH(YEAR(K1840),0+PDB!$C$1:$AT$1,0)),"")</f>
        <v>4.4000000000000004</v>
      </c>
      <c r="I1840" s="36">
        <v>49</v>
      </c>
      <c r="J1840" s="125">
        <f>IFERROR(Table1[[#This Row],[Quantity]]*Table1[[#This Row],[Price/Unit
EUR]]," ")</f>
        <v>215.60000000000002</v>
      </c>
      <c r="K1840" s="126">
        <v>45988</v>
      </c>
      <c r="L1840" s="36">
        <f>WEEKNUM(Table1[[#This Row],[ETA
As requested
dd.mm.yyyy]])</f>
        <v>48</v>
      </c>
      <c r="M1840" s="36">
        <f>YEAR(Table1[[#This Row],[ETA
As requested
dd.mm.yyyy]])</f>
        <v>2025</v>
      </c>
      <c r="N1840" s="36">
        <f>IFERROR(INDEX(DATABASE_FG!$H$5:$H$367, MATCH(E1840, DATABASE_FG!$C$5:$C$367, 0)), " ")</f>
        <v>0</v>
      </c>
      <c r="O1840" s="129" t="str">
        <f>IF(E1840&lt;&gt;"", _xlfn.XLOOKUP(E1840, DATABASE_FG!C:C, DATABASE_FG!F:F), " ")</f>
        <v>PLATE</v>
      </c>
      <c r="P1840" s="129">
        <f>IFERROR(INDEX(DATABASE_FG!$G$5:$G$367, MATCH(E1840, DATABASE_FG!$C$5:$C$367, 0)), "Not Found")</f>
        <v>500</v>
      </c>
      <c r="Q1840" s="36">
        <v>60</v>
      </c>
      <c r="R1840" s="125" t="s">
        <v>678</v>
      </c>
      <c r="S1840" s="123">
        <f>Table1[[#This Row],[Quantity]]/48</f>
        <v>1.0208333333333333</v>
      </c>
      <c r="T1840" s="36"/>
      <c r="U1840" s="36"/>
      <c r="V1840" s="36"/>
      <c r="W1840" s="129"/>
      <c r="X1840" s="36"/>
      <c r="Y1840" s="36"/>
      <c r="Z1840" s="36"/>
      <c r="AA1840" s="125" t="s">
        <v>121</v>
      </c>
      <c r="AB1840" s="173">
        <v>45961</v>
      </c>
      <c r="AC1840" s="119">
        <v>251222</v>
      </c>
      <c r="AD1840" s="36">
        <f>IF(NOT(ISBLANK(AC1840)), C1840, "")</f>
        <v>5500511045</v>
      </c>
      <c r="AE1840" s="36" t="str">
        <f>IF(NOT(ISBLANK(AC1840)), E1840, "")</f>
        <v>R901321450</v>
      </c>
      <c r="AF1840" s="36">
        <v>49</v>
      </c>
      <c r="AG1840" s="120">
        <f>AF1840*H1840</f>
        <v>215.60000000000002</v>
      </c>
      <c r="AH1840" s="36"/>
      <c r="AI1840" s="124"/>
      <c r="AJ1840" s="122" t="s">
        <v>4485</v>
      </c>
      <c r="AK1840" s="129" t="str">
        <f ca="1">IF(AB1840="", IF(K1840 &lt; TODAY(), "Late", ""), IF(AB1840 &lt;= K1840 + 2, "On Time", "Late"))</f>
        <v>On Time</v>
      </c>
      <c r="AL1840" s="268" t="str">
        <f>TEXT(K1840,"mmmm")</f>
        <v>November</v>
      </c>
      <c r="AM1840" s="133">
        <f>YEAR(Table1[[#This Row],[ETA
As requested
dd.mm.yyyy]])</f>
        <v>2025</v>
      </c>
      <c r="AN1840" s="191"/>
    </row>
    <row r="1841" spans="1:40" hidden="1">
      <c r="A1841" s="123" t="s">
        <v>27</v>
      </c>
      <c r="B1841" s="36" t="s">
        <v>2464</v>
      </c>
      <c r="C1841" s="117">
        <v>5500511045</v>
      </c>
      <c r="D1841" s="165">
        <v>45440</v>
      </c>
      <c r="E1841" s="117" t="s">
        <v>56</v>
      </c>
      <c r="F1841" s="36" t="str">
        <f>IFERROR(VLOOKUP(Table1[[#This Row],[Part Number]],DATABASE_FG!$C$6:D11830,2,FALSE)," ")</f>
        <v>PLATE              4WRPN 6/ ADAPTER</v>
      </c>
      <c r="G1841" s="117" t="str">
        <f>IFERROR(_xlfn.XLOOKUP(Table1[[#This Row],[Part Number]],Table3[Part number],Table3[Drawing
 Revision]),"")</f>
        <v>AD</v>
      </c>
      <c r="H1841" s="118" cm="1">
        <f t="array" ref="H1841">IFERROR(INDEX(PDB!$C:$AT,MATCH(E1841,PDB!$B:$B,0),MATCH(YEAR(K1841),0+PDB!$C$1:$AT$1,0)),"")</f>
        <v>4.4000000000000004</v>
      </c>
      <c r="I1841" s="36">
        <f>500-134-49</f>
        <v>317</v>
      </c>
      <c r="J1841" s="125">
        <f>IFERROR(Table1[[#This Row],[Quantity]]*Table1[[#This Row],[Price/Unit
EUR]]," ")</f>
        <v>1394.8000000000002</v>
      </c>
      <c r="K1841" s="126">
        <v>45988</v>
      </c>
      <c r="L1841" s="36">
        <f>WEEKNUM(Table1[[#This Row],[ETA
As requested
dd.mm.yyyy]])</f>
        <v>48</v>
      </c>
      <c r="M1841" s="36">
        <f>YEAR(Table1[[#This Row],[ETA
As requested
dd.mm.yyyy]])</f>
        <v>2025</v>
      </c>
      <c r="N1841" s="36">
        <f>IFERROR(INDEX(DATABASE_FG!$H$5:$H$367, MATCH(E1841, DATABASE_FG!$C$5:$C$367, 0)), " ")</f>
        <v>0</v>
      </c>
      <c r="O1841" s="129" t="str">
        <f>IF(E1841&lt;&gt;"", _xlfn.XLOOKUP(E1841, DATABASE_FG!C:C, DATABASE_FG!F:F), " ")</f>
        <v>PLATE</v>
      </c>
      <c r="P1841" s="129">
        <f>IFERROR(INDEX(DATABASE_FG!$G$5:$G$367, MATCH(E1841, DATABASE_FG!$C$5:$C$367, 0)), "Not Found")</f>
        <v>500</v>
      </c>
      <c r="Q1841" s="36">
        <v>60</v>
      </c>
      <c r="R1841" s="125" t="s">
        <v>678</v>
      </c>
      <c r="S1841" s="123">
        <f>IFERROR(INDEX(DATABASE_FG!$L$5:$L$367, MATCH(E1841, DATABASE_FG!$C$5:$C$367, 0)), " ")</f>
        <v>42</v>
      </c>
      <c r="T1841" s="36" t="s">
        <v>679</v>
      </c>
      <c r="U1841" s="36"/>
      <c r="V1841" s="36"/>
      <c r="W1841" s="129"/>
      <c r="X1841" s="36"/>
      <c r="Y1841" s="36"/>
      <c r="Z1841" s="36"/>
      <c r="AA1841" s="125" t="s">
        <v>3</v>
      </c>
      <c r="AB1841" s="173"/>
      <c r="AC1841" s="119"/>
      <c r="AD1841" s="36" t="str">
        <f t="shared" si="209"/>
        <v/>
      </c>
      <c r="AE1841" s="36" t="str">
        <f t="shared" si="210"/>
        <v/>
      </c>
      <c r="AF1841" s="36"/>
      <c r="AG1841" s="120">
        <f t="shared" si="204"/>
        <v>0</v>
      </c>
      <c r="AH1841" s="36"/>
      <c r="AI1841" s="124"/>
      <c r="AJ1841" s="122"/>
      <c r="AK1841" s="129" t="str">
        <f t="shared" ref="AK1841:AK1907" ca="1" si="213">IF(AB1841="", IF(K1841 &lt; TODAY(), "Late", ""), IF(AB1841 &lt;= K1841 + 2, "On Time", "Late"))</f>
        <v/>
      </c>
      <c r="AL1841" s="268" t="str">
        <f t="shared" si="212"/>
        <v>November</v>
      </c>
      <c r="AM1841" s="133">
        <f>YEAR(Table1[[#This Row],[ETA
As requested
dd.mm.yyyy]])</f>
        <v>2025</v>
      </c>
    </row>
    <row r="1842" spans="1:40" hidden="1">
      <c r="A1842" s="123" t="s">
        <v>27</v>
      </c>
      <c r="B1842" s="36" t="s">
        <v>2464</v>
      </c>
      <c r="C1842" s="117">
        <v>5500511045</v>
      </c>
      <c r="D1842" s="165">
        <v>45440</v>
      </c>
      <c r="E1842" s="117" t="s">
        <v>56</v>
      </c>
      <c r="F1842" s="36" t="str">
        <f>IFERROR(VLOOKUP(Table1[[#This Row],[Part Number]],DATABASE_FG!$C$6:D11831,2,FALSE)," ")</f>
        <v>PLATE              4WRPN 6/ ADAPTER</v>
      </c>
      <c r="G1842" s="117" t="str">
        <f>IFERROR(_xlfn.XLOOKUP(Table1[[#This Row],[Part Number]],Table3[Part number],Table3[Drawing
 Revision]),"")</f>
        <v>AD</v>
      </c>
      <c r="H1842" s="118" cm="1">
        <f t="array" ref="H1842">IFERROR(INDEX(PDB!$C:$AT,MATCH(E1842,PDB!$B:$B,0),MATCH(YEAR(K1842),0+PDB!$C$1:$AT$1,0)),"")</f>
        <v>0</v>
      </c>
      <c r="I1842" s="36">
        <v>500</v>
      </c>
      <c r="J1842" s="125">
        <f>IFERROR(Table1[[#This Row],[Quantity]]*Table1[[#This Row],[Price/Unit
EUR]]," ")</f>
        <v>0</v>
      </c>
      <c r="K1842" s="126">
        <v>46041</v>
      </c>
      <c r="L1842" s="36">
        <f>WEEKNUM(Table1[[#This Row],[ETA
As requested
dd.mm.yyyy]])</f>
        <v>4</v>
      </c>
      <c r="M1842" s="36">
        <f>YEAR(Table1[[#This Row],[ETA
As requested
dd.mm.yyyy]])</f>
        <v>2026</v>
      </c>
      <c r="N1842" s="36">
        <f>IFERROR(INDEX(DATABASE_FG!$H$5:$H$367, MATCH(E1842, DATABASE_FG!$C$5:$C$367, 0)), " ")</f>
        <v>0</v>
      </c>
      <c r="O1842" s="129" t="str">
        <f>IF(E1842&lt;&gt;"", _xlfn.XLOOKUP(E1842, DATABASE_FG!C:C, DATABASE_FG!F:F), " ")</f>
        <v>PLATE</v>
      </c>
      <c r="P1842" s="129">
        <f>IFERROR(INDEX(DATABASE_FG!$G$5:$G$367, MATCH(E1842, DATABASE_FG!$C$5:$C$367, 0)), "Not Found")</f>
        <v>500</v>
      </c>
      <c r="Q1842" s="36">
        <v>60</v>
      </c>
      <c r="R1842" s="125" t="s">
        <v>678</v>
      </c>
      <c r="S1842" s="123">
        <f>IFERROR(INDEX(DATABASE_FG!$L$5:$L$367, MATCH(E1842, DATABASE_FG!$C$5:$C$367, 0)), " ")</f>
        <v>42</v>
      </c>
      <c r="T1842" s="36" t="s">
        <v>679</v>
      </c>
      <c r="U1842" s="36"/>
      <c r="V1842" s="36"/>
      <c r="W1842" s="129"/>
      <c r="X1842" s="36"/>
      <c r="Y1842" s="36"/>
      <c r="Z1842" s="36"/>
      <c r="AA1842" s="125" t="s">
        <v>3</v>
      </c>
      <c r="AB1842" s="173"/>
      <c r="AC1842" s="119"/>
      <c r="AD1842" s="36" t="str">
        <f t="shared" si="209"/>
        <v/>
      </c>
      <c r="AE1842" s="36" t="str">
        <f t="shared" si="210"/>
        <v/>
      </c>
      <c r="AF1842" s="36"/>
      <c r="AG1842" s="120">
        <f t="shared" si="204"/>
        <v>0</v>
      </c>
      <c r="AH1842" s="36"/>
      <c r="AI1842" s="124"/>
      <c r="AJ1842" s="122"/>
      <c r="AK1842" s="129" t="str">
        <f t="shared" ca="1" si="213"/>
        <v/>
      </c>
      <c r="AL1842" s="268" t="str">
        <f t="shared" si="212"/>
        <v>January</v>
      </c>
      <c r="AM1842" s="133">
        <f>YEAR(Table1[[#This Row],[ETA
As requested
dd.mm.yyyy]])</f>
        <v>2026</v>
      </c>
    </row>
    <row r="1843" spans="1:40" hidden="1">
      <c r="A1843" s="123" t="s">
        <v>27</v>
      </c>
      <c r="B1843" s="36" t="s">
        <v>2464</v>
      </c>
      <c r="C1843" s="117">
        <v>5500511045</v>
      </c>
      <c r="D1843" s="165">
        <v>45440</v>
      </c>
      <c r="E1843" s="117" t="s">
        <v>56</v>
      </c>
      <c r="F1843" s="36" t="str">
        <f>IFERROR(VLOOKUP(Table1[[#This Row],[Part Number]],DATABASE_FG!$C$6:D11832,2,FALSE)," ")</f>
        <v>PLATE              4WRPN 6/ ADAPTER</v>
      </c>
      <c r="G1843" s="117" t="str">
        <f>IFERROR(_xlfn.XLOOKUP(Table1[[#This Row],[Part Number]],Table3[Part number],Table3[Drawing
 Revision]),"")</f>
        <v>AD</v>
      </c>
      <c r="H1843" s="118" cm="1">
        <f t="array" ref="H1843">IFERROR(INDEX(PDB!$C:$AT,MATCH(E1843,PDB!$B:$B,0),MATCH(YEAR(K1843),0+PDB!$C$1:$AT$1,0)),"")</f>
        <v>0</v>
      </c>
      <c r="I1843" s="36">
        <v>500</v>
      </c>
      <c r="J1843" s="125">
        <f>IFERROR(Table1[[#This Row],[Quantity]]*Table1[[#This Row],[Price/Unit
EUR]]," ")</f>
        <v>0</v>
      </c>
      <c r="K1843" s="126">
        <v>46083</v>
      </c>
      <c r="L1843" s="36">
        <f>WEEKNUM(Table1[[#This Row],[ETA
As requested
dd.mm.yyyy]])</f>
        <v>10</v>
      </c>
      <c r="M1843" s="36">
        <f>YEAR(Table1[[#This Row],[ETA
As requested
dd.mm.yyyy]])</f>
        <v>2026</v>
      </c>
      <c r="N1843" s="36">
        <f>IFERROR(INDEX(DATABASE_FG!$H$5:$H$367, MATCH(E1843, DATABASE_FG!$C$5:$C$367, 0)), " ")</f>
        <v>0</v>
      </c>
      <c r="O1843" s="129" t="str">
        <f>IF(E1843&lt;&gt;"", _xlfn.XLOOKUP(E1843, DATABASE_FG!C:C, DATABASE_FG!F:F), " ")</f>
        <v>PLATE</v>
      </c>
      <c r="P1843" s="129">
        <f>IFERROR(INDEX(DATABASE_FG!$G$5:$G$367, MATCH(E1843, DATABASE_FG!$C$5:$C$367, 0)), "Not Found")</f>
        <v>500</v>
      </c>
      <c r="Q1843" s="36">
        <v>60</v>
      </c>
      <c r="R1843" s="125" t="s">
        <v>678</v>
      </c>
      <c r="S1843" s="123">
        <f>IFERROR(INDEX(DATABASE_FG!$L$5:$L$367, MATCH(E1843, DATABASE_FG!$C$5:$C$367, 0)), " ")</f>
        <v>42</v>
      </c>
      <c r="T1843" s="36" t="s">
        <v>679</v>
      </c>
      <c r="U1843" s="36"/>
      <c r="V1843" s="36"/>
      <c r="W1843" s="129"/>
      <c r="X1843" s="36"/>
      <c r="Y1843" s="36"/>
      <c r="Z1843" s="36"/>
      <c r="AA1843" s="125" t="s">
        <v>3</v>
      </c>
      <c r="AB1843" s="173"/>
      <c r="AC1843" s="119"/>
      <c r="AD1843" s="36" t="str">
        <f t="shared" si="209"/>
        <v/>
      </c>
      <c r="AE1843" s="36" t="str">
        <f t="shared" si="210"/>
        <v/>
      </c>
      <c r="AF1843" s="36"/>
      <c r="AG1843" s="120">
        <f t="shared" si="204"/>
        <v>0</v>
      </c>
      <c r="AH1843" s="36"/>
      <c r="AI1843" s="124"/>
      <c r="AJ1843" s="122"/>
      <c r="AK1843" s="129" t="str">
        <f t="shared" ca="1" si="213"/>
        <v/>
      </c>
      <c r="AL1843" s="268" t="str">
        <f t="shared" si="212"/>
        <v>March</v>
      </c>
      <c r="AM1843" s="133">
        <f>YEAR(Table1[[#This Row],[ETA
As requested
dd.mm.yyyy]])</f>
        <v>2026</v>
      </c>
    </row>
    <row r="1844" spans="1:40" hidden="1">
      <c r="A1844" s="123" t="s">
        <v>27</v>
      </c>
      <c r="B1844" s="36" t="s">
        <v>2464</v>
      </c>
      <c r="C1844" s="117">
        <v>5500511045</v>
      </c>
      <c r="D1844" s="165">
        <v>45440</v>
      </c>
      <c r="E1844" s="117" t="s">
        <v>56</v>
      </c>
      <c r="F1844" s="36" t="str">
        <f>IFERROR(VLOOKUP(Table1[[#This Row],[Part Number]],DATABASE_FG!$C$6:D11833,2,FALSE)," ")</f>
        <v>PLATE              4WRPN 6/ ADAPTER</v>
      </c>
      <c r="G1844" s="117" t="str">
        <f>IFERROR(_xlfn.XLOOKUP(Table1[[#This Row],[Part Number]],Table3[Part number],Table3[Drawing
 Revision]),"")</f>
        <v>AD</v>
      </c>
      <c r="H1844" s="118" cm="1">
        <f t="array" ref="H1844">IFERROR(INDEX(PDB!$C:$AT,MATCH(E1844,PDB!$B:$B,0),MATCH(YEAR(K1844),0+PDB!$C$1:$AT$1,0)),"")</f>
        <v>0</v>
      </c>
      <c r="I1844" s="36">
        <v>500</v>
      </c>
      <c r="J1844" s="125">
        <f>IFERROR(Table1[[#This Row],[Quantity]]*Table1[[#This Row],[Price/Unit
EUR]]," ")</f>
        <v>0</v>
      </c>
      <c r="K1844" s="126">
        <v>46202</v>
      </c>
      <c r="L1844" s="36">
        <f>WEEKNUM(Table1[[#This Row],[ETA
As requested
dd.mm.yyyy]])</f>
        <v>27</v>
      </c>
      <c r="M1844" s="36">
        <f>YEAR(Table1[[#This Row],[ETA
As requested
dd.mm.yyyy]])</f>
        <v>2026</v>
      </c>
      <c r="N1844" s="36">
        <f>IFERROR(INDEX(DATABASE_FG!$H$5:$H$367, MATCH(E1844, DATABASE_FG!$C$5:$C$367, 0)), " ")</f>
        <v>0</v>
      </c>
      <c r="O1844" s="129" t="str">
        <f>IF(E1844&lt;&gt;"", _xlfn.XLOOKUP(E1844, DATABASE_FG!C:C, DATABASE_FG!F:F), " ")</f>
        <v>PLATE</v>
      </c>
      <c r="P1844" s="129">
        <f>IFERROR(INDEX(DATABASE_FG!$G$5:$G$367, MATCH(E1844, DATABASE_FG!$C$5:$C$367, 0)), "Not Found")</f>
        <v>500</v>
      </c>
      <c r="Q1844" s="36">
        <v>60</v>
      </c>
      <c r="R1844" s="125" t="s">
        <v>678</v>
      </c>
      <c r="S1844" s="123">
        <f>IFERROR(INDEX(DATABASE_FG!$L$5:$L$367, MATCH(E1844, DATABASE_FG!$C$5:$C$367, 0)), " ")</f>
        <v>42</v>
      </c>
      <c r="T1844" s="36" t="s">
        <v>679</v>
      </c>
      <c r="U1844" s="36"/>
      <c r="V1844" s="36"/>
      <c r="W1844" s="129"/>
      <c r="X1844" s="36"/>
      <c r="Y1844" s="36"/>
      <c r="Z1844" s="36"/>
      <c r="AA1844" s="125" t="s">
        <v>3</v>
      </c>
      <c r="AB1844" s="172"/>
      <c r="AC1844" s="119"/>
      <c r="AD1844" s="36" t="str">
        <f t="shared" si="209"/>
        <v/>
      </c>
      <c r="AE1844" s="36" t="str">
        <f t="shared" si="210"/>
        <v/>
      </c>
      <c r="AF1844" s="36"/>
      <c r="AG1844" s="120">
        <f t="shared" si="204"/>
        <v>0</v>
      </c>
      <c r="AH1844" s="36"/>
      <c r="AI1844" s="124"/>
      <c r="AJ1844" s="122"/>
      <c r="AK1844" s="129" t="str">
        <f t="shared" ca="1" si="213"/>
        <v/>
      </c>
      <c r="AL1844" s="268" t="str">
        <f t="shared" si="212"/>
        <v>June</v>
      </c>
      <c r="AM1844" s="133">
        <f>YEAR(Table1[[#This Row],[ETA
As requested
dd.mm.yyyy]])</f>
        <v>2026</v>
      </c>
    </row>
    <row r="1845" spans="1:40" hidden="1">
      <c r="A1845" s="123" t="s">
        <v>26</v>
      </c>
      <c r="B1845" s="36" t="s">
        <v>1170</v>
      </c>
      <c r="C1845" s="117">
        <v>4509087646</v>
      </c>
      <c r="D1845" s="165"/>
      <c r="E1845" s="117" t="s">
        <v>1173</v>
      </c>
      <c r="F1845" s="36" t="str">
        <f>IFERROR(VLOOKUP(Table1[[#This Row],[Part Number]],DATABASE_FG!$C$6:D11834,2,FALSE)," ")</f>
        <v>VALVE_INSERT_LR16DB_SO18</v>
      </c>
      <c r="G1845" s="117">
        <f>IFERROR(_xlfn.XLOOKUP(Table1[[#This Row],[Part Number]],Table3[Part number],Table3[Drawing
 Revision]),"")</f>
        <v>0</v>
      </c>
      <c r="H1845" s="118" cm="1">
        <f t="array" ref="H1845">IFERROR(INDEX(PDB!$C:$AT,MATCH(E1845,PDB!$B:$B,0),MATCH(YEAR(K1845),0+PDB!$C$1:$AT$1,0)),"")</f>
        <v>20.11</v>
      </c>
      <c r="I1845" s="36">
        <v>5</v>
      </c>
      <c r="J1845" s="125">
        <f>IFERROR(Table1[[#This Row],[Quantity]]*Table1[[#This Row],[Price/Unit
EUR]]," ")</f>
        <v>100.55</v>
      </c>
      <c r="K1845" s="126">
        <v>44603</v>
      </c>
      <c r="L1845" s="36">
        <f>WEEKNUM(Table1[[#This Row],[ETA
As requested
dd.mm.yyyy]])</f>
        <v>7</v>
      </c>
      <c r="M1845" s="36">
        <f>YEAR(Table1[[#This Row],[ETA
As requested
dd.mm.yyyy]])</f>
        <v>2022</v>
      </c>
      <c r="N1845" s="36">
        <f>IFERROR(INDEX(DATABASE_FG!$H$5:$H$367, MATCH(E1845, DATABASE_FG!$C$5:$C$367, 0)), " ")</f>
        <v>0</v>
      </c>
      <c r="O1845" s="129" t="str">
        <f>IF(E1845&lt;&gt;"", _xlfn.XLOOKUP(E1845, DATABASE_FG!C:C, DATABASE_FG!F:F), " ")</f>
        <v>Ventileinsatz</v>
      </c>
      <c r="P1845" s="129">
        <f>IFERROR(INDEX(DATABASE_FG!$G$5:$G$367, MATCH(E1845, DATABASE_FG!$C$5:$C$367, 0)), "Not Found")</f>
        <v>230</v>
      </c>
      <c r="Q1845" s="36"/>
      <c r="R1845" s="125" t="s">
        <v>680</v>
      </c>
      <c r="S1845" s="123">
        <f>IFERROR(INDEX(DATABASE_FG!$L$5:$L$367, MATCH(E1845, DATABASE_FG!$C$5:$C$367, 0)), " ")</f>
        <v>56</v>
      </c>
      <c r="T1845" s="36" t="s">
        <v>677</v>
      </c>
      <c r="U1845" s="36"/>
      <c r="V1845" s="36"/>
      <c r="W1845" s="129"/>
      <c r="X1845" s="36"/>
      <c r="Y1845" s="36"/>
      <c r="Z1845" s="36"/>
      <c r="AA1845" s="125" t="s">
        <v>121</v>
      </c>
      <c r="AB1845" s="172"/>
      <c r="AC1845" s="119"/>
      <c r="AD1845" s="36" t="str">
        <f t="shared" si="209"/>
        <v/>
      </c>
      <c r="AE1845" s="36" t="str">
        <f t="shared" si="210"/>
        <v/>
      </c>
      <c r="AF1845" s="36">
        <v>0</v>
      </c>
      <c r="AG1845" s="120">
        <f t="shared" si="204"/>
        <v>0</v>
      </c>
      <c r="AH1845" s="36"/>
      <c r="AI1845" s="124" t="s">
        <v>1171</v>
      </c>
      <c r="AJ1845" s="122"/>
      <c r="AK1845" s="129" t="str">
        <f t="shared" ca="1" si="213"/>
        <v>Late</v>
      </c>
      <c r="AL1845" s="268" t="str">
        <f t="shared" si="212"/>
        <v>February</v>
      </c>
      <c r="AM1845" s="133">
        <f>YEAR(Table1[[#This Row],[ETA
As requested
dd.mm.yyyy]])</f>
        <v>2022</v>
      </c>
    </row>
    <row r="1846" spans="1:40" hidden="1">
      <c r="A1846" s="123" t="s">
        <v>26</v>
      </c>
      <c r="B1846" s="36" t="s">
        <v>1170</v>
      </c>
      <c r="C1846" s="117">
        <v>4509008814</v>
      </c>
      <c r="D1846" s="165"/>
      <c r="E1846" s="117" t="s">
        <v>984</v>
      </c>
      <c r="F1846" s="36" t="str">
        <f>IFERROR(VLOOKUP(Table1[[#This Row],[Part Number]],DATABASE_FG!$C$6:D11835,2,FALSE)," ")</f>
        <v>PLATE              4WRPF 10/ ADAPTER</v>
      </c>
      <c r="G1846" s="117" t="str">
        <f>IFERROR(_xlfn.XLOOKUP(Table1[[#This Row],[Part Number]],Table3[Part number],Table3[Drawing
 Revision]),"")</f>
        <v>AA</v>
      </c>
      <c r="H1846" s="118" cm="1">
        <f t="array" ref="H1846">IFERROR(INDEX(PDB!$C:$AT,MATCH(E1846,PDB!$B:$B,0),MATCH(YEAR(K1846),0+PDB!$C$1:$AT$1,0)),"")</f>
        <v>15.3</v>
      </c>
      <c r="I1846" s="36">
        <v>5</v>
      </c>
      <c r="J1846" s="125">
        <f>IFERROR(Table1[[#This Row],[Quantity]]*Table1[[#This Row],[Price/Unit
EUR]]," ")</f>
        <v>76.5</v>
      </c>
      <c r="K1846" s="126">
        <v>44834</v>
      </c>
      <c r="L1846" s="36">
        <f>WEEKNUM(Table1[[#This Row],[ETA
As requested
dd.mm.yyyy]])</f>
        <v>40</v>
      </c>
      <c r="M1846" s="36">
        <f>YEAR(Table1[[#This Row],[ETA
As requested
dd.mm.yyyy]])</f>
        <v>2022</v>
      </c>
      <c r="N1846" s="36">
        <f>IFERROR(INDEX(DATABASE_FG!$H$5:$H$367, MATCH(E1846, DATABASE_FG!$C$5:$C$367, 0)), " ")</f>
        <v>0</v>
      </c>
      <c r="O1846" s="129" t="str">
        <f>IF(E1846&lt;&gt;"", _xlfn.XLOOKUP(E1846, DATABASE_FG!C:C, DATABASE_FG!F:F), " ")</f>
        <v>PLATE</v>
      </c>
      <c r="P1846" s="129">
        <f>IFERROR(INDEX(DATABASE_FG!$G$5:$G$367, MATCH(E1846, DATABASE_FG!$C$5:$C$367, 0)), "Not Found")</f>
        <v>20</v>
      </c>
      <c r="Q1846" s="36"/>
      <c r="R1846" s="125" t="s">
        <v>680</v>
      </c>
      <c r="S1846" s="123">
        <f>IFERROR(INDEX(DATABASE_FG!$L$5:$L$367, MATCH(E1846, DATABASE_FG!$C$5:$C$367, 0)), " ")</f>
        <v>42</v>
      </c>
      <c r="T1846" s="36" t="s">
        <v>679</v>
      </c>
      <c r="U1846" s="36"/>
      <c r="V1846" s="36"/>
      <c r="W1846" s="129"/>
      <c r="X1846" s="36"/>
      <c r="Y1846" s="36"/>
      <c r="Z1846" s="36"/>
      <c r="AA1846" s="125" t="s">
        <v>121</v>
      </c>
      <c r="AB1846" s="172"/>
      <c r="AC1846" s="119"/>
      <c r="AD1846" s="36" t="str">
        <f t="shared" si="209"/>
        <v/>
      </c>
      <c r="AE1846" s="36" t="str">
        <f t="shared" si="210"/>
        <v/>
      </c>
      <c r="AF1846" s="36">
        <v>0</v>
      </c>
      <c r="AG1846" s="120">
        <f t="shared" si="204"/>
        <v>0</v>
      </c>
      <c r="AH1846" s="36"/>
      <c r="AI1846" s="124" t="s">
        <v>1171</v>
      </c>
      <c r="AJ1846" s="122"/>
      <c r="AK1846" s="129" t="str">
        <f t="shared" ca="1" si="213"/>
        <v>Late</v>
      </c>
      <c r="AL1846" s="268" t="str">
        <f t="shared" si="212"/>
        <v>September</v>
      </c>
      <c r="AM1846" s="133">
        <f>YEAR(Table1[[#This Row],[ETA
As requested
dd.mm.yyyy]])</f>
        <v>2022</v>
      </c>
    </row>
    <row r="1847" spans="1:40" hidden="1">
      <c r="A1847" s="123" t="s">
        <v>27</v>
      </c>
      <c r="B1847" s="36" t="s">
        <v>1170</v>
      </c>
      <c r="C1847" s="117">
        <v>5500511040</v>
      </c>
      <c r="D1847" s="165">
        <v>45369</v>
      </c>
      <c r="E1847" s="117" t="s">
        <v>36</v>
      </c>
      <c r="F1847" s="36" t="str">
        <f>IFERROR(VLOOKUP(Table1[[#This Row],[Part Number]],DATABASE_FG!$C$6:D11836,2,FALSE)," ")</f>
        <v>HOUSING            DBD.10G1X/J3</v>
      </c>
      <c r="G1847" s="117" t="str">
        <f>IFERROR(_xlfn.XLOOKUP(Table1[[#This Row],[Part Number]],Table3[Part number],Table3[Drawing
 Revision]),"")</f>
        <v>h</v>
      </c>
      <c r="H1847" s="118" cm="1">
        <f t="array" ref="H1847">IFERROR(INDEX(PDB!$C:$AT,MATCH(E1847,PDB!$B:$B,0),MATCH(YEAR(K1847),0+PDB!$C$1:$AT$1,0)),"")</f>
        <v>31.15</v>
      </c>
      <c r="I1847" s="36">
        <v>28</v>
      </c>
      <c r="J1847" s="125">
        <f>IFERROR(Table1[[#This Row],[Quantity]]*Table1[[#This Row],[Price/Unit
EUR]]," ")</f>
        <v>872.19999999999993</v>
      </c>
      <c r="K1847" s="126">
        <v>45405</v>
      </c>
      <c r="L1847" s="36">
        <f>WEEKNUM(Table1[[#This Row],[ETA
As requested
dd.mm.yyyy]])</f>
        <v>17</v>
      </c>
      <c r="M1847" s="36">
        <f>YEAR(Table1[[#This Row],[ETA
As requested
dd.mm.yyyy]])</f>
        <v>2024</v>
      </c>
      <c r="N1847" s="36">
        <f>IFERROR(INDEX(DATABASE_FG!$H$5:$H$367, MATCH(E1847, DATABASE_FG!$C$5:$C$367, 0)), " ")</f>
        <v>73</v>
      </c>
      <c r="O1847" s="129" t="str">
        <f>IF(E1847&lt;&gt;"", _xlfn.XLOOKUP(E1847, DATABASE_FG!C:C, DATABASE_FG!F:F), " ")</f>
        <v>DBD.10</v>
      </c>
      <c r="P1847" s="129">
        <f>IFERROR(INDEX(DATABASE_FG!$G$5:$G$367, MATCH(E1847, DATABASE_FG!$C$5:$C$367, 0)), "Not Found")</f>
        <v>30</v>
      </c>
      <c r="Q1847" s="36">
        <v>60</v>
      </c>
      <c r="R1847" s="125" t="s">
        <v>678</v>
      </c>
      <c r="S1847" s="123">
        <f>IFERROR(INDEX(DATABASE_FG!$L$5:$L$367, MATCH(E1847, DATABASE_FG!$C$5:$C$367, 0)), " ")</f>
        <v>56</v>
      </c>
      <c r="T1847" s="36" t="s">
        <v>677</v>
      </c>
      <c r="U1847" s="36"/>
      <c r="V1847" s="36"/>
      <c r="W1847" s="129"/>
      <c r="X1847" s="36"/>
      <c r="Y1847" s="36"/>
      <c r="Z1847" s="36" t="s">
        <v>1392</v>
      </c>
      <c r="AA1847" s="125" t="s">
        <v>121</v>
      </c>
      <c r="AB1847" s="173">
        <v>45400</v>
      </c>
      <c r="AC1847" s="119">
        <v>2024375</v>
      </c>
      <c r="AD1847" s="36">
        <f t="shared" si="209"/>
        <v>5500511040</v>
      </c>
      <c r="AE1847" s="36" t="str">
        <f t="shared" si="210"/>
        <v>R901469358</v>
      </c>
      <c r="AF1847" s="36">
        <v>28</v>
      </c>
      <c r="AG1847" s="120">
        <f t="shared" si="204"/>
        <v>872.19999999999993</v>
      </c>
      <c r="AH1847" s="36"/>
      <c r="AI1847" s="124"/>
      <c r="AJ1847" s="122"/>
      <c r="AK1847" s="129" t="str">
        <f t="shared" ca="1" si="213"/>
        <v>On Time</v>
      </c>
      <c r="AL1847" s="268" t="str">
        <f t="shared" si="212"/>
        <v>April</v>
      </c>
      <c r="AM1847" s="133">
        <f>YEAR(Table1[[#This Row],[ETA
As requested
dd.mm.yyyy]])</f>
        <v>2024</v>
      </c>
    </row>
    <row r="1848" spans="1:40" hidden="1">
      <c r="A1848" s="123" t="s">
        <v>27</v>
      </c>
      <c r="B1848" s="36" t="s">
        <v>1170</v>
      </c>
      <c r="C1848" s="117">
        <v>5500511040</v>
      </c>
      <c r="D1848" s="165">
        <v>45440</v>
      </c>
      <c r="E1848" s="117" t="s">
        <v>36</v>
      </c>
      <c r="F1848" s="36" t="str">
        <f>IFERROR(VLOOKUP(Table1[[#This Row],[Part Number]],DATABASE_FG!$C$6:D11837,2,FALSE)," ")</f>
        <v>HOUSING            DBD.10G1X/J3</v>
      </c>
      <c r="G1848" s="117" t="str">
        <f>IFERROR(_xlfn.XLOOKUP(Table1[[#This Row],[Part Number]],Table3[Part number],Table3[Drawing
 Revision]),"")</f>
        <v>h</v>
      </c>
      <c r="H1848" s="118" cm="1">
        <f t="array" ref="H1848">IFERROR(INDEX(PDB!$C:$AT,MATCH(E1848,PDB!$B:$B,0),MATCH(YEAR(K1848),0+PDB!$C$1:$AT$1,0)),"")</f>
        <v>31.15</v>
      </c>
      <c r="I1848" s="36">
        <v>47</v>
      </c>
      <c r="J1848" s="125">
        <f>IFERROR(Table1[[#This Row],[Quantity]]*Table1[[#This Row],[Price/Unit
EUR]]," ")</f>
        <v>1464.05</v>
      </c>
      <c r="K1848" s="126">
        <v>45439</v>
      </c>
      <c r="L1848" s="36">
        <f>WEEKNUM(Table1[[#This Row],[ETA
As requested
dd.mm.yyyy]])</f>
        <v>22</v>
      </c>
      <c r="M1848" s="36">
        <f>YEAR(Table1[[#This Row],[ETA
As requested
dd.mm.yyyy]])</f>
        <v>2024</v>
      </c>
      <c r="N1848" s="36">
        <f>IFERROR(INDEX(DATABASE_FG!$H$5:$H$367, MATCH(E1848, DATABASE_FG!$C$5:$C$367, 0)), " ")</f>
        <v>73</v>
      </c>
      <c r="O1848" s="129" t="str">
        <f>IF(E1848&lt;&gt;"", _xlfn.XLOOKUP(E1848, DATABASE_FG!C:C, DATABASE_FG!F:F), " ")</f>
        <v>DBD.10</v>
      </c>
      <c r="P1848" s="129">
        <f>IFERROR(INDEX(DATABASE_FG!$G$5:$G$367, MATCH(E1848, DATABASE_FG!$C$5:$C$367, 0)), "Not Found")</f>
        <v>30</v>
      </c>
      <c r="Q1848" s="36">
        <v>60</v>
      </c>
      <c r="R1848" s="125" t="s">
        <v>678</v>
      </c>
      <c r="S1848" s="123">
        <f>IFERROR(INDEX(DATABASE_FG!$L$5:$L$367, MATCH(E1848, DATABASE_FG!$C$5:$C$367, 0)), " ")</f>
        <v>56</v>
      </c>
      <c r="T1848" s="36" t="s">
        <v>677</v>
      </c>
      <c r="U1848" s="36"/>
      <c r="V1848" s="36"/>
      <c r="W1848" s="129"/>
      <c r="X1848" s="36"/>
      <c r="Y1848" s="36"/>
      <c r="Z1848" s="36">
        <v>241615</v>
      </c>
      <c r="AA1848" s="125" t="s">
        <v>121</v>
      </c>
      <c r="AB1848" s="173">
        <v>45428</v>
      </c>
      <c r="AC1848" s="119">
        <v>2024485</v>
      </c>
      <c r="AD1848" s="36">
        <f t="shared" si="209"/>
        <v>5500511040</v>
      </c>
      <c r="AE1848" s="36" t="str">
        <f t="shared" si="210"/>
        <v>R901469358</v>
      </c>
      <c r="AF1848" s="36">
        <v>47</v>
      </c>
      <c r="AG1848" s="120">
        <f t="shared" ref="AG1848:AG1914" si="214">AF1848*H1848</f>
        <v>1464.05</v>
      </c>
      <c r="AH1848" s="36"/>
      <c r="AI1848" s="124"/>
      <c r="AJ1848" s="122" t="s">
        <v>1561</v>
      </c>
      <c r="AK1848" s="129" t="str">
        <f t="shared" ca="1" si="213"/>
        <v>On Time</v>
      </c>
      <c r="AL1848" s="268" t="str">
        <f t="shared" si="212"/>
        <v>May</v>
      </c>
      <c r="AM1848" s="133">
        <f>YEAR(Table1[[#This Row],[ETA
As requested
dd.mm.yyyy]])</f>
        <v>2024</v>
      </c>
    </row>
    <row r="1849" spans="1:40" hidden="1">
      <c r="A1849" s="123" t="s">
        <v>27</v>
      </c>
      <c r="B1849" s="36" t="s">
        <v>1170</v>
      </c>
      <c r="C1849" s="117">
        <v>5500511040</v>
      </c>
      <c r="D1849" s="165">
        <v>45446</v>
      </c>
      <c r="E1849" s="117" t="s">
        <v>36</v>
      </c>
      <c r="F1849" s="36" t="str">
        <f>IFERROR(VLOOKUP(Table1[[#This Row],[Part Number]],DATABASE_FG!$C$6:D11838,2,FALSE)," ")</f>
        <v>HOUSING            DBD.10G1X/J3</v>
      </c>
      <c r="G1849" s="117" t="str">
        <f>IFERROR(_xlfn.XLOOKUP(Table1[[#This Row],[Part Number]],Table3[Part number],Table3[Drawing
 Revision]),"")</f>
        <v>h</v>
      </c>
      <c r="H1849" s="118" cm="1">
        <f t="array" ref="H1849">IFERROR(INDEX(PDB!$C:$AT,MATCH(E1849,PDB!$B:$B,0),MATCH(YEAR(K1849),0+PDB!$C$1:$AT$1,0)),"")</f>
        <v>31.15</v>
      </c>
      <c r="I1849" s="36">
        <v>24</v>
      </c>
      <c r="J1849" s="125">
        <f>IFERROR(Table1[[#This Row],[Quantity]]*Table1[[#This Row],[Price/Unit
EUR]]," ")</f>
        <v>747.59999999999991</v>
      </c>
      <c r="K1849" s="126">
        <v>45477</v>
      </c>
      <c r="L1849" s="36">
        <f>WEEKNUM(Table1[[#This Row],[ETA
As requested
dd.mm.yyyy]])</f>
        <v>27</v>
      </c>
      <c r="M1849" s="36">
        <f>YEAR(Table1[[#This Row],[ETA
As requested
dd.mm.yyyy]])</f>
        <v>2024</v>
      </c>
      <c r="N1849" s="36">
        <f>IFERROR(INDEX(DATABASE_FG!$H$5:$H$367, MATCH(E1849, DATABASE_FG!$C$5:$C$367, 0)), " ")</f>
        <v>73</v>
      </c>
      <c r="O1849" s="129" t="str">
        <f>IF(E1849&lt;&gt;"", _xlfn.XLOOKUP(E1849, DATABASE_FG!C:C, DATABASE_FG!F:F), " ")</f>
        <v>DBD.10</v>
      </c>
      <c r="P1849" s="129">
        <f>IFERROR(INDEX(DATABASE_FG!$G$5:$G$367, MATCH(E1849, DATABASE_FG!$C$5:$C$367, 0)), "Not Found")</f>
        <v>30</v>
      </c>
      <c r="Q1849" s="36">
        <v>60</v>
      </c>
      <c r="R1849" s="125" t="s">
        <v>678</v>
      </c>
      <c r="S1849" s="123">
        <f>IFERROR(INDEX(DATABASE_FG!$L$5:$L$367, MATCH(E1849, DATABASE_FG!$C$5:$C$367, 0)), " ")</f>
        <v>56</v>
      </c>
      <c r="T1849" s="36" t="s">
        <v>677</v>
      </c>
      <c r="U1849" s="36"/>
      <c r="V1849" s="36"/>
      <c r="W1849" s="129"/>
      <c r="X1849" s="36" t="s">
        <v>1769</v>
      </c>
      <c r="Y1849" s="36"/>
      <c r="Z1849" s="36">
        <v>241615</v>
      </c>
      <c r="AA1849" s="125" t="s">
        <v>121</v>
      </c>
      <c r="AB1849" s="173">
        <v>45478</v>
      </c>
      <c r="AC1849" s="119">
        <v>2024809</v>
      </c>
      <c r="AD1849" s="36">
        <f t="shared" si="209"/>
        <v>5500511040</v>
      </c>
      <c r="AE1849" s="36" t="str">
        <f t="shared" si="210"/>
        <v>R901469358</v>
      </c>
      <c r="AF1849" s="36">
        <v>24</v>
      </c>
      <c r="AG1849" s="120">
        <f t="shared" si="214"/>
        <v>747.59999999999991</v>
      </c>
      <c r="AH1849" s="36"/>
      <c r="AI1849" s="124"/>
      <c r="AJ1849" s="122" t="s">
        <v>1770</v>
      </c>
      <c r="AK1849" s="129" t="str">
        <f t="shared" ca="1" si="213"/>
        <v>On Time</v>
      </c>
      <c r="AL1849" s="268" t="str">
        <f t="shared" si="212"/>
        <v>July</v>
      </c>
      <c r="AM1849" s="133">
        <f>YEAR(Table1[[#This Row],[ETA
As requested
dd.mm.yyyy]])</f>
        <v>2024</v>
      </c>
    </row>
    <row r="1850" spans="1:40" hidden="1">
      <c r="A1850" s="123" t="s">
        <v>27</v>
      </c>
      <c r="B1850" s="36" t="s">
        <v>1170</v>
      </c>
      <c r="C1850" s="117">
        <v>5500511040</v>
      </c>
      <c r="D1850" s="165">
        <v>45446</v>
      </c>
      <c r="E1850" s="117" t="s">
        <v>36</v>
      </c>
      <c r="F1850" s="36" t="str">
        <f>IFERROR(VLOOKUP(Table1[[#This Row],[Part Number]],DATABASE_FG!$C$6:D11839,2,FALSE)," ")</f>
        <v>HOUSING            DBD.10G1X/J3</v>
      </c>
      <c r="G1850" s="117" t="str">
        <f>IFERROR(_xlfn.XLOOKUP(Table1[[#This Row],[Part Number]],Table3[Part number],Table3[Drawing
 Revision]),"")</f>
        <v>h</v>
      </c>
      <c r="H1850" s="118" cm="1">
        <f t="array" ref="H1850">IFERROR(INDEX(PDB!$C:$AT,MATCH(E1850,PDB!$B:$B,0),MATCH(YEAR(K1850),0+PDB!$C$1:$AT$1,0)),"")</f>
        <v>31.15</v>
      </c>
      <c r="I1850" s="36">
        <v>8</v>
      </c>
      <c r="J1850" s="125">
        <f>IFERROR(Table1[[#This Row],[Quantity]]*Table1[[#This Row],[Price/Unit
EUR]]," ")</f>
        <v>249.2</v>
      </c>
      <c r="K1850" s="126">
        <v>45593</v>
      </c>
      <c r="L1850" s="36">
        <f>WEEKNUM(Table1[[#This Row],[ETA
As requested
dd.mm.yyyy]])</f>
        <v>44</v>
      </c>
      <c r="M1850" s="36">
        <f>YEAR(Table1[[#This Row],[ETA
As requested
dd.mm.yyyy]])</f>
        <v>2024</v>
      </c>
      <c r="N1850" s="36">
        <f>IFERROR(INDEX(DATABASE_FG!$H$5:$H$367, MATCH(E1850, DATABASE_FG!$C$5:$C$367, 0)), " ")</f>
        <v>73</v>
      </c>
      <c r="O1850" s="129" t="str">
        <f>IF(E1850&lt;&gt;"", _xlfn.XLOOKUP(E1850, DATABASE_FG!C:C, DATABASE_FG!F:F), " ")</f>
        <v>DBD.10</v>
      </c>
      <c r="P1850" s="129">
        <f>IFERROR(INDEX(DATABASE_FG!$G$5:$G$367, MATCH(E1850, DATABASE_FG!$C$5:$C$367, 0)), "Not Found")</f>
        <v>30</v>
      </c>
      <c r="Q1850" s="36">
        <v>60</v>
      </c>
      <c r="R1850" s="125" t="s">
        <v>678</v>
      </c>
      <c r="S1850" s="123">
        <f>IFERROR(INDEX(DATABASE_FG!$L$5:$L$367, MATCH(E1850, DATABASE_FG!$C$5:$C$367, 0)), " ")</f>
        <v>56</v>
      </c>
      <c r="T1850" s="36" t="s">
        <v>677</v>
      </c>
      <c r="U1850" s="36"/>
      <c r="V1850" s="36"/>
      <c r="W1850" s="129"/>
      <c r="X1850" s="36" t="s">
        <v>1769</v>
      </c>
      <c r="Y1850" s="36"/>
      <c r="Z1850" s="36">
        <v>242409</v>
      </c>
      <c r="AA1850" s="125" t="s">
        <v>121</v>
      </c>
      <c r="AB1850" s="173">
        <v>45562</v>
      </c>
      <c r="AC1850" s="119">
        <v>202401172</v>
      </c>
      <c r="AD1850" s="36">
        <f t="shared" si="209"/>
        <v>5500511040</v>
      </c>
      <c r="AE1850" s="36" t="str">
        <f t="shared" si="210"/>
        <v>R901469358</v>
      </c>
      <c r="AF1850" s="36">
        <v>8</v>
      </c>
      <c r="AG1850" s="120">
        <f t="shared" si="214"/>
        <v>249.2</v>
      </c>
      <c r="AH1850" s="36"/>
      <c r="AI1850" s="124"/>
      <c r="AJ1850" s="122" t="s">
        <v>2523</v>
      </c>
      <c r="AK1850" s="129" t="str">
        <f t="shared" ca="1" si="213"/>
        <v>On Time</v>
      </c>
      <c r="AL1850" s="268" t="str">
        <f t="shared" si="212"/>
        <v>October</v>
      </c>
      <c r="AM1850" s="133">
        <f>YEAR(Table1[[#This Row],[ETA
As requested
dd.mm.yyyy]])</f>
        <v>2024</v>
      </c>
    </row>
    <row r="1851" spans="1:40" hidden="1">
      <c r="A1851" s="123" t="s">
        <v>27</v>
      </c>
      <c r="B1851" s="36" t="s">
        <v>1170</v>
      </c>
      <c r="C1851" s="117">
        <v>5500511040</v>
      </c>
      <c r="D1851" s="165">
        <v>45446</v>
      </c>
      <c r="E1851" s="117" t="s">
        <v>36</v>
      </c>
      <c r="F1851" s="36" t="str">
        <f>IFERROR(VLOOKUP(Table1[[#This Row],[Part Number]],DATABASE_FG!$C$6:D11840,2,FALSE)," ")</f>
        <v>HOUSING            DBD.10G1X/J3</v>
      </c>
      <c r="G1851" s="117" t="str">
        <f>IFERROR(_xlfn.XLOOKUP(Table1[[#This Row],[Part Number]],Table3[Part number],Table3[Drawing
 Revision]),"")</f>
        <v>h</v>
      </c>
      <c r="H1851" s="118" cm="1">
        <f t="array" ref="H1851">IFERROR(INDEX(PDB!$C:$AT,MATCH(E1851,PDB!$B:$B,0),MATCH(YEAR(K1851),0+PDB!$C$1:$AT$1,0)),"")</f>
        <v>31.15</v>
      </c>
      <c r="I1851" s="36">
        <v>54</v>
      </c>
      <c r="J1851" s="125">
        <f>IFERROR(Table1[[#This Row],[Quantity]]*Table1[[#This Row],[Price/Unit
EUR]]," ")</f>
        <v>1682.1</v>
      </c>
      <c r="K1851" s="126">
        <v>45639</v>
      </c>
      <c r="L1851" s="36">
        <f>WEEKNUM(Table1[[#This Row],[ETA
As requested
dd.mm.yyyy]])</f>
        <v>50</v>
      </c>
      <c r="M1851" s="36">
        <f>YEAR(Table1[[#This Row],[ETA
As requested
dd.mm.yyyy]])</f>
        <v>2024</v>
      </c>
      <c r="N1851" s="36">
        <f>IFERROR(INDEX(DATABASE_FG!$H$5:$H$367, MATCH(E1851, DATABASE_FG!$C$5:$C$367, 0)), " ")</f>
        <v>73</v>
      </c>
      <c r="O1851" s="129" t="str">
        <f>IF(E1851&lt;&gt;"", _xlfn.XLOOKUP(E1851, DATABASE_FG!C:C, DATABASE_FG!F:F), " ")</f>
        <v>DBD.10</v>
      </c>
      <c r="P1851" s="129">
        <f>IFERROR(INDEX(DATABASE_FG!$G$5:$G$367, MATCH(E1851, DATABASE_FG!$C$5:$C$367, 0)), "Not Found")</f>
        <v>30</v>
      </c>
      <c r="Q1851" s="36">
        <v>60</v>
      </c>
      <c r="R1851" s="125" t="s">
        <v>678</v>
      </c>
      <c r="S1851" s="123">
        <f>IFERROR(INDEX(DATABASE_FG!$L$5:$L$367, MATCH(E1851, DATABASE_FG!$C$5:$C$367, 0)), " ")</f>
        <v>56</v>
      </c>
      <c r="T1851" s="36" t="s">
        <v>677</v>
      </c>
      <c r="U1851" s="36"/>
      <c r="V1851" s="36"/>
      <c r="W1851" s="129"/>
      <c r="X1851" s="36" t="s">
        <v>2668</v>
      </c>
      <c r="Y1851" s="36"/>
      <c r="Z1851" s="36"/>
      <c r="AA1851" s="125" t="s">
        <v>121</v>
      </c>
      <c r="AB1851" s="173">
        <v>45638</v>
      </c>
      <c r="AC1851" s="119">
        <v>202401524</v>
      </c>
      <c r="AD1851" s="36">
        <f t="shared" si="209"/>
        <v>5500511040</v>
      </c>
      <c r="AE1851" s="36" t="str">
        <f t="shared" si="210"/>
        <v>R901469358</v>
      </c>
      <c r="AF1851" s="36">
        <v>54</v>
      </c>
      <c r="AG1851" s="120">
        <f t="shared" si="214"/>
        <v>1682.1</v>
      </c>
      <c r="AH1851" s="36"/>
      <c r="AI1851" s="124"/>
      <c r="AJ1851" s="122" t="s">
        <v>2669</v>
      </c>
      <c r="AK1851" s="129" t="str">
        <f t="shared" ca="1" si="213"/>
        <v>On Time</v>
      </c>
      <c r="AL1851" s="268" t="str">
        <f t="shared" si="212"/>
        <v>December</v>
      </c>
      <c r="AM1851" s="133">
        <f>YEAR(Table1[[#This Row],[ETA
As requested
dd.mm.yyyy]])</f>
        <v>2024</v>
      </c>
    </row>
    <row r="1852" spans="1:40" hidden="1">
      <c r="A1852" s="123" t="s">
        <v>27</v>
      </c>
      <c r="B1852" s="36" t="s">
        <v>1170</v>
      </c>
      <c r="C1852" s="117">
        <v>5500511040</v>
      </c>
      <c r="D1852" s="165">
        <v>45446</v>
      </c>
      <c r="E1852" s="117" t="s">
        <v>36</v>
      </c>
      <c r="F1852" s="36" t="str">
        <f>IFERROR(VLOOKUP(Table1[[#This Row],[Part Number]],DATABASE_FG!$C$6:D11841,2,FALSE)," ")</f>
        <v>HOUSING            DBD.10G1X/J3</v>
      </c>
      <c r="G1852" s="117" t="str">
        <f>IFERROR(_xlfn.XLOOKUP(Table1[[#This Row],[Part Number]],Table3[Part number],Table3[Drawing
 Revision]),"")</f>
        <v>h</v>
      </c>
      <c r="H1852" s="118" cm="1">
        <f t="array" ref="H1852">IFERROR(INDEX(PDB!$C:$AT,MATCH(E1852,PDB!$B:$B,0),MATCH(YEAR(K1852),0+PDB!$C$1:$AT$1,0)),"")</f>
        <v>31.15</v>
      </c>
      <c r="I1852" s="36">
        <v>24</v>
      </c>
      <c r="J1852" s="125">
        <f>IFERROR(Table1[[#This Row],[Quantity]]*Table1[[#This Row],[Price/Unit
EUR]]," ")</f>
        <v>747.59999999999991</v>
      </c>
      <c r="K1852" s="126">
        <v>45783</v>
      </c>
      <c r="L1852" s="36">
        <f>WEEKNUM(Table1[[#This Row],[ETA
As requested
dd.mm.yyyy]])</f>
        <v>19</v>
      </c>
      <c r="M1852" s="36">
        <f>YEAR(Table1[[#This Row],[ETA
As requested
dd.mm.yyyy]])</f>
        <v>2025</v>
      </c>
      <c r="N1852" s="36">
        <f>IFERROR(INDEX(DATABASE_FG!$H$5:$H$367, MATCH(E1852, DATABASE_FG!$C$5:$C$367, 0)), " ")</f>
        <v>73</v>
      </c>
      <c r="O1852" s="129" t="str">
        <f>IF(E1852&lt;&gt;"", _xlfn.XLOOKUP(E1852, DATABASE_FG!C:C, DATABASE_FG!F:F), " ")</f>
        <v>DBD.10</v>
      </c>
      <c r="P1852" s="129">
        <f>IFERROR(INDEX(DATABASE_FG!$G$5:$G$367, MATCH(E1852, DATABASE_FG!$C$5:$C$367, 0)), "Not Found")</f>
        <v>30</v>
      </c>
      <c r="Q1852" s="36">
        <v>60</v>
      </c>
      <c r="R1852" s="125" t="s">
        <v>678</v>
      </c>
      <c r="S1852" s="123">
        <f>IFERROR(INDEX(DATABASE_FG!$L$5:$L$367, MATCH(E1852, DATABASE_FG!$C$5:$C$367, 0)), " ")</f>
        <v>56</v>
      </c>
      <c r="T1852" s="36" t="s">
        <v>677</v>
      </c>
      <c r="U1852" s="36"/>
      <c r="V1852" s="36"/>
      <c r="W1852" s="129"/>
      <c r="X1852" s="36"/>
      <c r="Y1852" s="36"/>
      <c r="Z1852" s="36"/>
      <c r="AA1852" s="125" t="s">
        <v>121</v>
      </c>
      <c r="AB1852" s="173">
        <v>45821</v>
      </c>
      <c r="AC1852" s="119">
        <v>25930</v>
      </c>
      <c r="AD1852" s="36">
        <f t="shared" si="209"/>
        <v>5500511040</v>
      </c>
      <c r="AE1852" s="36" t="str">
        <f t="shared" si="210"/>
        <v>R901469358</v>
      </c>
      <c r="AF1852" s="36">
        <v>24</v>
      </c>
      <c r="AG1852" s="120">
        <f t="shared" si="214"/>
        <v>747.59999999999991</v>
      </c>
      <c r="AH1852" s="36"/>
      <c r="AI1852" s="124"/>
      <c r="AJ1852" s="122" t="s">
        <v>3155</v>
      </c>
      <c r="AK1852" s="129" t="str">
        <f t="shared" ca="1" si="213"/>
        <v>Late</v>
      </c>
      <c r="AL1852" s="268" t="str">
        <f t="shared" si="212"/>
        <v>May</v>
      </c>
      <c r="AM1852" s="133">
        <f>YEAR(Table1[[#This Row],[ETA
As requested
dd.mm.yyyy]])</f>
        <v>2025</v>
      </c>
    </row>
    <row r="1853" spans="1:40" hidden="1">
      <c r="A1853" s="123" t="s">
        <v>27</v>
      </c>
      <c r="B1853" s="36" t="s">
        <v>1170</v>
      </c>
      <c r="C1853" s="117">
        <v>5500511040</v>
      </c>
      <c r="D1853" s="165">
        <v>45446</v>
      </c>
      <c r="E1853" s="117" t="s">
        <v>36</v>
      </c>
      <c r="F1853" s="36" t="str">
        <f>IFERROR(VLOOKUP(Table1[[#This Row],[Part Number]],DATABASE_FG!$C$6:D11842,2,FALSE)," ")</f>
        <v>HOUSING            DBD.10G1X/J3</v>
      </c>
      <c r="G1853" s="117" t="str">
        <f>IFERROR(_xlfn.XLOOKUP(Table1[[#This Row],[Part Number]],Table3[Part number],Table3[Drawing
 Revision]),"")</f>
        <v>h</v>
      </c>
      <c r="H1853" s="118" cm="1">
        <f t="array" ref="H1853">IFERROR(INDEX(PDB!$C:$AT,MATCH(E1853,PDB!$B:$B,0),MATCH(YEAR(K1853),0+PDB!$C$1:$AT$1,0)),"")</f>
        <v>31.15</v>
      </c>
      <c r="I1853" s="36">
        <v>8</v>
      </c>
      <c r="J1853" s="125">
        <f>IFERROR(Table1[[#This Row],[Quantity]]*Table1[[#This Row],[Price/Unit
EUR]]," ")</f>
        <v>249.2</v>
      </c>
      <c r="K1853" s="126">
        <v>45971</v>
      </c>
      <c r="L1853" s="36">
        <f>WEEKNUM(Table1[[#This Row],[ETA
As requested
dd.mm.yyyy]])</f>
        <v>46</v>
      </c>
      <c r="M1853" s="36">
        <f>YEAR(Table1[[#This Row],[ETA
As requested
dd.mm.yyyy]])</f>
        <v>2025</v>
      </c>
      <c r="N1853" s="36">
        <f>IFERROR(INDEX(DATABASE_FG!$H$5:$H$367, MATCH(E1853, DATABASE_FG!$C$5:$C$367, 0)), " ")</f>
        <v>73</v>
      </c>
      <c r="O1853" s="129" t="str">
        <f>IF(E1853&lt;&gt;"", _xlfn.XLOOKUP(E1853, DATABASE_FG!C:C, DATABASE_FG!F:F), " ")</f>
        <v>DBD.10</v>
      </c>
      <c r="P1853" s="129">
        <f>IFERROR(INDEX(DATABASE_FG!$G$5:$G$367, MATCH(E1853, DATABASE_FG!$C$5:$C$367, 0)), "Not Found")</f>
        <v>30</v>
      </c>
      <c r="Q1853" s="36">
        <v>60</v>
      </c>
      <c r="R1853" s="125" t="s">
        <v>678</v>
      </c>
      <c r="S1853" s="123">
        <f>Table1[[#This Row],[Quantity]]/48</f>
        <v>0.16666666666666666</v>
      </c>
      <c r="T1853" s="36"/>
      <c r="U1853" s="36"/>
      <c r="V1853" s="36"/>
      <c r="W1853" s="129"/>
      <c r="X1853" s="36"/>
      <c r="Y1853" s="36"/>
      <c r="Z1853" s="36"/>
      <c r="AA1853" s="125" t="s">
        <v>121</v>
      </c>
      <c r="AB1853" s="163">
        <v>45959</v>
      </c>
      <c r="AC1853" s="119">
        <v>251205</v>
      </c>
      <c r="AD1853" s="36">
        <f>IF(NOT(ISBLANK(AC1853)), C1853, "")</f>
        <v>5500511040</v>
      </c>
      <c r="AE1853" s="36" t="str">
        <f>IF(NOT(ISBLANK(AC1853)), E1853, "")</f>
        <v>R901469358</v>
      </c>
      <c r="AF1853" s="36">
        <v>8</v>
      </c>
      <c r="AG1853" s="120">
        <f>AF1853*H1853</f>
        <v>249.2</v>
      </c>
      <c r="AH1853" s="36"/>
      <c r="AI1853" s="124"/>
      <c r="AJ1853" s="122" t="s">
        <v>4446</v>
      </c>
      <c r="AK1853" s="129" t="str">
        <f ca="1">IF(AB1854="", IF(K1853 &lt; TODAY(), "Late", ""), IF(AB1854 &lt;= K1853 + 2, "On Time", "Late"))</f>
        <v>On Time</v>
      </c>
      <c r="AL1853" s="268" t="str">
        <f>TEXT(K1853,"mmmm")</f>
        <v>November</v>
      </c>
      <c r="AM1853" s="133">
        <f>YEAR(Table1[[#This Row],[ETA
As requested
dd.mm.yyyy]])</f>
        <v>2025</v>
      </c>
      <c r="AN1853" s="191"/>
    </row>
    <row r="1854" spans="1:40" hidden="1">
      <c r="A1854" s="123" t="s">
        <v>27</v>
      </c>
      <c r="B1854" s="36" t="s">
        <v>1170</v>
      </c>
      <c r="C1854" s="117">
        <v>5500511040</v>
      </c>
      <c r="D1854" s="165">
        <v>45446</v>
      </c>
      <c r="E1854" s="117" t="s">
        <v>36</v>
      </c>
      <c r="F1854" s="36" t="str">
        <f>IFERROR(VLOOKUP(Table1[[#This Row],[Part Number]],DATABASE_FG!$C$6:D11843,2,FALSE)," ")</f>
        <v>HOUSING            DBD.10G1X/J3</v>
      </c>
      <c r="G1854" s="117" t="str">
        <f>IFERROR(_xlfn.XLOOKUP(Table1[[#This Row],[Part Number]],Table3[Part number],Table3[Drawing
 Revision]),"")</f>
        <v>h</v>
      </c>
      <c r="H1854" s="118" cm="1">
        <f t="array" ref="H1854">IFERROR(INDEX(PDB!$C:$AT,MATCH(E1854,PDB!$B:$B,0),MATCH(YEAR(K1854),0+PDB!$C$1:$AT$1,0)),"")</f>
        <v>31.15</v>
      </c>
      <c r="I1854" s="36">
        <v>18</v>
      </c>
      <c r="J1854" s="125">
        <f>IFERROR(Table1[[#This Row],[Quantity]]*Table1[[#This Row],[Price/Unit
EUR]]," ")</f>
        <v>560.69999999999993</v>
      </c>
      <c r="K1854" s="126">
        <v>45971</v>
      </c>
      <c r="L1854" s="36">
        <f>WEEKNUM(Table1[[#This Row],[ETA
As requested
dd.mm.yyyy]])</f>
        <v>46</v>
      </c>
      <c r="M1854" s="36">
        <f>YEAR(Table1[[#This Row],[ETA
As requested
dd.mm.yyyy]])</f>
        <v>2025</v>
      </c>
      <c r="N1854" s="36">
        <f>IFERROR(INDEX(DATABASE_FG!$H$5:$H$367, MATCH(E1854, DATABASE_FG!$C$5:$C$367, 0)), " ")</f>
        <v>73</v>
      </c>
      <c r="O1854" s="129" t="str">
        <f>IF(E1854&lt;&gt;"", _xlfn.XLOOKUP(E1854, DATABASE_FG!C:C, DATABASE_FG!F:F), " ")</f>
        <v>DBD.10</v>
      </c>
      <c r="P1854" s="129">
        <f>IFERROR(INDEX(DATABASE_FG!$G$5:$G$367, MATCH(E1854, DATABASE_FG!$C$5:$C$367, 0)), "Not Found")</f>
        <v>30</v>
      </c>
      <c r="Q1854" s="36">
        <v>60</v>
      </c>
      <c r="R1854" s="125" t="s">
        <v>678</v>
      </c>
      <c r="S1854" s="123">
        <f>Table1[[#This Row],[Quantity]]/48</f>
        <v>0.375</v>
      </c>
      <c r="T1854" s="36"/>
      <c r="U1854" s="36"/>
      <c r="V1854" s="36"/>
      <c r="W1854" s="129"/>
      <c r="X1854" s="36"/>
      <c r="Y1854" s="36"/>
      <c r="Z1854" s="36"/>
      <c r="AA1854" s="125" t="s">
        <v>121</v>
      </c>
      <c r="AB1854" s="173">
        <v>45961</v>
      </c>
      <c r="AC1854" s="119">
        <v>251232</v>
      </c>
      <c r="AD1854" s="36">
        <f>IF(NOT(ISBLANK(AC1854)), C1854, "")</f>
        <v>5500511040</v>
      </c>
      <c r="AE1854" s="36" t="str">
        <f>IF(NOT(ISBLANK(AC1854)), E1854, "")</f>
        <v>R901469358</v>
      </c>
      <c r="AF1854" s="36">
        <v>18</v>
      </c>
      <c r="AG1854" s="120">
        <f>AF1854*H1854</f>
        <v>560.69999999999993</v>
      </c>
      <c r="AH1854" s="36"/>
      <c r="AI1854" s="124"/>
      <c r="AJ1854" s="122" t="s">
        <v>4488</v>
      </c>
      <c r="AK1854" s="129" t="e">
        <f ca="1">IF(#REF!="", IF(K1854 &lt; TODAY(), "Late", ""), IF(#REF! &lt;= K1854 + 2, "On Time", "Late"))</f>
        <v>#REF!</v>
      </c>
      <c r="AL1854" s="268" t="str">
        <f>TEXT(K1854,"mmmm")</f>
        <v>November</v>
      </c>
      <c r="AM1854" s="133">
        <f>YEAR(Table1[[#This Row],[ETA
As requested
dd.mm.yyyy]])</f>
        <v>2025</v>
      </c>
      <c r="AN1854" s="191"/>
    </row>
    <row r="1855" spans="1:40" hidden="1">
      <c r="A1855" s="123" t="s">
        <v>27</v>
      </c>
      <c r="B1855" s="36" t="s">
        <v>1170</v>
      </c>
      <c r="C1855" s="117">
        <v>5500511040</v>
      </c>
      <c r="D1855" s="165">
        <v>45446</v>
      </c>
      <c r="E1855" s="117" t="s">
        <v>36</v>
      </c>
      <c r="F1855" s="36" t="str">
        <f>IFERROR(VLOOKUP(Table1[[#This Row],[Part Number]],DATABASE_FG!$C$6:D11844,2,FALSE)," ")</f>
        <v>HOUSING            DBD.10G1X/J3</v>
      </c>
      <c r="G1855" s="117" t="str">
        <f>IFERROR(_xlfn.XLOOKUP(Table1[[#This Row],[Part Number]],Table3[Part number],Table3[Drawing
 Revision]),"")</f>
        <v>h</v>
      </c>
      <c r="H1855" s="118" cm="1">
        <f t="array" ref="H1855">IFERROR(INDEX(PDB!$C:$AT,MATCH(E1855,PDB!$B:$B,0),MATCH(YEAR(K1855),0+PDB!$C$1:$AT$1,0)),"")</f>
        <v>31.15</v>
      </c>
      <c r="I1855" s="36">
        <f>32-8-18</f>
        <v>6</v>
      </c>
      <c r="J1855" s="125">
        <f>IFERROR(Table1[[#This Row],[Quantity]]*Table1[[#This Row],[Price/Unit
EUR]]," ")</f>
        <v>186.89999999999998</v>
      </c>
      <c r="K1855" s="126">
        <v>45971</v>
      </c>
      <c r="L1855" s="36">
        <f>WEEKNUM(Table1[[#This Row],[ETA
As requested
dd.mm.yyyy]])</f>
        <v>46</v>
      </c>
      <c r="M1855" s="36">
        <f>YEAR(Table1[[#This Row],[ETA
As requested
dd.mm.yyyy]])</f>
        <v>2025</v>
      </c>
      <c r="N1855" s="36">
        <f>IFERROR(INDEX(DATABASE_FG!$H$5:$H$367, MATCH(E1855, DATABASE_FG!$C$5:$C$367, 0)), " ")</f>
        <v>73</v>
      </c>
      <c r="O1855" s="129" t="str">
        <f>IF(E1855&lt;&gt;"", _xlfn.XLOOKUP(E1855, DATABASE_FG!C:C, DATABASE_FG!F:F), " ")</f>
        <v>DBD.10</v>
      </c>
      <c r="P1855" s="129">
        <f>IFERROR(INDEX(DATABASE_FG!$G$5:$G$367, MATCH(E1855, DATABASE_FG!$C$5:$C$367, 0)), "Not Found")</f>
        <v>30</v>
      </c>
      <c r="Q1855" s="36">
        <v>60</v>
      </c>
      <c r="R1855" s="125" t="s">
        <v>678</v>
      </c>
      <c r="S1855" s="123">
        <f>IFERROR(INDEX(DATABASE_FG!$L$5:$L$367, MATCH(E1855, DATABASE_FG!$C$5:$C$367, 0)), " ")</f>
        <v>56</v>
      </c>
      <c r="T1855" s="36" t="s">
        <v>677</v>
      </c>
      <c r="U1855" s="36"/>
      <c r="V1855" s="36"/>
      <c r="W1855" s="129"/>
      <c r="X1855" s="36"/>
      <c r="Y1855" s="36"/>
      <c r="Z1855" s="36"/>
      <c r="AA1855" s="125" t="s">
        <v>3</v>
      </c>
      <c r="AB1855" s="173"/>
      <c r="AC1855" s="119"/>
      <c r="AD1855" s="36" t="str">
        <f t="shared" si="209"/>
        <v/>
      </c>
      <c r="AE1855" s="36" t="str">
        <f t="shared" si="210"/>
        <v/>
      </c>
      <c r="AF1855" s="36"/>
      <c r="AG1855" s="120">
        <f t="shared" si="214"/>
        <v>0</v>
      </c>
      <c r="AH1855" s="36"/>
      <c r="AI1855" s="124"/>
      <c r="AJ1855" s="122"/>
      <c r="AK1855" s="129" t="str">
        <f t="shared" ca="1" si="213"/>
        <v/>
      </c>
      <c r="AL1855" s="268" t="str">
        <f t="shared" si="212"/>
        <v>November</v>
      </c>
      <c r="AM1855" s="133">
        <f>YEAR(Table1[[#This Row],[ETA
As requested
dd.mm.yyyy]])</f>
        <v>2025</v>
      </c>
    </row>
    <row r="1856" spans="1:40" hidden="1">
      <c r="A1856" s="123" t="s">
        <v>27</v>
      </c>
      <c r="B1856" s="36" t="s">
        <v>2464</v>
      </c>
      <c r="C1856" s="117">
        <v>5500511040</v>
      </c>
      <c r="D1856" s="165">
        <v>45446</v>
      </c>
      <c r="E1856" s="117" t="s">
        <v>36</v>
      </c>
      <c r="F1856" s="36" t="str">
        <f>IFERROR(VLOOKUP(Table1[[#This Row],[Part Number]],DATABASE_FG!$C$6:D11845,2,FALSE)," ")</f>
        <v>HOUSING            DBD.10G1X/J3</v>
      </c>
      <c r="G1856" s="117" t="str">
        <f>IFERROR(_xlfn.XLOOKUP(Table1[[#This Row],[Part Number]],Table3[Part number],Table3[Drawing
 Revision]),"")</f>
        <v>h</v>
      </c>
      <c r="H1856" s="118" cm="1">
        <f t="array" ref="H1856">IFERROR(INDEX(PDB!$C:$AT,MATCH(E1856,PDB!$B:$B,0),MATCH(YEAR(K1856),0+PDB!$C$1:$AT$1,0)),"")</f>
        <v>0</v>
      </c>
      <c r="I1856" s="36">
        <v>64</v>
      </c>
      <c r="J1856" s="125">
        <f>IFERROR(Table1[[#This Row],[Quantity]]*Table1[[#This Row],[Price/Unit
EUR]]," ")</f>
        <v>0</v>
      </c>
      <c r="K1856" s="126">
        <v>46083</v>
      </c>
      <c r="L1856" s="36">
        <f>WEEKNUM(Table1[[#This Row],[ETA
As requested
dd.mm.yyyy]])</f>
        <v>10</v>
      </c>
      <c r="M1856" s="36">
        <f>YEAR(Table1[[#This Row],[ETA
As requested
dd.mm.yyyy]])</f>
        <v>2026</v>
      </c>
      <c r="N1856" s="36">
        <f>IFERROR(INDEX(DATABASE_FG!$H$5:$H$367, MATCH(E1856, DATABASE_FG!$C$5:$C$367, 0)), " ")</f>
        <v>73</v>
      </c>
      <c r="O1856" s="129" t="str">
        <f>IF(E1856&lt;&gt;"", _xlfn.XLOOKUP(E1856, DATABASE_FG!C:C, DATABASE_FG!F:F), " ")</f>
        <v>DBD.10</v>
      </c>
      <c r="P1856" s="129">
        <f>IFERROR(INDEX(DATABASE_FG!$G$5:$G$367, MATCH(E1856, DATABASE_FG!$C$5:$C$367, 0)), "Not Found")</f>
        <v>30</v>
      </c>
      <c r="Q1856" s="36">
        <v>60</v>
      </c>
      <c r="R1856" s="125" t="s">
        <v>678</v>
      </c>
      <c r="S1856" s="123">
        <f>IFERROR(INDEX(DATABASE_FG!$L$5:$L$367, MATCH(E1856, DATABASE_FG!$C$5:$C$367, 0)), " ")</f>
        <v>56</v>
      </c>
      <c r="T1856" s="36" t="s">
        <v>677</v>
      </c>
      <c r="U1856" s="36"/>
      <c r="V1856" s="36"/>
      <c r="W1856" s="129"/>
      <c r="X1856" s="36"/>
      <c r="Y1856" s="36"/>
      <c r="Z1856" s="36"/>
      <c r="AA1856" s="125" t="s">
        <v>3</v>
      </c>
      <c r="AB1856" s="173"/>
      <c r="AC1856" s="119"/>
      <c r="AD1856" s="36" t="str">
        <f t="shared" si="209"/>
        <v/>
      </c>
      <c r="AE1856" s="36" t="str">
        <f t="shared" si="210"/>
        <v/>
      </c>
      <c r="AF1856" s="36"/>
      <c r="AG1856" s="120">
        <f t="shared" si="214"/>
        <v>0</v>
      </c>
      <c r="AH1856" s="36"/>
      <c r="AI1856" s="124"/>
      <c r="AJ1856" s="122"/>
      <c r="AK1856" s="129" t="str">
        <f t="shared" ca="1" si="213"/>
        <v/>
      </c>
      <c r="AL1856" s="268" t="str">
        <f t="shared" si="212"/>
        <v>March</v>
      </c>
      <c r="AM1856" s="133">
        <f>YEAR(Table1[[#This Row],[ETA
As requested
dd.mm.yyyy]])</f>
        <v>2026</v>
      </c>
    </row>
    <row r="1857" spans="1:39" hidden="1">
      <c r="A1857" s="123" t="s">
        <v>27</v>
      </c>
      <c r="B1857" s="36" t="s">
        <v>1170</v>
      </c>
      <c r="C1857" s="117">
        <v>5500511041</v>
      </c>
      <c r="D1857" s="165">
        <v>45369</v>
      </c>
      <c r="E1857" s="117" t="s">
        <v>43</v>
      </c>
      <c r="F1857" s="36" t="str">
        <f>IFERROR(VLOOKUP(Table1[[#This Row],[Part Number]],DATABASE_FG!$C$6:D11846,2,FALSE)," ")</f>
        <v>HOUSING            DBD.20G1X/J3</v>
      </c>
      <c r="G1857" s="117" t="str">
        <f>IFERROR(_xlfn.XLOOKUP(Table1[[#This Row],[Part Number]],Table3[Part number],Table3[Drawing
 Revision]),"")</f>
        <v>g</v>
      </c>
      <c r="H1857" s="118" cm="1">
        <f t="array" ref="H1857">IFERROR(INDEX(PDB!$C:$AT,MATCH(E1857,PDB!$B:$B,0),MATCH(YEAR(K1857),0+PDB!$C$1:$AT$1,0)),"")</f>
        <v>51.31</v>
      </c>
      <c r="I1857" s="36">
        <v>21</v>
      </c>
      <c r="J1857" s="125">
        <f>IFERROR(Table1[[#This Row],[Quantity]]*Table1[[#This Row],[Price/Unit
EUR]]," ")</f>
        <v>1077.51</v>
      </c>
      <c r="K1857" s="126">
        <v>45397</v>
      </c>
      <c r="L1857" s="36">
        <f>WEEKNUM(Table1[[#This Row],[ETA
As requested
dd.mm.yyyy]])</f>
        <v>16</v>
      </c>
      <c r="M1857" s="36">
        <f>YEAR(Table1[[#This Row],[ETA
As requested
dd.mm.yyyy]])</f>
        <v>2024</v>
      </c>
      <c r="N1857" s="36">
        <f>IFERROR(INDEX(DATABASE_FG!$H$5:$H$367, MATCH(E1857, DATABASE_FG!$C$5:$C$367, 0)), " ")</f>
        <v>90</v>
      </c>
      <c r="O1857" s="129" t="str">
        <f>IF(E1857&lt;&gt;"", _xlfn.XLOOKUP(E1857, DATABASE_FG!C:C, DATABASE_FG!F:F), " ")</f>
        <v>DBD.20</v>
      </c>
      <c r="P1857" s="129">
        <f>IFERROR(INDEX(DATABASE_FG!$G$5:$G$367, MATCH(E1857, DATABASE_FG!$C$5:$C$367, 0)), "Not Found")</f>
        <v>10</v>
      </c>
      <c r="Q1857" s="36">
        <v>60</v>
      </c>
      <c r="R1857" s="125" t="s">
        <v>678</v>
      </c>
      <c r="S1857" s="123">
        <f>IFERROR(INDEX(DATABASE_FG!$L$5:$L$367, MATCH(E1857, DATABASE_FG!$C$5:$C$367, 0)), " ")</f>
        <v>56</v>
      </c>
      <c r="T1857" s="36" t="s">
        <v>677</v>
      </c>
      <c r="U1857" s="36"/>
      <c r="V1857" s="36"/>
      <c r="W1857" s="129"/>
      <c r="X1857" s="36"/>
      <c r="Y1857" s="36"/>
      <c r="Z1857" s="36">
        <v>241308</v>
      </c>
      <c r="AA1857" s="125" t="s">
        <v>121</v>
      </c>
      <c r="AB1857" s="173">
        <v>45393</v>
      </c>
      <c r="AC1857" s="119">
        <v>2024331</v>
      </c>
      <c r="AD1857" s="36">
        <f t="shared" si="209"/>
        <v>5500511041</v>
      </c>
      <c r="AE1857" s="36" t="str">
        <f t="shared" si="210"/>
        <v>R901469362</v>
      </c>
      <c r="AF1857" s="36">
        <v>21</v>
      </c>
      <c r="AG1857" s="120">
        <f t="shared" si="214"/>
        <v>1077.51</v>
      </c>
      <c r="AH1857" s="36"/>
      <c r="AI1857" s="124"/>
      <c r="AJ1857" s="122" t="s">
        <v>1335</v>
      </c>
      <c r="AK1857" s="129" t="str">
        <f t="shared" ca="1" si="213"/>
        <v>On Time</v>
      </c>
      <c r="AL1857" s="268" t="str">
        <f t="shared" si="212"/>
        <v>April</v>
      </c>
      <c r="AM1857" s="133">
        <f>YEAR(Table1[[#This Row],[ETA
As requested
dd.mm.yyyy]])</f>
        <v>2024</v>
      </c>
    </row>
    <row r="1858" spans="1:39" hidden="1">
      <c r="A1858" s="123" t="s">
        <v>27</v>
      </c>
      <c r="B1858" s="36" t="s">
        <v>1170</v>
      </c>
      <c r="C1858" s="117">
        <v>5500511041</v>
      </c>
      <c r="D1858" s="165">
        <v>45439</v>
      </c>
      <c r="E1858" s="117" t="s">
        <v>43</v>
      </c>
      <c r="F1858" s="36" t="str">
        <f>IFERROR(VLOOKUP(Table1[[#This Row],[Part Number]],DATABASE_FG!$C$6:D11847,2,FALSE)," ")</f>
        <v>HOUSING            DBD.20G1X/J3</v>
      </c>
      <c r="G1858" s="117" t="str">
        <f>IFERROR(_xlfn.XLOOKUP(Table1[[#This Row],[Part Number]],Table3[Part number],Table3[Drawing
 Revision]),"")</f>
        <v>g</v>
      </c>
      <c r="H1858" s="118" cm="1">
        <f t="array" ref="H1858">IFERROR(INDEX(PDB!$C:$AT,MATCH(E1858,PDB!$B:$B,0),MATCH(YEAR(K1858),0+PDB!$C$1:$AT$1,0)),"")</f>
        <v>51.31</v>
      </c>
      <c r="I1858" s="36">
        <v>27</v>
      </c>
      <c r="J1858" s="125">
        <f>IFERROR(Table1[[#This Row],[Quantity]]*Table1[[#This Row],[Price/Unit
EUR]]," ")</f>
        <v>1385.3700000000001</v>
      </c>
      <c r="K1858" s="126">
        <v>45439</v>
      </c>
      <c r="L1858" s="36">
        <f>WEEKNUM(Table1[[#This Row],[ETA
As requested
dd.mm.yyyy]])</f>
        <v>22</v>
      </c>
      <c r="M1858" s="36">
        <f>YEAR(Table1[[#This Row],[ETA
As requested
dd.mm.yyyy]])</f>
        <v>2024</v>
      </c>
      <c r="N1858" s="36">
        <f>IFERROR(INDEX(DATABASE_FG!$H$5:$H$367, MATCH(E1858, DATABASE_FG!$C$5:$C$367, 0)), " ")</f>
        <v>90</v>
      </c>
      <c r="O1858" s="129" t="str">
        <f>IF(E1858&lt;&gt;"", _xlfn.XLOOKUP(E1858, DATABASE_FG!C:C, DATABASE_FG!F:F), " ")</f>
        <v>DBD.20</v>
      </c>
      <c r="P1858" s="129">
        <f>IFERROR(INDEX(DATABASE_FG!$G$5:$G$367, MATCH(E1858, DATABASE_FG!$C$5:$C$367, 0)), "Not Found")</f>
        <v>10</v>
      </c>
      <c r="Q1858" s="36">
        <v>60</v>
      </c>
      <c r="R1858" s="125" t="s">
        <v>678</v>
      </c>
      <c r="S1858" s="123">
        <f>IFERROR(INDEX(DATABASE_FG!$L$5:$L$367, MATCH(E1858, DATABASE_FG!$C$5:$C$367, 0)), " ")</f>
        <v>56</v>
      </c>
      <c r="T1858" s="36" t="s">
        <v>677</v>
      </c>
      <c r="U1858" s="36"/>
      <c r="V1858" s="36"/>
      <c r="W1858" s="129"/>
      <c r="X1858" s="36"/>
      <c r="Y1858" s="36"/>
      <c r="Z1858" s="36">
        <v>241902</v>
      </c>
      <c r="AA1858" s="125" t="s">
        <v>121</v>
      </c>
      <c r="AB1858" s="173">
        <v>45436</v>
      </c>
      <c r="AC1858" s="119">
        <v>2024535</v>
      </c>
      <c r="AD1858" s="36">
        <f t="shared" si="209"/>
        <v>5500511041</v>
      </c>
      <c r="AE1858" s="36" t="str">
        <f t="shared" si="210"/>
        <v>R901469362</v>
      </c>
      <c r="AF1858" s="36">
        <v>27</v>
      </c>
      <c r="AG1858" s="120">
        <f t="shared" si="214"/>
        <v>1385.3700000000001</v>
      </c>
      <c r="AH1858" s="36"/>
      <c r="AI1858" s="124"/>
      <c r="AJ1858" s="122" t="s">
        <v>1562</v>
      </c>
      <c r="AK1858" s="129" t="str">
        <f t="shared" ca="1" si="213"/>
        <v>On Time</v>
      </c>
      <c r="AL1858" s="268" t="str">
        <f t="shared" si="212"/>
        <v>May</v>
      </c>
      <c r="AM1858" s="133">
        <f>YEAR(Table1[[#This Row],[ETA
As requested
dd.mm.yyyy]])</f>
        <v>2024</v>
      </c>
    </row>
    <row r="1859" spans="1:39" hidden="1">
      <c r="A1859" s="123" t="s">
        <v>27</v>
      </c>
      <c r="B1859" s="36" t="s">
        <v>1170</v>
      </c>
      <c r="C1859" s="117">
        <v>5500511041</v>
      </c>
      <c r="D1859" s="165">
        <v>45446</v>
      </c>
      <c r="E1859" s="117" t="s">
        <v>43</v>
      </c>
      <c r="F1859" s="36" t="str">
        <f>IFERROR(VLOOKUP(Table1[[#This Row],[Part Number]],DATABASE_FG!$C$6:D11848,2,FALSE)," ")</f>
        <v>HOUSING            DBD.20G1X/J3</v>
      </c>
      <c r="G1859" s="117" t="str">
        <f>IFERROR(_xlfn.XLOOKUP(Table1[[#This Row],[Part Number]],Table3[Part number],Table3[Drawing
 Revision]),"")</f>
        <v>g</v>
      </c>
      <c r="H1859" s="118" cm="1">
        <f t="array" ref="H1859">IFERROR(INDEX(PDB!$C:$AT,MATCH(E1859,PDB!$B:$B,0),MATCH(YEAR(K1859),0+PDB!$C$1:$AT$1,0)),"")</f>
        <v>51.31</v>
      </c>
      <c r="I1859" s="36">
        <v>9</v>
      </c>
      <c r="J1859" s="125">
        <f>IFERROR(Table1[[#This Row],[Quantity]]*Table1[[#This Row],[Price/Unit
EUR]]," ")</f>
        <v>461.79</v>
      </c>
      <c r="K1859" s="126">
        <v>45477</v>
      </c>
      <c r="L1859" s="36">
        <f>WEEKNUM(Table1[[#This Row],[ETA
As requested
dd.mm.yyyy]])</f>
        <v>27</v>
      </c>
      <c r="M1859" s="36">
        <f>YEAR(Table1[[#This Row],[ETA
As requested
dd.mm.yyyy]])</f>
        <v>2024</v>
      </c>
      <c r="N1859" s="36">
        <f>IFERROR(INDEX(DATABASE_FG!$H$5:$H$367, MATCH(E1859, DATABASE_FG!$C$5:$C$367, 0)), " ")</f>
        <v>90</v>
      </c>
      <c r="O1859" s="129" t="str">
        <f>IF(E1859&lt;&gt;"", _xlfn.XLOOKUP(E1859, DATABASE_FG!C:C, DATABASE_FG!F:F), " ")</f>
        <v>DBD.20</v>
      </c>
      <c r="P1859" s="129">
        <f>IFERROR(INDEX(DATABASE_FG!$G$5:$G$367, MATCH(E1859, DATABASE_FG!$C$5:$C$367, 0)), "Not Found")</f>
        <v>10</v>
      </c>
      <c r="Q1859" s="36">
        <v>60</v>
      </c>
      <c r="R1859" s="125" t="s">
        <v>678</v>
      </c>
      <c r="S1859" s="123">
        <f>IFERROR(INDEX(DATABASE_FG!$L$5:$L$367, MATCH(E1859, DATABASE_FG!$C$5:$C$367, 0)), " ")</f>
        <v>56</v>
      </c>
      <c r="T1859" s="36" t="s">
        <v>677</v>
      </c>
      <c r="U1859" s="36"/>
      <c r="V1859" s="36"/>
      <c r="W1859" s="129"/>
      <c r="X1859" s="36"/>
      <c r="Y1859" s="36"/>
      <c r="Z1859" s="36">
        <v>243008</v>
      </c>
      <c r="AA1859" s="125" t="s">
        <v>121</v>
      </c>
      <c r="AB1859" s="173">
        <v>45478</v>
      </c>
      <c r="AC1859" s="119">
        <v>2024808</v>
      </c>
      <c r="AD1859" s="36">
        <f t="shared" si="209"/>
        <v>5500511041</v>
      </c>
      <c r="AE1859" s="36" t="str">
        <f t="shared" si="210"/>
        <v>R901469362</v>
      </c>
      <c r="AF1859" s="36">
        <v>9</v>
      </c>
      <c r="AG1859" s="120">
        <f t="shared" si="214"/>
        <v>461.79</v>
      </c>
      <c r="AH1859" s="36"/>
      <c r="AI1859" s="124"/>
      <c r="AJ1859" s="122" t="s">
        <v>1771</v>
      </c>
      <c r="AK1859" s="129" t="str">
        <f t="shared" ca="1" si="213"/>
        <v>On Time</v>
      </c>
      <c r="AL1859" s="268" t="str">
        <f t="shared" si="212"/>
        <v>July</v>
      </c>
      <c r="AM1859" s="133">
        <f>YEAR(Table1[[#This Row],[ETA
As requested
dd.mm.yyyy]])</f>
        <v>2024</v>
      </c>
    </row>
    <row r="1860" spans="1:39" hidden="1">
      <c r="A1860" s="123" t="s">
        <v>27</v>
      </c>
      <c r="B1860" s="36" t="s">
        <v>1170</v>
      </c>
      <c r="C1860" s="117">
        <v>5500511041</v>
      </c>
      <c r="D1860" s="165">
        <v>45446</v>
      </c>
      <c r="E1860" s="117" t="s">
        <v>43</v>
      </c>
      <c r="F1860" s="36" t="str">
        <f>IFERROR(VLOOKUP(Table1[[#This Row],[Part Number]],DATABASE_FG!$C$6:D11849,2,FALSE)," ")</f>
        <v>HOUSING            DBD.20G1X/J3</v>
      </c>
      <c r="G1860" s="117" t="str">
        <f>IFERROR(_xlfn.XLOOKUP(Table1[[#This Row],[Part Number]],Table3[Part number],Table3[Drawing
 Revision]),"")</f>
        <v>g</v>
      </c>
      <c r="H1860" s="118" cm="1">
        <f t="array" ref="H1860">IFERROR(INDEX(PDB!$C:$AT,MATCH(E1860,PDB!$B:$B,0),MATCH(YEAR(K1860),0+PDB!$C$1:$AT$1,0)),"")</f>
        <v>51.31</v>
      </c>
      <c r="I1860" s="36">
        <v>21</v>
      </c>
      <c r="J1860" s="125">
        <f>IFERROR(Table1[[#This Row],[Quantity]]*Table1[[#This Row],[Price/Unit
EUR]]," ")</f>
        <v>1077.51</v>
      </c>
      <c r="K1860" s="126">
        <v>45477</v>
      </c>
      <c r="L1860" s="36">
        <f>WEEKNUM(Table1[[#This Row],[ETA
As requested
dd.mm.yyyy]])</f>
        <v>27</v>
      </c>
      <c r="M1860" s="36">
        <f>YEAR(Table1[[#This Row],[ETA
As requested
dd.mm.yyyy]])</f>
        <v>2024</v>
      </c>
      <c r="N1860" s="36">
        <f>IFERROR(INDEX(DATABASE_FG!$H$5:$H$367, MATCH(E1860, DATABASE_FG!$C$5:$C$367, 0)), " ")</f>
        <v>90</v>
      </c>
      <c r="O1860" s="129" t="str">
        <f>IF(E1860&lt;&gt;"", _xlfn.XLOOKUP(E1860, DATABASE_FG!C:C, DATABASE_FG!F:F), " ")</f>
        <v>DBD.20</v>
      </c>
      <c r="P1860" s="129">
        <f>IFERROR(INDEX(DATABASE_FG!$G$5:$G$367, MATCH(E1860, DATABASE_FG!$C$5:$C$367, 0)), "Not Found")</f>
        <v>10</v>
      </c>
      <c r="Q1860" s="36">
        <v>60</v>
      </c>
      <c r="R1860" s="125" t="s">
        <v>678</v>
      </c>
      <c r="S1860" s="123">
        <f>IFERROR(INDEX(DATABASE_FG!$L$5:$L$367, MATCH(E1860, DATABASE_FG!$C$5:$C$367, 0)), " ")</f>
        <v>56</v>
      </c>
      <c r="T1860" s="36" t="s">
        <v>677</v>
      </c>
      <c r="U1860" s="36"/>
      <c r="V1860" s="36"/>
      <c r="W1860" s="129"/>
      <c r="X1860" s="36"/>
      <c r="Y1860" s="36"/>
      <c r="Z1860" s="36"/>
      <c r="AA1860" s="125" t="s">
        <v>121</v>
      </c>
      <c r="AB1860" s="173">
        <v>45499</v>
      </c>
      <c r="AC1860" s="119">
        <v>2024926</v>
      </c>
      <c r="AD1860" s="36">
        <f t="shared" si="209"/>
        <v>5500511041</v>
      </c>
      <c r="AE1860" s="36" t="str">
        <f t="shared" si="210"/>
        <v>R901469362</v>
      </c>
      <c r="AF1860" s="36">
        <v>12</v>
      </c>
      <c r="AG1860" s="120">
        <f t="shared" si="214"/>
        <v>615.72</v>
      </c>
      <c r="AH1860" s="36"/>
      <c r="AI1860" s="124"/>
      <c r="AJ1860" s="122" t="s">
        <v>1788</v>
      </c>
      <c r="AK1860" s="129" t="str">
        <f t="shared" ca="1" si="213"/>
        <v>Late</v>
      </c>
      <c r="AL1860" s="268" t="str">
        <f t="shared" si="212"/>
        <v>July</v>
      </c>
      <c r="AM1860" s="133">
        <f>YEAR(Table1[[#This Row],[ETA
As requested
dd.mm.yyyy]])</f>
        <v>2024</v>
      </c>
    </row>
    <row r="1861" spans="1:39" hidden="1">
      <c r="A1861" s="123" t="s">
        <v>27</v>
      </c>
      <c r="B1861" s="36" t="s">
        <v>1170</v>
      </c>
      <c r="C1861" s="117">
        <v>5500511041</v>
      </c>
      <c r="D1861" s="165">
        <v>45446</v>
      </c>
      <c r="E1861" s="117" t="s">
        <v>43</v>
      </c>
      <c r="F1861" s="36" t="str">
        <f>IFERROR(VLOOKUP(Table1[[#This Row],[Part Number]],DATABASE_FG!$C$6:D11850,2,FALSE)," ")</f>
        <v>HOUSING            DBD.20G1X/J3</v>
      </c>
      <c r="G1861" s="117" t="str">
        <f>IFERROR(_xlfn.XLOOKUP(Table1[[#This Row],[Part Number]],Table3[Part number],Table3[Drawing
 Revision]),"")</f>
        <v>g</v>
      </c>
      <c r="H1861" s="118" cm="1">
        <f t="array" ref="H1861">IFERROR(INDEX(PDB!$C:$AT,MATCH(E1861,PDB!$B:$B,0),MATCH(YEAR(K1861),0+PDB!$C$1:$AT$1,0)),"")</f>
        <v>51.31</v>
      </c>
      <c r="I1861" s="36">
        <v>9</v>
      </c>
      <c r="J1861" s="125">
        <f>IFERROR(Table1[[#This Row],[Quantity]]*Table1[[#This Row],[Price/Unit
EUR]]," ")</f>
        <v>461.79</v>
      </c>
      <c r="K1861" s="126">
        <v>45621</v>
      </c>
      <c r="L1861" s="36">
        <f>WEEKNUM(Table1[[#This Row],[ETA
As requested
dd.mm.yyyy]])</f>
        <v>48</v>
      </c>
      <c r="M1861" s="36">
        <f>YEAR(Table1[[#This Row],[ETA
As requested
dd.mm.yyyy]])</f>
        <v>2024</v>
      </c>
      <c r="N1861" s="36">
        <f>IFERROR(INDEX(DATABASE_FG!$H$5:$H$367, MATCH(E1861, DATABASE_FG!$C$5:$C$367, 0)), " ")</f>
        <v>90</v>
      </c>
      <c r="O1861" s="129" t="str">
        <f>IF(E1861&lt;&gt;"", _xlfn.XLOOKUP(E1861, DATABASE_FG!C:C, DATABASE_FG!F:F), " ")</f>
        <v>DBD.20</v>
      </c>
      <c r="P1861" s="129">
        <f>IFERROR(INDEX(DATABASE_FG!$G$5:$G$367, MATCH(E1861, DATABASE_FG!$C$5:$C$367, 0)), "Not Found")</f>
        <v>10</v>
      </c>
      <c r="Q1861" s="36">
        <v>60</v>
      </c>
      <c r="R1861" s="125" t="s">
        <v>678</v>
      </c>
      <c r="S1861" s="123">
        <f>IFERROR(INDEX(DATABASE_FG!$L$5:$L$367, MATCH(E1861, DATABASE_FG!$C$5:$C$367, 0)), " ")</f>
        <v>56</v>
      </c>
      <c r="T1861" s="36" t="s">
        <v>677</v>
      </c>
      <c r="U1861" s="36"/>
      <c r="V1861" s="36"/>
      <c r="W1861" s="129"/>
      <c r="X1861" s="36"/>
      <c r="Y1861" s="36"/>
      <c r="Z1861" s="36"/>
      <c r="AA1861" s="125" t="s">
        <v>121</v>
      </c>
      <c r="AB1861" s="173">
        <v>45499</v>
      </c>
      <c r="AC1861" s="119">
        <v>2024926</v>
      </c>
      <c r="AD1861" s="36">
        <f t="shared" si="209"/>
        <v>5500511041</v>
      </c>
      <c r="AE1861" s="36" t="str">
        <f t="shared" si="210"/>
        <v>R901469362</v>
      </c>
      <c r="AF1861" s="36">
        <v>9</v>
      </c>
      <c r="AG1861" s="120">
        <f t="shared" si="214"/>
        <v>461.79</v>
      </c>
      <c r="AH1861" s="36"/>
      <c r="AI1861" s="124"/>
      <c r="AJ1861" s="122" t="s">
        <v>1788</v>
      </c>
      <c r="AK1861" s="129" t="str">
        <f t="shared" ca="1" si="213"/>
        <v>On Time</v>
      </c>
      <c r="AL1861" s="268" t="str">
        <f t="shared" si="212"/>
        <v>November</v>
      </c>
      <c r="AM1861" s="133">
        <f>YEAR(Table1[[#This Row],[ETA
As requested
dd.mm.yyyy]])</f>
        <v>2024</v>
      </c>
    </row>
    <row r="1862" spans="1:39" hidden="1">
      <c r="A1862" s="123" t="s">
        <v>27</v>
      </c>
      <c r="B1862" s="36" t="s">
        <v>1170</v>
      </c>
      <c r="C1862" s="117">
        <v>5500511041</v>
      </c>
      <c r="D1862" s="165">
        <v>45446</v>
      </c>
      <c r="E1862" s="117" t="s">
        <v>43</v>
      </c>
      <c r="F1862" s="36" t="str">
        <f>IFERROR(VLOOKUP(Table1[[#This Row],[Part Number]],DATABASE_FG!$C$6:D11851,2,FALSE)," ")</f>
        <v>HOUSING            DBD.20G1X/J3</v>
      </c>
      <c r="G1862" s="117" t="str">
        <f>IFERROR(_xlfn.XLOOKUP(Table1[[#This Row],[Part Number]],Table3[Part number],Table3[Drawing
 Revision]),"")</f>
        <v>g</v>
      </c>
      <c r="H1862" s="118" cm="1">
        <f t="array" ref="H1862">IFERROR(INDEX(PDB!$C:$AT,MATCH(E1862,PDB!$B:$B,0),MATCH(YEAR(K1862),0+PDB!$C$1:$AT$1,0)),"")</f>
        <v>51.31</v>
      </c>
      <c r="I1862" s="36">
        <v>17</v>
      </c>
      <c r="J1862" s="125">
        <f>IFERROR(Table1[[#This Row],[Quantity]]*Table1[[#This Row],[Price/Unit
EUR]]," ")</f>
        <v>872.27</v>
      </c>
      <c r="K1862" s="126">
        <v>45639</v>
      </c>
      <c r="L1862" s="36">
        <f>WEEKNUM(Table1[[#This Row],[ETA
As requested
dd.mm.yyyy]])</f>
        <v>50</v>
      </c>
      <c r="M1862" s="36">
        <f>YEAR(Table1[[#This Row],[ETA
As requested
dd.mm.yyyy]])</f>
        <v>2024</v>
      </c>
      <c r="N1862" s="36">
        <f>IFERROR(INDEX(DATABASE_FG!$H$5:$H$367, MATCH(E1862, DATABASE_FG!$C$5:$C$367, 0)), " ")</f>
        <v>90</v>
      </c>
      <c r="O1862" s="129" t="str">
        <f>IF(E1862&lt;&gt;"", _xlfn.XLOOKUP(E1862, DATABASE_FG!C:C, DATABASE_FG!F:F), " ")</f>
        <v>DBD.20</v>
      </c>
      <c r="P1862" s="129">
        <f>IFERROR(INDEX(DATABASE_FG!$G$5:$G$367, MATCH(E1862, DATABASE_FG!$C$5:$C$367, 0)), "Not Found")</f>
        <v>10</v>
      </c>
      <c r="Q1862" s="36">
        <v>60</v>
      </c>
      <c r="R1862" s="125" t="s">
        <v>678</v>
      </c>
      <c r="S1862" s="123">
        <f>IFERROR(INDEX(DATABASE_FG!$L$5:$L$367, MATCH(E1862, DATABASE_FG!$C$5:$C$367, 0)), " ")</f>
        <v>56</v>
      </c>
      <c r="T1862" s="36" t="s">
        <v>677</v>
      </c>
      <c r="U1862" s="36"/>
      <c r="V1862" s="36"/>
      <c r="W1862" s="129"/>
      <c r="X1862" s="36" t="s">
        <v>2670</v>
      </c>
      <c r="Y1862" s="36"/>
      <c r="Z1862" s="36"/>
      <c r="AA1862" s="125" t="s">
        <v>121</v>
      </c>
      <c r="AB1862" s="173">
        <v>45638</v>
      </c>
      <c r="AC1862" s="119">
        <v>202401523</v>
      </c>
      <c r="AD1862" s="36">
        <f t="shared" si="209"/>
        <v>5500511041</v>
      </c>
      <c r="AE1862" s="36" t="str">
        <f t="shared" si="210"/>
        <v>R901469362</v>
      </c>
      <c r="AF1862" s="36">
        <v>17</v>
      </c>
      <c r="AG1862" s="120">
        <f t="shared" si="214"/>
        <v>872.27</v>
      </c>
      <c r="AH1862" s="36"/>
      <c r="AI1862" s="124"/>
      <c r="AJ1862" s="122" t="s">
        <v>2671</v>
      </c>
      <c r="AK1862" s="129" t="str">
        <f t="shared" ca="1" si="213"/>
        <v>On Time</v>
      </c>
      <c r="AL1862" s="268" t="str">
        <f t="shared" si="212"/>
        <v>December</v>
      </c>
      <c r="AM1862" s="133">
        <f>YEAR(Table1[[#This Row],[ETA
As requested
dd.mm.yyyy]])</f>
        <v>2024</v>
      </c>
    </row>
    <row r="1863" spans="1:39" hidden="1">
      <c r="A1863" s="123" t="s">
        <v>27</v>
      </c>
      <c r="B1863" s="36" t="s">
        <v>1170</v>
      </c>
      <c r="C1863" s="117">
        <v>5500511041</v>
      </c>
      <c r="D1863" s="165">
        <v>45446</v>
      </c>
      <c r="E1863" s="117" t="s">
        <v>43</v>
      </c>
      <c r="F1863" s="36" t="str">
        <f>IFERROR(VLOOKUP(Table1[[#This Row],[Part Number]],DATABASE_FG!$C$6:D11852,2,FALSE)," ")</f>
        <v>HOUSING            DBD.20G1X/J3</v>
      </c>
      <c r="G1863" s="117" t="str">
        <f>IFERROR(_xlfn.XLOOKUP(Table1[[#This Row],[Part Number]],Table3[Part number],Table3[Drawing
 Revision]),"")</f>
        <v>g</v>
      </c>
      <c r="H1863" s="118" cm="1">
        <f t="array" ref="H1863">IFERROR(INDEX(PDB!$C:$AT,MATCH(E1863,PDB!$B:$B,0),MATCH(YEAR(K1863),0+PDB!$C$1:$AT$1,0)),"")</f>
        <v>48.87</v>
      </c>
      <c r="I1863" s="36">
        <v>21</v>
      </c>
      <c r="J1863" s="125">
        <f>IFERROR(Table1[[#This Row],[Quantity]]*Table1[[#This Row],[Price/Unit
EUR]]," ")</f>
        <v>1026.27</v>
      </c>
      <c r="K1863" s="126">
        <v>45712</v>
      </c>
      <c r="L1863" s="36">
        <f>WEEKNUM(Table1[[#This Row],[ETA
As requested
dd.mm.yyyy]])</f>
        <v>9</v>
      </c>
      <c r="M1863" s="36">
        <f>YEAR(Table1[[#This Row],[ETA
As requested
dd.mm.yyyy]])</f>
        <v>2025</v>
      </c>
      <c r="N1863" s="36">
        <f>IFERROR(INDEX(DATABASE_FG!$H$5:$H$367, MATCH(E1863, DATABASE_FG!$C$5:$C$367, 0)), " ")</f>
        <v>90</v>
      </c>
      <c r="O1863" s="129" t="str">
        <f>IF(E1863&lt;&gt;"", _xlfn.XLOOKUP(E1863, DATABASE_FG!C:C, DATABASE_FG!F:F), " ")</f>
        <v>DBD.20</v>
      </c>
      <c r="P1863" s="129">
        <f>IFERROR(INDEX(DATABASE_FG!$G$5:$G$367, MATCH(E1863, DATABASE_FG!$C$5:$C$367, 0)), "Not Found")</f>
        <v>10</v>
      </c>
      <c r="Q1863" s="36">
        <v>60</v>
      </c>
      <c r="R1863" s="125" t="s">
        <v>678</v>
      </c>
      <c r="S1863" s="123">
        <f>IFERROR(INDEX(DATABASE_FG!$L$5:$L$367, MATCH(E1863, DATABASE_FG!$C$5:$C$367, 0)), " ")</f>
        <v>56</v>
      </c>
      <c r="T1863" s="36" t="s">
        <v>677</v>
      </c>
      <c r="U1863" s="36"/>
      <c r="V1863" s="36"/>
      <c r="W1863" s="129"/>
      <c r="X1863" s="36"/>
      <c r="Y1863" s="36" t="s">
        <v>677</v>
      </c>
      <c r="Z1863" s="36"/>
      <c r="AA1863" s="125" t="s">
        <v>121</v>
      </c>
      <c r="AB1863" s="173">
        <v>45706</v>
      </c>
      <c r="AC1863" s="119">
        <v>25231</v>
      </c>
      <c r="AD1863" s="36">
        <f t="shared" ref="AD1863:AD1927" si="215">IF(NOT(ISBLANK(AC1863)), C1863, "")</f>
        <v>5500511041</v>
      </c>
      <c r="AE1863" s="36" t="str">
        <f t="shared" si="210"/>
        <v>R901469362</v>
      </c>
      <c r="AF1863" s="36">
        <v>21</v>
      </c>
      <c r="AG1863" s="120">
        <f t="shared" si="214"/>
        <v>1026.27</v>
      </c>
      <c r="AH1863" s="36"/>
      <c r="AI1863" s="124"/>
      <c r="AJ1863" s="122" t="s">
        <v>2860</v>
      </c>
      <c r="AK1863" s="129" t="str">
        <f t="shared" ca="1" si="213"/>
        <v>On Time</v>
      </c>
      <c r="AL1863" s="268" t="str">
        <f t="shared" si="212"/>
        <v>February</v>
      </c>
      <c r="AM1863" s="133">
        <f>YEAR(Table1[[#This Row],[ETA
As requested
dd.mm.yyyy]])</f>
        <v>2025</v>
      </c>
    </row>
    <row r="1864" spans="1:39" hidden="1">
      <c r="A1864" s="123" t="s">
        <v>27</v>
      </c>
      <c r="B1864" s="36" t="s">
        <v>1170</v>
      </c>
      <c r="C1864" s="117">
        <v>5500511041</v>
      </c>
      <c r="D1864" s="165">
        <v>45446</v>
      </c>
      <c r="E1864" s="117" t="s">
        <v>43</v>
      </c>
      <c r="F1864" s="36" t="str">
        <f>IFERROR(VLOOKUP(Table1[[#This Row],[Part Number]],DATABASE_FG!$C$6:D11853,2,FALSE)," ")</f>
        <v>HOUSING            DBD.20G1X/J3</v>
      </c>
      <c r="G1864" s="117" t="str">
        <f>IFERROR(_xlfn.XLOOKUP(Table1[[#This Row],[Part Number]],Table3[Part number],Table3[Drawing
 Revision]),"")</f>
        <v>g</v>
      </c>
      <c r="H1864" s="118" cm="1">
        <f t="array" ref="H1864">IFERROR(INDEX(PDB!$C:$AT,MATCH(E1864,PDB!$B:$B,0),MATCH(YEAR(K1864),0+PDB!$C$1:$AT$1,0)),"")</f>
        <v>48.87</v>
      </c>
      <c r="I1864" s="36">
        <v>39</v>
      </c>
      <c r="J1864" s="125">
        <f>IFERROR(Table1[[#This Row],[Quantity]]*Table1[[#This Row],[Price/Unit
EUR]]," ")</f>
        <v>1905.9299999999998</v>
      </c>
      <c r="K1864" s="126">
        <v>45777</v>
      </c>
      <c r="L1864" s="36">
        <f>WEEKNUM(Table1[[#This Row],[ETA
As requested
dd.mm.yyyy]])</f>
        <v>18</v>
      </c>
      <c r="M1864" s="36">
        <f>YEAR(Table1[[#This Row],[ETA
As requested
dd.mm.yyyy]])</f>
        <v>2025</v>
      </c>
      <c r="N1864" s="36">
        <f>IFERROR(INDEX(DATABASE_FG!$H$5:$H$367, MATCH(E1864, DATABASE_FG!$C$5:$C$367, 0)), " ")</f>
        <v>90</v>
      </c>
      <c r="O1864" s="129" t="str">
        <f>IF(E1864&lt;&gt;"", _xlfn.XLOOKUP(E1864, DATABASE_FG!C:C, DATABASE_FG!F:F), " ")</f>
        <v>DBD.20</v>
      </c>
      <c r="P1864" s="129">
        <f>IFERROR(INDEX(DATABASE_FG!$G$5:$G$367, MATCH(E1864, DATABASE_FG!$C$5:$C$367, 0)), "Not Found")</f>
        <v>10</v>
      </c>
      <c r="Q1864" s="36">
        <v>60</v>
      </c>
      <c r="R1864" s="125" t="s">
        <v>678</v>
      </c>
      <c r="S1864" s="123">
        <f>IFERROR(INDEX(DATABASE_FG!$L$5:$L$367, MATCH(E1864, DATABASE_FG!$C$5:$C$367, 0)), " ")</f>
        <v>56</v>
      </c>
      <c r="T1864" s="36" t="s">
        <v>677</v>
      </c>
      <c r="U1864" s="36"/>
      <c r="V1864" s="36"/>
      <c r="W1864" s="129"/>
      <c r="X1864" s="36"/>
      <c r="Y1864" s="36" t="s">
        <v>677</v>
      </c>
      <c r="Z1864" s="36"/>
      <c r="AA1864" s="125" t="s">
        <v>121</v>
      </c>
      <c r="AB1864" s="173">
        <v>45793</v>
      </c>
      <c r="AC1864" s="119">
        <v>25786</v>
      </c>
      <c r="AD1864" s="36">
        <f t="shared" si="215"/>
        <v>5500511041</v>
      </c>
      <c r="AE1864" s="36" t="str">
        <f t="shared" si="210"/>
        <v>R901469362</v>
      </c>
      <c r="AF1864" s="36">
        <v>39</v>
      </c>
      <c r="AG1864" s="120">
        <f t="shared" si="214"/>
        <v>1905.9299999999998</v>
      </c>
      <c r="AH1864" s="36"/>
      <c r="AI1864" s="124"/>
      <c r="AJ1864" s="122" t="s">
        <v>3135</v>
      </c>
      <c r="AK1864" s="129" t="str">
        <f t="shared" ca="1" si="213"/>
        <v>Late</v>
      </c>
      <c r="AL1864" s="268" t="str">
        <f t="shared" si="212"/>
        <v>April</v>
      </c>
      <c r="AM1864" s="133">
        <f>YEAR(Table1[[#This Row],[ETA
As requested
dd.mm.yyyy]])</f>
        <v>2025</v>
      </c>
    </row>
    <row r="1865" spans="1:39" hidden="1">
      <c r="A1865" s="123" t="s">
        <v>27</v>
      </c>
      <c r="B1865" s="36" t="s">
        <v>1170</v>
      </c>
      <c r="C1865" s="117">
        <v>5500511041</v>
      </c>
      <c r="D1865" s="165">
        <v>45446</v>
      </c>
      <c r="E1865" s="117" t="s">
        <v>43</v>
      </c>
      <c r="F1865" s="36" t="str">
        <f>IFERROR(VLOOKUP(Table1[[#This Row],[Part Number]],DATABASE_FG!$C$6:D11854,2,FALSE)," ")</f>
        <v>HOUSING            DBD.20G1X/J3</v>
      </c>
      <c r="G1865" s="117" t="str">
        <f>IFERROR(_xlfn.XLOOKUP(Table1[[#This Row],[Part Number]],Table3[Part number],Table3[Drawing
 Revision]),"")</f>
        <v>g</v>
      </c>
      <c r="H1865" s="118" cm="1">
        <f t="array" ref="H1865">IFERROR(INDEX(PDB!$C:$AT,MATCH(E1865,PDB!$B:$B,0),MATCH(YEAR(K1865),0+PDB!$C$1:$AT$1,0)),"")</f>
        <v>48.87</v>
      </c>
      <c r="I1865" s="36">
        <v>26</v>
      </c>
      <c r="J1865" s="125">
        <f>IFERROR(Table1[[#This Row],[Quantity]]*Table1[[#This Row],[Price/Unit
EUR]]," ")</f>
        <v>1270.6199999999999</v>
      </c>
      <c r="K1865" s="126">
        <v>45821</v>
      </c>
      <c r="L1865" s="36">
        <f>WEEKNUM(Table1[[#This Row],[ETA
As requested
dd.mm.yyyy]])</f>
        <v>24</v>
      </c>
      <c r="M1865" s="36">
        <f>YEAR(Table1[[#This Row],[ETA
As requested
dd.mm.yyyy]])</f>
        <v>2025</v>
      </c>
      <c r="N1865" s="36">
        <f>IFERROR(INDEX(DATABASE_FG!$H$5:$H$367, MATCH(E1865, DATABASE_FG!$C$5:$C$367, 0)), " ")</f>
        <v>90</v>
      </c>
      <c r="O1865" s="129" t="str">
        <f>IF(E1865&lt;&gt;"", _xlfn.XLOOKUP(E1865, DATABASE_FG!C:C, DATABASE_FG!F:F), " ")</f>
        <v>DBD.20</v>
      </c>
      <c r="P1865" s="129">
        <f>IFERROR(INDEX(DATABASE_FG!$G$5:$G$367, MATCH(E1865, DATABASE_FG!$C$5:$C$367, 0)), "Not Found")</f>
        <v>10</v>
      </c>
      <c r="Q1865" s="36">
        <v>60</v>
      </c>
      <c r="R1865" s="125" t="s">
        <v>678</v>
      </c>
      <c r="S1865" s="123">
        <f>IFERROR(INDEX(DATABASE_FG!$L$5:$L$367, MATCH(E1865, DATABASE_FG!$C$5:$C$367, 0)), " ")</f>
        <v>56</v>
      </c>
      <c r="T1865" s="36" t="s">
        <v>677</v>
      </c>
      <c r="U1865" s="36"/>
      <c r="V1865" s="36"/>
      <c r="W1865" s="129"/>
      <c r="X1865" s="36"/>
      <c r="Y1865" s="36" t="s">
        <v>677</v>
      </c>
      <c r="Z1865" s="36"/>
      <c r="AA1865" s="125" t="s">
        <v>121</v>
      </c>
      <c r="AB1865" s="172">
        <v>45839</v>
      </c>
      <c r="AC1865" s="119">
        <v>251067</v>
      </c>
      <c r="AD1865" s="36">
        <f t="shared" si="215"/>
        <v>5500511041</v>
      </c>
      <c r="AE1865" s="36" t="str">
        <f t="shared" ref="AE1865:AE1929" si="216">IF(NOT(ISBLANK(AC1865)), E1865, "")</f>
        <v>R901469362</v>
      </c>
      <c r="AF1865" s="36">
        <v>26</v>
      </c>
      <c r="AG1865" s="120">
        <f t="shared" si="214"/>
        <v>1270.6199999999999</v>
      </c>
      <c r="AH1865" s="36"/>
      <c r="AI1865" s="124"/>
      <c r="AJ1865" s="122" t="s">
        <v>3272</v>
      </c>
      <c r="AK1865" s="129" t="str">
        <f t="shared" ca="1" si="213"/>
        <v>Late</v>
      </c>
      <c r="AL1865" s="268" t="str">
        <f t="shared" si="212"/>
        <v>June</v>
      </c>
      <c r="AM1865" s="133">
        <f>YEAR(Table1[[#This Row],[ETA
As requested
dd.mm.yyyy]])</f>
        <v>2025</v>
      </c>
    </row>
    <row r="1866" spans="1:39" hidden="1">
      <c r="A1866" s="123" t="s">
        <v>27</v>
      </c>
      <c r="B1866" s="36" t="s">
        <v>1170</v>
      </c>
      <c r="C1866" s="117">
        <v>5500511041</v>
      </c>
      <c r="D1866" s="165">
        <v>45446</v>
      </c>
      <c r="E1866" s="117" t="s">
        <v>43</v>
      </c>
      <c r="F1866" s="36" t="str">
        <f>IFERROR(VLOOKUP(Table1[[#This Row],[Part Number]],DATABASE_FG!$C$6:D11855,2,FALSE)," ")</f>
        <v>HOUSING            DBD.20G1X/J3</v>
      </c>
      <c r="G1866" s="117" t="str">
        <f>IFERROR(_xlfn.XLOOKUP(Table1[[#This Row],[Part Number]],Table3[Part number],Table3[Drawing
 Revision]),"")</f>
        <v>g</v>
      </c>
      <c r="H1866" s="118" cm="1">
        <f t="array" ref="H1866">IFERROR(INDEX(PDB!$C:$AT,MATCH(E1866,PDB!$B:$B,0),MATCH(YEAR(K1866),0+PDB!$C$1:$AT$1,0)),"")</f>
        <v>48.87</v>
      </c>
      <c r="I1866" s="36">
        <f>27+4</f>
        <v>31</v>
      </c>
      <c r="J1866" s="125">
        <f>IFERROR(Table1[[#This Row],[Quantity]]*Table1[[#This Row],[Price/Unit
EUR]]," ")</f>
        <v>1514.97</v>
      </c>
      <c r="K1866" s="126">
        <v>45965</v>
      </c>
      <c r="L1866" s="36">
        <f>WEEKNUM(Table1[[#This Row],[ETA
As requested
dd.mm.yyyy]])</f>
        <v>45</v>
      </c>
      <c r="M1866" s="36">
        <f>YEAR(Table1[[#This Row],[ETA
As requested
dd.mm.yyyy]])</f>
        <v>2025</v>
      </c>
      <c r="N1866" s="36">
        <f>IFERROR(INDEX(DATABASE_FG!$H$5:$H$367, MATCH(E1866, DATABASE_FG!$C$5:$C$367, 0)), " ")</f>
        <v>90</v>
      </c>
      <c r="O1866" s="129" t="str">
        <f>IF(E1866&lt;&gt;"", _xlfn.XLOOKUP(E1866, DATABASE_FG!C:C, DATABASE_FG!F:F), " ")</f>
        <v>DBD.20</v>
      </c>
      <c r="P1866" s="129">
        <f>IFERROR(INDEX(DATABASE_FG!$G$5:$G$367, MATCH(E1866, DATABASE_FG!$C$5:$C$367, 0)), "Not Found")</f>
        <v>10</v>
      </c>
      <c r="Q1866" s="36">
        <v>60</v>
      </c>
      <c r="R1866" s="125" t="s">
        <v>678</v>
      </c>
      <c r="S1866" s="123">
        <f>IFERROR(INDEX(DATABASE_FG!$L$5:$L$367, MATCH(E1866, DATABASE_FG!$C$5:$C$367, 0)), " ")</f>
        <v>56</v>
      </c>
      <c r="T1866" s="36" t="s">
        <v>677</v>
      </c>
      <c r="U1866" s="36"/>
      <c r="V1866" s="36"/>
      <c r="W1866" s="129"/>
      <c r="X1866" s="36"/>
      <c r="Y1866" s="36"/>
      <c r="Z1866" s="36"/>
      <c r="AA1866" s="125" t="s">
        <v>121</v>
      </c>
      <c r="AB1866" s="172">
        <v>45959</v>
      </c>
      <c r="AC1866" s="119">
        <v>251207</v>
      </c>
      <c r="AD1866" s="36">
        <f t="shared" si="215"/>
        <v>5500511041</v>
      </c>
      <c r="AE1866" s="36" t="str">
        <f t="shared" si="216"/>
        <v>R901469362</v>
      </c>
      <c r="AF1866" s="36">
        <v>31</v>
      </c>
      <c r="AG1866" s="120">
        <f t="shared" si="214"/>
        <v>1514.97</v>
      </c>
      <c r="AH1866" s="36"/>
      <c r="AI1866" s="124"/>
      <c r="AJ1866" s="122" t="s">
        <v>4447</v>
      </c>
      <c r="AK1866" s="129" t="str">
        <f t="shared" ca="1" si="213"/>
        <v>On Time</v>
      </c>
      <c r="AL1866" s="268" t="str">
        <f t="shared" si="212"/>
        <v>November</v>
      </c>
      <c r="AM1866" s="133">
        <f>YEAR(Table1[[#This Row],[ETA
As requested
dd.mm.yyyy]])</f>
        <v>2025</v>
      </c>
    </row>
    <row r="1867" spans="1:39" hidden="1">
      <c r="A1867" s="123" t="s">
        <v>27</v>
      </c>
      <c r="B1867" s="36" t="s">
        <v>1170</v>
      </c>
      <c r="C1867" s="117">
        <v>4510865668</v>
      </c>
      <c r="D1867" s="165">
        <v>45447</v>
      </c>
      <c r="E1867" s="117" t="s">
        <v>44</v>
      </c>
      <c r="F1867" s="36" t="str">
        <f>IFERROR(VLOOKUP(Table1[[#This Row],[Part Number]],DATABASE_FG!$C$6:D11856,2,FALSE)," ")</f>
        <v>HOUSING DBD.20G1X/VJ3 BG</v>
      </c>
      <c r="G1867" s="117" t="str">
        <f>IFERROR(_xlfn.XLOOKUP(Table1[[#This Row],[Part Number]],Table3[Part number],Table3[Drawing
 Revision]),"")</f>
        <v>G</v>
      </c>
      <c r="H1867" s="118" cm="1">
        <f t="array" ref="H1867">IFERROR(INDEX(PDB!$C:$AT,MATCH(E1867,PDB!$B:$B,0),MATCH(YEAR(K1867),0+PDB!$C$1:$AT$1,0)),"")</f>
        <v>103.2</v>
      </c>
      <c r="I1867" s="36">
        <f>1+1</f>
        <v>2</v>
      </c>
      <c r="J1867" s="125">
        <f>IFERROR(Table1[[#This Row],[Quantity]]*Table1[[#This Row],[Price/Unit
EUR]]," ")</f>
        <v>206.4</v>
      </c>
      <c r="K1867" s="126">
        <v>45932</v>
      </c>
      <c r="L1867" s="36">
        <f>WEEKNUM(Table1[[#This Row],[ETA
As requested
dd.mm.yyyy]])</f>
        <v>40</v>
      </c>
      <c r="M1867" s="36">
        <f>YEAR(Table1[[#This Row],[ETA
As requested
dd.mm.yyyy]])</f>
        <v>2025</v>
      </c>
      <c r="N1867" s="36">
        <f>IFERROR(INDEX(DATABASE_FG!$H$5:$H$367, MATCH(E1867, DATABASE_FG!$C$5:$C$367, 0)), " ")</f>
        <v>0</v>
      </c>
      <c r="O1867" s="129" t="str">
        <f>IF(E1867&lt;&gt;"", _xlfn.XLOOKUP(E1867, DATABASE_FG!C:C, DATABASE_FG!F:F), " ")</f>
        <v>DBD.20</v>
      </c>
      <c r="P1867" s="129">
        <f>IFERROR(INDEX(DATABASE_FG!$G$5:$G$367, MATCH(E1867, DATABASE_FG!$C$5:$C$367, 0)), "Not Found")</f>
        <v>5</v>
      </c>
      <c r="Q1867" s="36">
        <v>61</v>
      </c>
      <c r="R1867" s="125" t="s">
        <v>678</v>
      </c>
      <c r="S1867" s="123">
        <f>IFERROR(INDEX(DATABASE_FG!$L$5:$L$367, MATCH(E1867, DATABASE_FG!$C$5:$C$367, 0)), " ")</f>
        <v>56</v>
      </c>
      <c r="T1867" s="36" t="s">
        <v>677</v>
      </c>
      <c r="U1867" s="36"/>
      <c r="V1867" s="36"/>
      <c r="W1867" s="129"/>
      <c r="X1867" s="36"/>
      <c r="Y1867" s="36"/>
      <c r="Z1867" s="36"/>
      <c r="AA1867" s="125" t="s">
        <v>121</v>
      </c>
      <c r="AB1867" s="172">
        <v>45959</v>
      </c>
      <c r="AC1867" s="119">
        <v>251206</v>
      </c>
      <c r="AD1867" s="36">
        <f t="shared" si="215"/>
        <v>4510865668</v>
      </c>
      <c r="AE1867" s="36" t="str">
        <f t="shared" si="216"/>
        <v>R901469363</v>
      </c>
      <c r="AF1867" s="36">
        <v>2</v>
      </c>
      <c r="AG1867" s="120">
        <f t="shared" si="214"/>
        <v>206.4</v>
      </c>
      <c r="AH1867" s="36"/>
      <c r="AI1867" s="124"/>
      <c r="AJ1867" s="122" t="s">
        <v>4448</v>
      </c>
      <c r="AK1867" s="129" t="str">
        <f t="shared" ca="1" si="213"/>
        <v>Late</v>
      </c>
      <c r="AL1867" s="268" t="str">
        <f t="shared" si="212"/>
        <v>October</v>
      </c>
      <c r="AM1867" s="133">
        <f>YEAR(Table1[[#This Row],[ETA
As requested
dd.mm.yyyy]])</f>
        <v>2025</v>
      </c>
    </row>
    <row r="1868" spans="1:39" hidden="1">
      <c r="A1868" s="123" t="s">
        <v>27</v>
      </c>
      <c r="B1868" s="36" t="s">
        <v>1170</v>
      </c>
      <c r="C1868" s="117">
        <v>5500511042</v>
      </c>
      <c r="D1868" s="165">
        <v>45446</v>
      </c>
      <c r="E1868" s="117" t="s">
        <v>398</v>
      </c>
      <c r="F1868" s="36" t="str">
        <f>IFERROR(VLOOKUP(Table1[[#This Row],[Part Number]],DATABASE_FG!$C$6:D11857,2,FALSE)," ")</f>
        <v>HOUSING            DBD.30P1X/J3</v>
      </c>
      <c r="G1868" s="117" t="str">
        <f>IFERROR(_xlfn.XLOOKUP(Table1[[#This Row],[Part Number]],Table3[Part number],Table3[Drawing
 Revision]),"")</f>
        <v>f</v>
      </c>
      <c r="H1868" s="118" cm="1">
        <f t="array" ref="H1868">IFERROR(INDEX(PDB!$C:$AT,MATCH(E1868,PDB!$B:$B,0),MATCH(YEAR(K1868),0+PDB!$C$1:$AT$1,0)),"")</f>
        <v>140</v>
      </c>
      <c r="I1868" s="36">
        <v>21</v>
      </c>
      <c r="J1868" s="125">
        <f>IFERROR(Table1[[#This Row],[Quantity]]*Table1[[#This Row],[Price/Unit
EUR]]," ")</f>
        <v>2940</v>
      </c>
      <c r="K1868" s="126">
        <v>45811</v>
      </c>
      <c r="L1868" s="36">
        <f>WEEKNUM(Table1[[#This Row],[ETA
As requested
dd.mm.yyyy]])</f>
        <v>23</v>
      </c>
      <c r="M1868" s="36">
        <f>YEAR(Table1[[#This Row],[ETA
As requested
dd.mm.yyyy]])</f>
        <v>2025</v>
      </c>
      <c r="N1868" s="36">
        <f>IFERROR(INDEX(DATABASE_FG!$H$5:$H$367, MATCH(E1868, DATABASE_FG!$C$5:$C$367, 0)), " ")</f>
        <v>90</v>
      </c>
      <c r="O1868" s="129" t="str">
        <f>IF(E1868&lt;&gt;"", _xlfn.XLOOKUP(E1868, DATABASE_FG!C:C, DATABASE_FG!F:F), " ")</f>
        <v>DBD.30</v>
      </c>
      <c r="P1868" s="129">
        <f>IFERROR(INDEX(DATABASE_FG!$G$5:$G$367, MATCH(E1868, DATABASE_FG!$C$5:$C$367, 0)), "Not Found")</f>
        <v>5</v>
      </c>
      <c r="Q1868" s="36">
        <v>60</v>
      </c>
      <c r="R1868" s="125" t="s">
        <v>678</v>
      </c>
      <c r="S1868" s="123">
        <f>IFERROR(INDEX(DATABASE_FG!$L$5:$L$367, MATCH(E1868, DATABASE_FG!$C$5:$C$367, 0)), " ")</f>
        <v>56</v>
      </c>
      <c r="T1868" s="36" t="s">
        <v>677</v>
      </c>
      <c r="U1868" s="36"/>
      <c r="V1868" s="36"/>
      <c r="W1868" s="129"/>
      <c r="X1868" s="36"/>
      <c r="Y1868" s="36"/>
      <c r="Z1868" s="36"/>
      <c r="AA1868" s="125" t="s">
        <v>121</v>
      </c>
      <c r="AB1868" s="172">
        <v>45821</v>
      </c>
      <c r="AC1868" s="119">
        <v>25931</v>
      </c>
      <c r="AD1868" s="36">
        <f t="shared" si="215"/>
        <v>5500511042</v>
      </c>
      <c r="AE1868" s="36" t="str">
        <f t="shared" si="216"/>
        <v>R901469368</v>
      </c>
      <c r="AF1868" s="36">
        <v>21</v>
      </c>
      <c r="AG1868" s="120">
        <f t="shared" si="214"/>
        <v>2940</v>
      </c>
      <c r="AH1868" s="36"/>
      <c r="AI1868" s="124"/>
      <c r="AJ1868" s="122" t="s">
        <v>3230</v>
      </c>
      <c r="AK1868" s="129" t="str">
        <f t="shared" ca="1" si="213"/>
        <v>Late</v>
      </c>
      <c r="AL1868" s="268" t="str">
        <f t="shared" si="212"/>
        <v>June</v>
      </c>
      <c r="AM1868" s="133">
        <f>YEAR(Table1[[#This Row],[ETA
As requested
dd.mm.yyyy]])</f>
        <v>2025</v>
      </c>
    </row>
    <row r="1869" spans="1:39" hidden="1">
      <c r="A1869" s="123" t="s">
        <v>27</v>
      </c>
      <c r="B1869" s="36" t="s">
        <v>1170</v>
      </c>
      <c r="C1869" s="180">
        <v>5500511042</v>
      </c>
      <c r="D1869" s="165">
        <v>45446</v>
      </c>
      <c r="E1869" s="117" t="s">
        <v>398</v>
      </c>
      <c r="F1869" s="36" t="str">
        <f>IFERROR(VLOOKUP(Table1[[#This Row],[Part Number]],DATABASE_FG!$C$6:D11858,2,FALSE)," ")</f>
        <v>HOUSING            DBD.30P1X/J3</v>
      </c>
      <c r="G1869" s="117" t="str">
        <f>IFERROR(_xlfn.XLOOKUP(Table1[[#This Row],[Part Number]],Table3[Part number],Table3[Drawing
 Revision]),"")</f>
        <v>f</v>
      </c>
      <c r="H1869" s="118" cm="1">
        <f t="array" ref="H1869">IFERROR(INDEX(PDB!$C:$AT,MATCH(E1869,PDB!$B:$B,0),MATCH(YEAR(K1869),0+PDB!$C$1:$AT$1,0)),"")</f>
        <v>140</v>
      </c>
      <c r="I1869" s="36">
        <v>11</v>
      </c>
      <c r="J1869" s="125">
        <f>IFERROR(Table1[[#This Row],[Quantity]]*Table1[[#This Row],[Price/Unit
EUR]]," ")</f>
        <v>1540</v>
      </c>
      <c r="K1869" s="126">
        <v>45811</v>
      </c>
      <c r="L1869" s="36">
        <f>WEEKNUM(Table1[[#This Row],[ETA
As requested
dd.mm.yyyy]])</f>
        <v>23</v>
      </c>
      <c r="M1869" s="36">
        <f>YEAR(Table1[[#This Row],[ETA
As requested
dd.mm.yyyy]])</f>
        <v>2025</v>
      </c>
      <c r="N1869" s="36">
        <f>IFERROR(INDEX(DATABASE_FG!$H$5:$H$367, MATCH(E1869, DATABASE_FG!$C$5:$C$367, 0)), " ")</f>
        <v>90</v>
      </c>
      <c r="O1869" s="129" t="str">
        <f>IF(E1869&lt;&gt;"", _xlfn.XLOOKUP(E1869, DATABASE_FG!C:C, DATABASE_FG!F:F), " ")</f>
        <v>DBD.30</v>
      </c>
      <c r="P1869" s="129">
        <f>IFERROR(INDEX(DATABASE_FG!$G$5:$G$367, MATCH(E1869, DATABASE_FG!$C$5:$C$367, 0)), "Not Found")</f>
        <v>5</v>
      </c>
      <c r="Q1869" s="36">
        <v>60</v>
      </c>
      <c r="R1869" s="125" t="s">
        <v>678</v>
      </c>
      <c r="S1869" s="123">
        <f>IFERROR(INDEX(DATABASE_FG!$L$5:$L$367, MATCH(E1869, DATABASE_FG!$C$5:$C$367, 0)), " ")</f>
        <v>56</v>
      </c>
      <c r="T1869" s="36" t="s">
        <v>677</v>
      </c>
      <c r="U1869" s="36"/>
      <c r="V1869" s="36"/>
      <c r="W1869" s="129"/>
      <c r="X1869" s="36"/>
      <c r="Y1869" s="36"/>
      <c r="Z1869" s="36"/>
      <c r="AA1869" s="125" t="s">
        <v>121</v>
      </c>
      <c r="AB1869" s="172">
        <v>45842</v>
      </c>
      <c r="AC1869" s="119">
        <v>251017</v>
      </c>
      <c r="AD1869" s="36">
        <f t="shared" si="215"/>
        <v>5500511042</v>
      </c>
      <c r="AE1869" s="36" t="str">
        <f t="shared" si="216"/>
        <v>R901469368</v>
      </c>
      <c r="AF1869" s="36">
        <v>11</v>
      </c>
      <c r="AG1869" s="120">
        <f t="shared" si="214"/>
        <v>1540</v>
      </c>
      <c r="AH1869" s="36"/>
      <c r="AI1869" s="124"/>
      <c r="AJ1869" s="122" t="s">
        <v>3235</v>
      </c>
      <c r="AK1869" s="129" t="str">
        <f t="shared" ca="1" si="213"/>
        <v>Late</v>
      </c>
      <c r="AL1869" s="268" t="str">
        <f t="shared" si="212"/>
        <v>June</v>
      </c>
      <c r="AM1869" s="133">
        <f>YEAR(Table1[[#This Row],[ETA
As requested
dd.mm.yyyy]])</f>
        <v>2025</v>
      </c>
    </row>
    <row r="1870" spans="1:39" hidden="1">
      <c r="A1870" s="123" t="s">
        <v>25</v>
      </c>
      <c r="B1870" s="36" t="s">
        <v>1170</v>
      </c>
      <c r="C1870" s="117">
        <v>5500502903</v>
      </c>
      <c r="D1870" s="165">
        <v>45439</v>
      </c>
      <c r="E1870" s="117" t="s">
        <v>320</v>
      </c>
      <c r="F1870" s="36" t="str">
        <f>IFERROR(VLOOKUP(Table1[[#This Row],[Part Number]],DATABASE_FG!$C$6:D11859,2,FALSE)," ")</f>
        <v>THROTTLE SCREW     2FRM 5   3Q VD-T</v>
      </c>
      <c r="G1870" s="117" t="str">
        <f>IFERROR(_xlfn.XLOOKUP(Table1[[#This Row],[Part Number]],Table3[Part number],Table3[Drawing
 Revision]),"")</f>
        <v>AA</v>
      </c>
      <c r="H1870" s="118" cm="1">
        <f t="array" ref="H1870">IFERROR(INDEX(PDB!$C:$AT,MATCH(E1870,PDB!$B:$B,0),MATCH(YEAR(K1870),0+PDB!$C$1:$AT$1,0)),"")</f>
        <v>34</v>
      </c>
      <c r="I1870" s="36">
        <v>17</v>
      </c>
      <c r="J1870" s="125">
        <f>IFERROR(Table1[[#This Row],[Quantity]]*Table1[[#This Row],[Price/Unit
EUR]]," ")</f>
        <v>578</v>
      </c>
      <c r="K1870" s="126">
        <v>45474</v>
      </c>
      <c r="L1870" s="36">
        <f>WEEKNUM(Table1[[#This Row],[ETA
As requested
dd.mm.yyyy]])</f>
        <v>27</v>
      </c>
      <c r="M1870" s="36">
        <f>YEAR(Table1[[#This Row],[ETA
As requested
dd.mm.yyyy]])</f>
        <v>2024</v>
      </c>
      <c r="N1870" s="36">
        <f>IFERROR(INDEX(DATABASE_FG!$H$5:$H$367, MATCH(E1870, DATABASE_FG!$C$5:$C$367, 0)), " ")</f>
        <v>0</v>
      </c>
      <c r="O1870" s="129" t="str">
        <f>IF(E1870&lt;&gt;"", _xlfn.XLOOKUP(E1870, DATABASE_FG!C:C, DATABASE_FG!F:F), " ")</f>
        <v>Drosselboltzen</v>
      </c>
      <c r="P1870" s="129">
        <f>IFERROR(INDEX(DATABASE_FG!$G$5:$G$367, MATCH(E1870, DATABASE_FG!$C$5:$C$367, 0)), "Not Found")</f>
        <v>20</v>
      </c>
      <c r="Q1870" s="36">
        <v>42</v>
      </c>
      <c r="R1870" s="125" t="s">
        <v>678</v>
      </c>
      <c r="S1870" s="123">
        <f>Table1[[#This Row],[Quantity]]/48</f>
        <v>0.35416666666666669</v>
      </c>
      <c r="T1870" s="36" t="s">
        <v>677</v>
      </c>
      <c r="U1870" s="36"/>
      <c r="V1870" s="36"/>
      <c r="W1870" s="129"/>
      <c r="X1870" s="36"/>
      <c r="Y1870" s="36"/>
      <c r="Z1870" s="36"/>
      <c r="AA1870" s="125" t="s">
        <v>121</v>
      </c>
      <c r="AB1870" s="172">
        <v>45425</v>
      </c>
      <c r="AC1870" s="119">
        <v>2024423</v>
      </c>
      <c r="AD1870" s="36">
        <f t="shared" si="215"/>
        <v>5500502903</v>
      </c>
      <c r="AE1870" s="36" t="str">
        <f t="shared" si="216"/>
        <v>R901531786</v>
      </c>
      <c r="AF1870" s="36">
        <v>17</v>
      </c>
      <c r="AG1870" s="120">
        <f t="shared" si="214"/>
        <v>578</v>
      </c>
      <c r="AH1870" s="36"/>
      <c r="AI1870" s="124"/>
      <c r="AJ1870" s="122" t="s">
        <v>1748</v>
      </c>
      <c r="AK1870" s="129" t="str">
        <f t="shared" ca="1" si="213"/>
        <v>On Time</v>
      </c>
      <c r="AL1870" s="268" t="str">
        <f t="shared" si="212"/>
        <v>July</v>
      </c>
      <c r="AM1870" s="133">
        <f>YEAR(Table1[[#This Row],[ETA
As requested
dd.mm.yyyy]])</f>
        <v>2024</v>
      </c>
    </row>
    <row r="1871" spans="1:39" hidden="1">
      <c r="A1871" s="123" t="s">
        <v>25</v>
      </c>
      <c r="B1871" s="36" t="s">
        <v>1170</v>
      </c>
      <c r="C1871" s="117">
        <v>5500502903</v>
      </c>
      <c r="D1871" s="165">
        <v>45439</v>
      </c>
      <c r="E1871" s="117" t="s">
        <v>320</v>
      </c>
      <c r="F1871" s="36" t="str">
        <f>IFERROR(VLOOKUP(Table1[[#This Row],[Part Number]],DATABASE_FG!$C$6:D11860,2,FALSE)," ")</f>
        <v>THROTTLE SCREW     2FRM 5   3Q VD-T</v>
      </c>
      <c r="G1871" s="117" t="str">
        <f>IFERROR(_xlfn.XLOOKUP(Table1[[#This Row],[Part Number]],Table3[Part number],Table3[Drawing
 Revision]),"")</f>
        <v>AA</v>
      </c>
      <c r="H1871" s="118" cm="1">
        <f t="array" ref="H1871">IFERROR(INDEX(PDB!$C:$AT,MATCH(E1871,PDB!$B:$B,0),MATCH(YEAR(K1871),0+PDB!$C$1:$AT$1,0)),"")</f>
        <v>34</v>
      </c>
      <c r="I1871" s="36">
        <v>33</v>
      </c>
      <c r="J1871" s="125">
        <f>IFERROR(Table1[[#This Row],[Quantity]]*Table1[[#This Row],[Price/Unit
EUR]]," ")</f>
        <v>1122</v>
      </c>
      <c r="K1871" s="126">
        <v>45474</v>
      </c>
      <c r="L1871" s="36">
        <f>WEEKNUM(Table1[[#This Row],[ETA
As requested
dd.mm.yyyy]])</f>
        <v>27</v>
      </c>
      <c r="M1871" s="36">
        <f>YEAR(Table1[[#This Row],[ETA
As requested
dd.mm.yyyy]])</f>
        <v>2024</v>
      </c>
      <c r="N1871" s="36">
        <f>IFERROR(INDEX(DATABASE_FG!$H$5:$H$367, MATCH(E1871, DATABASE_FG!$C$5:$C$367, 0)), " ")</f>
        <v>0</v>
      </c>
      <c r="O1871" s="129" t="str">
        <f>IF(E1871&lt;&gt;"", _xlfn.XLOOKUP(E1871, DATABASE_FG!C:C, DATABASE_FG!F:F), " ")</f>
        <v>Drosselboltzen</v>
      </c>
      <c r="P1871" s="129">
        <f>IFERROR(INDEX(DATABASE_FG!$G$5:$G$367, MATCH(E1871, DATABASE_FG!$C$5:$C$367, 0)), "Not Found")</f>
        <v>20</v>
      </c>
      <c r="Q1871" s="36">
        <v>42</v>
      </c>
      <c r="R1871" s="125" t="s">
        <v>678</v>
      </c>
      <c r="S1871" s="123">
        <f>Table1[[#This Row],[Quantity]]/48</f>
        <v>0.6875</v>
      </c>
      <c r="T1871" s="36" t="s">
        <v>677</v>
      </c>
      <c r="U1871" s="36"/>
      <c r="V1871" s="36"/>
      <c r="W1871" s="129"/>
      <c r="X1871" s="36" t="s">
        <v>1750</v>
      </c>
      <c r="Y1871" s="36" t="s">
        <v>677</v>
      </c>
      <c r="Z1871" s="36"/>
      <c r="AA1871" s="125" t="s">
        <v>121</v>
      </c>
      <c r="AB1871" s="172"/>
      <c r="AC1871" s="119" t="s">
        <v>1751</v>
      </c>
      <c r="AD1871" s="36">
        <f t="shared" si="215"/>
        <v>5500502903</v>
      </c>
      <c r="AE1871" s="36" t="str">
        <f t="shared" si="216"/>
        <v>R901531786</v>
      </c>
      <c r="AF1871" s="36">
        <v>0</v>
      </c>
      <c r="AG1871" s="120">
        <f t="shared" si="214"/>
        <v>0</v>
      </c>
      <c r="AH1871" s="36"/>
      <c r="AI1871" s="124" t="s">
        <v>1171</v>
      </c>
      <c r="AJ1871" s="122"/>
      <c r="AK1871" s="129" t="str">
        <f t="shared" ca="1" si="213"/>
        <v>Late</v>
      </c>
      <c r="AL1871" s="268" t="str">
        <f t="shared" si="212"/>
        <v>July</v>
      </c>
      <c r="AM1871" s="133">
        <f>YEAR(Table1[[#This Row],[ETA
As requested
dd.mm.yyyy]])</f>
        <v>2024</v>
      </c>
    </row>
    <row r="1872" spans="1:39" hidden="1">
      <c r="A1872" s="123" t="s">
        <v>25</v>
      </c>
      <c r="B1872" s="36" t="s">
        <v>1170</v>
      </c>
      <c r="C1872" s="117">
        <v>4510046543</v>
      </c>
      <c r="D1872" s="165">
        <v>45412</v>
      </c>
      <c r="E1872" s="117" t="s">
        <v>1929</v>
      </c>
      <c r="F1872" s="36" t="str">
        <f>IFERROR(VLOOKUP(Table1[[#This Row],[Part Number]],DATABASE_FG!$C$6:D11861,2,FALSE)," ")</f>
        <v>PLATE ZDR 6 DP0-45/.W80 AS</v>
      </c>
      <c r="G1872" s="117" t="str">
        <f>IFERROR(_xlfn.XLOOKUP(Table1[[#This Row],[Part Number]],Table3[Part number],Table3[Drawing
 Revision]),"")</f>
        <v>A</v>
      </c>
      <c r="H1872" s="118" cm="1">
        <f t="array" ref="H1872">IFERROR(INDEX(PDB!$C:$AT,MATCH(E1872,PDB!$B:$B,0),MATCH(YEAR(K1872),0+PDB!$C$1:$AT$1,0)),"")</f>
        <v>2</v>
      </c>
      <c r="I1872" s="36">
        <v>400</v>
      </c>
      <c r="J1872" s="125">
        <f>IFERROR(Table1[[#This Row],[Quantity]]*Table1[[#This Row],[Price/Unit
EUR]]," ")</f>
        <v>800</v>
      </c>
      <c r="K1872" s="126">
        <v>45514</v>
      </c>
      <c r="L1872" s="36">
        <f>WEEKNUM(Table1[[#This Row],[ETA
As requested
dd.mm.yyyy]])</f>
        <v>32</v>
      </c>
      <c r="M1872" s="36">
        <f>YEAR(Table1[[#This Row],[ETA
As requested
dd.mm.yyyy]])</f>
        <v>2024</v>
      </c>
      <c r="N1872" s="36">
        <f>IFERROR(INDEX(DATABASE_FG!$H$5:$H$367, MATCH(E1872, DATABASE_FG!$C$5:$C$367, 0)), " ")</f>
        <v>0</v>
      </c>
      <c r="O1872" s="129" t="str">
        <f>IF(E1872&lt;&gt;"", _xlfn.XLOOKUP(E1872, DATABASE_FG!C:C, DATABASE_FG!F:F), " ")</f>
        <v>PLATE</v>
      </c>
      <c r="P1872" s="129">
        <f>IFERROR(INDEX(DATABASE_FG!$G$5:$G$367, MATCH(E1872, DATABASE_FG!$C$5:$C$367, 0)), "Not Found")</f>
        <v>0</v>
      </c>
      <c r="Q1872" s="36">
        <v>42</v>
      </c>
      <c r="R1872" s="125" t="s">
        <v>680</v>
      </c>
      <c r="S1872" s="123">
        <f>IFERROR(INDEX(DATABASE_FG!$L$5:$L$367, MATCH(E1872, DATABASE_FG!$C$5:$C$367, 0)), " ")</f>
        <v>42</v>
      </c>
      <c r="T1872" s="36" t="s">
        <v>679</v>
      </c>
      <c r="U1872" s="36"/>
      <c r="V1872" s="36"/>
      <c r="W1872" s="129"/>
      <c r="X1872" s="36"/>
      <c r="Y1872" s="36"/>
      <c r="Z1872" s="36">
        <v>242115</v>
      </c>
      <c r="AA1872" s="125" t="s">
        <v>121</v>
      </c>
      <c r="AB1872" s="172">
        <v>45506</v>
      </c>
      <c r="AC1872" s="119">
        <v>2024978</v>
      </c>
      <c r="AD1872" s="36">
        <f t="shared" si="215"/>
        <v>4510046543</v>
      </c>
      <c r="AE1872" s="36" t="str">
        <f t="shared" si="216"/>
        <v>R901580817</v>
      </c>
      <c r="AF1872" s="36">
        <v>345</v>
      </c>
      <c r="AG1872" s="120">
        <f t="shared" si="214"/>
        <v>690</v>
      </c>
      <c r="AH1872" s="36"/>
      <c r="AI1872" s="124"/>
      <c r="AJ1872" s="122" t="s">
        <v>1931</v>
      </c>
      <c r="AK1872" s="129" t="str">
        <f t="shared" ca="1" si="213"/>
        <v>On Time</v>
      </c>
      <c r="AL1872" s="268" t="str">
        <f t="shared" si="212"/>
        <v>August</v>
      </c>
      <c r="AM1872" s="133">
        <f>YEAR(Table1[[#This Row],[ETA
As requested
dd.mm.yyyy]])</f>
        <v>2024</v>
      </c>
    </row>
    <row r="1873" spans="1:40" hidden="1">
      <c r="A1873" s="123" t="s">
        <v>25</v>
      </c>
      <c r="B1873" s="36" t="s">
        <v>1170</v>
      </c>
      <c r="C1873" s="117">
        <v>4510046543</v>
      </c>
      <c r="D1873" s="165">
        <v>45412</v>
      </c>
      <c r="E1873" s="117" t="s">
        <v>1929</v>
      </c>
      <c r="F1873" s="36" t="str">
        <f>IFERROR(VLOOKUP(Table1[[#This Row],[Part Number]],DATABASE_FG!$C$6:D11862,2,FALSE)," ")</f>
        <v>PLATE ZDR 6 DP0-45/.W80 AS</v>
      </c>
      <c r="G1873" s="117" t="str">
        <f>IFERROR(_xlfn.XLOOKUP(Table1[[#This Row],[Part Number]],Table3[Part number],Table3[Drawing
 Revision]),"")</f>
        <v>A</v>
      </c>
      <c r="H1873" s="118" cm="1">
        <f t="array" ref="H1873">IFERROR(INDEX(PDB!$C:$AT,MATCH(E1873,PDB!$B:$B,0),MATCH(YEAR(K1873),0+PDB!$C$1:$AT$1,0)),"")</f>
        <v>2</v>
      </c>
      <c r="I1873" s="36">
        <v>0</v>
      </c>
      <c r="J1873" s="125">
        <f>IFERROR(Table1[[#This Row],[Quantity]]*Table1[[#This Row],[Price/Unit
EUR]]," ")</f>
        <v>0</v>
      </c>
      <c r="K1873" s="126">
        <v>45514</v>
      </c>
      <c r="L1873" s="36">
        <f>WEEKNUM(Table1[[#This Row],[ETA
As requested
dd.mm.yyyy]])</f>
        <v>32</v>
      </c>
      <c r="M1873" s="36">
        <f>YEAR(Table1[[#This Row],[ETA
As requested
dd.mm.yyyy]])</f>
        <v>2024</v>
      </c>
      <c r="N1873" s="36">
        <f>IFERROR(INDEX(DATABASE_FG!$H$5:$H$367, MATCH(E1873, DATABASE_FG!$C$5:$C$367, 0)), " ")</f>
        <v>0</v>
      </c>
      <c r="O1873" s="129" t="str">
        <f>IF(E1873&lt;&gt;"", _xlfn.XLOOKUP(E1873, DATABASE_FG!C:C, DATABASE_FG!F:F), " ")</f>
        <v>PLATE</v>
      </c>
      <c r="P1873" s="129">
        <f>IFERROR(INDEX(DATABASE_FG!$G$5:$G$367, MATCH(E1873, DATABASE_FG!$C$5:$C$367, 0)), "Not Found")</f>
        <v>0</v>
      </c>
      <c r="Q1873" s="36"/>
      <c r="R1873" s="125" t="s">
        <v>680</v>
      </c>
      <c r="S1873" s="123">
        <f>IFERROR(INDEX(DATABASE_FG!$L$5:$L$367, MATCH(E1873, DATABASE_FG!$C$5:$C$367, 0)), " ")</f>
        <v>42</v>
      </c>
      <c r="T1873" s="36" t="s">
        <v>679</v>
      </c>
      <c r="U1873" s="36"/>
      <c r="V1873" s="36"/>
      <c r="W1873" s="129"/>
      <c r="X1873" s="36"/>
      <c r="Y1873" s="36"/>
      <c r="Z1873" s="36"/>
      <c r="AA1873" s="125" t="s">
        <v>121</v>
      </c>
      <c r="AB1873" s="172">
        <v>45534</v>
      </c>
      <c r="AC1873" s="119">
        <v>202401079</v>
      </c>
      <c r="AD1873" s="36">
        <f t="shared" si="215"/>
        <v>4510046543</v>
      </c>
      <c r="AE1873" s="36" t="str">
        <f t="shared" si="216"/>
        <v>R901580817</v>
      </c>
      <c r="AF1873" s="36">
        <v>55</v>
      </c>
      <c r="AG1873" s="120">
        <f t="shared" si="214"/>
        <v>110</v>
      </c>
      <c r="AH1873" s="36"/>
      <c r="AI1873" s="124" t="s">
        <v>1932</v>
      </c>
      <c r="AJ1873" s="122" t="s">
        <v>1933</v>
      </c>
      <c r="AK1873" s="129" t="str">
        <f t="shared" ca="1" si="213"/>
        <v>Late</v>
      </c>
      <c r="AL1873" s="268" t="str">
        <f t="shared" si="212"/>
        <v>August</v>
      </c>
      <c r="AM1873" s="133">
        <f>YEAR(Table1[[#This Row],[ETA
As requested
dd.mm.yyyy]])</f>
        <v>2024</v>
      </c>
    </row>
    <row r="1874" spans="1:40" hidden="1">
      <c r="A1874" s="123" t="s">
        <v>25</v>
      </c>
      <c r="B1874" s="36" t="s">
        <v>1170</v>
      </c>
      <c r="C1874" s="117">
        <v>4510046550</v>
      </c>
      <c r="D1874" s="165">
        <v>45412</v>
      </c>
      <c r="E1874" s="117" t="s">
        <v>1929</v>
      </c>
      <c r="F1874" s="36" t="str">
        <f>IFERROR(VLOOKUP(Table1[[#This Row],[Part Number]],DATABASE_FG!$C$6:D11863,2,FALSE)," ")</f>
        <v>PLATE ZDR 6 DP0-45/.W80 AS</v>
      </c>
      <c r="G1874" s="117" t="str">
        <f>IFERROR(_xlfn.XLOOKUP(Table1[[#This Row],[Part Number]],Table3[Part number],Table3[Drawing
 Revision]),"")</f>
        <v>A</v>
      </c>
      <c r="H1874" s="118" cm="1">
        <f t="array" ref="H1874">IFERROR(INDEX(PDB!$C:$AT,MATCH(E1874,PDB!$B:$B,0),MATCH(YEAR(K1874),0+PDB!$C$1:$AT$1,0)),"")</f>
        <v>2</v>
      </c>
      <c r="I1874" s="36">
        <f>400-14</f>
        <v>386</v>
      </c>
      <c r="J1874" s="125">
        <f>IFERROR(Table1[[#This Row],[Quantity]]*Table1[[#This Row],[Price/Unit
EUR]]," ")</f>
        <v>772</v>
      </c>
      <c r="K1874" s="126">
        <v>45514</v>
      </c>
      <c r="L1874" s="36">
        <f>WEEKNUM(Table1[[#This Row],[ETA
As requested
dd.mm.yyyy]])</f>
        <v>32</v>
      </c>
      <c r="M1874" s="36">
        <f>YEAR(Table1[[#This Row],[ETA
As requested
dd.mm.yyyy]])</f>
        <v>2024</v>
      </c>
      <c r="N1874" s="36">
        <f>IFERROR(INDEX(DATABASE_FG!$H$5:$H$367, MATCH(E1874, DATABASE_FG!$C$5:$C$367, 0)), " ")</f>
        <v>0</v>
      </c>
      <c r="O1874" s="129" t="str">
        <f>IF(E1874&lt;&gt;"", _xlfn.XLOOKUP(E1874, DATABASE_FG!C:C, DATABASE_FG!F:F), " ")</f>
        <v>PLATE</v>
      </c>
      <c r="P1874" s="129">
        <f>IFERROR(INDEX(DATABASE_FG!$G$5:$G$367, MATCH(E1874, DATABASE_FG!$C$5:$C$367, 0)), "Not Found")</f>
        <v>0</v>
      </c>
      <c r="Q1874" s="36">
        <v>42</v>
      </c>
      <c r="R1874" s="125" t="s">
        <v>680</v>
      </c>
      <c r="S1874" s="123">
        <f>IFERROR(INDEX(DATABASE_FG!$L$5:$L$367, MATCH(E1874, DATABASE_FG!$C$5:$C$367, 0)), " ")</f>
        <v>42</v>
      </c>
      <c r="T1874" s="36" t="s">
        <v>679</v>
      </c>
      <c r="U1874" s="36"/>
      <c r="V1874" s="36"/>
      <c r="W1874" s="129"/>
      <c r="X1874" s="36"/>
      <c r="Y1874" s="36"/>
      <c r="Z1874" s="36">
        <v>242115</v>
      </c>
      <c r="AA1874" s="125" t="s">
        <v>121</v>
      </c>
      <c r="AB1874" s="172">
        <v>45534</v>
      </c>
      <c r="AC1874" s="119">
        <v>202401080</v>
      </c>
      <c r="AD1874" s="36">
        <f t="shared" si="215"/>
        <v>4510046550</v>
      </c>
      <c r="AE1874" s="36" t="str">
        <f t="shared" si="216"/>
        <v>R901580817</v>
      </c>
      <c r="AF1874" s="36">
        <v>386</v>
      </c>
      <c r="AG1874" s="120">
        <f t="shared" si="214"/>
        <v>772</v>
      </c>
      <c r="AH1874" s="36"/>
      <c r="AI1874" s="124" t="s">
        <v>1934</v>
      </c>
      <c r="AJ1874" s="122" t="s">
        <v>1935</v>
      </c>
      <c r="AK1874" s="129" t="str">
        <f t="shared" ca="1" si="213"/>
        <v>Late</v>
      </c>
      <c r="AL1874" s="268" t="str">
        <f t="shared" si="212"/>
        <v>August</v>
      </c>
      <c r="AM1874" s="133">
        <f>YEAR(Table1[[#This Row],[ETA
As requested
dd.mm.yyyy]])</f>
        <v>2024</v>
      </c>
    </row>
    <row r="1875" spans="1:40" hidden="1">
      <c r="A1875" s="123" t="s">
        <v>25</v>
      </c>
      <c r="B1875" s="36" t="s">
        <v>1170</v>
      </c>
      <c r="C1875" s="117">
        <v>4510046550</v>
      </c>
      <c r="D1875" s="165">
        <v>45412</v>
      </c>
      <c r="E1875" s="117" t="s">
        <v>1929</v>
      </c>
      <c r="F1875" s="36" t="str">
        <f>IFERROR(VLOOKUP(Table1[[#This Row],[Part Number]],DATABASE_FG!$C$6:D11864,2,FALSE)," ")</f>
        <v>PLATE ZDR 6 DP0-45/.W80 AS</v>
      </c>
      <c r="G1875" s="117" t="str">
        <f>IFERROR(_xlfn.XLOOKUP(Table1[[#This Row],[Part Number]],Table3[Part number],Table3[Drawing
 Revision]),"")</f>
        <v>A</v>
      </c>
      <c r="H1875" s="118" cm="1">
        <f t="array" ref="H1875">IFERROR(INDEX(PDB!$C:$AT,MATCH(E1875,PDB!$B:$B,0),MATCH(YEAR(K1875),0+PDB!$C$1:$AT$1,0)),"")</f>
        <v>2</v>
      </c>
      <c r="I1875" s="36">
        <v>11</v>
      </c>
      <c r="J1875" s="125">
        <v>33.46</v>
      </c>
      <c r="K1875" s="126">
        <v>45514</v>
      </c>
      <c r="L1875" s="36">
        <f>WEEKNUM(Table1[[#This Row],[ETA
As requested
dd.mm.yyyy]])</f>
        <v>32</v>
      </c>
      <c r="M1875" s="36">
        <f>YEAR(Table1[[#This Row],[ETA
As requested
dd.mm.yyyy]])</f>
        <v>2024</v>
      </c>
      <c r="N1875" s="36">
        <v>0</v>
      </c>
      <c r="O1875" s="129" t="str">
        <f>IF(E1875&lt;&gt;"", _xlfn.XLOOKUP(E1875, DATABASE_FG!C:C, DATABASE_FG!F:F), " ")</f>
        <v>PLATE</v>
      </c>
      <c r="P1875" s="129">
        <f>IFERROR(INDEX(DATABASE_FG!$G$5:$G$367, MATCH(E1875, DATABASE_FG!$C$5:$C$367, 0)), "Not Found")</f>
        <v>0</v>
      </c>
      <c r="Q1875" s="36"/>
      <c r="R1875" s="125" t="s">
        <v>680</v>
      </c>
      <c r="S1875" s="123">
        <v>42</v>
      </c>
      <c r="T1875" s="36" t="s">
        <v>679</v>
      </c>
      <c r="U1875" s="36"/>
      <c r="V1875" s="36"/>
      <c r="W1875" s="129"/>
      <c r="X1875" s="36"/>
      <c r="Y1875" s="36"/>
      <c r="Z1875" s="36"/>
      <c r="AA1875" s="125" t="s">
        <v>121</v>
      </c>
      <c r="AB1875" s="172">
        <v>45679</v>
      </c>
      <c r="AC1875" s="119" t="s">
        <v>1936</v>
      </c>
      <c r="AD1875" s="36">
        <f t="shared" si="215"/>
        <v>4510046550</v>
      </c>
      <c r="AE1875" s="36" t="str">
        <f t="shared" si="216"/>
        <v>R901580817</v>
      </c>
      <c r="AF1875" s="36">
        <v>11</v>
      </c>
      <c r="AG1875" s="120">
        <f t="shared" si="214"/>
        <v>22</v>
      </c>
      <c r="AH1875" s="36"/>
      <c r="AI1875" s="124"/>
      <c r="AJ1875" s="122" t="s">
        <v>1937</v>
      </c>
      <c r="AK1875" s="129" t="str">
        <f t="shared" ca="1" si="213"/>
        <v>Late</v>
      </c>
      <c r="AL1875" s="268" t="str">
        <f t="shared" si="212"/>
        <v>August</v>
      </c>
      <c r="AM1875" s="133">
        <f>YEAR(Table1[[#This Row],[ETA
As requested
dd.mm.yyyy]])</f>
        <v>2024</v>
      </c>
    </row>
    <row r="1876" spans="1:40" hidden="1">
      <c r="A1876" s="123" t="s">
        <v>25</v>
      </c>
      <c r="B1876" s="36" t="s">
        <v>1170</v>
      </c>
      <c r="C1876" s="117">
        <v>4510463285</v>
      </c>
      <c r="D1876" s="165">
        <v>45677</v>
      </c>
      <c r="E1876" s="117" t="s">
        <v>1929</v>
      </c>
      <c r="F1876" s="36" t="str">
        <f>IFERROR(VLOOKUP(Table1[[#This Row],[Part Number]],DATABASE_FG!$C$6:D11865,2,FALSE)," ")</f>
        <v>PLATE ZDR 6 DP0-45/.W80 AS</v>
      </c>
      <c r="G1876" s="117" t="str">
        <f>IFERROR(_xlfn.XLOOKUP(Table1[[#This Row],[Part Number]],Table3[Part number],Table3[Drawing
 Revision]),"")</f>
        <v>A</v>
      </c>
      <c r="H1876" s="118" cm="1">
        <f t="array" ref="H1876">IFERROR(INDEX(PDB!$C:$AT,MATCH(E1876,PDB!$B:$B,0),MATCH(YEAR(K1876),0+PDB!$C$1:$AT$1,0)),"")</f>
        <v>2</v>
      </c>
      <c r="I1876" s="36">
        <v>484</v>
      </c>
      <c r="J1876" s="125">
        <f>IFERROR(Table1[[#This Row],[Quantity]]*Table1[[#This Row],[Price/Unit
EUR]]," ")</f>
        <v>968</v>
      </c>
      <c r="K1876" s="126">
        <v>45708</v>
      </c>
      <c r="L1876" s="36">
        <f>WEEKNUM(Table1[[#This Row],[ETA
As requested
dd.mm.yyyy]])</f>
        <v>8</v>
      </c>
      <c r="M1876" s="36">
        <f>YEAR(Table1[[#This Row],[ETA
As requested
dd.mm.yyyy]])</f>
        <v>2025</v>
      </c>
      <c r="N1876" s="36">
        <f>IFERROR(INDEX(DATABASE_FG!$H$5:$H$367, MATCH(E1876, DATABASE_FG!$C$5:$C$367, 0)), " ")</f>
        <v>0</v>
      </c>
      <c r="O1876" s="129" t="str">
        <f>IF(E1876&lt;&gt;"", _xlfn.XLOOKUP(E1876, DATABASE_FG!C:C, DATABASE_FG!F:F), " ")</f>
        <v>PLATE</v>
      </c>
      <c r="P1876" s="129">
        <f>IFERROR(INDEX(DATABASE_FG!$G$5:$G$367, MATCH(E1876, DATABASE_FG!$C$5:$C$367, 0)), "Not Found")</f>
        <v>0</v>
      </c>
      <c r="Q1876" s="36"/>
      <c r="R1876" s="125" t="s">
        <v>680</v>
      </c>
      <c r="S1876" s="123">
        <f>IFERROR(INDEX(DATABASE_FG!$L$5:$L$367, MATCH(E1876, DATABASE_FG!$C$5:$C$367, 0)), " ")</f>
        <v>42</v>
      </c>
      <c r="T1876" s="36" t="s">
        <v>679</v>
      </c>
      <c r="U1876" s="36"/>
      <c r="V1876" s="36"/>
      <c r="W1876" s="129"/>
      <c r="X1876" s="36"/>
      <c r="Y1876" s="36"/>
      <c r="Z1876" s="36"/>
      <c r="AA1876" s="125" t="s">
        <v>121</v>
      </c>
      <c r="AB1876" s="173">
        <v>45695</v>
      </c>
      <c r="AC1876" s="119">
        <v>25168</v>
      </c>
      <c r="AD1876" s="36">
        <f t="shared" si="215"/>
        <v>4510463285</v>
      </c>
      <c r="AE1876" s="36" t="str">
        <f t="shared" si="216"/>
        <v>R901580817</v>
      </c>
      <c r="AF1876" s="36">
        <v>484</v>
      </c>
      <c r="AG1876" s="120">
        <f t="shared" si="214"/>
        <v>968</v>
      </c>
      <c r="AH1876" s="36"/>
      <c r="AI1876" s="124"/>
      <c r="AJ1876" s="122" t="s">
        <v>2840</v>
      </c>
      <c r="AK1876" s="129" t="str">
        <f t="shared" ca="1" si="213"/>
        <v>On Time</v>
      </c>
      <c r="AL1876" s="268" t="str">
        <f t="shared" si="212"/>
        <v>February</v>
      </c>
      <c r="AM1876" s="133">
        <f>YEAR(Table1[[#This Row],[ETA
As requested
dd.mm.yyyy]])</f>
        <v>2025</v>
      </c>
    </row>
    <row r="1877" spans="1:40" hidden="1">
      <c r="A1877" s="123" t="s">
        <v>25</v>
      </c>
      <c r="B1877" s="36" t="s">
        <v>1170</v>
      </c>
      <c r="C1877" s="117">
        <v>4510463285</v>
      </c>
      <c r="D1877" s="165">
        <v>45677</v>
      </c>
      <c r="E1877" s="117" t="s">
        <v>1929</v>
      </c>
      <c r="F1877" s="36" t="str">
        <f>IFERROR(VLOOKUP(Table1[[#This Row],[Part Number]],DATABASE_FG!$C$6:D11866,2,FALSE)," ")</f>
        <v>PLATE ZDR 6 DP0-45/.W80 AS</v>
      </c>
      <c r="G1877" s="117" t="str">
        <f>IFERROR(_xlfn.XLOOKUP(Table1[[#This Row],[Part Number]],Table3[Part number],Table3[Drawing
 Revision]),"")</f>
        <v>A</v>
      </c>
      <c r="H1877" s="118" cm="1">
        <f t="array" ref="H1877">IFERROR(INDEX(PDB!$C:$AT,MATCH(E1877,PDB!$B:$B,0),MATCH(YEAR(K1877),0+PDB!$C$1:$AT$1,0)),"")</f>
        <v>2</v>
      </c>
      <c r="I1877" s="36">
        <v>995</v>
      </c>
      <c r="J1877" s="125">
        <f>IFERROR(Table1[[#This Row],[Quantity]]*Table1[[#This Row],[Price/Unit
EUR]]," ")</f>
        <v>1990</v>
      </c>
      <c r="K1877" s="126">
        <v>45708</v>
      </c>
      <c r="L1877" s="36">
        <f>WEEKNUM(Table1[[#This Row],[ETA
As requested
dd.mm.yyyy]])</f>
        <v>8</v>
      </c>
      <c r="M1877" s="36">
        <f>YEAR(Table1[[#This Row],[ETA
As requested
dd.mm.yyyy]])</f>
        <v>2025</v>
      </c>
      <c r="N1877" s="36">
        <f>IFERROR(INDEX(DATABASE_FG!$H$5:$H$367, MATCH(E1877, DATABASE_FG!$C$5:$C$367, 0)), " ")</f>
        <v>0</v>
      </c>
      <c r="O1877" s="129" t="str">
        <f>IF(E1877&lt;&gt;"", _xlfn.XLOOKUP(E1877, DATABASE_FG!C:C, DATABASE_FG!F:F), " ")</f>
        <v>PLATE</v>
      </c>
      <c r="P1877" s="129">
        <f>IFERROR(INDEX(DATABASE_FG!$G$5:$G$367, MATCH(E1877, DATABASE_FG!$C$5:$C$367, 0)), "Not Found")</f>
        <v>0</v>
      </c>
      <c r="Q1877" s="36"/>
      <c r="R1877" s="125" t="s">
        <v>680</v>
      </c>
      <c r="S1877" s="123">
        <f>IFERROR(INDEX(DATABASE_FG!$L$5:$L$367, MATCH(E1877, DATABASE_FG!$C$5:$C$367, 0)), " ")</f>
        <v>42</v>
      </c>
      <c r="T1877" s="36" t="s">
        <v>679</v>
      </c>
      <c r="U1877" s="36"/>
      <c r="V1877" s="36"/>
      <c r="W1877" s="129"/>
      <c r="X1877" s="36"/>
      <c r="Y1877" s="36"/>
      <c r="Z1877" s="36"/>
      <c r="AA1877" s="125" t="s">
        <v>121</v>
      </c>
      <c r="AB1877" s="173">
        <v>45702</v>
      </c>
      <c r="AC1877" s="119">
        <v>25199</v>
      </c>
      <c r="AD1877" s="36">
        <f t="shared" si="215"/>
        <v>4510463285</v>
      </c>
      <c r="AE1877" s="36" t="str">
        <f t="shared" si="216"/>
        <v>R901580817</v>
      </c>
      <c r="AF1877" s="36">
        <v>995</v>
      </c>
      <c r="AG1877" s="120">
        <f t="shared" si="214"/>
        <v>1990</v>
      </c>
      <c r="AH1877" s="36"/>
      <c r="AI1877" s="124"/>
      <c r="AJ1877" s="122" t="s">
        <v>2842</v>
      </c>
      <c r="AK1877" s="129" t="str">
        <f t="shared" ca="1" si="213"/>
        <v>On Time</v>
      </c>
      <c r="AL1877" s="268" t="str">
        <f t="shared" si="212"/>
        <v>February</v>
      </c>
      <c r="AM1877" s="133">
        <f>YEAR(Table1[[#This Row],[ETA
As requested
dd.mm.yyyy]])</f>
        <v>2025</v>
      </c>
    </row>
    <row r="1878" spans="1:40" hidden="1">
      <c r="A1878" s="123" t="s">
        <v>25</v>
      </c>
      <c r="B1878" s="36" t="s">
        <v>1170</v>
      </c>
      <c r="C1878" s="117">
        <v>4510463285</v>
      </c>
      <c r="D1878" s="165">
        <v>45677</v>
      </c>
      <c r="E1878" s="117" t="s">
        <v>1929</v>
      </c>
      <c r="F1878" s="36" t="str">
        <f>IFERROR(VLOOKUP(Table1[[#This Row],[Part Number]],DATABASE_FG!$C$6:D11867,2,FALSE)," ")</f>
        <v>PLATE ZDR 6 DP0-45/.W80 AS</v>
      </c>
      <c r="G1878" s="117" t="str">
        <f>IFERROR(_xlfn.XLOOKUP(Table1[[#This Row],[Part Number]],Table3[Part number],Table3[Drawing
 Revision]),"")</f>
        <v>A</v>
      </c>
      <c r="H1878" s="118" cm="1">
        <f t="array" ref="H1878">IFERROR(INDEX(PDB!$C:$AT,MATCH(E1878,PDB!$B:$B,0),MATCH(YEAR(K1878),0+PDB!$C$1:$AT$1,0)),"")</f>
        <v>2</v>
      </c>
      <c r="I1878" s="36">
        <f>1500-484-995</f>
        <v>21</v>
      </c>
      <c r="J1878" s="125">
        <f>IFERROR(Table1[[#This Row],[Quantity]]*Table1[[#This Row],[Price/Unit
EUR]]," ")</f>
        <v>42</v>
      </c>
      <c r="K1878" s="126">
        <v>45708</v>
      </c>
      <c r="L1878" s="36">
        <f>WEEKNUM(Table1[[#This Row],[ETA
As requested
dd.mm.yyyy]])</f>
        <v>8</v>
      </c>
      <c r="M1878" s="36">
        <f>YEAR(Table1[[#This Row],[ETA
As requested
dd.mm.yyyy]])</f>
        <v>2025</v>
      </c>
      <c r="N1878" s="36">
        <f>IFERROR(INDEX(DATABASE_FG!$H$5:$H$367, MATCH(E1878, DATABASE_FG!$C$5:$C$367, 0)), " ")</f>
        <v>0</v>
      </c>
      <c r="O1878" s="129" t="str">
        <f>IF(E1878&lt;&gt;"", _xlfn.XLOOKUP(E1878, DATABASE_FG!C:C, DATABASE_FG!F:F), " ")</f>
        <v>PLATE</v>
      </c>
      <c r="P1878" s="129">
        <f>IFERROR(INDEX(DATABASE_FG!$G$5:$G$367, MATCH(E1878, DATABASE_FG!$C$5:$C$367, 0)), "Not Found")</f>
        <v>0</v>
      </c>
      <c r="Q1878" s="36"/>
      <c r="R1878" s="125" t="s">
        <v>680</v>
      </c>
      <c r="S1878" s="123">
        <f>IFERROR(INDEX(DATABASE_FG!$L$5:$L$367, MATCH(E1878, DATABASE_FG!$C$5:$C$367, 0)), " ")</f>
        <v>42</v>
      </c>
      <c r="T1878" s="36" t="s">
        <v>679</v>
      </c>
      <c r="U1878" s="36"/>
      <c r="V1878" s="36"/>
      <c r="W1878" s="129"/>
      <c r="X1878" s="36"/>
      <c r="Y1878" s="36"/>
      <c r="Z1878" s="36"/>
      <c r="AA1878" s="125" t="s">
        <v>121</v>
      </c>
      <c r="AB1878" s="173">
        <v>45719</v>
      </c>
      <c r="AC1878" s="119">
        <v>25297</v>
      </c>
      <c r="AD1878" s="36">
        <f t="shared" si="215"/>
        <v>4510463285</v>
      </c>
      <c r="AE1878" s="36" t="str">
        <f t="shared" si="216"/>
        <v>R901580817</v>
      </c>
      <c r="AF1878" s="36">
        <v>21</v>
      </c>
      <c r="AG1878" s="120">
        <f t="shared" si="214"/>
        <v>42</v>
      </c>
      <c r="AH1878" s="36"/>
      <c r="AI1878" s="124"/>
      <c r="AJ1878" s="122" t="s">
        <v>2852</v>
      </c>
      <c r="AK1878" s="129" t="str">
        <f t="shared" ca="1" si="213"/>
        <v>Late</v>
      </c>
      <c r="AL1878" s="268" t="str">
        <f t="shared" si="212"/>
        <v>February</v>
      </c>
      <c r="AM1878" s="133">
        <f>YEAR(Table1[[#This Row],[ETA
As requested
dd.mm.yyyy]])</f>
        <v>2025</v>
      </c>
    </row>
    <row r="1879" spans="1:40" hidden="1">
      <c r="A1879" s="123" t="s">
        <v>25</v>
      </c>
      <c r="B1879" s="36" t="s">
        <v>1170</v>
      </c>
      <c r="C1879" s="117">
        <v>4510463272</v>
      </c>
      <c r="D1879" s="165">
        <v>45677</v>
      </c>
      <c r="E1879" s="117" t="s">
        <v>1929</v>
      </c>
      <c r="F1879" s="36" t="str">
        <f>IFERROR(VLOOKUP(Table1[[#This Row],[Part Number]],DATABASE_FG!$C$6:D11868,2,FALSE)," ")</f>
        <v>PLATE ZDR 6 DP0-45/.W80 AS</v>
      </c>
      <c r="G1879" s="117" t="str">
        <f>IFERROR(_xlfn.XLOOKUP(Table1[[#This Row],[Part Number]],Table3[Part number],Table3[Drawing
 Revision]),"")</f>
        <v>A</v>
      </c>
      <c r="H1879" s="118" cm="1">
        <f t="array" ref="H1879">IFERROR(INDEX(PDB!$C:$AT,MATCH(E1879,PDB!$B:$B,0),MATCH(YEAR(K1879),0+PDB!$C$1:$AT$1,0)),"")</f>
        <v>2</v>
      </c>
      <c r="I1879" s="36">
        <v>683</v>
      </c>
      <c r="J1879" s="125">
        <f>IFERROR(Table1[[#This Row],[Quantity]]*Table1[[#This Row],[Price/Unit
EUR]]," ")</f>
        <v>1366</v>
      </c>
      <c r="K1879" s="126">
        <v>45723</v>
      </c>
      <c r="L1879" s="36">
        <f>WEEKNUM(Table1[[#This Row],[ETA
As requested
dd.mm.yyyy]])</f>
        <v>10</v>
      </c>
      <c r="M1879" s="36">
        <f>YEAR(Table1[[#This Row],[ETA
As requested
dd.mm.yyyy]])</f>
        <v>2025</v>
      </c>
      <c r="N1879" s="36">
        <f>IFERROR(INDEX(DATABASE_FG!$H$5:$H$367, MATCH(E1879, DATABASE_FG!$C$5:$C$367, 0)), " ")</f>
        <v>0</v>
      </c>
      <c r="O1879" s="129" t="str">
        <f>IF(E1879&lt;&gt;"", _xlfn.XLOOKUP(E1879, DATABASE_FG!C:C, DATABASE_FG!F:F), " ")</f>
        <v>PLATE</v>
      </c>
      <c r="P1879" s="129">
        <f>IFERROR(INDEX(DATABASE_FG!$G$5:$G$367, MATCH(E1879, DATABASE_FG!$C$5:$C$367, 0)), "Not Found")</f>
        <v>0</v>
      </c>
      <c r="Q1879" s="36"/>
      <c r="R1879" s="125" t="s">
        <v>680</v>
      </c>
      <c r="S1879" s="123">
        <f>IFERROR(INDEX(DATABASE_FG!$L$5:$L$367, MATCH(E1879, DATABASE_FG!$C$5:$C$367, 0)), " ")</f>
        <v>42</v>
      </c>
      <c r="T1879" s="36" t="s">
        <v>679</v>
      </c>
      <c r="U1879" s="36"/>
      <c r="V1879" s="36"/>
      <c r="W1879" s="129"/>
      <c r="X1879" s="36"/>
      <c r="Y1879" s="36"/>
      <c r="Z1879" s="36"/>
      <c r="AA1879" s="125" t="s">
        <v>121</v>
      </c>
      <c r="AB1879" s="173">
        <v>45719</v>
      </c>
      <c r="AC1879" s="119">
        <v>25302</v>
      </c>
      <c r="AD1879" s="36">
        <f t="shared" si="215"/>
        <v>4510463272</v>
      </c>
      <c r="AE1879" s="36" t="str">
        <f t="shared" si="216"/>
        <v>R901580817</v>
      </c>
      <c r="AF1879" s="36">
        <v>683</v>
      </c>
      <c r="AG1879" s="120">
        <f t="shared" si="214"/>
        <v>1366</v>
      </c>
      <c r="AH1879" s="36"/>
      <c r="AI1879" s="124"/>
      <c r="AJ1879" s="122" t="s">
        <v>2937</v>
      </c>
      <c r="AK1879" s="129" t="str">
        <f t="shared" ca="1" si="213"/>
        <v>On Time</v>
      </c>
      <c r="AL1879" s="268" t="str">
        <f t="shared" si="212"/>
        <v>March</v>
      </c>
      <c r="AM1879" s="133">
        <f>YEAR(Table1[[#This Row],[ETA
As requested
dd.mm.yyyy]])</f>
        <v>2025</v>
      </c>
    </row>
    <row r="1880" spans="1:40" hidden="1">
      <c r="A1880" s="123" t="s">
        <v>25</v>
      </c>
      <c r="B1880" s="36" t="s">
        <v>1170</v>
      </c>
      <c r="C1880" s="117">
        <v>4510463272</v>
      </c>
      <c r="D1880" s="165">
        <v>45677</v>
      </c>
      <c r="E1880" s="117" t="s">
        <v>1929</v>
      </c>
      <c r="F1880" s="36" t="str">
        <f>IFERROR(VLOOKUP(Table1[[#This Row],[Part Number]],DATABASE_FG!$C$6:D11869,2,FALSE)," ")</f>
        <v>PLATE ZDR 6 DP0-45/.W80 AS</v>
      </c>
      <c r="G1880" s="117" t="str">
        <f>IFERROR(_xlfn.XLOOKUP(Table1[[#This Row],[Part Number]],Table3[Part number],Table3[Drawing
 Revision]),"")</f>
        <v>A</v>
      </c>
      <c r="H1880" s="118" cm="1">
        <f t="array" ref="H1880">IFERROR(INDEX(PDB!$C:$AT,MATCH(E1880,PDB!$B:$B,0),MATCH(YEAR(K1880),0+PDB!$C$1:$AT$1,0)),"")</f>
        <v>2</v>
      </c>
      <c r="I1880" s="36">
        <v>484</v>
      </c>
      <c r="J1880" s="125">
        <f>IFERROR(Table1[[#This Row],[Quantity]]*Table1[[#This Row],[Price/Unit
EUR]]," ")</f>
        <v>968</v>
      </c>
      <c r="K1880" s="126">
        <v>45723</v>
      </c>
      <c r="L1880" s="36">
        <f>WEEKNUM(Table1[[#This Row],[ETA
As requested
dd.mm.yyyy]])</f>
        <v>10</v>
      </c>
      <c r="M1880" s="36">
        <f>YEAR(Table1[[#This Row],[ETA
As requested
dd.mm.yyyy]])</f>
        <v>2025</v>
      </c>
      <c r="N1880" s="36">
        <f>IFERROR(INDEX(DATABASE_FG!$H$5:$H$367, MATCH(E1880, DATABASE_FG!$C$5:$C$367, 0)), " ")</f>
        <v>0</v>
      </c>
      <c r="O1880" s="129" t="str">
        <f>IF(E1880&lt;&gt;"", _xlfn.XLOOKUP(E1880, DATABASE_FG!C:C, DATABASE_FG!F:F), " ")</f>
        <v>PLATE</v>
      </c>
      <c r="P1880" s="129">
        <f>IFERROR(INDEX(DATABASE_FG!$G$5:$G$367, MATCH(E1880, DATABASE_FG!$C$5:$C$367, 0)), "Not Found")</f>
        <v>0</v>
      </c>
      <c r="Q1880" s="36"/>
      <c r="R1880" s="125" t="s">
        <v>680</v>
      </c>
      <c r="S1880" s="123">
        <f>IFERROR(INDEX(DATABASE_FG!$L$5:$L$367, MATCH(E1880, DATABASE_FG!$C$5:$C$367, 0)), " ")</f>
        <v>42</v>
      </c>
      <c r="T1880" s="36" t="s">
        <v>679</v>
      </c>
      <c r="U1880" s="36"/>
      <c r="V1880" s="36"/>
      <c r="W1880" s="129"/>
      <c r="X1880" s="36"/>
      <c r="Y1880" s="36"/>
      <c r="Z1880" s="36"/>
      <c r="AA1880" s="125" t="s">
        <v>121</v>
      </c>
      <c r="AB1880" s="173">
        <v>45723</v>
      </c>
      <c r="AC1880" s="119">
        <v>25339</v>
      </c>
      <c r="AD1880" s="36">
        <f t="shared" si="215"/>
        <v>4510463272</v>
      </c>
      <c r="AE1880" s="36" t="str">
        <f t="shared" si="216"/>
        <v>R901580817</v>
      </c>
      <c r="AF1880" s="36">
        <v>484</v>
      </c>
      <c r="AG1880" s="120">
        <f t="shared" si="214"/>
        <v>968</v>
      </c>
      <c r="AH1880" s="36"/>
      <c r="AI1880" s="124"/>
      <c r="AJ1880" s="122" t="s">
        <v>2938</v>
      </c>
      <c r="AK1880" s="129" t="str">
        <f t="shared" ca="1" si="213"/>
        <v>On Time</v>
      </c>
      <c r="AL1880" s="268" t="str">
        <f t="shared" si="212"/>
        <v>March</v>
      </c>
      <c r="AM1880" s="133">
        <f>YEAR(Table1[[#This Row],[ETA
As requested
dd.mm.yyyy]])</f>
        <v>2025</v>
      </c>
    </row>
    <row r="1881" spans="1:40" hidden="1">
      <c r="A1881" s="123" t="s">
        <v>25</v>
      </c>
      <c r="B1881" s="36" t="s">
        <v>1170</v>
      </c>
      <c r="C1881" s="117">
        <v>4510463272</v>
      </c>
      <c r="D1881" s="165">
        <v>45677</v>
      </c>
      <c r="E1881" s="117" t="s">
        <v>1929</v>
      </c>
      <c r="F1881" s="36" t="str">
        <f>IFERROR(VLOOKUP(Table1[[#This Row],[Part Number]],DATABASE_FG!$C$6:D11870,2,FALSE)," ")</f>
        <v>PLATE ZDR 6 DP0-45/.W80 AS</v>
      </c>
      <c r="G1881" s="117" t="str">
        <f>IFERROR(_xlfn.XLOOKUP(Table1[[#This Row],[Part Number]],Table3[Part number],Table3[Drawing
 Revision]),"")</f>
        <v>A</v>
      </c>
      <c r="H1881" s="118" cm="1">
        <f t="array" ref="H1881">IFERROR(INDEX(PDB!$C:$AT,MATCH(E1881,PDB!$B:$B,0),MATCH(YEAR(K1881),0+PDB!$C$1:$AT$1,0)),"")</f>
        <v>2</v>
      </c>
      <c r="I1881" s="36">
        <v>334</v>
      </c>
      <c r="J1881" s="125">
        <f>IFERROR(Table1[[#This Row],[Quantity]]*Table1[[#This Row],[Price/Unit
EUR]]," ")</f>
        <v>668</v>
      </c>
      <c r="K1881" s="126">
        <v>45723</v>
      </c>
      <c r="L1881" s="36">
        <f>WEEKNUM(Table1[[#This Row],[ETA
As requested
dd.mm.yyyy]])</f>
        <v>10</v>
      </c>
      <c r="M1881" s="36">
        <f>YEAR(Table1[[#This Row],[ETA
As requested
dd.mm.yyyy]])</f>
        <v>2025</v>
      </c>
      <c r="N1881" s="36">
        <f>IFERROR(INDEX(DATABASE_FG!$H$5:$H$367, MATCH(E1881, DATABASE_FG!$C$5:$C$367, 0)), " ")</f>
        <v>0</v>
      </c>
      <c r="O1881" s="129" t="str">
        <f>IF(E1881&lt;&gt;"", _xlfn.XLOOKUP(E1881, DATABASE_FG!C:C, DATABASE_FG!F:F), " ")</f>
        <v>PLATE</v>
      </c>
      <c r="P1881" s="129">
        <f>IFERROR(INDEX(DATABASE_FG!$G$5:$G$367, MATCH(E1881, DATABASE_FG!$C$5:$C$367, 0)), "Not Found")</f>
        <v>0</v>
      </c>
      <c r="Q1881" s="36"/>
      <c r="R1881" s="125" t="s">
        <v>680</v>
      </c>
      <c r="S1881" s="123">
        <f>IFERROR(INDEX(DATABASE_FG!$L$5:$L$367, MATCH(E1881, DATABASE_FG!$C$5:$C$367, 0)), " ")</f>
        <v>42</v>
      </c>
      <c r="T1881" s="36" t="s">
        <v>679</v>
      </c>
      <c r="U1881" s="36"/>
      <c r="V1881" s="36"/>
      <c r="W1881" s="129"/>
      <c r="X1881" s="36"/>
      <c r="Y1881" s="36"/>
      <c r="Z1881" s="36"/>
      <c r="AA1881" s="125" t="s">
        <v>121</v>
      </c>
      <c r="AB1881" s="173">
        <v>45723</v>
      </c>
      <c r="AC1881" s="119">
        <v>25342</v>
      </c>
      <c r="AD1881" s="36">
        <f t="shared" si="215"/>
        <v>4510463272</v>
      </c>
      <c r="AE1881" s="36" t="str">
        <f t="shared" si="216"/>
        <v>R901580817</v>
      </c>
      <c r="AF1881" s="36">
        <v>334</v>
      </c>
      <c r="AG1881" s="120">
        <f t="shared" si="214"/>
        <v>668</v>
      </c>
      <c r="AH1881" s="36"/>
      <c r="AI1881" s="124"/>
      <c r="AJ1881" s="122" t="s">
        <v>2939</v>
      </c>
      <c r="AK1881" s="129" t="str">
        <f t="shared" ca="1" si="213"/>
        <v>On Time</v>
      </c>
      <c r="AL1881" s="268" t="str">
        <f t="shared" si="212"/>
        <v>March</v>
      </c>
      <c r="AM1881" s="133">
        <f>YEAR(Table1[[#This Row],[ETA
As requested
dd.mm.yyyy]])</f>
        <v>2025</v>
      </c>
    </row>
    <row r="1882" spans="1:40" hidden="1">
      <c r="A1882" s="123" t="s">
        <v>25</v>
      </c>
      <c r="B1882" s="36" t="s">
        <v>1170</v>
      </c>
      <c r="C1882" s="117">
        <v>4510603628</v>
      </c>
      <c r="D1882" s="165">
        <v>45750</v>
      </c>
      <c r="E1882" s="117" t="s">
        <v>1929</v>
      </c>
      <c r="F1882" s="36" t="str">
        <f>IFERROR(VLOOKUP(Table1[[#This Row],[Part Number]],DATABASE_FG!$C$6:D11871,2,FALSE)," ")</f>
        <v>PLATE ZDR 6 DP0-45/.W80 AS</v>
      </c>
      <c r="G1882" s="117" t="str">
        <f>IFERROR(_xlfn.XLOOKUP(Table1[[#This Row],[Part Number]],Table3[Part number],Table3[Drawing
 Revision]),"")</f>
        <v>A</v>
      </c>
      <c r="H1882" s="118" cm="1">
        <f t="array" ref="H1882">IFERROR(INDEX(PDB!$C:$AT,MATCH(E1882,PDB!$B:$B,0),MATCH(YEAR(K1882),0+PDB!$C$1:$AT$1,0)),"")</f>
        <v>2</v>
      </c>
      <c r="I1882" s="36">
        <v>950</v>
      </c>
      <c r="J1882" s="125">
        <f>IFERROR(Table1[[#This Row],[Quantity]]*Table1[[#This Row],[Price/Unit
EUR]]," ")</f>
        <v>1900</v>
      </c>
      <c r="K1882" s="126">
        <v>45761</v>
      </c>
      <c r="L1882" s="36">
        <f>WEEKNUM(Table1[[#This Row],[ETA
As requested
dd.mm.yyyy]])</f>
        <v>16</v>
      </c>
      <c r="M1882" s="36">
        <f>YEAR(Table1[[#This Row],[ETA
As requested
dd.mm.yyyy]])</f>
        <v>2025</v>
      </c>
      <c r="N1882" s="36">
        <f>IFERROR(INDEX(DATABASE_FG!$H$5:$H$367, MATCH(E1882, DATABASE_FG!$C$5:$C$367, 0)), " ")</f>
        <v>0</v>
      </c>
      <c r="O1882" s="129" t="str">
        <f>IF(E1882&lt;&gt;"", _xlfn.XLOOKUP(E1882, DATABASE_FG!C:C, DATABASE_FG!F:F), " ")</f>
        <v>PLATE</v>
      </c>
      <c r="P1882" s="129">
        <v>0</v>
      </c>
      <c r="Q1882" s="36"/>
      <c r="R1882" s="125" t="s">
        <v>678</v>
      </c>
      <c r="S1882" s="123">
        <f>IFERROR(INDEX(DATABASE_FG!$L$5:$L$367, MATCH(E1882, DATABASE_FG!$C$5:$C$367, 0)), " ")</f>
        <v>42</v>
      </c>
      <c r="T1882" s="36" t="s">
        <v>679</v>
      </c>
      <c r="U1882" s="36"/>
      <c r="V1882" s="36"/>
      <c r="W1882" s="129"/>
      <c r="X1882" s="36"/>
      <c r="Y1882" s="36"/>
      <c r="Z1882" s="36"/>
      <c r="AA1882" s="125" t="s">
        <v>121</v>
      </c>
      <c r="AB1882" s="173">
        <v>45761</v>
      </c>
      <c r="AC1882" s="119" t="s">
        <v>3072</v>
      </c>
      <c r="AD1882" s="36">
        <f t="shared" si="215"/>
        <v>4510603628</v>
      </c>
      <c r="AE1882" s="36" t="str">
        <f t="shared" si="216"/>
        <v>R901580817</v>
      </c>
      <c r="AF1882" s="36">
        <v>950</v>
      </c>
      <c r="AG1882" s="120">
        <f t="shared" si="214"/>
        <v>1900</v>
      </c>
      <c r="AH1882" s="36"/>
      <c r="AI1882" s="124"/>
      <c r="AJ1882" s="122" t="s">
        <v>3073</v>
      </c>
      <c r="AK1882" s="129" t="str">
        <f t="shared" ca="1" si="213"/>
        <v>On Time</v>
      </c>
      <c r="AL1882" s="268" t="str">
        <f t="shared" si="212"/>
        <v>April</v>
      </c>
      <c r="AM1882" s="133">
        <f>YEAR(Table1[[#This Row],[ETA
As requested
dd.mm.yyyy]])</f>
        <v>2025</v>
      </c>
    </row>
    <row r="1883" spans="1:40" hidden="1">
      <c r="A1883" s="123" t="s">
        <v>25</v>
      </c>
      <c r="B1883" s="36" t="s">
        <v>1170</v>
      </c>
      <c r="C1883" s="117">
        <v>4510627533</v>
      </c>
      <c r="D1883" s="165">
        <v>45761</v>
      </c>
      <c r="E1883" s="117" t="s">
        <v>1929</v>
      </c>
      <c r="F1883" s="36" t="str">
        <f>IFERROR(VLOOKUP(Table1[[#This Row],[Part Number]],DATABASE_FG!$C$6:D11872,2,FALSE)," ")</f>
        <v>PLATE ZDR 6 DP0-45/.W80 AS</v>
      </c>
      <c r="G1883" s="117" t="str">
        <f>IFERROR(_xlfn.XLOOKUP(Table1[[#This Row],[Part Number]],Table3[Part number],Table3[Drawing
 Revision]),"")</f>
        <v>A</v>
      </c>
      <c r="H1883" s="118" cm="1">
        <f t="array" ref="H1883">IFERROR(INDEX(PDB!$C:$AT,MATCH(E1883,PDB!$B:$B,0),MATCH(YEAR(K1883),0+PDB!$C$1:$AT$1,0)),"")</f>
        <v>2</v>
      </c>
      <c r="I1883" s="36">
        <v>956</v>
      </c>
      <c r="J1883" s="125">
        <f>IFERROR(Table1[[#This Row],[Quantity]]*Table1[[#This Row],[Price/Unit
EUR]]," ")</f>
        <v>1912</v>
      </c>
      <c r="K1883" s="127">
        <v>45769</v>
      </c>
      <c r="L1883" s="36">
        <f>WEEKNUM(Table1[[#This Row],[ETA
As requested
dd.mm.yyyy]])</f>
        <v>17</v>
      </c>
      <c r="M1883" s="36">
        <f>YEAR(Table1[[#This Row],[ETA
As requested
dd.mm.yyyy]])</f>
        <v>2025</v>
      </c>
      <c r="N1883" s="36"/>
      <c r="O1883" s="129" t="str">
        <f>IF(E1883&lt;&gt;"", _xlfn.XLOOKUP(E1883, DATABASE_FG!C:C, DATABASE_FG!F:F), " ")</f>
        <v>PLATE</v>
      </c>
      <c r="P1883" s="129"/>
      <c r="Q1883" s="36"/>
      <c r="R1883" s="125" t="s">
        <v>678</v>
      </c>
      <c r="S1883" s="123">
        <f>Table1[[#This Row],[Quantity]]/48</f>
        <v>19.916666666666668</v>
      </c>
      <c r="T1883" s="36"/>
      <c r="U1883" s="36"/>
      <c r="V1883" s="36"/>
      <c r="W1883" s="129"/>
      <c r="X1883" s="36"/>
      <c r="Y1883" s="36"/>
      <c r="Z1883" s="36"/>
      <c r="AA1883" s="125" t="s">
        <v>121</v>
      </c>
      <c r="AB1883" s="173">
        <v>45777</v>
      </c>
      <c r="AC1883" s="119">
        <v>25698</v>
      </c>
      <c r="AD1883" s="36">
        <f t="shared" ref="AD1883" si="217">IF(NOT(ISBLANK(AC1883)), C1883, "")</f>
        <v>4510627533</v>
      </c>
      <c r="AE1883" s="36" t="str">
        <f t="shared" ref="AE1883" si="218">IF(NOT(ISBLANK(AC1883)), E1883, "")</f>
        <v>R901580817</v>
      </c>
      <c r="AF1883" s="36">
        <v>956</v>
      </c>
      <c r="AG1883" s="120">
        <f t="shared" ref="AG1883" si="219">AF1883*H1883</f>
        <v>1912</v>
      </c>
      <c r="AH1883" s="36"/>
      <c r="AI1883" s="124"/>
      <c r="AJ1883" t="s">
        <v>3113</v>
      </c>
      <c r="AK1883" s="129" t="str">
        <f t="shared" ref="AK1883" ca="1" si="220">IF(AB1883="", IF(K1883 &lt; TODAY(), "Late", ""), IF(AB1883 &lt;= K1883 + 2, "On Time", "Late"))</f>
        <v>Late</v>
      </c>
      <c r="AL1883" s="268" t="str">
        <f t="shared" ref="AL1883" si="221">TEXT(K1883,"mmmm")</f>
        <v>April</v>
      </c>
      <c r="AM1883" s="133">
        <f>YEAR(Table1[[#This Row],[ETA
As requested
dd.mm.yyyy]])</f>
        <v>2025</v>
      </c>
      <c r="AN1883" s="191"/>
    </row>
    <row r="1884" spans="1:40" hidden="1">
      <c r="A1884" s="123" t="s">
        <v>25</v>
      </c>
      <c r="B1884" s="36" t="s">
        <v>1170</v>
      </c>
      <c r="C1884" s="117">
        <v>4510949016</v>
      </c>
      <c r="D1884" s="165">
        <v>45952</v>
      </c>
      <c r="E1884" s="117" t="s">
        <v>1929</v>
      </c>
      <c r="F1884" s="36" t="str">
        <f>IFERROR(VLOOKUP(Table1[[#This Row],[Part Number]],DATABASE_FG!$C$6:D11873,2,FALSE)," ")</f>
        <v>PLATE ZDR 6 DP0-45/.W80 AS</v>
      </c>
      <c r="G1884" s="117" t="str">
        <f>IFERROR(_xlfn.XLOOKUP(Table1[[#This Row],[Part Number]],Table3[Part number],Table3[Drawing
 Revision]),"")</f>
        <v>A</v>
      </c>
      <c r="H1884" s="118" cm="1">
        <f t="array" ref="H1884">IFERROR(INDEX(PDB!$C:$AT,MATCH(E1884,PDB!$B:$B,0),MATCH(YEAR(K1884),0+PDB!$C$1:$AT$1,0)),"")</f>
        <v>2</v>
      </c>
      <c r="I1884" s="36">
        <v>500</v>
      </c>
      <c r="J1884" s="125">
        <f>IFERROR(Table1[[#This Row],[Quantity]]*Table1[[#This Row],[Price/Unit
EUR]]," ")</f>
        <v>1000</v>
      </c>
      <c r="K1884" s="127">
        <v>45961</v>
      </c>
      <c r="L1884" s="36">
        <f>WEEKNUM(Table1[[#This Row],[ETA
As requested
dd.mm.yyyy]])</f>
        <v>44</v>
      </c>
      <c r="M1884" s="36">
        <f>YEAR(Table1[[#This Row],[ETA
As requested
dd.mm.yyyy]])</f>
        <v>2025</v>
      </c>
      <c r="N1884" s="36"/>
      <c r="O1884" s="129" t="str">
        <f>IF(E1884&lt;&gt;"", _xlfn.XLOOKUP(E1884, DATABASE_FG!C:C, DATABASE_FG!F:F), " ")</f>
        <v>PLATE</v>
      </c>
      <c r="P1884" s="129"/>
      <c r="Q1884" s="36"/>
      <c r="R1884" s="125" t="s">
        <v>678</v>
      </c>
      <c r="S1884" s="123">
        <f>IFERROR(INDEX(DATABASE_FG!$L$5:$L$367, MATCH(E1884, DATABASE_FG!$C$5:$C$367, 0)), " ")</f>
        <v>42</v>
      </c>
      <c r="T1884" s="36" t="s">
        <v>679</v>
      </c>
      <c r="U1884" s="36"/>
      <c r="V1884" s="36"/>
      <c r="W1884" s="129"/>
      <c r="X1884" s="36"/>
      <c r="Y1884" s="36"/>
      <c r="Z1884" s="36"/>
      <c r="AA1884" s="125" t="s">
        <v>3</v>
      </c>
      <c r="AB1884" s="173"/>
      <c r="AC1884" s="119"/>
      <c r="AD1884" s="36" t="str">
        <f t="shared" si="215"/>
        <v/>
      </c>
      <c r="AE1884" s="36" t="str">
        <f t="shared" si="216"/>
        <v/>
      </c>
      <c r="AF1884" s="36"/>
      <c r="AG1884" s="120">
        <f t="shared" si="214"/>
        <v>0</v>
      </c>
      <c r="AH1884" s="36"/>
      <c r="AI1884" s="124"/>
      <c r="AK1884" s="129" t="str">
        <f t="shared" ca="1" si="213"/>
        <v>Late</v>
      </c>
      <c r="AL1884" s="268" t="str">
        <f t="shared" si="212"/>
        <v>October</v>
      </c>
      <c r="AM1884" s="133">
        <f>YEAR(Table1[[#This Row],[ETA
As requested
dd.mm.yyyy]])</f>
        <v>2025</v>
      </c>
    </row>
    <row r="1885" spans="1:40" hidden="1">
      <c r="A1885" s="123" t="s">
        <v>83</v>
      </c>
      <c r="B1885" s="36" t="s">
        <v>1170</v>
      </c>
      <c r="C1885" s="117">
        <v>36528261</v>
      </c>
      <c r="D1885" s="165">
        <v>45383</v>
      </c>
      <c r="E1885" s="117" t="s">
        <v>751</v>
      </c>
      <c r="F1885" s="36" t="str">
        <f>IFERROR(VLOOKUP(Table1[[#This Row],[Part Number]],DATABASE_FG!$C$6:D11874,2,FALSE)," ")</f>
        <v xml:space="preserve">300696787-0000 </v>
      </c>
      <c r="G1885" s="117" t="str">
        <f>IFERROR(_xlfn.XLOOKUP(Table1[[#This Row],[Part Number]],Table3[Part number],Table3[Drawing
 Revision]),"")</f>
        <v>AA</v>
      </c>
      <c r="H1885" s="118" cm="1">
        <f t="array" ref="H1885">IFERROR(INDEX(PDB!$C:$AT,MATCH(E1885,PDB!$B:$B,0),MATCH(YEAR(K1885),0+PDB!$C$1:$AT$1,0)),"")</f>
        <v>150</v>
      </c>
      <c r="I1885" s="36">
        <v>2859</v>
      </c>
      <c r="J1885" s="125">
        <f>IFERROR(Table1[[#This Row],[Quantity]]*Table1[[#This Row],[Price/Unit
EUR]]," ")</f>
        <v>428850</v>
      </c>
      <c r="K1885" s="126">
        <v>45404</v>
      </c>
      <c r="L1885" s="36">
        <f>WEEKNUM(Table1[[#This Row],[ETA
As requested
dd.mm.yyyy]])</f>
        <v>17</v>
      </c>
      <c r="M1885" s="36">
        <f>YEAR(Table1[[#This Row],[ETA
As requested
dd.mm.yyyy]])</f>
        <v>2024</v>
      </c>
      <c r="N1885" s="36">
        <f>IFERROR(INDEX(DATABASE_FG!$H$5:$H$367, MATCH(E1885, DATABASE_FG!$C$5:$C$367, 0)), " ")</f>
        <v>0</v>
      </c>
      <c r="O1885" s="129" t="str">
        <f>IF(E1885&lt;&gt;"", _xlfn.XLOOKUP(E1885, DATABASE_FG!C:C, DATABASE_FG!F:F), " ")</f>
        <v>Alama</v>
      </c>
      <c r="P1885" s="129">
        <f>IFERROR(INDEX(DATABASE_FG!$G$5:$G$367, MATCH(E1885, DATABASE_FG!$C$5:$C$367, 0)), "Not Found")</f>
        <v>0</v>
      </c>
      <c r="Q1885" s="36"/>
      <c r="R1885" s="125" t="s">
        <v>678</v>
      </c>
      <c r="S1885" s="123">
        <f>IFERROR(INDEX(DATABASE_FG!$L$5:$L$367, MATCH(E1885, DATABASE_FG!$C$5:$C$367, 0)), " ")</f>
        <v>42</v>
      </c>
      <c r="T1885" s="36" t="s">
        <v>679</v>
      </c>
      <c r="U1885" s="36"/>
      <c r="V1885" s="36"/>
      <c r="W1885" s="129"/>
      <c r="X1885" s="36"/>
      <c r="Y1885" s="36"/>
      <c r="Z1885" s="36" t="s">
        <v>1380</v>
      </c>
      <c r="AA1885" s="125" t="s">
        <v>121</v>
      </c>
      <c r="AB1885" s="173">
        <v>45394</v>
      </c>
      <c r="AC1885" s="119">
        <v>2024348</v>
      </c>
      <c r="AD1885" s="36">
        <f t="shared" si="215"/>
        <v>36528261</v>
      </c>
      <c r="AE1885" s="36" t="str">
        <f t="shared" si="216"/>
        <v>RKDK.N222-EA-M3-0042</v>
      </c>
      <c r="AF1885" s="36">
        <v>212</v>
      </c>
      <c r="AG1885" s="120">
        <f t="shared" si="214"/>
        <v>31800</v>
      </c>
      <c r="AH1885" s="36"/>
      <c r="AI1885" s="124"/>
      <c r="AJ1885" s="122" t="s">
        <v>1381</v>
      </c>
      <c r="AK1885" s="129" t="str">
        <f t="shared" ca="1" si="213"/>
        <v>On Time</v>
      </c>
      <c r="AL1885" s="268" t="str">
        <f t="shared" si="212"/>
        <v>April</v>
      </c>
      <c r="AM1885" s="133">
        <f>YEAR(Table1[[#This Row],[ETA
As requested
dd.mm.yyyy]])</f>
        <v>2024</v>
      </c>
    </row>
    <row r="1886" spans="1:40" hidden="1">
      <c r="A1886" s="123" t="s">
        <v>83</v>
      </c>
      <c r="B1886" s="36" t="s">
        <v>1170</v>
      </c>
      <c r="C1886" s="117">
        <v>36528261</v>
      </c>
      <c r="D1886" s="165">
        <v>45383</v>
      </c>
      <c r="E1886" s="117" t="s">
        <v>751</v>
      </c>
      <c r="F1886" s="36" t="str">
        <f>IFERROR(VLOOKUP(Table1[[#This Row],[Part Number]],DATABASE_FG!$C$6:D11875,2,FALSE)," ")</f>
        <v xml:space="preserve">300696787-0000 </v>
      </c>
      <c r="G1886" s="117" t="str">
        <f>IFERROR(_xlfn.XLOOKUP(Table1[[#This Row],[Part Number]],Table3[Part number],Table3[Drawing
 Revision]),"")</f>
        <v>AA</v>
      </c>
      <c r="H1886" s="118" cm="1">
        <f t="array" ref="H1886">IFERROR(INDEX(PDB!$C:$AT,MATCH(E1886,PDB!$B:$B,0),MATCH(YEAR(K1886),0+PDB!$C$1:$AT$1,0)),"")</f>
        <v>150</v>
      </c>
      <c r="I1886" s="36"/>
      <c r="J1886" s="125">
        <f>IFERROR(Table1[[#This Row],[Quantity]]*Table1[[#This Row],[Price/Unit
EUR]]," ")</f>
        <v>0</v>
      </c>
      <c r="K1886" s="126">
        <v>45404</v>
      </c>
      <c r="L1886" s="36">
        <f>WEEKNUM(Table1[[#This Row],[ETA
As requested
dd.mm.yyyy]])</f>
        <v>17</v>
      </c>
      <c r="M1886" s="36">
        <f>YEAR(Table1[[#This Row],[ETA
As requested
dd.mm.yyyy]])</f>
        <v>2024</v>
      </c>
      <c r="N1886" s="36">
        <f>IFERROR(INDEX(DATABASE_FG!$H$5:$H$367, MATCH(E1886, DATABASE_FG!$C$5:$C$367, 0)), " ")</f>
        <v>0</v>
      </c>
      <c r="O1886" s="129" t="str">
        <f>IF(E1886&lt;&gt;"", _xlfn.XLOOKUP(E1886, DATABASE_FG!C:C, DATABASE_FG!F:F), " ")</f>
        <v>Alama</v>
      </c>
      <c r="P1886" s="129">
        <f>IFERROR(INDEX(DATABASE_FG!$G$5:$G$367, MATCH(E1886, DATABASE_FG!$C$5:$C$367, 0)), "Not Found")</f>
        <v>0</v>
      </c>
      <c r="Q1886" s="36"/>
      <c r="R1886" s="125"/>
      <c r="S1886" s="123">
        <f>IFERROR(INDEX(DATABASE_FG!$L$5:$L$367, MATCH(E1886, DATABASE_FG!$C$5:$C$367, 0)), " ")</f>
        <v>42</v>
      </c>
      <c r="T1886" s="36"/>
      <c r="U1886" s="36"/>
      <c r="V1886" s="36"/>
      <c r="W1886" s="129"/>
      <c r="X1886" s="36"/>
      <c r="Y1886" s="36"/>
      <c r="Z1886" s="36"/>
      <c r="AA1886" s="125" t="s">
        <v>121</v>
      </c>
      <c r="AB1886" s="173">
        <v>45399</v>
      </c>
      <c r="AC1886" s="119">
        <v>2024371</v>
      </c>
      <c r="AD1886" s="36">
        <f t="shared" si="215"/>
        <v>36528261</v>
      </c>
      <c r="AE1886" s="36" t="str">
        <f t="shared" si="216"/>
        <v>RKDK.N222-EA-M3-0042</v>
      </c>
      <c r="AF1886" s="36">
        <v>755</v>
      </c>
      <c r="AG1886" s="120">
        <f t="shared" si="214"/>
        <v>113250</v>
      </c>
      <c r="AH1886" s="36"/>
      <c r="AI1886" s="124"/>
      <c r="AJ1886" s="122" t="s">
        <v>1384</v>
      </c>
      <c r="AK1886" s="129" t="str">
        <f t="shared" ca="1" si="213"/>
        <v>On Time</v>
      </c>
      <c r="AL1886" s="268" t="str">
        <f t="shared" si="212"/>
        <v>April</v>
      </c>
      <c r="AM1886" s="133">
        <f>YEAR(Table1[[#This Row],[ETA
As requested
dd.mm.yyyy]])</f>
        <v>2024</v>
      </c>
    </row>
    <row r="1887" spans="1:40" hidden="1">
      <c r="A1887" s="123" t="s">
        <v>83</v>
      </c>
      <c r="B1887" s="36" t="s">
        <v>1170</v>
      </c>
      <c r="C1887" s="117">
        <v>36528261</v>
      </c>
      <c r="D1887" s="165">
        <v>45383</v>
      </c>
      <c r="E1887" s="117" t="s">
        <v>751</v>
      </c>
      <c r="F1887" s="36" t="str">
        <f>IFERROR(VLOOKUP(Table1[[#This Row],[Part Number]],DATABASE_FG!$C$6:D11876,2,FALSE)," ")</f>
        <v xml:space="preserve">300696787-0000 </v>
      </c>
      <c r="G1887" s="117" t="str">
        <f>IFERROR(_xlfn.XLOOKUP(Table1[[#This Row],[Part Number]],Table3[Part number],Table3[Drawing
 Revision]),"")</f>
        <v>AA</v>
      </c>
      <c r="H1887" s="118" cm="1">
        <f t="array" ref="H1887">IFERROR(INDEX(PDB!$C:$AT,MATCH(E1887,PDB!$B:$B,0),MATCH(YEAR(K1887),0+PDB!$C$1:$AT$1,0)),"")</f>
        <v>150</v>
      </c>
      <c r="I1887" s="36"/>
      <c r="J1887" s="125">
        <f>IFERROR(Table1[[#This Row],[Quantity]]*Table1[[#This Row],[Price/Unit
EUR]]," ")</f>
        <v>0</v>
      </c>
      <c r="K1887" s="126">
        <v>45404</v>
      </c>
      <c r="L1887" s="36">
        <f>WEEKNUM(Table1[[#This Row],[ETA
As requested
dd.mm.yyyy]])</f>
        <v>17</v>
      </c>
      <c r="M1887" s="36">
        <f>YEAR(Table1[[#This Row],[ETA
As requested
dd.mm.yyyy]])</f>
        <v>2024</v>
      </c>
      <c r="N1887" s="36">
        <f>IFERROR(INDEX(DATABASE_FG!$H$5:$H$367, MATCH(E1887, DATABASE_FG!$C$5:$C$367, 0)), " ")</f>
        <v>0</v>
      </c>
      <c r="O1887" s="129" t="str">
        <f>IF(E1887&lt;&gt;"", _xlfn.XLOOKUP(E1887, DATABASE_FG!C:C, DATABASE_FG!F:F), " ")</f>
        <v>Alama</v>
      </c>
      <c r="P1887" s="129">
        <f>IFERROR(INDEX(DATABASE_FG!$G$5:$G$367, MATCH(E1887, DATABASE_FG!$C$5:$C$367, 0)), "Not Found")</f>
        <v>0</v>
      </c>
      <c r="Q1887" s="36"/>
      <c r="R1887" s="125"/>
      <c r="S1887" s="123">
        <f>IFERROR(INDEX(DATABASE_FG!$L$5:$L$367, MATCH(E1887, DATABASE_FG!$C$5:$C$367, 0)), " ")</f>
        <v>42</v>
      </c>
      <c r="T1887" s="36"/>
      <c r="U1887" s="36"/>
      <c r="V1887" s="36"/>
      <c r="W1887" s="129"/>
      <c r="X1887" s="36"/>
      <c r="Y1887" s="36"/>
      <c r="Z1887" s="36"/>
      <c r="AA1887" s="125" t="s">
        <v>121</v>
      </c>
      <c r="AB1887" s="173">
        <v>45400</v>
      </c>
      <c r="AC1887" s="119">
        <v>2024379</v>
      </c>
      <c r="AD1887" s="36">
        <f t="shared" si="215"/>
        <v>36528261</v>
      </c>
      <c r="AE1887" s="36" t="str">
        <f t="shared" si="216"/>
        <v>RKDK.N222-EA-M3-0042</v>
      </c>
      <c r="AF1887" s="36">
        <v>460</v>
      </c>
      <c r="AG1887" s="120">
        <f t="shared" si="214"/>
        <v>69000</v>
      </c>
      <c r="AH1887" s="36"/>
      <c r="AI1887" s="124"/>
      <c r="AJ1887" s="122" t="s">
        <v>1385</v>
      </c>
      <c r="AK1887" s="129" t="str">
        <f t="shared" ca="1" si="213"/>
        <v>On Time</v>
      </c>
      <c r="AL1887" s="268" t="str">
        <f t="shared" si="212"/>
        <v>April</v>
      </c>
      <c r="AM1887" s="133">
        <f>YEAR(Table1[[#This Row],[ETA
As requested
dd.mm.yyyy]])</f>
        <v>2024</v>
      </c>
    </row>
    <row r="1888" spans="1:40" hidden="1">
      <c r="A1888" s="123" t="s">
        <v>83</v>
      </c>
      <c r="B1888" s="36" t="s">
        <v>1170</v>
      </c>
      <c r="C1888" s="117">
        <v>36528261</v>
      </c>
      <c r="D1888" s="165">
        <v>45383</v>
      </c>
      <c r="E1888" s="117" t="s">
        <v>751</v>
      </c>
      <c r="F1888" s="36" t="str">
        <f>IFERROR(VLOOKUP(Table1[[#This Row],[Part Number]],DATABASE_FG!$C$6:D11877,2,FALSE)," ")</f>
        <v xml:space="preserve">300696787-0000 </v>
      </c>
      <c r="G1888" s="117" t="str">
        <f>IFERROR(_xlfn.XLOOKUP(Table1[[#This Row],[Part Number]],Table3[Part number],Table3[Drawing
 Revision]),"")</f>
        <v>AA</v>
      </c>
      <c r="H1888" s="118" cm="1">
        <f t="array" ref="H1888">IFERROR(INDEX(PDB!$C:$AT,MATCH(E1888,PDB!$B:$B,0),MATCH(YEAR(K1888),0+PDB!$C$1:$AT$1,0)),"")</f>
        <v>150</v>
      </c>
      <c r="I1888" s="36"/>
      <c r="J1888" s="125">
        <f>IFERROR(Table1[[#This Row],[Quantity]]*Table1[[#This Row],[Price/Unit
EUR]]," ")</f>
        <v>0</v>
      </c>
      <c r="K1888" s="126">
        <v>45404</v>
      </c>
      <c r="L1888" s="36">
        <f>WEEKNUM(Table1[[#This Row],[ETA
As requested
dd.mm.yyyy]])</f>
        <v>17</v>
      </c>
      <c r="M1888" s="36">
        <f>YEAR(Table1[[#This Row],[ETA
As requested
dd.mm.yyyy]])</f>
        <v>2024</v>
      </c>
      <c r="N1888" s="36">
        <f>IFERROR(INDEX(DATABASE_FG!$H$5:$H$367, MATCH(E1888, DATABASE_FG!$C$5:$C$367, 0)), " ")</f>
        <v>0</v>
      </c>
      <c r="O1888" s="129" t="str">
        <f>IF(E1888&lt;&gt;"", _xlfn.XLOOKUP(E1888, DATABASE_FG!C:C, DATABASE_FG!F:F), " ")</f>
        <v>Alama</v>
      </c>
      <c r="P1888" s="129">
        <f>IFERROR(INDEX(DATABASE_FG!$G$5:$G$367, MATCH(E1888, DATABASE_FG!$C$5:$C$367, 0)), "Not Found")</f>
        <v>0</v>
      </c>
      <c r="Q1888" s="36"/>
      <c r="R1888" s="125"/>
      <c r="S1888" s="123">
        <f>IFERROR(INDEX(DATABASE_FG!$L$5:$L$367, MATCH(E1888, DATABASE_FG!$C$5:$C$367, 0)), " ")</f>
        <v>42</v>
      </c>
      <c r="T1888" s="36"/>
      <c r="U1888" s="36"/>
      <c r="V1888" s="36"/>
      <c r="W1888" s="129"/>
      <c r="X1888" s="36"/>
      <c r="Y1888" s="36"/>
      <c r="Z1888" s="36"/>
      <c r="AA1888" s="125" t="s">
        <v>121</v>
      </c>
      <c r="AB1888" s="173">
        <v>45405</v>
      </c>
      <c r="AC1888" s="119">
        <v>2024388</v>
      </c>
      <c r="AD1888" s="36">
        <f t="shared" si="215"/>
        <v>36528261</v>
      </c>
      <c r="AE1888" s="36" t="str">
        <f t="shared" si="216"/>
        <v>RKDK.N222-EA-M3-0042</v>
      </c>
      <c r="AF1888" s="36">
        <v>592</v>
      </c>
      <c r="AG1888" s="120">
        <f t="shared" si="214"/>
        <v>88800</v>
      </c>
      <c r="AH1888" s="36"/>
      <c r="AI1888" s="124"/>
      <c r="AJ1888" s="122" t="s">
        <v>1386</v>
      </c>
      <c r="AK1888" s="129" t="str">
        <f t="shared" ca="1" si="213"/>
        <v>On Time</v>
      </c>
      <c r="AL1888" s="268" t="str">
        <f t="shared" si="212"/>
        <v>April</v>
      </c>
      <c r="AM1888" s="133">
        <f>YEAR(Table1[[#This Row],[ETA
As requested
dd.mm.yyyy]])</f>
        <v>2024</v>
      </c>
    </row>
    <row r="1889" spans="1:39" hidden="1">
      <c r="A1889" s="123" t="s">
        <v>83</v>
      </c>
      <c r="B1889" s="36" t="s">
        <v>1170</v>
      </c>
      <c r="C1889" s="117">
        <v>36528261</v>
      </c>
      <c r="D1889" s="165">
        <v>45383</v>
      </c>
      <c r="E1889" s="117" t="s">
        <v>751</v>
      </c>
      <c r="F1889" s="36" t="str">
        <f>IFERROR(VLOOKUP(Table1[[#This Row],[Part Number]],DATABASE_FG!$C$6:D11878,2,FALSE)," ")</f>
        <v xml:space="preserve">300696787-0000 </v>
      </c>
      <c r="G1889" s="117" t="str">
        <f>IFERROR(_xlfn.XLOOKUP(Table1[[#This Row],[Part Number]],Table3[Part number],Table3[Drawing
 Revision]),"")</f>
        <v>AA</v>
      </c>
      <c r="H1889" s="118" cm="1">
        <f t="array" ref="H1889">IFERROR(INDEX(PDB!$C:$AT,MATCH(E1889,PDB!$B:$B,0),MATCH(YEAR(K1889),0+PDB!$C$1:$AT$1,0)),"")</f>
        <v>150</v>
      </c>
      <c r="I1889" s="36"/>
      <c r="J1889" s="125">
        <f>IFERROR(Table1[[#This Row],[Quantity]]*Table1[[#This Row],[Price/Unit
EUR]]," ")</f>
        <v>0</v>
      </c>
      <c r="K1889" s="126">
        <v>45404</v>
      </c>
      <c r="L1889" s="36">
        <f>WEEKNUM(Table1[[#This Row],[ETA
As requested
dd.mm.yyyy]])</f>
        <v>17</v>
      </c>
      <c r="M1889" s="36">
        <f>YEAR(Table1[[#This Row],[ETA
As requested
dd.mm.yyyy]])</f>
        <v>2024</v>
      </c>
      <c r="N1889" s="36">
        <f>IFERROR(INDEX(DATABASE_FG!$H$5:$H$367, MATCH(E1889, DATABASE_FG!$C$5:$C$367, 0)), " ")</f>
        <v>0</v>
      </c>
      <c r="O1889" s="129" t="str">
        <f>IF(E1889&lt;&gt;"", _xlfn.XLOOKUP(E1889, DATABASE_FG!C:C, DATABASE_FG!F:F), " ")</f>
        <v>Alama</v>
      </c>
      <c r="P1889" s="129">
        <f>IFERROR(INDEX(DATABASE_FG!$G$5:$G$367, MATCH(E1889, DATABASE_FG!$C$5:$C$367, 0)), "Not Found")</f>
        <v>0</v>
      </c>
      <c r="Q1889" s="36"/>
      <c r="R1889" s="125"/>
      <c r="S1889" s="123">
        <f>IFERROR(INDEX(DATABASE_FG!$L$5:$L$367, MATCH(E1889, DATABASE_FG!$C$5:$C$367, 0)), " ")</f>
        <v>42</v>
      </c>
      <c r="T1889" s="36"/>
      <c r="U1889" s="36"/>
      <c r="V1889" s="36"/>
      <c r="W1889" s="129"/>
      <c r="X1889" s="36"/>
      <c r="Y1889" s="36"/>
      <c r="Z1889" s="36"/>
      <c r="AA1889" s="125" t="s">
        <v>121</v>
      </c>
      <c r="AB1889" s="173">
        <v>45406</v>
      </c>
      <c r="AC1889" s="119">
        <v>20232235</v>
      </c>
      <c r="AD1889" s="36">
        <f t="shared" si="215"/>
        <v>36528261</v>
      </c>
      <c r="AE1889" s="36" t="str">
        <f t="shared" si="216"/>
        <v>RKDK.N222-EA-M3-0042</v>
      </c>
      <c r="AF1889" s="36">
        <v>518</v>
      </c>
      <c r="AG1889" s="120">
        <f t="shared" si="214"/>
        <v>77700</v>
      </c>
      <c r="AH1889" s="36"/>
      <c r="AI1889" s="124"/>
      <c r="AJ1889" s="122" t="s">
        <v>1387</v>
      </c>
      <c r="AK1889" s="129" t="str">
        <f t="shared" ca="1" si="213"/>
        <v>On Time</v>
      </c>
      <c r="AL1889" s="268" t="str">
        <f t="shared" si="212"/>
        <v>April</v>
      </c>
      <c r="AM1889" s="133">
        <f>YEAR(Table1[[#This Row],[ETA
As requested
dd.mm.yyyy]])</f>
        <v>2024</v>
      </c>
    </row>
    <row r="1890" spans="1:39" hidden="1">
      <c r="A1890" s="123" t="s">
        <v>83</v>
      </c>
      <c r="B1890" s="36" t="s">
        <v>1170</v>
      </c>
      <c r="C1890" s="117">
        <v>36528261</v>
      </c>
      <c r="D1890" s="165">
        <v>45383</v>
      </c>
      <c r="E1890" s="117" t="s">
        <v>751</v>
      </c>
      <c r="F1890" s="36" t="str">
        <f>IFERROR(VLOOKUP(Table1[[#This Row],[Part Number]],DATABASE_FG!$C$6:D11879,2,FALSE)," ")</f>
        <v xml:space="preserve">300696787-0000 </v>
      </c>
      <c r="G1890" s="117" t="str">
        <f>IFERROR(_xlfn.XLOOKUP(Table1[[#This Row],[Part Number]],Table3[Part number],Table3[Drawing
 Revision]),"")</f>
        <v>AA</v>
      </c>
      <c r="H1890" s="118" cm="1">
        <f t="array" ref="H1890">IFERROR(INDEX(PDB!$C:$AT,MATCH(E1890,PDB!$B:$B,0),MATCH(YEAR(K1890),0+PDB!$C$1:$AT$1,0)),"")</f>
        <v>150</v>
      </c>
      <c r="I1890" s="36"/>
      <c r="J1890" s="125">
        <f>IFERROR(Table1[[#This Row],[Quantity]]*Table1[[#This Row],[Price/Unit
EUR]]," ")</f>
        <v>0</v>
      </c>
      <c r="K1890" s="126">
        <v>45404</v>
      </c>
      <c r="L1890" s="36">
        <f>WEEKNUM(Table1[[#This Row],[ETA
As requested
dd.mm.yyyy]])</f>
        <v>17</v>
      </c>
      <c r="M1890" s="36">
        <f>YEAR(Table1[[#This Row],[ETA
As requested
dd.mm.yyyy]])</f>
        <v>2024</v>
      </c>
      <c r="N1890" s="36">
        <f>IFERROR(INDEX(DATABASE_FG!$H$5:$H$367, MATCH(E1890, DATABASE_FG!$C$5:$C$367, 0)), " ")</f>
        <v>0</v>
      </c>
      <c r="O1890" s="129" t="str">
        <f>IF(E1890&lt;&gt;"", _xlfn.XLOOKUP(E1890, DATABASE_FG!C:C, DATABASE_FG!F:F), " ")</f>
        <v>Alama</v>
      </c>
      <c r="P1890" s="129">
        <f>IFERROR(INDEX(DATABASE_FG!$G$5:$G$367, MATCH(E1890, DATABASE_FG!$C$5:$C$367, 0)), "Not Found")</f>
        <v>0</v>
      </c>
      <c r="Q1890" s="36"/>
      <c r="R1890" s="125"/>
      <c r="S1890" s="123">
        <f>IFERROR(INDEX(DATABASE_FG!$L$5:$L$367, MATCH(E1890, DATABASE_FG!$C$5:$C$367, 0)), " ")</f>
        <v>42</v>
      </c>
      <c r="T1890" s="36"/>
      <c r="U1890" s="36"/>
      <c r="V1890" s="36"/>
      <c r="W1890" s="129"/>
      <c r="X1890" s="36"/>
      <c r="Y1890" s="36"/>
      <c r="Z1890" s="36"/>
      <c r="AA1890" s="125" t="s">
        <v>121</v>
      </c>
      <c r="AB1890" s="173">
        <v>45407</v>
      </c>
      <c r="AC1890" s="119">
        <v>2024397</v>
      </c>
      <c r="AD1890" s="36">
        <f t="shared" si="215"/>
        <v>36528261</v>
      </c>
      <c r="AE1890" s="36" t="str">
        <f t="shared" si="216"/>
        <v>RKDK.N222-EA-M3-0042</v>
      </c>
      <c r="AF1890" s="36">
        <v>322</v>
      </c>
      <c r="AG1890" s="120">
        <f t="shared" si="214"/>
        <v>48300</v>
      </c>
      <c r="AH1890" s="36"/>
      <c r="AI1890" s="124"/>
      <c r="AJ1890" s="122" t="s">
        <v>1388</v>
      </c>
      <c r="AK1890" s="129" t="str">
        <f t="shared" ca="1" si="213"/>
        <v>Late</v>
      </c>
      <c r="AL1890" s="268" t="str">
        <f t="shared" si="212"/>
        <v>April</v>
      </c>
      <c r="AM1890" s="133">
        <f>YEAR(Table1[[#This Row],[ETA
As requested
dd.mm.yyyy]])</f>
        <v>2024</v>
      </c>
    </row>
    <row r="1891" spans="1:39" hidden="1">
      <c r="A1891" s="123" t="s">
        <v>83</v>
      </c>
      <c r="B1891" s="36" t="s">
        <v>1170</v>
      </c>
      <c r="C1891" s="117">
        <v>37430836</v>
      </c>
      <c r="D1891" s="165">
        <v>45511</v>
      </c>
      <c r="E1891" s="117" t="s">
        <v>751</v>
      </c>
      <c r="F1891" s="36" t="str">
        <f>IFERROR(VLOOKUP(Table1[[#This Row],[Part Number]],DATABASE_FG!$C$6:D11880,2,FALSE)," ")</f>
        <v xml:space="preserve">300696787-0000 </v>
      </c>
      <c r="G1891" s="117" t="str">
        <f>IFERROR(_xlfn.XLOOKUP(Table1[[#This Row],[Part Number]],Table3[Part number],Table3[Drawing
 Revision]),"")</f>
        <v>AA</v>
      </c>
      <c r="H1891" s="118" cm="1">
        <f t="array" ref="H1891">IFERROR(INDEX(PDB!$C:$AT,MATCH(E1891,PDB!$B:$B,0),MATCH(YEAR(K1891),0+PDB!$C$1:$AT$1,0)),"")</f>
        <v>150</v>
      </c>
      <c r="I1891" s="36">
        <v>970</v>
      </c>
      <c r="J1891" s="125">
        <f>IFERROR(Table1[[#This Row],[Quantity]]*Table1[[#This Row],[Price/Unit
EUR]]," ")</f>
        <v>145500</v>
      </c>
      <c r="K1891" s="126">
        <v>45537</v>
      </c>
      <c r="L1891" s="36">
        <f>WEEKNUM(Table1[[#This Row],[ETA
As requested
dd.mm.yyyy]])</f>
        <v>36</v>
      </c>
      <c r="M1891" s="36">
        <f>YEAR(Table1[[#This Row],[ETA
As requested
dd.mm.yyyy]])</f>
        <v>2024</v>
      </c>
      <c r="N1891" s="36">
        <f>IFERROR(INDEX(DATABASE_FG!$H$5:$H$367, MATCH(E1891, DATABASE_FG!$C$5:$C$367, 0)), " ")</f>
        <v>0</v>
      </c>
      <c r="O1891" s="129" t="str">
        <f>IF(E1891&lt;&gt;"", _xlfn.XLOOKUP(E1891, DATABASE_FG!C:C, DATABASE_FG!F:F), " ")</f>
        <v>Alama</v>
      </c>
      <c r="P1891" s="129">
        <f>IFERROR(INDEX(DATABASE_FG!$G$5:$G$367, MATCH(E1891, DATABASE_FG!$C$5:$C$367, 0)), "Not Found")</f>
        <v>0</v>
      </c>
      <c r="Q1891" s="36"/>
      <c r="R1891" s="125" t="s">
        <v>678</v>
      </c>
      <c r="S1891" s="123">
        <f>IFERROR(INDEX(DATABASE_FG!$L$5:$L$367, MATCH(E1891, DATABASE_FG!$C$5:$C$367, 0)), " ")</f>
        <v>42</v>
      </c>
      <c r="T1891" s="36" t="s">
        <v>679</v>
      </c>
      <c r="U1891" s="36"/>
      <c r="V1891" s="36"/>
      <c r="W1891" s="129"/>
      <c r="X1891" s="36">
        <v>45512</v>
      </c>
      <c r="Y1891" s="36"/>
      <c r="Z1891" s="36"/>
      <c r="AA1891" s="125" t="s">
        <v>121</v>
      </c>
      <c r="AB1891" s="173">
        <v>45537</v>
      </c>
      <c r="AC1891" s="119">
        <v>202401084</v>
      </c>
      <c r="AD1891" s="36">
        <f t="shared" si="215"/>
        <v>37430836</v>
      </c>
      <c r="AE1891" s="36" t="str">
        <f t="shared" si="216"/>
        <v>RKDK.N222-EA-M3-0042</v>
      </c>
      <c r="AF1891" s="36">
        <v>970</v>
      </c>
      <c r="AG1891" s="120">
        <f t="shared" si="214"/>
        <v>145500</v>
      </c>
      <c r="AH1891" s="36"/>
      <c r="AI1891" s="124"/>
      <c r="AJ1891" s="122" t="s">
        <v>2312</v>
      </c>
      <c r="AK1891" s="129" t="str">
        <f t="shared" ca="1" si="213"/>
        <v>On Time</v>
      </c>
      <c r="AL1891" s="268" t="str">
        <f t="shared" si="212"/>
        <v>September</v>
      </c>
      <c r="AM1891" s="133">
        <f>YEAR(Table1[[#This Row],[ETA
As requested
dd.mm.yyyy]])</f>
        <v>2024</v>
      </c>
    </row>
    <row r="1892" spans="1:39" hidden="1">
      <c r="A1892" s="123" t="s">
        <v>83</v>
      </c>
      <c r="B1892" s="36" t="s">
        <v>1170</v>
      </c>
      <c r="C1892" s="117">
        <v>36541702</v>
      </c>
      <c r="D1892" s="165">
        <v>45385</v>
      </c>
      <c r="E1892" s="117" t="s">
        <v>753</v>
      </c>
      <c r="F1892" s="36" t="str">
        <f>IFERROR(VLOOKUP(Table1[[#This Row],[Part Number]],DATABASE_FG!$C$6:D11881,2,FALSE)," ")</f>
        <v xml:space="preserve">300697848-0000 </v>
      </c>
      <c r="G1892" s="117" t="str">
        <f>IFERROR(_xlfn.XLOOKUP(Table1[[#This Row],[Part Number]],Table3[Part number],Table3[Drawing
 Revision]),"")</f>
        <v>AA</v>
      </c>
      <c r="H1892" s="118" cm="1">
        <f t="array" ref="H1892">IFERROR(INDEX(PDB!$C:$AT,MATCH(E1892,PDB!$B:$B,0),MATCH(YEAR(K1892),0+PDB!$C$1:$AT$1,0)),"")</f>
        <v>1.54</v>
      </c>
      <c r="I1892" s="36">
        <v>1362</v>
      </c>
      <c r="J1892" s="125">
        <f>IFERROR(Table1[[#This Row],[Quantity]]*Table1[[#This Row],[Price/Unit
EUR]]," ")</f>
        <v>2097.48</v>
      </c>
      <c r="K1892" s="126">
        <v>45394</v>
      </c>
      <c r="L1892" s="36">
        <f>WEEKNUM(Table1[[#This Row],[ETA
As requested
dd.mm.yyyy]])</f>
        <v>15</v>
      </c>
      <c r="M1892" s="36">
        <f>YEAR(Table1[[#This Row],[ETA
As requested
dd.mm.yyyy]])</f>
        <v>2024</v>
      </c>
      <c r="N1892" s="36">
        <f>IFERROR(INDEX(DATABASE_FG!$H$5:$H$367, MATCH(E1892, DATABASE_FG!$C$5:$C$367, 0)), " ")</f>
        <v>0</v>
      </c>
      <c r="O1892" s="129" t="str">
        <f>IF(E1892&lt;&gt;"", _xlfn.XLOOKUP(E1892, DATABASE_FG!C:C, DATABASE_FG!F:F), " ")</f>
        <v>Alama</v>
      </c>
      <c r="P1892" s="129">
        <f>IFERROR(INDEX(DATABASE_FG!$G$5:$G$367, MATCH(E1892, DATABASE_FG!$C$5:$C$367, 0)), "Not Found")</f>
        <v>0</v>
      </c>
      <c r="Q1892" s="36"/>
      <c r="R1892" s="125" t="s">
        <v>678</v>
      </c>
      <c r="S1892" s="123">
        <f>IFERROR(INDEX(DATABASE_FG!$L$5:$L$367, MATCH(E1892, DATABASE_FG!$C$5:$C$367, 0)), " ")</f>
        <v>42</v>
      </c>
      <c r="T1892" s="36" t="s">
        <v>679</v>
      </c>
      <c r="U1892" s="36"/>
      <c r="V1892" s="36"/>
      <c r="W1892" s="129"/>
      <c r="X1892" s="36"/>
      <c r="Y1892" s="36"/>
      <c r="Z1892" s="36">
        <v>241409</v>
      </c>
      <c r="AA1892" s="125" t="s">
        <v>121</v>
      </c>
      <c r="AB1892" s="173">
        <v>45394</v>
      </c>
      <c r="AC1892" s="119">
        <v>2024347</v>
      </c>
      <c r="AD1892" s="36">
        <f t="shared" si="215"/>
        <v>36541702</v>
      </c>
      <c r="AE1892" s="36" t="str">
        <f t="shared" si="216"/>
        <v>RKDK.N316-EA-M3-0042</v>
      </c>
      <c r="AF1892" s="36">
        <v>639</v>
      </c>
      <c r="AG1892" s="120">
        <f t="shared" si="214"/>
        <v>984.06000000000006</v>
      </c>
      <c r="AH1892" s="36"/>
      <c r="AI1892" s="124"/>
      <c r="AJ1892" s="122" t="s">
        <v>1313</v>
      </c>
      <c r="AK1892" s="129" t="str">
        <f t="shared" ca="1" si="213"/>
        <v>On Time</v>
      </c>
      <c r="AL1892" s="268" t="str">
        <f t="shared" si="212"/>
        <v>April</v>
      </c>
      <c r="AM1892" s="133">
        <f>YEAR(Table1[[#This Row],[ETA
As requested
dd.mm.yyyy]])</f>
        <v>2024</v>
      </c>
    </row>
    <row r="1893" spans="1:39" hidden="1">
      <c r="A1893" s="123" t="s">
        <v>83</v>
      </c>
      <c r="B1893" s="36" t="s">
        <v>1170</v>
      </c>
      <c r="C1893" s="117">
        <v>36541702</v>
      </c>
      <c r="D1893" s="165">
        <v>45385</v>
      </c>
      <c r="E1893" s="117" t="s">
        <v>753</v>
      </c>
      <c r="F1893" s="36" t="str">
        <f>IFERROR(VLOOKUP(Table1[[#This Row],[Part Number]],DATABASE_FG!$C$6:D11882,2,FALSE)," ")</f>
        <v xml:space="preserve">300697848-0000 </v>
      </c>
      <c r="G1893" s="117" t="str">
        <f>IFERROR(_xlfn.XLOOKUP(Table1[[#This Row],[Part Number]],Table3[Part number],Table3[Drawing
 Revision]),"")</f>
        <v>AA</v>
      </c>
      <c r="H1893" s="118" cm="1">
        <f t="array" ref="H1893">IFERROR(INDEX(PDB!$C:$AT,MATCH(E1893,PDB!$B:$B,0),MATCH(YEAR(K1893),0+PDB!$C$1:$AT$1,0)),"")</f>
        <v>1.54</v>
      </c>
      <c r="I1893" s="36"/>
      <c r="J1893" s="125">
        <f>IFERROR(Table1[[#This Row],[Quantity]]*Table1[[#This Row],[Price/Unit
EUR]]," ")</f>
        <v>0</v>
      </c>
      <c r="K1893" s="126">
        <v>45394</v>
      </c>
      <c r="L1893" s="36">
        <f>WEEKNUM(Table1[[#This Row],[ETA
As requested
dd.mm.yyyy]])</f>
        <v>15</v>
      </c>
      <c r="M1893" s="36">
        <f>YEAR(Table1[[#This Row],[ETA
As requested
dd.mm.yyyy]])</f>
        <v>2024</v>
      </c>
      <c r="N1893" s="36">
        <f>IFERROR(INDEX(DATABASE_FG!$H$5:$H$367, MATCH(E1893, DATABASE_FG!$C$5:$C$367, 0)), " ")</f>
        <v>0</v>
      </c>
      <c r="O1893" s="129" t="str">
        <f>IF(E1893&lt;&gt;"", _xlfn.XLOOKUP(E1893, DATABASE_FG!C:C, DATABASE_FG!F:F), " ")</f>
        <v>Alama</v>
      </c>
      <c r="P1893" s="129">
        <f>IFERROR(INDEX(DATABASE_FG!$G$5:$G$367, MATCH(E1893, DATABASE_FG!$C$5:$C$367, 0)), "Not Found")</f>
        <v>0</v>
      </c>
      <c r="Q1893" s="36"/>
      <c r="R1893" s="125"/>
      <c r="S1893" s="123">
        <f>IFERROR(INDEX(DATABASE_FG!$L$5:$L$367, MATCH(E1893, DATABASE_FG!$C$5:$C$367, 0)), " ")</f>
        <v>42</v>
      </c>
      <c r="T1893" s="36"/>
      <c r="U1893" s="36"/>
      <c r="V1893" s="36"/>
      <c r="W1893" s="129"/>
      <c r="X1893" s="36"/>
      <c r="Y1893" s="36"/>
      <c r="Z1893" s="36"/>
      <c r="AA1893" s="125" t="s">
        <v>121</v>
      </c>
      <c r="AB1893" s="173">
        <v>45397</v>
      </c>
      <c r="AC1893" s="119">
        <v>2024352</v>
      </c>
      <c r="AD1893" s="36">
        <f t="shared" si="215"/>
        <v>36541702</v>
      </c>
      <c r="AE1893" s="36" t="str">
        <f t="shared" si="216"/>
        <v>RKDK.N316-EA-M3-0042</v>
      </c>
      <c r="AF1893" s="36">
        <v>689</v>
      </c>
      <c r="AG1893" s="120">
        <f t="shared" si="214"/>
        <v>1061.06</v>
      </c>
      <c r="AH1893" s="36">
        <v>34</v>
      </c>
      <c r="AI1893" s="124"/>
      <c r="AJ1893" s="122" t="s">
        <v>1314</v>
      </c>
      <c r="AK1893" s="129" t="str">
        <f t="shared" ca="1" si="213"/>
        <v>Late</v>
      </c>
      <c r="AL1893" s="268" t="str">
        <f t="shared" si="212"/>
        <v>April</v>
      </c>
      <c r="AM1893" s="133">
        <f>YEAR(Table1[[#This Row],[ETA
As requested
dd.mm.yyyy]])</f>
        <v>2024</v>
      </c>
    </row>
    <row r="1894" spans="1:39" hidden="1">
      <c r="A1894" s="123" t="s">
        <v>83</v>
      </c>
      <c r="B1894" s="36" t="s">
        <v>1170</v>
      </c>
      <c r="C1894" s="117">
        <v>36895741</v>
      </c>
      <c r="D1894" s="165">
        <v>45439</v>
      </c>
      <c r="E1894" s="117" t="s">
        <v>753</v>
      </c>
      <c r="F1894" s="36" t="str">
        <f>IFERROR(VLOOKUP(Table1[[#This Row],[Part Number]],DATABASE_FG!$C$6:D11883,2,FALSE)," ")</f>
        <v xml:space="preserve">300697848-0000 </v>
      </c>
      <c r="G1894" s="117" t="str">
        <f>IFERROR(_xlfn.XLOOKUP(Table1[[#This Row],[Part Number]],Table3[Part number],Table3[Drawing
 Revision]),"")</f>
        <v>AA</v>
      </c>
      <c r="H1894" s="118" cm="1">
        <f t="array" ref="H1894">IFERROR(INDEX(PDB!$C:$AT,MATCH(E1894,PDB!$B:$B,0),MATCH(YEAR(K1894),0+PDB!$C$1:$AT$1,0)),"")</f>
        <v>1.54</v>
      </c>
      <c r="I1894" s="36">
        <v>842</v>
      </c>
      <c r="J1894" s="125">
        <f>IFERROR(Table1[[#This Row],[Quantity]]*Table1[[#This Row],[Price/Unit
EUR]]," ")</f>
        <v>1296.68</v>
      </c>
      <c r="K1894" s="126">
        <v>45457</v>
      </c>
      <c r="L1894" s="36">
        <f>WEEKNUM(Table1[[#This Row],[ETA
As requested
dd.mm.yyyy]])</f>
        <v>24</v>
      </c>
      <c r="M1894" s="36">
        <f>YEAR(Table1[[#This Row],[ETA
As requested
dd.mm.yyyy]])</f>
        <v>2024</v>
      </c>
      <c r="N1894" s="36">
        <f>IFERROR(INDEX(DATABASE_FG!$H$5:$H$367, MATCH(E1894, DATABASE_FG!$C$5:$C$367, 0)), " ")</f>
        <v>0</v>
      </c>
      <c r="O1894" s="129" t="str">
        <f>IF(E1894&lt;&gt;"", _xlfn.XLOOKUP(E1894, DATABASE_FG!C:C, DATABASE_FG!F:F), " ")</f>
        <v>Alama</v>
      </c>
      <c r="P1894" s="129">
        <f>IFERROR(INDEX(DATABASE_FG!$G$5:$G$367, MATCH(E1894, DATABASE_FG!$C$5:$C$367, 0)), "Not Found")</f>
        <v>0</v>
      </c>
      <c r="Q1894" s="36"/>
      <c r="R1894" s="125" t="s">
        <v>678</v>
      </c>
      <c r="S1894" s="123">
        <f>IFERROR(INDEX(DATABASE_FG!$L$5:$L$367, MATCH(E1894, DATABASE_FG!$C$5:$C$367, 0)), " ")</f>
        <v>42</v>
      </c>
      <c r="T1894" s="36" t="s">
        <v>679</v>
      </c>
      <c r="U1894" s="36"/>
      <c r="V1894" s="36"/>
      <c r="W1894" s="129"/>
      <c r="X1894" s="36"/>
      <c r="Y1894" s="36"/>
      <c r="Z1894" s="36" t="s">
        <v>1688</v>
      </c>
      <c r="AA1894" s="125" t="s">
        <v>121</v>
      </c>
      <c r="AB1894" s="173">
        <v>45461</v>
      </c>
      <c r="AC1894" s="119">
        <v>2024680</v>
      </c>
      <c r="AD1894" s="36">
        <f t="shared" si="215"/>
        <v>36895741</v>
      </c>
      <c r="AE1894" s="36" t="str">
        <f t="shared" si="216"/>
        <v>RKDK.N316-EA-M3-0042</v>
      </c>
      <c r="AF1894" s="36">
        <v>400</v>
      </c>
      <c r="AG1894" s="120">
        <f t="shared" si="214"/>
        <v>616</v>
      </c>
      <c r="AH1894" s="36"/>
      <c r="AI1894" s="124"/>
      <c r="AJ1894" s="122" t="s">
        <v>1689</v>
      </c>
      <c r="AK1894" s="129" t="str">
        <f t="shared" ca="1" si="213"/>
        <v>Late</v>
      </c>
      <c r="AL1894" s="268" t="str">
        <f t="shared" si="212"/>
        <v>June</v>
      </c>
      <c r="AM1894" s="133">
        <f>YEAR(Table1[[#This Row],[ETA
As requested
dd.mm.yyyy]])</f>
        <v>2024</v>
      </c>
    </row>
    <row r="1895" spans="1:39" hidden="1">
      <c r="A1895" s="123" t="s">
        <v>83</v>
      </c>
      <c r="B1895" s="36" t="s">
        <v>1170</v>
      </c>
      <c r="C1895" s="117">
        <v>36895741</v>
      </c>
      <c r="D1895" s="165">
        <v>45439</v>
      </c>
      <c r="E1895" s="117" t="s">
        <v>753</v>
      </c>
      <c r="F1895" s="36" t="str">
        <f>IFERROR(VLOOKUP(Table1[[#This Row],[Part Number]],DATABASE_FG!$C$6:D11884,2,FALSE)," ")</f>
        <v xml:space="preserve">300697848-0000 </v>
      </c>
      <c r="G1895" s="117" t="str">
        <f>IFERROR(_xlfn.XLOOKUP(Table1[[#This Row],[Part Number]],Table3[Part number],Table3[Drawing
 Revision]),"")</f>
        <v>AA</v>
      </c>
      <c r="H1895" s="118" cm="1">
        <f t="array" ref="H1895">IFERROR(INDEX(PDB!$C:$AT,MATCH(E1895,PDB!$B:$B,0),MATCH(YEAR(K1895),0+PDB!$C$1:$AT$1,0)),"")</f>
        <v>1.54</v>
      </c>
      <c r="I1895" s="36"/>
      <c r="J1895" s="125">
        <f>IFERROR(Table1[[#This Row],[Quantity]]*Table1[[#This Row],[Price/Unit
EUR]]," ")</f>
        <v>0</v>
      </c>
      <c r="K1895" s="126">
        <v>45457</v>
      </c>
      <c r="L1895" s="36">
        <f>WEEKNUM(Table1[[#This Row],[ETA
As requested
dd.mm.yyyy]])</f>
        <v>24</v>
      </c>
      <c r="M1895" s="36">
        <f>YEAR(Table1[[#This Row],[ETA
As requested
dd.mm.yyyy]])</f>
        <v>2024</v>
      </c>
      <c r="N1895" s="36">
        <f>IFERROR(INDEX(DATABASE_FG!$H$5:$H$367, MATCH(E1895, DATABASE_FG!$C$5:$C$367, 0)), " ")</f>
        <v>0</v>
      </c>
      <c r="O1895" s="129" t="str">
        <f>IF(E1895&lt;&gt;"", _xlfn.XLOOKUP(E1895, DATABASE_FG!C:C, DATABASE_FG!F:F), " ")</f>
        <v>Alama</v>
      </c>
      <c r="P1895" s="129">
        <f>IFERROR(INDEX(DATABASE_FG!$G$5:$G$367, MATCH(E1895, DATABASE_FG!$C$5:$C$367, 0)), "Not Found")</f>
        <v>0</v>
      </c>
      <c r="Q1895" s="36"/>
      <c r="R1895" s="125"/>
      <c r="S1895" s="123">
        <f>Table1[[#This Row],[Quantity]]/48</f>
        <v>0</v>
      </c>
      <c r="T1895" s="36"/>
      <c r="U1895" s="36"/>
      <c r="V1895" s="36"/>
      <c r="W1895" s="129"/>
      <c r="X1895" s="36"/>
      <c r="Y1895" s="36"/>
      <c r="Z1895" s="36"/>
      <c r="AA1895" s="125" t="s">
        <v>121</v>
      </c>
      <c r="AB1895" s="173">
        <v>45462</v>
      </c>
      <c r="AC1895" s="119">
        <v>2024689</v>
      </c>
      <c r="AD1895" s="36">
        <f t="shared" si="215"/>
        <v>36895741</v>
      </c>
      <c r="AE1895" s="36" t="str">
        <f t="shared" si="216"/>
        <v>RKDK.N316-EA-M3-0042</v>
      </c>
      <c r="AF1895" s="36">
        <v>297</v>
      </c>
      <c r="AG1895" s="120">
        <f t="shared" si="214"/>
        <v>457.38</v>
      </c>
      <c r="AH1895" s="36"/>
      <c r="AI1895" s="124"/>
      <c r="AJ1895" s="122" t="s">
        <v>1690</v>
      </c>
      <c r="AK1895" s="129" t="str">
        <f t="shared" ca="1" si="213"/>
        <v>Late</v>
      </c>
      <c r="AL1895" s="268" t="str">
        <f t="shared" si="212"/>
        <v>June</v>
      </c>
      <c r="AM1895" s="133">
        <f>YEAR(Table1[[#This Row],[ETA
As requested
dd.mm.yyyy]])</f>
        <v>2024</v>
      </c>
    </row>
    <row r="1896" spans="1:39" hidden="1">
      <c r="A1896" s="123" t="s">
        <v>83</v>
      </c>
      <c r="B1896" s="36" t="s">
        <v>1170</v>
      </c>
      <c r="C1896" s="117">
        <v>36895741</v>
      </c>
      <c r="D1896" s="165">
        <v>45439</v>
      </c>
      <c r="E1896" s="117" t="s">
        <v>753</v>
      </c>
      <c r="F1896" s="36" t="str">
        <f>IFERROR(VLOOKUP(Table1[[#This Row],[Part Number]],DATABASE_FG!$C$6:D11885,2,FALSE)," ")</f>
        <v xml:space="preserve">300697848-0000 </v>
      </c>
      <c r="G1896" s="117" t="str">
        <f>IFERROR(_xlfn.XLOOKUP(Table1[[#This Row],[Part Number]],Table3[Part number],Table3[Drawing
 Revision]),"")</f>
        <v>AA</v>
      </c>
      <c r="H1896" s="118" cm="1">
        <f t="array" ref="H1896">IFERROR(INDEX(PDB!$C:$AT,MATCH(E1896,PDB!$B:$B,0),MATCH(YEAR(K1896),0+PDB!$C$1:$AT$1,0)),"")</f>
        <v>1.54</v>
      </c>
      <c r="I1896" s="36"/>
      <c r="J1896" s="125">
        <f>IFERROR(Table1[[#This Row],[Quantity]]*Table1[[#This Row],[Price/Unit
EUR]]," ")</f>
        <v>0</v>
      </c>
      <c r="K1896" s="126">
        <v>45457</v>
      </c>
      <c r="L1896" s="36">
        <f>WEEKNUM(Table1[[#This Row],[ETA
As requested
dd.mm.yyyy]])</f>
        <v>24</v>
      </c>
      <c r="M1896" s="36">
        <f>YEAR(Table1[[#This Row],[ETA
As requested
dd.mm.yyyy]])</f>
        <v>2024</v>
      </c>
      <c r="N1896" s="36">
        <f>IFERROR(INDEX(DATABASE_FG!$H$5:$H$367, MATCH(E1896, DATABASE_FG!$C$5:$C$367, 0)), " ")</f>
        <v>0</v>
      </c>
      <c r="O1896" s="129" t="str">
        <f>IF(E1896&lt;&gt;"", _xlfn.XLOOKUP(E1896, DATABASE_FG!C:C, DATABASE_FG!F:F), " ")</f>
        <v>Alama</v>
      </c>
      <c r="P1896" s="129">
        <f>IFERROR(INDEX(DATABASE_FG!$G$5:$G$367, MATCH(E1896, DATABASE_FG!$C$5:$C$367, 0)), "Not Found")</f>
        <v>0</v>
      </c>
      <c r="Q1896" s="36"/>
      <c r="R1896" s="125"/>
      <c r="S1896" s="123">
        <f>Table1[[#This Row],[Quantity]]/48</f>
        <v>0</v>
      </c>
      <c r="T1896" s="36"/>
      <c r="U1896" s="36"/>
      <c r="V1896" s="36"/>
      <c r="W1896" s="129"/>
      <c r="X1896" s="36"/>
      <c r="Y1896" s="36"/>
      <c r="Z1896" s="36"/>
      <c r="AA1896" s="125" t="s">
        <v>121</v>
      </c>
      <c r="AB1896" s="173">
        <v>45464</v>
      </c>
      <c r="AC1896" s="119">
        <v>2024710</v>
      </c>
      <c r="AD1896" s="36">
        <f t="shared" si="215"/>
        <v>36895741</v>
      </c>
      <c r="AE1896" s="36" t="str">
        <f t="shared" si="216"/>
        <v>RKDK.N316-EA-M3-0042</v>
      </c>
      <c r="AF1896" s="36">
        <v>132</v>
      </c>
      <c r="AG1896" s="120">
        <f t="shared" si="214"/>
        <v>203.28</v>
      </c>
      <c r="AH1896" s="36">
        <v>13</v>
      </c>
      <c r="AI1896" s="124"/>
      <c r="AJ1896" s="122" t="s">
        <v>1691</v>
      </c>
      <c r="AK1896" s="129" t="str">
        <f t="shared" ca="1" si="213"/>
        <v>Late</v>
      </c>
      <c r="AL1896" s="268" t="str">
        <f t="shared" si="212"/>
        <v>June</v>
      </c>
      <c r="AM1896" s="133">
        <f>YEAR(Table1[[#This Row],[ETA
As requested
dd.mm.yyyy]])</f>
        <v>2024</v>
      </c>
    </row>
    <row r="1897" spans="1:39" hidden="1">
      <c r="A1897" s="123" t="s">
        <v>83</v>
      </c>
      <c r="B1897" s="36" t="s">
        <v>1170</v>
      </c>
      <c r="C1897" s="117">
        <v>37405219</v>
      </c>
      <c r="D1897" s="165">
        <v>45509</v>
      </c>
      <c r="E1897" s="117" t="s">
        <v>753</v>
      </c>
      <c r="F1897" s="36" t="str">
        <f>IFERROR(VLOOKUP(Table1[[#This Row],[Part Number]],DATABASE_FG!$C$6:D11886,2,FALSE)," ")</f>
        <v xml:space="preserve">300697848-0000 </v>
      </c>
      <c r="G1897" s="117" t="str">
        <f>IFERROR(_xlfn.XLOOKUP(Table1[[#This Row],[Part Number]],Table3[Part number],Table3[Drawing
 Revision]),"")</f>
        <v>AA</v>
      </c>
      <c r="H1897" s="118" cm="1">
        <f t="array" ref="H1897">IFERROR(INDEX(PDB!$C:$AT,MATCH(E1897,PDB!$B:$B,0),MATCH(YEAR(K1897),0+PDB!$C$1:$AT$1,0)),"")</f>
        <v>1.54</v>
      </c>
      <c r="I1897" s="36">
        <v>1500</v>
      </c>
      <c r="J1897" s="125">
        <f>IFERROR(Table1[[#This Row],[Quantity]]*Table1[[#This Row],[Price/Unit
EUR]]," ")</f>
        <v>2310</v>
      </c>
      <c r="K1897" s="126">
        <v>45537</v>
      </c>
      <c r="L1897" s="36">
        <f>WEEKNUM(Table1[[#This Row],[ETA
As requested
dd.mm.yyyy]])</f>
        <v>36</v>
      </c>
      <c r="M1897" s="36">
        <f>YEAR(Table1[[#This Row],[ETA
As requested
dd.mm.yyyy]])</f>
        <v>2024</v>
      </c>
      <c r="N1897" s="36">
        <f>IFERROR(INDEX(DATABASE_FG!$H$5:$H$367, MATCH(E1897, DATABASE_FG!$C$5:$C$367, 0)), " ")</f>
        <v>0</v>
      </c>
      <c r="O1897" s="129" t="str">
        <f>IF(E1897&lt;&gt;"", _xlfn.XLOOKUP(E1897, DATABASE_FG!C:C, DATABASE_FG!F:F), " ")</f>
        <v>Alama</v>
      </c>
      <c r="P1897" s="129">
        <f>IFERROR(INDEX(DATABASE_FG!$G$5:$G$367, MATCH(E1897, DATABASE_FG!$C$5:$C$367, 0)), "Not Found")</f>
        <v>0</v>
      </c>
      <c r="Q1897" s="36"/>
      <c r="R1897" s="125" t="s">
        <v>678</v>
      </c>
      <c r="S1897" s="123">
        <f>IFERROR(INDEX(DATABASE_FG!$L$5:$L$367, MATCH(E1897, DATABASE_FG!$C$5:$C$367, 0)), " ")</f>
        <v>42</v>
      </c>
      <c r="T1897" s="36" t="s">
        <v>679</v>
      </c>
      <c r="U1897" s="36"/>
      <c r="V1897" s="36"/>
      <c r="W1897" s="129"/>
      <c r="X1897" s="36"/>
      <c r="Y1897" s="36"/>
      <c r="Z1897" s="36"/>
      <c r="AA1897" s="125" t="s">
        <v>121</v>
      </c>
      <c r="AB1897" s="173">
        <v>45537</v>
      </c>
      <c r="AC1897" s="119">
        <v>202401083</v>
      </c>
      <c r="AD1897" s="36">
        <f t="shared" si="215"/>
        <v>37405219</v>
      </c>
      <c r="AE1897" s="36" t="str">
        <f t="shared" si="216"/>
        <v>RKDK.N316-EA-M3-0042</v>
      </c>
      <c r="AF1897" s="36">
        <v>1499</v>
      </c>
      <c r="AG1897" s="120">
        <f t="shared" si="214"/>
        <v>2308.46</v>
      </c>
      <c r="AH1897" s="36">
        <v>1</v>
      </c>
      <c r="AI1897" s="124"/>
      <c r="AJ1897" s="122" t="s">
        <v>2311</v>
      </c>
      <c r="AK1897" s="129" t="str">
        <f t="shared" ca="1" si="213"/>
        <v>On Time</v>
      </c>
      <c r="AL1897" s="268" t="str">
        <f t="shared" si="212"/>
        <v>September</v>
      </c>
      <c r="AM1897" s="133">
        <f>YEAR(Table1[[#This Row],[ETA
As requested
dd.mm.yyyy]])</f>
        <v>2024</v>
      </c>
    </row>
    <row r="1898" spans="1:39" hidden="1">
      <c r="A1898" s="123" t="s">
        <v>83</v>
      </c>
      <c r="B1898" s="36" t="s">
        <v>1170</v>
      </c>
      <c r="C1898" s="117">
        <v>36771296</v>
      </c>
      <c r="D1898" s="165">
        <v>45425</v>
      </c>
      <c r="E1898" s="117" t="s">
        <v>161</v>
      </c>
      <c r="F1898" s="36" t="str">
        <f>IFERROR(VLOOKUP(Table1[[#This Row],[Part Number]],DATABASE_FG!$C$6:D11887,2,FALSE)," ")</f>
        <v xml:space="preserve">300783892-0000 </v>
      </c>
      <c r="G1898" s="117" t="str">
        <f>IFERROR(_xlfn.XLOOKUP(Table1[[#This Row],[Part Number]],Table3[Part number],Table3[Drawing
 Revision]),"")</f>
        <v>AA</v>
      </c>
      <c r="H1898" s="118" cm="1">
        <f t="array" ref="H1898">IFERROR(INDEX(PDB!$C:$AT,MATCH(E1898,PDB!$B:$B,0),MATCH(YEAR(K1898),0+PDB!$C$1:$AT$1,0)),"")</f>
        <v>150</v>
      </c>
      <c r="I1898" s="36">
        <v>1064</v>
      </c>
      <c r="J1898" s="125">
        <f>IFERROR(Table1[[#This Row],[Quantity]]*Table1[[#This Row],[Price/Unit
EUR]]," ")</f>
        <v>159600</v>
      </c>
      <c r="K1898" s="126">
        <v>45439</v>
      </c>
      <c r="L1898" s="36">
        <f>WEEKNUM(Table1[[#This Row],[ETA
As requested
dd.mm.yyyy]])</f>
        <v>22</v>
      </c>
      <c r="M1898" s="36">
        <f>YEAR(Table1[[#This Row],[ETA
As requested
dd.mm.yyyy]])</f>
        <v>2024</v>
      </c>
      <c r="N1898" s="36">
        <f>IFERROR(INDEX(DATABASE_FG!$H$5:$H$367, MATCH(E1898, DATABASE_FG!$C$5:$C$367, 0)), " ")</f>
        <v>0</v>
      </c>
      <c r="O1898" s="129" t="str">
        <f>IF(E1898&lt;&gt;"", _xlfn.XLOOKUP(E1898, DATABASE_FG!C:C, DATABASE_FG!F:F), " ")</f>
        <v>Alama</v>
      </c>
      <c r="P1898" s="129">
        <f>IFERROR(INDEX(DATABASE_FG!$G$5:$G$367, MATCH(E1898, DATABASE_FG!$C$5:$C$367, 0)), "Not Found")</f>
        <v>500</v>
      </c>
      <c r="Q1898" s="36"/>
      <c r="R1898" s="125" t="s">
        <v>678</v>
      </c>
      <c r="S1898" s="123">
        <f>IFERROR(INDEX(DATABASE_FG!$L$5:$L$367, MATCH(E1898, DATABASE_FG!$C$5:$C$367, 0)), " ")</f>
        <v>42</v>
      </c>
      <c r="T1898" s="36" t="s">
        <v>679</v>
      </c>
      <c r="U1898" s="36"/>
      <c r="V1898" s="36"/>
      <c r="W1898" s="129"/>
      <c r="X1898" s="36"/>
      <c r="Y1898" s="36"/>
      <c r="Z1898" s="36" t="s">
        <v>1563</v>
      </c>
      <c r="AA1898" s="125" t="s">
        <v>121</v>
      </c>
      <c r="AB1898" s="173">
        <v>45436</v>
      </c>
      <c r="AC1898" s="119">
        <v>2024537</v>
      </c>
      <c r="AD1898" s="36">
        <f t="shared" si="215"/>
        <v>36771296</v>
      </c>
      <c r="AE1898" s="36" t="str">
        <f t="shared" si="216"/>
        <v>RKDK.N317-EA-M3-0042</v>
      </c>
      <c r="AF1898" s="36">
        <v>430</v>
      </c>
      <c r="AG1898" s="120">
        <f t="shared" si="214"/>
        <v>64500</v>
      </c>
      <c r="AH1898" s="36"/>
      <c r="AI1898" s="124"/>
      <c r="AJ1898" s="122" t="s">
        <v>1564</v>
      </c>
      <c r="AK1898" s="129" t="str">
        <f t="shared" ca="1" si="213"/>
        <v>On Time</v>
      </c>
      <c r="AL1898" s="268" t="str">
        <f t="shared" si="212"/>
        <v>May</v>
      </c>
      <c r="AM1898" s="133">
        <f>YEAR(Table1[[#This Row],[ETA
As requested
dd.mm.yyyy]])</f>
        <v>2024</v>
      </c>
    </row>
    <row r="1899" spans="1:39" hidden="1">
      <c r="A1899" s="123" t="s">
        <v>83</v>
      </c>
      <c r="B1899" s="36" t="s">
        <v>1170</v>
      </c>
      <c r="C1899" s="117">
        <v>36771296</v>
      </c>
      <c r="D1899" s="165">
        <v>45425</v>
      </c>
      <c r="E1899" s="117" t="s">
        <v>161</v>
      </c>
      <c r="F1899" s="36" t="str">
        <f>IFERROR(VLOOKUP(Table1[[#This Row],[Part Number]],DATABASE_FG!$C$6:D11888,2,FALSE)," ")</f>
        <v xml:space="preserve">300783892-0000 </v>
      </c>
      <c r="G1899" s="117" t="str">
        <f>IFERROR(_xlfn.XLOOKUP(Table1[[#This Row],[Part Number]],Table3[Part number],Table3[Drawing
 Revision]),"")</f>
        <v>AA</v>
      </c>
      <c r="H1899" s="118" cm="1">
        <f t="array" ref="H1899">IFERROR(INDEX(PDB!$C:$AT,MATCH(E1899,PDB!$B:$B,0),MATCH(YEAR(K1899),0+PDB!$C$1:$AT$1,0)),"")</f>
        <v>150</v>
      </c>
      <c r="I1899" s="36"/>
      <c r="J1899" s="125">
        <f>IFERROR(Table1[[#This Row],[Quantity]]*Table1[[#This Row],[Price/Unit
EUR]]," ")</f>
        <v>0</v>
      </c>
      <c r="K1899" s="126">
        <v>45439</v>
      </c>
      <c r="L1899" s="36">
        <f>WEEKNUM(Table1[[#This Row],[ETA
As requested
dd.mm.yyyy]])</f>
        <v>22</v>
      </c>
      <c r="M1899" s="36">
        <f>YEAR(Table1[[#This Row],[ETA
As requested
dd.mm.yyyy]])</f>
        <v>2024</v>
      </c>
      <c r="N1899" s="36">
        <f>IFERROR(INDEX(DATABASE_FG!$H$5:$H$367, MATCH(E1899, DATABASE_FG!$C$5:$C$367, 0)), " ")</f>
        <v>0</v>
      </c>
      <c r="O1899" s="129" t="str">
        <f>IF(E1899&lt;&gt;"", _xlfn.XLOOKUP(E1899, DATABASE_FG!C:C, DATABASE_FG!F:F), " ")</f>
        <v>Alama</v>
      </c>
      <c r="P1899" s="129">
        <f>IFERROR(INDEX(DATABASE_FG!$G$5:$G$367, MATCH(E1899, DATABASE_FG!$C$5:$C$367, 0)), "Not Found")</f>
        <v>500</v>
      </c>
      <c r="Q1899" s="36"/>
      <c r="R1899" s="125"/>
      <c r="S1899" s="123">
        <f>IFERROR(INDEX(DATABASE_FG!$L$5:$L$367, MATCH(E1899, DATABASE_FG!$C$5:$C$367, 0)), " ")</f>
        <v>42</v>
      </c>
      <c r="T1899" s="36"/>
      <c r="U1899" s="36"/>
      <c r="V1899" s="36"/>
      <c r="W1899" s="129"/>
      <c r="X1899" s="36"/>
      <c r="Y1899" s="36"/>
      <c r="Z1899" s="36"/>
      <c r="AA1899" s="125" t="s">
        <v>121</v>
      </c>
      <c r="AB1899" s="173">
        <v>45439</v>
      </c>
      <c r="AC1899" s="119">
        <v>2024542</v>
      </c>
      <c r="AD1899" s="36">
        <f t="shared" si="215"/>
        <v>36771296</v>
      </c>
      <c r="AE1899" s="36" t="str">
        <f t="shared" si="216"/>
        <v>RKDK.N317-EA-M3-0042</v>
      </c>
      <c r="AF1899" s="36">
        <v>628</v>
      </c>
      <c r="AG1899" s="120">
        <f t="shared" si="214"/>
        <v>94200</v>
      </c>
      <c r="AH1899" s="36" t="s">
        <v>1565</v>
      </c>
      <c r="AI1899" s="124"/>
      <c r="AJ1899" s="122" t="s">
        <v>1566</v>
      </c>
      <c r="AK1899" s="129" t="str">
        <f t="shared" ca="1" si="213"/>
        <v>On Time</v>
      </c>
      <c r="AL1899" s="268" t="str">
        <f t="shared" si="212"/>
        <v>May</v>
      </c>
      <c r="AM1899" s="133">
        <f>YEAR(Table1[[#This Row],[ETA
As requested
dd.mm.yyyy]])</f>
        <v>2024</v>
      </c>
    </row>
    <row r="1900" spans="1:39" hidden="1">
      <c r="A1900" s="123" t="s">
        <v>83</v>
      </c>
      <c r="B1900" s="36" t="s">
        <v>1170</v>
      </c>
      <c r="C1900" s="117">
        <v>37243888</v>
      </c>
      <c r="D1900" s="165">
        <v>45485</v>
      </c>
      <c r="E1900" s="117" t="s">
        <v>161</v>
      </c>
      <c r="F1900" s="36" t="str">
        <f>IFERROR(VLOOKUP(Table1[[#This Row],[Part Number]],DATABASE_FG!$C$6:D11889,2,FALSE)," ")</f>
        <v xml:space="preserve">300783892-0000 </v>
      </c>
      <c r="G1900" s="117" t="str">
        <f>IFERROR(_xlfn.XLOOKUP(Table1[[#This Row],[Part Number]],Table3[Part number],Table3[Drawing
 Revision]),"")</f>
        <v>AA</v>
      </c>
      <c r="H1900" s="118" cm="1">
        <f t="array" ref="H1900">IFERROR(INDEX(PDB!$C:$AT,MATCH(E1900,PDB!$B:$B,0),MATCH(YEAR(K1900),0+PDB!$C$1:$AT$1,0)),"")</f>
        <v>150</v>
      </c>
      <c r="I1900" s="36">
        <v>1081</v>
      </c>
      <c r="J1900" s="125">
        <f>IFERROR(Table1[[#This Row],[Quantity]]*Table1[[#This Row],[Price/Unit
EUR]]," ")</f>
        <v>162150</v>
      </c>
      <c r="K1900" s="126">
        <v>45499</v>
      </c>
      <c r="L1900" s="36">
        <f>WEEKNUM(Table1[[#This Row],[ETA
As requested
dd.mm.yyyy]])</f>
        <v>30</v>
      </c>
      <c r="M1900" s="36">
        <f>YEAR(Table1[[#This Row],[ETA
As requested
dd.mm.yyyy]])</f>
        <v>2024</v>
      </c>
      <c r="N1900" s="36">
        <f>IFERROR(INDEX(DATABASE_FG!$H$5:$H$367, MATCH(E1900, DATABASE_FG!$C$5:$C$367, 0)), " ")</f>
        <v>0</v>
      </c>
      <c r="O1900" s="129" t="str">
        <f>IF(E1900&lt;&gt;"", _xlfn.XLOOKUP(E1900, DATABASE_FG!C:C, DATABASE_FG!F:F), " ")</f>
        <v>Alama</v>
      </c>
      <c r="P1900" s="129">
        <f>IFERROR(INDEX(DATABASE_FG!$G$5:$G$367, MATCH(E1900, DATABASE_FG!$C$5:$C$367, 0)), "Not Found")</f>
        <v>500</v>
      </c>
      <c r="Q1900" s="36"/>
      <c r="R1900" s="125" t="s">
        <v>678</v>
      </c>
      <c r="S1900" s="123">
        <f>IFERROR(INDEX(DATABASE_FG!$L$5:$L$367, MATCH(E1900, DATABASE_FG!$C$5:$C$367, 0)), " ")</f>
        <v>42</v>
      </c>
      <c r="T1900" s="36" t="s">
        <v>679</v>
      </c>
      <c r="U1900" s="36"/>
      <c r="V1900" s="36"/>
      <c r="W1900" s="129"/>
      <c r="X1900" s="36"/>
      <c r="Y1900" s="36"/>
      <c r="Z1900" s="36">
        <v>242811</v>
      </c>
      <c r="AA1900" s="125" t="s">
        <v>121</v>
      </c>
      <c r="AB1900" s="173">
        <v>45498</v>
      </c>
      <c r="AC1900" s="119">
        <v>2024915</v>
      </c>
      <c r="AD1900" s="36">
        <f t="shared" si="215"/>
        <v>37243888</v>
      </c>
      <c r="AE1900" s="36" t="str">
        <f t="shared" si="216"/>
        <v>RKDK.N317-EA-M3-0042</v>
      </c>
      <c r="AF1900" s="36">
        <v>556</v>
      </c>
      <c r="AG1900" s="120">
        <f t="shared" si="214"/>
        <v>83400</v>
      </c>
      <c r="AH1900" s="36"/>
      <c r="AI1900" s="124"/>
      <c r="AJ1900" s="122" t="s">
        <v>1869</v>
      </c>
      <c r="AK1900" s="129" t="str">
        <f t="shared" ca="1" si="213"/>
        <v>On Time</v>
      </c>
      <c r="AL1900" s="268" t="str">
        <f t="shared" si="212"/>
        <v>July</v>
      </c>
      <c r="AM1900" s="133">
        <f>YEAR(Table1[[#This Row],[ETA
As requested
dd.mm.yyyy]])</f>
        <v>2024</v>
      </c>
    </row>
    <row r="1901" spans="1:39" hidden="1">
      <c r="A1901" s="123" t="s">
        <v>83</v>
      </c>
      <c r="B1901" s="36" t="s">
        <v>1170</v>
      </c>
      <c r="C1901" s="117">
        <v>37243888</v>
      </c>
      <c r="D1901" s="165">
        <v>45485</v>
      </c>
      <c r="E1901" s="117" t="s">
        <v>161</v>
      </c>
      <c r="F1901" s="36" t="str">
        <f>IFERROR(VLOOKUP(Table1[[#This Row],[Part Number]],DATABASE_FG!$C$6:D11890,2,FALSE)," ")</f>
        <v xml:space="preserve">300783892-0000 </v>
      </c>
      <c r="G1901" s="117" t="str">
        <f>IFERROR(_xlfn.XLOOKUP(Table1[[#This Row],[Part Number]],Table3[Part number],Table3[Drawing
 Revision]),"")</f>
        <v>AA</v>
      </c>
      <c r="H1901" s="118" cm="1">
        <f t="array" ref="H1901">IFERROR(INDEX(PDB!$C:$AT,MATCH(E1901,PDB!$B:$B,0),MATCH(YEAR(K1901),0+PDB!$C$1:$AT$1,0)),"")</f>
        <v>150</v>
      </c>
      <c r="I1901" s="36"/>
      <c r="J1901" s="125">
        <f>IFERROR(Table1[[#This Row],[Quantity]]*Table1[[#This Row],[Price/Unit
EUR]]," ")</f>
        <v>0</v>
      </c>
      <c r="K1901" s="126">
        <v>45499</v>
      </c>
      <c r="L1901" s="36">
        <f>WEEKNUM(Table1[[#This Row],[ETA
As requested
dd.mm.yyyy]])</f>
        <v>30</v>
      </c>
      <c r="M1901" s="36">
        <f>YEAR(Table1[[#This Row],[ETA
As requested
dd.mm.yyyy]])</f>
        <v>2024</v>
      </c>
      <c r="N1901" s="36">
        <f>IFERROR(INDEX(DATABASE_FG!$H$5:$H$367, MATCH(E1901, DATABASE_FG!$C$5:$C$367, 0)), " ")</f>
        <v>0</v>
      </c>
      <c r="O1901" s="129" t="str">
        <f>IF(E1901&lt;&gt;"", _xlfn.XLOOKUP(E1901, DATABASE_FG!C:C, DATABASE_FG!F:F), " ")</f>
        <v>Alama</v>
      </c>
      <c r="P1901" s="129">
        <f>IFERROR(INDEX(DATABASE_FG!$G$5:$G$367, MATCH(E1901, DATABASE_FG!$C$5:$C$367, 0)), "Not Found")</f>
        <v>500</v>
      </c>
      <c r="Q1901" s="36"/>
      <c r="R1901" s="125" t="s">
        <v>678</v>
      </c>
      <c r="S1901" s="123">
        <f>Table1[[#This Row],[Quantity]]/48</f>
        <v>0</v>
      </c>
      <c r="T1901" s="36"/>
      <c r="U1901" s="36"/>
      <c r="V1901" s="36"/>
      <c r="W1901" s="129"/>
      <c r="X1901" s="36"/>
      <c r="Y1901" s="36"/>
      <c r="Z1901" s="36"/>
      <c r="AA1901" s="125" t="s">
        <v>121</v>
      </c>
      <c r="AB1901" s="173">
        <v>45499</v>
      </c>
      <c r="AC1901" s="119">
        <v>2024933</v>
      </c>
      <c r="AD1901" s="36">
        <f t="shared" si="215"/>
        <v>37243888</v>
      </c>
      <c r="AE1901" s="36" t="str">
        <f t="shared" si="216"/>
        <v>RKDK.N317-EA-M3-0042</v>
      </c>
      <c r="AF1901" s="36">
        <v>525</v>
      </c>
      <c r="AG1901" s="120">
        <f t="shared" si="214"/>
        <v>78750</v>
      </c>
      <c r="AH1901" s="36"/>
      <c r="AI1901" s="124"/>
      <c r="AJ1901" s="122" t="s">
        <v>1870</v>
      </c>
      <c r="AK1901" s="129" t="str">
        <f t="shared" ca="1" si="213"/>
        <v>On Time</v>
      </c>
      <c r="AL1901" s="268" t="str">
        <f t="shared" si="212"/>
        <v>July</v>
      </c>
      <c r="AM1901" s="133">
        <f>YEAR(Table1[[#This Row],[ETA
As requested
dd.mm.yyyy]])</f>
        <v>2024</v>
      </c>
    </row>
    <row r="1902" spans="1:39" hidden="1">
      <c r="A1902" s="123" t="s">
        <v>83</v>
      </c>
      <c r="B1902" s="36" t="s">
        <v>1170</v>
      </c>
      <c r="C1902" s="117">
        <v>36509090</v>
      </c>
      <c r="D1902" s="165">
        <v>45378</v>
      </c>
      <c r="E1902" s="117" t="s">
        <v>98</v>
      </c>
      <c r="F1902" s="36" t="str">
        <f>IFERROR(VLOOKUP(Table1[[#This Row],[Part Number]],DATABASE_FG!$C$6:D11891,2,FALSE)," ")</f>
        <v xml:space="preserve">094132526-8011 </v>
      </c>
      <c r="G1902" s="117" t="str">
        <f>IFERROR(_xlfn.XLOOKUP(Table1[[#This Row],[Part Number]],Table3[Part number],Table3[Drawing
 Revision]),"")</f>
        <v>AA</v>
      </c>
      <c r="H1902" s="118" cm="1">
        <f t="array" ref="H1902">IFERROR(INDEX(PDB!$C:$AT,MATCH(E1902,PDB!$B:$B,0),MATCH(YEAR(K1902),0+PDB!$C$1:$AT$1,0)),"")</f>
        <v>5.65</v>
      </c>
      <c r="I1902" s="36">
        <v>100</v>
      </c>
      <c r="J1902" s="125">
        <f>IFERROR(Table1[[#This Row],[Quantity]]*Table1[[#This Row],[Price/Unit
EUR]]," ")</f>
        <v>565</v>
      </c>
      <c r="K1902" s="126">
        <v>45384</v>
      </c>
      <c r="L1902" s="36">
        <f>WEEKNUM(Table1[[#This Row],[ETA
As requested
dd.mm.yyyy]])</f>
        <v>14</v>
      </c>
      <c r="M1902" s="36">
        <f>YEAR(Table1[[#This Row],[ETA
As requested
dd.mm.yyyy]])</f>
        <v>2024</v>
      </c>
      <c r="N1902" s="36">
        <f>IFERROR(INDEX(DATABASE_FG!$H$5:$H$367, MATCH(E1902, DATABASE_FG!$C$5:$C$367, 0)), " ")</f>
        <v>0</v>
      </c>
      <c r="O1902" s="129" t="str">
        <f>IF(E1902&lt;&gt;"", _xlfn.XLOOKUP(E1902, DATABASE_FG!C:C, DATABASE_FG!F:F), " ")</f>
        <v>Ghidaje</v>
      </c>
      <c r="P1902" s="129">
        <f>IFERROR(INDEX(DATABASE_FG!$G$5:$G$367, MATCH(E1902, DATABASE_FG!$C$5:$C$367, 0)), "Not Found")</f>
        <v>0</v>
      </c>
      <c r="Q1902" s="36"/>
      <c r="R1902" s="125" t="s">
        <v>678</v>
      </c>
      <c r="S1902" s="123">
        <f>IFERROR(INDEX(DATABASE_FG!$L$5:$L$367, MATCH(E1902, DATABASE_FG!$C$5:$C$367, 0)), " ")</f>
        <v>42</v>
      </c>
      <c r="T1902" s="36" t="s">
        <v>679</v>
      </c>
      <c r="U1902" s="36"/>
      <c r="V1902" s="36"/>
      <c r="W1902" s="129"/>
      <c r="X1902" s="36"/>
      <c r="Y1902" s="36"/>
      <c r="Z1902" s="36" t="s">
        <v>1266</v>
      </c>
      <c r="AA1902" s="125" t="s">
        <v>121</v>
      </c>
      <c r="AB1902" s="173">
        <v>45391</v>
      </c>
      <c r="AC1902" s="119">
        <v>2024321</v>
      </c>
      <c r="AD1902" s="36">
        <f t="shared" si="215"/>
        <v>36509090</v>
      </c>
      <c r="AE1902" s="36" t="str">
        <f t="shared" si="216"/>
        <v>TK.KWSE20-A-0038-WW1</v>
      </c>
      <c r="AF1902" s="36">
        <v>100</v>
      </c>
      <c r="AG1902" s="120">
        <f t="shared" si="214"/>
        <v>565</v>
      </c>
      <c r="AH1902" s="36"/>
      <c r="AI1902" s="124"/>
      <c r="AJ1902" s="122" t="s">
        <v>1267</v>
      </c>
      <c r="AK1902" s="129" t="str">
        <f t="shared" ca="1" si="213"/>
        <v>Late</v>
      </c>
      <c r="AL1902" s="268" t="str">
        <f t="shared" si="212"/>
        <v>April</v>
      </c>
      <c r="AM1902" s="133">
        <f>YEAR(Table1[[#This Row],[ETA
As requested
dd.mm.yyyy]])</f>
        <v>2024</v>
      </c>
    </row>
    <row r="1903" spans="1:39" hidden="1">
      <c r="A1903" s="123" t="s">
        <v>83</v>
      </c>
      <c r="B1903" s="36" t="s">
        <v>1170</v>
      </c>
      <c r="C1903" s="117">
        <v>36509092</v>
      </c>
      <c r="D1903" s="165">
        <v>45378</v>
      </c>
      <c r="E1903" s="117" t="s">
        <v>98</v>
      </c>
      <c r="F1903" s="36" t="str">
        <f>IFERROR(VLOOKUP(Table1[[#This Row],[Part Number]],DATABASE_FG!$C$6:D11892,2,FALSE)," ")</f>
        <v xml:space="preserve">094132526-8011 </v>
      </c>
      <c r="G1903" s="117" t="str">
        <f>IFERROR(_xlfn.XLOOKUP(Table1[[#This Row],[Part Number]],Table3[Part number],Table3[Drawing
 Revision]),"")</f>
        <v>AA</v>
      </c>
      <c r="H1903" s="118" cm="1">
        <f t="array" ref="H1903">IFERROR(INDEX(PDB!$C:$AT,MATCH(E1903,PDB!$B:$B,0),MATCH(YEAR(K1903),0+PDB!$C$1:$AT$1,0)),"")</f>
        <v>5.65</v>
      </c>
      <c r="I1903" s="36">
        <v>100</v>
      </c>
      <c r="J1903" s="125">
        <f>IFERROR(Table1[[#This Row],[Quantity]]*Table1[[#This Row],[Price/Unit
EUR]]," ")</f>
        <v>565</v>
      </c>
      <c r="K1903" s="126">
        <v>45391</v>
      </c>
      <c r="L1903" s="36">
        <f>WEEKNUM(Table1[[#This Row],[ETA
As requested
dd.mm.yyyy]])</f>
        <v>15</v>
      </c>
      <c r="M1903" s="36">
        <f>YEAR(Table1[[#This Row],[ETA
As requested
dd.mm.yyyy]])</f>
        <v>2024</v>
      </c>
      <c r="N1903" s="36">
        <f>IFERROR(INDEX(DATABASE_FG!$H$5:$H$367, MATCH(E1903, DATABASE_FG!$C$5:$C$367, 0)), " ")</f>
        <v>0</v>
      </c>
      <c r="O1903" s="129" t="str">
        <f>IF(E1903&lt;&gt;"", _xlfn.XLOOKUP(E1903, DATABASE_FG!C:C, DATABASE_FG!F:F), " ")</f>
        <v>Ghidaje</v>
      </c>
      <c r="P1903" s="129">
        <f>IFERROR(INDEX(DATABASE_FG!$G$5:$G$367, MATCH(E1903, DATABASE_FG!$C$5:$C$367, 0)), "Not Found")</f>
        <v>0</v>
      </c>
      <c r="Q1903" s="36"/>
      <c r="R1903" s="125" t="s">
        <v>678</v>
      </c>
      <c r="S1903" s="123">
        <f>IFERROR(INDEX(DATABASE_FG!$L$5:$L$367, MATCH(E1903, DATABASE_FG!$C$5:$C$367, 0)), " ")</f>
        <v>42</v>
      </c>
      <c r="T1903" s="36" t="s">
        <v>679</v>
      </c>
      <c r="U1903" s="36"/>
      <c r="V1903" s="36"/>
      <c r="W1903" s="129"/>
      <c r="X1903" s="36"/>
      <c r="Y1903" s="36"/>
      <c r="Z1903" s="36" t="s">
        <v>1297</v>
      </c>
      <c r="AA1903" s="125" t="s">
        <v>121</v>
      </c>
      <c r="AB1903" s="173">
        <v>45391</v>
      </c>
      <c r="AC1903" s="119">
        <v>2024322</v>
      </c>
      <c r="AD1903" s="36">
        <f t="shared" si="215"/>
        <v>36509092</v>
      </c>
      <c r="AE1903" s="36" t="str">
        <f t="shared" si="216"/>
        <v>TK.KWSE20-A-0038-WW1</v>
      </c>
      <c r="AF1903" s="36">
        <v>100</v>
      </c>
      <c r="AG1903" s="120">
        <f t="shared" si="214"/>
        <v>565</v>
      </c>
      <c r="AH1903" s="36"/>
      <c r="AI1903" s="124"/>
      <c r="AJ1903" s="122" t="s">
        <v>1298</v>
      </c>
      <c r="AK1903" s="129" t="str">
        <f t="shared" ca="1" si="213"/>
        <v>On Time</v>
      </c>
      <c r="AL1903" s="268" t="str">
        <f t="shared" si="212"/>
        <v>April</v>
      </c>
      <c r="AM1903" s="133">
        <f>YEAR(Table1[[#This Row],[ETA
As requested
dd.mm.yyyy]])</f>
        <v>2024</v>
      </c>
    </row>
    <row r="1904" spans="1:39" hidden="1">
      <c r="A1904" s="123" t="s">
        <v>83</v>
      </c>
      <c r="B1904" s="36" t="s">
        <v>1170</v>
      </c>
      <c r="C1904" s="117">
        <v>36509099</v>
      </c>
      <c r="D1904" s="165">
        <v>45378</v>
      </c>
      <c r="E1904" s="117" t="s">
        <v>98</v>
      </c>
      <c r="F1904" s="36" t="str">
        <f>IFERROR(VLOOKUP(Table1[[#This Row],[Part Number]],DATABASE_FG!$C$6:D11893,2,FALSE)," ")</f>
        <v xml:space="preserve">094132526-8011 </v>
      </c>
      <c r="G1904" s="117" t="str">
        <f>IFERROR(_xlfn.XLOOKUP(Table1[[#This Row],[Part Number]],Table3[Part number],Table3[Drawing
 Revision]),"")</f>
        <v>AA</v>
      </c>
      <c r="H1904" s="118" cm="1">
        <f t="array" ref="H1904">IFERROR(INDEX(PDB!$C:$AT,MATCH(E1904,PDB!$B:$B,0),MATCH(YEAR(K1904),0+PDB!$C$1:$AT$1,0)),"")</f>
        <v>5.65</v>
      </c>
      <c r="I1904" s="36">
        <v>100</v>
      </c>
      <c r="J1904" s="125">
        <f>IFERROR(Table1[[#This Row],[Quantity]]*Table1[[#This Row],[Price/Unit
EUR]]," ")</f>
        <v>565</v>
      </c>
      <c r="K1904" s="126">
        <v>45398</v>
      </c>
      <c r="L1904" s="36">
        <f>WEEKNUM(Table1[[#This Row],[ETA
As requested
dd.mm.yyyy]])</f>
        <v>16</v>
      </c>
      <c r="M1904" s="36">
        <f>YEAR(Table1[[#This Row],[ETA
As requested
dd.mm.yyyy]])</f>
        <v>2024</v>
      </c>
      <c r="N1904" s="36">
        <f>IFERROR(INDEX(DATABASE_FG!$H$5:$H$367, MATCH(E1904, DATABASE_FG!$C$5:$C$367, 0)), " ")</f>
        <v>0</v>
      </c>
      <c r="O1904" s="129" t="str">
        <f>IF(E1904&lt;&gt;"", _xlfn.XLOOKUP(E1904, DATABASE_FG!C:C, DATABASE_FG!F:F), " ")</f>
        <v>Ghidaje</v>
      </c>
      <c r="P1904" s="129">
        <f>IFERROR(INDEX(DATABASE_FG!$G$5:$G$367, MATCH(E1904, DATABASE_FG!$C$5:$C$367, 0)), "Not Found")</f>
        <v>0</v>
      </c>
      <c r="Q1904" s="36"/>
      <c r="R1904" s="125" t="s">
        <v>678</v>
      </c>
      <c r="S1904" s="123">
        <f>IFERROR(INDEX(DATABASE_FG!$L$5:$L$367, MATCH(E1904, DATABASE_FG!$C$5:$C$367, 0)), " ")</f>
        <v>42</v>
      </c>
      <c r="T1904" s="36" t="s">
        <v>679</v>
      </c>
      <c r="U1904" s="36"/>
      <c r="V1904" s="36"/>
      <c r="W1904" s="129"/>
      <c r="X1904" s="36"/>
      <c r="Y1904" s="36"/>
      <c r="Z1904" s="36" t="s">
        <v>1297</v>
      </c>
      <c r="AA1904" s="125" t="s">
        <v>121</v>
      </c>
      <c r="AB1904" s="173">
        <v>45399</v>
      </c>
      <c r="AC1904" s="119">
        <v>2024372</v>
      </c>
      <c r="AD1904" s="36">
        <f t="shared" si="215"/>
        <v>36509099</v>
      </c>
      <c r="AE1904" s="36" t="str">
        <f t="shared" si="216"/>
        <v>TK.KWSE20-A-0038-WW1</v>
      </c>
      <c r="AF1904" s="36">
        <v>100</v>
      </c>
      <c r="AG1904" s="120">
        <f t="shared" si="214"/>
        <v>565</v>
      </c>
      <c r="AH1904" s="36"/>
      <c r="AI1904" s="124"/>
      <c r="AJ1904" s="122" t="s">
        <v>1359</v>
      </c>
      <c r="AK1904" s="129" t="str">
        <f t="shared" ca="1" si="213"/>
        <v>On Time</v>
      </c>
      <c r="AL1904" s="268" t="str">
        <f t="shared" si="212"/>
        <v>April</v>
      </c>
      <c r="AM1904" s="133">
        <f>YEAR(Table1[[#This Row],[ETA
As requested
dd.mm.yyyy]])</f>
        <v>2024</v>
      </c>
    </row>
    <row r="1905" spans="1:39" hidden="1">
      <c r="A1905" s="123" t="s">
        <v>83</v>
      </c>
      <c r="B1905" s="36" t="s">
        <v>1170</v>
      </c>
      <c r="C1905" s="117">
        <v>36509096</v>
      </c>
      <c r="D1905" s="165">
        <v>45378</v>
      </c>
      <c r="E1905" s="117" t="s">
        <v>98</v>
      </c>
      <c r="F1905" s="36" t="str">
        <f>IFERROR(VLOOKUP(Table1[[#This Row],[Part Number]],DATABASE_FG!$C$6:D11894,2,FALSE)," ")</f>
        <v xml:space="preserve">094132526-8011 </v>
      </c>
      <c r="G1905" s="117" t="str">
        <f>IFERROR(_xlfn.XLOOKUP(Table1[[#This Row],[Part Number]],Table3[Part number],Table3[Drawing
 Revision]),"")</f>
        <v>AA</v>
      </c>
      <c r="H1905" s="118" cm="1">
        <f t="array" ref="H1905">IFERROR(INDEX(PDB!$C:$AT,MATCH(E1905,PDB!$B:$B,0),MATCH(YEAR(K1905),0+PDB!$C$1:$AT$1,0)),"")</f>
        <v>5.65</v>
      </c>
      <c r="I1905" s="36">
        <v>100</v>
      </c>
      <c r="J1905" s="125">
        <f>IFERROR(Table1[[#This Row],[Quantity]]*Table1[[#This Row],[Price/Unit
EUR]]," ")</f>
        <v>565</v>
      </c>
      <c r="K1905" s="126">
        <v>45405</v>
      </c>
      <c r="L1905" s="36">
        <f>WEEKNUM(Table1[[#This Row],[ETA
As requested
dd.mm.yyyy]])</f>
        <v>17</v>
      </c>
      <c r="M1905" s="36">
        <f>YEAR(Table1[[#This Row],[ETA
As requested
dd.mm.yyyy]])</f>
        <v>2024</v>
      </c>
      <c r="N1905" s="36">
        <f>IFERROR(INDEX(DATABASE_FG!$H$5:$H$367, MATCH(E1905, DATABASE_FG!$C$5:$C$367, 0)), " ")</f>
        <v>0</v>
      </c>
      <c r="O1905" s="129" t="str">
        <f>IF(E1905&lt;&gt;"", _xlfn.XLOOKUP(E1905, DATABASE_FG!C:C, DATABASE_FG!F:F), " ")</f>
        <v>Ghidaje</v>
      </c>
      <c r="P1905" s="129">
        <f>IFERROR(INDEX(DATABASE_FG!$G$5:$G$367, MATCH(E1905, DATABASE_FG!$C$5:$C$367, 0)), "Not Found")</f>
        <v>0</v>
      </c>
      <c r="Q1905" s="36"/>
      <c r="R1905" s="125" t="s">
        <v>678</v>
      </c>
      <c r="S1905" s="123">
        <f>IFERROR(INDEX(DATABASE_FG!$L$5:$L$367, MATCH(E1905, DATABASE_FG!$C$5:$C$367, 0)), " ")</f>
        <v>42</v>
      </c>
      <c r="T1905" s="36" t="s">
        <v>679</v>
      </c>
      <c r="U1905" s="36"/>
      <c r="V1905" s="36"/>
      <c r="W1905" s="129"/>
      <c r="X1905" s="36"/>
      <c r="Y1905" s="36"/>
      <c r="Z1905" s="36" t="s">
        <v>1297</v>
      </c>
      <c r="AA1905" s="125" t="s">
        <v>121</v>
      </c>
      <c r="AB1905" s="173">
        <v>45405</v>
      </c>
      <c r="AC1905" s="119">
        <v>2024390</v>
      </c>
      <c r="AD1905" s="36">
        <f t="shared" si="215"/>
        <v>36509096</v>
      </c>
      <c r="AE1905" s="36" t="str">
        <f t="shared" si="216"/>
        <v>TK.KWSE20-A-0038-WW1</v>
      </c>
      <c r="AF1905" s="36">
        <v>84</v>
      </c>
      <c r="AG1905" s="120">
        <f t="shared" si="214"/>
        <v>474.6</v>
      </c>
      <c r="AH1905" s="36"/>
      <c r="AI1905" s="124"/>
      <c r="AJ1905" s="122" t="s">
        <v>1396</v>
      </c>
      <c r="AK1905" s="129" t="str">
        <f t="shared" ca="1" si="213"/>
        <v>On Time</v>
      </c>
      <c r="AL1905" s="268" t="str">
        <f t="shared" si="212"/>
        <v>April</v>
      </c>
      <c r="AM1905" s="133">
        <f>YEAR(Table1[[#This Row],[ETA
As requested
dd.mm.yyyy]])</f>
        <v>2024</v>
      </c>
    </row>
    <row r="1906" spans="1:39" hidden="1">
      <c r="A1906" s="123" t="s">
        <v>83</v>
      </c>
      <c r="B1906" s="36" t="s">
        <v>1170</v>
      </c>
      <c r="C1906" s="117">
        <v>36509096</v>
      </c>
      <c r="D1906" s="165">
        <v>45378</v>
      </c>
      <c r="E1906" s="117" t="s">
        <v>98</v>
      </c>
      <c r="F1906" s="36" t="str">
        <f>IFERROR(VLOOKUP(Table1[[#This Row],[Part Number]],DATABASE_FG!$C$6:D11895,2,FALSE)," ")</f>
        <v xml:space="preserve">094132526-8011 </v>
      </c>
      <c r="G1906" s="117" t="str">
        <f>IFERROR(_xlfn.XLOOKUP(Table1[[#This Row],[Part Number]],Table3[Part number],Table3[Drawing
 Revision]),"")</f>
        <v>AA</v>
      </c>
      <c r="H1906" s="118" cm="1">
        <f t="array" ref="H1906">IFERROR(INDEX(PDB!$C:$AT,MATCH(E1906,PDB!$B:$B,0),MATCH(YEAR(K1906),0+PDB!$C$1:$AT$1,0)),"")</f>
        <v>5.65</v>
      </c>
      <c r="I1906" s="36"/>
      <c r="J1906" s="125">
        <f>IFERROR(Table1[[#This Row],[Quantity]]*Table1[[#This Row],[Price/Unit
EUR]]," ")</f>
        <v>0</v>
      </c>
      <c r="K1906" s="126">
        <v>45405</v>
      </c>
      <c r="L1906" s="36">
        <f>WEEKNUM(Table1[[#This Row],[ETA
As requested
dd.mm.yyyy]])</f>
        <v>17</v>
      </c>
      <c r="M1906" s="36">
        <f>YEAR(Table1[[#This Row],[ETA
As requested
dd.mm.yyyy]])</f>
        <v>2024</v>
      </c>
      <c r="N1906" s="36">
        <f>IFERROR(INDEX(DATABASE_FG!$H$5:$H$367, MATCH(E1906, DATABASE_FG!$C$5:$C$367, 0)), " ")</f>
        <v>0</v>
      </c>
      <c r="O1906" s="129" t="str">
        <f>IF(E1906&lt;&gt;"", _xlfn.XLOOKUP(E1906, DATABASE_FG!C:C, DATABASE_FG!F:F), " ")</f>
        <v>Ghidaje</v>
      </c>
      <c r="P1906" s="129">
        <f>IFERROR(INDEX(DATABASE_FG!$G$5:$G$367, MATCH(E1906, DATABASE_FG!$C$5:$C$367, 0)), "Not Found")</f>
        <v>0</v>
      </c>
      <c r="Q1906" s="36"/>
      <c r="R1906" s="125" t="s">
        <v>678</v>
      </c>
      <c r="S1906" s="123">
        <f>IFERROR(INDEX(DATABASE_FG!$L$5:$L$367, MATCH(E1906, DATABASE_FG!$C$5:$C$367, 0)), " ")</f>
        <v>42</v>
      </c>
      <c r="T1906" s="36"/>
      <c r="U1906" s="36"/>
      <c r="V1906" s="36"/>
      <c r="W1906" s="129"/>
      <c r="X1906" s="36"/>
      <c r="Y1906" s="36"/>
      <c r="Z1906" s="36"/>
      <c r="AA1906" s="125" t="s">
        <v>121</v>
      </c>
      <c r="AB1906" s="173">
        <v>45407</v>
      </c>
      <c r="AC1906" s="119">
        <v>2024406</v>
      </c>
      <c r="AD1906" s="36">
        <f t="shared" si="215"/>
        <v>36509096</v>
      </c>
      <c r="AE1906" s="36" t="str">
        <f t="shared" si="216"/>
        <v>TK.KWSE20-A-0038-WW1</v>
      </c>
      <c r="AF1906" s="36">
        <v>16</v>
      </c>
      <c r="AG1906" s="120">
        <f t="shared" si="214"/>
        <v>90.4</v>
      </c>
      <c r="AH1906" s="36"/>
      <c r="AI1906" s="124"/>
      <c r="AJ1906" s="122" t="s">
        <v>1398</v>
      </c>
      <c r="AK1906" s="129" t="str">
        <f t="shared" ca="1" si="213"/>
        <v>On Time</v>
      </c>
      <c r="AL1906" s="268" t="str">
        <f t="shared" ref="AL1906:AL1969" si="222">TEXT(K1906,"mmmm")</f>
        <v>April</v>
      </c>
      <c r="AM1906" s="133">
        <f>YEAR(Table1[[#This Row],[ETA
As requested
dd.mm.yyyy]])</f>
        <v>2024</v>
      </c>
    </row>
    <row r="1907" spans="1:39" hidden="1">
      <c r="A1907" s="123" t="s">
        <v>83</v>
      </c>
      <c r="B1907" s="36" t="s">
        <v>1170</v>
      </c>
      <c r="C1907" s="117">
        <v>36635801</v>
      </c>
      <c r="D1907" s="165">
        <v>45400</v>
      </c>
      <c r="E1907" s="117" t="s">
        <v>98</v>
      </c>
      <c r="F1907" s="36" t="str">
        <f>IFERROR(VLOOKUP(Table1[[#This Row],[Part Number]],DATABASE_FG!$C$6:D11896,2,FALSE)," ")</f>
        <v xml:space="preserve">094132526-8011 </v>
      </c>
      <c r="G1907" s="117" t="str">
        <f>IFERROR(_xlfn.XLOOKUP(Table1[[#This Row],[Part Number]],Table3[Part number],Table3[Drawing
 Revision]),"")</f>
        <v>AA</v>
      </c>
      <c r="H1907" s="118" cm="1">
        <f t="array" ref="H1907">IFERROR(INDEX(PDB!$C:$AT,MATCH(E1907,PDB!$B:$B,0),MATCH(YEAR(K1907),0+PDB!$C$1:$AT$1,0)),"")</f>
        <v>5.65</v>
      </c>
      <c r="I1907" s="36">
        <v>175</v>
      </c>
      <c r="J1907" s="125">
        <f>IFERROR(Table1[[#This Row],[Quantity]]*Table1[[#This Row],[Price/Unit
EUR]]," ")</f>
        <v>988.75000000000011</v>
      </c>
      <c r="K1907" s="126">
        <v>45419</v>
      </c>
      <c r="L1907" s="36">
        <f>WEEKNUM(Table1[[#This Row],[ETA
As requested
dd.mm.yyyy]])</f>
        <v>19</v>
      </c>
      <c r="M1907" s="36">
        <f>YEAR(Table1[[#This Row],[ETA
As requested
dd.mm.yyyy]])</f>
        <v>2024</v>
      </c>
      <c r="N1907" s="36">
        <f>IFERROR(INDEX(DATABASE_FG!$H$5:$H$367, MATCH(E1907, DATABASE_FG!$C$5:$C$367, 0)), " ")</f>
        <v>0</v>
      </c>
      <c r="O1907" s="129" t="str">
        <f>IF(E1907&lt;&gt;"", _xlfn.XLOOKUP(E1907, DATABASE_FG!C:C, DATABASE_FG!F:F), " ")</f>
        <v>Ghidaje</v>
      </c>
      <c r="P1907" s="129">
        <f>IFERROR(INDEX(DATABASE_FG!$G$5:$G$367, MATCH(E1907, DATABASE_FG!$C$5:$C$367, 0)), "Not Found")</f>
        <v>0</v>
      </c>
      <c r="Q1907" s="36"/>
      <c r="R1907" s="125" t="s">
        <v>678</v>
      </c>
      <c r="S1907" s="123">
        <f>IFERROR(INDEX(DATABASE_FG!$L$5:$L$367, MATCH(E1907, DATABASE_FG!$C$5:$C$367, 0)), " ")</f>
        <v>42</v>
      </c>
      <c r="T1907" s="36" t="s">
        <v>679</v>
      </c>
      <c r="U1907" s="36"/>
      <c r="V1907" s="36"/>
      <c r="W1907" s="129"/>
      <c r="X1907" s="36"/>
      <c r="Y1907" s="36"/>
      <c r="Z1907" s="36">
        <v>241722</v>
      </c>
      <c r="AA1907" s="125" t="s">
        <v>121</v>
      </c>
      <c r="AB1907" s="173">
        <v>45419</v>
      </c>
      <c r="AC1907" s="119">
        <v>2024430</v>
      </c>
      <c r="AD1907" s="36">
        <f t="shared" si="215"/>
        <v>36635801</v>
      </c>
      <c r="AE1907" s="36" t="str">
        <f t="shared" si="216"/>
        <v>TK.KWSE20-A-0038-WW1</v>
      </c>
      <c r="AF1907" s="36">
        <v>175</v>
      </c>
      <c r="AG1907" s="120">
        <f t="shared" si="214"/>
        <v>988.75000000000011</v>
      </c>
      <c r="AH1907" s="36"/>
      <c r="AI1907" s="124"/>
      <c r="AJ1907" s="122" t="s">
        <v>1449</v>
      </c>
      <c r="AK1907" s="129" t="str">
        <f t="shared" ca="1" si="213"/>
        <v>On Time</v>
      </c>
      <c r="AL1907" s="268" t="str">
        <f t="shared" si="222"/>
        <v>May</v>
      </c>
      <c r="AM1907" s="133">
        <f>YEAR(Table1[[#This Row],[ETA
As requested
dd.mm.yyyy]])</f>
        <v>2024</v>
      </c>
    </row>
    <row r="1908" spans="1:39" hidden="1">
      <c r="A1908" s="123" t="s">
        <v>83</v>
      </c>
      <c r="B1908" s="36" t="s">
        <v>1170</v>
      </c>
      <c r="C1908" s="117">
        <v>36635804</v>
      </c>
      <c r="D1908" s="165">
        <v>45400</v>
      </c>
      <c r="E1908" s="117" t="s">
        <v>98</v>
      </c>
      <c r="F1908" s="36" t="str">
        <f>IFERROR(VLOOKUP(Table1[[#This Row],[Part Number]],DATABASE_FG!$C$6:D11897,2,FALSE)," ")</f>
        <v xml:space="preserve">094132526-8011 </v>
      </c>
      <c r="G1908" s="117" t="str">
        <f>IFERROR(_xlfn.XLOOKUP(Table1[[#This Row],[Part Number]],Table3[Part number],Table3[Drawing
 Revision]),"")</f>
        <v>AA</v>
      </c>
      <c r="H1908" s="118" cm="1">
        <f t="array" ref="H1908">IFERROR(INDEX(PDB!$C:$AT,MATCH(E1908,PDB!$B:$B,0),MATCH(YEAR(K1908),0+PDB!$C$1:$AT$1,0)),"")</f>
        <v>5.65</v>
      </c>
      <c r="I1908" s="36">
        <v>175</v>
      </c>
      <c r="J1908" s="125">
        <f>IFERROR(Table1[[#This Row],[Quantity]]*Table1[[#This Row],[Price/Unit
EUR]]," ")</f>
        <v>988.75000000000011</v>
      </c>
      <c r="K1908" s="126">
        <v>45421</v>
      </c>
      <c r="L1908" s="36">
        <f>WEEKNUM(Table1[[#This Row],[ETA
As requested
dd.mm.yyyy]])</f>
        <v>19</v>
      </c>
      <c r="M1908" s="36">
        <f>YEAR(Table1[[#This Row],[ETA
As requested
dd.mm.yyyy]])</f>
        <v>2024</v>
      </c>
      <c r="N1908" s="36">
        <f>IFERROR(INDEX(DATABASE_FG!$H$5:$H$367, MATCH(E1908, DATABASE_FG!$C$5:$C$367, 0)), " ")</f>
        <v>0</v>
      </c>
      <c r="O1908" s="129" t="str">
        <f>IF(E1908&lt;&gt;"", _xlfn.XLOOKUP(E1908, DATABASE_FG!C:C, DATABASE_FG!F:F), " ")</f>
        <v>Ghidaje</v>
      </c>
      <c r="P1908" s="129">
        <f>IFERROR(INDEX(DATABASE_FG!$G$5:$G$367, MATCH(E1908, DATABASE_FG!$C$5:$C$367, 0)), "Not Found")</f>
        <v>0</v>
      </c>
      <c r="Q1908" s="36"/>
      <c r="R1908" s="125" t="s">
        <v>678</v>
      </c>
      <c r="S1908" s="123">
        <f>IFERROR(INDEX(DATABASE_FG!$L$5:$L$367, MATCH(E1908, DATABASE_FG!$C$5:$C$367, 0)), " ")</f>
        <v>42</v>
      </c>
      <c r="T1908" s="36" t="s">
        <v>679</v>
      </c>
      <c r="U1908" s="36"/>
      <c r="V1908" s="36"/>
      <c r="W1908" s="129"/>
      <c r="X1908" s="36"/>
      <c r="Y1908" s="36"/>
      <c r="Z1908" s="36">
        <v>241722</v>
      </c>
      <c r="AA1908" s="125" t="s">
        <v>121</v>
      </c>
      <c r="AB1908" s="173">
        <v>45421</v>
      </c>
      <c r="AC1908" s="119">
        <v>2024455</v>
      </c>
      <c r="AD1908" s="36">
        <f t="shared" si="215"/>
        <v>36635804</v>
      </c>
      <c r="AE1908" s="36" t="str">
        <f t="shared" si="216"/>
        <v>TK.KWSE20-A-0038-WW1</v>
      </c>
      <c r="AF1908" s="36">
        <v>82</v>
      </c>
      <c r="AG1908" s="120">
        <f t="shared" si="214"/>
        <v>463.3</v>
      </c>
      <c r="AH1908" s="36"/>
      <c r="AI1908" s="124"/>
      <c r="AJ1908" s="122" t="s">
        <v>1486</v>
      </c>
      <c r="AK1908" s="129" t="str">
        <f t="shared" ref="AK1908:AK1971" ca="1" si="223">IF(AB1908="", IF(K1908 &lt; TODAY(), "Late", ""), IF(AB1908 &lt;= K1908 + 2, "On Time", "Late"))</f>
        <v>On Time</v>
      </c>
      <c r="AL1908" s="268" t="str">
        <f t="shared" si="222"/>
        <v>May</v>
      </c>
      <c r="AM1908" s="133">
        <f>YEAR(Table1[[#This Row],[ETA
As requested
dd.mm.yyyy]])</f>
        <v>2024</v>
      </c>
    </row>
    <row r="1909" spans="1:39" hidden="1">
      <c r="A1909" s="123" t="s">
        <v>83</v>
      </c>
      <c r="B1909" s="36" t="s">
        <v>1170</v>
      </c>
      <c r="C1909" s="117">
        <v>36635804</v>
      </c>
      <c r="D1909" s="165">
        <v>45400</v>
      </c>
      <c r="E1909" s="117" t="s">
        <v>98</v>
      </c>
      <c r="F1909" s="36" t="str">
        <f>IFERROR(VLOOKUP(Table1[[#This Row],[Part Number]],DATABASE_FG!$C$6:D11898,2,FALSE)," ")</f>
        <v xml:space="preserve">094132526-8011 </v>
      </c>
      <c r="G1909" s="117" t="str">
        <f>IFERROR(_xlfn.XLOOKUP(Table1[[#This Row],[Part Number]],Table3[Part number],Table3[Drawing
 Revision]),"")</f>
        <v>AA</v>
      </c>
      <c r="H1909" s="118" cm="1">
        <f t="array" ref="H1909">IFERROR(INDEX(PDB!$C:$AT,MATCH(E1909,PDB!$B:$B,0),MATCH(YEAR(K1909),0+PDB!$C$1:$AT$1,0)),"")</f>
        <v>5.65</v>
      </c>
      <c r="I1909" s="36"/>
      <c r="J1909" s="125">
        <f>IFERROR(Table1[[#This Row],[Quantity]]*Table1[[#This Row],[Price/Unit
EUR]]," ")</f>
        <v>0</v>
      </c>
      <c r="K1909" s="126">
        <v>45421</v>
      </c>
      <c r="L1909" s="36">
        <f>WEEKNUM(Table1[[#This Row],[ETA
As requested
dd.mm.yyyy]])</f>
        <v>19</v>
      </c>
      <c r="M1909" s="36">
        <f>YEAR(Table1[[#This Row],[ETA
As requested
dd.mm.yyyy]])</f>
        <v>2024</v>
      </c>
      <c r="N1909" s="36">
        <f>IFERROR(INDEX(DATABASE_FG!$H$5:$H$367, MATCH(E1909, DATABASE_FG!$C$5:$C$367, 0)), " ")</f>
        <v>0</v>
      </c>
      <c r="O1909" s="129" t="str">
        <f>IF(E1909&lt;&gt;"", _xlfn.XLOOKUP(E1909, DATABASE_FG!C:C, DATABASE_FG!F:F), " ")</f>
        <v>Ghidaje</v>
      </c>
      <c r="P1909" s="129">
        <f>IFERROR(INDEX(DATABASE_FG!$G$5:$G$367, MATCH(E1909, DATABASE_FG!$C$5:$C$367, 0)), "Not Found")</f>
        <v>0</v>
      </c>
      <c r="Q1909" s="36"/>
      <c r="R1909" s="125" t="s">
        <v>678</v>
      </c>
      <c r="S1909" s="123">
        <f>IFERROR(INDEX(DATABASE_FG!$L$5:$L$367, MATCH(E1909, DATABASE_FG!$C$5:$C$367, 0)), " ")</f>
        <v>42</v>
      </c>
      <c r="T1909" s="36"/>
      <c r="U1909" s="36"/>
      <c r="V1909" s="36"/>
      <c r="W1909" s="129"/>
      <c r="X1909" s="36"/>
      <c r="Y1909" s="36"/>
      <c r="Z1909" s="36"/>
      <c r="AA1909" s="125" t="s">
        <v>121</v>
      </c>
      <c r="AB1909" s="173">
        <v>45428</v>
      </c>
      <c r="AC1909" s="119">
        <v>2024491</v>
      </c>
      <c r="AD1909" s="36">
        <f t="shared" si="215"/>
        <v>36635804</v>
      </c>
      <c r="AE1909" s="36" t="str">
        <f t="shared" si="216"/>
        <v>TK.KWSE20-A-0038-WW1</v>
      </c>
      <c r="AF1909" s="36">
        <v>93</v>
      </c>
      <c r="AG1909" s="120">
        <f t="shared" si="214"/>
        <v>525.45000000000005</v>
      </c>
      <c r="AH1909" s="36"/>
      <c r="AI1909" s="124"/>
      <c r="AJ1909" s="122" t="s">
        <v>1491</v>
      </c>
      <c r="AK1909" s="129" t="str">
        <f t="shared" ca="1" si="223"/>
        <v>Late</v>
      </c>
      <c r="AL1909" s="268" t="str">
        <f t="shared" si="222"/>
        <v>May</v>
      </c>
      <c r="AM1909" s="133">
        <f>YEAR(Table1[[#This Row],[ETA
As requested
dd.mm.yyyy]])</f>
        <v>2024</v>
      </c>
    </row>
    <row r="1910" spans="1:39" hidden="1">
      <c r="A1910" s="123" t="s">
        <v>83</v>
      </c>
      <c r="B1910" s="36" t="s">
        <v>1170</v>
      </c>
      <c r="C1910" s="117">
        <v>36635809</v>
      </c>
      <c r="D1910" s="165">
        <v>45400</v>
      </c>
      <c r="E1910" s="117" t="s">
        <v>98</v>
      </c>
      <c r="F1910" s="36" t="str">
        <f>IFERROR(VLOOKUP(Table1[[#This Row],[Part Number]],DATABASE_FG!$C$6:D11899,2,FALSE)," ")</f>
        <v xml:space="preserve">094132526-8011 </v>
      </c>
      <c r="G1910" s="117" t="str">
        <f>IFERROR(_xlfn.XLOOKUP(Table1[[#This Row],[Part Number]],Table3[Part number],Table3[Drawing
 Revision]),"")</f>
        <v>AA</v>
      </c>
      <c r="H1910" s="118" cm="1">
        <f t="array" ref="H1910">IFERROR(INDEX(PDB!$C:$AT,MATCH(E1910,PDB!$B:$B,0),MATCH(YEAR(K1910),0+PDB!$C$1:$AT$1,0)),"")</f>
        <v>5.65</v>
      </c>
      <c r="I1910" s="36">
        <v>100</v>
      </c>
      <c r="J1910" s="125">
        <f>IFERROR(Table1[[#This Row],[Quantity]]*Table1[[#This Row],[Price/Unit
EUR]]," ")</f>
        <v>565</v>
      </c>
      <c r="K1910" s="126">
        <v>45426</v>
      </c>
      <c r="L1910" s="36">
        <f>WEEKNUM(Table1[[#This Row],[ETA
As requested
dd.mm.yyyy]])</f>
        <v>20</v>
      </c>
      <c r="M1910" s="36">
        <f>YEAR(Table1[[#This Row],[ETA
As requested
dd.mm.yyyy]])</f>
        <v>2024</v>
      </c>
      <c r="N1910" s="36">
        <f>IFERROR(INDEX(DATABASE_FG!$H$5:$H$367, MATCH(E1910, DATABASE_FG!$C$5:$C$367, 0)), " ")</f>
        <v>0</v>
      </c>
      <c r="O1910" s="129" t="str">
        <f>IF(E1910&lt;&gt;"", _xlfn.XLOOKUP(E1910, DATABASE_FG!C:C, DATABASE_FG!F:F), " ")</f>
        <v>Ghidaje</v>
      </c>
      <c r="P1910" s="129">
        <f>IFERROR(INDEX(DATABASE_FG!$G$5:$G$367, MATCH(E1910, DATABASE_FG!$C$5:$C$367, 0)), "Not Found")</f>
        <v>0</v>
      </c>
      <c r="Q1910" s="36"/>
      <c r="R1910" s="125" t="s">
        <v>678</v>
      </c>
      <c r="S1910" s="123">
        <f>IFERROR(INDEX(DATABASE_FG!$L$5:$L$367, MATCH(E1910, DATABASE_FG!$C$5:$C$367, 0)), " ")</f>
        <v>42</v>
      </c>
      <c r="T1910" s="36" t="s">
        <v>679</v>
      </c>
      <c r="U1910" s="36"/>
      <c r="V1910" s="36"/>
      <c r="W1910" s="129"/>
      <c r="X1910" s="36"/>
      <c r="Y1910" s="36"/>
      <c r="Z1910" s="36">
        <v>242006</v>
      </c>
      <c r="AA1910" s="125" t="s">
        <v>121</v>
      </c>
      <c r="AB1910" s="173">
        <v>45428</v>
      </c>
      <c r="AC1910" s="119">
        <v>2024492</v>
      </c>
      <c r="AD1910" s="36">
        <f t="shared" si="215"/>
        <v>36635809</v>
      </c>
      <c r="AE1910" s="36" t="str">
        <f t="shared" si="216"/>
        <v>TK.KWSE20-A-0038-WW1</v>
      </c>
      <c r="AF1910" s="36">
        <v>61</v>
      </c>
      <c r="AG1910" s="120">
        <f t="shared" si="214"/>
        <v>344.65000000000003</v>
      </c>
      <c r="AH1910" s="36"/>
      <c r="AI1910" s="124"/>
      <c r="AJ1910" s="122" t="s">
        <v>1504</v>
      </c>
      <c r="AK1910" s="129" t="str">
        <f t="shared" ca="1" si="223"/>
        <v>On Time</v>
      </c>
      <c r="AL1910" s="268" t="str">
        <f t="shared" si="222"/>
        <v>May</v>
      </c>
      <c r="AM1910" s="133">
        <f>YEAR(Table1[[#This Row],[ETA
As requested
dd.mm.yyyy]])</f>
        <v>2024</v>
      </c>
    </row>
    <row r="1911" spans="1:39" hidden="1">
      <c r="A1911" s="123" t="s">
        <v>83</v>
      </c>
      <c r="B1911" s="36" t="s">
        <v>1170</v>
      </c>
      <c r="C1911" s="117">
        <v>36635809</v>
      </c>
      <c r="D1911" s="165">
        <v>45400</v>
      </c>
      <c r="E1911" s="117" t="s">
        <v>98</v>
      </c>
      <c r="F1911" s="36" t="str">
        <f>IFERROR(VLOOKUP(Table1[[#This Row],[Part Number]],DATABASE_FG!$C$6:D11900,2,FALSE)," ")</f>
        <v xml:space="preserve">094132526-8011 </v>
      </c>
      <c r="G1911" s="117" t="str">
        <f>IFERROR(_xlfn.XLOOKUP(Table1[[#This Row],[Part Number]],Table3[Part number],Table3[Drawing
 Revision]),"")</f>
        <v>AA</v>
      </c>
      <c r="H1911" s="118" cm="1">
        <f t="array" ref="H1911">IFERROR(INDEX(PDB!$C:$AT,MATCH(E1911,PDB!$B:$B,0),MATCH(YEAR(K1911),0+PDB!$C$1:$AT$1,0)),"")</f>
        <v>5.65</v>
      </c>
      <c r="I1911" s="36"/>
      <c r="J1911" s="125">
        <f>IFERROR(Table1[[#This Row],[Quantity]]*Table1[[#This Row],[Price/Unit
EUR]]," ")</f>
        <v>0</v>
      </c>
      <c r="K1911" s="126">
        <v>45426</v>
      </c>
      <c r="L1911" s="36">
        <f>WEEKNUM(Table1[[#This Row],[ETA
As requested
dd.mm.yyyy]])</f>
        <v>20</v>
      </c>
      <c r="M1911" s="36">
        <f>YEAR(Table1[[#This Row],[ETA
As requested
dd.mm.yyyy]])</f>
        <v>2024</v>
      </c>
      <c r="N1911" s="36">
        <f>IFERROR(INDEX(DATABASE_FG!$H$5:$H$367, MATCH(E1911, DATABASE_FG!$C$5:$C$367, 0)), " ")</f>
        <v>0</v>
      </c>
      <c r="O1911" s="129" t="str">
        <f>IF(E1911&lt;&gt;"", _xlfn.XLOOKUP(E1911, DATABASE_FG!C:C, DATABASE_FG!F:F), " ")</f>
        <v>Ghidaje</v>
      </c>
      <c r="P1911" s="129">
        <f>IFERROR(INDEX(DATABASE_FG!$G$5:$G$367, MATCH(E1911, DATABASE_FG!$C$5:$C$367, 0)), "Not Found")</f>
        <v>0</v>
      </c>
      <c r="Q1911" s="36"/>
      <c r="R1911" s="125" t="s">
        <v>678</v>
      </c>
      <c r="S1911" s="123">
        <f>IFERROR(INDEX(DATABASE_FG!$L$5:$L$367, MATCH(E1911, DATABASE_FG!$C$5:$C$367, 0)), " ")</f>
        <v>42</v>
      </c>
      <c r="T1911" s="36"/>
      <c r="U1911" s="36"/>
      <c r="V1911" s="36"/>
      <c r="W1911" s="129"/>
      <c r="X1911" s="36"/>
      <c r="Y1911" s="36"/>
      <c r="Z1911" s="36"/>
      <c r="AA1911" s="125" t="s">
        <v>121</v>
      </c>
      <c r="AB1911" s="173">
        <v>45432</v>
      </c>
      <c r="AC1911" s="119">
        <v>2024509</v>
      </c>
      <c r="AD1911" s="36">
        <f t="shared" si="215"/>
        <v>36635809</v>
      </c>
      <c r="AE1911" s="36" t="str">
        <f t="shared" si="216"/>
        <v>TK.KWSE20-A-0038-WW1</v>
      </c>
      <c r="AF1911" s="36">
        <v>39</v>
      </c>
      <c r="AG1911" s="120">
        <f t="shared" si="214"/>
        <v>220.35000000000002</v>
      </c>
      <c r="AH1911" s="36"/>
      <c r="AI1911" s="124"/>
      <c r="AJ1911" s="122" t="s">
        <v>1506</v>
      </c>
      <c r="AK1911" s="129" t="str">
        <f t="shared" ca="1" si="223"/>
        <v>Late</v>
      </c>
      <c r="AL1911" s="268" t="str">
        <f t="shared" si="222"/>
        <v>May</v>
      </c>
      <c r="AM1911" s="133">
        <f>YEAR(Table1[[#This Row],[ETA
As requested
dd.mm.yyyy]])</f>
        <v>2024</v>
      </c>
    </row>
    <row r="1912" spans="1:39" hidden="1">
      <c r="A1912" s="123" t="s">
        <v>83</v>
      </c>
      <c r="B1912" s="36" t="s">
        <v>1170</v>
      </c>
      <c r="C1912" s="117">
        <v>36635815</v>
      </c>
      <c r="D1912" s="165">
        <v>45400</v>
      </c>
      <c r="E1912" s="117" t="s">
        <v>98</v>
      </c>
      <c r="F1912" s="36" t="str">
        <f>IFERROR(VLOOKUP(Table1[[#This Row],[Part Number]],DATABASE_FG!$C$6:D11901,2,FALSE)," ")</f>
        <v xml:space="preserve">094132526-8011 </v>
      </c>
      <c r="G1912" s="117" t="str">
        <f>IFERROR(_xlfn.XLOOKUP(Table1[[#This Row],[Part Number]],Table3[Part number],Table3[Drawing
 Revision]),"")</f>
        <v>AA</v>
      </c>
      <c r="H1912" s="118" cm="1">
        <f t="array" ref="H1912">IFERROR(INDEX(PDB!$C:$AT,MATCH(E1912,PDB!$B:$B,0),MATCH(YEAR(K1912),0+PDB!$C$1:$AT$1,0)),"")</f>
        <v>5.65</v>
      </c>
      <c r="I1912" s="36">
        <v>100</v>
      </c>
      <c r="J1912" s="125">
        <f>IFERROR(Table1[[#This Row],[Quantity]]*Table1[[#This Row],[Price/Unit
EUR]]," ")</f>
        <v>565</v>
      </c>
      <c r="K1912" s="126">
        <v>45428</v>
      </c>
      <c r="L1912" s="36">
        <f>WEEKNUM(Table1[[#This Row],[ETA
As requested
dd.mm.yyyy]])</f>
        <v>20</v>
      </c>
      <c r="M1912" s="36">
        <f>YEAR(Table1[[#This Row],[ETA
As requested
dd.mm.yyyy]])</f>
        <v>2024</v>
      </c>
      <c r="N1912" s="36">
        <f>IFERROR(INDEX(DATABASE_FG!$H$5:$H$367, MATCH(E1912, DATABASE_FG!$C$5:$C$367, 0)), " ")</f>
        <v>0</v>
      </c>
      <c r="O1912" s="129" t="str">
        <f>IF(E1912&lt;&gt;"", _xlfn.XLOOKUP(E1912, DATABASE_FG!C:C, DATABASE_FG!F:F), " ")</f>
        <v>Ghidaje</v>
      </c>
      <c r="P1912" s="129">
        <f>IFERROR(INDEX(DATABASE_FG!$G$5:$G$367, MATCH(E1912, DATABASE_FG!$C$5:$C$367, 0)), "Not Found")</f>
        <v>0</v>
      </c>
      <c r="Q1912" s="36"/>
      <c r="R1912" s="125" t="s">
        <v>678</v>
      </c>
      <c r="S1912" s="123">
        <f>IFERROR(INDEX(DATABASE_FG!$L$5:$L$367, MATCH(E1912, DATABASE_FG!$C$5:$C$367, 0)), " ")</f>
        <v>42</v>
      </c>
      <c r="T1912" s="36" t="s">
        <v>679</v>
      </c>
      <c r="U1912" s="36"/>
      <c r="V1912" s="36"/>
      <c r="W1912" s="129"/>
      <c r="X1912" s="36"/>
      <c r="Y1912" s="36"/>
      <c r="Z1912" s="36">
        <v>242006</v>
      </c>
      <c r="AA1912" s="125" t="s">
        <v>121</v>
      </c>
      <c r="AB1912" s="173">
        <v>45432</v>
      </c>
      <c r="AC1912" s="119">
        <v>2024510</v>
      </c>
      <c r="AD1912" s="36">
        <f t="shared" si="215"/>
        <v>36635815</v>
      </c>
      <c r="AE1912" s="36" t="str">
        <f t="shared" si="216"/>
        <v>TK.KWSE20-A-0038-WW1</v>
      </c>
      <c r="AF1912" s="36">
        <v>100</v>
      </c>
      <c r="AG1912" s="120">
        <f t="shared" si="214"/>
        <v>565</v>
      </c>
      <c r="AH1912" s="36"/>
      <c r="AI1912" s="124"/>
      <c r="AJ1912" s="122" t="s">
        <v>1514</v>
      </c>
      <c r="AK1912" s="129" t="str">
        <f t="shared" ca="1" si="223"/>
        <v>Late</v>
      </c>
      <c r="AL1912" s="268" t="str">
        <f t="shared" si="222"/>
        <v>May</v>
      </c>
      <c r="AM1912" s="133">
        <f>YEAR(Table1[[#This Row],[ETA
As requested
dd.mm.yyyy]])</f>
        <v>2024</v>
      </c>
    </row>
    <row r="1913" spans="1:39" hidden="1">
      <c r="A1913" s="123" t="s">
        <v>83</v>
      </c>
      <c r="B1913" s="36" t="s">
        <v>1170</v>
      </c>
      <c r="C1913" s="117">
        <v>36635887</v>
      </c>
      <c r="D1913" s="165">
        <v>45400</v>
      </c>
      <c r="E1913" s="117" t="s">
        <v>98</v>
      </c>
      <c r="F1913" s="36" t="str">
        <f>IFERROR(VLOOKUP(Table1[[#This Row],[Part Number]],DATABASE_FG!$C$6:D11902,2,FALSE)," ")</f>
        <v xml:space="preserve">094132526-8011 </v>
      </c>
      <c r="G1913" s="117" t="str">
        <f>IFERROR(_xlfn.XLOOKUP(Table1[[#This Row],[Part Number]],Table3[Part number],Table3[Drawing
 Revision]),"")</f>
        <v>AA</v>
      </c>
      <c r="H1913" s="118" cm="1">
        <f t="array" ref="H1913">IFERROR(INDEX(PDB!$C:$AT,MATCH(E1913,PDB!$B:$B,0),MATCH(YEAR(K1913),0+PDB!$C$1:$AT$1,0)),"")</f>
        <v>5.65</v>
      </c>
      <c r="I1913" s="36">
        <v>150</v>
      </c>
      <c r="J1913" s="125">
        <f>IFERROR(Table1[[#This Row],[Quantity]]*Table1[[#This Row],[Price/Unit
EUR]]," ")</f>
        <v>847.5</v>
      </c>
      <c r="K1913" s="126">
        <v>45442</v>
      </c>
      <c r="L1913" s="36">
        <f>WEEKNUM(Table1[[#This Row],[ETA
As requested
dd.mm.yyyy]])</f>
        <v>22</v>
      </c>
      <c r="M1913" s="36">
        <f>YEAR(Table1[[#This Row],[ETA
As requested
dd.mm.yyyy]])</f>
        <v>2024</v>
      </c>
      <c r="N1913" s="36">
        <f>IFERROR(INDEX(DATABASE_FG!$H$5:$H$367, MATCH(E1913, DATABASE_FG!$C$5:$C$367, 0)), " ")</f>
        <v>0</v>
      </c>
      <c r="O1913" s="129" t="str">
        <f>IF(E1913&lt;&gt;"", _xlfn.XLOOKUP(E1913, DATABASE_FG!C:C, DATABASE_FG!F:F), " ")</f>
        <v>Ghidaje</v>
      </c>
      <c r="P1913" s="129">
        <f>IFERROR(INDEX(DATABASE_FG!$G$5:$G$367, MATCH(E1913, DATABASE_FG!$C$5:$C$367, 0)), "Not Found")</f>
        <v>0</v>
      </c>
      <c r="Q1913" s="36"/>
      <c r="R1913" s="125" t="s">
        <v>678</v>
      </c>
      <c r="S1913" s="123">
        <f>IFERROR(INDEX(DATABASE_FG!$L$5:$L$367, MATCH(E1913, DATABASE_FG!$C$5:$C$367, 0)), " ")</f>
        <v>42</v>
      </c>
      <c r="T1913" s="36" t="s">
        <v>679</v>
      </c>
      <c r="U1913" s="36"/>
      <c r="V1913" s="36"/>
      <c r="W1913" s="129"/>
      <c r="X1913" s="36"/>
      <c r="Y1913" s="36"/>
      <c r="Z1913" s="36">
        <v>242111</v>
      </c>
      <c r="AA1913" s="125" t="s">
        <v>121</v>
      </c>
      <c r="AB1913" s="173">
        <v>45434</v>
      </c>
      <c r="AC1913" s="119">
        <v>2024523</v>
      </c>
      <c r="AD1913" s="36">
        <f t="shared" si="215"/>
        <v>36635887</v>
      </c>
      <c r="AE1913" s="36" t="str">
        <f t="shared" si="216"/>
        <v>TK.KWSE20-A-0038-WW1</v>
      </c>
      <c r="AF1913" s="36">
        <v>150</v>
      </c>
      <c r="AG1913" s="120">
        <f t="shared" si="214"/>
        <v>847.5</v>
      </c>
      <c r="AH1913" s="36"/>
      <c r="AI1913" s="124"/>
      <c r="AJ1913" s="122" t="s">
        <v>1581</v>
      </c>
      <c r="AK1913" s="129" t="str">
        <f t="shared" ca="1" si="223"/>
        <v>On Time</v>
      </c>
      <c r="AL1913" s="268" t="str">
        <f t="shared" si="222"/>
        <v>May</v>
      </c>
      <c r="AM1913" s="133">
        <f>YEAR(Table1[[#This Row],[ETA
As requested
dd.mm.yyyy]])</f>
        <v>2024</v>
      </c>
    </row>
    <row r="1914" spans="1:39" hidden="1">
      <c r="A1914" s="123" t="s">
        <v>83</v>
      </c>
      <c r="B1914" s="36" t="s">
        <v>1170</v>
      </c>
      <c r="C1914" s="117">
        <v>37380424</v>
      </c>
      <c r="D1914" s="165">
        <v>45505</v>
      </c>
      <c r="E1914" s="117" t="s">
        <v>98</v>
      </c>
      <c r="F1914" s="36" t="str">
        <f>IFERROR(VLOOKUP(Table1[[#This Row],[Part Number]],DATABASE_FG!$C$6:D11903,2,FALSE)," ")</f>
        <v xml:space="preserve">094132526-8011 </v>
      </c>
      <c r="G1914" s="117" t="str">
        <f>IFERROR(_xlfn.XLOOKUP(Table1[[#This Row],[Part Number]],Table3[Part number],Table3[Drawing
 Revision]),"")</f>
        <v>AA</v>
      </c>
      <c r="H1914" s="118" cm="1">
        <f t="array" ref="H1914">IFERROR(INDEX(PDB!$C:$AT,MATCH(E1914,PDB!$B:$B,0),MATCH(YEAR(K1914),0+PDB!$C$1:$AT$1,0)),"")</f>
        <v>5.65</v>
      </c>
      <c r="I1914" s="36">
        <v>100</v>
      </c>
      <c r="J1914" s="125">
        <f>IFERROR(Table1[[#This Row],[Quantity]]*Table1[[#This Row],[Price/Unit
EUR]]," ")</f>
        <v>565</v>
      </c>
      <c r="K1914" s="126">
        <v>45510</v>
      </c>
      <c r="L1914" s="36">
        <f>WEEKNUM(Table1[[#This Row],[ETA
As requested
dd.mm.yyyy]])</f>
        <v>32</v>
      </c>
      <c r="M1914" s="36">
        <f>YEAR(Table1[[#This Row],[ETA
As requested
dd.mm.yyyy]])</f>
        <v>2024</v>
      </c>
      <c r="N1914" s="36">
        <f>IFERROR(INDEX(DATABASE_FG!$H$5:$H$367, MATCH(E1914, DATABASE_FG!$C$5:$C$367, 0)), " ")</f>
        <v>0</v>
      </c>
      <c r="O1914" s="129" t="str">
        <f>IF(E1914&lt;&gt;"", _xlfn.XLOOKUP(E1914, DATABASE_FG!C:C, DATABASE_FG!F:F), " ")</f>
        <v>Ghidaje</v>
      </c>
      <c r="P1914" s="129">
        <f>IFERROR(INDEX(DATABASE_FG!$G$5:$G$367, MATCH(E1914, DATABASE_FG!$C$5:$C$367, 0)), "Not Found")</f>
        <v>0</v>
      </c>
      <c r="Q1914" s="36"/>
      <c r="R1914" s="125" t="s">
        <v>678</v>
      </c>
      <c r="S1914" s="123">
        <f>IFERROR(INDEX(DATABASE_FG!$L$5:$L$367, MATCH(E1914, DATABASE_FG!$C$5:$C$367, 0)), " ")</f>
        <v>42</v>
      </c>
      <c r="T1914" s="36" t="s">
        <v>679</v>
      </c>
      <c r="U1914" s="36"/>
      <c r="V1914" s="36"/>
      <c r="W1914" s="129"/>
      <c r="X1914" s="36"/>
      <c r="Y1914" s="36"/>
      <c r="Z1914" s="36"/>
      <c r="AA1914" s="125" t="s">
        <v>121</v>
      </c>
      <c r="AB1914" s="173">
        <v>45510</v>
      </c>
      <c r="AC1914" s="119">
        <v>2024986</v>
      </c>
      <c r="AD1914" s="36">
        <f t="shared" si="215"/>
        <v>37380424</v>
      </c>
      <c r="AE1914" s="36" t="str">
        <f t="shared" si="216"/>
        <v>TK.KWSE20-A-0038-WW1</v>
      </c>
      <c r="AF1914" s="36">
        <v>53</v>
      </c>
      <c r="AG1914" s="120">
        <f t="shared" si="214"/>
        <v>299.45000000000005</v>
      </c>
      <c r="AH1914" s="36"/>
      <c r="AI1914" s="124"/>
      <c r="AJ1914" s="122" t="s">
        <v>1908</v>
      </c>
      <c r="AK1914" s="129" t="str">
        <f t="shared" ca="1" si="223"/>
        <v>On Time</v>
      </c>
      <c r="AL1914" s="268" t="str">
        <f t="shared" si="222"/>
        <v>August</v>
      </c>
      <c r="AM1914" s="133">
        <f>YEAR(Table1[[#This Row],[ETA
As requested
dd.mm.yyyy]])</f>
        <v>2024</v>
      </c>
    </row>
    <row r="1915" spans="1:39" hidden="1">
      <c r="A1915" s="123" t="s">
        <v>83</v>
      </c>
      <c r="B1915" s="36" t="s">
        <v>1170</v>
      </c>
      <c r="C1915" s="117">
        <v>37380424</v>
      </c>
      <c r="D1915" s="165">
        <v>45505</v>
      </c>
      <c r="E1915" s="117" t="s">
        <v>98</v>
      </c>
      <c r="F1915" s="36" t="str">
        <f>IFERROR(VLOOKUP(Table1[[#This Row],[Part Number]],DATABASE_FG!$C$6:D11904,2,FALSE)," ")</f>
        <v xml:space="preserve">094132526-8011 </v>
      </c>
      <c r="G1915" s="117" t="str">
        <f>IFERROR(_xlfn.XLOOKUP(Table1[[#This Row],[Part Number]],Table3[Part number],Table3[Drawing
 Revision]),"")</f>
        <v>AA</v>
      </c>
      <c r="H1915" s="118" cm="1">
        <f t="array" ref="H1915">IFERROR(INDEX(PDB!$C:$AT,MATCH(E1915,PDB!$B:$B,0),MATCH(YEAR(K1915),0+PDB!$C$1:$AT$1,0)),"")</f>
        <v>5.65</v>
      </c>
      <c r="I1915" s="36">
        <v>0</v>
      </c>
      <c r="J1915" s="125">
        <f>IFERROR(Table1[[#This Row],[Quantity]]*Table1[[#This Row],[Price/Unit
EUR]]," ")</f>
        <v>0</v>
      </c>
      <c r="K1915" s="126">
        <v>45510</v>
      </c>
      <c r="L1915" s="36">
        <f>WEEKNUM(Table1[[#This Row],[ETA
As requested
dd.mm.yyyy]])</f>
        <v>32</v>
      </c>
      <c r="M1915" s="36">
        <f>YEAR(Table1[[#This Row],[ETA
As requested
dd.mm.yyyy]])</f>
        <v>2024</v>
      </c>
      <c r="N1915" s="36">
        <f>IFERROR(INDEX(DATABASE_FG!$H$5:$H$367, MATCH(E1915, DATABASE_FG!$C$5:$C$367, 0)), " ")</f>
        <v>0</v>
      </c>
      <c r="O1915" s="129" t="str">
        <f>IF(E1915&lt;&gt;"", _xlfn.XLOOKUP(E1915, DATABASE_FG!C:C, DATABASE_FG!F:F), " ")</f>
        <v>Ghidaje</v>
      </c>
      <c r="P1915" s="129">
        <f>IFERROR(INDEX(DATABASE_FG!$G$5:$G$367, MATCH(E1915, DATABASE_FG!$C$5:$C$367, 0)), "Not Found")</f>
        <v>0</v>
      </c>
      <c r="Q1915" s="36"/>
      <c r="R1915" s="125" t="s">
        <v>678</v>
      </c>
      <c r="S1915" s="123">
        <f>Table1[[#This Row],[Quantity]]/48</f>
        <v>0</v>
      </c>
      <c r="T1915" s="36"/>
      <c r="U1915" s="36"/>
      <c r="V1915" s="36"/>
      <c r="W1915" s="129"/>
      <c r="X1915" s="36"/>
      <c r="Y1915" s="36"/>
      <c r="Z1915" s="36"/>
      <c r="AA1915" s="125" t="s">
        <v>121</v>
      </c>
      <c r="AB1915" s="173">
        <v>45537</v>
      </c>
      <c r="AC1915" s="119">
        <v>202401086</v>
      </c>
      <c r="AD1915" s="36">
        <f t="shared" si="215"/>
        <v>37380424</v>
      </c>
      <c r="AE1915" s="36" t="str">
        <f t="shared" si="216"/>
        <v>TK.KWSE20-A-0038-WW1</v>
      </c>
      <c r="AF1915" s="36">
        <v>47</v>
      </c>
      <c r="AG1915" s="120">
        <f t="shared" ref="AG1915:AG1978" si="224">AF1915*H1915</f>
        <v>265.55</v>
      </c>
      <c r="AH1915" s="36"/>
      <c r="AI1915" s="124"/>
      <c r="AJ1915" s="122" t="s">
        <v>1919</v>
      </c>
      <c r="AK1915" s="129" t="str">
        <f t="shared" ca="1" si="223"/>
        <v>Late</v>
      </c>
      <c r="AL1915" s="268" t="str">
        <f t="shared" si="222"/>
        <v>August</v>
      </c>
      <c r="AM1915" s="133">
        <f>YEAR(Table1[[#This Row],[ETA
As requested
dd.mm.yyyy]])</f>
        <v>2024</v>
      </c>
    </row>
    <row r="1916" spans="1:39" hidden="1">
      <c r="A1916" s="123" t="s">
        <v>83</v>
      </c>
      <c r="B1916" s="36" t="s">
        <v>1170</v>
      </c>
      <c r="C1916" s="117">
        <v>37380425</v>
      </c>
      <c r="D1916" s="165">
        <v>45505</v>
      </c>
      <c r="E1916" s="117" t="s">
        <v>98</v>
      </c>
      <c r="F1916" s="36" t="str">
        <f>IFERROR(VLOOKUP(Table1[[#This Row],[Part Number]],DATABASE_FG!$C$6:D11905,2,FALSE)," ")</f>
        <v xml:space="preserve">094132526-8011 </v>
      </c>
      <c r="G1916" s="117" t="str">
        <f>IFERROR(_xlfn.XLOOKUP(Table1[[#This Row],[Part Number]],Table3[Part number],Table3[Drawing
 Revision]),"")</f>
        <v>AA</v>
      </c>
      <c r="H1916" s="118" cm="1">
        <f t="array" ref="H1916">IFERROR(INDEX(PDB!$C:$AT,MATCH(E1916,PDB!$B:$B,0),MATCH(YEAR(K1916),0+PDB!$C$1:$AT$1,0)),"")</f>
        <v>5.65</v>
      </c>
      <c r="I1916" s="36">
        <v>100</v>
      </c>
      <c r="J1916" s="125">
        <f>IFERROR(Table1[[#This Row],[Quantity]]*Table1[[#This Row],[Price/Unit
EUR]]," ")</f>
        <v>565</v>
      </c>
      <c r="K1916" s="126">
        <v>45517</v>
      </c>
      <c r="L1916" s="36">
        <f>WEEKNUM(Table1[[#This Row],[ETA
As requested
dd.mm.yyyy]])</f>
        <v>33</v>
      </c>
      <c r="M1916" s="36">
        <f>YEAR(Table1[[#This Row],[ETA
As requested
dd.mm.yyyy]])</f>
        <v>2024</v>
      </c>
      <c r="N1916" s="36">
        <f>IFERROR(INDEX(DATABASE_FG!$H$5:$H$367, MATCH(E1916, DATABASE_FG!$C$5:$C$367, 0)), " ")</f>
        <v>0</v>
      </c>
      <c r="O1916" s="129" t="str">
        <f>IF(E1916&lt;&gt;"", _xlfn.XLOOKUP(E1916, DATABASE_FG!C:C, DATABASE_FG!F:F), " ")</f>
        <v>Ghidaje</v>
      </c>
      <c r="P1916" s="129">
        <f>IFERROR(INDEX(DATABASE_FG!$G$5:$G$367, MATCH(E1916, DATABASE_FG!$C$5:$C$367, 0)), "Not Found")</f>
        <v>0</v>
      </c>
      <c r="Q1916" s="36"/>
      <c r="R1916" s="125" t="s">
        <v>678</v>
      </c>
      <c r="S1916" s="123">
        <f>IFERROR(INDEX(DATABASE_FG!$L$5:$L$367, MATCH(E1916, DATABASE_FG!$C$5:$C$367, 0)), " ")</f>
        <v>42</v>
      </c>
      <c r="T1916" s="36" t="s">
        <v>679</v>
      </c>
      <c r="U1916" s="36"/>
      <c r="V1916" s="36"/>
      <c r="W1916" s="129"/>
      <c r="X1916" s="36"/>
      <c r="Y1916" s="36"/>
      <c r="Z1916" s="36"/>
      <c r="AA1916" s="125" t="s">
        <v>121</v>
      </c>
      <c r="AB1916" s="173">
        <v>45537</v>
      </c>
      <c r="AC1916" s="119">
        <v>202401087</v>
      </c>
      <c r="AD1916" s="36">
        <f t="shared" si="215"/>
        <v>37380425</v>
      </c>
      <c r="AE1916" s="36" t="str">
        <f t="shared" si="216"/>
        <v>TK.KWSE20-A-0038-WW1</v>
      </c>
      <c r="AF1916" s="36">
        <v>100</v>
      </c>
      <c r="AG1916" s="120">
        <f t="shared" si="224"/>
        <v>565</v>
      </c>
      <c r="AH1916" s="36"/>
      <c r="AI1916" s="124"/>
      <c r="AJ1916" s="122" t="s">
        <v>1949</v>
      </c>
      <c r="AK1916" s="129" t="str">
        <f t="shared" ca="1" si="223"/>
        <v>Late</v>
      </c>
      <c r="AL1916" s="268" t="str">
        <f t="shared" si="222"/>
        <v>August</v>
      </c>
      <c r="AM1916" s="133">
        <f>YEAR(Table1[[#This Row],[ETA
As requested
dd.mm.yyyy]])</f>
        <v>2024</v>
      </c>
    </row>
    <row r="1917" spans="1:39" hidden="1">
      <c r="A1917" s="123" t="s">
        <v>83</v>
      </c>
      <c r="B1917" s="36" t="s">
        <v>1170</v>
      </c>
      <c r="C1917" s="117">
        <v>37380431</v>
      </c>
      <c r="D1917" s="165">
        <v>45505</v>
      </c>
      <c r="E1917" s="117" t="s">
        <v>98</v>
      </c>
      <c r="F1917" s="36" t="str">
        <f>IFERROR(VLOOKUP(Table1[[#This Row],[Part Number]],DATABASE_FG!$C$6:D11906,2,FALSE)," ")</f>
        <v xml:space="preserve">094132526-8011 </v>
      </c>
      <c r="G1917" s="117" t="str">
        <f>IFERROR(_xlfn.XLOOKUP(Table1[[#This Row],[Part Number]],Table3[Part number],Table3[Drawing
 Revision]),"")</f>
        <v>AA</v>
      </c>
      <c r="H1917" s="118" cm="1">
        <f t="array" ref="H1917">IFERROR(INDEX(PDB!$C:$AT,MATCH(E1917,PDB!$B:$B,0),MATCH(YEAR(K1917),0+PDB!$C$1:$AT$1,0)),"")</f>
        <v>5.65</v>
      </c>
      <c r="I1917" s="36">
        <v>100</v>
      </c>
      <c r="J1917" s="125">
        <f>IFERROR(Table1[[#This Row],[Quantity]]*Table1[[#This Row],[Price/Unit
EUR]]," ")</f>
        <v>565</v>
      </c>
      <c r="K1917" s="126">
        <v>45524</v>
      </c>
      <c r="L1917" s="36">
        <f>WEEKNUM(Table1[[#This Row],[ETA
As requested
dd.mm.yyyy]])</f>
        <v>34</v>
      </c>
      <c r="M1917" s="36">
        <f>YEAR(Table1[[#This Row],[ETA
As requested
dd.mm.yyyy]])</f>
        <v>2024</v>
      </c>
      <c r="N1917" s="36">
        <f>IFERROR(INDEX(DATABASE_FG!$H$5:$H$367, MATCH(E1917, DATABASE_FG!$C$5:$C$367, 0)), " ")</f>
        <v>0</v>
      </c>
      <c r="O1917" s="129" t="str">
        <f>IF(E1917&lt;&gt;"", _xlfn.XLOOKUP(E1917, DATABASE_FG!C:C, DATABASE_FG!F:F), " ")</f>
        <v>Ghidaje</v>
      </c>
      <c r="P1917" s="129">
        <f>IFERROR(INDEX(DATABASE_FG!$G$5:$G$367, MATCH(E1917, DATABASE_FG!$C$5:$C$367, 0)), "Not Found")</f>
        <v>0</v>
      </c>
      <c r="Q1917" s="36"/>
      <c r="R1917" s="125" t="s">
        <v>678</v>
      </c>
      <c r="S1917" s="123">
        <f>IFERROR(INDEX(DATABASE_FG!$L$5:$L$367, MATCH(E1917, DATABASE_FG!$C$5:$C$367, 0)), " ")</f>
        <v>42</v>
      </c>
      <c r="T1917" s="36" t="s">
        <v>679</v>
      </c>
      <c r="U1917" s="36"/>
      <c r="V1917" s="36"/>
      <c r="W1917" s="129"/>
      <c r="X1917" s="36"/>
      <c r="Y1917" s="36"/>
      <c r="Z1917" s="36"/>
      <c r="AA1917" s="125" t="s">
        <v>121</v>
      </c>
      <c r="AB1917" s="173">
        <v>45537</v>
      </c>
      <c r="AC1917" s="119">
        <v>202401088</v>
      </c>
      <c r="AD1917" s="36">
        <f t="shared" si="215"/>
        <v>37380431</v>
      </c>
      <c r="AE1917" s="36" t="str">
        <f t="shared" si="216"/>
        <v>TK.KWSE20-A-0038-WW1</v>
      </c>
      <c r="AF1917" s="36">
        <v>100</v>
      </c>
      <c r="AG1917" s="120">
        <f t="shared" si="224"/>
        <v>565</v>
      </c>
      <c r="AH1917" s="36"/>
      <c r="AI1917" s="124"/>
      <c r="AJ1917" s="122" t="s">
        <v>2107</v>
      </c>
      <c r="AK1917" s="129" t="str">
        <f t="shared" ca="1" si="223"/>
        <v>Late</v>
      </c>
      <c r="AL1917" s="268" t="str">
        <f t="shared" si="222"/>
        <v>August</v>
      </c>
      <c r="AM1917" s="133">
        <f>YEAR(Table1[[#This Row],[ETA
As requested
dd.mm.yyyy]])</f>
        <v>2024</v>
      </c>
    </row>
    <row r="1918" spans="1:39" hidden="1">
      <c r="A1918" s="123" t="s">
        <v>83</v>
      </c>
      <c r="B1918" s="36" t="s">
        <v>1170</v>
      </c>
      <c r="C1918" s="117">
        <v>37380435</v>
      </c>
      <c r="D1918" s="165">
        <v>45505</v>
      </c>
      <c r="E1918" s="117" t="s">
        <v>98</v>
      </c>
      <c r="F1918" s="36" t="str">
        <f>IFERROR(VLOOKUP(Table1[[#This Row],[Part Number]],DATABASE_FG!$C$6:D11907,2,FALSE)," ")</f>
        <v xml:space="preserve">094132526-8011 </v>
      </c>
      <c r="G1918" s="117" t="str">
        <f>IFERROR(_xlfn.XLOOKUP(Table1[[#This Row],[Part Number]],Table3[Part number],Table3[Drawing
 Revision]),"")</f>
        <v>AA</v>
      </c>
      <c r="H1918" s="118" cm="1">
        <f t="array" ref="H1918">IFERROR(INDEX(PDB!$C:$AT,MATCH(E1918,PDB!$B:$B,0),MATCH(YEAR(K1918),0+PDB!$C$1:$AT$1,0)),"")</f>
        <v>5.65</v>
      </c>
      <c r="I1918" s="36">
        <v>100</v>
      </c>
      <c r="J1918" s="125">
        <f>IFERROR(Table1[[#This Row],[Quantity]]*Table1[[#This Row],[Price/Unit
EUR]]," ")</f>
        <v>565</v>
      </c>
      <c r="K1918" s="126">
        <v>45531</v>
      </c>
      <c r="L1918" s="36">
        <f>WEEKNUM(Table1[[#This Row],[ETA
As requested
dd.mm.yyyy]])</f>
        <v>35</v>
      </c>
      <c r="M1918" s="36">
        <f>YEAR(Table1[[#This Row],[ETA
As requested
dd.mm.yyyy]])</f>
        <v>2024</v>
      </c>
      <c r="N1918" s="36">
        <f>IFERROR(INDEX(DATABASE_FG!$H$5:$H$367, MATCH(E1918, DATABASE_FG!$C$5:$C$367, 0)), " ")</f>
        <v>0</v>
      </c>
      <c r="O1918" s="129" t="str">
        <f>IF(E1918&lt;&gt;"", _xlfn.XLOOKUP(E1918, DATABASE_FG!C:C, DATABASE_FG!F:F), " ")</f>
        <v>Ghidaje</v>
      </c>
      <c r="P1918" s="129">
        <f>IFERROR(INDEX(DATABASE_FG!$G$5:$G$367, MATCH(E1918, DATABASE_FG!$C$5:$C$367, 0)), "Not Found")</f>
        <v>0</v>
      </c>
      <c r="Q1918" s="36"/>
      <c r="R1918" s="125" t="s">
        <v>678</v>
      </c>
      <c r="S1918" s="123">
        <f>IFERROR(INDEX(DATABASE_FG!$L$5:$L$367, MATCH(E1918, DATABASE_FG!$C$5:$C$367, 0)), " ")</f>
        <v>42</v>
      </c>
      <c r="T1918" s="36" t="s">
        <v>679</v>
      </c>
      <c r="U1918" s="36"/>
      <c r="V1918" s="36"/>
      <c r="W1918" s="129"/>
      <c r="X1918" s="36"/>
      <c r="Y1918" s="36"/>
      <c r="Z1918" s="36"/>
      <c r="AA1918" s="125" t="s">
        <v>121</v>
      </c>
      <c r="AB1918" s="173">
        <v>45537</v>
      </c>
      <c r="AC1918" s="119">
        <v>202401089</v>
      </c>
      <c r="AD1918" s="36">
        <f t="shared" si="215"/>
        <v>37380435</v>
      </c>
      <c r="AE1918" s="36" t="str">
        <f t="shared" si="216"/>
        <v>TK.KWSE20-A-0038-WW1</v>
      </c>
      <c r="AF1918" s="36">
        <v>100</v>
      </c>
      <c r="AG1918" s="120">
        <f t="shared" si="224"/>
        <v>565</v>
      </c>
      <c r="AH1918" s="36"/>
      <c r="AI1918" s="124"/>
      <c r="AJ1918" s="122" t="s">
        <v>2123</v>
      </c>
      <c r="AK1918" s="129" t="str">
        <f t="shared" ca="1" si="223"/>
        <v>Late</v>
      </c>
      <c r="AL1918" s="268" t="str">
        <f t="shared" si="222"/>
        <v>August</v>
      </c>
      <c r="AM1918" s="133">
        <f>YEAR(Table1[[#This Row],[ETA
As requested
dd.mm.yyyy]])</f>
        <v>2024</v>
      </c>
    </row>
    <row r="1919" spans="1:39" hidden="1">
      <c r="A1919" s="123" t="s">
        <v>83</v>
      </c>
      <c r="B1919" s="36" t="s">
        <v>1170</v>
      </c>
      <c r="C1919" s="117">
        <v>37521146</v>
      </c>
      <c r="D1919" s="165">
        <v>45527</v>
      </c>
      <c r="E1919" s="117" t="s">
        <v>98</v>
      </c>
      <c r="F1919" s="36" t="str">
        <f>IFERROR(VLOOKUP(Table1[[#This Row],[Part Number]],DATABASE_FG!$C$6:D11908,2,FALSE)," ")</f>
        <v xml:space="preserve">094132526-8011 </v>
      </c>
      <c r="G1919" s="117" t="str">
        <f>IFERROR(_xlfn.XLOOKUP(Table1[[#This Row],[Part Number]],Table3[Part number],Table3[Drawing
 Revision]),"")</f>
        <v>AA</v>
      </c>
      <c r="H1919" s="118" cm="1">
        <f t="array" ref="H1919">IFERROR(INDEX(PDB!$C:$AT,MATCH(E1919,PDB!$B:$B,0),MATCH(YEAR(K1919),0+PDB!$C$1:$AT$1,0)),"")</f>
        <v>5.65</v>
      </c>
      <c r="I1919" s="36">
        <v>50</v>
      </c>
      <c r="J1919" s="125">
        <f>IFERROR(Table1[[#This Row],[Quantity]]*Table1[[#This Row],[Price/Unit
EUR]]," ")</f>
        <v>282.5</v>
      </c>
      <c r="K1919" s="126">
        <v>45537</v>
      </c>
      <c r="L1919" s="36">
        <f>WEEKNUM(Table1[[#This Row],[ETA
As requested
dd.mm.yyyy]])</f>
        <v>36</v>
      </c>
      <c r="M1919" s="36">
        <f>YEAR(Table1[[#This Row],[ETA
As requested
dd.mm.yyyy]])</f>
        <v>2024</v>
      </c>
      <c r="N1919" s="36">
        <f>IFERROR(INDEX(DATABASE_FG!$H$5:$H$367, MATCH(E1919, DATABASE_FG!$C$5:$C$367, 0)), " ")</f>
        <v>0</v>
      </c>
      <c r="O1919" s="129" t="str">
        <f>IF(E1919&lt;&gt;"", _xlfn.XLOOKUP(E1919, DATABASE_FG!C:C, DATABASE_FG!F:F), " ")</f>
        <v>Ghidaje</v>
      </c>
      <c r="P1919" s="129">
        <f>IFERROR(INDEX(DATABASE_FG!$G$5:$G$367, MATCH(E1919, DATABASE_FG!$C$5:$C$367, 0)), "Not Found")</f>
        <v>0</v>
      </c>
      <c r="Q1919" s="36"/>
      <c r="R1919" s="125" t="s">
        <v>678</v>
      </c>
      <c r="S1919" s="123">
        <f>IFERROR(INDEX(DATABASE_FG!$L$5:$L$367, MATCH(E1919, DATABASE_FG!$C$5:$C$367, 0)), " ")</f>
        <v>42</v>
      </c>
      <c r="T1919" s="36" t="s">
        <v>679</v>
      </c>
      <c r="U1919" s="36"/>
      <c r="V1919" s="36"/>
      <c r="W1919" s="129"/>
      <c r="X1919" s="36">
        <v>45513</v>
      </c>
      <c r="Y1919" s="36"/>
      <c r="Z1919" s="36"/>
      <c r="AA1919" s="125" t="s">
        <v>121</v>
      </c>
      <c r="AB1919" s="173">
        <v>45538</v>
      </c>
      <c r="AC1919" s="119">
        <v>202401095</v>
      </c>
      <c r="AD1919" s="36">
        <f t="shared" si="215"/>
        <v>37521146</v>
      </c>
      <c r="AE1919" s="36" t="str">
        <f t="shared" si="216"/>
        <v>TK.KWSE20-A-0038-WW1</v>
      </c>
      <c r="AF1919" s="36">
        <v>50</v>
      </c>
      <c r="AG1919" s="120">
        <f t="shared" si="224"/>
        <v>282.5</v>
      </c>
      <c r="AH1919" s="36"/>
      <c r="AI1919" s="124"/>
      <c r="AJ1919" s="122" t="s">
        <v>2313</v>
      </c>
      <c r="AK1919" s="129" t="str">
        <f t="shared" ca="1" si="223"/>
        <v>On Time</v>
      </c>
      <c r="AL1919" s="268" t="str">
        <f t="shared" si="222"/>
        <v>September</v>
      </c>
      <c r="AM1919" s="133">
        <f>YEAR(Table1[[#This Row],[ETA
As requested
dd.mm.yyyy]])</f>
        <v>2024</v>
      </c>
    </row>
    <row r="1920" spans="1:39" hidden="1">
      <c r="A1920" s="123" t="s">
        <v>83</v>
      </c>
      <c r="B1920" s="36" t="s">
        <v>1170</v>
      </c>
      <c r="C1920" s="117">
        <v>37520887</v>
      </c>
      <c r="D1920" s="165">
        <v>45527</v>
      </c>
      <c r="E1920" s="117" t="s">
        <v>98</v>
      </c>
      <c r="F1920" s="36" t="str">
        <f>IFERROR(VLOOKUP(Table1[[#This Row],[Part Number]],DATABASE_FG!$C$6:D11909,2,FALSE)," ")</f>
        <v xml:space="preserve">094132526-8011 </v>
      </c>
      <c r="G1920" s="117" t="str">
        <f>IFERROR(_xlfn.XLOOKUP(Table1[[#This Row],[Part Number]],Table3[Part number],Table3[Drawing
 Revision]),"")</f>
        <v>AA</v>
      </c>
      <c r="H1920" s="118" cm="1">
        <f t="array" ref="H1920">IFERROR(INDEX(PDB!$C:$AT,MATCH(E1920,PDB!$B:$B,0),MATCH(YEAR(K1920),0+PDB!$C$1:$AT$1,0)),"")</f>
        <v>5.65</v>
      </c>
      <c r="I1920" s="36">
        <v>4</v>
      </c>
      <c r="J1920" s="125">
        <f>IFERROR(Table1[[#This Row],[Quantity]]*Table1[[#This Row],[Price/Unit
EUR]]," ")</f>
        <v>22.6</v>
      </c>
      <c r="K1920" s="126">
        <v>45541</v>
      </c>
      <c r="L1920" s="36">
        <f>WEEKNUM(Table1[[#This Row],[ETA
As requested
dd.mm.yyyy]])</f>
        <v>36</v>
      </c>
      <c r="M1920" s="36">
        <f>YEAR(Table1[[#This Row],[ETA
As requested
dd.mm.yyyy]])</f>
        <v>2024</v>
      </c>
      <c r="N1920" s="36">
        <f>IFERROR(INDEX(DATABASE_FG!$H$5:$H$367, MATCH(E1920, DATABASE_FG!$C$5:$C$367, 0)), " ")</f>
        <v>0</v>
      </c>
      <c r="O1920" s="129" t="str">
        <f>IF(E1920&lt;&gt;"", _xlfn.XLOOKUP(E1920, DATABASE_FG!C:C, DATABASE_FG!F:F), " ")</f>
        <v>Ghidaje</v>
      </c>
      <c r="P1920" s="129">
        <f>IFERROR(INDEX(DATABASE_FG!$G$5:$G$367, MATCH(E1920, DATABASE_FG!$C$5:$C$367, 0)), "Not Found")</f>
        <v>0</v>
      </c>
      <c r="Q1920" s="36"/>
      <c r="R1920" s="125" t="s">
        <v>678</v>
      </c>
      <c r="S1920" s="123">
        <f>IFERROR(INDEX(DATABASE_FG!$L$5:$L$367, MATCH(E1920, DATABASE_FG!$C$5:$C$367, 0)), " ")</f>
        <v>42</v>
      </c>
      <c r="T1920" s="36"/>
      <c r="U1920" s="36"/>
      <c r="V1920" s="36"/>
      <c r="W1920" s="129"/>
      <c r="X1920" s="36"/>
      <c r="Y1920" s="36"/>
      <c r="Z1920" s="36"/>
      <c r="AA1920" s="125" t="s">
        <v>121</v>
      </c>
      <c r="AB1920" s="173">
        <v>45568</v>
      </c>
      <c r="AC1920" s="119">
        <v>202401200</v>
      </c>
      <c r="AD1920" s="36">
        <f t="shared" si="215"/>
        <v>37520887</v>
      </c>
      <c r="AE1920" s="36" t="str">
        <f t="shared" si="216"/>
        <v>TK.KWSE20-A-0038-WW1</v>
      </c>
      <c r="AF1920" s="36">
        <v>4</v>
      </c>
      <c r="AG1920" s="120">
        <f t="shared" si="224"/>
        <v>22.6</v>
      </c>
      <c r="AH1920" s="36"/>
      <c r="AI1920" s="124" t="s">
        <v>310</v>
      </c>
      <c r="AJ1920" s="122" t="s">
        <v>2351</v>
      </c>
      <c r="AK1920" s="129" t="str">
        <f t="shared" ca="1" si="223"/>
        <v>Late</v>
      </c>
      <c r="AL1920" s="268" t="str">
        <f t="shared" si="222"/>
        <v>September</v>
      </c>
      <c r="AM1920" s="133">
        <f>YEAR(Table1[[#This Row],[ETA
As requested
dd.mm.yyyy]])</f>
        <v>2024</v>
      </c>
    </row>
    <row r="1921" spans="1:39" hidden="1">
      <c r="A1921" s="123" t="s">
        <v>83</v>
      </c>
      <c r="B1921" s="36" t="s">
        <v>1170</v>
      </c>
      <c r="C1921" s="117">
        <v>37521146</v>
      </c>
      <c r="D1921" s="165">
        <v>45527</v>
      </c>
      <c r="E1921" s="117" t="s">
        <v>98</v>
      </c>
      <c r="F1921" s="36" t="str">
        <f>IFERROR(VLOOKUP(Table1[[#This Row],[Part Number]],DATABASE_FG!$C$6:D11910,2,FALSE)," ")</f>
        <v xml:space="preserve">094132526-8011 </v>
      </c>
      <c r="G1921" s="117" t="str">
        <f>IFERROR(_xlfn.XLOOKUP(Table1[[#This Row],[Part Number]],Table3[Part number],Table3[Drawing
 Revision]),"")</f>
        <v>AA</v>
      </c>
      <c r="H1921" s="118" cm="1">
        <f t="array" ref="H1921">IFERROR(INDEX(PDB!$C:$AT,MATCH(E1921,PDB!$B:$B,0),MATCH(YEAR(K1921),0+PDB!$C$1:$AT$1,0)),"")</f>
        <v>5.65</v>
      </c>
      <c r="I1921" s="36">
        <v>50</v>
      </c>
      <c r="J1921" s="125">
        <f>IFERROR(Table1[[#This Row],[Quantity]]*Table1[[#This Row],[Price/Unit
EUR]]," ")</f>
        <v>282.5</v>
      </c>
      <c r="K1921" s="126">
        <v>45544</v>
      </c>
      <c r="L1921" s="36">
        <f>WEEKNUM(Table1[[#This Row],[ETA
As requested
dd.mm.yyyy]])</f>
        <v>37</v>
      </c>
      <c r="M1921" s="36">
        <f>YEAR(Table1[[#This Row],[ETA
As requested
dd.mm.yyyy]])</f>
        <v>2024</v>
      </c>
      <c r="N1921" s="36">
        <f>IFERROR(INDEX(DATABASE_FG!$H$5:$H$367, MATCH(E1921, DATABASE_FG!$C$5:$C$367, 0)), " ")</f>
        <v>0</v>
      </c>
      <c r="O1921" s="129" t="str">
        <f>IF(E1921&lt;&gt;"", _xlfn.XLOOKUP(E1921, DATABASE_FG!C:C, DATABASE_FG!F:F), " ")</f>
        <v>Ghidaje</v>
      </c>
      <c r="P1921" s="129">
        <f>IFERROR(INDEX(DATABASE_FG!$G$5:$G$367, MATCH(E1921, DATABASE_FG!$C$5:$C$367, 0)), "Not Found")</f>
        <v>0</v>
      </c>
      <c r="Q1921" s="36"/>
      <c r="R1921" s="125" t="s">
        <v>678</v>
      </c>
      <c r="S1921" s="123">
        <f>IFERROR(INDEX(DATABASE_FG!$L$5:$L$367, MATCH(E1921, DATABASE_FG!$C$5:$C$367, 0)), " ")</f>
        <v>42</v>
      </c>
      <c r="T1921" s="36"/>
      <c r="U1921" s="36"/>
      <c r="V1921" s="36"/>
      <c r="W1921" s="129"/>
      <c r="X1921" s="36"/>
      <c r="Y1921" s="36"/>
      <c r="Z1921" s="36"/>
      <c r="AA1921" s="125" t="s">
        <v>121</v>
      </c>
      <c r="AB1921" s="173">
        <v>45545</v>
      </c>
      <c r="AC1921" s="119">
        <v>202401122</v>
      </c>
      <c r="AD1921" s="36">
        <f t="shared" si="215"/>
        <v>37521146</v>
      </c>
      <c r="AE1921" s="36" t="str">
        <f t="shared" si="216"/>
        <v>TK.KWSE20-A-0038-WW1</v>
      </c>
      <c r="AF1921" s="36">
        <v>50</v>
      </c>
      <c r="AG1921" s="120">
        <f t="shared" si="224"/>
        <v>282.5</v>
      </c>
      <c r="AH1921" s="36"/>
      <c r="AI1921" s="124"/>
      <c r="AJ1921" s="122" t="s">
        <v>2365</v>
      </c>
      <c r="AK1921" s="129" t="str">
        <f t="shared" ca="1" si="223"/>
        <v>On Time</v>
      </c>
      <c r="AL1921" s="268" t="str">
        <f t="shared" si="222"/>
        <v>September</v>
      </c>
      <c r="AM1921" s="133">
        <f>YEAR(Table1[[#This Row],[ETA
As requested
dd.mm.yyyy]])</f>
        <v>2024</v>
      </c>
    </row>
    <row r="1922" spans="1:39" hidden="1">
      <c r="A1922" s="123" t="s">
        <v>83</v>
      </c>
      <c r="B1922" s="36" t="s">
        <v>1170</v>
      </c>
      <c r="C1922" s="117">
        <v>37521146</v>
      </c>
      <c r="D1922" s="165">
        <v>45527</v>
      </c>
      <c r="E1922" s="117" t="s">
        <v>98</v>
      </c>
      <c r="F1922" s="36" t="str">
        <f>IFERROR(VLOOKUP(Table1[[#This Row],[Part Number]],DATABASE_FG!$C$6:D11911,2,FALSE)," ")</f>
        <v xml:space="preserve">094132526-8011 </v>
      </c>
      <c r="G1922" s="117" t="str">
        <f>IFERROR(_xlfn.XLOOKUP(Table1[[#This Row],[Part Number]],Table3[Part number],Table3[Drawing
 Revision]),"")</f>
        <v>AA</v>
      </c>
      <c r="H1922" s="118" cm="1">
        <f t="array" ref="H1922">IFERROR(INDEX(PDB!$C:$AT,MATCH(E1922,PDB!$B:$B,0),MATCH(YEAR(K1922),0+PDB!$C$1:$AT$1,0)),"")</f>
        <v>5.65</v>
      </c>
      <c r="I1922" s="36">
        <v>50</v>
      </c>
      <c r="J1922" s="125">
        <f>IFERROR(Table1[[#This Row],[Quantity]]*Table1[[#This Row],[Price/Unit
EUR]]," ")</f>
        <v>282.5</v>
      </c>
      <c r="K1922" s="126">
        <v>45551</v>
      </c>
      <c r="L1922" s="36">
        <f>WEEKNUM(Table1[[#This Row],[ETA
As requested
dd.mm.yyyy]])</f>
        <v>38</v>
      </c>
      <c r="M1922" s="36">
        <f>YEAR(Table1[[#This Row],[ETA
As requested
dd.mm.yyyy]])</f>
        <v>2024</v>
      </c>
      <c r="N1922" s="36">
        <f>IFERROR(INDEX(DATABASE_FG!$H$5:$H$367, MATCH(E1922, DATABASE_FG!$C$5:$C$367, 0)), " ")</f>
        <v>0</v>
      </c>
      <c r="O1922" s="129" t="str">
        <f>IF(E1922&lt;&gt;"", _xlfn.XLOOKUP(E1922, DATABASE_FG!C:C, DATABASE_FG!F:F), " ")</f>
        <v>Ghidaje</v>
      </c>
      <c r="P1922" s="129">
        <f>IFERROR(INDEX(DATABASE_FG!$G$5:$G$367, MATCH(E1922, DATABASE_FG!$C$5:$C$367, 0)), "Not Found")</f>
        <v>0</v>
      </c>
      <c r="Q1922" s="36"/>
      <c r="R1922" s="125" t="s">
        <v>678</v>
      </c>
      <c r="S1922" s="123">
        <f>IFERROR(INDEX(DATABASE_FG!$L$5:$L$367, MATCH(E1922, DATABASE_FG!$C$5:$C$367, 0)), " ")</f>
        <v>42</v>
      </c>
      <c r="T1922" s="36"/>
      <c r="U1922" s="36"/>
      <c r="V1922" s="36"/>
      <c r="W1922" s="129"/>
      <c r="X1922" s="36"/>
      <c r="Y1922" s="36"/>
      <c r="Z1922" s="36"/>
      <c r="AA1922" s="125" t="s">
        <v>121</v>
      </c>
      <c r="AB1922" s="173">
        <v>45552</v>
      </c>
      <c r="AC1922" s="119">
        <v>202401142</v>
      </c>
      <c r="AD1922" s="36">
        <f t="shared" si="215"/>
        <v>37521146</v>
      </c>
      <c r="AE1922" s="36" t="str">
        <f t="shared" si="216"/>
        <v>TK.KWSE20-A-0038-WW1</v>
      </c>
      <c r="AF1922" s="36">
        <v>50</v>
      </c>
      <c r="AG1922" s="120">
        <f t="shared" si="224"/>
        <v>282.5</v>
      </c>
      <c r="AH1922" s="36"/>
      <c r="AI1922" s="124"/>
      <c r="AJ1922" s="122" t="s">
        <v>2379</v>
      </c>
      <c r="AK1922" s="129" t="str">
        <f t="shared" ca="1" si="223"/>
        <v>On Time</v>
      </c>
      <c r="AL1922" s="268" t="str">
        <f t="shared" si="222"/>
        <v>September</v>
      </c>
      <c r="AM1922" s="133">
        <f>YEAR(Table1[[#This Row],[ETA
As requested
dd.mm.yyyy]])</f>
        <v>2024</v>
      </c>
    </row>
    <row r="1923" spans="1:39" hidden="1">
      <c r="A1923" s="123" t="s">
        <v>83</v>
      </c>
      <c r="B1923" s="36" t="s">
        <v>1170</v>
      </c>
      <c r="C1923" s="117">
        <v>37521146</v>
      </c>
      <c r="D1923" s="165">
        <v>45527</v>
      </c>
      <c r="E1923" s="117" t="s">
        <v>98</v>
      </c>
      <c r="F1923" s="36" t="str">
        <f>IFERROR(VLOOKUP(Table1[[#This Row],[Part Number]],DATABASE_FG!$C$6:D11912,2,FALSE)," ")</f>
        <v xml:space="preserve">094132526-8011 </v>
      </c>
      <c r="G1923" s="117" t="str">
        <f>IFERROR(_xlfn.XLOOKUP(Table1[[#This Row],[Part Number]],Table3[Part number],Table3[Drawing
 Revision]),"")</f>
        <v>AA</v>
      </c>
      <c r="H1923" s="118" cm="1">
        <f t="array" ref="H1923">IFERROR(INDEX(PDB!$C:$AT,MATCH(E1923,PDB!$B:$B,0),MATCH(YEAR(K1923),0+PDB!$C$1:$AT$1,0)),"")</f>
        <v>5.65</v>
      </c>
      <c r="I1923" s="36">
        <v>50</v>
      </c>
      <c r="J1923" s="125">
        <f>IFERROR(Table1[[#This Row],[Quantity]]*Table1[[#This Row],[Price/Unit
EUR]]," ")</f>
        <v>282.5</v>
      </c>
      <c r="K1923" s="126">
        <v>45554</v>
      </c>
      <c r="L1923" s="36">
        <f>WEEKNUM(Table1[[#This Row],[ETA
As requested
dd.mm.yyyy]])</f>
        <v>38</v>
      </c>
      <c r="M1923" s="36">
        <f>YEAR(Table1[[#This Row],[ETA
As requested
dd.mm.yyyy]])</f>
        <v>2024</v>
      </c>
      <c r="N1923" s="36">
        <f>IFERROR(INDEX(DATABASE_FG!$H$5:$H$367, MATCH(E1923, DATABASE_FG!$C$5:$C$367, 0)), " ")</f>
        <v>0</v>
      </c>
      <c r="O1923" s="129" t="str">
        <f>IF(E1923&lt;&gt;"", _xlfn.XLOOKUP(E1923, DATABASE_FG!C:C, DATABASE_FG!F:F), " ")</f>
        <v>Ghidaje</v>
      </c>
      <c r="P1923" s="129">
        <f>IFERROR(INDEX(DATABASE_FG!$G$5:$G$367, MATCH(E1923, DATABASE_FG!$C$5:$C$367, 0)), "Not Found")</f>
        <v>0</v>
      </c>
      <c r="Q1923" s="36"/>
      <c r="R1923" s="125" t="s">
        <v>678</v>
      </c>
      <c r="S1923" s="123">
        <f>IFERROR(INDEX(DATABASE_FG!$L$5:$L$367, MATCH(E1923, DATABASE_FG!$C$5:$C$367, 0)), " ")</f>
        <v>42</v>
      </c>
      <c r="T1923" s="36"/>
      <c r="U1923" s="36"/>
      <c r="V1923" s="36"/>
      <c r="W1923" s="129"/>
      <c r="X1923" s="36"/>
      <c r="Y1923" s="36"/>
      <c r="Z1923" s="36"/>
      <c r="AA1923" s="125" t="s">
        <v>121</v>
      </c>
      <c r="AB1923" s="173">
        <v>45552</v>
      </c>
      <c r="AC1923" s="119">
        <v>202401142</v>
      </c>
      <c r="AD1923" s="36">
        <f t="shared" si="215"/>
        <v>37521146</v>
      </c>
      <c r="AE1923" s="36" t="str">
        <f t="shared" si="216"/>
        <v>TK.KWSE20-A-0038-WW1</v>
      </c>
      <c r="AF1923" s="36">
        <v>50</v>
      </c>
      <c r="AG1923" s="120">
        <f t="shared" si="224"/>
        <v>282.5</v>
      </c>
      <c r="AH1923" s="36"/>
      <c r="AI1923" s="124"/>
      <c r="AJ1923" s="122" t="s">
        <v>2379</v>
      </c>
      <c r="AK1923" s="129" t="str">
        <f t="shared" ca="1" si="223"/>
        <v>On Time</v>
      </c>
      <c r="AL1923" s="268" t="str">
        <f t="shared" si="222"/>
        <v>September</v>
      </c>
      <c r="AM1923" s="133">
        <f>YEAR(Table1[[#This Row],[ETA
As requested
dd.mm.yyyy]])</f>
        <v>2024</v>
      </c>
    </row>
    <row r="1924" spans="1:39" hidden="1">
      <c r="A1924" s="123" t="s">
        <v>83</v>
      </c>
      <c r="B1924" s="36" t="s">
        <v>1170</v>
      </c>
      <c r="C1924" s="117">
        <v>37521146</v>
      </c>
      <c r="D1924" s="165">
        <v>45527</v>
      </c>
      <c r="E1924" s="117" t="s">
        <v>98</v>
      </c>
      <c r="F1924" s="36" t="str">
        <f>IFERROR(VLOOKUP(Table1[[#This Row],[Part Number]],DATABASE_FG!$C$6:D11913,2,FALSE)," ")</f>
        <v xml:space="preserve">094132526-8011 </v>
      </c>
      <c r="G1924" s="117" t="str">
        <f>IFERROR(_xlfn.XLOOKUP(Table1[[#This Row],[Part Number]],Table3[Part number],Table3[Drawing
 Revision]),"")</f>
        <v>AA</v>
      </c>
      <c r="H1924" s="118" cm="1">
        <f t="array" ref="H1924">IFERROR(INDEX(PDB!$C:$AT,MATCH(E1924,PDB!$B:$B,0),MATCH(YEAR(K1924),0+PDB!$C$1:$AT$1,0)),"")</f>
        <v>5.65</v>
      </c>
      <c r="I1924" s="36">
        <v>50</v>
      </c>
      <c r="J1924" s="125">
        <f>IFERROR(Table1[[#This Row],[Quantity]]*Table1[[#This Row],[Price/Unit
EUR]]," ")</f>
        <v>282.5</v>
      </c>
      <c r="K1924" s="126">
        <v>45565</v>
      </c>
      <c r="L1924" s="36">
        <f>WEEKNUM(Table1[[#This Row],[ETA
As requested
dd.mm.yyyy]])</f>
        <v>40</v>
      </c>
      <c r="M1924" s="36">
        <f>YEAR(Table1[[#This Row],[ETA
As requested
dd.mm.yyyy]])</f>
        <v>2024</v>
      </c>
      <c r="N1924" s="36">
        <f>IFERROR(INDEX(DATABASE_FG!$H$5:$H$367, MATCH(E1924, DATABASE_FG!$C$5:$C$367, 0)), " ")</f>
        <v>0</v>
      </c>
      <c r="O1924" s="129" t="str">
        <f>IF(E1924&lt;&gt;"", _xlfn.XLOOKUP(E1924, DATABASE_FG!C:C, DATABASE_FG!F:F), " ")</f>
        <v>Ghidaje</v>
      </c>
      <c r="P1924" s="129">
        <f>IFERROR(INDEX(DATABASE_FG!$G$5:$G$367, MATCH(E1924, DATABASE_FG!$C$5:$C$367, 0)), "Not Found")</f>
        <v>0</v>
      </c>
      <c r="Q1924" s="36"/>
      <c r="R1924" s="125" t="s">
        <v>678</v>
      </c>
      <c r="S1924" s="123">
        <f>IFERROR(INDEX(DATABASE_FG!$L$5:$L$367, MATCH(E1924, DATABASE_FG!$C$5:$C$367, 0)), " ")</f>
        <v>42</v>
      </c>
      <c r="T1924" s="36"/>
      <c r="U1924" s="36"/>
      <c r="V1924" s="36"/>
      <c r="W1924" s="129"/>
      <c r="X1924" s="36"/>
      <c r="Y1924" s="36"/>
      <c r="Z1924" s="36"/>
      <c r="AA1924" s="125" t="s">
        <v>121</v>
      </c>
      <c r="AB1924" s="173">
        <v>45566</v>
      </c>
      <c r="AC1924" s="119">
        <v>202401193</v>
      </c>
      <c r="AD1924" s="36">
        <f t="shared" si="215"/>
        <v>37521146</v>
      </c>
      <c r="AE1924" s="36" t="str">
        <f t="shared" si="216"/>
        <v>TK.KWSE20-A-0038-WW1</v>
      </c>
      <c r="AF1924" s="36">
        <v>50</v>
      </c>
      <c r="AG1924" s="120">
        <f t="shared" si="224"/>
        <v>282.5</v>
      </c>
      <c r="AH1924" s="36"/>
      <c r="AI1924" s="124"/>
      <c r="AJ1924" s="122" t="s">
        <v>2403</v>
      </c>
      <c r="AK1924" s="129" t="str">
        <f t="shared" ca="1" si="223"/>
        <v>On Time</v>
      </c>
      <c r="AL1924" s="268" t="str">
        <f t="shared" si="222"/>
        <v>September</v>
      </c>
      <c r="AM1924" s="133">
        <f>YEAR(Table1[[#This Row],[ETA
As requested
dd.mm.yyyy]])</f>
        <v>2024</v>
      </c>
    </row>
    <row r="1925" spans="1:39" hidden="1">
      <c r="A1925" s="123" t="s">
        <v>83</v>
      </c>
      <c r="B1925" s="36" t="s">
        <v>1170</v>
      </c>
      <c r="C1925" s="117">
        <v>37672548</v>
      </c>
      <c r="D1925" s="165">
        <v>45553</v>
      </c>
      <c r="E1925" s="117" t="s">
        <v>98</v>
      </c>
      <c r="F1925" s="36" t="str">
        <f>IFERROR(VLOOKUP(Table1[[#This Row],[Part Number]],DATABASE_FG!$C$6:D11914,2,FALSE)," ")</f>
        <v xml:space="preserve">094132526-8011 </v>
      </c>
      <c r="G1925" s="117" t="str">
        <f>IFERROR(_xlfn.XLOOKUP(Table1[[#This Row],[Part Number]],Table3[Part number],Table3[Drawing
 Revision]),"")</f>
        <v>AA</v>
      </c>
      <c r="H1925" s="118" cm="1">
        <f t="array" ref="H1925">IFERROR(INDEX(PDB!$C:$AT,MATCH(E1925,PDB!$B:$B,0),MATCH(YEAR(K1925),0+PDB!$C$1:$AT$1,0)),"")</f>
        <v>5.65</v>
      </c>
      <c r="I1925" s="36">
        <v>46</v>
      </c>
      <c r="J1925" s="125">
        <f>IFERROR(Table1[[#This Row],[Quantity]]*Table1[[#This Row],[Price/Unit
EUR]]," ")</f>
        <v>259.90000000000003</v>
      </c>
      <c r="K1925" s="126">
        <v>45566</v>
      </c>
      <c r="L1925" s="36">
        <f>WEEKNUM(Table1[[#This Row],[ETA
As requested
dd.mm.yyyy]])</f>
        <v>40</v>
      </c>
      <c r="M1925" s="36">
        <f>YEAR(Table1[[#This Row],[ETA
As requested
dd.mm.yyyy]])</f>
        <v>2024</v>
      </c>
      <c r="N1925" s="36">
        <f>IFERROR(INDEX(DATABASE_FG!$H$5:$H$367, MATCH(E1925, DATABASE_FG!$C$5:$C$367, 0)), " ")</f>
        <v>0</v>
      </c>
      <c r="O1925" s="129" t="str">
        <f>IF(E1925&lt;&gt;"", _xlfn.XLOOKUP(E1925, DATABASE_FG!C:C, DATABASE_FG!F:F), " ")</f>
        <v>Ghidaje</v>
      </c>
      <c r="P1925" s="129">
        <f>IFERROR(INDEX(DATABASE_FG!$G$5:$G$367, MATCH(E1925, DATABASE_FG!$C$5:$C$367, 0)), "Not Found")</f>
        <v>0</v>
      </c>
      <c r="Q1925" s="36"/>
      <c r="R1925" s="125" t="s">
        <v>678</v>
      </c>
      <c r="S1925" s="123">
        <f>IFERROR(INDEX(DATABASE_FG!$L$5:$L$367, MATCH(E1925, DATABASE_FG!$C$5:$C$367, 0)), " ")</f>
        <v>42</v>
      </c>
      <c r="T1925" s="36"/>
      <c r="U1925" s="36"/>
      <c r="V1925" s="36"/>
      <c r="W1925" s="129"/>
      <c r="X1925" s="36"/>
      <c r="Y1925" s="36"/>
      <c r="Z1925" s="36"/>
      <c r="AA1925" s="125" t="s">
        <v>121</v>
      </c>
      <c r="AB1925" s="173">
        <v>45566</v>
      </c>
      <c r="AC1925" s="119">
        <v>202401194</v>
      </c>
      <c r="AD1925" s="36">
        <f t="shared" si="215"/>
        <v>37672548</v>
      </c>
      <c r="AE1925" s="36" t="str">
        <f t="shared" si="216"/>
        <v>TK.KWSE20-A-0038-WW1</v>
      </c>
      <c r="AF1925" s="36">
        <v>31</v>
      </c>
      <c r="AG1925" s="120">
        <f t="shared" si="224"/>
        <v>175.15</v>
      </c>
      <c r="AH1925" s="36"/>
      <c r="AI1925" s="124"/>
      <c r="AJ1925" s="122" t="s">
        <v>2411</v>
      </c>
      <c r="AK1925" s="129" t="str">
        <f t="shared" ca="1" si="223"/>
        <v>On Time</v>
      </c>
      <c r="AL1925" s="268" t="str">
        <f t="shared" si="222"/>
        <v>October</v>
      </c>
      <c r="AM1925" s="133">
        <f>YEAR(Table1[[#This Row],[ETA
As requested
dd.mm.yyyy]])</f>
        <v>2024</v>
      </c>
    </row>
    <row r="1926" spans="1:39" hidden="1">
      <c r="A1926" s="123" t="s">
        <v>83</v>
      </c>
      <c r="B1926" s="36" t="s">
        <v>1170</v>
      </c>
      <c r="C1926" s="117">
        <v>37672548</v>
      </c>
      <c r="D1926" s="165">
        <v>45553</v>
      </c>
      <c r="E1926" s="117" t="s">
        <v>98</v>
      </c>
      <c r="F1926" s="36" t="str">
        <f>IFERROR(VLOOKUP(Table1[[#This Row],[Part Number]],DATABASE_FG!$C$6:D11915,2,FALSE)," ")</f>
        <v xml:space="preserve">094132526-8011 </v>
      </c>
      <c r="G1926" s="117" t="str">
        <f>IFERROR(_xlfn.XLOOKUP(Table1[[#This Row],[Part Number]],Table3[Part number],Table3[Drawing
 Revision]),"")</f>
        <v>AA</v>
      </c>
      <c r="H1926" s="118" cm="1">
        <f t="array" ref="H1926">IFERROR(INDEX(PDB!$C:$AT,MATCH(E1926,PDB!$B:$B,0),MATCH(YEAR(K1926),0+PDB!$C$1:$AT$1,0)),"")</f>
        <v>5.65</v>
      </c>
      <c r="I1926" s="36">
        <v>0</v>
      </c>
      <c r="J1926" s="125">
        <f>IFERROR(Table1[[#This Row],[Quantity]]*Table1[[#This Row],[Price/Unit
EUR]]," ")</f>
        <v>0</v>
      </c>
      <c r="K1926" s="126">
        <v>45566</v>
      </c>
      <c r="L1926" s="36">
        <f>WEEKNUM(Table1[[#This Row],[ETA
As requested
dd.mm.yyyy]])</f>
        <v>40</v>
      </c>
      <c r="M1926" s="36">
        <f>YEAR(Table1[[#This Row],[ETA
As requested
dd.mm.yyyy]])</f>
        <v>2024</v>
      </c>
      <c r="N1926" s="36">
        <f>IFERROR(INDEX(DATABASE_FG!$H$5:$H$367, MATCH(E1926, DATABASE_FG!$C$5:$C$367, 0)), " ")</f>
        <v>0</v>
      </c>
      <c r="O1926" s="129" t="str">
        <f>IF(E1926&lt;&gt;"", _xlfn.XLOOKUP(E1926, DATABASE_FG!C:C, DATABASE_FG!F:F), " ")</f>
        <v>Ghidaje</v>
      </c>
      <c r="P1926" s="129">
        <f>IFERROR(INDEX(DATABASE_FG!$G$5:$G$367, MATCH(E1926, DATABASE_FG!$C$5:$C$367, 0)), "Not Found")</f>
        <v>0</v>
      </c>
      <c r="Q1926" s="36"/>
      <c r="R1926" s="125" t="s">
        <v>678</v>
      </c>
      <c r="S1926" s="123">
        <f>Table1[[#This Row],[Quantity]]/48</f>
        <v>0</v>
      </c>
      <c r="T1926" s="36"/>
      <c r="U1926" s="36"/>
      <c r="V1926" s="36"/>
      <c r="W1926" s="129"/>
      <c r="X1926" s="36"/>
      <c r="Y1926" s="36"/>
      <c r="Z1926" s="36"/>
      <c r="AA1926" s="125" t="s">
        <v>121</v>
      </c>
      <c r="AB1926" s="173">
        <v>45573</v>
      </c>
      <c r="AC1926" s="119">
        <v>202401217</v>
      </c>
      <c r="AD1926" s="36">
        <f t="shared" si="215"/>
        <v>37672548</v>
      </c>
      <c r="AE1926" s="36" t="str">
        <f t="shared" si="216"/>
        <v>TK.KWSE20-A-0038-WW1</v>
      </c>
      <c r="AF1926" s="36">
        <v>15</v>
      </c>
      <c r="AG1926" s="120">
        <f t="shared" si="224"/>
        <v>84.75</v>
      </c>
      <c r="AH1926" s="36"/>
      <c r="AI1926" s="124"/>
      <c r="AJ1926" s="122" t="s">
        <v>2416</v>
      </c>
      <c r="AK1926" s="129" t="str">
        <f t="shared" ca="1" si="223"/>
        <v>Late</v>
      </c>
      <c r="AL1926" s="268" t="str">
        <f t="shared" si="222"/>
        <v>October</v>
      </c>
      <c r="AM1926" s="133">
        <f>YEAR(Table1[[#This Row],[ETA
As requested
dd.mm.yyyy]])</f>
        <v>2024</v>
      </c>
    </row>
    <row r="1927" spans="1:39" hidden="1">
      <c r="A1927" s="123" t="s">
        <v>83</v>
      </c>
      <c r="B1927" s="36" t="s">
        <v>1170</v>
      </c>
      <c r="C1927" s="117">
        <v>37672551</v>
      </c>
      <c r="D1927" s="165">
        <v>45553</v>
      </c>
      <c r="E1927" s="117" t="s">
        <v>98</v>
      </c>
      <c r="F1927" s="36" t="str">
        <f>IFERROR(VLOOKUP(Table1[[#This Row],[Part Number]],DATABASE_FG!$C$6:D11916,2,FALSE)," ")</f>
        <v xml:space="preserve">094132526-8011 </v>
      </c>
      <c r="G1927" s="117" t="str">
        <f>IFERROR(_xlfn.XLOOKUP(Table1[[#This Row],[Part Number]],Table3[Part number],Table3[Drawing
 Revision]),"")</f>
        <v>AA</v>
      </c>
      <c r="H1927" s="118" cm="1">
        <f t="array" ref="H1927">IFERROR(INDEX(PDB!$C:$AT,MATCH(E1927,PDB!$B:$B,0),MATCH(YEAR(K1927),0+PDB!$C$1:$AT$1,0)),"")</f>
        <v>5.65</v>
      </c>
      <c r="I1927" s="36">
        <v>250</v>
      </c>
      <c r="J1927" s="125">
        <f>IFERROR(Table1[[#This Row],[Quantity]]*Table1[[#This Row],[Price/Unit
EUR]]," ")</f>
        <v>1412.5</v>
      </c>
      <c r="K1927" s="126">
        <v>45573</v>
      </c>
      <c r="L1927" s="36">
        <f>WEEKNUM(Table1[[#This Row],[ETA
As requested
dd.mm.yyyy]])</f>
        <v>41</v>
      </c>
      <c r="M1927" s="36">
        <f>YEAR(Table1[[#This Row],[ETA
As requested
dd.mm.yyyy]])</f>
        <v>2024</v>
      </c>
      <c r="N1927" s="36">
        <f>IFERROR(INDEX(DATABASE_FG!$H$5:$H$367, MATCH(E1927, DATABASE_FG!$C$5:$C$367, 0)), " ")</f>
        <v>0</v>
      </c>
      <c r="O1927" s="129" t="str">
        <f>IF(E1927&lt;&gt;"", _xlfn.XLOOKUP(E1927, DATABASE_FG!C:C, DATABASE_FG!F:F), " ")</f>
        <v>Ghidaje</v>
      </c>
      <c r="P1927" s="129">
        <f>IFERROR(INDEX(DATABASE_FG!$G$5:$G$367, MATCH(E1927, DATABASE_FG!$C$5:$C$367, 0)), "Not Found")</f>
        <v>0</v>
      </c>
      <c r="Q1927" s="36"/>
      <c r="R1927" s="125" t="s">
        <v>678</v>
      </c>
      <c r="S1927" s="123">
        <f>IFERROR(INDEX(DATABASE_FG!$L$5:$L$367, MATCH(E1927, DATABASE_FG!$C$5:$C$367, 0)), " ")</f>
        <v>42</v>
      </c>
      <c r="T1927" s="36"/>
      <c r="U1927" s="36"/>
      <c r="V1927" s="36"/>
      <c r="W1927" s="129"/>
      <c r="X1927" s="36"/>
      <c r="Y1927" s="36"/>
      <c r="Z1927" s="36"/>
      <c r="AA1927" s="125" t="s">
        <v>121</v>
      </c>
      <c r="AB1927" s="173">
        <v>45573</v>
      </c>
      <c r="AC1927" s="119">
        <v>202401218</v>
      </c>
      <c r="AD1927" s="36">
        <f t="shared" si="215"/>
        <v>37672551</v>
      </c>
      <c r="AE1927" s="36" t="str">
        <f t="shared" si="216"/>
        <v>TK.KWSE20-A-0038-WW1</v>
      </c>
      <c r="AF1927" s="36">
        <v>148</v>
      </c>
      <c r="AG1927" s="120">
        <f t="shared" si="224"/>
        <v>836.2</v>
      </c>
      <c r="AH1927" s="36"/>
      <c r="AI1927" s="124"/>
      <c r="AJ1927" s="122" t="s">
        <v>2447</v>
      </c>
      <c r="AK1927" s="129" t="str">
        <f t="shared" ca="1" si="223"/>
        <v>On Time</v>
      </c>
      <c r="AL1927" s="268" t="str">
        <f t="shared" si="222"/>
        <v>October</v>
      </c>
      <c r="AM1927" s="133">
        <f>YEAR(Table1[[#This Row],[ETA
As requested
dd.mm.yyyy]])</f>
        <v>2024</v>
      </c>
    </row>
    <row r="1928" spans="1:39" hidden="1">
      <c r="A1928" s="123" t="s">
        <v>83</v>
      </c>
      <c r="B1928" s="36" t="s">
        <v>1170</v>
      </c>
      <c r="C1928" s="117">
        <v>37672551</v>
      </c>
      <c r="D1928" s="165">
        <v>45553</v>
      </c>
      <c r="E1928" s="117" t="s">
        <v>98</v>
      </c>
      <c r="F1928" s="36" t="str">
        <f>IFERROR(VLOOKUP(Table1[[#This Row],[Part Number]],DATABASE_FG!$C$6:D11917,2,FALSE)," ")</f>
        <v xml:space="preserve">094132526-8011 </v>
      </c>
      <c r="G1928" s="117" t="str">
        <f>IFERROR(_xlfn.XLOOKUP(Table1[[#This Row],[Part Number]],Table3[Part number],Table3[Drawing
 Revision]),"")</f>
        <v>AA</v>
      </c>
      <c r="H1928" s="118" cm="1">
        <f t="array" ref="H1928">IFERROR(INDEX(PDB!$C:$AT,MATCH(E1928,PDB!$B:$B,0),MATCH(YEAR(K1928),0+PDB!$C$1:$AT$1,0)),"")</f>
        <v>5.65</v>
      </c>
      <c r="I1928" s="36">
        <v>0</v>
      </c>
      <c r="J1928" s="125">
        <f>IFERROR(Table1[[#This Row],[Quantity]]*Table1[[#This Row],[Price/Unit
EUR]]," ")</f>
        <v>0</v>
      </c>
      <c r="K1928" s="126">
        <v>45573</v>
      </c>
      <c r="L1928" s="36">
        <f>WEEKNUM(Table1[[#This Row],[ETA
As requested
dd.mm.yyyy]])</f>
        <v>41</v>
      </c>
      <c r="M1928" s="36">
        <f>YEAR(Table1[[#This Row],[ETA
As requested
dd.mm.yyyy]])</f>
        <v>2024</v>
      </c>
      <c r="N1928" s="36">
        <f>IFERROR(INDEX(DATABASE_FG!$H$5:$H$367, MATCH(E1928, DATABASE_FG!$C$5:$C$367, 0)), " ")</f>
        <v>0</v>
      </c>
      <c r="O1928" s="129" t="str">
        <f>IF(E1928&lt;&gt;"", _xlfn.XLOOKUP(E1928, DATABASE_FG!C:C, DATABASE_FG!F:F), " ")</f>
        <v>Ghidaje</v>
      </c>
      <c r="P1928" s="129">
        <f>IFERROR(INDEX(DATABASE_FG!$G$5:$G$367, MATCH(E1928, DATABASE_FG!$C$5:$C$367, 0)), "Not Found")</f>
        <v>0</v>
      </c>
      <c r="Q1928" s="36"/>
      <c r="R1928" s="125" t="s">
        <v>678</v>
      </c>
      <c r="S1928" s="123">
        <f>Table1[[#This Row],[Quantity]]/48</f>
        <v>0</v>
      </c>
      <c r="T1928" s="36"/>
      <c r="U1928" s="36"/>
      <c r="V1928" s="36"/>
      <c r="W1928" s="129"/>
      <c r="X1928" s="36"/>
      <c r="Y1928" s="36"/>
      <c r="Z1928" s="36"/>
      <c r="AA1928" s="125" t="s">
        <v>121</v>
      </c>
      <c r="AB1928" s="173">
        <v>45580</v>
      </c>
      <c r="AC1928" s="119">
        <v>202401242</v>
      </c>
      <c r="AD1928" s="36">
        <f t="shared" ref="AD1928:AD1991" si="225">IF(NOT(ISBLANK(AC1928)), C1928, "")</f>
        <v>37672551</v>
      </c>
      <c r="AE1928" s="36" t="str">
        <f t="shared" si="216"/>
        <v>TK.KWSE20-A-0038-WW1</v>
      </c>
      <c r="AF1928" s="36">
        <v>102</v>
      </c>
      <c r="AG1928" s="120">
        <f t="shared" si="224"/>
        <v>576.30000000000007</v>
      </c>
      <c r="AH1928" s="36"/>
      <c r="AI1928" s="124"/>
      <c r="AJ1928" s="122" t="s">
        <v>2451</v>
      </c>
      <c r="AK1928" s="129" t="str">
        <f t="shared" ca="1" si="223"/>
        <v>Late</v>
      </c>
      <c r="AL1928" s="268" t="str">
        <f t="shared" si="222"/>
        <v>October</v>
      </c>
      <c r="AM1928" s="133">
        <f>YEAR(Table1[[#This Row],[ETA
As requested
dd.mm.yyyy]])</f>
        <v>2024</v>
      </c>
    </row>
    <row r="1929" spans="1:39" hidden="1">
      <c r="A1929" s="123" t="s">
        <v>83</v>
      </c>
      <c r="B1929" s="36" t="s">
        <v>1170</v>
      </c>
      <c r="C1929" s="117">
        <v>37672552</v>
      </c>
      <c r="D1929" s="165">
        <v>45553</v>
      </c>
      <c r="E1929" s="117" t="s">
        <v>98</v>
      </c>
      <c r="F1929" s="36" t="str">
        <f>IFERROR(VLOOKUP(Table1[[#This Row],[Part Number]],DATABASE_FG!$C$6:D11918,2,FALSE)," ")</f>
        <v xml:space="preserve">094132526-8011 </v>
      </c>
      <c r="G1929" s="117" t="str">
        <f>IFERROR(_xlfn.XLOOKUP(Table1[[#This Row],[Part Number]],Table3[Part number],Table3[Drawing
 Revision]),"")</f>
        <v>AA</v>
      </c>
      <c r="H1929" s="118" cm="1">
        <f t="array" ref="H1929">IFERROR(INDEX(PDB!$C:$AT,MATCH(E1929,PDB!$B:$B,0),MATCH(YEAR(K1929),0+PDB!$C$1:$AT$1,0)),"")</f>
        <v>5.65</v>
      </c>
      <c r="I1929" s="36">
        <v>50</v>
      </c>
      <c r="J1929" s="125">
        <f>IFERROR(Table1[[#This Row],[Quantity]]*Table1[[#This Row],[Price/Unit
EUR]]," ")</f>
        <v>282.5</v>
      </c>
      <c r="K1929" s="126">
        <v>45580</v>
      </c>
      <c r="L1929" s="36">
        <f>WEEKNUM(Table1[[#This Row],[ETA
As requested
dd.mm.yyyy]])</f>
        <v>42</v>
      </c>
      <c r="M1929" s="36">
        <f>YEAR(Table1[[#This Row],[ETA
As requested
dd.mm.yyyy]])</f>
        <v>2024</v>
      </c>
      <c r="N1929" s="36">
        <f>IFERROR(INDEX(DATABASE_FG!$H$5:$H$367, MATCH(E1929, DATABASE_FG!$C$5:$C$367, 0)), " ")</f>
        <v>0</v>
      </c>
      <c r="O1929" s="129" t="str">
        <f>IF(E1929&lt;&gt;"", _xlfn.XLOOKUP(E1929, DATABASE_FG!C:C, DATABASE_FG!F:F), " ")</f>
        <v>Ghidaje</v>
      </c>
      <c r="P1929" s="129">
        <f>IFERROR(INDEX(DATABASE_FG!$G$5:$G$367, MATCH(E1929, DATABASE_FG!$C$5:$C$367, 0)), "Not Found")</f>
        <v>0</v>
      </c>
      <c r="Q1929" s="36"/>
      <c r="R1929" s="125" t="s">
        <v>678</v>
      </c>
      <c r="S1929" s="123">
        <f>IFERROR(INDEX(DATABASE_FG!$L$5:$L$367, MATCH(E1929, DATABASE_FG!$C$5:$C$367, 0)), " ")</f>
        <v>42</v>
      </c>
      <c r="T1929" s="36"/>
      <c r="U1929" s="36"/>
      <c r="V1929" s="36"/>
      <c r="W1929" s="129"/>
      <c r="X1929" s="36"/>
      <c r="Y1929" s="36"/>
      <c r="Z1929" s="36"/>
      <c r="AA1929" s="125" t="s">
        <v>121</v>
      </c>
      <c r="AB1929" s="173">
        <v>45580</v>
      </c>
      <c r="AC1929" s="119">
        <v>202401243</v>
      </c>
      <c r="AD1929" s="36">
        <f t="shared" si="225"/>
        <v>37672552</v>
      </c>
      <c r="AE1929" s="36" t="str">
        <f t="shared" si="216"/>
        <v>TK.KWSE20-A-0038-WW1</v>
      </c>
      <c r="AF1929" s="36">
        <v>50</v>
      </c>
      <c r="AG1929" s="120">
        <f t="shared" si="224"/>
        <v>282.5</v>
      </c>
      <c r="AH1929" s="36"/>
      <c r="AI1929" s="124"/>
      <c r="AJ1929" s="122" t="s">
        <v>2468</v>
      </c>
      <c r="AK1929" s="129" t="str">
        <f t="shared" ca="1" si="223"/>
        <v>On Time</v>
      </c>
      <c r="AL1929" s="268" t="str">
        <f t="shared" si="222"/>
        <v>October</v>
      </c>
      <c r="AM1929" s="133">
        <f>YEAR(Table1[[#This Row],[ETA
As requested
dd.mm.yyyy]])</f>
        <v>2024</v>
      </c>
    </row>
    <row r="1930" spans="1:39" hidden="1">
      <c r="A1930" s="123" t="s">
        <v>83</v>
      </c>
      <c r="B1930" s="36" t="s">
        <v>1170</v>
      </c>
      <c r="C1930" s="117">
        <v>37672553</v>
      </c>
      <c r="D1930" s="165">
        <v>45553</v>
      </c>
      <c r="E1930" s="117" t="s">
        <v>98</v>
      </c>
      <c r="F1930" s="36" t="str">
        <f>IFERROR(VLOOKUP(Table1[[#This Row],[Part Number]],DATABASE_FG!$C$6:D11919,2,FALSE)," ")</f>
        <v xml:space="preserve">094132526-8011 </v>
      </c>
      <c r="G1930" s="117" t="str">
        <f>IFERROR(_xlfn.XLOOKUP(Table1[[#This Row],[Part Number]],Table3[Part number],Table3[Drawing
 Revision]),"")</f>
        <v>AA</v>
      </c>
      <c r="H1930" s="118" cm="1">
        <f t="array" ref="H1930">IFERROR(INDEX(PDB!$C:$AT,MATCH(E1930,PDB!$B:$B,0),MATCH(YEAR(K1930),0+PDB!$C$1:$AT$1,0)),"")</f>
        <v>5.65</v>
      </c>
      <c r="I1930" s="36">
        <v>2</v>
      </c>
      <c r="J1930" s="125">
        <f>IFERROR(Table1[[#This Row],[Quantity]]*Table1[[#This Row],[Price/Unit
EUR]]," ")</f>
        <v>11.3</v>
      </c>
      <c r="K1930" s="126">
        <v>45587</v>
      </c>
      <c r="L1930" s="36">
        <f>WEEKNUM(Table1[[#This Row],[ETA
As requested
dd.mm.yyyy]])</f>
        <v>43</v>
      </c>
      <c r="M1930" s="36">
        <f>YEAR(Table1[[#This Row],[ETA
As requested
dd.mm.yyyy]])</f>
        <v>2024</v>
      </c>
      <c r="N1930" s="36">
        <f>IFERROR(INDEX(DATABASE_FG!$H$5:$H$367, MATCH(E1930, DATABASE_FG!$C$5:$C$367, 0)), " ")</f>
        <v>0</v>
      </c>
      <c r="O1930" s="129" t="str">
        <f>IF(E1930&lt;&gt;"", _xlfn.XLOOKUP(E1930, DATABASE_FG!C:C, DATABASE_FG!F:F), " ")</f>
        <v>Ghidaje</v>
      </c>
      <c r="P1930" s="129">
        <f>IFERROR(INDEX(DATABASE_FG!$G$5:$G$367, MATCH(E1930, DATABASE_FG!$C$5:$C$367, 0)), "Not Found")</f>
        <v>0</v>
      </c>
      <c r="Q1930" s="36"/>
      <c r="R1930" s="125" t="s">
        <v>678</v>
      </c>
      <c r="S1930" s="123">
        <f>IFERROR(INDEX(DATABASE_FG!$L$5:$L$367, MATCH(E1930, DATABASE_FG!$C$5:$C$367, 0)), " ")</f>
        <v>42</v>
      </c>
      <c r="T1930" s="36"/>
      <c r="U1930" s="36"/>
      <c r="V1930" s="36"/>
      <c r="W1930" s="129"/>
      <c r="X1930" s="36"/>
      <c r="Y1930" s="36"/>
      <c r="Z1930" s="36"/>
      <c r="AA1930" s="125" t="s">
        <v>121</v>
      </c>
      <c r="AB1930" s="173">
        <v>45580</v>
      </c>
      <c r="AC1930" s="119">
        <v>202401245</v>
      </c>
      <c r="AD1930" s="36">
        <f t="shared" si="225"/>
        <v>37672553</v>
      </c>
      <c r="AE1930" s="36" t="str">
        <f t="shared" ref="AE1930:AE1993" si="226">IF(NOT(ISBLANK(AC1930)), E1930, "")</f>
        <v>TK.KWSE20-A-0038-WW1</v>
      </c>
      <c r="AF1930" s="36">
        <v>2</v>
      </c>
      <c r="AG1930" s="120">
        <f t="shared" si="224"/>
        <v>11.3</v>
      </c>
      <c r="AH1930" s="36"/>
      <c r="AI1930" s="124"/>
      <c r="AJ1930" s="122" t="s">
        <v>2504</v>
      </c>
      <c r="AK1930" s="129" t="str">
        <f t="shared" ca="1" si="223"/>
        <v>On Time</v>
      </c>
      <c r="AL1930" s="268" t="str">
        <f t="shared" si="222"/>
        <v>October</v>
      </c>
      <c r="AM1930" s="133">
        <f>YEAR(Table1[[#This Row],[ETA
As requested
dd.mm.yyyy]])</f>
        <v>2024</v>
      </c>
    </row>
    <row r="1931" spans="1:39" hidden="1">
      <c r="A1931" s="123" t="s">
        <v>83</v>
      </c>
      <c r="B1931" s="36" t="s">
        <v>1170</v>
      </c>
      <c r="C1931" s="117">
        <v>37672553</v>
      </c>
      <c r="D1931" s="165">
        <v>45553</v>
      </c>
      <c r="E1931" s="117" t="s">
        <v>98</v>
      </c>
      <c r="F1931" s="36" t="str">
        <f>IFERROR(VLOOKUP(Table1[[#This Row],[Part Number]],DATABASE_FG!$C$6:D11920,2,FALSE)," ")</f>
        <v xml:space="preserve">094132526-8011 </v>
      </c>
      <c r="G1931" s="117" t="str">
        <f>IFERROR(_xlfn.XLOOKUP(Table1[[#This Row],[Part Number]],Table3[Part number],Table3[Drawing
 Revision]),"")</f>
        <v>AA</v>
      </c>
      <c r="H1931" s="118" cm="1">
        <f t="array" ref="H1931">IFERROR(INDEX(PDB!$C:$AT,MATCH(E1931,PDB!$B:$B,0),MATCH(YEAR(K1931),0+PDB!$C$1:$AT$1,0)),"")</f>
        <v>5.65</v>
      </c>
      <c r="I1931" s="36">
        <v>43</v>
      </c>
      <c r="J1931" s="125">
        <f>IFERROR(Table1[[#This Row],[Quantity]]*Table1[[#This Row],[Price/Unit
EUR]]," ")</f>
        <v>242.95000000000002</v>
      </c>
      <c r="K1931" s="126">
        <v>45587</v>
      </c>
      <c r="L1931" s="36">
        <f>WEEKNUM(Table1[[#This Row],[ETA
As requested
dd.mm.yyyy]])</f>
        <v>43</v>
      </c>
      <c r="M1931" s="36">
        <f>YEAR(Table1[[#This Row],[ETA
As requested
dd.mm.yyyy]])</f>
        <v>2024</v>
      </c>
      <c r="N1931" s="36">
        <f>IFERROR(INDEX(DATABASE_FG!$H$5:$H$367, MATCH(E1931, DATABASE_FG!$C$5:$C$367, 0)), " ")</f>
        <v>0</v>
      </c>
      <c r="O1931" s="129" t="str">
        <f>IF(E1931&lt;&gt;"", _xlfn.XLOOKUP(E1931, DATABASE_FG!C:C, DATABASE_FG!F:F), " ")</f>
        <v>Ghidaje</v>
      </c>
      <c r="P1931" s="129">
        <f>IFERROR(INDEX(DATABASE_FG!$G$5:$G$367, MATCH(E1931, DATABASE_FG!$C$5:$C$367, 0)), "Not Found")</f>
        <v>0</v>
      </c>
      <c r="Q1931" s="36"/>
      <c r="R1931" s="125" t="s">
        <v>678</v>
      </c>
      <c r="S1931" s="123">
        <f>IFERROR(INDEX(DATABASE_FG!$L$5:$L$367, MATCH(E1931, DATABASE_FG!$C$5:$C$367, 0)), " ")</f>
        <v>42</v>
      </c>
      <c r="T1931" s="36"/>
      <c r="U1931" s="36"/>
      <c r="V1931" s="36"/>
      <c r="W1931" s="129"/>
      <c r="X1931" s="36"/>
      <c r="Y1931" s="36"/>
      <c r="Z1931" s="36"/>
      <c r="AA1931" s="125" t="s">
        <v>121</v>
      </c>
      <c r="AB1931" s="173">
        <v>45590</v>
      </c>
      <c r="AC1931" s="119">
        <v>202401282</v>
      </c>
      <c r="AD1931" s="36">
        <f t="shared" si="225"/>
        <v>37672553</v>
      </c>
      <c r="AE1931" s="36" t="str">
        <f t="shared" si="226"/>
        <v>TK.KWSE20-A-0038-WW1</v>
      </c>
      <c r="AF1931" s="36">
        <v>43</v>
      </c>
      <c r="AG1931" s="120">
        <f t="shared" si="224"/>
        <v>242.95000000000002</v>
      </c>
      <c r="AH1931" s="36"/>
      <c r="AI1931" s="124"/>
      <c r="AJ1931" s="122" t="s">
        <v>2509</v>
      </c>
      <c r="AK1931" s="129" t="str">
        <f t="shared" ca="1" si="223"/>
        <v>Late</v>
      </c>
      <c r="AL1931" s="268" t="str">
        <f t="shared" si="222"/>
        <v>October</v>
      </c>
      <c r="AM1931" s="133">
        <f>YEAR(Table1[[#This Row],[ETA
As requested
dd.mm.yyyy]])</f>
        <v>2024</v>
      </c>
    </row>
    <row r="1932" spans="1:39" hidden="1">
      <c r="A1932" s="123" t="s">
        <v>83</v>
      </c>
      <c r="B1932" s="36" t="s">
        <v>1170</v>
      </c>
      <c r="C1932" s="117">
        <v>37672555</v>
      </c>
      <c r="D1932" s="165">
        <v>45553</v>
      </c>
      <c r="E1932" s="117" t="s">
        <v>98</v>
      </c>
      <c r="F1932" s="36" t="str">
        <f>IFERROR(VLOOKUP(Table1[[#This Row],[Part Number]],DATABASE_FG!$C$6:D11921,2,FALSE)," ")</f>
        <v xml:space="preserve">094132526-8011 </v>
      </c>
      <c r="G1932" s="117" t="str">
        <f>IFERROR(_xlfn.XLOOKUP(Table1[[#This Row],[Part Number]],Table3[Part number],Table3[Drawing
 Revision]),"")</f>
        <v>AA</v>
      </c>
      <c r="H1932" s="118" cm="1">
        <f t="array" ref="H1932">IFERROR(INDEX(PDB!$C:$AT,MATCH(E1932,PDB!$B:$B,0),MATCH(YEAR(K1932),0+PDB!$C$1:$AT$1,0)),"")</f>
        <v>5.65</v>
      </c>
      <c r="I1932" s="36">
        <v>50</v>
      </c>
      <c r="J1932" s="125">
        <f>IFERROR(Table1[[#This Row],[Quantity]]*Table1[[#This Row],[Price/Unit
EUR]]," ")</f>
        <v>282.5</v>
      </c>
      <c r="K1932" s="126">
        <v>45594</v>
      </c>
      <c r="L1932" s="36">
        <f>WEEKNUM(Table1[[#This Row],[ETA
As requested
dd.mm.yyyy]])</f>
        <v>44</v>
      </c>
      <c r="M1932" s="36">
        <f>YEAR(Table1[[#This Row],[ETA
As requested
dd.mm.yyyy]])</f>
        <v>2024</v>
      </c>
      <c r="N1932" s="36">
        <f>IFERROR(INDEX(DATABASE_FG!$H$5:$H$367, MATCH(E1932, DATABASE_FG!$C$5:$C$367, 0)), " ")</f>
        <v>0</v>
      </c>
      <c r="O1932" s="129" t="str">
        <f>IF(E1932&lt;&gt;"", _xlfn.XLOOKUP(E1932, DATABASE_FG!C:C, DATABASE_FG!F:F), " ")</f>
        <v>Ghidaje</v>
      </c>
      <c r="P1932" s="129">
        <f>IFERROR(INDEX(DATABASE_FG!$G$5:$G$367, MATCH(E1932, DATABASE_FG!$C$5:$C$367, 0)), "Not Found")</f>
        <v>0</v>
      </c>
      <c r="Q1932" s="36"/>
      <c r="R1932" s="125" t="s">
        <v>678</v>
      </c>
      <c r="S1932" s="123">
        <f>IFERROR(INDEX(DATABASE_FG!$L$5:$L$367, MATCH(E1932, DATABASE_FG!$C$5:$C$367, 0)), " ")</f>
        <v>42</v>
      </c>
      <c r="T1932" s="36"/>
      <c r="U1932" s="36"/>
      <c r="V1932" s="36"/>
      <c r="W1932" s="129"/>
      <c r="X1932" s="36"/>
      <c r="Y1932" s="36"/>
      <c r="Z1932" s="36"/>
      <c r="AA1932" s="125" t="s">
        <v>121</v>
      </c>
      <c r="AB1932" s="173">
        <v>45590</v>
      </c>
      <c r="AC1932" s="119">
        <v>202401281</v>
      </c>
      <c r="AD1932" s="36">
        <f t="shared" si="225"/>
        <v>37672555</v>
      </c>
      <c r="AE1932" s="36" t="str">
        <f t="shared" si="226"/>
        <v>TK.KWSE20-A-0038-WW1</v>
      </c>
      <c r="AF1932" s="36">
        <v>50</v>
      </c>
      <c r="AG1932" s="120">
        <f t="shared" si="224"/>
        <v>282.5</v>
      </c>
      <c r="AH1932" s="36"/>
      <c r="AI1932" s="124"/>
      <c r="AJ1932" s="122" t="s">
        <v>2529</v>
      </c>
      <c r="AK1932" s="129" t="str">
        <f t="shared" ca="1" si="223"/>
        <v>On Time</v>
      </c>
      <c r="AL1932" s="268" t="str">
        <f t="shared" si="222"/>
        <v>October</v>
      </c>
      <c r="AM1932" s="133">
        <f>YEAR(Table1[[#This Row],[ETA
As requested
dd.mm.yyyy]])</f>
        <v>2024</v>
      </c>
    </row>
    <row r="1933" spans="1:39" hidden="1">
      <c r="A1933" s="123" t="s">
        <v>83</v>
      </c>
      <c r="B1933" s="36" t="s">
        <v>1170</v>
      </c>
      <c r="C1933" s="117">
        <v>37871627</v>
      </c>
      <c r="D1933" s="165">
        <v>45587</v>
      </c>
      <c r="E1933" s="117" t="s">
        <v>98</v>
      </c>
      <c r="F1933" s="36" t="str">
        <f>IFERROR(VLOOKUP(Table1[[#This Row],[Part Number]],DATABASE_FG!$C$6:D11922,2,FALSE)," ")</f>
        <v xml:space="preserve">094132526-8011 </v>
      </c>
      <c r="G1933" s="117" t="str">
        <f>IFERROR(_xlfn.XLOOKUP(Table1[[#This Row],[Part Number]],Table3[Part number],Table3[Drawing
 Revision]),"")</f>
        <v>AA</v>
      </c>
      <c r="H1933" s="118" cm="1">
        <f t="array" ref="H1933">IFERROR(INDEX(PDB!$C:$AT,MATCH(E1933,PDB!$B:$B,0),MATCH(YEAR(K1933),0+PDB!$C$1:$AT$1,0)),"")</f>
        <v>5.65</v>
      </c>
      <c r="I1933" s="36">
        <v>405</v>
      </c>
      <c r="J1933" s="125">
        <f>IFERROR(Table1[[#This Row],[Quantity]]*Table1[[#This Row],[Price/Unit
EUR]]," ")</f>
        <v>2288.25</v>
      </c>
      <c r="K1933" s="126">
        <v>45601</v>
      </c>
      <c r="L1933" s="36">
        <f>WEEKNUM(Table1[[#This Row],[ETA
As requested
dd.mm.yyyy]])</f>
        <v>45</v>
      </c>
      <c r="M1933" s="36">
        <f>YEAR(Table1[[#This Row],[ETA
As requested
dd.mm.yyyy]])</f>
        <v>2024</v>
      </c>
      <c r="N1933" s="36">
        <f>IFERROR(INDEX(DATABASE_FG!$H$5:$H$367, MATCH(E1933, DATABASE_FG!$C$5:$C$367, 0)), " ")</f>
        <v>0</v>
      </c>
      <c r="O1933" s="129" t="str">
        <f>IF(E1933&lt;&gt;"", _xlfn.XLOOKUP(E1933, DATABASE_FG!C:C, DATABASE_FG!F:F), " ")</f>
        <v>Ghidaje</v>
      </c>
      <c r="P1933" s="129">
        <f>IFERROR(INDEX(DATABASE_FG!$G$5:$G$367, MATCH(E1933, DATABASE_FG!$C$5:$C$367, 0)), "Not Found")</f>
        <v>0</v>
      </c>
      <c r="Q1933" s="36"/>
      <c r="R1933" s="125" t="s">
        <v>678</v>
      </c>
      <c r="S1933" s="123">
        <f>IFERROR(INDEX(DATABASE_FG!$L$5:$L$367, MATCH(E1933, DATABASE_FG!$C$5:$C$367, 0)), " ")</f>
        <v>42</v>
      </c>
      <c r="T1933" s="36" t="s">
        <v>679</v>
      </c>
      <c r="U1933" s="36"/>
      <c r="V1933" s="36"/>
      <c r="W1933" s="129"/>
      <c r="X1933" s="36" t="s">
        <v>1750</v>
      </c>
      <c r="Y1933" s="36"/>
      <c r="Z1933" s="36"/>
      <c r="AA1933" s="125" t="s">
        <v>121</v>
      </c>
      <c r="AB1933" s="173">
        <v>45604</v>
      </c>
      <c r="AC1933" s="119">
        <v>202401359</v>
      </c>
      <c r="AD1933" s="36">
        <f t="shared" si="225"/>
        <v>37871627</v>
      </c>
      <c r="AE1933" s="36" t="str">
        <f t="shared" si="226"/>
        <v>TK.KWSE20-A-0038-WW1</v>
      </c>
      <c r="AF1933" s="36">
        <v>405</v>
      </c>
      <c r="AG1933" s="120">
        <f t="shared" si="224"/>
        <v>2288.25</v>
      </c>
      <c r="AH1933" s="36"/>
      <c r="AI1933" s="124"/>
      <c r="AJ1933" s="122" t="s">
        <v>2551</v>
      </c>
      <c r="AK1933" s="129" t="str">
        <f t="shared" ca="1" si="223"/>
        <v>Late</v>
      </c>
      <c r="AL1933" s="268" t="str">
        <f t="shared" si="222"/>
        <v>November</v>
      </c>
      <c r="AM1933" s="133">
        <f>YEAR(Table1[[#This Row],[ETA
As requested
dd.mm.yyyy]])</f>
        <v>2024</v>
      </c>
    </row>
    <row r="1934" spans="1:39" hidden="1">
      <c r="A1934" s="123" t="s">
        <v>83</v>
      </c>
      <c r="B1934" s="36" t="s">
        <v>1170</v>
      </c>
      <c r="C1934" s="117">
        <v>37871627</v>
      </c>
      <c r="D1934" s="165">
        <v>45587</v>
      </c>
      <c r="E1934" s="117" t="s">
        <v>98</v>
      </c>
      <c r="F1934" s="36" t="str">
        <f>IFERROR(VLOOKUP(Table1[[#This Row],[Part Number]],DATABASE_FG!$C$6:D11923,2,FALSE)," ")</f>
        <v xml:space="preserve">094132526-8011 </v>
      </c>
      <c r="G1934" s="117" t="str">
        <f>IFERROR(_xlfn.XLOOKUP(Table1[[#This Row],[Part Number]],Table3[Part number],Table3[Drawing
 Revision]),"")</f>
        <v>AA</v>
      </c>
      <c r="H1934" s="118" cm="1">
        <f t="array" ref="H1934">IFERROR(INDEX(PDB!$C:$AT,MATCH(E1934,PDB!$B:$B,0),MATCH(YEAR(K1934),0+PDB!$C$1:$AT$1,0)),"")</f>
        <v>5.65</v>
      </c>
      <c r="I1934" s="36">
        <v>27</v>
      </c>
      <c r="J1934" s="125">
        <f>IFERROR(Table1[[#This Row],[Quantity]]*Table1[[#This Row],[Price/Unit
EUR]]," ")</f>
        <v>152.55000000000001</v>
      </c>
      <c r="K1934" s="126">
        <v>45608</v>
      </c>
      <c r="L1934" s="36">
        <f>WEEKNUM(Table1[[#This Row],[ETA
As requested
dd.mm.yyyy]])</f>
        <v>46</v>
      </c>
      <c r="M1934" s="36">
        <f>YEAR(Table1[[#This Row],[ETA
As requested
dd.mm.yyyy]])</f>
        <v>2024</v>
      </c>
      <c r="N1934" s="36">
        <f>IFERROR(INDEX(DATABASE_FG!$H$5:$H$367, MATCH(E1934, DATABASE_FG!$C$5:$C$367, 0)), " ")</f>
        <v>0</v>
      </c>
      <c r="O1934" s="129" t="str">
        <f>IF(E1934&lt;&gt;"", _xlfn.XLOOKUP(E1934, DATABASE_FG!C:C, DATABASE_FG!F:F), " ")</f>
        <v>Ghidaje</v>
      </c>
      <c r="P1934" s="129">
        <f>IFERROR(INDEX(DATABASE_FG!$G$5:$G$367, MATCH(E1934, DATABASE_FG!$C$5:$C$367, 0)), "Not Found")</f>
        <v>0</v>
      </c>
      <c r="Q1934" s="36"/>
      <c r="R1934" s="125" t="s">
        <v>678</v>
      </c>
      <c r="S1934" s="123">
        <f>IFERROR(INDEX(DATABASE_FG!$L$5:$L$367, MATCH(E1934, DATABASE_FG!$C$5:$C$367, 0)), " ")</f>
        <v>42</v>
      </c>
      <c r="T1934" s="36" t="s">
        <v>679</v>
      </c>
      <c r="U1934" s="36"/>
      <c r="V1934" s="36"/>
      <c r="W1934" s="129"/>
      <c r="X1934" s="36"/>
      <c r="Y1934" s="36"/>
      <c r="Z1934" s="36"/>
      <c r="AA1934" s="125" t="s">
        <v>121</v>
      </c>
      <c r="AB1934" s="173">
        <v>45604</v>
      </c>
      <c r="AC1934" s="119">
        <v>202401359</v>
      </c>
      <c r="AD1934" s="36">
        <f t="shared" si="225"/>
        <v>37871627</v>
      </c>
      <c r="AE1934" s="36" t="str">
        <f t="shared" si="226"/>
        <v>TK.KWSE20-A-0038-WW1</v>
      </c>
      <c r="AF1934" s="36">
        <v>27</v>
      </c>
      <c r="AG1934" s="120">
        <f t="shared" si="224"/>
        <v>152.55000000000001</v>
      </c>
      <c r="AH1934" s="36"/>
      <c r="AI1934" s="124"/>
      <c r="AJ1934" s="122" t="s">
        <v>2551</v>
      </c>
      <c r="AK1934" s="129" t="str">
        <f t="shared" ca="1" si="223"/>
        <v>On Time</v>
      </c>
      <c r="AL1934" s="268" t="str">
        <f t="shared" si="222"/>
        <v>November</v>
      </c>
      <c r="AM1934" s="133">
        <f>YEAR(Table1[[#This Row],[ETA
As requested
dd.mm.yyyy]])</f>
        <v>2024</v>
      </c>
    </row>
    <row r="1935" spans="1:39" hidden="1">
      <c r="A1935" s="123" t="s">
        <v>83</v>
      </c>
      <c r="B1935" s="36" t="s">
        <v>1170</v>
      </c>
      <c r="C1935" s="117">
        <v>37871627</v>
      </c>
      <c r="D1935" s="165">
        <v>45587</v>
      </c>
      <c r="E1935" s="117" t="s">
        <v>98</v>
      </c>
      <c r="F1935" s="36" t="str">
        <f>IFERROR(VLOOKUP(Table1[[#This Row],[Part Number]],DATABASE_FG!$C$6:D11924,2,FALSE)," ")</f>
        <v xml:space="preserve">094132526-8011 </v>
      </c>
      <c r="G1935" s="117" t="str">
        <f>IFERROR(_xlfn.XLOOKUP(Table1[[#This Row],[Part Number]],Table3[Part number],Table3[Drawing
 Revision]),"")</f>
        <v>AA</v>
      </c>
      <c r="H1935" s="118" cm="1">
        <f t="array" ref="H1935">IFERROR(INDEX(PDB!$C:$AT,MATCH(E1935,PDB!$B:$B,0),MATCH(YEAR(K1935),0+PDB!$C$1:$AT$1,0)),"")</f>
        <v>5.65</v>
      </c>
      <c r="I1935" s="36">
        <v>290</v>
      </c>
      <c r="J1935" s="125">
        <f>IFERROR(Table1[[#This Row],[Quantity]]*Table1[[#This Row],[Price/Unit
EUR]]," ")</f>
        <v>1638.5</v>
      </c>
      <c r="K1935" s="126">
        <v>45608</v>
      </c>
      <c r="L1935" s="36">
        <f>WEEKNUM(Table1[[#This Row],[ETA
As requested
dd.mm.yyyy]])</f>
        <v>46</v>
      </c>
      <c r="M1935" s="36">
        <f>YEAR(Table1[[#This Row],[ETA
As requested
dd.mm.yyyy]])</f>
        <v>2024</v>
      </c>
      <c r="N1935" s="36">
        <f>IFERROR(INDEX(DATABASE_FG!$H$5:$H$367, MATCH(E1935, DATABASE_FG!$C$5:$C$367, 0)), " ")</f>
        <v>0</v>
      </c>
      <c r="O1935" s="129" t="str">
        <f>IF(E1935&lt;&gt;"", _xlfn.XLOOKUP(E1935, DATABASE_FG!C:C, DATABASE_FG!F:F), " ")</f>
        <v>Ghidaje</v>
      </c>
      <c r="P1935" s="129">
        <f>IFERROR(INDEX(DATABASE_FG!$G$5:$G$367, MATCH(E1935, DATABASE_FG!$C$5:$C$367, 0)), "Not Found")</f>
        <v>0</v>
      </c>
      <c r="Q1935" s="36"/>
      <c r="R1935" s="125" t="s">
        <v>678</v>
      </c>
      <c r="S1935" s="123">
        <f>IFERROR(INDEX(DATABASE_FG!$L$5:$L$367, MATCH(E1935, DATABASE_FG!$C$5:$C$367, 0)), " ")</f>
        <v>42</v>
      </c>
      <c r="T1935" s="36" t="s">
        <v>679</v>
      </c>
      <c r="U1935" s="36"/>
      <c r="V1935" s="36"/>
      <c r="W1935" s="129"/>
      <c r="X1935" s="36"/>
      <c r="Y1935" s="36"/>
      <c r="Z1935" s="36"/>
      <c r="AA1935" s="125" t="s">
        <v>121</v>
      </c>
      <c r="AB1935" s="173">
        <v>45608</v>
      </c>
      <c r="AC1935" s="119">
        <v>202401372</v>
      </c>
      <c r="AD1935" s="36">
        <f t="shared" si="225"/>
        <v>37871627</v>
      </c>
      <c r="AE1935" s="36" t="str">
        <f t="shared" si="226"/>
        <v>TK.KWSE20-A-0038-WW1</v>
      </c>
      <c r="AF1935" s="36">
        <v>290</v>
      </c>
      <c r="AG1935" s="120">
        <f t="shared" si="224"/>
        <v>1638.5</v>
      </c>
      <c r="AH1935" s="36"/>
      <c r="AI1935" s="124"/>
      <c r="AJ1935" s="122" t="s">
        <v>2583</v>
      </c>
      <c r="AK1935" s="129" t="str">
        <f t="shared" ca="1" si="223"/>
        <v>On Time</v>
      </c>
      <c r="AL1935" s="268" t="str">
        <f t="shared" si="222"/>
        <v>November</v>
      </c>
      <c r="AM1935" s="133">
        <f>YEAR(Table1[[#This Row],[ETA
As requested
dd.mm.yyyy]])</f>
        <v>2024</v>
      </c>
    </row>
    <row r="1936" spans="1:39" hidden="1">
      <c r="A1936" s="123" t="s">
        <v>83</v>
      </c>
      <c r="B1936" s="36" t="s">
        <v>1170</v>
      </c>
      <c r="C1936" s="117">
        <v>37871627</v>
      </c>
      <c r="D1936" s="165">
        <v>45587</v>
      </c>
      <c r="E1936" s="117" t="s">
        <v>98</v>
      </c>
      <c r="F1936" s="36" t="str">
        <f>IFERROR(VLOOKUP(Table1[[#This Row],[Part Number]],DATABASE_FG!$C$6:D11925,2,FALSE)," ")</f>
        <v xml:space="preserve">094132526-8011 </v>
      </c>
      <c r="G1936" s="117" t="str">
        <f>IFERROR(_xlfn.XLOOKUP(Table1[[#This Row],[Part Number]],Table3[Part number],Table3[Drawing
 Revision]),"")</f>
        <v>AA</v>
      </c>
      <c r="H1936" s="118" cm="1">
        <f t="array" ref="H1936">IFERROR(INDEX(PDB!$C:$AT,MATCH(E1936,PDB!$B:$B,0),MATCH(YEAR(K1936),0+PDB!$C$1:$AT$1,0)),"")</f>
        <v>5.65</v>
      </c>
      <c r="I1936" s="36">
        <f>373-290</f>
        <v>83</v>
      </c>
      <c r="J1936" s="125">
        <f>IFERROR(Table1[[#This Row],[Quantity]]*Table1[[#This Row],[Price/Unit
EUR]]," ")</f>
        <v>468.95000000000005</v>
      </c>
      <c r="K1936" s="126">
        <v>45608</v>
      </c>
      <c r="L1936" s="36">
        <f>WEEKNUM(Table1[[#This Row],[ETA
As requested
dd.mm.yyyy]])</f>
        <v>46</v>
      </c>
      <c r="M1936" s="36">
        <f>YEAR(Table1[[#This Row],[ETA
As requested
dd.mm.yyyy]])</f>
        <v>2024</v>
      </c>
      <c r="N1936" s="36">
        <f>IFERROR(INDEX(DATABASE_FG!$H$5:$H$367, MATCH(E1936, DATABASE_FG!$C$5:$C$367, 0)), " ")</f>
        <v>0</v>
      </c>
      <c r="O1936" s="129" t="str">
        <f>IF(E1936&lt;&gt;"", _xlfn.XLOOKUP(E1936, DATABASE_FG!C:C, DATABASE_FG!F:F), " ")</f>
        <v>Ghidaje</v>
      </c>
      <c r="P1936" s="129">
        <f>IFERROR(INDEX(DATABASE_FG!$G$5:$G$367, MATCH(E1936, DATABASE_FG!$C$5:$C$367, 0)), "Not Found")</f>
        <v>0</v>
      </c>
      <c r="Q1936" s="36"/>
      <c r="R1936" s="125" t="s">
        <v>678</v>
      </c>
      <c r="S1936" s="123">
        <f>IFERROR(INDEX(DATABASE_FG!$L$5:$L$367, MATCH(E1936, DATABASE_FG!$C$5:$C$367, 0)), " ")</f>
        <v>42</v>
      </c>
      <c r="T1936" s="36"/>
      <c r="U1936" s="36"/>
      <c r="V1936" s="36"/>
      <c r="W1936" s="129"/>
      <c r="X1936" s="36"/>
      <c r="Y1936" s="36"/>
      <c r="Z1936" s="36"/>
      <c r="AA1936" s="125" t="s">
        <v>121</v>
      </c>
      <c r="AB1936" s="173">
        <v>45609</v>
      </c>
      <c r="AC1936" s="119">
        <v>202401382</v>
      </c>
      <c r="AD1936" s="36">
        <f t="shared" si="225"/>
        <v>37871627</v>
      </c>
      <c r="AE1936" s="36" t="str">
        <f t="shared" si="226"/>
        <v>TK.KWSE20-A-0038-WW1</v>
      </c>
      <c r="AF1936" s="36">
        <v>83</v>
      </c>
      <c r="AG1936" s="120">
        <f t="shared" si="224"/>
        <v>468.95000000000005</v>
      </c>
      <c r="AH1936" s="36"/>
      <c r="AI1936" s="124"/>
      <c r="AJ1936" s="122" t="s">
        <v>2585</v>
      </c>
      <c r="AK1936" s="129" t="str">
        <f t="shared" ca="1" si="223"/>
        <v>On Time</v>
      </c>
      <c r="AL1936" s="268" t="str">
        <f t="shared" si="222"/>
        <v>November</v>
      </c>
      <c r="AM1936" s="133">
        <f>YEAR(Table1[[#This Row],[ETA
As requested
dd.mm.yyyy]])</f>
        <v>2024</v>
      </c>
    </row>
    <row r="1937" spans="1:39" hidden="1">
      <c r="A1937" s="123" t="s">
        <v>83</v>
      </c>
      <c r="B1937" s="36" t="s">
        <v>1170</v>
      </c>
      <c r="C1937" s="117">
        <v>38215944</v>
      </c>
      <c r="D1937" s="165">
        <v>45635</v>
      </c>
      <c r="E1937" s="117" t="s">
        <v>98</v>
      </c>
      <c r="F1937" s="36" t="str">
        <f>IFERROR(VLOOKUP(Table1[[#This Row],[Part Number]],DATABASE_FG!$C$6:D11926,2,FALSE)," ")</f>
        <v xml:space="preserve">094132526-8011 </v>
      </c>
      <c r="G1937" s="117" t="str">
        <f>IFERROR(_xlfn.XLOOKUP(Table1[[#This Row],[Part Number]],Table3[Part number],Table3[Drawing
 Revision]),"")</f>
        <v>AA</v>
      </c>
      <c r="H1937" s="118" cm="1">
        <f t="array" ref="H1937">IFERROR(INDEX(PDB!$C:$AT,MATCH(E1937,PDB!$B:$B,0),MATCH(YEAR(K1937),0+PDB!$C$1:$AT$1,0)),"")</f>
        <v>5.65</v>
      </c>
      <c r="I1937" s="36">
        <v>55</v>
      </c>
      <c r="J1937" s="125">
        <f>IFERROR(Table1[[#This Row],[Quantity]]*Table1[[#This Row],[Price/Unit
EUR]]," ")</f>
        <v>310.75</v>
      </c>
      <c r="K1937" s="126">
        <v>45666</v>
      </c>
      <c r="L1937" s="36">
        <f>WEEKNUM(Table1[[#This Row],[ETA
As requested
dd.mm.yyyy]])</f>
        <v>2</v>
      </c>
      <c r="M1937" s="36">
        <f>YEAR(Table1[[#This Row],[ETA
As requested
dd.mm.yyyy]])</f>
        <v>2025</v>
      </c>
      <c r="N1937" s="36">
        <f>IFERROR(INDEX(DATABASE_FG!$H$5:$H$367, MATCH(E1937, DATABASE_FG!$C$5:$C$367, 0)), " ")</f>
        <v>0</v>
      </c>
      <c r="O1937" s="129" t="str">
        <f>IF(E1937&lt;&gt;"", _xlfn.XLOOKUP(E1937, DATABASE_FG!C:C, DATABASE_FG!F:F), " ")</f>
        <v>Ghidaje</v>
      </c>
      <c r="P1937" s="129">
        <f>IFERROR(INDEX(DATABASE_FG!$G$5:$G$367, MATCH(E1937, DATABASE_FG!$C$5:$C$367, 0)), "Not Found")</f>
        <v>0</v>
      </c>
      <c r="Q1937" s="36"/>
      <c r="R1937" s="125" t="s">
        <v>678</v>
      </c>
      <c r="S1937" s="123">
        <f>IFERROR(INDEX(DATABASE_FG!$L$5:$L$367, MATCH(E1937, DATABASE_FG!$C$5:$C$367, 0)), " ")</f>
        <v>42</v>
      </c>
      <c r="T1937" s="36" t="s">
        <v>679</v>
      </c>
      <c r="U1937" s="36"/>
      <c r="V1937" s="36"/>
      <c r="W1937" s="129"/>
      <c r="X1937" s="36"/>
      <c r="Y1937" s="36"/>
      <c r="Z1937" s="36"/>
      <c r="AA1937" s="125" t="s">
        <v>121</v>
      </c>
      <c r="AB1937" s="173">
        <v>45666</v>
      </c>
      <c r="AC1937" s="119">
        <v>202502508</v>
      </c>
      <c r="AD1937" s="36">
        <f t="shared" si="225"/>
        <v>38215944</v>
      </c>
      <c r="AE1937" s="36" t="str">
        <f t="shared" si="226"/>
        <v>TK.KWSE20-A-0038-WW1</v>
      </c>
      <c r="AF1937" s="36">
        <v>55</v>
      </c>
      <c r="AG1937" s="120">
        <f t="shared" si="224"/>
        <v>310.75</v>
      </c>
      <c r="AH1937" s="36"/>
      <c r="AI1937" s="124"/>
      <c r="AJ1937" s="122" t="s">
        <v>2688</v>
      </c>
      <c r="AK1937" s="129" t="str">
        <f t="shared" ca="1" si="223"/>
        <v>On Time</v>
      </c>
      <c r="AL1937" s="268" t="str">
        <f t="shared" si="222"/>
        <v>January</v>
      </c>
      <c r="AM1937" s="133">
        <f>YEAR(Table1[[#This Row],[ETA
As requested
dd.mm.yyyy]])</f>
        <v>2025</v>
      </c>
    </row>
    <row r="1938" spans="1:39" hidden="1">
      <c r="A1938" s="123" t="s">
        <v>83</v>
      </c>
      <c r="B1938" s="36" t="s">
        <v>1170</v>
      </c>
      <c r="C1938" s="117">
        <v>38215944</v>
      </c>
      <c r="D1938" s="165">
        <v>45635</v>
      </c>
      <c r="E1938" s="117" t="s">
        <v>98</v>
      </c>
      <c r="F1938" s="36" t="str">
        <f>IFERROR(VLOOKUP(Table1[[#This Row],[Part Number]],DATABASE_FG!$C$6:D11927,2,FALSE)," ")</f>
        <v xml:space="preserve">094132526-8011 </v>
      </c>
      <c r="G1938" s="117" t="str">
        <f>IFERROR(_xlfn.XLOOKUP(Table1[[#This Row],[Part Number]],Table3[Part number],Table3[Drawing
 Revision]),"")</f>
        <v>AA</v>
      </c>
      <c r="H1938" s="118" cm="1">
        <f t="array" ref="H1938">IFERROR(INDEX(PDB!$C:$AT,MATCH(E1938,PDB!$B:$B,0),MATCH(YEAR(K1938),0+PDB!$C$1:$AT$1,0)),"")</f>
        <v>5.65</v>
      </c>
      <c r="I1938" s="36">
        <v>118</v>
      </c>
      <c r="J1938" s="125">
        <f>IFERROR(Table1[[#This Row],[Quantity]]*Table1[[#This Row],[Price/Unit
EUR]]," ")</f>
        <v>666.7</v>
      </c>
      <c r="K1938" s="126">
        <v>45666</v>
      </c>
      <c r="L1938" s="36">
        <f>WEEKNUM(Table1[[#This Row],[ETA
As requested
dd.mm.yyyy]])</f>
        <v>2</v>
      </c>
      <c r="M1938" s="36">
        <f>YEAR(Table1[[#This Row],[ETA
As requested
dd.mm.yyyy]])</f>
        <v>2025</v>
      </c>
      <c r="N1938" s="36">
        <f>IFERROR(INDEX(DATABASE_FG!$H$5:$H$367, MATCH(E1938, DATABASE_FG!$C$5:$C$367, 0)), " ")</f>
        <v>0</v>
      </c>
      <c r="O1938" s="129" t="str">
        <f>IF(E1938&lt;&gt;"", _xlfn.XLOOKUP(E1938, DATABASE_FG!C:C, DATABASE_FG!F:F), " ")</f>
        <v>Ghidaje</v>
      </c>
      <c r="P1938" s="129">
        <f>IFERROR(INDEX(DATABASE_FG!$G$5:$G$367, MATCH(E1938, DATABASE_FG!$C$5:$C$367, 0)), "Not Found")</f>
        <v>0</v>
      </c>
      <c r="Q1938" s="36"/>
      <c r="R1938" s="125" t="s">
        <v>678</v>
      </c>
      <c r="S1938" s="123">
        <f>IFERROR(INDEX(DATABASE_FG!$L$5:$L$367, MATCH(E1938, DATABASE_FG!$C$5:$C$367, 0)), " ")</f>
        <v>42</v>
      </c>
      <c r="T1938" s="36" t="s">
        <v>679</v>
      </c>
      <c r="U1938" s="36"/>
      <c r="V1938" s="36"/>
      <c r="W1938" s="129"/>
      <c r="X1938" s="36"/>
      <c r="Y1938" s="36"/>
      <c r="Z1938" s="36"/>
      <c r="AA1938" s="125" t="s">
        <v>121</v>
      </c>
      <c r="AB1938" s="173">
        <v>45674</v>
      </c>
      <c r="AC1938" s="119" t="s">
        <v>2701</v>
      </c>
      <c r="AD1938" s="36">
        <f t="shared" si="225"/>
        <v>38215944</v>
      </c>
      <c r="AE1938" s="36" t="str">
        <f t="shared" si="226"/>
        <v>TK.KWSE20-A-0038-WW1</v>
      </c>
      <c r="AF1938" s="36">
        <v>118</v>
      </c>
      <c r="AG1938" s="120">
        <f t="shared" si="224"/>
        <v>666.7</v>
      </c>
      <c r="AH1938" s="36"/>
      <c r="AI1938" s="124"/>
      <c r="AJ1938" s="122" t="s">
        <v>2702</v>
      </c>
      <c r="AK1938" s="129" t="str">
        <f t="shared" ca="1" si="223"/>
        <v>Late</v>
      </c>
      <c r="AL1938" s="268" t="str">
        <f t="shared" si="222"/>
        <v>January</v>
      </c>
      <c r="AM1938" s="133">
        <f>YEAR(Table1[[#This Row],[ETA
As requested
dd.mm.yyyy]])</f>
        <v>2025</v>
      </c>
    </row>
    <row r="1939" spans="1:39" hidden="1">
      <c r="A1939" s="123" t="s">
        <v>83</v>
      </c>
      <c r="B1939" s="36" t="s">
        <v>1170</v>
      </c>
      <c r="C1939" s="117">
        <v>38215944</v>
      </c>
      <c r="D1939" s="165">
        <v>45635</v>
      </c>
      <c r="E1939" s="117" t="s">
        <v>98</v>
      </c>
      <c r="F1939" s="36" t="str">
        <f>IFERROR(VLOOKUP(Table1[[#This Row],[Part Number]],DATABASE_FG!$C$6:D11928,2,FALSE)," ")</f>
        <v xml:space="preserve">094132526-8011 </v>
      </c>
      <c r="G1939" s="117" t="str">
        <f>IFERROR(_xlfn.XLOOKUP(Table1[[#This Row],[Part Number]],Table3[Part number],Table3[Drawing
 Revision]),"")</f>
        <v>AA</v>
      </c>
      <c r="H1939" s="118" cm="1">
        <f t="array" ref="H1939">IFERROR(INDEX(PDB!$C:$AT,MATCH(E1939,PDB!$B:$B,0),MATCH(YEAR(K1939),0+PDB!$C$1:$AT$1,0)),"")</f>
        <v>5.65</v>
      </c>
      <c r="I1939" s="36">
        <v>27</v>
      </c>
      <c r="J1939" s="125">
        <f>IFERROR(Table1[[#This Row],[Quantity]]*Table1[[#This Row],[Price/Unit
EUR]]," ")</f>
        <v>152.55000000000001</v>
      </c>
      <c r="K1939" s="126">
        <v>45666</v>
      </c>
      <c r="L1939" s="36">
        <f>WEEKNUM(Table1[[#This Row],[ETA
As requested
dd.mm.yyyy]])</f>
        <v>2</v>
      </c>
      <c r="M1939" s="36">
        <f>YEAR(Table1[[#This Row],[ETA
As requested
dd.mm.yyyy]])</f>
        <v>2025</v>
      </c>
      <c r="N1939" s="36">
        <f>IFERROR(INDEX(DATABASE_FG!$H$5:$H$367, MATCH(E1939, DATABASE_FG!$C$5:$C$367, 0)), " ")</f>
        <v>0</v>
      </c>
      <c r="O1939" s="129" t="str">
        <f>IF(E1939&lt;&gt;"", _xlfn.XLOOKUP(E1939, DATABASE_FG!C:C, DATABASE_FG!F:F), " ")</f>
        <v>Ghidaje</v>
      </c>
      <c r="P1939" s="129">
        <f>IFERROR(INDEX(DATABASE_FG!$G$5:$G$367, MATCH(E1939, DATABASE_FG!$C$5:$C$367, 0)), "Not Found")</f>
        <v>0</v>
      </c>
      <c r="Q1939" s="36"/>
      <c r="R1939" s="125" t="s">
        <v>678</v>
      </c>
      <c r="S1939" s="123">
        <f>IFERROR(INDEX(DATABASE_FG!$L$5:$L$367, MATCH(E1939, DATABASE_FG!$C$5:$C$367, 0)), " ")</f>
        <v>42</v>
      </c>
      <c r="T1939" s="36" t="s">
        <v>679</v>
      </c>
      <c r="U1939" s="36"/>
      <c r="V1939" s="36"/>
      <c r="W1939" s="129"/>
      <c r="X1939" s="36"/>
      <c r="Y1939" s="36"/>
      <c r="Z1939" s="36"/>
      <c r="AA1939" s="125" t="s">
        <v>121</v>
      </c>
      <c r="AB1939" s="172">
        <v>45677</v>
      </c>
      <c r="AC1939" s="119" t="s">
        <v>2703</v>
      </c>
      <c r="AD1939" s="36">
        <f t="shared" si="225"/>
        <v>38215944</v>
      </c>
      <c r="AE1939" s="36" t="str">
        <f t="shared" si="226"/>
        <v>TK.KWSE20-A-0038-WW1</v>
      </c>
      <c r="AF1939" s="36">
        <v>27</v>
      </c>
      <c r="AG1939" s="120">
        <f t="shared" si="224"/>
        <v>152.55000000000001</v>
      </c>
      <c r="AH1939" s="36"/>
      <c r="AI1939" s="124"/>
      <c r="AJ1939" s="122" t="s">
        <v>2704</v>
      </c>
      <c r="AK1939" s="129" t="str">
        <f t="shared" ca="1" si="223"/>
        <v>Late</v>
      </c>
      <c r="AL1939" s="268" t="str">
        <f t="shared" si="222"/>
        <v>January</v>
      </c>
      <c r="AM1939" s="133">
        <f>YEAR(Table1[[#This Row],[ETA
As requested
dd.mm.yyyy]])</f>
        <v>2025</v>
      </c>
    </row>
    <row r="1940" spans="1:39" hidden="1">
      <c r="A1940" s="123" t="s">
        <v>83</v>
      </c>
      <c r="B1940" s="36" t="s">
        <v>1170</v>
      </c>
      <c r="C1940" s="117">
        <v>38215944</v>
      </c>
      <c r="D1940" s="165">
        <v>45635</v>
      </c>
      <c r="E1940" s="117" t="s">
        <v>98</v>
      </c>
      <c r="F1940" s="36" t="str">
        <f>IFERROR(VLOOKUP(Table1[[#This Row],[Part Number]],DATABASE_FG!$C$6:D11929,2,FALSE)," ")</f>
        <v xml:space="preserve">094132526-8011 </v>
      </c>
      <c r="G1940" s="117" t="str">
        <f>IFERROR(_xlfn.XLOOKUP(Table1[[#This Row],[Part Number]],Table3[Part number],Table3[Drawing
 Revision]),"")</f>
        <v>AA</v>
      </c>
      <c r="H1940" s="118" cm="1">
        <f t="array" ref="H1940">IFERROR(INDEX(PDB!$C:$AT,MATCH(E1940,PDB!$B:$B,0),MATCH(YEAR(K1940),0+PDB!$C$1:$AT$1,0)),"")</f>
        <v>5.65</v>
      </c>
      <c r="I1940" s="36">
        <v>200</v>
      </c>
      <c r="J1940" s="125">
        <f>IFERROR(Table1[[#This Row],[Quantity]]*Table1[[#This Row],[Price/Unit
EUR]]," ")</f>
        <v>1130</v>
      </c>
      <c r="K1940" s="126">
        <v>45673</v>
      </c>
      <c r="L1940" s="36">
        <f>WEEKNUM(Table1[[#This Row],[ETA
As requested
dd.mm.yyyy]])</f>
        <v>3</v>
      </c>
      <c r="M1940" s="36">
        <f>YEAR(Table1[[#This Row],[ETA
As requested
dd.mm.yyyy]])</f>
        <v>2025</v>
      </c>
      <c r="N1940" s="36">
        <f>IFERROR(INDEX(DATABASE_FG!$H$5:$H$367, MATCH(E1940, DATABASE_FG!$C$5:$C$367, 0)), " ")</f>
        <v>0</v>
      </c>
      <c r="O1940" s="129" t="str">
        <f>IF(E1940&lt;&gt;"", _xlfn.XLOOKUP(E1940, DATABASE_FG!C:C, DATABASE_FG!F:F), " ")</f>
        <v>Ghidaje</v>
      </c>
      <c r="P1940" s="129">
        <f>IFERROR(INDEX(DATABASE_FG!$G$5:$G$367, MATCH(E1940, DATABASE_FG!$C$5:$C$367, 0)), "Not Found")</f>
        <v>0</v>
      </c>
      <c r="Q1940" s="36"/>
      <c r="R1940" s="125" t="s">
        <v>678</v>
      </c>
      <c r="S1940" s="123">
        <f>IFERROR(INDEX(DATABASE_FG!$L$5:$L$367, MATCH(E1940, DATABASE_FG!$C$5:$C$367, 0)), " ")</f>
        <v>42</v>
      </c>
      <c r="T1940" s="36" t="s">
        <v>679</v>
      </c>
      <c r="U1940" s="36"/>
      <c r="V1940" s="36"/>
      <c r="W1940" s="129"/>
      <c r="X1940" s="36"/>
      <c r="Y1940" s="36"/>
      <c r="Z1940" s="36"/>
      <c r="AA1940" s="125" t="s">
        <v>121</v>
      </c>
      <c r="AB1940" s="173">
        <v>45677</v>
      </c>
      <c r="AC1940" s="119" t="s">
        <v>2703</v>
      </c>
      <c r="AD1940" s="36">
        <f t="shared" si="225"/>
        <v>38215944</v>
      </c>
      <c r="AE1940" s="36" t="str">
        <f t="shared" si="226"/>
        <v>TK.KWSE20-A-0038-WW1</v>
      </c>
      <c r="AF1940" s="36">
        <v>200</v>
      </c>
      <c r="AG1940" s="120">
        <f t="shared" si="224"/>
        <v>1130</v>
      </c>
      <c r="AH1940" s="36"/>
      <c r="AI1940" s="124"/>
      <c r="AJ1940" s="122" t="s">
        <v>2704</v>
      </c>
      <c r="AK1940" s="129" t="str">
        <f t="shared" ca="1" si="223"/>
        <v>Late</v>
      </c>
      <c r="AL1940" s="268" t="str">
        <f t="shared" si="222"/>
        <v>January</v>
      </c>
      <c r="AM1940" s="133">
        <f>YEAR(Table1[[#This Row],[ETA
As requested
dd.mm.yyyy]])</f>
        <v>2025</v>
      </c>
    </row>
    <row r="1941" spans="1:39" hidden="1">
      <c r="A1941" s="123" t="s">
        <v>83</v>
      </c>
      <c r="B1941" s="36" t="s">
        <v>1170</v>
      </c>
      <c r="C1941" s="117">
        <v>38215944</v>
      </c>
      <c r="D1941" s="165">
        <v>45635</v>
      </c>
      <c r="E1941" s="117" t="s">
        <v>98</v>
      </c>
      <c r="F1941" s="36" t="str">
        <f>IFERROR(VLOOKUP(Table1[[#This Row],[Part Number]],DATABASE_FG!$C$6:D11930,2,FALSE)," ")</f>
        <v xml:space="preserve">094132526-8011 </v>
      </c>
      <c r="G1941" s="117" t="str">
        <f>IFERROR(_xlfn.XLOOKUP(Table1[[#This Row],[Part Number]],Table3[Part number],Table3[Drawing
 Revision]),"")</f>
        <v>AA</v>
      </c>
      <c r="H1941" s="118" cm="1">
        <f t="array" ref="H1941">IFERROR(INDEX(PDB!$C:$AT,MATCH(E1941,PDB!$B:$B,0),MATCH(YEAR(K1941),0+PDB!$C$1:$AT$1,0)),"")</f>
        <v>5.65</v>
      </c>
      <c r="I1941" s="36">
        <v>85</v>
      </c>
      <c r="J1941" s="125">
        <f>IFERROR(Table1[[#This Row],[Quantity]]*Table1[[#This Row],[Price/Unit
EUR]]," ")</f>
        <v>480.25000000000006</v>
      </c>
      <c r="K1941" s="126">
        <v>45673</v>
      </c>
      <c r="L1941" s="36">
        <f>WEEKNUM(Table1[[#This Row],[ETA
As requested
dd.mm.yyyy]])</f>
        <v>3</v>
      </c>
      <c r="M1941" s="36">
        <f>YEAR(Table1[[#This Row],[ETA
As requested
dd.mm.yyyy]])</f>
        <v>2025</v>
      </c>
      <c r="N1941" s="36">
        <f>IFERROR(INDEX(DATABASE_FG!$H$5:$H$367, MATCH(E1941, DATABASE_FG!$C$5:$C$367, 0)), " ")</f>
        <v>0</v>
      </c>
      <c r="O1941" s="129" t="str">
        <f>IF(E1941&lt;&gt;"", _xlfn.XLOOKUP(E1941, DATABASE_FG!C:C, DATABASE_FG!F:F), " ")</f>
        <v>Ghidaje</v>
      </c>
      <c r="P1941" s="129">
        <f>IFERROR(INDEX(DATABASE_FG!$G$5:$G$367, MATCH(E1941, DATABASE_FG!$C$5:$C$367, 0)), "Not Found")</f>
        <v>0</v>
      </c>
      <c r="Q1941" s="36"/>
      <c r="R1941" s="125" t="s">
        <v>678</v>
      </c>
      <c r="S1941" s="123">
        <f>IFERROR(INDEX(DATABASE_FG!$L$5:$L$367, MATCH(E1941, DATABASE_FG!$C$5:$C$367, 0)), " ")</f>
        <v>42</v>
      </c>
      <c r="T1941" s="36" t="s">
        <v>679</v>
      </c>
      <c r="U1941" s="36"/>
      <c r="V1941" s="36"/>
      <c r="W1941" s="129"/>
      <c r="X1941" s="36"/>
      <c r="Y1941" s="36"/>
      <c r="Z1941" s="36"/>
      <c r="AA1941" s="125" t="s">
        <v>121</v>
      </c>
      <c r="AB1941" s="173">
        <v>45677</v>
      </c>
      <c r="AC1941" s="119" t="s">
        <v>2703</v>
      </c>
      <c r="AD1941" s="36">
        <f t="shared" si="225"/>
        <v>38215944</v>
      </c>
      <c r="AE1941" s="36" t="str">
        <f t="shared" si="226"/>
        <v>TK.KWSE20-A-0038-WW1</v>
      </c>
      <c r="AF1941" s="36">
        <v>85</v>
      </c>
      <c r="AG1941" s="120">
        <f t="shared" si="224"/>
        <v>480.25000000000006</v>
      </c>
      <c r="AH1941" s="36"/>
      <c r="AI1941" s="124"/>
      <c r="AJ1941" s="122" t="s">
        <v>2704</v>
      </c>
      <c r="AK1941" s="129" t="str">
        <f t="shared" ca="1" si="223"/>
        <v>Late</v>
      </c>
      <c r="AL1941" s="268" t="str">
        <f t="shared" si="222"/>
        <v>January</v>
      </c>
      <c r="AM1941" s="133">
        <f>YEAR(Table1[[#This Row],[ETA
As requested
dd.mm.yyyy]])</f>
        <v>2025</v>
      </c>
    </row>
    <row r="1942" spans="1:39" hidden="1">
      <c r="A1942" s="123" t="s">
        <v>83</v>
      </c>
      <c r="B1942" s="36" t="s">
        <v>1170</v>
      </c>
      <c r="C1942" s="117">
        <v>38215944</v>
      </c>
      <c r="D1942" s="165">
        <v>45635</v>
      </c>
      <c r="E1942" s="117" t="s">
        <v>98</v>
      </c>
      <c r="F1942" s="36" t="str">
        <f>IFERROR(VLOOKUP(Table1[[#This Row],[Part Number]],DATABASE_FG!$C$6:D11931,2,FALSE)," ")</f>
        <v xml:space="preserve">094132526-8011 </v>
      </c>
      <c r="G1942" s="117" t="str">
        <f>IFERROR(_xlfn.XLOOKUP(Table1[[#This Row],[Part Number]],Table3[Part number],Table3[Drawing
 Revision]),"")</f>
        <v>AA</v>
      </c>
      <c r="H1942" s="118" cm="1">
        <f t="array" ref="H1942">IFERROR(INDEX(PDB!$C:$AT,MATCH(E1942,PDB!$B:$B,0),MATCH(YEAR(K1942),0+PDB!$C$1:$AT$1,0)),"")</f>
        <v>5.65</v>
      </c>
      <c r="I1942" s="36">
        <f>129-1</f>
        <v>128</v>
      </c>
      <c r="J1942" s="125">
        <v>932.25000000000011</v>
      </c>
      <c r="K1942" s="126">
        <v>45673</v>
      </c>
      <c r="L1942" s="36">
        <f>WEEKNUM(Table1[[#This Row],[ETA
As requested
dd.mm.yyyy]])</f>
        <v>3</v>
      </c>
      <c r="M1942" s="36">
        <f>YEAR(Table1[[#This Row],[ETA
As requested
dd.mm.yyyy]])</f>
        <v>2025</v>
      </c>
      <c r="N1942" s="36">
        <v>0</v>
      </c>
      <c r="O1942" s="129" t="str">
        <f>IF(E1942&lt;&gt;"", _xlfn.XLOOKUP(E1942, DATABASE_FG!C:C, DATABASE_FG!F:F), " ")</f>
        <v>Ghidaje</v>
      </c>
      <c r="P1942" s="129">
        <f>IFERROR(INDEX(DATABASE_FG!$G$5:$G$367, MATCH(E1942, DATABASE_FG!$C$5:$C$367, 0)), "Not Found")</f>
        <v>0</v>
      </c>
      <c r="Q1942" s="36"/>
      <c r="R1942" s="125" t="s">
        <v>678</v>
      </c>
      <c r="S1942" s="123">
        <v>42</v>
      </c>
      <c r="T1942" s="36" t="s">
        <v>679</v>
      </c>
      <c r="U1942" s="36"/>
      <c r="V1942" s="36"/>
      <c r="W1942" s="129"/>
      <c r="X1942" s="36" t="s">
        <v>2720</v>
      </c>
      <c r="Y1942" s="36" t="s">
        <v>2720</v>
      </c>
      <c r="Z1942" s="36"/>
      <c r="AA1942" s="125" t="s">
        <v>121</v>
      </c>
      <c r="AB1942" s="173">
        <v>45678</v>
      </c>
      <c r="AC1942" s="119" t="s">
        <v>2721</v>
      </c>
      <c r="AD1942" s="36">
        <f t="shared" si="225"/>
        <v>38215944</v>
      </c>
      <c r="AE1942" s="36" t="str">
        <f t="shared" si="226"/>
        <v>TK.KWSE20-A-0038-WW1</v>
      </c>
      <c r="AF1942" s="36">
        <f>129-1</f>
        <v>128</v>
      </c>
      <c r="AG1942" s="120">
        <f t="shared" si="224"/>
        <v>723.2</v>
      </c>
      <c r="AH1942" s="36"/>
      <c r="AI1942" s="124" t="s">
        <v>2722</v>
      </c>
      <c r="AJ1942" s="176" t="s">
        <v>2723</v>
      </c>
      <c r="AK1942" s="129" t="str">
        <f t="shared" ca="1" si="223"/>
        <v>Late</v>
      </c>
      <c r="AL1942" s="268" t="str">
        <f t="shared" si="222"/>
        <v>January</v>
      </c>
      <c r="AM1942" s="133">
        <f>YEAR(Table1[[#This Row],[ETA
As requested
dd.mm.yyyy]])</f>
        <v>2025</v>
      </c>
    </row>
    <row r="1943" spans="1:39" hidden="1">
      <c r="A1943" s="123" t="s">
        <v>83</v>
      </c>
      <c r="B1943" s="36" t="s">
        <v>1170</v>
      </c>
      <c r="C1943" s="117">
        <v>38215944</v>
      </c>
      <c r="D1943" s="165">
        <v>45635</v>
      </c>
      <c r="E1943" s="117" t="s">
        <v>98</v>
      </c>
      <c r="F1943" s="36" t="str">
        <f>IFERROR(VLOOKUP(Table1[[#This Row],[Part Number]],DATABASE_FG!$C$6:D11932,2,FALSE)," ")</f>
        <v xml:space="preserve">094132526-8011 </v>
      </c>
      <c r="G1943" s="117" t="str">
        <f>IFERROR(_xlfn.XLOOKUP(Table1[[#This Row],[Part Number]],Table3[Part number],Table3[Drawing
 Revision]),"")</f>
        <v>AA</v>
      </c>
      <c r="H1943" s="118" cm="1">
        <f t="array" ref="H1943">IFERROR(INDEX(PDB!$C:$AT,MATCH(E1943,PDB!$B:$B,0),MATCH(YEAR(K1943),0+PDB!$C$1:$AT$1,0)),"")</f>
        <v>5.65</v>
      </c>
      <c r="I1943" s="36">
        <f>165-129</f>
        <v>36</v>
      </c>
      <c r="J1943" s="125">
        <f>IFERROR(Table1[[#This Row],[Quantity]]*Table1[[#This Row],[Price/Unit
EUR]]," ")</f>
        <v>203.4</v>
      </c>
      <c r="K1943" s="126">
        <v>45673</v>
      </c>
      <c r="L1943" s="36">
        <f>WEEKNUM(Table1[[#This Row],[ETA
As requested
dd.mm.yyyy]])</f>
        <v>3</v>
      </c>
      <c r="M1943" s="36">
        <f>YEAR(Table1[[#This Row],[ETA
As requested
dd.mm.yyyy]])</f>
        <v>2025</v>
      </c>
      <c r="N1943" s="36">
        <f>IFERROR(INDEX(DATABASE_FG!$H$5:$H$367, MATCH(E1943, DATABASE_FG!$C$5:$C$367, 0)), " ")</f>
        <v>0</v>
      </c>
      <c r="O1943" s="129" t="str">
        <f>IF(E1943&lt;&gt;"", _xlfn.XLOOKUP(E1943, DATABASE_FG!C:C, DATABASE_FG!F:F), " ")</f>
        <v>Ghidaje</v>
      </c>
      <c r="P1943" s="129">
        <f>IFERROR(INDEX(DATABASE_FG!$G$5:$G$367, MATCH(E1943, DATABASE_FG!$C$5:$C$367, 0)), "Not Found")</f>
        <v>0</v>
      </c>
      <c r="Q1943" s="36"/>
      <c r="R1943" s="125" t="s">
        <v>678</v>
      </c>
      <c r="S1943" s="123">
        <f>IFERROR(INDEX(DATABASE_FG!$L$5:$L$367, MATCH(E1943, DATABASE_FG!$C$5:$C$367, 0)), " ")</f>
        <v>42</v>
      </c>
      <c r="T1943" s="36" t="s">
        <v>679</v>
      </c>
      <c r="U1943" s="36"/>
      <c r="V1943" s="36"/>
      <c r="W1943" s="129"/>
      <c r="X1943" s="36"/>
      <c r="Y1943" s="36"/>
      <c r="Z1943" s="36"/>
      <c r="AA1943" s="125" t="s">
        <v>121</v>
      </c>
      <c r="AB1943" s="173">
        <v>45680</v>
      </c>
      <c r="AC1943" s="119" t="s">
        <v>2724</v>
      </c>
      <c r="AD1943" s="36">
        <f t="shared" si="225"/>
        <v>38215944</v>
      </c>
      <c r="AE1943" s="36" t="str">
        <f t="shared" si="226"/>
        <v>TK.KWSE20-A-0038-WW1</v>
      </c>
      <c r="AF1943" s="36">
        <v>36</v>
      </c>
      <c r="AG1943" s="120">
        <f t="shared" si="224"/>
        <v>203.4</v>
      </c>
      <c r="AH1943" s="36"/>
      <c r="AI1943" s="124"/>
      <c r="AJ1943" s="122" t="s">
        <v>2725</v>
      </c>
      <c r="AK1943" s="129" t="str">
        <f t="shared" ca="1" si="223"/>
        <v>Late</v>
      </c>
      <c r="AL1943" s="268" t="str">
        <f t="shared" si="222"/>
        <v>January</v>
      </c>
      <c r="AM1943" s="133">
        <f>YEAR(Table1[[#This Row],[ETA
As requested
dd.mm.yyyy]])</f>
        <v>2025</v>
      </c>
    </row>
    <row r="1944" spans="1:39" hidden="1">
      <c r="A1944" s="123" t="s">
        <v>83</v>
      </c>
      <c r="B1944" s="36" t="s">
        <v>1170</v>
      </c>
      <c r="C1944" s="117">
        <v>38215944</v>
      </c>
      <c r="D1944" s="165">
        <v>45635</v>
      </c>
      <c r="E1944" s="117" t="s">
        <v>98</v>
      </c>
      <c r="F1944" s="36" t="str">
        <f>IFERROR(VLOOKUP(Table1[[#This Row],[Part Number]],DATABASE_FG!$C$6:D11933,2,FALSE)," ")</f>
        <v xml:space="preserve">094132526-8011 </v>
      </c>
      <c r="G1944" s="117" t="str">
        <f>IFERROR(_xlfn.XLOOKUP(Table1[[#This Row],[Part Number]],Table3[Part number],Table3[Drawing
 Revision]),"")</f>
        <v>AA</v>
      </c>
      <c r="H1944" s="118" cm="1">
        <f t="array" ref="H1944">IFERROR(INDEX(PDB!$C:$AT,MATCH(E1944,PDB!$B:$B,0),MATCH(YEAR(K1944),0+PDB!$C$1:$AT$1,0)),"")</f>
        <v>5.65</v>
      </c>
      <c r="I1944" s="36">
        <v>0</v>
      </c>
      <c r="J1944" s="125">
        <v>932.25000000000011</v>
      </c>
      <c r="K1944" s="126">
        <v>45673</v>
      </c>
      <c r="L1944" s="36">
        <f>WEEKNUM(Table1[[#This Row],[ETA
As requested
dd.mm.yyyy]])</f>
        <v>3</v>
      </c>
      <c r="M1944" s="36">
        <f>YEAR(Table1[[#This Row],[ETA
As requested
dd.mm.yyyy]])</f>
        <v>2025</v>
      </c>
      <c r="N1944" s="36">
        <v>0</v>
      </c>
      <c r="O1944" s="129" t="str">
        <f>IF(E1944&lt;&gt;"", _xlfn.XLOOKUP(E1944, DATABASE_FG!C:C, DATABASE_FG!F:F), " ")</f>
        <v>Ghidaje</v>
      </c>
      <c r="P1944" s="129">
        <f>IFERROR(INDEX(DATABASE_FG!$G$5:$G$367, MATCH(E1944, DATABASE_FG!$C$5:$C$367, 0)), "Not Found")</f>
        <v>0</v>
      </c>
      <c r="Q1944" s="36"/>
      <c r="R1944" s="125" t="s">
        <v>678</v>
      </c>
      <c r="S1944" s="123">
        <v>42</v>
      </c>
      <c r="T1944" s="36" t="s">
        <v>679</v>
      </c>
      <c r="U1944" s="36"/>
      <c r="V1944" s="36"/>
      <c r="W1944" s="129"/>
      <c r="X1944" s="36" t="s">
        <v>2720</v>
      </c>
      <c r="Y1944" s="36" t="s">
        <v>2720</v>
      </c>
      <c r="Z1944" s="36"/>
      <c r="AA1944" s="125" t="s">
        <v>121</v>
      </c>
      <c r="AB1944" s="173"/>
      <c r="AC1944" s="119"/>
      <c r="AD1944" s="36" t="str">
        <f t="shared" si="225"/>
        <v/>
      </c>
      <c r="AE1944" s="36" t="str">
        <f t="shared" si="226"/>
        <v/>
      </c>
      <c r="AF1944" s="36"/>
      <c r="AG1944" s="120">
        <f t="shared" si="224"/>
        <v>0</v>
      </c>
      <c r="AH1944" s="36"/>
      <c r="AI1944" s="124" t="s">
        <v>2722</v>
      </c>
      <c r="AJ1944" s="122"/>
      <c r="AK1944" s="129" t="str">
        <f t="shared" ca="1" si="223"/>
        <v>Late</v>
      </c>
      <c r="AL1944" s="268" t="str">
        <f t="shared" si="222"/>
        <v>January</v>
      </c>
      <c r="AM1944" s="133">
        <f>YEAR(Table1[[#This Row],[ETA
As requested
dd.mm.yyyy]])</f>
        <v>2025</v>
      </c>
    </row>
    <row r="1945" spans="1:39" hidden="1">
      <c r="A1945" s="123" t="s">
        <v>83</v>
      </c>
      <c r="B1945" s="36" t="s">
        <v>1170</v>
      </c>
      <c r="C1945" s="117">
        <v>38215944</v>
      </c>
      <c r="D1945" s="165">
        <v>45635</v>
      </c>
      <c r="E1945" s="117" t="s">
        <v>98</v>
      </c>
      <c r="F1945" s="36" t="str">
        <f>IFERROR(VLOOKUP(Table1[[#This Row],[Part Number]],DATABASE_FG!$C$6:D11934,2,FALSE)," ")</f>
        <v xml:space="preserve">094132526-8011 </v>
      </c>
      <c r="G1945" s="117" t="str">
        <f>IFERROR(_xlfn.XLOOKUP(Table1[[#This Row],[Part Number]],Table3[Part number],Table3[Drawing
 Revision]),"")</f>
        <v>AA</v>
      </c>
      <c r="H1945" s="118" cm="1">
        <f t="array" ref="H1945">IFERROR(INDEX(PDB!$C:$AT,MATCH(E1945,PDB!$B:$B,0),MATCH(YEAR(K1945),0+PDB!$C$1:$AT$1,0)),"")</f>
        <v>5.65</v>
      </c>
      <c r="I1945" s="36">
        <v>150</v>
      </c>
      <c r="J1945" s="125">
        <f>IFERROR(Table1[[#This Row],[Quantity]]*Table1[[#This Row],[Price/Unit
EUR]]," ")</f>
        <v>847.5</v>
      </c>
      <c r="K1945" s="126">
        <v>45680</v>
      </c>
      <c r="L1945" s="36">
        <f>WEEKNUM(Table1[[#This Row],[ETA
As requested
dd.mm.yyyy]])</f>
        <v>4</v>
      </c>
      <c r="M1945" s="36">
        <f>YEAR(Table1[[#This Row],[ETA
As requested
dd.mm.yyyy]])</f>
        <v>2025</v>
      </c>
      <c r="N1945" s="36">
        <f>IFERROR(INDEX(DATABASE_FG!$H$5:$H$367, MATCH(E1945, DATABASE_FG!$C$5:$C$367, 0)), " ")</f>
        <v>0</v>
      </c>
      <c r="O1945" s="129" t="str">
        <f>IF(E1945&lt;&gt;"", _xlfn.XLOOKUP(E1945, DATABASE_FG!C:C, DATABASE_FG!F:F), " ")</f>
        <v>Ghidaje</v>
      </c>
      <c r="P1945" s="129">
        <f>IFERROR(INDEX(DATABASE_FG!$G$5:$G$367, MATCH(E1945, DATABASE_FG!$C$5:$C$367, 0)), "Not Found")</f>
        <v>0</v>
      </c>
      <c r="Q1945" s="36"/>
      <c r="R1945" s="125" t="s">
        <v>678</v>
      </c>
      <c r="S1945" s="123">
        <f>IFERROR(INDEX(DATABASE_FG!$L$5:$L$367, MATCH(E1945, DATABASE_FG!$C$5:$C$367, 0)), " ")</f>
        <v>42</v>
      </c>
      <c r="T1945" s="36" t="s">
        <v>679</v>
      </c>
      <c r="U1945" s="36"/>
      <c r="V1945" s="36"/>
      <c r="W1945" s="129"/>
      <c r="X1945" s="36"/>
      <c r="Y1945" s="36"/>
      <c r="Z1945" s="36"/>
      <c r="AA1945" s="125" t="s">
        <v>121</v>
      </c>
      <c r="AB1945" s="173">
        <v>45680</v>
      </c>
      <c r="AC1945" s="119" t="s">
        <v>2724</v>
      </c>
      <c r="AD1945" s="36">
        <f t="shared" si="225"/>
        <v>38215944</v>
      </c>
      <c r="AE1945" s="36" t="str">
        <f t="shared" si="226"/>
        <v>TK.KWSE20-A-0038-WW1</v>
      </c>
      <c r="AF1945" s="36">
        <v>150</v>
      </c>
      <c r="AG1945" s="120">
        <f t="shared" si="224"/>
        <v>847.5</v>
      </c>
      <c r="AH1945" s="36"/>
      <c r="AI1945" s="124"/>
      <c r="AJ1945" s="122" t="s">
        <v>2725</v>
      </c>
      <c r="AK1945" s="129" t="str">
        <f t="shared" ca="1" si="223"/>
        <v>On Time</v>
      </c>
      <c r="AL1945" s="268" t="str">
        <f t="shared" si="222"/>
        <v>January</v>
      </c>
      <c r="AM1945" s="133">
        <f>YEAR(Table1[[#This Row],[ETA
As requested
dd.mm.yyyy]])</f>
        <v>2025</v>
      </c>
    </row>
    <row r="1946" spans="1:39" hidden="1">
      <c r="A1946" s="123" t="s">
        <v>83</v>
      </c>
      <c r="B1946" s="36" t="s">
        <v>1170</v>
      </c>
      <c r="C1946" s="117">
        <v>38474442</v>
      </c>
      <c r="D1946" s="165">
        <v>45679</v>
      </c>
      <c r="E1946" s="117" t="s">
        <v>98</v>
      </c>
      <c r="F1946" s="36" t="str">
        <f>IFERROR(VLOOKUP(Table1[[#This Row],[Part Number]],DATABASE_FG!$C$6:D11935,2,FALSE)," ")</f>
        <v xml:space="preserve">094132526-8011 </v>
      </c>
      <c r="G1946" s="117" t="str">
        <f>IFERROR(_xlfn.XLOOKUP(Table1[[#This Row],[Part Number]],Table3[Part number],Table3[Drawing
 Revision]),"")</f>
        <v>AA</v>
      </c>
      <c r="H1946" s="118" cm="1">
        <f t="array" ref="H1946">IFERROR(INDEX(PDB!$C:$AT,MATCH(E1946,PDB!$B:$B,0),MATCH(YEAR(K1946),0+PDB!$C$1:$AT$1,0)),"")</f>
        <v>5.65</v>
      </c>
      <c r="I1946" s="36">
        <v>63</v>
      </c>
      <c r="J1946" s="125">
        <f>IFERROR(Table1[[#This Row],[Quantity]]*Table1[[#This Row],[Price/Unit
EUR]]," ")</f>
        <v>355.95000000000005</v>
      </c>
      <c r="K1946" s="126">
        <v>45694</v>
      </c>
      <c r="L1946" s="36">
        <f>WEEKNUM(Table1[[#This Row],[ETA
As requested
dd.mm.yyyy]])</f>
        <v>6</v>
      </c>
      <c r="M1946" s="36">
        <f>YEAR(Table1[[#This Row],[ETA
As requested
dd.mm.yyyy]])</f>
        <v>2025</v>
      </c>
      <c r="N1946" s="36">
        <f>IFERROR(INDEX(DATABASE_FG!$H$5:$H$367, MATCH(E1946, DATABASE_FG!$C$5:$C$367, 0)), " ")</f>
        <v>0</v>
      </c>
      <c r="O1946" s="129" t="str">
        <f>IF(E1946&lt;&gt;"", _xlfn.XLOOKUP(E1946, DATABASE_FG!C:C, DATABASE_FG!F:F), " ")</f>
        <v>Ghidaje</v>
      </c>
      <c r="P1946" s="129">
        <f>IFERROR(INDEX(DATABASE_FG!$G$5:$G$367, MATCH(E1946, DATABASE_FG!$C$5:$C$367, 0)), "Not Found")</f>
        <v>0</v>
      </c>
      <c r="Q1946" s="36"/>
      <c r="R1946" s="125" t="s">
        <v>678</v>
      </c>
      <c r="S1946" s="123">
        <f>IFERROR(INDEX(DATABASE_FG!$L$5:$L$367, MATCH(E1946, DATABASE_FG!$C$5:$C$367, 0)), " ")</f>
        <v>42</v>
      </c>
      <c r="T1946" s="36" t="s">
        <v>679</v>
      </c>
      <c r="U1946" s="36"/>
      <c r="V1946" s="36"/>
      <c r="W1946" s="129"/>
      <c r="X1946" s="36"/>
      <c r="Y1946" s="36"/>
      <c r="Z1946" s="36"/>
      <c r="AA1946" s="125" t="s">
        <v>121</v>
      </c>
      <c r="AB1946" s="173">
        <v>45694</v>
      </c>
      <c r="AC1946" s="119">
        <v>25154</v>
      </c>
      <c r="AD1946" s="36">
        <f t="shared" si="225"/>
        <v>38474442</v>
      </c>
      <c r="AE1946" s="36" t="str">
        <f t="shared" si="226"/>
        <v>TK.KWSE20-A-0038-WW1</v>
      </c>
      <c r="AF1946" s="36">
        <v>63</v>
      </c>
      <c r="AG1946" s="120">
        <f t="shared" si="224"/>
        <v>355.95000000000005</v>
      </c>
      <c r="AH1946" s="36"/>
      <c r="AI1946" s="124"/>
      <c r="AJ1946" s="122" t="s">
        <v>2772</v>
      </c>
      <c r="AK1946" s="129" t="str">
        <f t="shared" ca="1" si="223"/>
        <v>On Time</v>
      </c>
      <c r="AL1946" s="268" t="str">
        <f t="shared" si="222"/>
        <v>February</v>
      </c>
      <c r="AM1946" s="133">
        <f>YEAR(Table1[[#This Row],[ETA
As requested
dd.mm.yyyy]])</f>
        <v>2025</v>
      </c>
    </row>
    <row r="1947" spans="1:39" hidden="1">
      <c r="A1947" s="123" t="s">
        <v>83</v>
      </c>
      <c r="B1947" s="36" t="s">
        <v>1170</v>
      </c>
      <c r="C1947" s="117">
        <v>38474442</v>
      </c>
      <c r="D1947" s="165">
        <v>45679</v>
      </c>
      <c r="E1947" s="117" t="s">
        <v>98</v>
      </c>
      <c r="F1947" s="36" t="str">
        <f>IFERROR(VLOOKUP(Table1[[#This Row],[Part Number]],DATABASE_FG!$C$6:D11936,2,FALSE)," ")</f>
        <v xml:space="preserve">094132526-8011 </v>
      </c>
      <c r="G1947" s="117" t="str">
        <f>IFERROR(_xlfn.XLOOKUP(Table1[[#This Row],[Part Number]],Table3[Part number],Table3[Drawing
 Revision]),"")</f>
        <v>AA</v>
      </c>
      <c r="H1947" s="118" cm="1">
        <f t="array" ref="H1947">IFERROR(INDEX(PDB!$C:$AT,MATCH(E1947,PDB!$B:$B,0),MATCH(YEAR(K1947),0+PDB!$C$1:$AT$1,0)),"")</f>
        <v>5.65</v>
      </c>
      <c r="I1947" s="36">
        <f>200-63</f>
        <v>137</v>
      </c>
      <c r="J1947" s="125">
        <f>IFERROR(Table1[[#This Row],[Quantity]]*Table1[[#This Row],[Price/Unit
EUR]]," ")</f>
        <v>774.05000000000007</v>
      </c>
      <c r="K1947" s="126">
        <v>45694</v>
      </c>
      <c r="L1947" s="36">
        <f>WEEKNUM(Table1[[#This Row],[ETA
As requested
dd.mm.yyyy]])</f>
        <v>6</v>
      </c>
      <c r="M1947" s="36">
        <f>YEAR(Table1[[#This Row],[ETA
As requested
dd.mm.yyyy]])</f>
        <v>2025</v>
      </c>
      <c r="N1947" s="36">
        <f>IFERROR(INDEX(DATABASE_FG!$H$5:$H$367, MATCH(E1947, DATABASE_FG!$C$5:$C$367, 0)), " ")</f>
        <v>0</v>
      </c>
      <c r="O1947" s="129" t="str">
        <f>IF(E1947&lt;&gt;"", _xlfn.XLOOKUP(E1947, DATABASE_FG!C:C, DATABASE_FG!F:F), " ")</f>
        <v>Ghidaje</v>
      </c>
      <c r="P1947" s="129">
        <f>IFERROR(INDEX(DATABASE_FG!$G$5:$G$367, MATCH(E1947, DATABASE_FG!$C$5:$C$367, 0)), "Not Found")</f>
        <v>0</v>
      </c>
      <c r="Q1947" s="36"/>
      <c r="R1947" s="125" t="s">
        <v>678</v>
      </c>
      <c r="S1947" s="123">
        <f>IFERROR(INDEX(DATABASE_FG!$L$5:$L$367, MATCH(E1947, DATABASE_FG!$C$5:$C$367, 0)), " ")</f>
        <v>42</v>
      </c>
      <c r="T1947" s="36" t="s">
        <v>679</v>
      </c>
      <c r="U1947" s="36"/>
      <c r="V1947" s="36"/>
      <c r="W1947" s="129"/>
      <c r="X1947" s="36"/>
      <c r="Y1947" s="36" t="s">
        <v>121</v>
      </c>
      <c r="Z1947" s="36"/>
      <c r="AA1947" s="125" t="s">
        <v>121</v>
      </c>
      <c r="AB1947" s="173">
        <v>45707</v>
      </c>
      <c r="AC1947" s="119" t="s">
        <v>2780</v>
      </c>
      <c r="AD1947" s="36">
        <f t="shared" si="225"/>
        <v>38474442</v>
      </c>
      <c r="AE1947" s="36" t="str">
        <f t="shared" si="226"/>
        <v>TK.KWSE20-A-0038-WW1</v>
      </c>
      <c r="AF1947" s="36">
        <v>137</v>
      </c>
      <c r="AG1947" s="120">
        <f t="shared" si="224"/>
        <v>774.05000000000007</v>
      </c>
      <c r="AH1947" s="36"/>
      <c r="AI1947" s="124"/>
      <c r="AJ1947" s="122" t="s">
        <v>2781</v>
      </c>
      <c r="AK1947" s="129" t="str">
        <f t="shared" ca="1" si="223"/>
        <v>Late</v>
      </c>
      <c r="AL1947" s="268" t="str">
        <f t="shared" si="222"/>
        <v>February</v>
      </c>
      <c r="AM1947" s="133">
        <f>YEAR(Table1[[#This Row],[ETA
As requested
dd.mm.yyyy]])</f>
        <v>2025</v>
      </c>
    </row>
    <row r="1948" spans="1:39" hidden="1">
      <c r="A1948" s="123" t="s">
        <v>83</v>
      </c>
      <c r="B1948" s="36" t="s">
        <v>1170</v>
      </c>
      <c r="C1948" s="117">
        <v>38474442</v>
      </c>
      <c r="D1948" s="165">
        <v>45679</v>
      </c>
      <c r="E1948" s="117" t="s">
        <v>98</v>
      </c>
      <c r="F1948" s="36" t="str">
        <f>IFERROR(VLOOKUP(Table1[[#This Row],[Part Number]],DATABASE_FG!$C$6:D11937,2,FALSE)," ")</f>
        <v xml:space="preserve">094132526-8011 </v>
      </c>
      <c r="G1948" s="117" t="str">
        <f>IFERROR(_xlfn.XLOOKUP(Table1[[#This Row],[Part Number]],Table3[Part number],Table3[Drawing
 Revision]),"")</f>
        <v>AA</v>
      </c>
      <c r="H1948" s="118" cm="1">
        <f t="array" ref="H1948">IFERROR(INDEX(PDB!$C:$AT,MATCH(E1948,PDB!$B:$B,0),MATCH(YEAR(K1948),0+PDB!$C$1:$AT$1,0)),"")</f>
        <v>5.65</v>
      </c>
      <c r="I1948" s="36">
        <f>175-137</f>
        <v>38</v>
      </c>
      <c r="J1948" s="125">
        <f>IFERROR(Table1[[#This Row],[Quantity]]*Table1[[#This Row],[Price/Unit
EUR]]," ")</f>
        <v>214.70000000000002</v>
      </c>
      <c r="K1948" s="126">
        <v>45701</v>
      </c>
      <c r="L1948" s="36">
        <f>WEEKNUM(Table1[[#This Row],[ETA
As requested
dd.mm.yyyy]])</f>
        <v>7</v>
      </c>
      <c r="M1948" s="36">
        <f>YEAR(Table1[[#This Row],[ETA
As requested
dd.mm.yyyy]])</f>
        <v>2025</v>
      </c>
      <c r="N1948" s="36">
        <f>IFERROR(INDEX(DATABASE_FG!$H$5:$H$367, MATCH(E1948, DATABASE_FG!$C$5:$C$367, 0)), " ")</f>
        <v>0</v>
      </c>
      <c r="O1948" s="129" t="str">
        <f>IF(E1948&lt;&gt;"", _xlfn.XLOOKUP(E1948, DATABASE_FG!C:C, DATABASE_FG!F:F), " ")</f>
        <v>Ghidaje</v>
      </c>
      <c r="P1948" s="129">
        <f>IFERROR(INDEX(DATABASE_FG!$G$5:$G$367, MATCH(E1948, DATABASE_FG!$C$5:$C$367, 0)), "Not Found")</f>
        <v>0</v>
      </c>
      <c r="Q1948" s="36"/>
      <c r="R1948" s="125"/>
      <c r="S1948" s="123">
        <f>IFERROR(INDEX(DATABASE_FG!$L$5:$L$367, MATCH(E1948, DATABASE_FG!$C$5:$C$367, 0)), " ")</f>
        <v>42</v>
      </c>
      <c r="T1948" s="36"/>
      <c r="U1948" s="36"/>
      <c r="V1948" s="36"/>
      <c r="W1948" s="129"/>
      <c r="X1948" s="36"/>
      <c r="Y1948" s="36"/>
      <c r="Z1948" s="36"/>
      <c r="AA1948" s="125" t="s">
        <v>121</v>
      </c>
      <c r="AB1948" s="173">
        <v>45707</v>
      </c>
      <c r="AC1948" s="119" t="s">
        <v>2780</v>
      </c>
      <c r="AD1948" s="36">
        <f t="shared" si="225"/>
        <v>38474442</v>
      </c>
      <c r="AE1948" s="36" t="str">
        <f t="shared" si="226"/>
        <v>TK.KWSE20-A-0038-WW1</v>
      </c>
      <c r="AF1948" s="36">
        <v>38</v>
      </c>
      <c r="AG1948" s="120">
        <f t="shared" si="224"/>
        <v>214.70000000000002</v>
      </c>
      <c r="AH1948" s="36"/>
      <c r="AI1948" s="124"/>
      <c r="AJ1948" s="122" t="s">
        <v>2781</v>
      </c>
      <c r="AK1948" s="129" t="str">
        <f t="shared" ca="1" si="223"/>
        <v>Late</v>
      </c>
      <c r="AL1948" s="268" t="str">
        <f t="shared" si="222"/>
        <v>February</v>
      </c>
      <c r="AM1948" s="133">
        <f>YEAR(Table1[[#This Row],[ETA
As requested
dd.mm.yyyy]])</f>
        <v>2025</v>
      </c>
    </row>
    <row r="1949" spans="1:39" hidden="1">
      <c r="A1949" s="123" t="s">
        <v>83</v>
      </c>
      <c r="B1949" s="36" t="s">
        <v>1170</v>
      </c>
      <c r="C1949" s="117">
        <v>38474442</v>
      </c>
      <c r="D1949" s="165">
        <v>45679</v>
      </c>
      <c r="E1949" s="117" t="s">
        <v>98</v>
      </c>
      <c r="F1949" s="36" t="str">
        <f>IFERROR(VLOOKUP(Table1[[#This Row],[Part Number]],DATABASE_FG!$C$6:D11938,2,FALSE)," ")</f>
        <v xml:space="preserve">094132526-8011 </v>
      </c>
      <c r="G1949" s="117" t="str">
        <f>IFERROR(_xlfn.XLOOKUP(Table1[[#This Row],[Part Number]],Table3[Part number],Table3[Drawing
 Revision]),"")</f>
        <v>AA</v>
      </c>
      <c r="H1949" s="118" cm="1">
        <f t="array" ref="H1949">IFERROR(INDEX(PDB!$C:$AT,MATCH(E1949,PDB!$B:$B,0),MATCH(YEAR(K1949),0+PDB!$C$1:$AT$1,0)),"")</f>
        <v>5.65</v>
      </c>
      <c r="I1949" s="36">
        <v>104</v>
      </c>
      <c r="J1949" s="125">
        <f>IFERROR(Table1[[#This Row],[Quantity]]*Table1[[#This Row],[Price/Unit
EUR]]," ")</f>
        <v>587.6</v>
      </c>
      <c r="K1949" s="126">
        <v>45701</v>
      </c>
      <c r="L1949" s="36">
        <f>WEEKNUM(Table1[[#This Row],[ETA
As requested
dd.mm.yyyy]])</f>
        <v>7</v>
      </c>
      <c r="M1949" s="36">
        <f>YEAR(Table1[[#This Row],[ETA
As requested
dd.mm.yyyy]])</f>
        <v>2025</v>
      </c>
      <c r="N1949" s="36">
        <f>IFERROR(INDEX(DATABASE_FG!$H$5:$H$367, MATCH(E1949, DATABASE_FG!$C$5:$C$367, 0)), " ")</f>
        <v>0</v>
      </c>
      <c r="O1949" s="129" t="str">
        <f>IF(E1949&lt;&gt;"", _xlfn.XLOOKUP(E1949, DATABASE_FG!C:C, DATABASE_FG!F:F), " ")</f>
        <v>Ghidaje</v>
      </c>
      <c r="P1949" s="129">
        <f>IFERROR(INDEX(DATABASE_FG!$G$5:$G$367, MATCH(E1949, DATABASE_FG!$C$5:$C$367, 0)), "Not Found")</f>
        <v>0</v>
      </c>
      <c r="Q1949" s="36"/>
      <c r="R1949" s="125" t="s">
        <v>678</v>
      </c>
      <c r="S1949" s="123">
        <f>IFERROR(INDEX(DATABASE_FG!$L$5:$L$367, MATCH(E1949, DATABASE_FG!$C$5:$C$367, 0)), " ")</f>
        <v>42</v>
      </c>
      <c r="T1949" s="36" t="s">
        <v>679</v>
      </c>
      <c r="U1949" s="36"/>
      <c r="V1949" s="36"/>
      <c r="W1949" s="129"/>
      <c r="X1949" s="36"/>
      <c r="Y1949" s="36" t="s">
        <v>121</v>
      </c>
      <c r="Z1949" s="36"/>
      <c r="AA1949" s="125" t="s">
        <v>121</v>
      </c>
      <c r="AB1949" s="173">
        <v>45708</v>
      </c>
      <c r="AC1949" s="119">
        <v>25241</v>
      </c>
      <c r="AD1949" s="36">
        <f t="shared" si="225"/>
        <v>38474442</v>
      </c>
      <c r="AE1949" s="36" t="str">
        <f t="shared" si="226"/>
        <v>TK.KWSE20-A-0038-WW1</v>
      </c>
      <c r="AF1949" s="36">
        <v>104</v>
      </c>
      <c r="AG1949" s="120">
        <f t="shared" si="224"/>
        <v>587.6</v>
      </c>
      <c r="AH1949" s="36"/>
      <c r="AI1949" s="124"/>
      <c r="AJ1949" s="122" t="s">
        <v>2808</v>
      </c>
      <c r="AK1949" s="129" t="str">
        <f t="shared" ca="1" si="223"/>
        <v>Late</v>
      </c>
      <c r="AL1949" s="268" t="str">
        <f t="shared" si="222"/>
        <v>February</v>
      </c>
      <c r="AM1949" s="133">
        <f>YEAR(Table1[[#This Row],[ETA
As requested
dd.mm.yyyy]])</f>
        <v>2025</v>
      </c>
    </row>
    <row r="1950" spans="1:39" hidden="1">
      <c r="A1950" s="123" t="s">
        <v>83</v>
      </c>
      <c r="B1950" s="36" t="s">
        <v>1170</v>
      </c>
      <c r="C1950" s="117">
        <v>38676253</v>
      </c>
      <c r="D1950" s="165">
        <v>45709</v>
      </c>
      <c r="E1950" s="117" t="s">
        <v>98</v>
      </c>
      <c r="F1950" s="36" t="str">
        <f>IFERROR(VLOOKUP(Table1[[#This Row],[Part Number]],DATABASE_FG!$C$6:D11939,2,FALSE)," ")</f>
        <v xml:space="preserve">094132526-8011 </v>
      </c>
      <c r="G1950" s="117" t="str">
        <f>IFERROR(_xlfn.XLOOKUP(Table1[[#This Row],[Part Number]],Table3[Part number],Table3[Drawing
 Revision]),"")</f>
        <v>AA</v>
      </c>
      <c r="H1950" s="118" cm="1">
        <f t="array" ref="H1950">IFERROR(INDEX(PDB!$C:$AT,MATCH(E1950,PDB!$B:$B,0),MATCH(YEAR(K1950),0+PDB!$C$1:$AT$1,0)),"")</f>
        <v>5.65</v>
      </c>
      <c r="I1950" s="36">
        <v>59</v>
      </c>
      <c r="J1950" s="125">
        <f>IFERROR(Table1[[#This Row],[Quantity]]*Table1[[#This Row],[Price/Unit
EUR]]," ")</f>
        <v>333.35</v>
      </c>
      <c r="K1950" s="126">
        <v>45701</v>
      </c>
      <c r="L1950" s="36">
        <f>WEEKNUM(Table1[[#This Row],[ETA
As requested
dd.mm.yyyy]])</f>
        <v>7</v>
      </c>
      <c r="M1950" s="36">
        <f>YEAR(Table1[[#This Row],[ETA
As requested
dd.mm.yyyy]])</f>
        <v>2025</v>
      </c>
      <c r="N1950" s="36">
        <f>IFERROR(INDEX(DATABASE_FG!$H$5:$H$367, MATCH(E1950, DATABASE_FG!$C$5:$C$367, 0)), " ")</f>
        <v>0</v>
      </c>
      <c r="O1950" s="129" t="str">
        <f>IF(E1950&lt;&gt;"", _xlfn.XLOOKUP(E1950, DATABASE_FG!C:C, DATABASE_FG!F:F), " ")</f>
        <v>Ghidaje</v>
      </c>
      <c r="P1950" s="129">
        <f>IFERROR(INDEX(DATABASE_FG!$G$5:$G$367, MATCH(E1950, DATABASE_FG!$C$5:$C$367, 0)), "Not Found")</f>
        <v>0</v>
      </c>
      <c r="Q1950" s="36"/>
      <c r="R1950" s="125" t="s">
        <v>678</v>
      </c>
      <c r="S1950" s="123">
        <f>IFERROR(INDEX(DATABASE_FG!$L$5:$L$367, MATCH(E1950, DATABASE_FG!$C$5:$C$367, 0)), " ")</f>
        <v>42</v>
      </c>
      <c r="T1950" s="36" t="s">
        <v>679</v>
      </c>
      <c r="U1950" s="36"/>
      <c r="V1950" s="36"/>
      <c r="W1950" s="129"/>
      <c r="X1950" s="36"/>
      <c r="Y1950" s="36"/>
      <c r="Z1950" s="36"/>
      <c r="AA1950" s="125" t="s">
        <v>121</v>
      </c>
      <c r="AB1950" s="172">
        <v>45709</v>
      </c>
      <c r="AC1950" s="119">
        <v>25252</v>
      </c>
      <c r="AD1950" s="36">
        <f t="shared" si="225"/>
        <v>38676253</v>
      </c>
      <c r="AE1950" s="36" t="str">
        <f t="shared" si="226"/>
        <v>TK.KWSE20-A-0038-WW1</v>
      </c>
      <c r="AF1950">
        <v>59</v>
      </c>
      <c r="AG1950" s="120">
        <f t="shared" si="224"/>
        <v>333.35</v>
      </c>
      <c r="AH1950" s="36"/>
      <c r="AI1950" s="124"/>
      <c r="AJ1950" s="122" t="s">
        <v>2810</v>
      </c>
      <c r="AK1950" s="129" t="str">
        <f t="shared" ca="1" si="223"/>
        <v>Late</v>
      </c>
      <c r="AL1950" s="268" t="str">
        <f t="shared" si="222"/>
        <v>February</v>
      </c>
      <c r="AM1950" s="133">
        <f>YEAR(Table1[[#This Row],[ETA
As requested
dd.mm.yyyy]])</f>
        <v>2025</v>
      </c>
    </row>
    <row r="1951" spans="1:39" hidden="1">
      <c r="A1951" s="123" t="s">
        <v>83</v>
      </c>
      <c r="B1951" s="36" t="s">
        <v>1170</v>
      </c>
      <c r="C1951" s="117">
        <v>38474442</v>
      </c>
      <c r="D1951" s="165">
        <v>45679</v>
      </c>
      <c r="E1951" s="117" t="s">
        <v>98</v>
      </c>
      <c r="F1951" s="36" t="str">
        <f>IFERROR(VLOOKUP(Table1[[#This Row],[Part Number]],DATABASE_FG!$C$6:D11940,2,FALSE)," ")</f>
        <v xml:space="preserve">094132526-8011 </v>
      </c>
      <c r="G1951" s="117" t="str">
        <f>IFERROR(_xlfn.XLOOKUP(Table1[[#This Row],[Part Number]],Table3[Part number],Table3[Drawing
 Revision]),"")</f>
        <v>AA</v>
      </c>
      <c r="H1951" s="118" cm="1">
        <f t="array" ref="H1951">IFERROR(INDEX(PDB!$C:$AT,MATCH(E1951,PDB!$B:$B,0),MATCH(YEAR(K1951),0+PDB!$C$1:$AT$1,0)),"")</f>
        <v>5.65</v>
      </c>
      <c r="I1951" s="36">
        <f>200-38-104</f>
        <v>58</v>
      </c>
      <c r="J1951" s="125">
        <f>IFERROR(Table1[[#This Row],[Quantity]]*Table1[[#This Row],[Price/Unit
EUR]]," ")</f>
        <v>327.70000000000005</v>
      </c>
      <c r="K1951" s="126">
        <v>45701</v>
      </c>
      <c r="L1951" s="36">
        <f>WEEKNUM(Table1[[#This Row],[ETA
As requested
dd.mm.yyyy]])</f>
        <v>7</v>
      </c>
      <c r="M1951" s="36">
        <f>YEAR(Table1[[#This Row],[ETA
As requested
dd.mm.yyyy]])</f>
        <v>2025</v>
      </c>
      <c r="N1951" s="36">
        <f>IFERROR(INDEX(DATABASE_FG!$H$5:$H$367, MATCH(E1951, DATABASE_FG!$C$5:$C$367, 0)), " ")</f>
        <v>0</v>
      </c>
      <c r="O1951" s="129" t="str">
        <f>IF(E1951&lt;&gt;"", _xlfn.XLOOKUP(E1951, DATABASE_FG!C:C, DATABASE_FG!F:F), " ")</f>
        <v>Ghidaje</v>
      </c>
      <c r="P1951" s="129">
        <f>IFERROR(INDEX(DATABASE_FG!$G$5:$G$367, MATCH(E1951, DATABASE_FG!$C$5:$C$367, 0)), "Not Found")</f>
        <v>0</v>
      </c>
      <c r="Q1951" s="36"/>
      <c r="R1951" s="125" t="s">
        <v>678</v>
      </c>
      <c r="S1951" s="123">
        <f>IFERROR(INDEX(DATABASE_FG!$L$5:$L$367, MATCH(E1951, DATABASE_FG!$C$5:$C$367, 0)), " ")</f>
        <v>42</v>
      </c>
      <c r="T1951" s="36" t="s">
        <v>679</v>
      </c>
      <c r="U1951" s="36"/>
      <c r="V1951" s="36"/>
      <c r="W1951" s="129"/>
      <c r="X1951" s="36"/>
      <c r="Y1951" s="36" t="s">
        <v>121</v>
      </c>
      <c r="Z1951" s="36"/>
      <c r="AA1951" s="125" t="s">
        <v>121</v>
      </c>
      <c r="AB1951" s="173">
        <v>45709</v>
      </c>
      <c r="AC1951" s="119">
        <v>25251</v>
      </c>
      <c r="AD1951" s="36">
        <f t="shared" si="225"/>
        <v>38474442</v>
      </c>
      <c r="AE1951" s="36" t="str">
        <f t="shared" si="226"/>
        <v>TK.KWSE20-A-0038-WW1</v>
      </c>
      <c r="AF1951" s="36">
        <v>58</v>
      </c>
      <c r="AG1951" s="120">
        <f t="shared" si="224"/>
        <v>327.70000000000005</v>
      </c>
      <c r="AH1951" s="36"/>
      <c r="AI1951" s="124"/>
      <c r="AJ1951" s="122" t="s">
        <v>2811</v>
      </c>
      <c r="AK1951" s="129" t="str">
        <f t="shared" ca="1" si="223"/>
        <v>Late</v>
      </c>
      <c r="AL1951" s="268" t="str">
        <f t="shared" si="222"/>
        <v>February</v>
      </c>
      <c r="AM1951" s="133">
        <f>YEAR(Table1[[#This Row],[ETA
As requested
dd.mm.yyyy]])</f>
        <v>2025</v>
      </c>
    </row>
    <row r="1952" spans="1:39" hidden="1">
      <c r="A1952" s="123" t="s">
        <v>83</v>
      </c>
      <c r="B1952" s="36" t="s">
        <v>1170</v>
      </c>
      <c r="C1952" s="117">
        <v>38676253</v>
      </c>
      <c r="D1952" s="165">
        <v>45709</v>
      </c>
      <c r="E1952" s="117" t="s">
        <v>98</v>
      </c>
      <c r="F1952" s="36" t="str">
        <f>IFERROR(VLOOKUP(Table1[[#This Row],[Part Number]],DATABASE_FG!$C$6:D11941,2,FALSE)," ")</f>
        <v xml:space="preserve">094132526-8011 </v>
      </c>
      <c r="G1952" s="117" t="str">
        <f>IFERROR(_xlfn.XLOOKUP(Table1[[#This Row],[Part Number]],Table3[Part number],Table3[Drawing
 Revision]),"")</f>
        <v>AA</v>
      </c>
      <c r="H1952" s="118" cm="1">
        <f t="array" ref="H1952">IFERROR(INDEX(PDB!$C:$AT,MATCH(E1952,PDB!$B:$B,0),MATCH(YEAR(K1952),0+PDB!$C$1:$AT$1,0)),"")</f>
        <v>5.65</v>
      </c>
      <c r="I1952" s="36">
        <v>250</v>
      </c>
      <c r="J1952" s="125">
        <f>IFERROR(Table1[[#This Row],[Quantity]]*Table1[[#This Row],[Price/Unit
EUR]]," ")</f>
        <v>1412.5</v>
      </c>
      <c r="K1952" s="126">
        <v>45720</v>
      </c>
      <c r="L1952" s="36">
        <f>WEEKNUM(Table1[[#This Row],[ETA
As requested
dd.mm.yyyy]])</f>
        <v>10</v>
      </c>
      <c r="M1952" s="36">
        <f>YEAR(Table1[[#This Row],[ETA
As requested
dd.mm.yyyy]])</f>
        <v>2025</v>
      </c>
      <c r="N1952" s="36">
        <f>IFERROR(INDEX(DATABASE_FG!$H$5:$H$367, MATCH(E1952, DATABASE_FG!$C$5:$C$367, 0)), " ")</f>
        <v>0</v>
      </c>
      <c r="O1952" s="129" t="str">
        <f>IF(E1952&lt;&gt;"", _xlfn.XLOOKUP(E1952, DATABASE_FG!C:C, DATABASE_FG!F:F), " ")</f>
        <v>Ghidaje</v>
      </c>
      <c r="P1952" s="129">
        <f>IFERROR(INDEX(DATABASE_FG!$G$5:$G$367, MATCH(E1952, DATABASE_FG!$C$5:$C$367, 0)), "Not Found")</f>
        <v>0</v>
      </c>
      <c r="Q1952" s="36"/>
      <c r="R1952" s="125" t="s">
        <v>678</v>
      </c>
      <c r="S1952" s="123">
        <f>IFERROR(INDEX(DATABASE_FG!$L$5:$L$367, MATCH(E1952, DATABASE_FG!$C$5:$C$367, 0)), " ")</f>
        <v>42</v>
      </c>
      <c r="T1952" s="36" t="s">
        <v>679</v>
      </c>
      <c r="U1952" s="36"/>
      <c r="V1952" s="36"/>
      <c r="W1952" s="129"/>
      <c r="X1952" s="36"/>
      <c r="Y1952" s="36"/>
      <c r="Z1952" s="36"/>
      <c r="AA1952" s="125" t="s">
        <v>121</v>
      </c>
      <c r="AB1952" s="173">
        <v>45720</v>
      </c>
      <c r="AC1952" s="119">
        <v>25307</v>
      </c>
      <c r="AD1952" s="36">
        <f t="shared" si="225"/>
        <v>38676253</v>
      </c>
      <c r="AE1952" s="36" t="str">
        <f t="shared" si="226"/>
        <v>TK.KWSE20-A-0038-WW1</v>
      </c>
      <c r="AF1952" s="36">
        <v>250</v>
      </c>
      <c r="AG1952" s="120">
        <f t="shared" si="224"/>
        <v>1412.5</v>
      </c>
      <c r="AH1952" s="36"/>
      <c r="AI1952" s="124"/>
      <c r="AJ1952" s="122" t="s">
        <v>2915</v>
      </c>
      <c r="AK1952" s="129" t="str">
        <f t="shared" ca="1" si="223"/>
        <v>On Time</v>
      </c>
      <c r="AL1952" s="268" t="str">
        <f t="shared" si="222"/>
        <v>March</v>
      </c>
      <c r="AM1952" s="133">
        <f>YEAR(Table1[[#This Row],[ETA
As requested
dd.mm.yyyy]])</f>
        <v>2025</v>
      </c>
    </row>
    <row r="1953" spans="1:39" hidden="1">
      <c r="A1953" s="123" t="s">
        <v>83</v>
      </c>
      <c r="B1953" s="36" t="s">
        <v>1170</v>
      </c>
      <c r="C1953" s="117">
        <v>38676253</v>
      </c>
      <c r="D1953" s="165">
        <v>45709</v>
      </c>
      <c r="E1953" s="117" t="s">
        <v>98</v>
      </c>
      <c r="F1953" s="36" t="str">
        <f>IFERROR(VLOOKUP(Table1[[#This Row],[Part Number]],DATABASE_FG!$C$6:D11942,2,FALSE)," ")</f>
        <v xml:space="preserve">094132526-8011 </v>
      </c>
      <c r="G1953" s="117" t="str">
        <f>IFERROR(_xlfn.XLOOKUP(Table1[[#This Row],[Part Number]],Table3[Part number],Table3[Drawing
 Revision]),"")</f>
        <v>AA</v>
      </c>
      <c r="H1953" s="118" cm="1">
        <f t="array" ref="H1953">IFERROR(INDEX(PDB!$C:$AT,MATCH(E1953,PDB!$B:$B,0),MATCH(YEAR(K1953),0+PDB!$C$1:$AT$1,0)),"")</f>
        <v>5.65</v>
      </c>
      <c r="I1953" s="36">
        <v>51</v>
      </c>
      <c r="J1953" s="125">
        <f>IFERROR(Table1[[#This Row],[Quantity]]*Table1[[#This Row],[Price/Unit
EUR]]," ")</f>
        <v>288.15000000000003</v>
      </c>
      <c r="K1953" s="126">
        <v>45727</v>
      </c>
      <c r="L1953" s="36">
        <f>WEEKNUM(Table1[[#This Row],[ETA
As requested
dd.mm.yyyy]])</f>
        <v>11</v>
      </c>
      <c r="M1953" s="36">
        <f>YEAR(Table1[[#This Row],[ETA
As requested
dd.mm.yyyy]])</f>
        <v>2025</v>
      </c>
      <c r="N1953" s="36">
        <f>IFERROR(INDEX(DATABASE_FG!$H$5:$H$367, MATCH(E1953, DATABASE_FG!$C$5:$C$367, 0)), " ")</f>
        <v>0</v>
      </c>
      <c r="O1953" s="129" t="str">
        <f>IF(E1953&lt;&gt;"", _xlfn.XLOOKUP(E1953, DATABASE_FG!C:C, DATABASE_FG!F:F), " ")</f>
        <v>Ghidaje</v>
      </c>
      <c r="P1953" s="129">
        <f>IFERROR(INDEX(DATABASE_FG!$G$5:$G$367, MATCH(E1953, DATABASE_FG!$C$5:$C$367, 0)), "Not Found")</f>
        <v>0</v>
      </c>
      <c r="Q1953" s="36"/>
      <c r="R1953" s="125" t="s">
        <v>678</v>
      </c>
      <c r="S1953" s="123">
        <f>IFERROR(INDEX(DATABASE_FG!$L$5:$L$367, MATCH(E1953, DATABASE_FG!$C$5:$C$367, 0)), " ")</f>
        <v>42</v>
      </c>
      <c r="T1953" s="36" t="s">
        <v>679</v>
      </c>
      <c r="U1953" s="36"/>
      <c r="V1953" s="36"/>
      <c r="W1953" s="129"/>
      <c r="X1953" s="36"/>
      <c r="Y1953" s="36"/>
      <c r="Z1953" s="36"/>
      <c r="AA1953" s="125" t="s">
        <v>121</v>
      </c>
      <c r="AB1953" s="173">
        <v>45720</v>
      </c>
      <c r="AC1953" s="119">
        <v>25307</v>
      </c>
      <c r="AD1953" s="36">
        <f t="shared" si="225"/>
        <v>38676253</v>
      </c>
      <c r="AE1953" s="36" t="str">
        <f t="shared" si="226"/>
        <v>TK.KWSE20-A-0038-WW1</v>
      </c>
      <c r="AF1953" s="36">
        <v>51</v>
      </c>
      <c r="AG1953" s="120">
        <f t="shared" si="224"/>
        <v>288.15000000000003</v>
      </c>
      <c r="AH1953" s="36"/>
      <c r="AI1953" s="124"/>
      <c r="AJ1953" s="122" t="s">
        <v>2915</v>
      </c>
      <c r="AK1953" s="129" t="str">
        <f t="shared" ca="1" si="223"/>
        <v>On Time</v>
      </c>
      <c r="AL1953" s="268" t="str">
        <f t="shared" si="222"/>
        <v>March</v>
      </c>
      <c r="AM1953" s="133">
        <f>YEAR(Table1[[#This Row],[ETA
As requested
dd.mm.yyyy]])</f>
        <v>2025</v>
      </c>
    </row>
    <row r="1954" spans="1:39" hidden="1">
      <c r="A1954" s="123" t="s">
        <v>83</v>
      </c>
      <c r="B1954" s="36" t="s">
        <v>1170</v>
      </c>
      <c r="C1954" s="117">
        <v>38676253</v>
      </c>
      <c r="D1954" s="165">
        <v>45709</v>
      </c>
      <c r="E1954" s="117" t="s">
        <v>98</v>
      </c>
      <c r="F1954" s="36" t="str">
        <f>IFERROR(VLOOKUP(Table1[[#This Row],[Part Number]],DATABASE_FG!$C$6:D11943,2,FALSE)," ")</f>
        <v xml:space="preserve">094132526-8011 </v>
      </c>
      <c r="G1954" s="117" t="str">
        <f>IFERROR(_xlfn.XLOOKUP(Table1[[#This Row],[Part Number]],Table3[Part number],Table3[Drawing
 Revision]),"")</f>
        <v>AA</v>
      </c>
      <c r="H1954" s="118" cm="1">
        <f t="array" ref="H1954">IFERROR(INDEX(PDB!$C:$AT,MATCH(E1954,PDB!$B:$B,0),MATCH(YEAR(K1954),0+PDB!$C$1:$AT$1,0)),"")</f>
        <v>5.65</v>
      </c>
      <c r="I1954" s="36">
        <v>137</v>
      </c>
      <c r="J1954" s="125">
        <f>IFERROR(Table1[[#This Row],[Quantity]]*Table1[[#This Row],[Price/Unit
EUR]]," ")</f>
        <v>774.05000000000007</v>
      </c>
      <c r="K1954" s="126">
        <v>45727</v>
      </c>
      <c r="L1954" s="36">
        <f>WEEKNUM(Table1[[#This Row],[ETA
As requested
dd.mm.yyyy]])</f>
        <v>11</v>
      </c>
      <c r="M1954" s="36">
        <f>YEAR(Table1[[#This Row],[ETA
As requested
dd.mm.yyyy]])</f>
        <v>2025</v>
      </c>
      <c r="N1954" s="36">
        <f>IFERROR(INDEX(DATABASE_FG!$H$5:$H$367, MATCH(E1954, DATABASE_FG!$C$5:$C$367, 0)), " ")</f>
        <v>0</v>
      </c>
      <c r="O1954" s="129" t="str">
        <f>IF(E1954&lt;&gt;"", _xlfn.XLOOKUP(E1954, DATABASE_FG!C:C, DATABASE_FG!F:F), " ")</f>
        <v>Ghidaje</v>
      </c>
      <c r="P1954" s="129">
        <f>IFERROR(INDEX(DATABASE_FG!$G$5:$G$367, MATCH(E1954, DATABASE_FG!$C$5:$C$367, 0)), "Not Found")</f>
        <v>0</v>
      </c>
      <c r="Q1954" s="36"/>
      <c r="R1954" s="125" t="s">
        <v>678</v>
      </c>
      <c r="S1954" s="123">
        <f>IFERROR(INDEX(DATABASE_FG!$L$5:$L$367, MATCH(E1954, DATABASE_FG!$C$5:$C$367, 0)), " ")</f>
        <v>42</v>
      </c>
      <c r="T1954" s="36" t="s">
        <v>679</v>
      </c>
      <c r="U1954" s="36"/>
      <c r="V1954" s="36"/>
      <c r="W1954" s="129"/>
      <c r="X1954" s="36"/>
      <c r="Y1954" s="36"/>
      <c r="Z1954" s="36"/>
      <c r="AA1954" s="125" t="s">
        <v>121</v>
      </c>
      <c r="AB1954" s="173">
        <v>45722</v>
      </c>
      <c r="AC1954" s="119">
        <v>25332</v>
      </c>
      <c r="AD1954" s="36">
        <f t="shared" si="225"/>
        <v>38676253</v>
      </c>
      <c r="AE1954" s="36" t="str">
        <f t="shared" si="226"/>
        <v>TK.KWSE20-A-0038-WW1</v>
      </c>
      <c r="AF1954" s="36">
        <v>137</v>
      </c>
      <c r="AG1954" s="120">
        <f t="shared" si="224"/>
        <v>774.05000000000007</v>
      </c>
      <c r="AH1954" s="36"/>
      <c r="AI1954" s="124"/>
      <c r="AJ1954" s="122" t="s">
        <v>2941</v>
      </c>
      <c r="AK1954" s="129" t="str">
        <f t="shared" ca="1" si="223"/>
        <v>On Time</v>
      </c>
      <c r="AL1954" s="268" t="str">
        <f t="shared" si="222"/>
        <v>March</v>
      </c>
      <c r="AM1954" s="133">
        <f>YEAR(Table1[[#This Row],[ETA
As requested
dd.mm.yyyy]])</f>
        <v>2025</v>
      </c>
    </row>
    <row r="1955" spans="1:39" hidden="1">
      <c r="A1955" s="123" t="s">
        <v>83</v>
      </c>
      <c r="B1955" s="36" t="s">
        <v>1170</v>
      </c>
      <c r="C1955" s="117">
        <v>38676253</v>
      </c>
      <c r="D1955" s="165">
        <v>45709</v>
      </c>
      <c r="E1955" s="117" t="s">
        <v>98</v>
      </c>
      <c r="F1955" s="36" t="str">
        <f>IFERROR(VLOOKUP(Table1[[#This Row],[Part Number]],DATABASE_FG!$C$6:D11944,2,FALSE)," ")</f>
        <v xml:space="preserve">094132526-8011 </v>
      </c>
      <c r="G1955" s="117" t="str">
        <f>IFERROR(_xlfn.XLOOKUP(Table1[[#This Row],[Part Number]],Table3[Part number],Table3[Drawing
 Revision]),"")</f>
        <v>AA</v>
      </c>
      <c r="H1955" s="118" cm="1">
        <f t="array" ref="H1955">IFERROR(INDEX(PDB!$C:$AT,MATCH(E1955,PDB!$B:$B,0),MATCH(YEAR(K1955),0+PDB!$C$1:$AT$1,0)),"")</f>
        <v>5.65</v>
      </c>
      <c r="I1955" s="36">
        <f>250-51-137</f>
        <v>62</v>
      </c>
      <c r="J1955" s="125">
        <f>IFERROR(Table1[[#This Row],[Quantity]]*Table1[[#This Row],[Price/Unit
EUR]]," ")</f>
        <v>350.3</v>
      </c>
      <c r="K1955" s="126">
        <v>45727</v>
      </c>
      <c r="L1955" s="36">
        <f>WEEKNUM(Table1[[#This Row],[ETA
As requested
dd.mm.yyyy]])</f>
        <v>11</v>
      </c>
      <c r="M1955" s="36">
        <f>YEAR(Table1[[#This Row],[ETA
As requested
dd.mm.yyyy]])</f>
        <v>2025</v>
      </c>
      <c r="N1955" s="36">
        <f>IFERROR(INDEX(DATABASE_FG!$H$5:$H$367, MATCH(E1955, DATABASE_FG!$C$5:$C$367, 0)), " ")</f>
        <v>0</v>
      </c>
      <c r="O1955" s="129" t="str">
        <f>IF(E1955&lt;&gt;"", _xlfn.XLOOKUP(E1955, DATABASE_FG!C:C, DATABASE_FG!F:F), " ")</f>
        <v>Ghidaje</v>
      </c>
      <c r="P1955" s="129">
        <f>IFERROR(INDEX(DATABASE_FG!$G$5:$G$367, MATCH(E1955, DATABASE_FG!$C$5:$C$367, 0)), "Not Found")</f>
        <v>0</v>
      </c>
      <c r="Q1955" s="36"/>
      <c r="R1955" s="125" t="s">
        <v>678</v>
      </c>
      <c r="S1955" s="123">
        <f>IFERROR(INDEX(DATABASE_FG!$L$5:$L$367, MATCH(E1955, DATABASE_FG!$C$5:$C$367, 0)), " ")</f>
        <v>42</v>
      </c>
      <c r="T1955" s="36" t="s">
        <v>679</v>
      </c>
      <c r="U1955" s="36"/>
      <c r="V1955" s="36"/>
      <c r="W1955" s="129"/>
      <c r="X1955" s="36"/>
      <c r="Y1955" s="36"/>
      <c r="Z1955" s="36"/>
      <c r="AA1955" s="125" t="s">
        <v>121</v>
      </c>
      <c r="AB1955" s="173">
        <v>45727</v>
      </c>
      <c r="AC1955" s="119">
        <v>25354</v>
      </c>
      <c r="AD1955" s="36">
        <f t="shared" si="225"/>
        <v>38676253</v>
      </c>
      <c r="AE1955" s="36" t="str">
        <f t="shared" si="226"/>
        <v>TK.KWSE20-A-0038-WW1</v>
      </c>
      <c r="AF1955" s="36">
        <v>62</v>
      </c>
      <c r="AG1955" s="120">
        <f t="shared" si="224"/>
        <v>350.3</v>
      </c>
      <c r="AH1955" s="36"/>
      <c r="AI1955" s="124"/>
      <c r="AJ1955" s="122" t="s">
        <v>2943</v>
      </c>
      <c r="AK1955" s="129" t="str">
        <f t="shared" ca="1" si="223"/>
        <v>On Time</v>
      </c>
      <c r="AL1955" s="268" t="str">
        <f t="shared" si="222"/>
        <v>March</v>
      </c>
      <c r="AM1955" s="133">
        <f>YEAR(Table1[[#This Row],[ETA
As requested
dd.mm.yyyy]])</f>
        <v>2025</v>
      </c>
    </row>
    <row r="1956" spans="1:39" hidden="1">
      <c r="A1956" s="123" t="s">
        <v>83</v>
      </c>
      <c r="B1956" s="36" t="s">
        <v>1170</v>
      </c>
      <c r="C1956" s="117">
        <v>38676253</v>
      </c>
      <c r="D1956" s="165">
        <v>45709</v>
      </c>
      <c r="E1956" s="117" t="s">
        <v>98</v>
      </c>
      <c r="F1956" s="36" t="str">
        <f>IFERROR(VLOOKUP(Table1[[#This Row],[Part Number]],DATABASE_FG!$C$6:D11945,2,FALSE)," ")</f>
        <v xml:space="preserve">094132526-8011 </v>
      </c>
      <c r="G1956" s="117" t="str">
        <f>IFERROR(_xlfn.XLOOKUP(Table1[[#This Row],[Part Number]],Table3[Part number],Table3[Drawing
 Revision]),"")</f>
        <v>AA</v>
      </c>
      <c r="H1956" s="118" cm="1">
        <f t="array" ref="H1956">IFERROR(INDEX(PDB!$C:$AT,MATCH(E1956,PDB!$B:$B,0),MATCH(YEAR(K1956),0+PDB!$C$1:$AT$1,0)),"")</f>
        <v>5.65</v>
      </c>
      <c r="I1956" s="36">
        <v>64</v>
      </c>
      <c r="J1956" s="125">
        <f>IFERROR(Table1[[#This Row],[Quantity]]*Table1[[#This Row],[Price/Unit
EUR]]," ")</f>
        <v>361.6</v>
      </c>
      <c r="K1956" s="126">
        <v>45734</v>
      </c>
      <c r="L1956" s="36">
        <f>WEEKNUM(Table1[[#This Row],[ETA
As requested
dd.mm.yyyy]])</f>
        <v>12</v>
      </c>
      <c r="M1956" s="36">
        <f>YEAR(Table1[[#This Row],[ETA
As requested
dd.mm.yyyy]])</f>
        <v>2025</v>
      </c>
      <c r="N1956" s="36">
        <f>IFERROR(INDEX(DATABASE_FG!$H$5:$H$367, MATCH(E1956, DATABASE_FG!$C$5:$C$367, 0)), " ")</f>
        <v>0</v>
      </c>
      <c r="O1956" s="129" t="str">
        <f>IF(E1956&lt;&gt;"", _xlfn.XLOOKUP(E1956, DATABASE_FG!C:C, DATABASE_FG!F:F), " ")</f>
        <v>Ghidaje</v>
      </c>
      <c r="P1956" s="129">
        <f>IFERROR(INDEX(DATABASE_FG!$G$5:$G$367, MATCH(E1956, DATABASE_FG!$C$5:$C$367, 0)), "Not Found")</f>
        <v>0</v>
      </c>
      <c r="Q1956" s="36"/>
      <c r="R1956" s="125" t="s">
        <v>678</v>
      </c>
      <c r="S1956" s="123">
        <f>IFERROR(INDEX(DATABASE_FG!$L$5:$L$367, MATCH(E1956, DATABASE_FG!$C$5:$C$367, 0)), " ")</f>
        <v>42</v>
      </c>
      <c r="T1956" s="36" t="s">
        <v>679</v>
      </c>
      <c r="U1956" s="36"/>
      <c r="V1956" s="36"/>
      <c r="W1956" s="129"/>
      <c r="X1956" s="36"/>
      <c r="Y1956" s="36"/>
      <c r="Z1956" s="36"/>
      <c r="AA1956" s="125" t="s">
        <v>121</v>
      </c>
      <c r="AB1956" s="173">
        <v>45734</v>
      </c>
      <c r="AC1956" s="119">
        <v>25399</v>
      </c>
      <c r="AD1956" s="36">
        <f t="shared" si="225"/>
        <v>38676253</v>
      </c>
      <c r="AE1956" s="36" t="str">
        <f t="shared" si="226"/>
        <v>TK.KWSE20-A-0038-WW1</v>
      </c>
      <c r="AF1956" s="36">
        <v>64</v>
      </c>
      <c r="AG1956" s="120">
        <f t="shared" si="224"/>
        <v>361.6</v>
      </c>
      <c r="AH1956" s="36"/>
      <c r="AI1956" s="124"/>
      <c r="AJ1956" s="122" t="s">
        <v>2969</v>
      </c>
      <c r="AK1956" s="129" t="str">
        <f t="shared" ca="1" si="223"/>
        <v>On Time</v>
      </c>
      <c r="AL1956" s="268" t="str">
        <f t="shared" si="222"/>
        <v>March</v>
      </c>
      <c r="AM1956" s="133">
        <f>YEAR(Table1[[#This Row],[ETA
As requested
dd.mm.yyyy]])</f>
        <v>2025</v>
      </c>
    </row>
    <row r="1957" spans="1:39" hidden="1">
      <c r="A1957" s="123" t="s">
        <v>83</v>
      </c>
      <c r="B1957" s="36" t="s">
        <v>1170</v>
      </c>
      <c r="C1957" s="117">
        <v>38676253</v>
      </c>
      <c r="D1957" s="165">
        <v>45709</v>
      </c>
      <c r="E1957" s="117" t="s">
        <v>98</v>
      </c>
      <c r="F1957" s="36" t="str">
        <f>IFERROR(VLOOKUP(Table1[[#This Row],[Part Number]],DATABASE_FG!$C$6:D11946,2,FALSE)," ")</f>
        <v xml:space="preserve">094132526-8011 </v>
      </c>
      <c r="G1957" s="117" t="str">
        <f>IFERROR(_xlfn.XLOOKUP(Table1[[#This Row],[Part Number]],Table3[Part number],Table3[Drawing
 Revision]),"")</f>
        <v>AA</v>
      </c>
      <c r="H1957" s="118" cm="1">
        <f t="array" ref="H1957">IFERROR(INDEX(PDB!$C:$AT,MATCH(E1957,PDB!$B:$B,0),MATCH(YEAR(K1957),0+PDB!$C$1:$AT$1,0)),"")</f>
        <v>5.65</v>
      </c>
      <c r="I1957" s="36">
        <f>250-64</f>
        <v>186</v>
      </c>
      <c r="J1957" s="125">
        <f>IFERROR(Table1[[#This Row],[Quantity]]*Table1[[#This Row],[Price/Unit
EUR]]," ")</f>
        <v>1050.9000000000001</v>
      </c>
      <c r="K1957" s="126">
        <v>45734</v>
      </c>
      <c r="L1957" s="36">
        <f>WEEKNUM(Table1[[#This Row],[ETA
As requested
dd.mm.yyyy]])</f>
        <v>12</v>
      </c>
      <c r="M1957" s="36">
        <f>YEAR(Table1[[#This Row],[ETA
As requested
dd.mm.yyyy]])</f>
        <v>2025</v>
      </c>
      <c r="N1957" s="36">
        <f>IFERROR(INDEX(DATABASE_FG!$H$5:$H$367, MATCH(E1957, DATABASE_FG!$C$5:$C$367, 0)), " ")</f>
        <v>0</v>
      </c>
      <c r="O1957" s="129" t="str">
        <f>IF(E1957&lt;&gt;"", _xlfn.XLOOKUP(E1957, DATABASE_FG!C:C, DATABASE_FG!F:F), " ")</f>
        <v>Ghidaje</v>
      </c>
      <c r="P1957" s="129">
        <f>IFERROR(INDEX(DATABASE_FG!$G$5:$G$367, MATCH(E1957, DATABASE_FG!$C$5:$C$367, 0)), "Not Found")</f>
        <v>0</v>
      </c>
      <c r="Q1957" s="36"/>
      <c r="R1957" s="125" t="s">
        <v>678</v>
      </c>
      <c r="S1957" s="123">
        <f>IFERROR(INDEX(DATABASE_FG!$L$5:$L$367, MATCH(E1957, DATABASE_FG!$C$5:$C$367, 0)), " ")</f>
        <v>42</v>
      </c>
      <c r="T1957" s="36" t="s">
        <v>679</v>
      </c>
      <c r="U1957" s="36"/>
      <c r="V1957" s="36"/>
      <c r="W1957" s="129"/>
      <c r="X1957" s="36"/>
      <c r="Y1957" s="36"/>
      <c r="Z1957" s="36"/>
      <c r="AA1957" s="125" t="s">
        <v>121</v>
      </c>
      <c r="AB1957" s="173">
        <v>45736</v>
      </c>
      <c r="AC1957" s="119">
        <v>25422</v>
      </c>
      <c r="AD1957" s="36">
        <f t="shared" si="225"/>
        <v>38676253</v>
      </c>
      <c r="AE1957" s="36" t="str">
        <f t="shared" si="226"/>
        <v>TK.KWSE20-A-0038-WW1</v>
      </c>
      <c r="AF1957" s="36">
        <v>186</v>
      </c>
      <c r="AG1957" s="120">
        <f t="shared" si="224"/>
        <v>1050.9000000000001</v>
      </c>
      <c r="AH1957" s="36"/>
      <c r="AI1957" s="124"/>
      <c r="AJ1957" s="122" t="s">
        <v>2971</v>
      </c>
      <c r="AK1957" s="129" t="str">
        <f t="shared" ca="1" si="223"/>
        <v>On Time</v>
      </c>
      <c r="AL1957" s="268" t="str">
        <f t="shared" si="222"/>
        <v>March</v>
      </c>
      <c r="AM1957" s="133">
        <f>YEAR(Table1[[#This Row],[ETA
As requested
dd.mm.yyyy]])</f>
        <v>2025</v>
      </c>
    </row>
    <row r="1958" spans="1:39" hidden="1">
      <c r="A1958" s="123" t="s">
        <v>83</v>
      </c>
      <c r="B1958" s="36" t="s">
        <v>1170</v>
      </c>
      <c r="C1958" s="117">
        <v>38676253</v>
      </c>
      <c r="D1958" s="165">
        <v>45709</v>
      </c>
      <c r="E1958" s="117" t="s">
        <v>98</v>
      </c>
      <c r="F1958" s="36" t="str">
        <f>IFERROR(VLOOKUP(Table1[[#This Row],[Part Number]],DATABASE_FG!$C$6:D11947,2,FALSE)," ")</f>
        <v xml:space="preserve">094132526-8011 </v>
      </c>
      <c r="G1958" s="117" t="str">
        <f>IFERROR(_xlfn.XLOOKUP(Table1[[#This Row],[Part Number]],Table3[Part number],Table3[Drawing
 Revision]),"")</f>
        <v>AA</v>
      </c>
      <c r="H1958" s="118" cm="1">
        <f t="array" ref="H1958">IFERROR(INDEX(PDB!$C:$AT,MATCH(E1958,PDB!$B:$B,0),MATCH(YEAR(K1958),0+PDB!$C$1:$AT$1,0)),"")</f>
        <v>5.65</v>
      </c>
      <c r="I1958" s="36">
        <v>200</v>
      </c>
      <c r="J1958" s="125">
        <f>IFERROR(Table1[[#This Row],[Quantity]]*Table1[[#This Row],[Price/Unit
EUR]]," ")</f>
        <v>1130</v>
      </c>
      <c r="K1958" s="126">
        <v>45741</v>
      </c>
      <c r="L1958" s="36">
        <f>WEEKNUM(Table1[[#This Row],[ETA
As requested
dd.mm.yyyy]])</f>
        <v>13</v>
      </c>
      <c r="M1958" s="36">
        <f>YEAR(Table1[[#This Row],[ETA
As requested
dd.mm.yyyy]])</f>
        <v>2025</v>
      </c>
      <c r="N1958" s="36">
        <f>IFERROR(INDEX(DATABASE_FG!$H$5:$H$367, MATCH(E1958, DATABASE_FG!$C$5:$C$367, 0)), " ")</f>
        <v>0</v>
      </c>
      <c r="O1958" s="129" t="str">
        <f>IF(E1958&lt;&gt;"", _xlfn.XLOOKUP(E1958, DATABASE_FG!C:C, DATABASE_FG!F:F), " ")</f>
        <v>Ghidaje</v>
      </c>
      <c r="P1958" s="129">
        <f>IFERROR(INDEX(DATABASE_FG!$G$5:$G$367, MATCH(E1958, DATABASE_FG!$C$5:$C$367, 0)), "Not Found")</f>
        <v>0</v>
      </c>
      <c r="Q1958" s="36"/>
      <c r="R1958" s="125" t="s">
        <v>678</v>
      </c>
      <c r="S1958" s="123">
        <f>IFERROR(INDEX(DATABASE_FG!$L$5:$L$367, MATCH(E1958, DATABASE_FG!$C$5:$C$367, 0)), " ")</f>
        <v>42</v>
      </c>
      <c r="T1958" s="36" t="s">
        <v>679</v>
      </c>
      <c r="U1958" s="36"/>
      <c r="V1958" s="36"/>
      <c r="W1958" s="129"/>
      <c r="X1958" s="36"/>
      <c r="Y1958" s="36"/>
      <c r="Z1958" s="36"/>
      <c r="AA1958" s="125" t="s">
        <v>121</v>
      </c>
      <c r="AB1958" s="173">
        <v>45741</v>
      </c>
      <c r="AC1958" s="119">
        <v>25453</v>
      </c>
      <c r="AD1958" s="36">
        <f t="shared" si="225"/>
        <v>38676253</v>
      </c>
      <c r="AE1958" s="36" t="str">
        <f t="shared" si="226"/>
        <v>TK.KWSE20-A-0038-WW1</v>
      </c>
      <c r="AF1958" s="36">
        <v>200</v>
      </c>
      <c r="AG1958" s="120">
        <f t="shared" si="224"/>
        <v>1130</v>
      </c>
      <c r="AH1958" s="36"/>
      <c r="AI1958" s="124"/>
      <c r="AJ1958" s="122" t="s">
        <v>3009</v>
      </c>
      <c r="AK1958" s="129" t="str">
        <f t="shared" ca="1" si="223"/>
        <v>On Time</v>
      </c>
      <c r="AL1958" s="268" t="str">
        <f t="shared" si="222"/>
        <v>March</v>
      </c>
      <c r="AM1958" s="133">
        <f>YEAR(Table1[[#This Row],[ETA
As requested
dd.mm.yyyy]])</f>
        <v>2025</v>
      </c>
    </row>
    <row r="1959" spans="1:39" hidden="1">
      <c r="A1959" s="123" t="s">
        <v>83</v>
      </c>
      <c r="B1959" s="36" t="s">
        <v>1170</v>
      </c>
      <c r="C1959" s="117">
        <v>38676253</v>
      </c>
      <c r="D1959" s="165">
        <v>45709</v>
      </c>
      <c r="E1959" s="117" t="s">
        <v>98</v>
      </c>
      <c r="F1959" s="36" t="str">
        <f>IFERROR(VLOOKUP(Table1[[#This Row],[Part Number]],DATABASE_FG!$C$6:D11948,2,FALSE)," ")</f>
        <v xml:space="preserve">094132526-8011 </v>
      </c>
      <c r="G1959" s="117" t="str">
        <f>IFERROR(_xlfn.XLOOKUP(Table1[[#This Row],[Part Number]],Table3[Part number],Table3[Drawing
 Revision]),"")</f>
        <v>AA</v>
      </c>
      <c r="H1959" s="118" cm="1">
        <f t="array" ref="H1959">IFERROR(INDEX(PDB!$C:$AT,MATCH(E1959,PDB!$B:$B,0),MATCH(YEAR(K1959),0+PDB!$C$1:$AT$1,0)),"")</f>
        <v>5.65</v>
      </c>
      <c r="I1959" s="36">
        <v>200</v>
      </c>
      <c r="J1959" s="125">
        <f>IFERROR(Table1[[#This Row],[Quantity]]*Table1[[#This Row],[Price/Unit
EUR]]," ")</f>
        <v>1130</v>
      </c>
      <c r="K1959" s="126">
        <v>45748</v>
      </c>
      <c r="L1959" s="36">
        <f>WEEKNUM(Table1[[#This Row],[ETA
As requested
dd.mm.yyyy]])</f>
        <v>14</v>
      </c>
      <c r="M1959" s="36">
        <f>YEAR(Table1[[#This Row],[ETA
As requested
dd.mm.yyyy]])</f>
        <v>2025</v>
      </c>
      <c r="N1959" s="36">
        <f>IFERROR(INDEX(DATABASE_FG!$H$5:$H$367, MATCH(E1959, DATABASE_FG!$C$5:$C$367, 0)), " ")</f>
        <v>0</v>
      </c>
      <c r="O1959" s="129" t="str">
        <f>IF(E1959&lt;&gt;"", _xlfn.XLOOKUP(E1959, DATABASE_FG!C:C, DATABASE_FG!F:F), " ")</f>
        <v>Ghidaje</v>
      </c>
      <c r="P1959" s="129">
        <f>IFERROR(INDEX(DATABASE_FG!$G$5:$G$367, MATCH(E1959, DATABASE_FG!$C$5:$C$367, 0)), "Not Found")</f>
        <v>0</v>
      </c>
      <c r="Q1959" s="36"/>
      <c r="R1959" s="125" t="s">
        <v>678</v>
      </c>
      <c r="S1959" s="123">
        <f>IFERROR(INDEX(DATABASE_FG!$L$5:$L$367, MATCH(E1959, DATABASE_FG!$C$5:$C$367, 0)), " ")</f>
        <v>42</v>
      </c>
      <c r="T1959" s="36" t="s">
        <v>679</v>
      </c>
      <c r="U1959" s="36"/>
      <c r="V1959" s="36"/>
      <c r="W1959" s="129"/>
      <c r="X1959" s="36"/>
      <c r="Y1959" s="36"/>
      <c r="Z1959" s="36"/>
      <c r="AA1959" s="125" t="s">
        <v>121</v>
      </c>
      <c r="AB1959" s="173">
        <v>45748</v>
      </c>
      <c r="AC1959" s="119" t="s">
        <v>3033</v>
      </c>
      <c r="AD1959" s="36">
        <f t="shared" si="225"/>
        <v>38676253</v>
      </c>
      <c r="AE1959" s="36" t="str">
        <f t="shared" si="226"/>
        <v>TK.KWSE20-A-0038-WW1</v>
      </c>
      <c r="AF1959" s="36">
        <v>200</v>
      </c>
      <c r="AG1959" s="120">
        <f t="shared" si="224"/>
        <v>1130</v>
      </c>
      <c r="AH1959" s="36"/>
      <c r="AI1959" s="124"/>
      <c r="AJ1959" s="122" t="s">
        <v>3034</v>
      </c>
      <c r="AK1959" s="129" t="str">
        <f t="shared" ca="1" si="223"/>
        <v>On Time</v>
      </c>
      <c r="AL1959" s="268" t="str">
        <f t="shared" si="222"/>
        <v>April</v>
      </c>
      <c r="AM1959" s="133">
        <f>YEAR(Table1[[#This Row],[ETA
As requested
dd.mm.yyyy]])</f>
        <v>2025</v>
      </c>
    </row>
    <row r="1960" spans="1:39" hidden="1">
      <c r="A1960" s="123" t="s">
        <v>83</v>
      </c>
      <c r="B1960" s="36" t="s">
        <v>1170</v>
      </c>
      <c r="C1960" s="117">
        <v>5410716</v>
      </c>
      <c r="D1960" s="165">
        <v>45734</v>
      </c>
      <c r="E1960" s="117" t="s">
        <v>98</v>
      </c>
      <c r="F1960" s="36" t="str">
        <f>IFERROR(VLOOKUP(Table1[[#This Row],[Part Number]],DATABASE_FG!$C$6:D11949,2,FALSE)," ")</f>
        <v xml:space="preserve">094132526-8011 </v>
      </c>
      <c r="G1960" s="117" t="str">
        <f>IFERROR(_xlfn.XLOOKUP(Table1[[#This Row],[Part Number]],Table3[Part number],Table3[Drawing
 Revision]),"")</f>
        <v>AA</v>
      </c>
      <c r="H1960" s="118" cm="1">
        <f t="array" ref="H1960">IFERROR(INDEX(PDB!$C:$AT,MATCH(E1960,PDB!$B:$B,0),MATCH(YEAR(K1960),0+PDB!$C$1:$AT$1,0)),"")</f>
        <v>5.65</v>
      </c>
      <c r="I1960" s="36">
        <v>200</v>
      </c>
      <c r="J1960" s="125">
        <f>IFERROR(Table1[[#This Row],[Quantity]]*Table1[[#This Row],[Price/Unit
EUR]]," ")</f>
        <v>1130</v>
      </c>
      <c r="K1960" s="126">
        <v>45755</v>
      </c>
      <c r="L1960" s="36">
        <f>WEEKNUM(Table1[[#This Row],[ETA
As requested
dd.mm.yyyy]])</f>
        <v>15</v>
      </c>
      <c r="M1960" s="36">
        <f>YEAR(Table1[[#This Row],[ETA
As requested
dd.mm.yyyy]])</f>
        <v>2025</v>
      </c>
      <c r="N1960" s="36">
        <f>IFERROR(INDEX(DATABASE_FG!$H$5:$H$367, MATCH(E1960, DATABASE_FG!$C$5:$C$367, 0)), " ")</f>
        <v>0</v>
      </c>
      <c r="O1960" s="129" t="str">
        <f>IF(E1960&lt;&gt;"", _xlfn.XLOOKUP(E1960, DATABASE_FG!C:C, DATABASE_FG!F:F), " ")</f>
        <v>Ghidaje</v>
      </c>
      <c r="P1960" s="129">
        <f>IFERROR(INDEX(DATABASE_FG!$G$5:$G$367, MATCH(E1960, DATABASE_FG!$C$5:$C$367, 0)), "Not Found")</f>
        <v>0</v>
      </c>
      <c r="Q1960" s="36"/>
      <c r="R1960" s="125" t="s">
        <v>678</v>
      </c>
      <c r="S1960" s="123">
        <f>IFERROR(INDEX(DATABASE_FG!$L$5:$L$367, MATCH(E1960, DATABASE_FG!$C$5:$C$367, 0)), " ")</f>
        <v>42</v>
      </c>
      <c r="T1960" s="36" t="s">
        <v>679</v>
      </c>
      <c r="U1960" s="36"/>
      <c r="V1960" s="36"/>
      <c r="W1960" s="129"/>
      <c r="X1960" s="36"/>
      <c r="Y1960" s="36"/>
      <c r="Z1960" s="36"/>
      <c r="AA1960" s="125" t="s">
        <v>121</v>
      </c>
      <c r="AB1960" s="173">
        <v>45748</v>
      </c>
      <c r="AC1960" s="119" t="s">
        <v>3055</v>
      </c>
      <c r="AD1960" s="36">
        <f t="shared" si="225"/>
        <v>5410716</v>
      </c>
      <c r="AE1960" s="36" t="str">
        <f t="shared" si="226"/>
        <v>TK.KWSE20-A-0038-WW1</v>
      </c>
      <c r="AF1960" s="36">
        <v>200</v>
      </c>
      <c r="AG1960" s="120">
        <f t="shared" si="224"/>
        <v>1130</v>
      </c>
      <c r="AH1960" s="36"/>
      <c r="AI1960" s="124"/>
      <c r="AJ1960" s="122" t="s">
        <v>3056</v>
      </c>
      <c r="AK1960" s="129" t="str">
        <f t="shared" ca="1" si="223"/>
        <v>On Time</v>
      </c>
      <c r="AL1960" s="268" t="str">
        <f t="shared" si="222"/>
        <v>April</v>
      </c>
      <c r="AM1960" s="133">
        <f>YEAR(Table1[[#This Row],[ETA
As requested
dd.mm.yyyy]])</f>
        <v>2025</v>
      </c>
    </row>
    <row r="1961" spans="1:39" hidden="1">
      <c r="A1961" s="123" t="s">
        <v>83</v>
      </c>
      <c r="B1961" s="36" t="s">
        <v>1170</v>
      </c>
      <c r="C1961" s="117">
        <v>5410716</v>
      </c>
      <c r="D1961" s="165">
        <v>45734</v>
      </c>
      <c r="E1961" s="117" t="s">
        <v>98</v>
      </c>
      <c r="F1961" s="36" t="str">
        <f>IFERROR(VLOOKUP(Table1[[#This Row],[Part Number]],DATABASE_FG!$C$6:D11950,2,FALSE)," ")</f>
        <v xml:space="preserve">094132526-8011 </v>
      </c>
      <c r="G1961" s="117" t="str">
        <f>IFERROR(_xlfn.XLOOKUP(Table1[[#This Row],[Part Number]],Table3[Part number],Table3[Drawing
 Revision]),"")</f>
        <v>AA</v>
      </c>
      <c r="H1961" s="118" cm="1">
        <f t="array" ref="H1961">IFERROR(INDEX(PDB!$C:$AT,MATCH(E1961,PDB!$B:$B,0),MATCH(YEAR(K1961),0+PDB!$C$1:$AT$1,0)),"")</f>
        <v>5.65</v>
      </c>
      <c r="I1961" s="36">
        <v>100</v>
      </c>
      <c r="J1961" s="125">
        <f>IFERROR(Table1[[#This Row],[Quantity]]*Table1[[#This Row],[Price/Unit
EUR]]," ")</f>
        <v>565</v>
      </c>
      <c r="K1961" s="126">
        <v>45762</v>
      </c>
      <c r="L1961" s="36">
        <f>WEEKNUM(Table1[[#This Row],[ETA
As requested
dd.mm.yyyy]])</f>
        <v>16</v>
      </c>
      <c r="M1961" s="36">
        <f>YEAR(Table1[[#This Row],[ETA
As requested
dd.mm.yyyy]])</f>
        <v>2025</v>
      </c>
      <c r="N1961" s="36">
        <f>IFERROR(INDEX(DATABASE_FG!$H$5:$H$367, MATCH(E1961, DATABASE_FG!$C$5:$C$367, 0)), " ")</f>
        <v>0</v>
      </c>
      <c r="O1961" s="129" t="str">
        <f>IF(E1961&lt;&gt;"", _xlfn.XLOOKUP(E1961, DATABASE_FG!C:C, DATABASE_FG!F:F), " ")</f>
        <v>Ghidaje</v>
      </c>
      <c r="P1961" s="129">
        <f>IFERROR(INDEX(DATABASE_FG!$G$5:$G$367, MATCH(E1961, DATABASE_FG!$C$5:$C$367, 0)), "Not Found")</f>
        <v>0</v>
      </c>
      <c r="Q1961" s="36"/>
      <c r="R1961" s="125" t="s">
        <v>678</v>
      </c>
      <c r="S1961" s="123">
        <f>IFERROR(INDEX(DATABASE_FG!$L$5:$L$367, MATCH(E1961, DATABASE_FG!$C$5:$C$367, 0)), " ")</f>
        <v>42</v>
      </c>
      <c r="T1961" s="36" t="s">
        <v>679</v>
      </c>
      <c r="U1961" s="36"/>
      <c r="V1961" s="36"/>
      <c r="W1961" s="129"/>
      <c r="X1961" s="36"/>
      <c r="Y1961" s="36"/>
      <c r="Z1961" s="36"/>
      <c r="AA1961" s="125" t="s">
        <v>121</v>
      </c>
      <c r="AB1961" s="173">
        <v>45748</v>
      </c>
      <c r="AC1961" s="119" t="s">
        <v>3055</v>
      </c>
      <c r="AD1961" s="36">
        <f t="shared" si="225"/>
        <v>5410716</v>
      </c>
      <c r="AE1961" s="36" t="str">
        <f t="shared" si="226"/>
        <v>TK.KWSE20-A-0038-WW1</v>
      </c>
      <c r="AF1961" s="36">
        <v>100</v>
      </c>
      <c r="AG1961" s="120">
        <f t="shared" si="224"/>
        <v>565</v>
      </c>
      <c r="AH1961" s="36"/>
      <c r="AI1961" s="124"/>
      <c r="AJ1961" s="122" t="s">
        <v>3056</v>
      </c>
      <c r="AK1961" s="129" t="str">
        <f t="shared" ca="1" si="223"/>
        <v>On Time</v>
      </c>
      <c r="AL1961" s="268" t="str">
        <f t="shared" si="222"/>
        <v>April</v>
      </c>
      <c r="AM1961" s="133">
        <f>YEAR(Table1[[#This Row],[ETA
As requested
dd.mm.yyyy]])</f>
        <v>2025</v>
      </c>
    </row>
    <row r="1962" spans="1:39" hidden="1">
      <c r="A1962" s="123" t="s">
        <v>83</v>
      </c>
      <c r="B1962" s="36" t="s">
        <v>1170</v>
      </c>
      <c r="C1962" s="117">
        <v>5410716</v>
      </c>
      <c r="D1962" s="165">
        <v>45777</v>
      </c>
      <c r="E1962" s="117" t="s">
        <v>98</v>
      </c>
      <c r="F1962" s="36" t="str">
        <f>IFERROR(VLOOKUP(Table1[[#This Row],[Part Number]],DATABASE_FG!$C$6:D11951,2,FALSE)," ")</f>
        <v xml:space="preserve">094132526-8011 </v>
      </c>
      <c r="G1962" s="117" t="str">
        <f>IFERROR(_xlfn.XLOOKUP(Table1[[#This Row],[Part Number]],Table3[Part number],Table3[Drawing
 Revision]),"")</f>
        <v>AA</v>
      </c>
      <c r="H1962" s="118" cm="1">
        <f t="array" ref="H1962">IFERROR(INDEX(PDB!$C:$AT,MATCH(E1962,PDB!$B:$B,0),MATCH(YEAR(K1962),0+PDB!$C$1:$AT$1,0)),"")</f>
        <v>5.65</v>
      </c>
      <c r="I1962" s="36">
        <v>226</v>
      </c>
      <c r="J1962" s="125">
        <f>IFERROR(Table1[[#This Row],[Quantity]]*Table1[[#This Row],[Price/Unit
EUR]]," ")</f>
        <v>1276.9000000000001</v>
      </c>
      <c r="K1962" s="126">
        <v>45782</v>
      </c>
      <c r="L1962" s="36">
        <f>WEEKNUM(Table1[[#This Row],[ETA
As requested
dd.mm.yyyy]])</f>
        <v>19</v>
      </c>
      <c r="M1962" s="36">
        <f>YEAR(Table1[[#This Row],[ETA
As requested
dd.mm.yyyy]])</f>
        <v>2025</v>
      </c>
      <c r="N1962" s="36">
        <f>IFERROR(INDEX(DATABASE_FG!$H$5:$H$367, MATCH(E1962, DATABASE_FG!$C$5:$C$367, 0)), " ")</f>
        <v>0</v>
      </c>
      <c r="O1962" s="129" t="str">
        <f>IF(E1962&lt;&gt;"", _xlfn.XLOOKUP(E1962, DATABASE_FG!C:C, DATABASE_FG!F:F), " ")</f>
        <v>Ghidaje</v>
      </c>
      <c r="P1962" s="129">
        <f>IFERROR(INDEX(DATABASE_FG!$G$5:$G$367, MATCH(E1962, DATABASE_FG!$C$5:$C$367, 0)), "Not Found")</f>
        <v>0</v>
      </c>
      <c r="Q1962" s="36"/>
      <c r="R1962" s="125" t="s">
        <v>678</v>
      </c>
      <c r="S1962" s="123">
        <f>IFERROR(INDEX(DATABASE_FG!$L$5:$L$367, MATCH(E1962, DATABASE_FG!$C$5:$C$367, 0)), " ")</f>
        <v>42</v>
      </c>
      <c r="T1962" s="36" t="s">
        <v>679</v>
      </c>
      <c r="U1962" s="36"/>
      <c r="V1962" s="36"/>
      <c r="W1962" s="129"/>
      <c r="X1962" s="36"/>
      <c r="Y1962" s="36"/>
      <c r="Z1962" s="36"/>
      <c r="AA1962" s="125" t="s">
        <v>121</v>
      </c>
      <c r="AB1962" s="173">
        <v>45782</v>
      </c>
      <c r="AC1962" s="119">
        <v>25730</v>
      </c>
      <c r="AD1962" s="36">
        <f t="shared" si="225"/>
        <v>5410716</v>
      </c>
      <c r="AE1962" s="36" t="str">
        <f t="shared" si="226"/>
        <v>TK.KWSE20-A-0038-WW1</v>
      </c>
      <c r="AF1962" s="36">
        <v>226</v>
      </c>
      <c r="AG1962" s="120">
        <f t="shared" si="224"/>
        <v>1276.9000000000001</v>
      </c>
      <c r="AH1962" s="36"/>
      <c r="AI1962" s="124"/>
      <c r="AJ1962" s="122" t="s">
        <v>3141</v>
      </c>
      <c r="AK1962" s="129" t="str">
        <f t="shared" ca="1" si="223"/>
        <v>On Time</v>
      </c>
      <c r="AL1962" s="268" t="str">
        <f t="shared" si="222"/>
        <v>May</v>
      </c>
      <c r="AM1962" s="133">
        <f>YEAR(Table1[[#This Row],[ETA
As requested
dd.mm.yyyy]])</f>
        <v>2025</v>
      </c>
    </row>
    <row r="1963" spans="1:39" hidden="1">
      <c r="A1963" s="123" t="s">
        <v>83</v>
      </c>
      <c r="B1963" s="36" t="s">
        <v>1170</v>
      </c>
      <c r="C1963" s="117">
        <v>5410716</v>
      </c>
      <c r="D1963" s="165">
        <v>45777</v>
      </c>
      <c r="E1963" s="117" t="s">
        <v>98</v>
      </c>
      <c r="F1963" s="36" t="str">
        <f>IFERROR(VLOOKUP(Table1[[#This Row],[Part Number]],DATABASE_FG!$C$6:D11952,2,FALSE)," ")</f>
        <v xml:space="preserve">094132526-8011 </v>
      </c>
      <c r="G1963" s="117" t="str">
        <f>IFERROR(_xlfn.XLOOKUP(Table1[[#This Row],[Part Number]],Table3[Part number],Table3[Drawing
 Revision]),"")</f>
        <v>AA</v>
      </c>
      <c r="H1963" s="118" cm="1">
        <f t="array" ref="H1963">IFERROR(INDEX(PDB!$C:$AT,MATCH(E1963,PDB!$B:$B,0),MATCH(YEAR(K1963),0+PDB!$C$1:$AT$1,0)),"")</f>
        <v>5.65</v>
      </c>
      <c r="I1963" s="36">
        <v>35</v>
      </c>
      <c r="J1963" s="125">
        <f>IFERROR(Table1[[#This Row],[Quantity]]*Table1[[#This Row],[Price/Unit
EUR]]," ")</f>
        <v>197.75</v>
      </c>
      <c r="K1963" s="126">
        <v>45789</v>
      </c>
      <c r="L1963" s="36">
        <f>WEEKNUM(Table1[[#This Row],[ETA
As requested
dd.mm.yyyy]])</f>
        <v>20</v>
      </c>
      <c r="M1963" s="36">
        <f>YEAR(Table1[[#This Row],[ETA
As requested
dd.mm.yyyy]])</f>
        <v>2025</v>
      </c>
      <c r="N1963" s="36">
        <f>IFERROR(INDEX(DATABASE_FG!$H$5:$H$367, MATCH(E1963, DATABASE_FG!$C$5:$C$367, 0)), " ")</f>
        <v>0</v>
      </c>
      <c r="O1963" s="129" t="str">
        <f>IF(E1963&lt;&gt;"", _xlfn.XLOOKUP(E1963, DATABASE_FG!C:C, DATABASE_FG!F:F), " ")</f>
        <v>Ghidaje</v>
      </c>
      <c r="P1963" s="129">
        <f>IFERROR(INDEX(DATABASE_FG!$G$5:$G$367, MATCH(E1963, DATABASE_FG!$C$5:$C$367, 0)), "Not Found")</f>
        <v>0</v>
      </c>
      <c r="Q1963" s="36"/>
      <c r="R1963" s="125" t="s">
        <v>678</v>
      </c>
      <c r="S1963" s="123">
        <f>Table1[[#This Row],[Quantity]]/48</f>
        <v>0.72916666666666663</v>
      </c>
      <c r="T1963" s="36" t="s">
        <v>679</v>
      </c>
      <c r="U1963" s="36"/>
      <c r="V1963" s="36"/>
      <c r="W1963" s="129"/>
      <c r="X1963" s="36"/>
      <c r="Y1963" s="36"/>
      <c r="Z1963" s="36"/>
      <c r="AA1963" s="125" t="s">
        <v>121</v>
      </c>
      <c r="AB1963" s="173">
        <v>45813</v>
      </c>
      <c r="AC1963" s="119">
        <v>25886</v>
      </c>
      <c r="AD1963" s="36">
        <f t="shared" si="225"/>
        <v>5410716</v>
      </c>
      <c r="AE1963" s="36" t="str">
        <f t="shared" si="226"/>
        <v>TK.KWSE20-A-0038-WW1</v>
      </c>
      <c r="AF1963" s="36">
        <v>35</v>
      </c>
      <c r="AG1963" s="120">
        <f t="shared" si="224"/>
        <v>197.75</v>
      </c>
      <c r="AH1963" s="36"/>
      <c r="AI1963" s="124"/>
      <c r="AJ1963" s="122" t="s">
        <v>3184</v>
      </c>
      <c r="AK1963" s="129" t="str">
        <f t="shared" ca="1" si="223"/>
        <v>Late</v>
      </c>
      <c r="AL1963" s="268" t="str">
        <f t="shared" si="222"/>
        <v>May</v>
      </c>
      <c r="AM1963" s="133">
        <f>YEAR(Table1[[#This Row],[ETA
As requested
dd.mm.yyyy]])</f>
        <v>2025</v>
      </c>
    </row>
    <row r="1964" spans="1:39" hidden="1">
      <c r="A1964" s="123" t="s">
        <v>83</v>
      </c>
      <c r="B1964" s="36" t="s">
        <v>1170</v>
      </c>
      <c r="C1964" s="117">
        <v>5410716</v>
      </c>
      <c r="D1964" s="165">
        <v>45777</v>
      </c>
      <c r="E1964" s="117" t="s">
        <v>98</v>
      </c>
      <c r="F1964" s="36" t="str">
        <f>IFERROR(VLOOKUP(Table1[[#This Row],[Part Number]],DATABASE_FG!$C$6:D11953,2,FALSE)," ")</f>
        <v xml:space="preserve">094132526-8011 </v>
      </c>
      <c r="G1964" s="117" t="str">
        <f>IFERROR(_xlfn.XLOOKUP(Table1[[#This Row],[Part Number]],Table3[Part number],Table3[Drawing
 Revision]),"")</f>
        <v>AA</v>
      </c>
      <c r="H1964" s="118" cm="1">
        <f t="array" ref="H1964">IFERROR(INDEX(PDB!$C:$AT,MATCH(E1964,PDB!$B:$B,0),MATCH(YEAR(K1964),0+PDB!$C$1:$AT$1,0)),"")</f>
        <v>5.65</v>
      </c>
      <c r="I1964" s="36">
        <v>45</v>
      </c>
      <c r="J1964" s="125">
        <f>IFERROR(Table1[[#This Row],[Quantity]]*Table1[[#This Row],[Price/Unit
EUR]]," ")</f>
        <v>254.25000000000003</v>
      </c>
      <c r="K1964" s="126">
        <v>45789</v>
      </c>
      <c r="L1964" s="36">
        <f>WEEKNUM(Table1[[#This Row],[ETA
As requested
dd.mm.yyyy]])</f>
        <v>20</v>
      </c>
      <c r="M1964" s="36">
        <f>YEAR(Table1[[#This Row],[ETA
As requested
dd.mm.yyyy]])</f>
        <v>2025</v>
      </c>
      <c r="N1964" s="36">
        <f>IFERROR(INDEX(DATABASE_FG!$H$5:$H$367, MATCH(E1964, DATABASE_FG!$C$5:$C$367, 0)), " ")</f>
        <v>0</v>
      </c>
      <c r="O1964" s="129" t="str">
        <f>IF(E1964&lt;&gt;"", _xlfn.XLOOKUP(E1964, DATABASE_FG!C:C, DATABASE_FG!F:F), " ")</f>
        <v>Ghidaje</v>
      </c>
      <c r="P1964" s="129">
        <f>IFERROR(INDEX(DATABASE_FG!$G$5:$G$367, MATCH(E1964, DATABASE_FG!$C$5:$C$367, 0)), "Not Found")</f>
        <v>0</v>
      </c>
      <c r="Q1964" s="36"/>
      <c r="R1964" s="125" t="s">
        <v>678</v>
      </c>
      <c r="S1964" s="123">
        <f>IFERROR(INDEX(DATABASE_FG!$L$5:$L$367, MATCH(E1964, DATABASE_FG!$C$5:$C$367, 0)), " ")</f>
        <v>42</v>
      </c>
      <c r="T1964" s="36" t="s">
        <v>679</v>
      </c>
      <c r="U1964" s="36"/>
      <c r="V1964" s="36"/>
      <c r="W1964" s="129"/>
      <c r="X1964" s="36"/>
      <c r="Y1964" s="36"/>
      <c r="Z1964" s="36"/>
      <c r="AA1964" s="125" t="s">
        <v>121</v>
      </c>
      <c r="AB1964" s="173">
        <v>45821</v>
      </c>
      <c r="AC1964" s="119">
        <v>25900</v>
      </c>
      <c r="AD1964" s="36">
        <f t="shared" si="225"/>
        <v>5410716</v>
      </c>
      <c r="AE1964" s="36" t="str">
        <f t="shared" si="226"/>
        <v>TK.KWSE20-A-0038-WW1</v>
      </c>
      <c r="AF1964" s="36">
        <v>45</v>
      </c>
      <c r="AG1964" s="120">
        <f t="shared" si="224"/>
        <v>254.25000000000003</v>
      </c>
      <c r="AH1964" s="36"/>
      <c r="AI1964" s="124"/>
      <c r="AJ1964" s="122" t="s">
        <v>3185</v>
      </c>
      <c r="AK1964" s="129" t="str">
        <f t="shared" ca="1" si="223"/>
        <v>Late</v>
      </c>
      <c r="AL1964" s="268" t="str">
        <f t="shared" si="222"/>
        <v>May</v>
      </c>
      <c r="AM1964" s="133">
        <f>YEAR(Table1[[#This Row],[ETA
As requested
dd.mm.yyyy]])</f>
        <v>2025</v>
      </c>
    </row>
    <row r="1965" spans="1:39" hidden="1">
      <c r="A1965" s="123" t="s">
        <v>83</v>
      </c>
      <c r="B1965" s="36" t="s">
        <v>1170</v>
      </c>
      <c r="C1965" s="117">
        <v>5410716</v>
      </c>
      <c r="D1965" s="165">
        <v>45777</v>
      </c>
      <c r="E1965" s="117" t="s">
        <v>98</v>
      </c>
      <c r="F1965" s="36" t="str">
        <f>IFERROR(VLOOKUP(Table1[[#This Row],[Part Number]],DATABASE_FG!$C$6:D11954,2,FALSE)," ")</f>
        <v xml:space="preserve">094132526-8011 </v>
      </c>
      <c r="G1965" s="117" t="str">
        <f>IFERROR(_xlfn.XLOOKUP(Table1[[#This Row],[Part Number]],Table3[Part number],Table3[Drawing
 Revision]),"")</f>
        <v>AA</v>
      </c>
      <c r="H1965" s="118" cm="1">
        <f t="array" ref="H1965">IFERROR(INDEX(PDB!$C:$AT,MATCH(E1965,PDB!$B:$B,0),MATCH(YEAR(K1965),0+PDB!$C$1:$AT$1,0)),"")</f>
        <v>5.65</v>
      </c>
      <c r="I1965" s="36">
        <v>58</v>
      </c>
      <c r="J1965" s="125">
        <f>IFERROR(Table1[[#This Row],[Quantity]]*Table1[[#This Row],[Price/Unit
EUR]]," ")</f>
        <v>327.70000000000005</v>
      </c>
      <c r="K1965" s="126">
        <v>45789</v>
      </c>
      <c r="L1965" s="36">
        <f>WEEKNUM(Table1[[#This Row],[ETA
As requested
dd.mm.yyyy]])</f>
        <v>20</v>
      </c>
      <c r="M1965" s="36">
        <f>YEAR(Table1[[#This Row],[ETA
As requested
dd.mm.yyyy]])</f>
        <v>2025</v>
      </c>
      <c r="N1965" s="36">
        <f>IFERROR(INDEX(DATABASE_FG!$H$5:$H$367, MATCH(E1965, DATABASE_FG!$C$5:$C$367, 0)), " ")</f>
        <v>0</v>
      </c>
      <c r="O1965" s="129" t="str">
        <f>IF(E1965&lt;&gt;"", _xlfn.XLOOKUP(E1965, DATABASE_FG!C:C, DATABASE_FG!F:F), " ")</f>
        <v>Ghidaje</v>
      </c>
      <c r="P1965" s="129">
        <f>IFERROR(INDEX(DATABASE_FG!$G$5:$G$367, MATCH(E1965, DATABASE_FG!$C$5:$C$367, 0)), "Not Found")</f>
        <v>0</v>
      </c>
      <c r="Q1965" s="36"/>
      <c r="R1965" s="125" t="s">
        <v>678</v>
      </c>
      <c r="S1965" s="123">
        <f>IFERROR(INDEX(DATABASE_FG!$L$5:$L$367, MATCH(E1965, DATABASE_FG!$C$5:$C$367, 0)), " ")</f>
        <v>42</v>
      </c>
      <c r="T1965" s="36" t="s">
        <v>679</v>
      </c>
      <c r="U1965" s="36"/>
      <c r="V1965" s="36"/>
      <c r="W1965" s="129"/>
      <c r="X1965" s="36"/>
      <c r="Y1965" s="36"/>
      <c r="Z1965" s="36"/>
      <c r="AA1965" s="125" t="s">
        <v>121</v>
      </c>
      <c r="AB1965" s="173">
        <v>45825</v>
      </c>
      <c r="AC1965" s="119">
        <v>25945</v>
      </c>
      <c r="AD1965" s="36">
        <f t="shared" si="225"/>
        <v>5410716</v>
      </c>
      <c r="AE1965" s="36" t="str">
        <f t="shared" si="226"/>
        <v>TK.KWSE20-A-0038-WW1</v>
      </c>
      <c r="AF1965" s="36">
        <v>58</v>
      </c>
      <c r="AG1965" s="120">
        <f t="shared" si="224"/>
        <v>327.70000000000005</v>
      </c>
      <c r="AH1965" s="36"/>
      <c r="AI1965" s="124"/>
      <c r="AJ1965" s="122" t="s">
        <v>3186</v>
      </c>
      <c r="AK1965" s="129" t="str">
        <f t="shared" ca="1" si="223"/>
        <v>Late</v>
      </c>
      <c r="AL1965" s="268" t="str">
        <f t="shared" si="222"/>
        <v>May</v>
      </c>
      <c r="AM1965" s="133">
        <f>YEAR(Table1[[#This Row],[ETA
As requested
dd.mm.yyyy]])</f>
        <v>2025</v>
      </c>
    </row>
    <row r="1966" spans="1:39" hidden="1">
      <c r="A1966" s="123" t="s">
        <v>83</v>
      </c>
      <c r="B1966" s="36" t="s">
        <v>1170</v>
      </c>
      <c r="C1966" s="117">
        <v>5410716</v>
      </c>
      <c r="D1966" s="165">
        <v>45777</v>
      </c>
      <c r="E1966" s="117" t="s">
        <v>98</v>
      </c>
      <c r="F1966" s="36" t="str">
        <f>IFERROR(VLOOKUP(Table1[[#This Row],[Part Number]],DATABASE_FG!$C$6:D11955,2,FALSE)," ")</f>
        <v xml:space="preserve">094132526-8011 </v>
      </c>
      <c r="G1966" s="117" t="str">
        <f>IFERROR(_xlfn.XLOOKUP(Table1[[#This Row],[Part Number]],Table3[Part number],Table3[Drawing
 Revision]),"")</f>
        <v>AA</v>
      </c>
      <c r="H1966" s="118" cm="1">
        <f t="array" ref="H1966">IFERROR(INDEX(PDB!$C:$AT,MATCH(E1966,PDB!$B:$B,0),MATCH(YEAR(K1966),0+PDB!$C$1:$AT$1,0)),"")</f>
        <v>5.65</v>
      </c>
      <c r="I1966" s="36">
        <v>65</v>
      </c>
      <c r="J1966" s="125">
        <f>IFERROR(Table1[[#This Row],[Quantity]]*Table1[[#This Row],[Price/Unit
EUR]]," ")</f>
        <v>367.25</v>
      </c>
      <c r="K1966" s="126">
        <v>45789</v>
      </c>
      <c r="L1966" s="36">
        <f>WEEKNUM(Table1[[#This Row],[ETA
As requested
dd.mm.yyyy]])</f>
        <v>20</v>
      </c>
      <c r="M1966" s="36">
        <f>YEAR(Table1[[#This Row],[ETA
As requested
dd.mm.yyyy]])</f>
        <v>2025</v>
      </c>
      <c r="N1966" s="36">
        <f>IFERROR(INDEX(DATABASE_FG!$H$5:$H$367, MATCH(E1966, DATABASE_FG!$C$5:$C$367, 0)), " ")</f>
        <v>0</v>
      </c>
      <c r="O1966" s="129" t="str">
        <f>IF(E1966&lt;&gt;"", _xlfn.XLOOKUP(E1966, DATABASE_FG!C:C, DATABASE_FG!F:F), " ")</f>
        <v>Ghidaje</v>
      </c>
      <c r="P1966" s="129">
        <f>IFERROR(INDEX(DATABASE_FG!$G$5:$G$367, MATCH(E1966, DATABASE_FG!$C$5:$C$367, 0)), "Not Found")</f>
        <v>0</v>
      </c>
      <c r="Q1966" s="36"/>
      <c r="R1966" s="125" t="s">
        <v>678</v>
      </c>
      <c r="S1966" s="123">
        <f>IFERROR(INDEX(DATABASE_FG!$L$5:$L$367, MATCH(E1966, DATABASE_FG!$C$5:$C$367, 0)), " ")</f>
        <v>42</v>
      </c>
      <c r="T1966" s="36" t="s">
        <v>679</v>
      </c>
      <c r="U1966" s="36"/>
      <c r="V1966" s="36"/>
      <c r="W1966" s="129"/>
      <c r="X1966" s="36"/>
      <c r="Y1966" s="36"/>
      <c r="Z1966" s="36"/>
      <c r="AA1966" s="125" t="s">
        <v>121</v>
      </c>
      <c r="AB1966" s="173">
        <v>45827</v>
      </c>
      <c r="AC1966" s="119">
        <v>25954</v>
      </c>
      <c r="AD1966" s="36">
        <f t="shared" si="225"/>
        <v>5410716</v>
      </c>
      <c r="AE1966" s="36" t="str">
        <f t="shared" si="226"/>
        <v>TK.KWSE20-A-0038-WW1</v>
      </c>
      <c r="AF1966" s="36">
        <v>65</v>
      </c>
      <c r="AG1966" s="120">
        <f t="shared" si="224"/>
        <v>367.25</v>
      </c>
      <c r="AH1966" s="36"/>
      <c r="AI1966" s="124"/>
      <c r="AJ1966" s="122" t="s">
        <v>3188</v>
      </c>
      <c r="AK1966" s="129" t="str">
        <f t="shared" ca="1" si="223"/>
        <v>Late</v>
      </c>
      <c r="AL1966" s="268" t="str">
        <f t="shared" si="222"/>
        <v>May</v>
      </c>
      <c r="AM1966" s="133">
        <f>YEAR(Table1[[#This Row],[ETA
As requested
dd.mm.yyyy]])</f>
        <v>2025</v>
      </c>
    </row>
    <row r="1967" spans="1:39" hidden="1">
      <c r="A1967" s="123" t="s">
        <v>83</v>
      </c>
      <c r="B1967" s="36" t="s">
        <v>1170</v>
      </c>
      <c r="C1967" s="117">
        <v>5410716</v>
      </c>
      <c r="D1967" s="165">
        <v>45777</v>
      </c>
      <c r="E1967" s="117" t="s">
        <v>98</v>
      </c>
      <c r="F1967" s="36" t="str">
        <f>IFERROR(VLOOKUP(Table1[[#This Row],[Part Number]],DATABASE_FG!$C$6:D11956,2,FALSE)," ")</f>
        <v xml:space="preserve">094132526-8011 </v>
      </c>
      <c r="G1967" s="117" t="str">
        <f>IFERROR(_xlfn.XLOOKUP(Table1[[#This Row],[Part Number]],Table3[Part number],Table3[Drawing
 Revision]),"")</f>
        <v>AA</v>
      </c>
      <c r="H1967" s="118" cm="1">
        <f t="array" ref="H1967">IFERROR(INDEX(PDB!$C:$AT,MATCH(E1967,PDB!$B:$B,0),MATCH(YEAR(K1967),0+PDB!$C$1:$AT$1,0)),"")</f>
        <v>5.65</v>
      </c>
      <c r="I1967" s="36">
        <f>250+250-226-35-45-58-65+3</f>
        <v>74</v>
      </c>
      <c r="J1967" s="125">
        <f>IFERROR(Table1[[#This Row],[Quantity]]*Table1[[#This Row],[Price/Unit
EUR]]," ")</f>
        <v>418.1</v>
      </c>
      <c r="K1967" s="126">
        <v>45789</v>
      </c>
      <c r="L1967" s="36">
        <f>WEEKNUM(Table1[[#This Row],[ETA
As requested
dd.mm.yyyy]])</f>
        <v>20</v>
      </c>
      <c r="M1967" s="36">
        <f>YEAR(Table1[[#This Row],[ETA
As requested
dd.mm.yyyy]])</f>
        <v>2025</v>
      </c>
      <c r="N1967" s="36">
        <f>IFERROR(INDEX(DATABASE_FG!$H$5:$H$367, MATCH(E1967, DATABASE_FG!$C$5:$C$367, 0)), " ")</f>
        <v>0</v>
      </c>
      <c r="O1967" s="129" t="str">
        <f>IF(E1967&lt;&gt;"", _xlfn.XLOOKUP(E1967, DATABASE_FG!C:C, DATABASE_FG!F:F), " ")</f>
        <v>Ghidaje</v>
      </c>
      <c r="P1967" s="129">
        <f>IFERROR(INDEX(DATABASE_FG!$G$5:$G$367, MATCH(E1967, DATABASE_FG!$C$5:$C$367, 0)), "Not Found")</f>
        <v>0</v>
      </c>
      <c r="Q1967" s="36"/>
      <c r="R1967" s="125" t="s">
        <v>678</v>
      </c>
      <c r="S1967" s="123">
        <f>IFERROR(INDEX(DATABASE_FG!$L$5:$L$367, MATCH(E1967, DATABASE_FG!$C$5:$C$367, 0)), " ")</f>
        <v>42</v>
      </c>
      <c r="T1967" s="36" t="s">
        <v>679</v>
      </c>
      <c r="U1967" s="36"/>
      <c r="V1967" s="36"/>
      <c r="W1967" s="129"/>
      <c r="X1967" s="36"/>
      <c r="Y1967" s="36"/>
      <c r="Z1967" s="36"/>
      <c r="AA1967" s="125" t="s">
        <v>121</v>
      </c>
      <c r="AB1967" s="173">
        <v>45840</v>
      </c>
      <c r="AC1967" s="119">
        <v>251003</v>
      </c>
      <c r="AD1967" s="36">
        <f t="shared" si="225"/>
        <v>5410716</v>
      </c>
      <c r="AE1967" s="36" t="str">
        <f t="shared" si="226"/>
        <v>TK.KWSE20-A-0038-WW1</v>
      </c>
      <c r="AF1967" s="36">
        <v>74</v>
      </c>
      <c r="AG1967" s="120">
        <f t="shared" si="224"/>
        <v>418.1</v>
      </c>
      <c r="AH1967" s="36"/>
      <c r="AI1967" s="124"/>
      <c r="AJ1967" s="122" t="s">
        <v>3192</v>
      </c>
      <c r="AK1967" s="129" t="str">
        <f t="shared" ca="1" si="223"/>
        <v>Late</v>
      </c>
      <c r="AL1967" s="268" t="str">
        <f t="shared" si="222"/>
        <v>May</v>
      </c>
      <c r="AM1967" s="133">
        <f>YEAR(Table1[[#This Row],[ETA
As requested
dd.mm.yyyy]])</f>
        <v>2025</v>
      </c>
    </row>
    <row r="1968" spans="1:39" hidden="1">
      <c r="A1968" s="123" t="s">
        <v>83</v>
      </c>
      <c r="B1968" s="36" t="s">
        <v>1170</v>
      </c>
      <c r="C1968" s="117">
        <v>5410716</v>
      </c>
      <c r="D1968" s="165">
        <v>45777</v>
      </c>
      <c r="E1968" s="117" t="s">
        <v>98</v>
      </c>
      <c r="F1968" s="36" t="str">
        <f>IFERROR(VLOOKUP(Table1[[#This Row],[Part Number]],DATABASE_FG!$C$6:D11957,2,FALSE)," ")</f>
        <v xml:space="preserve">094132526-8011 </v>
      </c>
      <c r="G1968" s="117" t="str">
        <f>IFERROR(_xlfn.XLOOKUP(Table1[[#This Row],[Part Number]],Table3[Part number],Table3[Drawing
 Revision]),"")</f>
        <v>AA</v>
      </c>
      <c r="H1968" s="118" cm="1">
        <f t="array" ref="H1968">IFERROR(INDEX(PDB!$C:$AT,MATCH(E1968,PDB!$B:$B,0),MATCH(YEAR(K1968),0+PDB!$C$1:$AT$1,0)),"")</f>
        <v>5.65</v>
      </c>
      <c r="I1968" s="36">
        <f>200-3-79+30</f>
        <v>148</v>
      </c>
      <c r="J1968" s="125">
        <f>IFERROR(Table1[[#This Row],[Quantity]]*Table1[[#This Row],[Price/Unit
EUR]]," ")</f>
        <v>836.2</v>
      </c>
      <c r="K1968" s="126">
        <v>45796</v>
      </c>
      <c r="L1968" s="36">
        <f>WEEKNUM(Table1[[#This Row],[ETA
As requested
dd.mm.yyyy]])</f>
        <v>21</v>
      </c>
      <c r="M1968" s="36">
        <f>YEAR(Table1[[#This Row],[ETA
As requested
dd.mm.yyyy]])</f>
        <v>2025</v>
      </c>
      <c r="N1968" s="36">
        <f>IFERROR(INDEX(DATABASE_FG!$H$5:$H$367, MATCH(E1968, DATABASE_FG!$C$5:$C$367, 0)), " ")</f>
        <v>0</v>
      </c>
      <c r="O1968" s="129" t="str">
        <f>IF(E1968&lt;&gt;"", _xlfn.XLOOKUP(E1968, DATABASE_FG!C:C, DATABASE_FG!F:F), " ")</f>
        <v>Ghidaje</v>
      </c>
      <c r="P1968" s="129">
        <f>IFERROR(INDEX(DATABASE_FG!$G$5:$G$367, MATCH(E1968, DATABASE_FG!$C$5:$C$367, 0)), "Not Found")</f>
        <v>0</v>
      </c>
      <c r="Q1968" s="36"/>
      <c r="R1968" s="125" t="s">
        <v>678</v>
      </c>
      <c r="S1968" s="123">
        <f>IFERROR(INDEX(DATABASE_FG!$L$5:$L$367, MATCH(E1968, DATABASE_FG!$C$5:$C$367, 0)), " ")</f>
        <v>42</v>
      </c>
      <c r="T1968" s="36" t="s">
        <v>679</v>
      </c>
      <c r="U1968" s="36"/>
      <c r="V1968" s="36"/>
      <c r="W1968" s="129"/>
      <c r="X1968" s="36"/>
      <c r="Y1968" s="36"/>
      <c r="Z1968" s="36"/>
      <c r="AA1968" s="125" t="s">
        <v>121</v>
      </c>
      <c r="AB1968" s="173">
        <v>45841</v>
      </c>
      <c r="AC1968" s="119">
        <v>251013</v>
      </c>
      <c r="AD1968" s="36">
        <f t="shared" si="225"/>
        <v>5410716</v>
      </c>
      <c r="AE1968" s="36" t="str">
        <f t="shared" si="226"/>
        <v>TK.KWSE20-A-0038-WW1</v>
      </c>
      <c r="AF1968" s="36">
        <v>148</v>
      </c>
      <c r="AG1968" s="120">
        <f t="shared" si="224"/>
        <v>836.2</v>
      </c>
      <c r="AH1968" s="36"/>
      <c r="AI1968" s="124"/>
      <c r="AJ1968" s="122" t="s">
        <v>3199</v>
      </c>
      <c r="AK1968" s="129" t="str">
        <f t="shared" ca="1" si="223"/>
        <v>Late</v>
      </c>
      <c r="AL1968" s="268" t="str">
        <f t="shared" si="222"/>
        <v>May</v>
      </c>
      <c r="AM1968" s="133">
        <f>YEAR(Table1[[#This Row],[ETA
As requested
dd.mm.yyyy]])</f>
        <v>2025</v>
      </c>
    </row>
    <row r="1969" spans="1:40" hidden="1">
      <c r="A1969" s="123" t="s">
        <v>83</v>
      </c>
      <c r="B1969" s="36" t="s">
        <v>1170</v>
      </c>
      <c r="C1969" s="117">
        <v>5410716</v>
      </c>
      <c r="D1969" s="165">
        <v>45777</v>
      </c>
      <c r="E1969" s="117" t="s">
        <v>98</v>
      </c>
      <c r="F1969" s="36" t="str">
        <f>IFERROR(VLOOKUP(Table1[[#This Row],[Part Number]],DATABASE_FG!$C$6:D11958,2,FALSE)," ")</f>
        <v xml:space="preserve">094132526-8011 </v>
      </c>
      <c r="G1969" s="117" t="str">
        <f>IFERROR(_xlfn.XLOOKUP(Table1[[#This Row],[Part Number]],Table3[Part number],Table3[Drawing
 Revision]),"")</f>
        <v>AA</v>
      </c>
      <c r="H1969" s="118" cm="1">
        <f t="array" ref="H1969">IFERROR(INDEX(PDB!$C:$AT,MATCH(E1969,PDB!$B:$B,0),MATCH(YEAR(K1969),0+PDB!$C$1:$AT$1,0)),"")</f>
        <v>5.65</v>
      </c>
      <c r="I1969" s="36">
        <v>79</v>
      </c>
      <c r="J1969" s="125">
        <f>IFERROR(Table1[[#This Row],[Quantity]]*Table1[[#This Row],[Price/Unit
EUR]]," ")</f>
        <v>446.35</v>
      </c>
      <c r="K1969" s="126">
        <v>45796</v>
      </c>
      <c r="L1969" s="36">
        <f>WEEKNUM(Table1[[#This Row],[ETA
As requested
dd.mm.yyyy]])</f>
        <v>21</v>
      </c>
      <c r="M1969" s="36">
        <f>YEAR(Table1[[#This Row],[ETA
As requested
dd.mm.yyyy]])</f>
        <v>2025</v>
      </c>
      <c r="N1969" s="36">
        <f>IFERROR(INDEX(DATABASE_FG!$H$5:$H$367, MATCH(E1969, DATABASE_FG!$C$5:$C$367, 0)), " ")</f>
        <v>0</v>
      </c>
      <c r="O1969" s="129" t="str">
        <f>IF(E1969&lt;&gt;"", _xlfn.XLOOKUP(E1969, DATABASE_FG!C:C, DATABASE_FG!F:F), " ")</f>
        <v>Ghidaje</v>
      </c>
      <c r="P1969" s="129">
        <f>IFERROR(INDEX(DATABASE_FG!$G$5:$G$367, MATCH(E1969, DATABASE_FG!$C$5:$C$367, 0)), "Not Found")</f>
        <v>0</v>
      </c>
      <c r="Q1969" s="36"/>
      <c r="R1969" s="125" t="s">
        <v>678</v>
      </c>
      <c r="S1969" s="123">
        <f>IFERROR(INDEX(DATABASE_FG!$L$5:$L$367, MATCH(E1969, DATABASE_FG!$C$5:$C$367, 0)), " ")</f>
        <v>42</v>
      </c>
      <c r="T1969" s="36" t="s">
        <v>679</v>
      </c>
      <c r="U1969" s="36"/>
      <c r="V1969" s="36"/>
      <c r="W1969" s="129"/>
      <c r="X1969" s="36"/>
      <c r="Y1969" s="36"/>
      <c r="Z1969" s="36"/>
      <c r="AA1969" s="125" t="s">
        <v>121</v>
      </c>
      <c r="AB1969" s="173">
        <v>45842</v>
      </c>
      <c r="AC1969" s="119">
        <v>251034</v>
      </c>
      <c r="AD1969" s="36">
        <f t="shared" si="225"/>
        <v>5410716</v>
      </c>
      <c r="AE1969" s="36" t="str">
        <f t="shared" si="226"/>
        <v>TK.KWSE20-A-0038-WW1</v>
      </c>
      <c r="AF1969" s="36">
        <v>79</v>
      </c>
      <c r="AG1969" s="120">
        <f t="shared" si="224"/>
        <v>446.35</v>
      </c>
      <c r="AH1969" s="36"/>
      <c r="AI1969" s="124"/>
      <c r="AJ1969" s="122" t="s">
        <v>3200</v>
      </c>
      <c r="AK1969" s="129" t="str">
        <f t="shared" ca="1" si="223"/>
        <v>Late</v>
      </c>
      <c r="AL1969" s="268" t="str">
        <f t="shared" si="222"/>
        <v>May</v>
      </c>
      <c r="AM1969" s="133">
        <f>YEAR(Table1[[#This Row],[ETA
As requested
dd.mm.yyyy]])</f>
        <v>2025</v>
      </c>
    </row>
    <row r="1970" spans="1:40" hidden="1">
      <c r="A1970" s="123" t="s">
        <v>83</v>
      </c>
      <c r="B1970" s="36" t="s">
        <v>1170</v>
      </c>
      <c r="C1970" s="117">
        <v>5410716</v>
      </c>
      <c r="D1970" s="165">
        <v>45777</v>
      </c>
      <c r="E1970" s="117" t="s">
        <v>98</v>
      </c>
      <c r="F1970" s="36" t="str">
        <f>IFERROR(VLOOKUP(Table1[[#This Row],[Part Number]],DATABASE_FG!$C$6:D11959,2,FALSE)," ")</f>
        <v xml:space="preserve">094132526-8011 </v>
      </c>
      <c r="G1970" s="117" t="str">
        <f>IFERROR(_xlfn.XLOOKUP(Table1[[#This Row],[Part Number]],Table3[Part number],Table3[Drawing
 Revision]),"")</f>
        <v>AA</v>
      </c>
      <c r="H1970" s="118" cm="1">
        <f t="array" ref="H1970">IFERROR(INDEX(PDB!$C:$AT,MATCH(E1970,PDB!$B:$B,0),MATCH(YEAR(K1970),0+PDB!$C$1:$AT$1,0)),"")</f>
        <v>5.65</v>
      </c>
      <c r="I1970" s="36">
        <v>123</v>
      </c>
      <c r="J1970" s="125">
        <f>IFERROR(Table1[[#This Row],[Quantity]]*Table1[[#This Row],[Price/Unit
EUR]]," ")</f>
        <v>694.95</v>
      </c>
      <c r="K1970" s="126">
        <v>45821</v>
      </c>
      <c r="L1970" s="36">
        <f>WEEKNUM(Table1[[#This Row],[ETA
As requested
dd.mm.yyyy]])</f>
        <v>24</v>
      </c>
      <c r="M1970" s="36">
        <f>YEAR(Table1[[#This Row],[ETA
As requested
dd.mm.yyyy]])</f>
        <v>2025</v>
      </c>
      <c r="N1970" s="36">
        <f>IFERROR(INDEX(DATABASE_FG!$H$5:$H$367, MATCH(E1970, DATABASE_FG!$C$5:$C$367, 0)), " ")</f>
        <v>0</v>
      </c>
      <c r="O1970" s="129" t="str">
        <f>IF(E1970&lt;&gt;"", _xlfn.XLOOKUP(E1970, DATABASE_FG!C:C, DATABASE_FG!F:F), " ")</f>
        <v>Ghidaje</v>
      </c>
      <c r="P1970" s="129">
        <f>IFERROR(INDEX(DATABASE_FG!$G$5:$G$367, MATCH(E1970, DATABASE_FG!$C$5:$C$367, 0)), "Not Found")</f>
        <v>0</v>
      </c>
      <c r="Q1970" s="36"/>
      <c r="R1970" s="125" t="s">
        <v>678</v>
      </c>
      <c r="S1970" s="123">
        <f>Table1[[#This Row],[Quantity]]/48</f>
        <v>2.5625</v>
      </c>
      <c r="T1970" s="36"/>
      <c r="U1970" s="36"/>
      <c r="V1970" s="36"/>
      <c r="W1970" s="129"/>
      <c r="X1970" s="36"/>
      <c r="Y1970" s="36"/>
      <c r="Z1970" s="36"/>
      <c r="AA1970" s="125" t="s">
        <v>121</v>
      </c>
      <c r="AB1970" s="173">
        <v>45846</v>
      </c>
      <c r="AC1970" s="119">
        <v>251047</v>
      </c>
      <c r="AD1970" s="36">
        <f t="shared" si="225"/>
        <v>5410716</v>
      </c>
      <c r="AE1970" s="36" t="str">
        <f t="shared" si="226"/>
        <v>TK.KWSE20-A-0038-WW1</v>
      </c>
      <c r="AF1970" s="36">
        <v>123</v>
      </c>
      <c r="AG1970" s="120">
        <f t="shared" si="224"/>
        <v>694.95</v>
      </c>
      <c r="AH1970" s="36"/>
      <c r="AI1970" s="124"/>
      <c r="AJ1970" s="122" t="s">
        <v>3273</v>
      </c>
      <c r="AK1970" s="129" t="str">
        <f t="shared" ca="1" si="223"/>
        <v>Late</v>
      </c>
      <c r="AL1970" s="268" t="str">
        <f t="shared" ref="AL1970:AL2035" si="227">TEXT(K1970,"mmmm")</f>
        <v>June</v>
      </c>
      <c r="AM1970" s="133">
        <f>YEAR(Table1[[#This Row],[ETA
As requested
dd.mm.yyyy]])</f>
        <v>2025</v>
      </c>
    </row>
    <row r="1971" spans="1:40" hidden="1">
      <c r="A1971" s="123" t="s">
        <v>83</v>
      </c>
      <c r="B1971" s="36" t="s">
        <v>1170</v>
      </c>
      <c r="C1971" s="117">
        <v>5410716</v>
      </c>
      <c r="D1971" s="165">
        <v>45777</v>
      </c>
      <c r="E1971" s="117" t="s">
        <v>98</v>
      </c>
      <c r="F1971" s="36" t="str">
        <f>IFERROR(VLOOKUP(Table1[[#This Row],[Part Number]],DATABASE_FG!$C$6:D11960,2,FALSE)," ")</f>
        <v xml:space="preserve">094132526-8011 </v>
      </c>
      <c r="G1971" s="117" t="str">
        <f>IFERROR(_xlfn.XLOOKUP(Table1[[#This Row],[Part Number]],Table3[Part number],Table3[Drawing
 Revision]),"")</f>
        <v>AA</v>
      </c>
      <c r="H1971" s="118" cm="1">
        <f t="array" ref="H1971">IFERROR(INDEX(PDB!$C:$AT,MATCH(E1971,PDB!$B:$B,0),MATCH(YEAR(K1971),0+PDB!$C$1:$AT$1,0)),"")</f>
        <v>5.65</v>
      </c>
      <c r="I1971" s="36">
        <v>131</v>
      </c>
      <c r="J1971" s="125">
        <f>IFERROR(Table1[[#This Row],[Quantity]]*Table1[[#This Row],[Price/Unit
EUR]]," ")</f>
        <v>740.15000000000009</v>
      </c>
      <c r="K1971" s="126">
        <v>45821</v>
      </c>
      <c r="L1971" s="36">
        <f>WEEKNUM(Table1[[#This Row],[ETA
As requested
dd.mm.yyyy]])</f>
        <v>24</v>
      </c>
      <c r="M1971" s="36">
        <f>YEAR(Table1[[#This Row],[ETA
As requested
dd.mm.yyyy]])</f>
        <v>2025</v>
      </c>
      <c r="N1971" s="36">
        <f>IFERROR(INDEX(DATABASE_FG!$H$5:$H$367, MATCH(E1971, DATABASE_FG!$C$5:$C$367, 0)), " ")</f>
        <v>0</v>
      </c>
      <c r="O1971" s="129" t="str">
        <f>IF(E1971&lt;&gt;"", _xlfn.XLOOKUP(E1971, DATABASE_FG!C:C, DATABASE_FG!F:F), " ")</f>
        <v>Ghidaje</v>
      </c>
      <c r="P1971" s="129">
        <f>IFERROR(INDEX(DATABASE_FG!$G$5:$G$367, MATCH(E1971, DATABASE_FG!$C$5:$C$367, 0)), "Not Found")</f>
        <v>0</v>
      </c>
      <c r="Q1971" s="36"/>
      <c r="R1971" s="125" t="s">
        <v>678</v>
      </c>
      <c r="S1971" s="123">
        <f>Table1[[#This Row],[Quantity]]/48</f>
        <v>2.7291666666666665</v>
      </c>
      <c r="T1971" s="36"/>
      <c r="U1971" s="36"/>
      <c r="V1971" s="36"/>
      <c r="W1971" s="129"/>
      <c r="X1971" s="36"/>
      <c r="Y1971" s="36"/>
      <c r="Z1971" s="36"/>
      <c r="AA1971" s="125" t="s">
        <v>121</v>
      </c>
      <c r="AB1971" s="173">
        <v>45847</v>
      </c>
      <c r="AC1971" s="119" t="s">
        <v>3275</v>
      </c>
      <c r="AD1971" s="36">
        <f t="shared" si="225"/>
        <v>5410716</v>
      </c>
      <c r="AE1971" s="36" t="str">
        <f t="shared" si="226"/>
        <v>TK.KWSE20-A-0038-WW1</v>
      </c>
      <c r="AF1971" s="36">
        <v>131</v>
      </c>
      <c r="AG1971" s="120">
        <f t="shared" si="224"/>
        <v>740.15000000000009</v>
      </c>
      <c r="AH1971" s="36"/>
      <c r="AI1971" s="124"/>
      <c r="AJ1971" s="122" t="s">
        <v>3276</v>
      </c>
      <c r="AK1971" s="129" t="str">
        <f t="shared" ca="1" si="223"/>
        <v>Late</v>
      </c>
      <c r="AL1971" s="268" t="str">
        <f t="shared" si="227"/>
        <v>June</v>
      </c>
      <c r="AM1971" s="133">
        <f>YEAR(Table1[[#This Row],[ETA
As requested
dd.mm.yyyy]])</f>
        <v>2025</v>
      </c>
    </row>
    <row r="1972" spans="1:40" hidden="1">
      <c r="A1972" s="123" t="s">
        <v>83</v>
      </c>
      <c r="B1972" s="36" t="s">
        <v>1170</v>
      </c>
      <c r="C1972" s="117">
        <v>5410716</v>
      </c>
      <c r="D1972" s="165">
        <v>45777</v>
      </c>
      <c r="E1972" s="117" t="s">
        <v>98</v>
      </c>
      <c r="F1972" s="36" t="str">
        <f>IFERROR(VLOOKUP(Table1[[#This Row],[Part Number]],DATABASE_FG!$C$6:D11961,2,FALSE)," ")</f>
        <v xml:space="preserve">094132526-8011 </v>
      </c>
      <c r="G1972" s="117" t="str">
        <f>IFERROR(_xlfn.XLOOKUP(Table1[[#This Row],[Part Number]],Table3[Part number],Table3[Drawing
 Revision]),"")</f>
        <v>AA</v>
      </c>
      <c r="H1972" s="118" cm="1">
        <f t="array" ref="H1972">IFERROR(INDEX(PDB!$C:$AT,MATCH(E1972,PDB!$B:$B,0),MATCH(YEAR(K1972),0+PDB!$C$1:$AT$1,0)),"")</f>
        <v>5.65</v>
      </c>
      <c r="I1972" s="36">
        <f>200-30-123+37</f>
        <v>84</v>
      </c>
      <c r="J1972" s="125">
        <f>IFERROR(Table1[[#This Row],[Quantity]]*Table1[[#This Row],[Price/Unit
EUR]]," ")</f>
        <v>474.6</v>
      </c>
      <c r="K1972" s="126">
        <v>45821</v>
      </c>
      <c r="L1972" s="36">
        <f>WEEKNUM(Table1[[#This Row],[ETA
As requested
dd.mm.yyyy]])</f>
        <v>24</v>
      </c>
      <c r="M1972" s="36">
        <f>YEAR(Table1[[#This Row],[ETA
As requested
dd.mm.yyyy]])</f>
        <v>2025</v>
      </c>
      <c r="N1972" s="36">
        <f>IFERROR(INDEX(DATABASE_FG!$H$5:$H$367, MATCH(E1972, DATABASE_FG!$C$5:$C$367, 0)), " ")</f>
        <v>0</v>
      </c>
      <c r="O1972" s="129" t="str">
        <f>IF(E1972&lt;&gt;"", _xlfn.XLOOKUP(E1972, DATABASE_FG!C:C, DATABASE_FG!F:F), " ")</f>
        <v>Ghidaje</v>
      </c>
      <c r="P1972" s="129">
        <f>IFERROR(INDEX(DATABASE_FG!$G$5:$G$367, MATCH(E1972, DATABASE_FG!$C$5:$C$367, 0)), "Not Found")</f>
        <v>0</v>
      </c>
      <c r="Q1972" s="36"/>
      <c r="R1972" s="125" t="s">
        <v>678</v>
      </c>
      <c r="S1972" s="123">
        <f>IFERROR(INDEX(DATABASE_FG!$L$5:$L$367, MATCH(E1972, DATABASE_FG!$C$5:$C$367, 0)), " ")</f>
        <v>42</v>
      </c>
      <c r="T1972" s="36" t="s">
        <v>679</v>
      </c>
      <c r="U1972" s="36"/>
      <c r="V1972" s="36"/>
      <c r="W1972" s="129"/>
      <c r="X1972" s="36"/>
      <c r="Y1972" s="36"/>
      <c r="Z1972" s="36"/>
      <c r="AA1972" s="125" t="s">
        <v>121</v>
      </c>
      <c r="AB1972" s="173">
        <v>45847</v>
      </c>
      <c r="AC1972" s="119" t="s">
        <v>3277</v>
      </c>
      <c r="AD1972" s="36">
        <f t="shared" si="225"/>
        <v>5410716</v>
      </c>
      <c r="AE1972" s="36" t="str">
        <f t="shared" si="226"/>
        <v>TK.KWSE20-A-0038-WW1</v>
      </c>
      <c r="AF1972" s="36">
        <v>84</v>
      </c>
      <c r="AG1972" s="120">
        <f t="shared" si="224"/>
        <v>474.6</v>
      </c>
      <c r="AH1972" s="36"/>
      <c r="AI1972" s="124"/>
      <c r="AJ1972" s="122" t="s">
        <v>3278</v>
      </c>
      <c r="AK1972" s="129" t="str">
        <f t="shared" ref="AK1972:AK2037" ca="1" si="228">IF(AB1972="", IF(K1972 &lt; TODAY(), "Late", ""), IF(AB1972 &lt;= K1972 + 2, "On Time", "Late"))</f>
        <v>Late</v>
      </c>
      <c r="AL1972" s="268" t="str">
        <f t="shared" si="227"/>
        <v>June</v>
      </c>
      <c r="AM1972" s="133">
        <f>YEAR(Table1[[#This Row],[ETA
As requested
dd.mm.yyyy]])</f>
        <v>2025</v>
      </c>
    </row>
    <row r="1973" spans="1:40" hidden="1">
      <c r="A1973" s="123" t="s">
        <v>83</v>
      </c>
      <c r="B1973" s="36" t="s">
        <v>1170</v>
      </c>
      <c r="C1973" s="117">
        <v>5410716</v>
      </c>
      <c r="D1973" s="165">
        <v>45777</v>
      </c>
      <c r="E1973" s="117" t="s">
        <v>98</v>
      </c>
      <c r="F1973" s="36" t="str">
        <f>IFERROR(VLOOKUP(Table1[[#This Row],[Part Number]],DATABASE_FG!$C$6:D11962,2,FALSE)," ")</f>
        <v xml:space="preserve">094132526-8011 </v>
      </c>
      <c r="G1973" s="117" t="str">
        <f>IFERROR(_xlfn.XLOOKUP(Table1[[#This Row],[Part Number]],Table3[Part number],Table3[Drawing
 Revision]),"")</f>
        <v>AA</v>
      </c>
      <c r="H1973" s="118" cm="1">
        <f t="array" ref="H1973">IFERROR(INDEX(PDB!$C:$AT,MATCH(E1973,PDB!$B:$B,0),MATCH(YEAR(K1973),0+PDB!$C$1:$AT$1,0)),"")</f>
        <v>5.65</v>
      </c>
      <c r="I1973" s="36">
        <f>250-131-37+15</f>
        <v>97</v>
      </c>
      <c r="J1973" s="125">
        <f>IFERROR(Table1[[#This Row],[Quantity]]*Table1[[#This Row],[Price/Unit
EUR]]," ")</f>
        <v>548.05000000000007</v>
      </c>
      <c r="K1973" s="126">
        <v>45828</v>
      </c>
      <c r="L1973" s="36">
        <f>WEEKNUM(Table1[[#This Row],[ETA
As requested
dd.mm.yyyy]])</f>
        <v>25</v>
      </c>
      <c r="M1973" s="36">
        <f>YEAR(Table1[[#This Row],[ETA
As requested
dd.mm.yyyy]])</f>
        <v>2025</v>
      </c>
      <c r="N1973" s="36">
        <f>IFERROR(INDEX(DATABASE_FG!$H$5:$H$367, MATCH(E1973, DATABASE_FG!$C$5:$C$367, 0)), " ")</f>
        <v>0</v>
      </c>
      <c r="O1973" s="129" t="str">
        <f>IF(E1973&lt;&gt;"", _xlfn.XLOOKUP(E1973, DATABASE_FG!C:C, DATABASE_FG!F:F), " ")</f>
        <v>Ghidaje</v>
      </c>
      <c r="P1973" s="129">
        <f>IFERROR(INDEX(DATABASE_FG!$G$5:$G$367, MATCH(E1973, DATABASE_FG!$C$5:$C$367, 0)), "Not Found")</f>
        <v>0</v>
      </c>
      <c r="Q1973" s="36"/>
      <c r="R1973" s="125" t="s">
        <v>678</v>
      </c>
      <c r="S1973" s="123">
        <f>IFERROR(INDEX(DATABASE_FG!$L$5:$L$367, MATCH(E1973, DATABASE_FG!$C$5:$C$367, 0)), " ")</f>
        <v>42</v>
      </c>
      <c r="T1973" s="36" t="s">
        <v>679</v>
      </c>
      <c r="U1973" s="36"/>
      <c r="V1973" s="36"/>
      <c r="W1973" s="129"/>
      <c r="X1973" s="36"/>
      <c r="Y1973" s="36"/>
      <c r="Z1973" s="36"/>
      <c r="AA1973" s="125" t="s">
        <v>121</v>
      </c>
      <c r="AB1973" s="173">
        <v>45848</v>
      </c>
      <c r="AC1973" s="119" t="s">
        <v>3311</v>
      </c>
      <c r="AD1973" s="36">
        <f t="shared" si="225"/>
        <v>5410716</v>
      </c>
      <c r="AE1973" s="36" t="str">
        <f t="shared" si="226"/>
        <v>TK.KWSE20-A-0038-WW1</v>
      </c>
      <c r="AF1973" s="36">
        <v>97</v>
      </c>
      <c r="AG1973" s="120">
        <f t="shared" si="224"/>
        <v>548.05000000000007</v>
      </c>
      <c r="AH1973" s="36"/>
      <c r="AI1973" s="124"/>
      <c r="AJ1973" s="122" t="s">
        <v>3312</v>
      </c>
      <c r="AK1973" s="129" t="str">
        <f t="shared" ca="1" si="228"/>
        <v>Late</v>
      </c>
      <c r="AL1973" s="268" t="str">
        <f t="shared" si="227"/>
        <v>June</v>
      </c>
      <c r="AM1973" s="133">
        <f>YEAR(Table1[[#This Row],[ETA
As requested
dd.mm.yyyy]])</f>
        <v>2025</v>
      </c>
    </row>
    <row r="1974" spans="1:40" hidden="1">
      <c r="A1974" s="123" t="s">
        <v>83</v>
      </c>
      <c r="B1974" s="36" t="s">
        <v>1170</v>
      </c>
      <c r="C1974" s="117">
        <v>5410716</v>
      </c>
      <c r="D1974" s="165">
        <v>45777</v>
      </c>
      <c r="E1974" s="117" t="s">
        <v>98</v>
      </c>
      <c r="F1974" s="36" t="str">
        <f>IFERROR(VLOOKUP(Table1[[#This Row],[Part Number]],DATABASE_FG!$C$6:D11963,2,FALSE)," ")</f>
        <v xml:space="preserve">094132526-8011 </v>
      </c>
      <c r="G1974" s="117" t="str">
        <f>IFERROR(_xlfn.XLOOKUP(Table1[[#This Row],[Part Number]],Table3[Part number],Table3[Drawing
 Revision]),"")</f>
        <v>AA</v>
      </c>
      <c r="H1974" s="118" cm="1">
        <f t="array" ref="H1974">IFERROR(INDEX(PDB!$C:$AT,MATCH(E1974,PDB!$B:$B,0),MATCH(YEAR(K1974),0+PDB!$C$1:$AT$1,0)),"")</f>
        <v>5.65</v>
      </c>
      <c r="I1974" s="36">
        <v>87</v>
      </c>
      <c r="J1974" s="125">
        <f>IFERROR(Table1[[#This Row],[Quantity]]*Table1[[#This Row],[Price/Unit
EUR]]," ")</f>
        <v>491.55</v>
      </c>
      <c r="K1974" s="126">
        <v>45828</v>
      </c>
      <c r="L1974" s="36">
        <f>WEEKNUM(Table1[[#This Row],[ETA
As requested
dd.mm.yyyy]])</f>
        <v>25</v>
      </c>
      <c r="M1974" s="36">
        <f>YEAR(Table1[[#This Row],[ETA
As requested
dd.mm.yyyy]])</f>
        <v>2025</v>
      </c>
      <c r="N1974" s="36">
        <f>IFERROR(INDEX(DATABASE_FG!$H$5:$H$367, MATCH(E1974, DATABASE_FG!$C$5:$C$367, 0)), " ")</f>
        <v>0</v>
      </c>
      <c r="O1974" s="129" t="str">
        <f>IF(E1974&lt;&gt;"", _xlfn.XLOOKUP(E1974, DATABASE_FG!C:C, DATABASE_FG!F:F), " ")</f>
        <v>Ghidaje</v>
      </c>
      <c r="P1974" s="129">
        <f>IFERROR(INDEX(DATABASE_FG!$G$5:$G$367, MATCH(E1974, DATABASE_FG!$C$5:$C$367, 0)), "Not Found")</f>
        <v>0</v>
      </c>
      <c r="Q1974" s="36"/>
      <c r="R1974" s="125" t="s">
        <v>678</v>
      </c>
      <c r="S1974" s="123">
        <f>IFERROR(INDEX(DATABASE_FG!$L$5:$L$367, MATCH(E1974, DATABASE_FG!$C$5:$C$367, 0)), " ")</f>
        <v>42</v>
      </c>
      <c r="T1974" s="36" t="s">
        <v>679</v>
      </c>
      <c r="U1974" s="36"/>
      <c r="V1974" s="36"/>
      <c r="W1974" s="129"/>
      <c r="X1974" s="36"/>
      <c r="Y1974" s="36"/>
      <c r="Z1974" s="36"/>
      <c r="AA1974" s="125" t="s">
        <v>121</v>
      </c>
      <c r="AB1974" s="173">
        <v>45849</v>
      </c>
      <c r="AC1974" s="119" t="s">
        <v>3313</v>
      </c>
      <c r="AD1974" s="36">
        <f t="shared" si="225"/>
        <v>5410716</v>
      </c>
      <c r="AE1974" s="36" t="str">
        <f t="shared" si="226"/>
        <v>TK.KWSE20-A-0038-WW1</v>
      </c>
      <c r="AF1974" s="36">
        <v>87</v>
      </c>
      <c r="AG1974" s="120">
        <f t="shared" si="224"/>
        <v>491.55</v>
      </c>
      <c r="AH1974" s="36"/>
      <c r="AI1974" s="124"/>
      <c r="AJ1974" s="122" t="s">
        <v>3314</v>
      </c>
      <c r="AK1974" s="129" t="str">
        <f t="shared" ca="1" si="228"/>
        <v>Late</v>
      </c>
      <c r="AL1974" s="268" t="str">
        <f t="shared" si="227"/>
        <v>June</v>
      </c>
      <c r="AM1974" s="133">
        <f>YEAR(Table1[[#This Row],[ETA
As requested
dd.mm.yyyy]])</f>
        <v>2025</v>
      </c>
    </row>
    <row r="1975" spans="1:40" hidden="1">
      <c r="A1975" s="123" t="s">
        <v>83</v>
      </c>
      <c r="B1975" s="36" t="s">
        <v>1170</v>
      </c>
      <c r="C1975" s="117">
        <v>5410716</v>
      </c>
      <c r="D1975" s="165">
        <v>45777</v>
      </c>
      <c r="E1975" s="117" t="s">
        <v>98</v>
      </c>
      <c r="F1975" s="36" t="str">
        <f>IFERROR(VLOOKUP(Table1[[#This Row],[Part Number]],DATABASE_FG!$C$6:D11964,2,FALSE)," ")</f>
        <v xml:space="preserve">094132526-8011 </v>
      </c>
      <c r="G1975" s="117" t="str">
        <f>IFERROR(_xlfn.XLOOKUP(Table1[[#This Row],[Part Number]],Table3[Part number],Table3[Drawing
 Revision]),"")</f>
        <v>AA</v>
      </c>
      <c r="H1975" s="118" cm="1">
        <f t="array" ref="H1975">IFERROR(INDEX(PDB!$C:$AT,MATCH(E1975,PDB!$B:$B,0),MATCH(YEAR(K1975),0+PDB!$C$1:$AT$1,0)),"")</f>
        <v>5.65</v>
      </c>
      <c r="I1975" s="36">
        <f>250-15-87-38</f>
        <v>110</v>
      </c>
      <c r="J1975" s="125">
        <f>IFERROR(Table1[[#This Row],[Quantity]]*Table1[[#This Row],[Price/Unit
EUR]]," ")</f>
        <v>621.5</v>
      </c>
      <c r="K1975" s="126">
        <v>45835</v>
      </c>
      <c r="L1975" s="36">
        <f>WEEKNUM(Table1[[#This Row],[ETA
As requested
dd.mm.yyyy]])</f>
        <v>26</v>
      </c>
      <c r="M1975" s="36">
        <f>YEAR(Table1[[#This Row],[ETA
As requested
dd.mm.yyyy]])</f>
        <v>2025</v>
      </c>
      <c r="N1975" s="36">
        <f>IFERROR(INDEX(DATABASE_FG!$H$5:$H$367, MATCH(E1975, DATABASE_FG!$C$5:$C$367, 0)), " ")</f>
        <v>0</v>
      </c>
      <c r="O1975" s="129" t="str">
        <f>IF(E1975&lt;&gt;"", _xlfn.XLOOKUP(E1975, DATABASE_FG!C:C, DATABASE_FG!F:F), " ")</f>
        <v>Ghidaje</v>
      </c>
      <c r="P1975" s="129">
        <f>IFERROR(INDEX(DATABASE_FG!$G$5:$G$367, MATCH(E1975, DATABASE_FG!$C$5:$C$367, 0)), "Not Found")</f>
        <v>0</v>
      </c>
      <c r="Q1975" s="36"/>
      <c r="R1975" s="125" t="s">
        <v>678</v>
      </c>
      <c r="S1975" s="123">
        <f>IFERROR(INDEX(DATABASE_FG!$L$5:$L$367, MATCH(E1975, DATABASE_FG!$C$5:$C$367, 0)), " ")</f>
        <v>42</v>
      </c>
      <c r="T1975" s="36" t="s">
        <v>679</v>
      </c>
      <c r="U1975" s="36"/>
      <c r="V1975" s="36"/>
      <c r="W1975" s="129"/>
      <c r="X1975" s="36"/>
      <c r="Y1975" s="36"/>
      <c r="Z1975" s="36"/>
      <c r="AA1975" s="125" t="s">
        <v>121</v>
      </c>
      <c r="AB1975" s="173">
        <v>45852</v>
      </c>
      <c r="AC1975" s="119" t="s">
        <v>3337</v>
      </c>
      <c r="AD1975" s="36">
        <f t="shared" si="225"/>
        <v>5410716</v>
      </c>
      <c r="AE1975" s="36" t="str">
        <f t="shared" si="226"/>
        <v>TK.KWSE20-A-0038-WW1</v>
      </c>
      <c r="AF1975" s="36">
        <v>110</v>
      </c>
      <c r="AG1975" s="120">
        <f t="shared" si="224"/>
        <v>621.5</v>
      </c>
      <c r="AH1975" s="36"/>
      <c r="AI1975" s="124"/>
      <c r="AJ1975" s="122" t="s">
        <v>3338</v>
      </c>
      <c r="AK1975" s="129" t="str">
        <f t="shared" ca="1" si="228"/>
        <v>Late</v>
      </c>
      <c r="AL1975" s="268" t="str">
        <f t="shared" si="227"/>
        <v>June</v>
      </c>
      <c r="AM1975" s="133">
        <f>YEAR(Table1[[#This Row],[ETA
As requested
dd.mm.yyyy]])</f>
        <v>2025</v>
      </c>
    </row>
    <row r="1976" spans="1:40" hidden="1">
      <c r="A1976" s="123" t="s">
        <v>83</v>
      </c>
      <c r="B1976" s="36" t="s">
        <v>1170</v>
      </c>
      <c r="C1976" s="117">
        <v>5410716</v>
      </c>
      <c r="D1976" s="165">
        <v>45777</v>
      </c>
      <c r="E1976" s="117" t="s">
        <v>98</v>
      </c>
      <c r="F1976" s="36" t="str">
        <f>IFERROR(VLOOKUP(Table1[[#This Row],[Part Number]],DATABASE_FG!$C$6:D11965,2,FALSE)," ")</f>
        <v xml:space="preserve">094132526-8011 </v>
      </c>
      <c r="G1976" s="117" t="str">
        <f>IFERROR(_xlfn.XLOOKUP(Table1[[#This Row],[Part Number]],Table3[Part number],Table3[Drawing
 Revision]),"")</f>
        <v>AA</v>
      </c>
      <c r="H1976" s="118" cm="1">
        <f t="array" ref="H1976">IFERROR(INDEX(PDB!$C:$AT,MATCH(E1976,PDB!$B:$B,0),MATCH(YEAR(K1976),0+PDB!$C$1:$AT$1,0)),"")</f>
        <v>5.65</v>
      </c>
      <c r="I1976" s="36">
        <v>87</v>
      </c>
      <c r="J1976" s="125">
        <f>IFERROR(Table1[[#This Row],[Quantity]]*Table1[[#This Row],[Price/Unit
EUR]]," ")</f>
        <v>491.55</v>
      </c>
      <c r="K1976" s="126">
        <v>45835</v>
      </c>
      <c r="L1976" s="36">
        <f>WEEKNUM(Table1[[#This Row],[ETA
As requested
dd.mm.yyyy]])</f>
        <v>26</v>
      </c>
      <c r="M1976" s="36">
        <f>YEAR(Table1[[#This Row],[ETA
As requested
dd.mm.yyyy]])</f>
        <v>2025</v>
      </c>
      <c r="N1976" s="36">
        <f>IFERROR(INDEX(DATABASE_FG!$H$5:$H$367, MATCH(E1976, DATABASE_FG!$C$5:$C$367, 0)), " ")</f>
        <v>0</v>
      </c>
      <c r="O1976" s="129" t="str">
        <f>IF(E1976&lt;&gt;"", _xlfn.XLOOKUP(E1976, DATABASE_FG!C:C, DATABASE_FG!F:F), " ")</f>
        <v>Ghidaje</v>
      </c>
      <c r="P1976" s="129">
        <f>IFERROR(INDEX(DATABASE_FG!$G$5:$G$367, MATCH(E1976, DATABASE_FG!$C$5:$C$367, 0)), "Not Found")</f>
        <v>0</v>
      </c>
      <c r="Q1976" s="36"/>
      <c r="R1976" s="125" t="s">
        <v>678</v>
      </c>
      <c r="S1976" s="123">
        <f>IFERROR(INDEX(DATABASE_FG!$L$5:$L$367, MATCH(E1976, DATABASE_FG!$C$5:$C$367, 0)), " ")</f>
        <v>42</v>
      </c>
      <c r="T1976" s="36" t="s">
        <v>679</v>
      </c>
      <c r="U1976" s="36"/>
      <c r="V1976" s="36"/>
      <c r="W1976" s="129"/>
      <c r="X1976" s="36"/>
      <c r="Y1976" s="36"/>
      <c r="Z1976" s="36"/>
      <c r="AA1976" s="125" t="s">
        <v>121</v>
      </c>
      <c r="AB1976" s="173">
        <v>45853</v>
      </c>
      <c r="AC1976" s="119" t="s">
        <v>3339</v>
      </c>
      <c r="AD1976" s="36">
        <f t="shared" si="225"/>
        <v>5410716</v>
      </c>
      <c r="AE1976" s="36" t="str">
        <f t="shared" si="226"/>
        <v>TK.KWSE20-A-0038-WW1</v>
      </c>
      <c r="AF1976" s="36">
        <v>87</v>
      </c>
      <c r="AG1976" s="120">
        <f t="shared" si="224"/>
        <v>491.55</v>
      </c>
      <c r="AH1976" s="36"/>
      <c r="AI1976" s="124"/>
      <c r="AJ1976" s="122" t="s">
        <v>3340</v>
      </c>
      <c r="AK1976" s="129" t="str">
        <f t="shared" ca="1" si="228"/>
        <v>Late</v>
      </c>
      <c r="AL1976" s="268" t="str">
        <f t="shared" si="227"/>
        <v>June</v>
      </c>
      <c r="AM1976" s="133">
        <f>YEAR(Table1[[#This Row],[ETA
As requested
dd.mm.yyyy]])</f>
        <v>2025</v>
      </c>
    </row>
    <row r="1977" spans="1:40" hidden="1">
      <c r="A1977" s="123" t="s">
        <v>83</v>
      </c>
      <c r="B1977" s="36" t="s">
        <v>1170</v>
      </c>
      <c r="C1977" s="117">
        <v>5410716</v>
      </c>
      <c r="D1977" s="165">
        <v>45777</v>
      </c>
      <c r="E1977" s="117" t="s">
        <v>98</v>
      </c>
      <c r="F1977" s="36" t="str">
        <f>IFERROR(VLOOKUP(Table1[[#This Row],[Part Number]],DATABASE_FG!$C$6:D11966,2,FALSE)," ")</f>
        <v xml:space="preserve">094132526-8011 </v>
      </c>
      <c r="G1977" s="117" t="str">
        <f>IFERROR(_xlfn.XLOOKUP(Table1[[#This Row],[Part Number]],Table3[Part number],Table3[Drawing
 Revision]),"")</f>
        <v>AA</v>
      </c>
      <c r="H1977" s="118" cm="1">
        <f t="array" ref="H1977">IFERROR(INDEX(PDB!$C:$AT,MATCH(E1977,PDB!$B:$B,0),MATCH(YEAR(K1977),0+PDB!$C$1:$AT$1,0)),"")</f>
        <v>5.65</v>
      </c>
      <c r="I1977" s="36">
        <v>96</v>
      </c>
      <c r="J1977" s="125">
        <f>IFERROR(Table1[[#This Row],[Quantity]]*Table1[[#This Row],[Price/Unit
EUR]]," ")</f>
        <v>542.40000000000009</v>
      </c>
      <c r="K1977" s="126">
        <v>45835</v>
      </c>
      <c r="L1977" s="36">
        <f>WEEKNUM(Table1[[#This Row],[ETA
As requested
dd.mm.yyyy]])</f>
        <v>26</v>
      </c>
      <c r="M1977" s="36">
        <f>YEAR(Table1[[#This Row],[ETA
As requested
dd.mm.yyyy]])</f>
        <v>2025</v>
      </c>
      <c r="N1977" s="36">
        <f>IFERROR(INDEX(DATABASE_FG!$H$5:$H$367, MATCH(E1977, DATABASE_FG!$C$5:$C$367, 0)), " ")</f>
        <v>0</v>
      </c>
      <c r="O1977" s="129" t="str">
        <f>IF(E1977&lt;&gt;"", _xlfn.XLOOKUP(E1977, DATABASE_FG!C:C, DATABASE_FG!F:F), " ")</f>
        <v>Ghidaje</v>
      </c>
      <c r="P1977" s="129">
        <f>IFERROR(INDEX(DATABASE_FG!$G$5:$G$367, MATCH(E1977, DATABASE_FG!$C$5:$C$367, 0)), "Not Found")</f>
        <v>0</v>
      </c>
      <c r="Q1977" s="36"/>
      <c r="R1977" s="125" t="s">
        <v>678</v>
      </c>
      <c r="S1977" s="123">
        <f>IFERROR(INDEX(DATABASE_FG!$L$5:$L$367, MATCH(E1977, DATABASE_FG!$C$5:$C$367, 0)), " ")</f>
        <v>42</v>
      </c>
      <c r="T1977" s="36" t="s">
        <v>679</v>
      </c>
      <c r="U1977" s="36"/>
      <c r="V1977" s="36"/>
      <c r="W1977" s="129"/>
      <c r="X1977" s="36"/>
      <c r="Y1977" s="36"/>
      <c r="Z1977" s="36"/>
      <c r="AA1977" s="125" t="s">
        <v>121</v>
      </c>
      <c r="AB1977" s="173">
        <v>45854</v>
      </c>
      <c r="AC1977" s="119" t="s">
        <v>3341</v>
      </c>
      <c r="AD1977" s="36">
        <f t="shared" si="225"/>
        <v>5410716</v>
      </c>
      <c r="AE1977" s="36" t="str">
        <f t="shared" si="226"/>
        <v>TK.KWSE20-A-0038-WW1</v>
      </c>
      <c r="AF1977" s="36">
        <v>96</v>
      </c>
      <c r="AG1977" s="120">
        <f t="shared" si="224"/>
        <v>542.40000000000009</v>
      </c>
      <c r="AH1977" s="36"/>
      <c r="AI1977" s="124"/>
      <c r="AJ1977" s="122" t="s">
        <v>3342</v>
      </c>
      <c r="AK1977" s="129" t="str">
        <f t="shared" ca="1" si="228"/>
        <v>Late</v>
      </c>
      <c r="AL1977" s="268" t="str">
        <f t="shared" si="227"/>
        <v>June</v>
      </c>
      <c r="AM1977" s="133">
        <f>YEAR(Table1[[#This Row],[ETA
As requested
dd.mm.yyyy]])</f>
        <v>2025</v>
      </c>
    </row>
    <row r="1978" spans="1:40" hidden="1">
      <c r="A1978" s="123" t="s">
        <v>83</v>
      </c>
      <c r="B1978" s="36" t="s">
        <v>1170</v>
      </c>
      <c r="C1978" s="117">
        <v>5410716</v>
      </c>
      <c r="D1978" s="165">
        <v>45777</v>
      </c>
      <c r="E1978" s="117" t="s">
        <v>98</v>
      </c>
      <c r="F1978" s="36" t="str">
        <f>IFERROR(VLOOKUP(Table1[[#This Row],[Part Number]],DATABASE_FG!$C$6:D11967,2,FALSE)," ")</f>
        <v xml:space="preserve">094132526-8011 </v>
      </c>
      <c r="G1978" s="117" t="str">
        <f>IFERROR(_xlfn.XLOOKUP(Table1[[#This Row],[Part Number]],Table3[Part number],Table3[Drawing
 Revision]),"")</f>
        <v>AA</v>
      </c>
      <c r="H1978" s="118" cm="1">
        <f t="array" ref="H1978">IFERROR(INDEX(PDB!$C:$AT,MATCH(E1978,PDB!$B:$B,0),MATCH(YEAR(K1978),0+PDB!$C$1:$AT$1,0)),"")</f>
        <v>5.65</v>
      </c>
      <c r="I1978" s="36">
        <v>96</v>
      </c>
      <c r="J1978" s="125">
        <f>IFERROR(Table1[[#This Row],[Quantity]]*Table1[[#This Row],[Price/Unit
EUR]]," ")</f>
        <v>542.40000000000009</v>
      </c>
      <c r="K1978" s="126">
        <v>45835</v>
      </c>
      <c r="L1978" s="36">
        <f>WEEKNUM(Table1[[#This Row],[ETA
As requested
dd.mm.yyyy]])</f>
        <v>26</v>
      </c>
      <c r="M1978" s="36">
        <f>YEAR(Table1[[#This Row],[ETA
As requested
dd.mm.yyyy]])</f>
        <v>2025</v>
      </c>
      <c r="N1978" s="36">
        <f>IFERROR(INDEX(DATABASE_FG!$H$5:$H$367, MATCH(E1978, DATABASE_FG!$C$5:$C$367, 0)), " ")</f>
        <v>0</v>
      </c>
      <c r="O1978" s="129" t="str">
        <f>IF(E1978&lt;&gt;"", _xlfn.XLOOKUP(E1978, DATABASE_FG!C:C, DATABASE_FG!F:F), " ")</f>
        <v>Ghidaje</v>
      </c>
      <c r="P1978" s="129">
        <f>IFERROR(INDEX(DATABASE_FG!$G$5:$G$367, MATCH(E1978, DATABASE_FG!$C$5:$C$367, 0)), "Not Found")</f>
        <v>0</v>
      </c>
      <c r="Q1978" s="36"/>
      <c r="R1978" s="125" t="s">
        <v>678</v>
      </c>
      <c r="S1978" s="123">
        <f>IFERROR(INDEX(DATABASE_FG!$L$5:$L$367, MATCH(E1978, DATABASE_FG!$C$5:$C$367, 0)), " ")</f>
        <v>42</v>
      </c>
      <c r="T1978" s="36" t="s">
        <v>679</v>
      </c>
      <c r="U1978" s="36"/>
      <c r="V1978" s="36"/>
      <c r="W1978" s="129"/>
      <c r="X1978" s="36"/>
      <c r="Y1978" s="36"/>
      <c r="Z1978" s="36"/>
      <c r="AA1978" s="125" t="s">
        <v>121</v>
      </c>
      <c r="AB1978" s="173">
        <v>45856</v>
      </c>
      <c r="AC1978" s="119" t="s">
        <v>3343</v>
      </c>
      <c r="AD1978" s="36">
        <f t="shared" si="225"/>
        <v>5410716</v>
      </c>
      <c r="AE1978" s="36" t="str">
        <f t="shared" si="226"/>
        <v>TK.KWSE20-A-0038-WW1</v>
      </c>
      <c r="AF1978" s="36">
        <v>96</v>
      </c>
      <c r="AG1978" s="120">
        <f t="shared" si="224"/>
        <v>542.40000000000009</v>
      </c>
      <c r="AH1978" s="36"/>
      <c r="AI1978" s="124"/>
      <c r="AJ1978" s="122" t="s">
        <v>3344</v>
      </c>
      <c r="AK1978" s="129" t="str">
        <f t="shared" ca="1" si="228"/>
        <v>Late</v>
      </c>
      <c r="AL1978" s="268" t="str">
        <f t="shared" si="227"/>
        <v>June</v>
      </c>
      <c r="AM1978" s="133">
        <f>YEAR(Table1[[#This Row],[ETA
As requested
dd.mm.yyyy]])</f>
        <v>2025</v>
      </c>
    </row>
    <row r="1979" spans="1:40" hidden="1">
      <c r="A1979" s="123" t="s">
        <v>83</v>
      </c>
      <c r="B1979" s="36" t="s">
        <v>1170</v>
      </c>
      <c r="C1979" s="117">
        <v>5410716</v>
      </c>
      <c r="D1979" s="165">
        <v>45777</v>
      </c>
      <c r="E1979" s="117" t="s">
        <v>98</v>
      </c>
      <c r="F1979" s="36" t="str">
        <f>IFERROR(VLOOKUP(Table1[[#This Row],[Part Number]],DATABASE_FG!$C$6:D11968,2,FALSE)," ")</f>
        <v xml:space="preserve">094132526-8011 </v>
      </c>
      <c r="G1979" s="117" t="str">
        <f>IFERROR(_xlfn.XLOOKUP(Table1[[#This Row],[Part Number]],Table3[Part number],Table3[Drawing
 Revision]),"")</f>
        <v>AA</v>
      </c>
      <c r="H1979" s="118" cm="1">
        <f t="array" ref="H1979">IFERROR(INDEX(PDB!$C:$AT,MATCH(E1979,PDB!$B:$B,0),MATCH(YEAR(K1979),0+PDB!$C$1:$AT$1,0)),"")</f>
        <v>5.65</v>
      </c>
      <c r="I1979" s="36">
        <v>52</v>
      </c>
      <c r="J1979" s="125">
        <f>IFERROR(Table1[[#This Row],[Quantity]]*Table1[[#This Row],[Price/Unit
EUR]]," ")</f>
        <v>293.8</v>
      </c>
      <c r="K1979" s="126">
        <v>45835</v>
      </c>
      <c r="L1979" s="36">
        <f>WEEKNUM(Table1[[#This Row],[ETA
As requested
dd.mm.yyyy]])</f>
        <v>26</v>
      </c>
      <c r="M1979" s="36">
        <f>YEAR(Table1[[#This Row],[ETA
As requested
dd.mm.yyyy]])</f>
        <v>2025</v>
      </c>
      <c r="N1979" s="36">
        <f>IFERROR(INDEX(DATABASE_FG!$H$5:$H$367, MATCH(E1979, DATABASE_FG!$C$5:$C$367, 0)), " ")</f>
        <v>0</v>
      </c>
      <c r="O1979" s="129" t="str">
        <f>IF(E1979&lt;&gt;"", _xlfn.XLOOKUP(E1979, DATABASE_FG!C:C, DATABASE_FG!F:F), " ")</f>
        <v>Ghidaje</v>
      </c>
      <c r="P1979" s="129">
        <f>IFERROR(INDEX(DATABASE_FG!$G$5:$G$367, MATCH(E1979, DATABASE_FG!$C$5:$C$367, 0)), "Not Found")</f>
        <v>0</v>
      </c>
      <c r="Q1979" s="36"/>
      <c r="R1979" s="125" t="s">
        <v>678</v>
      </c>
      <c r="S1979" s="123">
        <f>IFERROR(INDEX(DATABASE_FG!$L$5:$L$367, MATCH(E1979, DATABASE_FG!$C$5:$C$367, 0)), " ")</f>
        <v>42</v>
      </c>
      <c r="T1979" s="36" t="s">
        <v>679</v>
      </c>
      <c r="U1979" s="36"/>
      <c r="V1979" s="36"/>
      <c r="W1979" s="129"/>
      <c r="X1979" s="36"/>
      <c r="Y1979" s="36"/>
      <c r="Z1979" s="36"/>
      <c r="AA1979" s="125" t="s">
        <v>121</v>
      </c>
      <c r="AB1979" s="173">
        <v>45856</v>
      </c>
      <c r="AC1979" s="119" t="s">
        <v>3345</v>
      </c>
      <c r="AD1979" s="36">
        <f t="shared" si="225"/>
        <v>5410716</v>
      </c>
      <c r="AE1979" s="36" t="str">
        <f t="shared" si="226"/>
        <v>TK.KWSE20-A-0038-WW1</v>
      </c>
      <c r="AF1979" s="36">
        <v>52</v>
      </c>
      <c r="AG1979" s="120">
        <f t="shared" ref="AG1979:AG2044" si="229">AF1979*H1979</f>
        <v>293.8</v>
      </c>
      <c r="AH1979" s="36"/>
      <c r="AI1979" s="124"/>
      <c r="AJ1979" s="122" t="s">
        <v>3346</v>
      </c>
      <c r="AK1979" s="129" t="str">
        <f t="shared" ca="1" si="228"/>
        <v>Late</v>
      </c>
      <c r="AL1979" s="268" t="str">
        <f t="shared" si="227"/>
        <v>June</v>
      </c>
      <c r="AM1979" s="133">
        <f>YEAR(Table1[[#This Row],[ETA
As requested
dd.mm.yyyy]])</f>
        <v>2025</v>
      </c>
    </row>
    <row r="1980" spans="1:40" hidden="1">
      <c r="A1980" s="123" t="s">
        <v>83</v>
      </c>
      <c r="B1980" s="36" t="s">
        <v>1170</v>
      </c>
      <c r="C1980" s="117">
        <v>5410716</v>
      </c>
      <c r="D1980" s="165">
        <v>45777</v>
      </c>
      <c r="E1980" s="117" t="s">
        <v>98</v>
      </c>
      <c r="F1980" s="36" t="str">
        <f>IFERROR(VLOOKUP(Table1[[#This Row],[Part Number]],DATABASE_FG!$C$6:D11969,2,FALSE)," ")</f>
        <v xml:space="preserve">094132526-8011 </v>
      </c>
      <c r="G1980" s="117" t="str">
        <f>IFERROR(_xlfn.XLOOKUP(Table1[[#This Row],[Part Number]],Table3[Part number],Table3[Drawing
 Revision]),"")</f>
        <v>AA</v>
      </c>
      <c r="H1980" s="118" cm="1">
        <f t="array" ref="H1980">IFERROR(INDEX(PDB!$C:$AT,MATCH(E1980,PDB!$B:$B,0),MATCH(YEAR(K1980),0+PDB!$C$1:$AT$1,0)),"")</f>
        <v>5.65</v>
      </c>
      <c r="I1980" s="36">
        <f>200+38-87-96-52+44</f>
        <v>47</v>
      </c>
      <c r="J1980" s="125">
        <f>IFERROR(Table1[[#This Row],[Quantity]]*Table1[[#This Row],[Price/Unit
EUR]]," ")</f>
        <v>265.55</v>
      </c>
      <c r="K1980" s="126">
        <v>45853</v>
      </c>
      <c r="L1980" s="36">
        <f>WEEKNUM(Table1[[#This Row],[ETA
As requested
dd.mm.yyyy]])</f>
        <v>29</v>
      </c>
      <c r="M1980" s="36">
        <f>YEAR(Table1[[#This Row],[ETA
As requested
dd.mm.yyyy]])</f>
        <v>2025</v>
      </c>
      <c r="N1980" s="36">
        <f>IFERROR(INDEX(DATABASE_FG!$H$5:$H$367, MATCH(E1980, DATABASE_FG!$C$5:$C$367, 0)), " ")</f>
        <v>0</v>
      </c>
      <c r="O1980" s="129" t="str">
        <f>IF(E1980&lt;&gt;"", _xlfn.XLOOKUP(E1980, DATABASE_FG!C:C, DATABASE_FG!F:F), " ")</f>
        <v>Ghidaje</v>
      </c>
      <c r="P1980" s="129">
        <f>IFERROR(INDEX(DATABASE_FG!$G$5:$G$367, MATCH(E1980, DATABASE_FG!$C$5:$C$367, 0)), "Not Found")</f>
        <v>0</v>
      </c>
      <c r="Q1980" s="36"/>
      <c r="R1980" s="125" t="s">
        <v>678</v>
      </c>
      <c r="S1980" s="123">
        <f>IFERROR(INDEX(DATABASE_FG!$L$5:$L$367, MATCH(E1980, DATABASE_FG!$C$5:$C$367, 0)), " ")</f>
        <v>42</v>
      </c>
      <c r="T1980" s="36" t="s">
        <v>679</v>
      </c>
      <c r="U1980" s="36"/>
      <c r="V1980" s="36"/>
      <c r="W1980" s="129"/>
      <c r="X1980" s="36"/>
      <c r="Y1980" s="36"/>
      <c r="Z1980" s="36"/>
      <c r="AA1980" s="125" t="s">
        <v>121</v>
      </c>
      <c r="AB1980" s="173">
        <v>45859</v>
      </c>
      <c r="AC1980" s="119" t="s">
        <v>3423</v>
      </c>
      <c r="AD1980" s="36">
        <f t="shared" si="225"/>
        <v>5410716</v>
      </c>
      <c r="AE1980" s="36" t="str">
        <f t="shared" si="226"/>
        <v>TK.KWSE20-A-0038-WW1</v>
      </c>
      <c r="AF1980" s="36">
        <v>47</v>
      </c>
      <c r="AG1980" s="120">
        <f t="shared" si="229"/>
        <v>265.55</v>
      </c>
      <c r="AH1980" s="36"/>
      <c r="AI1980" s="124"/>
      <c r="AJ1980" s="122" t="s">
        <v>3424</v>
      </c>
      <c r="AK1980" s="129" t="str">
        <f t="shared" ca="1" si="228"/>
        <v>Late</v>
      </c>
      <c r="AL1980" s="268" t="str">
        <f t="shared" si="227"/>
        <v>July</v>
      </c>
      <c r="AM1980" s="133">
        <f>YEAR(Table1[[#This Row],[ETA
As requested
dd.mm.yyyy]])</f>
        <v>2025</v>
      </c>
      <c r="AN1980" s="76"/>
    </row>
    <row r="1981" spans="1:40" hidden="1">
      <c r="A1981" s="123" t="s">
        <v>83</v>
      </c>
      <c r="B1981" s="36" t="s">
        <v>1170</v>
      </c>
      <c r="C1981" s="117">
        <v>5410716</v>
      </c>
      <c r="D1981" s="165">
        <v>45777</v>
      </c>
      <c r="E1981" s="117" t="s">
        <v>98</v>
      </c>
      <c r="F1981" s="36" t="str">
        <f>IFERROR(VLOOKUP(Table1[[#This Row],[Part Number]],DATABASE_FG!$C$6:D11970,2,FALSE)," ")</f>
        <v xml:space="preserve">094132526-8011 </v>
      </c>
      <c r="G1981" s="117" t="str">
        <f>IFERROR(_xlfn.XLOOKUP(Table1[[#This Row],[Part Number]],Table3[Part number],Table3[Drawing
 Revision]),"")</f>
        <v>AA</v>
      </c>
      <c r="H1981" s="118" cm="1">
        <f t="array" ref="H1981">IFERROR(INDEX(PDB!$C:$AT,MATCH(E1981,PDB!$B:$B,0),MATCH(YEAR(K1981),0+PDB!$C$1:$AT$1,0)),"")</f>
        <v>5.65</v>
      </c>
      <c r="I1981" s="36">
        <f>50-44+98</f>
        <v>104</v>
      </c>
      <c r="J1981" s="125">
        <f>IFERROR(Table1[[#This Row],[Quantity]]*Table1[[#This Row],[Price/Unit
EUR]]," ")</f>
        <v>587.6</v>
      </c>
      <c r="K1981" s="126">
        <v>45860</v>
      </c>
      <c r="L1981" s="36">
        <f>WEEKNUM(Table1[[#This Row],[ETA
As requested
dd.mm.yyyy]])</f>
        <v>30</v>
      </c>
      <c r="M1981" s="36">
        <f>YEAR(Table1[[#This Row],[ETA
As requested
dd.mm.yyyy]])</f>
        <v>2025</v>
      </c>
      <c r="N1981" s="36">
        <f>IFERROR(INDEX(DATABASE_FG!$H$5:$H$367, MATCH(E1981, DATABASE_FG!$C$5:$C$367, 0)), " ")</f>
        <v>0</v>
      </c>
      <c r="O1981" s="129" t="str">
        <f>IF(E1981&lt;&gt;"", _xlfn.XLOOKUP(E1981, DATABASE_FG!C:C, DATABASE_FG!F:F), " ")</f>
        <v>Ghidaje</v>
      </c>
      <c r="P1981" s="129">
        <f>IFERROR(INDEX(DATABASE_FG!$G$5:$G$367, MATCH(E1981, DATABASE_FG!$C$5:$C$367, 0)), "Not Found")</f>
        <v>0</v>
      </c>
      <c r="Q1981" s="36"/>
      <c r="R1981" s="125" t="s">
        <v>678</v>
      </c>
      <c r="S1981" s="123">
        <f>IFERROR(INDEX(DATABASE_FG!$L$5:$L$367, MATCH(E1981, DATABASE_FG!$C$5:$C$367, 0)), " ")</f>
        <v>42</v>
      </c>
      <c r="T1981" s="36" t="s">
        <v>679</v>
      </c>
      <c r="U1981" s="36"/>
      <c r="V1981" s="36"/>
      <c r="W1981" s="129"/>
      <c r="X1981" s="36"/>
      <c r="Y1981" s="36"/>
      <c r="Z1981" s="36"/>
      <c r="AA1981" s="125" t="s">
        <v>121</v>
      </c>
      <c r="AB1981" s="173">
        <v>45860</v>
      </c>
      <c r="AC1981" s="119" t="s">
        <v>3452</v>
      </c>
      <c r="AD1981" s="36">
        <f t="shared" si="225"/>
        <v>5410716</v>
      </c>
      <c r="AE1981" s="36" t="str">
        <f t="shared" si="226"/>
        <v>TK.KWSE20-A-0038-WW1</v>
      </c>
      <c r="AF1981" s="36">
        <v>104</v>
      </c>
      <c r="AG1981" s="120">
        <f t="shared" si="229"/>
        <v>587.6</v>
      </c>
      <c r="AH1981" s="36"/>
      <c r="AI1981" s="124"/>
      <c r="AJ1981" s="122" t="s">
        <v>3453</v>
      </c>
      <c r="AK1981" s="129" t="str">
        <f t="shared" ca="1" si="228"/>
        <v>On Time</v>
      </c>
      <c r="AL1981" s="268" t="str">
        <f t="shared" si="227"/>
        <v>July</v>
      </c>
      <c r="AM1981" s="133">
        <f>YEAR(Table1[[#This Row],[ETA
As requested
dd.mm.yyyy]])</f>
        <v>2025</v>
      </c>
    </row>
    <row r="1982" spans="1:40" hidden="1">
      <c r="A1982" s="123" t="s">
        <v>83</v>
      </c>
      <c r="B1982" s="36" t="s">
        <v>1170</v>
      </c>
      <c r="C1982" s="117">
        <v>5410716</v>
      </c>
      <c r="D1982" s="165">
        <v>45777</v>
      </c>
      <c r="E1982" s="117" t="s">
        <v>98</v>
      </c>
      <c r="F1982" s="36" t="str">
        <f>IFERROR(VLOOKUP(Table1[[#This Row],[Part Number]],DATABASE_FG!$C$6:D11971,2,FALSE)," ")</f>
        <v xml:space="preserve">094132526-8011 </v>
      </c>
      <c r="G1982" s="117" t="str">
        <f>IFERROR(_xlfn.XLOOKUP(Table1[[#This Row],[Part Number]],Table3[Part number],Table3[Drawing
 Revision]),"")</f>
        <v>AA</v>
      </c>
      <c r="H1982" s="118" cm="1">
        <f t="array" ref="H1982">IFERROR(INDEX(PDB!$C:$AT,MATCH(E1982,PDB!$B:$B,0),MATCH(YEAR(K1982),0+PDB!$C$1:$AT$1,0)),"")</f>
        <v>5.65</v>
      </c>
      <c r="I1982" s="36">
        <f>100-98+39</f>
        <v>41</v>
      </c>
      <c r="J1982" s="125">
        <f>IFERROR(Table1[[#This Row],[Quantity]]*Table1[[#This Row],[Price/Unit
EUR]]," ")</f>
        <v>231.65</v>
      </c>
      <c r="K1982" s="126">
        <v>45866</v>
      </c>
      <c r="L1982" s="36">
        <f>WEEKNUM(Table1[[#This Row],[ETA
As requested
dd.mm.yyyy]])</f>
        <v>31</v>
      </c>
      <c r="M1982" s="36">
        <f>YEAR(Table1[[#This Row],[ETA
As requested
dd.mm.yyyy]])</f>
        <v>2025</v>
      </c>
      <c r="N1982" s="36">
        <f>IFERROR(INDEX(DATABASE_FG!$H$5:$H$367, MATCH(E1982, DATABASE_FG!$C$5:$C$367, 0)), " ")</f>
        <v>0</v>
      </c>
      <c r="O1982" s="129" t="str">
        <f>IF(E1982&lt;&gt;"", _xlfn.XLOOKUP(E1982, DATABASE_FG!C:C, DATABASE_FG!F:F), " ")</f>
        <v>Ghidaje</v>
      </c>
      <c r="P1982" s="129">
        <f>IFERROR(INDEX(DATABASE_FG!$G$5:$G$367, MATCH(E1982, DATABASE_FG!$C$5:$C$367, 0)), "Not Found")</f>
        <v>0</v>
      </c>
      <c r="Q1982" s="36"/>
      <c r="R1982" s="125" t="s">
        <v>678</v>
      </c>
      <c r="S1982" s="123">
        <f>IFERROR(INDEX(DATABASE_FG!$L$5:$L$367, MATCH(E1982, DATABASE_FG!$C$5:$C$367, 0)), " ")</f>
        <v>42</v>
      </c>
      <c r="T1982" s="36" t="s">
        <v>679</v>
      </c>
      <c r="U1982" s="36"/>
      <c r="V1982" s="36"/>
      <c r="W1982" s="129"/>
      <c r="X1982" s="36"/>
      <c r="Y1982" s="36"/>
      <c r="Z1982" s="36"/>
      <c r="AA1982" s="125" t="s">
        <v>121</v>
      </c>
      <c r="AB1982" s="173">
        <v>45861</v>
      </c>
      <c r="AC1982" s="119" t="s">
        <v>3462</v>
      </c>
      <c r="AD1982" s="36">
        <f t="shared" si="225"/>
        <v>5410716</v>
      </c>
      <c r="AE1982" s="36" t="str">
        <f t="shared" si="226"/>
        <v>TK.KWSE20-A-0038-WW1</v>
      </c>
      <c r="AF1982" s="36">
        <v>41</v>
      </c>
      <c r="AG1982" s="120">
        <f t="shared" si="229"/>
        <v>231.65</v>
      </c>
      <c r="AH1982" s="36"/>
      <c r="AI1982" s="124"/>
      <c r="AJ1982" s="122" t="s">
        <v>3463</v>
      </c>
      <c r="AK1982" s="129" t="str">
        <f t="shared" ca="1" si="228"/>
        <v>On Time</v>
      </c>
      <c r="AL1982" s="268" t="str">
        <f t="shared" si="227"/>
        <v>July</v>
      </c>
      <c r="AM1982" s="133">
        <f>YEAR(Table1[[#This Row],[ETA
As requested
dd.mm.yyyy]])</f>
        <v>2025</v>
      </c>
    </row>
    <row r="1983" spans="1:40" hidden="1">
      <c r="A1983" s="123" t="s">
        <v>83</v>
      </c>
      <c r="B1983" s="36" t="s">
        <v>1170</v>
      </c>
      <c r="C1983" s="117">
        <v>5410716</v>
      </c>
      <c r="D1983" s="165">
        <v>45777</v>
      </c>
      <c r="E1983" s="117" t="s">
        <v>98</v>
      </c>
      <c r="F1983" s="36" t="str">
        <f>IFERROR(VLOOKUP(Table1[[#This Row],[Part Number]],DATABASE_FG!$C$6:D11972,2,FALSE)," ")</f>
        <v xml:space="preserve">094132526-8011 </v>
      </c>
      <c r="G1983" s="117" t="str">
        <f>IFERROR(_xlfn.XLOOKUP(Table1[[#This Row],[Part Number]],Table3[Part number],Table3[Drawing
 Revision]),"")</f>
        <v>AA</v>
      </c>
      <c r="H1983" s="118" cm="1">
        <f t="array" ref="H1983">IFERROR(INDEX(PDB!$C:$AT,MATCH(E1983,PDB!$B:$B,0),MATCH(YEAR(K1983),0+PDB!$C$1:$AT$1,0)),"")</f>
        <v>5.65</v>
      </c>
      <c r="I1983" s="36">
        <v>79</v>
      </c>
      <c r="J1983" s="125">
        <f>IFERROR(Table1[[#This Row],[Quantity]]*Table1[[#This Row],[Price/Unit
EUR]]," ")</f>
        <v>446.35</v>
      </c>
      <c r="K1983" s="126">
        <v>45869</v>
      </c>
      <c r="L1983" s="36">
        <f>WEEKNUM(Table1[[#This Row],[ETA
As requested
dd.mm.yyyy]])</f>
        <v>31</v>
      </c>
      <c r="M1983" s="36">
        <f>YEAR(Table1[[#This Row],[ETA
As requested
dd.mm.yyyy]])</f>
        <v>2025</v>
      </c>
      <c r="N1983" s="36">
        <f>IFERROR(INDEX(DATABASE_FG!$H$5:$H$367, MATCH(E1983, DATABASE_FG!$C$5:$C$367, 0)), " ")</f>
        <v>0</v>
      </c>
      <c r="O1983" s="129" t="str">
        <f>IF(E1983&lt;&gt;"", _xlfn.XLOOKUP(E1983, DATABASE_FG!C:C, DATABASE_FG!F:F), " ")</f>
        <v>Ghidaje</v>
      </c>
      <c r="P1983" s="129">
        <f>IFERROR(INDEX(DATABASE_FG!$G$5:$G$367, MATCH(E1983, DATABASE_FG!$C$5:$C$367, 0)), "Not Found")</f>
        <v>0</v>
      </c>
      <c r="Q1983" s="36"/>
      <c r="R1983" s="125" t="s">
        <v>678</v>
      </c>
      <c r="S1983" s="123">
        <f>IFERROR(INDEX(DATABASE_FG!$L$5:$L$367, MATCH(E1983, DATABASE_FG!$C$5:$C$367, 0)), " ")</f>
        <v>42</v>
      </c>
      <c r="T1983" s="36" t="s">
        <v>679</v>
      </c>
      <c r="U1983" s="36"/>
      <c r="V1983" s="36"/>
      <c r="W1983" s="129"/>
      <c r="X1983" s="36"/>
      <c r="Y1983" s="36"/>
      <c r="Z1983" s="36"/>
      <c r="AA1983" s="125" t="s">
        <v>121</v>
      </c>
      <c r="AB1983" s="173">
        <v>45862</v>
      </c>
      <c r="AC1983" s="119">
        <v>202549</v>
      </c>
      <c r="AD1983" s="36">
        <f t="shared" si="225"/>
        <v>5410716</v>
      </c>
      <c r="AE1983" s="36" t="str">
        <f t="shared" si="226"/>
        <v>TK.KWSE20-A-0038-WW1</v>
      </c>
      <c r="AF1983" s="36">
        <v>79</v>
      </c>
      <c r="AG1983" s="120">
        <f t="shared" si="229"/>
        <v>446.35</v>
      </c>
      <c r="AH1983" s="36"/>
      <c r="AI1983" s="124"/>
      <c r="AJ1983" s="122" t="s">
        <v>3488</v>
      </c>
      <c r="AK1983" s="129" t="str">
        <f t="shared" ca="1" si="228"/>
        <v>On Time</v>
      </c>
      <c r="AL1983" s="268" t="str">
        <f t="shared" si="227"/>
        <v>July</v>
      </c>
      <c r="AM1983" s="133">
        <f>YEAR(Table1[[#This Row],[ETA
As requested
dd.mm.yyyy]])</f>
        <v>2025</v>
      </c>
    </row>
    <row r="1984" spans="1:40" hidden="1">
      <c r="A1984" s="123" t="s">
        <v>83</v>
      </c>
      <c r="B1984" s="36" t="s">
        <v>1170</v>
      </c>
      <c r="C1984" s="117">
        <v>5410716</v>
      </c>
      <c r="D1984" s="165">
        <v>45777</v>
      </c>
      <c r="E1984" s="117" t="s">
        <v>98</v>
      </c>
      <c r="F1984" s="36" t="str">
        <f>IFERROR(VLOOKUP(Table1[[#This Row],[Part Number]],DATABASE_FG!$C$6:D11973,2,FALSE)," ")</f>
        <v xml:space="preserve">094132526-8011 </v>
      </c>
      <c r="G1984" s="117" t="str">
        <f>IFERROR(_xlfn.XLOOKUP(Table1[[#This Row],[Part Number]],Table3[Part number],Table3[Drawing
 Revision]),"")</f>
        <v>AA</v>
      </c>
      <c r="H1984" s="118" cm="1">
        <f t="array" ref="H1984">IFERROR(INDEX(PDB!$C:$AT,MATCH(E1984,PDB!$B:$B,0),MATCH(YEAR(K1984),0+PDB!$C$1:$AT$1,0)),"")</f>
        <v>5.65</v>
      </c>
      <c r="I1984" s="36">
        <v>125</v>
      </c>
      <c r="J1984" s="125">
        <f>IFERROR(Table1[[#This Row],[Quantity]]*Table1[[#This Row],[Price/Unit
EUR]]," ")</f>
        <v>706.25</v>
      </c>
      <c r="K1984" s="126">
        <v>45869</v>
      </c>
      <c r="L1984" s="36">
        <f>WEEKNUM(Table1[[#This Row],[ETA
As requested
dd.mm.yyyy]])</f>
        <v>31</v>
      </c>
      <c r="M1984" s="36">
        <f>YEAR(Table1[[#This Row],[ETA
As requested
dd.mm.yyyy]])</f>
        <v>2025</v>
      </c>
      <c r="N1984" s="36">
        <f>IFERROR(INDEX(DATABASE_FG!$H$5:$H$367, MATCH(E1984, DATABASE_FG!$C$5:$C$367, 0)), " ")</f>
        <v>0</v>
      </c>
      <c r="O1984" s="129" t="str">
        <f>IF(E1984&lt;&gt;"", _xlfn.XLOOKUP(E1984, DATABASE_FG!C:C, DATABASE_FG!F:F), " ")</f>
        <v>Ghidaje</v>
      </c>
      <c r="P1984" s="129">
        <f>IFERROR(INDEX(DATABASE_FG!$G$5:$G$367, MATCH(E1984, DATABASE_FG!$C$5:$C$367, 0)), "Not Found")</f>
        <v>0</v>
      </c>
      <c r="Q1984" s="36"/>
      <c r="R1984" s="125" t="s">
        <v>678</v>
      </c>
      <c r="S1984" s="123">
        <f>IFERROR(INDEX(DATABASE_FG!$L$5:$L$367, MATCH(E1984, DATABASE_FG!$C$5:$C$367, 0)), " ")</f>
        <v>42</v>
      </c>
      <c r="T1984" s="36" t="s">
        <v>679</v>
      </c>
      <c r="U1984" s="36"/>
      <c r="V1984" s="36"/>
      <c r="W1984" s="129"/>
      <c r="X1984" s="36"/>
      <c r="Y1984" s="36"/>
      <c r="Z1984" s="36"/>
      <c r="AA1984" s="125" t="s">
        <v>121</v>
      </c>
      <c r="AB1984" s="173">
        <v>45863</v>
      </c>
      <c r="AC1984" s="119">
        <v>202554</v>
      </c>
      <c r="AD1984" s="36">
        <f t="shared" si="225"/>
        <v>5410716</v>
      </c>
      <c r="AE1984" s="36" t="str">
        <f t="shared" si="226"/>
        <v>TK.KWSE20-A-0038-WW1</v>
      </c>
      <c r="AF1984" s="36">
        <v>125</v>
      </c>
      <c r="AG1984" s="120">
        <f t="shared" si="229"/>
        <v>706.25</v>
      </c>
      <c r="AH1984" s="36"/>
      <c r="AI1984" s="124"/>
      <c r="AJ1984" s="122" t="s">
        <v>3490</v>
      </c>
      <c r="AK1984" s="129" t="str">
        <f t="shared" ca="1" si="228"/>
        <v>On Time</v>
      </c>
      <c r="AL1984" s="268" t="str">
        <f t="shared" si="227"/>
        <v>July</v>
      </c>
      <c r="AM1984" s="133">
        <f>YEAR(Table1[[#This Row],[ETA
As requested
dd.mm.yyyy]])</f>
        <v>2025</v>
      </c>
    </row>
    <row r="1985" spans="1:40" hidden="1">
      <c r="A1985" s="123" t="s">
        <v>83</v>
      </c>
      <c r="B1985" s="36" t="s">
        <v>1170</v>
      </c>
      <c r="C1985" s="117">
        <v>5410716</v>
      </c>
      <c r="D1985" s="165">
        <v>45777</v>
      </c>
      <c r="E1985" s="117" t="s">
        <v>98</v>
      </c>
      <c r="F1985" s="36" t="str">
        <f>IFERROR(VLOOKUP(Table1[[#This Row],[Part Number]],DATABASE_FG!$C$6:D11974,2,FALSE)," ")</f>
        <v xml:space="preserve">094132526-8011 </v>
      </c>
      <c r="G1985" s="117" t="str">
        <f>IFERROR(_xlfn.XLOOKUP(Table1[[#This Row],[Part Number]],Table3[Part number],Table3[Drawing
 Revision]),"")</f>
        <v>AA</v>
      </c>
      <c r="H1985" s="118" cm="1">
        <f t="array" ref="H1985">IFERROR(INDEX(PDB!$C:$AT,MATCH(E1985,PDB!$B:$B,0),MATCH(YEAR(K1985),0+PDB!$C$1:$AT$1,0)),"")</f>
        <v>5.65</v>
      </c>
      <c r="I1985" s="36">
        <v>103</v>
      </c>
      <c r="J1985" s="125">
        <f>IFERROR(Table1[[#This Row],[Quantity]]*Table1[[#This Row],[Price/Unit
EUR]]," ")</f>
        <v>581.95000000000005</v>
      </c>
      <c r="K1985" s="126">
        <v>45888</v>
      </c>
      <c r="L1985" s="36">
        <f>WEEKNUM(Table1[[#This Row],[ETA
As requested
dd.mm.yyyy]])</f>
        <v>34</v>
      </c>
      <c r="M1985" s="36">
        <f>YEAR(Table1[[#This Row],[ETA
As requested
dd.mm.yyyy]])</f>
        <v>2025</v>
      </c>
      <c r="N1985" s="36">
        <f>IFERROR(INDEX(DATABASE_FG!$H$5:$H$367, MATCH(E1985, DATABASE_FG!$C$5:$C$367, 0)), " ")</f>
        <v>0</v>
      </c>
      <c r="O1985" s="129" t="str">
        <f>IF(E1985&lt;&gt;"", _xlfn.XLOOKUP(E1985, DATABASE_FG!C:C, DATABASE_FG!F:F), " ")</f>
        <v>Ghidaje</v>
      </c>
      <c r="P1985" s="129">
        <f>IFERROR(INDEX(DATABASE_FG!$G$5:$G$367, MATCH(E1985, DATABASE_FG!$C$5:$C$367, 0)), "Not Found")</f>
        <v>0</v>
      </c>
      <c r="Q1985" s="36"/>
      <c r="R1985" s="125" t="s">
        <v>678</v>
      </c>
      <c r="S1985" s="123">
        <f>IFERROR(INDEX(DATABASE_FG!$L$5:$L$367, MATCH(E1985, DATABASE_FG!$C$5:$C$367, 0)), " ")</f>
        <v>42</v>
      </c>
      <c r="T1985" s="36" t="s">
        <v>679</v>
      </c>
      <c r="U1985" s="36"/>
      <c r="V1985" s="36"/>
      <c r="W1985" s="129"/>
      <c r="X1985" s="36"/>
      <c r="Y1985" s="36"/>
      <c r="Z1985" s="36"/>
      <c r="AA1985" s="125" t="s">
        <v>121</v>
      </c>
      <c r="AB1985" s="173">
        <v>45897</v>
      </c>
      <c r="AC1985" s="119" t="s">
        <v>3586</v>
      </c>
      <c r="AD1985" s="36">
        <f t="shared" si="225"/>
        <v>5410716</v>
      </c>
      <c r="AE1985" s="36" t="str">
        <f t="shared" si="226"/>
        <v>TK.KWSE20-A-0038-WW1</v>
      </c>
      <c r="AF1985" s="36">
        <v>103</v>
      </c>
      <c r="AG1985" s="120">
        <f t="shared" si="229"/>
        <v>581.95000000000005</v>
      </c>
      <c r="AH1985" s="36"/>
      <c r="AI1985" s="124"/>
      <c r="AJ1985" s="122" t="s">
        <v>3587</v>
      </c>
      <c r="AK1985" s="129" t="str">
        <f t="shared" ca="1" si="228"/>
        <v>Late</v>
      </c>
      <c r="AL1985" s="268" t="str">
        <f t="shared" si="227"/>
        <v>August</v>
      </c>
      <c r="AM1985" s="133">
        <f>YEAR(Table1[[#This Row],[ETA
As requested
dd.mm.yyyy]])</f>
        <v>2025</v>
      </c>
    </row>
    <row r="1986" spans="1:40" hidden="1">
      <c r="A1986" s="123" t="s">
        <v>83</v>
      </c>
      <c r="B1986" s="36" t="s">
        <v>1170</v>
      </c>
      <c r="C1986" s="117">
        <v>5410716</v>
      </c>
      <c r="D1986" s="165">
        <v>45777</v>
      </c>
      <c r="E1986" s="117" t="s">
        <v>98</v>
      </c>
      <c r="F1986" s="36" t="str">
        <f>IFERROR(VLOOKUP(Table1[[#This Row],[Part Number]],DATABASE_FG!$C$6:D11975,2,FALSE)," ")</f>
        <v xml:space="preserve">094132526-8011 </v>
      </c>
      <c r="G1986" s="117" t="str">
        <f>IFERROR(_xlfn.XLOOKUP(Table1[[#This Row],[Part Number]],Table3[Part number],Table3[Drawing
 Revision]),"")</f>
        <v>AA</v>
      </c>
      <c r="H1986" s="118" cm="1">
        <f t="array" ref="H1986">IFERROR(INDEX(PDB!$C:$AT,MATCH(E1986,PDB!$B:$B,0),MATCH(YEAR(K1986),0+PDB!$C$1:$AT$1,0)),"")</f>
        <v>5.65</v>
      </c>
      <c r="I1986" s="36">
        <v>30</v>
      </c>
      <c r="J1986" s="125">
        <f>IFERROR(Table1[[#This Row],[Quantity]]*Table1[[#This Row],[Price/Unit
EUR]]," ")</f>
        <v>169.5</v>
      </c>
      <c r="K1986" s="126">
        <v>45891</v>
      </c>
      <c r="L1986" s="36">
        <f>WEEKNUM(Table1[[#This Row],[ETA
As requested
dd.mm.yyyy]])</f>
        <v>34</v>
      </c>
      <c r="M1986" s="36">
        <f>YEAR(Table1[[#This Row],[ETA
As requested
dd.mm.yyyy]])</f>
        <v>2025</v>
      </c>
      <c r="N1986" s="36">
        <f>IFERROR(INDEX(DATABASE_FG!$H$5:$H$367, MATCH(E1986, DATABASE_FG!$C$5:$C$367, 0)), " ")</f>
        <v>0</v>
      </c>
      <c r="O1986" s="129" t="str">
        <f>IF(E1986&lt;&gt;"", _xlfn.XLOOKUP(E1986, DATABASE_FG!C:C, DATABASE_FG!F:F), " ")</f>
        <v>Ghidaje</v>
      </c>
      <c r="P1986" s="129">
        <f>IFERROR(INDEX(DATABASE_FG!$G$5:$G$367, MATCH(E1986, DATABASE_FG!$C$5:$C$367, 0)), "Not Found")</f>
        <v>0</v>
      </c>
      <c r="Q1986" s="36"/>
      <c r="R1986" s="125" t="s">
        <v>678</v>
      </c>
      <c r="S1986" s="123">
        <f>IFERROR(INDEX(DATABASE_FG!$L$5:$L$367, MATCH(E1986, DATABASE_FG!$C$5:$C$367, 0)), " ")</f>
        <v>42</v>
      </c>
      <c r="T1986" s="36" t="s">
        <v>679</v>
      </c>
      <c r="U1986" s="36"/>
      <c r="V1986" s="36"/>
      <c r="W1986" s="129"/>
      <c r="X1986" s="36"/>
      <c r="Y1986" s="36"/>
      <c r="Z1986" s="36"/>
      <c r="AA1986" s="125" t="s">
        <v>121</v>
      </c>
      <c r="AB1986" s="173">
        <v>45897</v>
      </c>
      <c r="AC1986" s="119" t="s">
        <v>3586</v>
      </c>
      <c r="AD1986" s="36">
        <f t="shared" si="225"/>
        <v>5410716</v>
      </c>
      <c r="AE1986" s="36" t="str">
        <f t="shared" si="226"/>
        <v>TK.KWSE20-A-0038-WW1</v>
      </c>
      <c r="AF1986" s="36">
        <v>30</v>
      </c>
      <c r="AG1986" s="120">
        <f t="shared" si="229"/>
        <v>169.5</v>
      </c>
      <c r="AH1986" s="36"/>
      <c r="AI1986" s="124"/>
      <c r="AJ1986" s="122" t="s">
        <v>3587</v>
      </c>
      <c r="AK1986" s="129" t="str">
        <f t="shared" ca="1" si="228"/>
        <v>Late</v>
      </c>
      <c r="AL1986" s="268" t="str">
        <f t="shared" si="227"/>
        <v>August</v>
      </c>
      <c r="AM1986" s="133">
        <f>YEAR(Table1[[#This Row],[ETA
As requested
dd.mm.yyyy]])</f>
        <v>2025</v>
      </c>
    </row>
    <row r="1987" spans="1:40" hidden="1">
      <c r="A1987" s="123" t="s">
        <v>83</v>
      </c>
      <c r="B1987" s="36" t="s">
        <v>1170</v>
      </c>
      <c r="C1987" s="117">
        <v>5410716</v>
      </c>
      <c r="D1987" s="165">
        <v>45777</v>
      </c>
      <c r="E1987" s="117" t="s">
        <v>98</v>
      </c>
      <c r="F1987" s="36" t="str">
        <f>IFERROR(VLOOKUP(Table1[[#This Row],[Part Number]],DATABASE_FG!$C$6:D11976,2,FALSE)," ")</f>
        <v xml:space="preserve">094132526-8011 </v>
      </c>
      <c r="G1987" s="117" t="str">
        <f>IFERROR(_xlfn.XLOOKUP(Table1[[#This Row],[Part Number]],Table3[Part number],Table3[Drawing
 Revision]),"")</f>
        <v>AA</v>
      </c>
      <c r="H1987" s="118" cm="1">
        <f t="array" ref="H1987">IFERROR(INDEX(PDB!$C:$AT,MATCH(E1987,PDB!$B:$B,0),MATCH(YEAR(K1987),0+PDB!$C$1:$AT$1,0)),"")</f>
        <v>5.65</v>
      </c>
      <c r="I1987" s="36">
        <f>100-30</f>
        <v>70</v>
      </c>
      <c r="J1987" s="125">
        <f>IFERROR(Table1[[#This Row],[Quantity]]*Table1[[#This Row],[Price/Unit
EUR]]," ")</f>
        <v>395.5</v>
      </c>
      <c r="K1987" s="126">
        <v>45891</v>
      </c>
      <c r="L1987" s="36">
        <f>WEEKNUM(Table1[[#This Row],[ETA
As requested
dd.mm.yyyy]])</f>
        <v>34</v>
      </c>
      <c r="M1987" s="36">
        <f>YEAR(Table1[[#This Row],[ETA
As requested
dd.mm.yyyy]])</f>
        <v>2025</v>
      </c>
      <c r="N1987" s="36">
        <f>IFERROR(INDEX(DATABASE_FG!$H$5:$H$367, MATCH(E1987, DATABASE_FG!$C$5:$C$367, 0)), " ")</f>
        <v>0</v>
      </c>
      <c r="O1987" s="129" t="str">
        <f>IF(E1987&lt;&gt;"", _xlfn.XLOOKUP(E1987, DATABASE_FG!C:C, DATABASE_FG!F:F), " ")</f>
        <v>Ghidaje</v>
      </c>
      <c r="P1987" s="129">
        <f>IFERROR(INDEX(DATABASE_FG!$G$5:$G$367, MATCH(E1987, DATABASE_FG!$C$5:$C$367, 0)), "Not Found")</f>
        <v>0</v>
      </c>
      <c r="Q1987" s="36"/>
      <c r="R1987" s="125" t="s">
        <v>678</v>
      </c>
      <c r="S1987" s="123">
        <f>IFERROR(INDEX(DATABASE_FG!$L$5:$L$367, MATCH(E1987, DATABASE_FG!$C$5:$C$367, 0)), " ")</f>
        <v>42</v>
      </c>
      <c r="T1987" s="36" t="s">
        <v>679</v>
      </c>
      <c r="U1987" s="36"/>
      <c r="V1987" s="36"/>
      <c r="W1987" s="129"/>
      <c r="X1987" s="36"/>
      <c r="Y1987" s="36"/>
      <c r="Z1987" s="36"/>
      <c r="AA1987" s="125" t="s">
        <v>121</v>
      </c>
      <c r="AB1987" s="173">
        <v>45898</v>
      </c>
      <c r="AC1987" s="119" t="s">
        <v>3596</v>
      </c>
      <c r="AD1987" s="36">
        <f t="shared" si="225"/>
        <v>5410716</v>
      </c>
      <c r="AE1987" s="36" t="str">
        <f t="shared" si="226"/>
        <v>TK.KWSE20-A-0038-WW1</v>
      </c>
      <c r="AF1987" s="36">
        <v>70</v>
      </c>
      <c r="AG1987" s="120">
        <f t="shared" si="229"/>
        <v>395.5</v>
      </c>
      <c r="AH1987" s="36"/>
      <c r="AI1987" s="124"/>
      <c r="AJ1987" s="122" t="s">
        <v>3597</v>
      </c>
      <c r="AK1987" s="129" t="str">
        <f t="shared" ca="1" si="228"/>
        <v>Late</v>
      </c>
      <c r="AL1987" s="268" t="str">
        <f t="shared" si="227"/>
        <v>August</v>
      </c>
      <c r="AM1987" s="133">
        <f>YEAR(Table1[[#This Row],[ETA
As requested
dd.mm.yyyy]])</f>
        <v>2025</v>
      </c>
    </row>
    <row r="1988" spans="1:40" hidden="1">
      <c r="A1988" s="123" t="s">
        <v>83</v>
      </c>
      <c r="B1988" s="36" t="s">
        <v>1170</v>
      </c>
      <c r="C1988" s="117">
        <v>5410716</v>
      </c>
      <c r="D1988" s="165">
        <v>45777</v>
      </c>
      <c r="E1988" s="117" t="s">
        <v>98</v>
      </c>
      <c r="F1988" s="36" t="str">
        <f>IFERROR(VLOOKUP(Table1[[#This Row],[Part Number]],DATABASE_FG!$C$6:D11977,2,FALSE)," ")</f>
        <v xml:space="preserve">094132526-8011 </v>
      </c>
      <c r="G1988" s="117" t="str">
        <f>IFERROR(_xlfn.XLOOKUP(Table1[[#This Row],[Part Number]],Table3[Part number],Table3[Drawing
 Revision]),"")</f>
        <v>AA</v>
      </c>
      <c r="H1988" s="118" cm="1">
        <f t="array" ref="H1988">IFERROR(INDEX(PDB!$C:$AT,MATCH(E1988,PDB!$B:$B,0),MATCH(YEAR(K1988),0+PDB!$C$1:$AT$1,0)),"")</f>
        <v>5.65</v>
      </c>
      <c r="I1988" s="36">
        <v>50</v>
      </c>
      <c r="J1988" s="125">
        <f>IFERROR(Table1[[#This Row],[Quantity]]*Table1[[#This Row],[Price/Unit
EUR]]," ")</f>
        <v>282.5</v>
      </c>
      <c r="K1988" s="126">
        <v>45898</v>
      </c>
      <c r="L1988" s="36">
        <f>WEEKNUM(Table1[[#This Row],[ETA
As requested
dd.mm.yyyy]])</f>
        <v>35</v>
      </c>
      <c r="M1988" s="36">
        <f>YEAR(Table1[[#This Row],[ETA
As requested
dd.mm.yyyy]])</f>
        <v>2025</v>
      </c>
      <c r="N1988" s="36">
        <f>IFERROR(INDEX(DATABASE_FG!$H$5:$H$367, MATCH(E1988, DATABASE_FG!$C$5:$C$367, 0)), " ")</f>
        <v>0</v>
      </c>
      <c r="O1988" s="129" t="str">
        <f>IF(E1988&lt;&gt;"", _xlfn.XLOOKUP(E1988, DATABASE_FG!C:C, DATABASE_FG!F:F), " ")</f>
        <v>Ghidaje</v>
      </c>
      <c r="P1988" s="129">
        <f>IFERROR(INDEX(DATABASE_FG!$G$5:$G$367, MATCH(E1988, DATABASE_FG!$C$5:$C$367, 0)), "Not Found")</f>
        <v>0</v>
      </c>
      <c r="Q1988" s="36"/>
      <c r="R1988" s="125" t="s">
        <v>678</v>
      </c>
      <c r="S1988" s="123">
        <f>IFERROR(INDEX(DATABASE_FG!$L$5:$L$367, MATCH(E1988, DATABASE_FG!$C$5:$C$367, 0)), " ")</f>
        <v>42</v>
      </c>
      <c r="T1988" s="36" t="s">
        <v>679</v>
      </c>
      <c r="U1988" s="36"/>
      <c r="V1988" s="36"/>
      <c r="W1988" s="129"/>
      <c r="X1988" s="36"/>
      <c r="Y1988" s="36"/>
      <c r="Z1988" s="36"/>
      <c r="AA1988" s="125" t="s">
        <v>121</v>
      </c>
      <c r="AB1988" s="173">
        <v>45898</v>
      </c>
      <c r="AC1988" s="119" t="s">
        <v>3596</v>
      </c>
      <c r="AD1988" s="36">
        <f t="shared" si="225"/>
        <v>5410716</v>
      </c>
      <c r="AE1988" s="36" t="str">
        <f t="shared" si="226"/>
        <v>TK.KWSE20-A-0038-WW1</v>
      </c>
      <c r="AF1988" s="36">
        <v>50</v>
      </c>
      <c r="AG1988" s="120">
        <f t="shared" si="229"/>
        <v>282.5</v>
      </c>
      <c r="AH1988" s="36"/>
      <c r="AI1988" s="124"/>
      <c r="AJ1988" s="122" t="s">
        <v>3597</v>
      </c>
      <c r="AK1988" s="129" t="str">
        <f t="shared" ca="1" si="228"/>
        <v>On Time</v>
      </c>
      <c r="AL1988" s="268" t="str">
        <f t="shared" si="227"/>
        <v>August</v>
      </c>
      <c r="AM1988" s="133">
        <f>YEAR(Table1[[#This Row],[ETA
As requested
dd.mm.yyyy]])</f>
        <v>2025</v>
      </c>
    </row>
    <row r="1989" spans="1:40" hidden="1">
      <c r="A1989" s="123" t="s">
        <v>83</v>
      </c>
      <c r="B1989" s="36" t="s">
        <v>1170</v>
      </c>
      <c r="C1989" s="117">
        <v>5410716</v>
      </c>
      <c r="D1989" s="165">
        <v>45777</v>
      </c>
      <c r="E1989" s="117" t="s">
        <v>98</v>
      </c>
      <c r="F1989" s="36" t="str">
        <f>IFERROR(VLOOKUP(Table1[[#This Row],[Part Number]],DATABASE_FG!$C$6:D11978,2,FALSE)," ")</f>
        <v xml:space="preserve">094132526-8011 </v>
      </c>
      <c r="G1989" s="117" t="str">
        <f>IFERROR(_xlfn.XLOOKUP(Table1[[#This Row],[Part Number]],Table3[Part number],Table3[Drawing
 Revision]),"")</f>
        <v>AA</v>
      </c>
      <c r="H1989" s="118" cm="1">
        <f t="array" ref="H1989">IFERROR(INDEX(PDB!$C:$AT,MATCH(E1989,PDB!$B:$B,0),MATCH(YEAR(K1989),0+PDB!$C$1:$AT$1,0)),"")</f>
        <v>5.65</v>
      </c>
      <c r="I1989" s="36">
        <v>96</v>
      </c>
      <c r="J1989" s="125">
        <f>IFERROR(Table1[[#This Row],[Quantity]]*Table1[[#This Row],[Price/Unit
EUR]]," ")</f>
        <v>542.40000000000009</v>
      </c>
      <c r="K1989" s="126">
        <v>45898</v>
      </c>
      <c r="L1989" s="36">
        <f>WEEKNUM(Table1[[#This Row],[ETA
As requested
dd.mm.yyyy]])</f>
        <v>35</v>
      </c>
      <c r="M1989" s="36">
        <f>YEAR(Table1[[#This Row],[ETA
As requested
dd.mm.yyyy]])</f>
        <v>2025</v>
      </c>
      <c r="N1989" s="36">
        <f>IFERROR(INDEX(DATABASE_FG!$H$5:$H$367, MATCH(E1989, DATABASE_FG!$C$5:$C$367, 0)), " ")</f>
        <v>0</v>
      </c>
      <c r="O1989" s="129" t="str">
        <f>IF(E1989&lt;&gt;"", _xlfn.XLOOKUP(E1989, DATABASE_FG!C:C, DATABASE_FG!F:F), " ")</f>
        <v>Ghidaje</v>
      </c>
      <c r="P1989" s="129">
        <f>IFERROR(INDEX(DATABASE_FG!$G$5:$G$367, MATCH(E1989, DATABASE_FG!$C$5:$C$367, 0)), "Not Found")</f>
        <v>0</v>
      </c>
      <c r="Q1989" s="36"/>
      <c r="R1989" s="125" t="s">
        <v>678</v>
      </c>
      <c r="S1989" s="123">
        <f>IFERROR(INDEX(DATABASE_FG!$L$5:$L$367, MATCH(E1989, DATABASE_FG!$C$5:$C$367, 0)), " ")</f>
        <v>42</v>
      </c>
      <c r="T1989" s="36" t="s">
        <v>679</v>
      </c>
      <c r="U1989" s="36"/>
      <c r="V1989" s="36"/>
      <c r="W1989" s="129"/>
      <c r="X1989" s="36"/>
      <c r="Y1989" s="36"/>
      <c r="Z1989" s="36"/>
      <c r="AA1989" s="125" t="s">
        <v>121</v>
      </c>
      <c r="AB1989" s="173">
        <v>45902</v>
      </c>
      <c r="AC1989" s="119" t="s">
        <v>3627</v>
      </c>
      <c r="AD1989" s="36">
        <f t="shared" si="225"/>
        <v>5410716</v>
      </c>
      <c r="AE1989" s="36" t="str">
        <f t="shared" si="226"/>
        <v>TK.KWSE20-A-0038-WW1</v>
      </c>
      <c r="AF1989" s="36">
        <v>96</v>
      </c>
      <c r="AG1989" s="120">
        <f t="shared" si="229"/>
        <v>542.40000000000009</v>
      </c>
      <c r="AH1989" s="36"/>
      <c r="AI1989" s="124"/>
      <c r="AJ1989" s="122" t="s">
        <v>3628</v>
      </c>
      <c r="AK1989" s="129" t="str">
        <f t="shared" ca="1" si="228"/>
        <v>Late</v>
      </c>
      <c r="AL1989" s="268" t="str">
        <f t="shared" si="227"/>
        <v>August</v>
      </c>
      <c r="AM1989" s="133">
        <f>YEAR(Table1[[#This Row],[ETA
As requested
dd.mm.yyyy]])</f>
        <v>2025</v>
      </c>
    </row>
    <row r="1990" spans="1:40" hidden="1">
      <c r="A1990" s="208" t="s">
        <v>83</v>
      </c>
      <c r="B1990" s="207" t="s">
        <v>1170</v>
      </c>
      <c r="C1990" s="210">
        <v>50087710</v>
      </c>
      <c r="D1990" s="209">
        <v>45897</v>
      </c>
      <c r="E1990" s="210" t="s">
        <v>98</v>
      </c>
      <c r="F1990" s="36" t="str">
        <f>IFERROR(VLOOKUP(Table1[[#This Row],[Part Number]],DATABASE_FG!$C$6:D11979,2,FALSE)," ")</f>
        <v xml:space="preserve">094132526-8011 </v>
      </c>
      <c r="G1990" s="117" t="str">
        <f>IFERROR(_xlfn.XLOOKUP(Table1[[#This Row],[Part Number]],Table3[Part number],Table3[Drawing
 Revision]),"")</f>
        <v>AA</v>
      </c>
      <c r="H1990" s="118" cm="1">
        <f t="array" ref="H1990">IFERROR(INDEX(PDB!$C:$AT,MATCH(E1990,PDB!$B:$B,0),MATCH(YEAR(K1990),0+PDB!$C$1:$AT$1,0)),"")</f>
        <v>5.65</v>
      </c>
      <c r="I1990" s="207">
        <v>96</v>
      </c>
      <c r="J1990" s="211">
        <f>IFERROR(Table1[[#This Row],[Quantity]]*Table1[[#This Row],[Price/Unit
EUR]]," ")</f>
        <v>542.40000000000009</v>
      </c>
      <c r="K1990" s="212">
        <v>45919</v>
      </c>
      <c r="L1990" s="207">
        <f>WEEKNUM(Table1[[#This Row],[ETA
As requested
dd.mm.yyyy]])</f>
        <v>38</v>
      </c>
      <c r="M1990" s="207">
        <f>YEAR(Table1[[#This Row],[ETA
As requested
dd.mm.yyyy]])</f>
        <v>2025</v>
      </c>
      <c r="N1990" s="36">
        <f>IFERROR(INDEX(DATABASE_FG!$H$5:$H$367, MATCH(E1990, DATABASE_FG!$C$5:$C$367, 0)), " ")</f>
        <v>0</v>
      </c>
      <c r="O1990" s="213" t="str">
        <f>IF(E1990&lt;&gt;"", _xlfn.XLOOKUP(E1990, DATABASE_FG!C:C, DATABASE_FG!F:F), " ")</f>
        <v>Ghidaje</v>
      </c>
      <c r="P1990" s="129">
        <f>IFERROR(INDEX(DATABASE_FG!$G$5:$G$367, MATCH(E1990, DATABASE_FG!$C$5:$C$367, 0)), "Not Found")</f>
        <v>0</v>
      </c>
      <c r="Q1990" s="207"/>
      <c r="R1990" s="211" t="s">
        <v>678</v>
      </c>
      <c r="S1990" s="123">
        <f>IFERROR(INDEX(DATABASE_FG!$L$5:$L$367, MATCH(E1990, DATABASE_FG!$C$5:$C$367, 0)), " ")</f>
        <v>42</v>
      </c>
      <c r="T1990" s="207" t="s">
        <v>679</v>
      </c>
      <c r="U1990" s="207"/>
      <c r="V1990" s="207"/>
      <c r="W1990" s="213"/>
      <c r="X1990" s="207"/>
      <c r="Y1990" s="36"/>
      <c r="Z1990" s="36"/>
      <c r="AA1990" s="125" t="s">
        <v>121</v>
      </c>
      <c r="AB1990" s="173">
        <v>45908</v>
      </c>
      <c r="AC1990" s="226" t="s">
        <v>3702</v>
      </c>
      <c r="AD1990" s="36">
        <f t="shared" si="225"/>
        <v>50087710</v>
      </c>
      <c r="AE1990" s="36" t="str">
        <f t="shared" si="226"/>
        <v>TK.KWSE20-A-0038-WW1</v>
      </c>
      <c r="AF1990" s="36">
        <v>96</v>
      </c>
      <c r="AG1990" s="120">
        <f t="shared" si="229"/>
        <v>542.40000000000009</v>
      </c>
      <c r="AH1990" s="36"/>
      <c r="AI1990" s="124"/>
      <c r="AJ1990" s="122" t="s">
        <v>3703</v>
      </c>
      <c r="AK1990" s="129" t="str">
        <f t="shared" ca="1" si="228"/>
        <v>On Time</v>
      </c>
      <c r="AL1990" s="268" t="str">
        <f t="shared" si="227"/>
        <v>September</v>
      </c>
      <c r="AM1990" s="133">
        <f>YEAR(Table1[[#This Row],[ETA
As requested
dd.mm.yyyy]])</f>
        <v>2025</v>
      </c>
    </row>
    <row r="1991" spans="1:40" hidden="1">
      <c r="A1991" s="208" t="s">
        <v>83</v>
      </c>
      <c r="B1991" s="207" t="s">
        <v>1170</v>
      </c>
      <c r="C1991" s="210">
        <v>50087710</v>
      </c>
      <c r="D1991" s="209">
        <v>45897</v>
      </c>
      <c r="E1991" s="210" t="s">
        <v>98</v>
      </c>
      <c r="F1991" s="36" t="str">
        <f>IFERROR(VLOOKUP(Table1[[#This Row],[Part Number]],DATABASE_FG!$C$6:D11980,2,FALSE)," ")</f>
        <v xml:space="preserve">094132526-8011 </v>
      </c>
      <c r="G1991" s="117" t="str">
        <f>IFERROR(_xlfn.XLOOKUP(Table1[[#This Row],[Part Number]],Table3[Part number],Table3[Drawing
 Revision]),"")</f>
        <v>AA</v>
      </c>
      <c r="H1991" s="118" cm="1">
        <f t="array" ref="H1991">IFERROR(INDEX(PDB!$C:$AT,MATCH(E1991,PDB!$B:$B,0),MATCH(YEAR(K1991),0+PDB!$C$1:$AT$1,0)),"")</f>
        <v>5.65</v>
      </c>
      <c r="I1991" s="207">
        <v>172</v>
      </c>
      <c r="J1991" s="211">
        <f>IFERROR(Table1[[#This Row],[Quantity]]*Table1[[#This Row],[Price/Unit
EUR]]," ")</f>
        <v>971.80000000000007</v>
      </c>
      <c r="K1991" s="212">
        <v>45919</v>
      </c>
      <c r="L1991" s="207">
        <f>WEEKNUM(Table1[[#This Row],[ETA
As requested
dd.mm.yyyy]])</f>
        <v>38</v>
      </c>
      <c r="M1991" s="207">
        <f>YEAR(Table1[[#This Row],[ETA
As requested
dd.mm.yyyy]])</f>
        <v>2025</v>
      </c>
      <c r="N1991" s="36">
        <f>IFERROR(INDEX(DATABASE_FG!$H$5:$H$367, MATCH(E1991, DATABASE_FG!$C$5:$C$367, 0)), " ")</f>
        <v>0</v>
      </c>
      <c r="O1991" s="213" t="str">
        <f>IF(E1991&lt;&gt;"", _xlfn.XLOOKUP(E1991, DATABASE_FG!C:C, DATABASE_FG!F:F), " ")</f>
        <v>Ghidaje</v>
      </c>
      <c r="P1991" s="129">
        <f>IFERROR(INDEX(DATABASE_FG!$G$5:$G$367, MATCH(E1991, DATABASE_FG!$C$5:$C$367, 0)), "Not Found")</f>
        <v>0</v>
      </c>
      <c r="Q1991" s="207"/>
      <c r="R1991" s="211" t="s">
        <v>678</v>
      </c>
      <c r="S1991" s="123">
        <f>IFERROR(INDEX(DATABASE_FG!$L$5:$L$367, MATCH(E1991, DATABASE_FG!$C$5:$C$367, 0)), " ")</f>
        <v>42</v>
      </c>
      <c r="T1991" s="207"/>
      <c r="U1991" s="207"/>
      <c r="V1991" s="207"/>
      <c r="W1991" s="213"/>
      <c r="X1991" s="207"/>
      <c r="Y1991" s="36"/>
      <c r="Z1991" s="36"/>
      <c r="AA1991" s="125" t="s">
        <v>121</v>
      </c>
      <c r="AB1991" s="173">
        <v>45909</v>
      </c>
      <c r="AC1991" s="226">
        <v>2025167</v>
      </c>
      <c r="AD1991" s="36">
        <f t="shared" si="225"/>
        <v>50087710</v>
      </c>
      <c r="AE1991" s="36" t="str">
        <f t="shared" si="226"/>
        <v>TK.KWSE20-A-0038-WW1</v>
      </c>
      <c r="AF1991" s="36">
        <v>172</v>
      </c>
      <c r="AG1991" s="120">
        <f t="shared" si="229"/>
        <v>971.80000000000007</v>
      </c>
      <c r="AH1991" s="36"/>
      <c r="AI1991" s="124"/>
      <c r="AJ1991" s="122" t="s">
        <v>3704</v>
      </c>
      <c r="AK1991" s="129" t="str">
        <f t="shared" ca="1" si="228"/>
        <v>On Time</v>
      </c>
      <c r="AL1991" s="268" t="str">
        <f t="shared" si="227"/>
        <v>September</v>
      </c>
      <c r="AM1991" s="133">
        <f>YEAR(Table1[[#This Row],[ETA
As requested
dd.mm.yyyy]])</f>
        <v>2025</v>
      </c>
    </row>
    <row r="1992" spans="1:40" hidden="1">
      <c r="A1992" s="123" t="s">
        <v>83</v>
      </c>
      <c r="B1992" s="36" t="s">
        <v>1170</v>
      </c>
      <c r="C1992" s="117">
        <v>5410716</v>
      </c>
      <c r="D1992" s="165">
        <v>45777</v>
      </c>
      <c r="E1992" s="117" t="s">
        <v>98</v>
      </c>
      <c r="F1992" s="36" t="str">
        <f>IFERROR(VLOOKUP(Table1[[#This Row],[Part Number]],DATABASE_FG!$C$6:D11981,2,FALSE)," ")</f>
        <v xml:space="preserve">094132526-8011 </v>
      </c>
      <c r="G1992" s="117" t="str">
        <f>IFERROR(_xlfn.XLOOKUP(Table1[[#This Row],[Part Number]],Table3[Part number],Table3[Drawing
 Revision]),"")</f>
        <v>AA</v>
      </c>
      <c r="H1992" s="118" cm="1">
        <f t="array" ref="H1992">IFERROR(INDEX(PDB!$C:$AT,MATCH(E1992,PDB!$B:$B,0),MATCH(YEAR(K1992),0+PDB!$C$1:$AT$1,0)),"")</f>
        <v>5.65</v>
      </c>
      <c r="I1992" s="36">
        <f>700-103-30-70-50-47-96-172-81</f>
        <v>51</v>
      </c>
      <c r="J1992" s="125">
        <f>IFERROR(Table1[[#This Row],[Quantity]]*Table1[[#This Row],[Price/Unit
EUR]]," ")</f>
        <v>288.15000000000003</v>
      </c>
      <c r="K1992" s="126">
        <v>45919</v>
      </c>
      <c r="L1992" s="36">
        <f>WEEKNUM(Table1[[#This Row],[ETA
As requested
dd.mm.yyyy]])</f>
        <v>38</v>
      </c>
      <c r="M1992" s="36">
        <f>YEAR(Table1[[#This Row],[ETA
As requested
dd.mm.yyyy]])</f>
        <v>2025</v>
      </c>
      <c r="N1992" s="36">
        <f>IFERROR(INDEX(DATABASE_FG!$H$5:$H$367, MATCH(E1992, DATABASE_FG!$C$5:$C$367, 0)), " ")</f>
        <v>0</v>
      </c>
      <c r="O1992" s="129" t="str">
        <f>IF(E1992&lt;&gt;"", _xlfn.XLOOKUP(E1992, DATABASE_FG!C:C, DATABASE_FG!F:F), " ")</f>
        <v>Ghidaje</v>
      </c>
      <c r="P1992" s="129">
        <f>IFERROR(INDEX(DATABASE_FG!$G$5:$G$367, MATCH(E1992, DATABASE_FG!$C$5:$C$367, 0)), "Not Found")</f>
        <v>0</v>
      </c>
      <c r="Q1992" s="36"/>
      <c r="R1992" s="125" t="s">
        <v>678</v>
      </c>
      <c r="S1992" s="123">
        <f>IFERROR(INDEX(DATABASE_FG!$L$5:$L$367, MATCH(E1992, DATABASE_FG!$C$5:$C$367, 0)), " ")</f>
        <v>42</v>
      </c>
      <c r="T1992" s="36" t="s">
        <v>679</v>
      </c>
      <c r="U1992" s="36"/>
      <c r="V1992" s="36"/>
      <c r="W1992" s="129"/>
      <c r="X1992" s="36"/>
      <c r="Y1992" s="36"/>
      <c r="Z1992" s="36"/>
      <c r="AA1992" s="125" t="s">
        <v>121</v>
      </c>
      <c r="AB1992" s="173">
        <v>45946</v>
      </c>
      <c r="AC1992" s="119" t="s">
        <v>4349</v>
      </c>
      <c r="AD1992" s="36">
        <f t="shared" ref="AD1992:AD2057" si="230">IF(NOT(ISBLANK(AC1992)), C1992, "")</f>
        <v>5410716</v>
      </c>
      <c r="AE1992" s="36" t="str">
        <f t="shared" si="226"/>
        <v>TK.KWSE20-A-0038-WW1</v>
      </c>
      <c r="AF1992" s="36">
        <v>51</v>
      </c>
      <c r="AG1992" s="120">
        <f t="shared" si="229"/>
        <v>288.15000000000003</v>
      </c>
      <c r="AH1992" s="36"/>
      <c r="AI1992" s="124"/>
      <c r="AJ1992" s="122" t="s">
        <v>4369</v>
      </c>
      <c r="AK1992" s="129" t="str">
        <f t="shared" ca="1" si="228"/>
        <v>Late</v>
      </c>
      <c r="AL1992" s="268" t="str">
        <f t="shared" si="227"/>
        <v>September</v>
      </c>
      <c r="AM1992" s="133">
        <f>YEAR(Table1[[#This Row],[ETA
As requested
dd.mm.yyyy]])</f>
        <v>2025</v>
      </c>
    </row>
    <row r="1993" spans="1:40" hidden="1">
      <c r="A1993" s="208" t="s">
        <v>83</v>
      </c>
      <c r="B1993" s="207" t="s">
        <v>1170</v>
      </c>
      <c r="C1993" s="210">
        <v>50087710</v>
      </c>
      <c r="D1993" s="209">
        <v>45897</v>
      </c>
      <c r="E1993" s="210" t="s">
        <v>98</v>
      </c>
      <c r="F1993" s="36" t="str">
        <f>IFERROR(VLOOKUP(Table1[[#This Row],[Part Number]],DATABASE_FG!$C$6:D11982,2,FALSE)," ")</f>
        <v xml:space="preserve">094132526-8011 </v>
      </c>
      <c r="G1993" s="117" t="str">
        <f>IFERROR(_xlfn.XLOOKUP(Table1[[#This Row],[Part Number]],Table3[Part number],Table3[Drawing
 Revision]),"")</f>
        <v>AA</v>
      </c>
      <c r="H1993" s="118" cm="1">
        <f t="array" ref="H1993">IFERROR(INDEX(PDB!$C:$AT,MATCH(E1993,PDB!$B:$B,0),MATCH(YEAR(K1993),0+PDB!$C$1:$AT$1,0)),"")</f>
        <v>5.65</v>
      </c>
      <c r="I1993" s="207">
        <f>300-96-172</f>
        <v>32</v>
      </c>
      <c r="J1993" s="211">
        <f>IFERROR(Table1[[#This Row],[Quantity]]*Table1[[#This Row],[Price/Unit
EUR]]," ")</f>
        <v>180.8</v>
      </c>
      <c r="K1993" s="212">
        <v>45919</v>
      </c>
      <c r="L1993" s="207">
        <f>WEEKNUM(Table1[[#This Row],[ETA
As requested
dd.mm.yyyy]])</f>
        <v>38</v>
      </c>
      <c r="M1993" s="207">
        <f>YEAR(Table1[[#This Row],[ETA
As requested
dd.mm.yyyy]])</f>
        <v>2025</v>
      </c>
      <c r="N1993" s="36">
        <f>IFERROR(INDEX(DATABASE_FG!$H$5:$H$367, MATCH(E1993, DATABASE_FG!$C$5:$C$367, 0)), " ")</f>
        <v>0</v>
      </c>
      <c r="O1993" s="213" t="str">
        <f>IF(E1993&lt;&gt;"", _xlfn.XLOOKUP(E1993, DATABASE_FG!C:C, DATABASE_FG!F:F), " ")</f>
        <v>Ghidaje</v>
      </c>
      <c r="P1993" s="129">
        <f>IFERROR(INDEX(DATABASE_FG!$G$5:$G$367, MATCH(E1993, DATABASE_FG!$C$5:$C$367, 0)), "Not Found")</f>
        <v>0</v>
      </c>
      <c r="Q1993" s="207"/>
      <c r="R1993" s="211" t="s">
        <v>678</v>
      </c>
      <c r="S1993" s="123">
        <f>IFERROR(INDEX(DATABASE_FG!$L$5:$L$367, MATCH(E1993, DATABASE_FG!$C$5:$C$367, 0)), " ")</f>
        <v>42</v>
      </c>
      <c r="T1993" s="207" t="s">
        <v>679</v>
      </c>
      <c r="U1993" s="207"/>
      <c r="V1993" s="207"/>
      <c r="W1993" s="213"/>
      <c r="X1993" s="207"/>
      <c r="Y1993" s="207"/>
      <c r="Z1993" s="207"/>
      <c r="AA1993" s="211" t="s">
        <v>121</v>
      </c>
      <c r="AB1993" s="173">
        <v>45946</v>
      </c>
      <c r="AC1993" s="119" t="s">
        <v>4349</v>
      </c>
      <c r="AD1993" s="207">
        <f t="shared" si="230"/>
        <v>50087710</v>
      </c>
      <c r="AE1993" s="207" t="str">
        <f t="shared" si="226"/>
        <v>TK.KWSE20-A-0038-WW1</v>
      </c>
      <c r="AF1993" s="207">
        <v>32</v>
      </c>
      <c r="AG1993" s="248">
        <f t="shared" si="229"/>
        <v>180.8</v>
      </c>
      <c r="AH1993" s="207"/>
      <c r="AI1993" s="215" t="s">
        <v>3705</v>
      </c>
      <c r="AJ1993" s="216" t="s">
        <v>4377</v>
      </c>
      <c r="AK1993" s="129" t="str">
        <f t="shared" ca="1" si="228"/>
        <v>Late</v>
      </c>
      <c r="AL1993" s="268" t="str">
        <f t="shared" si="227"/>
        <v>September</v>
      </c>
      <c r="AM1993" s="133">
        <f>YEAR(Table1[[#This Row],[ETA
As requested
dd.mm.yyyy]])</f>
        <v>2025</v>
      </c>
    </row>
    <row r="1994" spans="1:40" hidden="1">
      <c r="A1994" s="123" t="s">
        <v>83</v>
      </c>
      <c r="B1994" s="207" t="s">
        <v>1170</v>
      </c>
      <c r="C1994" s="117">
        <v>5410716</v>
      </c>
      <c r="D1994" s="165">
        <v>45777</v>
      </c>
      <c r="E1994" s="117" t="s">
        <v>98</v>
      </c>
      <c r="F1994" s="36" t="str">
        <f>IFERROR(VLOOKUP(Table1[[#This Row],[Part Number]],DATABASE_FG!$C$6:D11983,2,FALSE)," ")</f>
        <v xml:space="preserve">094132526-8011 </v>
      </c>
      <c r="G1994" s="117" t="str">
        <f>IFERROR(_xlfn.XLOOKUP(Table1[[#This Row],[Part Number]],Table3[Part number],Table3[Drawing
 Revision]),"")</f>
        <v>AA</v>
      </c>
      <c r="H1994" s="118" cm="1">
        <f t="array" ref="H1994">IFERROR(INDEX(PDB!$C:$AT,MATCH(E1994,PDB!$B:$B,0),MATCH(YEAR(K1994),0+PDB!$C$1:$AT$1,0)),"")</f>
        <v>5.65</v>
      </c>
      <c r="I1994" s="36">
        <v>57</v>
      </c>
      <c r="J1994" s="125">
        <f>IFERROR(Table1[[#This Row],[Quantity]]*Table1[[#This Row],[Price/Unit
EUR]]," ")</f>
        <v>322.05</v>
      </c>
      <c r="K1994" s="126">
        <v>45951</v>
      </c>
      <c r="L1994" s="36">
        <f>WEEKNUM(Table1[[#This Row],[ETA
As requested
dd.mm.yyyy]])</f>
        <v>43</v>
      </c>
      <c r="M1994" s="36">
        <f>YEAR(Table1[[#This Row],[ETA
As requested
dd.mm.yyyy]])</f>
        <v>2025</v>
      </c>
      <c r="N1994" s="36">
        <f>IFERROR(INDEX(DATABASE_FG!$H$5:$H$367, MATCH(E1994, DATABASE_FG!$C$5:$C$367, 0)), " ")</f>
        <v>0</v>
      </c>
      <c r="O1994" s="129" t="str">
        <f>IF(E1994&lt;&gt;"", _xlfn.XLOOKUP(E1994, DATABASE_FG!C:C, DATABASE_FG!F:F), " ")</f>
        <v>Ghidaje</v>
      </c>
      <c r="P1994" s="129">
        <f>IFERROR(INDEX(DATABASE_FG!$G$5:$G$367, MATCH(E1994, DATABASE_FG!$C$5:$C$367, 0)), "Not Found")</f>
        <v>0</v>
      </c>
      <c r="Q1994" s="36"/>
      <c r="R1994" s="125" t="s">
        <v>678</v>
      </c>
      <c r="S1994" s="123">
        <f>Table1[[#This Row],[Quantity]]/48</f>
        <v>1.1875</v>
      </c>
      <c r="T1994" s="36"/>
      <c r="U1994" s="36"/>
      <c r="V1994" s="36"/>
      <c r="W1994" s="129"/>
      <c r="X1994" s="36"/>
      <c r="Y1994" s="36"/>
      <c r="Z1994" s="36"/>
      <c r="AA1994" s="125" t="s">
        <v>121</v>
      </c>
      <c r="AB1994" s="173">
        <v>45946</v>
      </c>
      <c r="AC1994" s="119" t="s">
        <v>4349</v>
      </c>
      <c r="AD1994" s="36">
        <f t="shared" si="230"/>
        <v>5410716</v>
      </c>
      <c r="AE1994" s="36" t="str">
        <f t="shared" ref="AE1994:AE2059" si="231">IF(NOT(ISBLANK(AC1994)), E1994, "")</f>
        <v>TK.KWSE20-A-0038-WW1</v>
      </c>
      <c r="AF1994" s="36">
        <v>57</v>
      </c>
      <c r="AG1994" s="120">
        <f t="shared" si="229"/>
        <v>322.05</v>
      </c>
      <c r="AH1994" s="36"/>
      <c r="AI1994" s="124"/>
      <c r="AJ1994" s="122" t="s">
        <v>4369</v>
      </c>
      <c r="AK1994" s="129" t="str">
        <f t="shared" ca="1" si="228"/>
        <v>On Time</v>
      </c>
      <c r="AL1994" s="268" t="str">
        <f t="shared" si="227"/>
        <v>October</v>
      </c>
      <c r="AM1994" s="133">
        <f>YEAR(Table1[[#This Row],[ETA
As requested
dd.mm.yyyy]])</f>
        <v>2025</v>
      </c>
      <c r="AN1994" s="191"/>
    </row>
    <row r="1995" spans="1:40" hidden="1">
      <c r="A1995" s="123" t="s">
        <v>83</v>
      </c>
      <c r="B1995" s="207" t="s">
        <v>1170</v>
      </c>
      <c r="C1995" s="117">
        <v>5410716</v>
      </c>
      <c r="D1995" s="165">
        <v>45777</v>
      </c>
      <c r="E1995" s="117" t="s">
        <v>98</v>
      </c>
      <c r="F1995" s="36" t="str">
        <f>IFERROR(VLOOKUP(Table1[[#This Row],[Part Number]],DATABASE_FG!$C$6:D11984,2,FALSE)," ")</f>
        <v xml:space="preserve">094132526-8011 </v>
      </c>
      <c r="G1995" s="117" t="str">
        <f>IFERROR(_xlfn.XLOOKUP(Table1[[#This Row],[Part Number]],Table3[Part number],Table3[Drawing
 Revision]),"")</f>
        <v>AA</v>
      </c>
      <c r="H1995" s="118" cm="1">
        <f t="array" ref="H1995">IFERROR(INDEX(PDB!$C:$AT,MATCH(E1995,PDB!$B:$B,0),MATCH(YEAR(K1995),0+PDB!$C$1:$AT$1,0)),"")</f>
        <v>5.65</v>
      </c>
      <c r="I1995" s="36">
        <v>48</v>
      </c>
      <c r="J1995" s="125">
        <f>IFERROR(Table1[[#This Row],[Quantity]]*Table1[[#This Row],[Price/Unit
EUR]]," ")</f>
        <v>271.20000000000005</v>
      </c>
      <c r="K1995" s="126">
        <v>45951</v>
      </c>
      <c r="L1995" s="36">
        <f>WEEKNUM(Table1[[#This Row],[ETA
As requested
dd.mm.yyyy]])</f>
        <v>43</v>
      </c>
      <c r="M1995" s="36">
        <f>YEAR(Table1[[#This Row],[ETA
As requested
dd.mm.yyyy]])</f>
        <v>2025</v>
      </c>
      <c r="N1995" s="36">
        <f>IFERROR(INDEX(DATABASE_FG!$H$5:$H$367, MATCH(E1995, DATABASE_FG!$C$5:$C$367, 0)), " ")</f>
        <v>0</v>
      </c>
      <c r="O1995" s="129" t="str">
        <f>IF(E1995&lt;&gt;"", _xlfn.XLOOKUP(E1995, DATABASE_FG!C:C, DATABASE_FG!F:F), " ")</f>
        <v>Ghidaje</v>
      </c>
      <c r="P1995" s="129">
        <f>IFERROR(INDEX(DATABASE_FG!$G$5:$G$367, MATCH(E1995, DATABASE_FG!$C$5:$C$367, 0)), "Not Found")</f>
        <v>0</v>
      </c>
      <c r="Q1995" s="36"/>
      <c r="R1995" s="125" t="s">
        <v>678</v>
      </c>
      <c r="S1995" s="123">
        <f>Table1[[#This Row],[Quantity]]/48</f>
        <v>1</v>
      </c>
      <c r="T1995" s="36"/>
      <c r="U1995" s="36"/>
      <c r="V1995" s="36"/>
      <c r="W1995" s="129"/>
      <c r="X1995" s="36"/>
      <c r="Y1995" s="36"/>
      <c r="Z1995" s="36"/>
      <c r="AA1995" s="125" t="s">
        <v>121</v>
      </c>
      <c r="AB1995" s="173">
        <v>45947</v>
      </c>
      <c r="AC1995" s="119" t="s">
        <v>4356</v>
      </c>
      <c r="AD1995" s="36">
        <f t="shared" si="230"/>
        <v>5410716</v>
      </c>
      <c r="AE1995" s="36" t="str">
        <f t="shared" si="231"/>
        <v>TK.KWSE20-A-0038-WW1</v>
      </c>
      <c r="AF1995" s="36">
        <v>48</v>
      </c>
      <c r="AG1995" s="120">
        <f t="shared" si="229"/>
        <v>271.20000000000005</v>
      </c>
      <c r="AH1995" s="36"/>
      <c r="AI1995" s="124"/>
      <c r="AJ1995" s="122" t="s">
        <v>4374</v>
      </c>
      <c r="AK1995" s="129" t="str">
        <f t="shared" ca="1" si="228"/>
        <v>On Time</v>
      </c>
      <c r="AL1995" s="268" t="str">
        <f t="shared" si="227"/>
        <v>October</v>
      </c>
      <c r="AM1995" s="133">
        <f>YEAR(Table1[[#This Row],[ETA
As requested
dd.mm.yyyy]])</f>
        <v>2025</v>
      </c>
      <c r="AN1995" s="191"/>
    </row>
    <row r="1996" spans="1:40" hidden="1">
      <c r="A1996" s="123" t="s">
        <v>83</v>
      </c>
      <c r="B1996" s="207" t="s">
        <v>1170</v>
      </c>
      <c r="C1996" s="117">
        <v>5410716</v>
      </c>
      <c r="D1996" s="165">
        <v>45777</v>
      </c>
      <c r="E1996" s="117" t="s">
        <v>98</v>
      </c>
      <c r="F1996" s="36" t="str">
        <f>IFERROR(VLOOKUP(Table1[[#This Row],[Part Number]],DATABASE_FG!$C$6:D11985,2,FALSE)," ")</f>
        <v xml:space="preserve">094132526-8011 </v>
      </c>
      <c r="G1996" s="117" t="str">
        <f>IFERROR(_xlfn.XLOOKUP(Table1[[#This Row],[Part Number]],Table3[Part number],Table3[Drawing
 Revision]),"")</f>
        <v>AA</v>
      </c>
      <c r="H1996" s="118" cm="1">
        <f t="array" ref="H1996">IFERROR(INDEX(PDB!$C:$AT,MATCH(E1996,PDB!$B:$B,0),MATCH(YEAR(K1996),0+PDB!$C$1:$AT$1,0)),"")</f>
        <v>5.65</v>
      </c>
      <c r="I1996" s="36">
        <f>200-57-48</f>
        <v>95</v>
      </c>
      <c r="J1996" s="125">
        <f>IFERROR(Table1[[#This Row],[Quantity]]*Table1[[#This Row],[Price/Unit
EUR]]," ")</f>
        <v>536.75</v>
      </c>
      <c r="K1996" s="126">
        <v>45951</v>
      </c>
      <c r="L1996" s="36">
        <f>WEEKNUM(Table1[[#This Row],[ETA
As requested
dd.mm.yyyy]])</f>
        <v>43</v>
      </c>
      <c r="M1996" s="36">
        <f>YEAR(Table1[[#This Row],[ETA
As requested
dd.mm.yyyy]])</f>
        <v>2025</v>
      </c>
      <c r="N1996" s="36">
        <f>IFERROR(INDEX(DATABASE_FG!$H$5:$H$367, MATCH(E1996, DATABASE_FG!$C$5:$C$367, 0)), " ")</f>
        <v>0</v>
      </c>
      <c r="O1996" s="129" t="str">
        <f>IF(E1996&lt;&gt;"", _xlfn.XLOOKUP(E1996, DATABASE_FG!C:C, DATABASE_FG!F:F), " ")</f>
        <v>Ghidaje</v>
      </c>
      <c r="P1996" s="129">
        <f>IFERROR(INDEX(DATABASE_FG!$G$5:$G$367, MATCH(E1996, DATABASE_FG!$C$5:$C$367, 0)), "Not Found")</f>
        <v>0</v>
      </c>
      <c r="Q1996" s="36"/>
      <c r="R1996" s="125" t="s">
        <v>678</v>
      </c>
      <c r="S1996" s="123">
        <f>IFERROR(INDEX(DATABASE_FG!$L$5:$L$367, MATCH(E1996, DATABASE_FG!$C$5:$C$367, 0)), " ")</f>
        <v>42</v>
      </c>
      <c r="T1996" s="36" t="s">
        <v>679</v>
      </c>
      <c r="U1996" s="36"/>
      <c r="V1996" s="36"/>
      <c r="W1996" s="129"/>
      <c r="X1996" s="36"/>
      <c r="Y1996" s="36"/>
      <c r="Z1996" s="36"/>
      <c r="AA1996" s="125" t="s">
        <v>121</v>
      </c>
      <c r="AB1996" s="173">
        <v>45951</v>
      </c>
      <c r="AC1996" s="119" t="s">
        <v>4378</v>
      </c>
      <c r="AD1996" s="36">
        <f t="shared" si="230"/>
        <v>5410716</v>
      </c>
      <c r="AE1996" s="36" t="str">
        <f t="shared" si="231"/>
        <v>TK.KWSE20-A-0038-WW1</v>
      </c>
      <c r="AF1996" s="36">
        <v>95</v>
      </c>
      <c r="AG1996" s="120">
        <f t="shared" si="229"/>
        <v>536.75</v>
      </c>
      <c r="AH1996" s="36"/>
      <c r="AI1996" s="124"/>
      <c r="AJ1996" s="122" t="s">
        <v>4388</v>
      </c>
      <c r="AK1996" s="129" t="str">
        <f t="shared" ca="1" si="228"/>
        <v>On Time</v>
      </c>
      <c r="AL1996" s="268" t="str">
        <f t="shared" si="227"/>
        <v>October</v>
      </c>
      <c r="AM1996" s="133">
        <f>YEAR(Table1[[#This Row],[ETA
As requested
dd.mm.yyyy]])</f>
        <v>2025</v>
      </c>
    </row>
    <row r="1997" spans="1:40" hidden="1">
      <c r="A1997" s="123" t="s">
        <v>83</v>
      </c>
      <c r="B1997" s="207" t="s">
        <v>1170</v>
      </c>
      <c r="C1997" s="117">
        <v>5410716</v>
      </c>
      <c r="D1997" s="165">
        <v>45777</v>
      </c>
      <c r="E1997" s="117" t="s">
        <v>98</v>
      </c>
      <c r="F1997" s="36" t="str">
        <f>IFERROR(VLOOKUP(Table1[[#This Row],[Part Number]],DATABASE_FG!$C$6:D11986,2,FALSE)," ")</f>
        <v xml:space="preserve">094132526-8011 </v>
      </c>
      <c r="G1997" s="117" t="str">
        <f>IFERROR(_xlfn.XLOOKUP(Table1[[#This Row],[Part Number]],Table3[Part number],Table3[Drawing
 Revision]),"")</f>
        <v>AA</v>
      </c>
      <c r="H1997" s="118" cm="1">
        <f t="array" ref="H1997">IFERROR(INDEX(PDB!$C:$AT,MATCH(E1997,PDB!$B:$B,0),MATCH(YEAR(K1997),0+PDB!$C$1:$AT$1,0)),"")</f>
        <v>5.65</v>
      </c>
      <c r="I1997" s="36">
        <v>49</v>
      </c>
      <c r="J1997" s="125">
        <f>IFERROR(Table1[[#This Row],[Quantity]]*Table1[[#This Row],[Price/Unit
EUR]]," ")</f>
        <v>276.85000000000002</v>
      </c>
      <c r="K1997" s="126">
        <v>45954</v>
      </c>
      <c r="L1997" s="36">
        <f>WEEKNUM(Table1[[#This Row],[ETA
As requested
dd.mm.yyyy]])</f>
        <v>43</v>
      </c>
      <c r="M1997" s="36">
        <f>YEAR(Table1[[#This Row],[ETA
As requested
dd.mm.yyyy]])</f>
        <v>2025</v>
      </c>
      <c r="N1997" s="36">
        <f>IFERROR(INDEX(DATABASE_FG!$H$5:$H$367, MATCH(E1997, DATABASE_FG!$C$5:$C$367, 0)), " ")</f>
        <v>0</v>
      </c>
      <c r="O1997" s="129" t="str">
        <f>IF(E1997&lt;&gt;"", _xlfn.XLOOKUP(E1997, DATABASE_FG!C:C, DATABASE_FG!F:F), " ")</f>
        <v>Ghidaje</v>
      </c>
      <c r="P1997" s="129">
        <f>IFERROR(INDEX(DATABASE_FG!$G$5:$G$367, MATCH(E1997, DATABASE_FG!$C$5:$C$367, 0)), "Not Found")</f>
        <v>0</v>
      </c>
      <c r="Q1997" s="36"/>
      <c r="R1997" s="125" t="s">
        <v>678</v>
      </c>
      <c r="S1997" s="123">
        <f>Table1[[#This Row],[Quantity]]/48</f>
        <v>1.0208333333333333</v>
      </c>
      <c r="T1997" s="36"/>
      <c r="U1997" s="36"/>
      <c r="V1997" s="36"/>
      <c r="W1997" s="129"/>
      <c r="X1997" s="36"/>
      <c r="Y1997" s="36"/>
      <c r="Z1997" s="36"/>
      <c r="AA1997" s="125" t="s">
        <v>121</v>
      </c>
      <c r="AB1997" s="173">
        <v>45951</v>
      </c>
      <c r="AC1997" s="119" t="s">
        <v>4378</v>
      </c>
      <c r="AD1997" s="36">
        <f t="shared" si="230"/>
        <v>5410716</v>
      </c>
      <c r="AE1997" s="36" t="str">
        <f t="shared" si="231"/>
        <v>TK.KWSE20-A-0038-WW1</v>
      </c>
      <c r="AF1997" s="36">
        <v>49</v>
      </c>
      <c r="AG1997" s="120">
        <f t="shared" si="229"/>
        <v>276.85000000000002</v>
      </c>
      <c r="AH1997" s="36"/>
      <c r="AI1997" s="124"/>
      <c r="AJ1997" s="122" t="s">
        <v>4388</v>
      </c>
      <c r="AK1997" s="129" t="str">
        <f t="shared" ca="1" si="228"/>
        <v>On Time</v>
      </c>
      <c r="AL1997" s="268" t="str">
        <f t="shared" si="227"/>
        <v>October</v>
      </c>
      <c r="AM1997" s="133">
        <f>YEAR(Table1[[#This Row],[ETA
As requested
dd.mm.yyyy]])</f>
        <v>2025</v>
      </c>
      <c r="AN1997" s="191"/>
    </row>
    <row r="1998" spans="1:40" hidden="1">
      <c r="A1998" s="123" t="s">
        <v>83</v>
      </c>
      <c r="B1998" s="207" t="s">
        <v>1170</v>
      </c>
      <c r="C1998" s="117">
        <v>5410716</v>
      </c>
      <c r="D1998" s="165">
        <v>45777</v>
      </c>
      <c r="E1998" s="117" t="s">
        <v>98</v>
      </c>
      <c r="F1998" s="36" t="str">
        <f>IFERROR(VLOOKUP(Table1[[#This Row],[Part Number]],DATABASE_FG!$C$6:D11987,2,FALSE)," ")</f>
        <v xml:space="preserve">094132526-8011 </v>
      </c>
      <c r="G1998" s="117" t="str">
        <f>IFERROR(_xlfn.XLOOKUP(Table1[[#This Row],[Part Number]],Table3[Part number],Table3[Drawing
 Revision]),"")</f>
        <v>AA</v>
      </c>
      <c r="H1998" s="118" cm="1">
        <f t="array" ref="H1998">IFERROR(INDEX(PDB!$C:$AT,MATCH(E1998,PDB!$B:$B,0),MATCH(YEAR(K1998),0+PDB!$C$1:$AT$1,0)),"")</f>
        <v>5.65</v>
      </c>
      <c r="I1998" s="36">
        <f>200-49</f>
        <v>151</v>
      </c>
      <c r="J1998" s="125">
        <f>IFERROR(Table1[[#This Row],[Quantity]]*Table1[[#This Row],[Price/Unit
EUR]]," ")</f>
        <v>853.15000000000009</v>
      </c>
      <c r="K1998" s="126">
        <v>45954</v>
      </c>
      <c r="L1998" s="36">
        <f>WEEKNUM(Table1[[#This Row],[ETA
As requested
dd.mm.yyyy]])</f>
        <v>43</v>
      </c>
      <c r="M1998" s="36">
        <f>YEAR(Table1[[#This Row],[ETA
As requested
dd.mm.yyyy]])</f>
        <v>2025</v>
      </c>
      <c r="N1998" s="36">
        <f>IFERROR(INDEX(DATABASE_FG!$H$5:$H$367, MATCH(E1998, DATABASE_FG!$C$5:$C$367, 0)), " ")</f>
        <v>0</v>
      </c>
      <c r="O1998" s="129" t="str">
        <f>IF(E1998&lt;&gt;"", _xlfn.XLOOKUP(E1998, DATABASE_FG!C:C, DATABASE_FG!F:F), " ")</f>
        <v>Ghidaje</v>
      </c>
      <c r="P1998" s="129">
        <f>IFERROR(INDEX(DATABASE_FG!$G$5:$G$367, MATCH(E1998, DATABASE_FG!$C$5:$C$367, 0)), "Not Found")</f>
        <v>0</v>
      </c>
      <c r="Q1998" s="36"/>
      <c r="R1998" s="125" t="s">
        <v>678</v>
      </c>
      <c r="S1998" s="123">
        <f>IFERROR(INDEX(DATABASE_FG!$L$5:$L$367, MATCH(E1998, DATABASE_FG!$C$5:$C$367, 0)), " ")</f>
        <v>42</v>
      </c>
      <c r="T1998" s="36" t="s">
        <v>679</v>
      </c>
      <c r="U1998" s="36"/>
      <c r="V1998" s="36"/>
      <c r="W1998" s="129"/>
      <c r="X1998" s="36"/>
      <c r="Y1998" s="36"/>
      <c r="Z1998" s="36"/>
      <c r="AA1998" s="125" t="s">
        <v>121</v>
      </c>
      <c r="AB1998" s="173">
        <v>45953</v>
      </c>
      <c r="AC1998" s="119" t="s">
        <v>4399</v>
      </c>
      <c r="AD1998" s="36">
        <f t="shared" si="230"/>
        <v>5410716</v>
      </c>
      <c r="AE1998" s="36" t="str">
        <f t="shared" si="231"/>
        <v>TK.KWSE20-A-0038-WW1</v>
      </c>
      <c r="AF1998" s="36">
        <v>151</v>
      </c>
      <c r="AG1998" s="120">
        <f t="shared" si="229"/>
        <v>853.15000000000009</v>
      </c>
      <c r="AH1998" s="36"/>
      <c r="AI1998" s="124"/>
      <c r="AJ1998" s="122" t="s">
        <v>4405</v>
      </c>
      <c r="AK1998" s="129" t="str">
        <f t="shared" ca="1" si="228"/>
        <v>On Time</v>
      </c>
      <c r="AL1998" s="268" t="str">
        <f t="shared" si="227"/>
        <v>October</v>
      </c>
      <c r="AM1998" s="133">
        <f>YEAR(Table1[[#This Row],[ETA
As requested
dd.mm.yyyy]])</f>
        <v>2025</v>
      </c>
    </row>
    <row r="1999" spans="1:40" hidden="1">
      <c r="A1999" s="123" t="s">
        <v>83</v>
      </c>
      <c r="B1999" s="207" t="s">
        <v>1170</v>
      </c>
      <c r="C1999" s="117">
        <v>5410716</v>
      </c>
      <c r="D1999" s="165">
        <v>45777</v>
      </c>
      <c r="E1999" s="117" t="s">
        <v>98</v>
      </c>
      <c r="F1999" s="36" t="str">
        <f>IFERROR(VLOOKUP(Table1[[#This Row],[Part Number]],DATABASE_FG!$C$6:D11988,2,FALSE)," ")</f>
        <v xml:space="preserve">094132526-8011 </v>
      </c>
      <c r="G1999" s="117" t="str">
        <f>IFERROR(_xlfn.XLOOKUP(Table1[[#This Row],[Part Number]],Table3[Part number],Table3[Drawing
 Revision]),"")</f>
        <v>AA</v>
      </c>
      <c r="H1999" s="118" cm="1">
        <f t="array" ref="H1999">IFERROR(INDEX(PDB!$C:$AT,MATCH(E1999,PDB!$B:$B,0),MATCH(YEAR(K1999),0+PDB!$C$1:$AT$1,0)),"")</f>
        <v>5.65</v>
      </c>
      <c r="I1999" s="36">
        <v>65</v>
      </c>
      <c r="J1999" s="125">
        <f>IFERROR(Table1[[#This Row],[Quantity]]*Table1[[#This Row],[Price/Unit
EUR]]," ")</f>
        <v>367.25</v>
      </c>
      <c r="K1999" s="126">
        <v>45961</v>
      </c>
      <c r="L1999" s="36">
        <f>WEEKNUM(Table1[[#This Row],[ETA
As requested
dd.mm.yyyy]])</f>
        <v>44</v>
      </c>
      <c r="M1999" s="36">
        <f>YEAR(Table1[[#This Row],[ETA
As requested
dd.mm.yyyy]])</f>
        <v>2025</v>
      </c>
      <c r="N1999" s="36">
        <f>IFERROR(INDEX(DATABASE_FG!$H$5:$H$367, MATCH(E1999, DATABASE_FG!$C$5:$C$367, 0)), " ")</f>
        <v>0</v>
      </c>
      <c r="O1999" s="129" t="str">
        <f>IF(E1999&lt;&gt;"", _xlfn.XLOOKUP(E1999, DATABASE_FG!C:C, DATABASE_FG!F:F), " ")</f>
        <v>Ghidaje</v>
      </c>
      <c r="P1999" s="129">
        <f>IFERROR(INDEX(DATABASE_FG!$G$5:$G$367, MATCH(E1999, DATABASE_FG!$C$5:$C$367, 0)), "Not Found")</f>
        <v>0</v>
      </c>
      <c r="Q1999" s="36"/>
      <c r="R1999" s="125" t="s">
        <v>678</v>
      </c>
      <c r="S1999" s="123">
        <f>Table1[[#This Row],[Quantity]]/48</f>
        <v>1.3541666666666667</v>
      </c>
      <c r="T1999" s="36"/>
      <c r="U1999" s="36"/>
      <c r="V1999" s="36"/>
      <c r="W1999" s="129"/>
      <c r="X1999" s="36"/>
      <c r="Y1999" s="36"/>
      <c r="Z1999" s="36"/>
      <c r="AA1999" s="125" t="s">
        <v>121</v>
      </c>
      <c r="AB1999" s="173">
        <v>45953</v>
      </c>
      <c r="AC1999" s="119" t="s">
        <v>4399</v>
      </c>
      <c r="AD1999" s="36">
        <f t="shared" ref="AD1999" si="232">IF(NOT(ISBLANK(AC1999)), C1999, "")</f>
        <v>5410716</v>
      </c>
      <c r="AE1999" s="36" t="str">
        <f t="shared" ref="AE1999" si="233">IF(NOT(ISBLANK(AC1999)), E1999, "")</f>
        <v>TK.KWSE20-A-0038-WW1</v>
      </c>
      <c r="AF1999" s="36">
        <v>65</v>
      </c>
      <c r="AG1999" s="120">
        <f t="shared" ref="AG1999" si="234">AF1999*H1999</f>
        <v>367.25</v>
      </c>
      <c r="AH1999" s="36"/>
      <c r="AI1999" s="124"/>
      <c r="AJ1999" s="122" t="s">
        <v>4405</v>
      </c>
      <c r="AK1999" s="129" t="str">
        <f t="shared" ref="AK1999" ca="1" si="235">IF(AB1999="", IF(K1999 &lt; TODAY(), "Late", ""), IF(AB1999 &lt;= K1999 + 2, "On Time", "Late"))</f>
        <v>On Time</v>
      </c>
      <c r="AL1999" s="268" t="str">
        <f t="shared" ref="AL1999" si="236">TEXT(K1999,"mmmm")</f>
        <v>October</v>
      </c>
      <c r="AM1999" s="133">
        <f>YEAR(Table1[[#This Row],[Dată de livrare]])</f>
        <v>2025</v>
      </c>
      <c r="AN1999" s="191"/>
    </row>
    <row r="2000" spans="1:40" hidden="1">
      <c r="A2000" s="123" t="s">
        <v>83</v>
      </c>
      <c r="B2000" s="207" t="s">
        <v>1170</v>
      </c>
      <c r="C2000" s="117">
        <v>5410716</v>
      </c>
      <c r="D2000" s="165">
        <v>45777</v>
      </c>
      <c r="E2000" s="117" t="s">
        <v>98</v>
      </c>
      <c r="F2000" s="36" t="str">
        <f>IFERROR(VLOOKUP(Table1[[#This Row],[Part Number]],DATABASE_FG!$C$6:D11989,2,FALSE)," ")</f>
        <v xml:space="preserve">094132526-8011 </v>
      </c>
      <c r="G2000" s="117" t="str">
        <f>IFERROR(_xlfn.XLOOKUP(Table1[[#This Row],[Part Number]],Table3[Part number],Table3[Drawing
 Revision]),"")</f>
        <v>AA</v>
      </c>
      <c r="H2000" s="118" cm="1">
        <f t="array" ref="H2000">IFERROR(INDEX(PDB!$C:$AT,MATCH(E2000,PDB!$B:$B,0),MATCH(YEAR(K2000),0+PDB!$C$1:$AT$1,0)),"")</f>
        <v>5.65</v>
      </c>
      <c r="I2000" s="36">
        <f>200-65+9</f>
        <v>144</v>
      </c>
      <c r="J2000" s="125">
        <f>IFERROR(Table1[[#This Row],[Quantity]]*Table1[[#This Row],[Price/Unit
EUR]]," ")</f>
        <v>813.6</v>
      </c>
      <c r="K2000" s="126">
        <v>45961</v>
      </c>
      <c r="L2000" s="36">
        <f>WEEKNUM(Table1[[#This Row],[ETA
As requested
dd.mm.yyyy]])</f>
        <v>44</v>
      </c>
      <c r="M2000" s="36">
        <f>YEAR(Table1[[#This Row],[ETA
As requested
dd.mm.yyyy]])</f>
        <v>2025</v>
      </c>
      <c r="N2000" s="36">
        <f>IFERROR(INDEX(DATABASE_FG!$H$5:$H$367, MATCH(E2000, DATABASE_FG!$C$5:$C$367, 0)), " ")</f>
        <v>0</v>
      </c>
      <c r="O2000" s="129" t="str">
        <f>IF(E2000&lt;&gt;"", _xlfn.XLOOKUP(E2000, DATABASE_FG!C:C, DATABASE_FG!F:F), " ")</f>
        <v>Ghidaje</v>
      </c>
      <c r="P2000" s="129">
        <f>IFERROR(INDEX(DATABASE_FG!$G$5:$G$367, MATCH(E2000, DATABASE_FG!$C$5:$C$367, 0)), "Not Found")</f>
        <v>0</v>
      </c>
      <c r="Q2000" s="36"/>
      <c r="R2000" s="125" t="s">
        <v>678</v>
      </c>
      <c r="S2000" s="123">
        <f>IFERROR(INDEX(DATABASE_FG!$L$5:$L$367, MATCH(E2000, DATABASE_FG!$C$5:$C$367, 0)), " ")</f>
        <v>42</v>
      </c>
      <c r="T2000" s="36" t="s">
        <v>679</v>
      </c>
      <c r="U2000" s="36"/>
      <c r="V2000" s="36"/>
      <c r="W2000" s="129"/>
      <c r="X2000" s="36"/>
      <c r="Y2000" s="36"/>
      <c r="Z2000" s="36"/>
      <c r="AA2000" s="125" t="s">
        <v>121</v>
      </c>
      <c r="AB2000" s="173">
        <v>45958</v>
      </c>
      <c r="AC2000" s="119" t="s">
        <v>4415</v>
      </c>
      <c r="AD2000" s="36">
        <f t="shared" si="230"/>
        <v>5410716</v>
      </c>
      <c r="AE2000" s="36" t="str">
        <f t="shared" si="231"/>
        <v>TK.KWSE20-A-0038-WW1</v>
      </c>
      <c r="AF2000" s="36">
        <v>144</v>
      </c>
      <c r="AG2000" s="120">
        <f t="shared" si="229"/>
        <v>813.6</v>
      </c>
      <c r="AH2000" s="36"/>
      <c r="AI2000" s="124"/>
      <c r="AJ2000" s="122" t="s">
        <v>4418</v>
      </c>
      <c r="AK2000" s="129" t="str">
        <f t="shared" ca="1" si="228"/>
        <v>On Time</v>
      </c>
      <c r="AL2000" s="268" t="str">
        <f t="shared" si="227"/>
        <v>October</v>
      </c>
      <c r="AM2000" s="133">
        <f>YEAR(Table1[[#This Row],[ETA
As requested
dd.mm.yyyy]])</f>
        <v>2025</v>
      </c>
    </row>
    <row r="2001" spans="1:40" hidden="1">
      <c r="A2001" s="123" t="s">
        <v>83</v>
      </c>
      <c r="B2001" s="207" t="s">
        <v>1170</v>
      </c>
      <c r="C2001" s="117">
        <v>5410716</v>
      </c>
      <c r="D2001" s="165">
        <v>45951</v>
      </c>
      <c r="E2001" s="117" t="s">
        <v>98</v>
      </c>
      <c r="F2001" s="36" t="str">
        <f>IFERROR(VLOOKUP(Table1[[#This Row],[Part Number]],DATABASE_FG!$C$6:D11990,2,FALSE)," ")</f>
        <v xml:space="preserve">094132526-8011 </v>
      </c>
      <c r="G2001" s="117" t="str">
        <f>IFERROR(_xlfn.XLOOKUP(Table1[[#This Row],[Part Number]],Table3[Part number],Table3[Drawing
 Revision]),"")</f>
        <v>AA</v>
      </c>
      <c r="H2001" s="118" cm="1">
        <f t="array" ref="H2001">IFERROR(INDEX(PDB!$C:$AT,MATCH(E2001,PDB!$B:$B,0),MATCH(YEAR(K2001),0+PDB!$C$1:$AT$1,0)),"")</f>
        <v>5.65</v>
      </c>
      <c r="I2001" s="36">
        <f>400-9</f>
        <v>391</v>
      </c>
      <c r="J2001" s="125">
        <f>IFERROR(Table1[[#This Row],[Quantity]]*Table1[[#This Row],[Price/Unit
EUR]]," ")</f>
        <v>2209.15</v>
      </c>
      <c r="K2001" s="126">
        <v>45991</v>
      </c>
      <c r="L2001" s="36">
        <f>WEEKNUM(Table1[[#This Row],[ETA
As requested
dd.mm.yyyy]])</f>
        <v>49</v>
      </c>
      <c r="M2001" s="36">
        <f>YEAR(Table1[[#This Row],[ETA
As requested
dd.mm.yyyy]])</f>
        <v>2025</v>
      </c>
      <c r="N2001" s="36">
        <f>IFERROR(INDEX(DATABASE_FG!$H$5:$H$367, MATCH(E2001, DATABASE_FG!$C$5:$C$367, 0)), " ")</f>
        <v>0</v>
      </c>
      <c r="O2001" s="129" t="str">
        <f>IF(E2001&lt;&gt;"", _xlfn.XLOOKUP(E2001, DATABASE_FG!C:C, DATABASE_FG!F:F), " ")</f>
        <v>Ghidaje</v>
      </c>
      <c r="P2001" s="129">
        <f>IFERROR(INDEX(DATABASE_FG!$G$5:$G$367, MATCH(E2001, DATABASE_FG!$C$5:$C$367, 0)), "Not Found")</f>
        <v>0</v>
      </c>
      <c r="Q2001" s="36"/>
      <c r="R2001" s="125" t="s">
        <v>678</v>
      </c>
      <c r="S2001" s="123">
        <f>IFERROR(INDEX(DATABASE_FG!$L$5:$L$367, MATCH(E2001, DATABASE_FG!$C$5:$C$367, 0)), " ")</f>
        <v>42</v>
      </c>
      <c r="T2001" s="36" t="s">
        <v>679</v>
      </c>
      <c r="U2001" s="36"/>
      <c r="V2001" s="36"/>
      <c r="W2001" s="129"/>
      <c r="X2001" s="36"/>
      <c r="Y2001" s="36"/>
      <c r="Z2001" s="36"/>
      <c r="AA2001" s="125" t="s">
        <v>121</v>
      </c>
      <c r="AB2001" s="173">
        <v>45965</v>
      </c>
      <c r="AC2001" s="119" t="s">
        <v>4461</v>
      </c>
      <c r="AD2001" s="36">
        <f t="shared" si="230"/>
        <v>5410716</v>
      </c>
      <c r="AE2001" s="36" t="str">
        <f t="shared" si="231"/>
        <v>TK.KWSE20-A-0038-WW1</v>
      </c>
      <c r="AF2001" s="36">
        <v>391</v>
      </c>
      <c r="AG2001" s="120">
        <f t="shared" si="229"/>
        <v>2209.15</v>
      </c>
      <c r="AH2001" s="36"/>
      <c r="AI2001" s="124"/>
      <c r="AJ2001" s="122" t="s">
        <v>4477</v>
      </c>
      <c r="AK2001" s="129" t="str">
        <f t="shared" ca="1" si="228"/>
        <v>On Time</v>
      </c>
      <c r="AL2001" s="268" t="str">
        <f t="shared" si="227"/>
        <v>November</v>
      </c>
      <c r="AM2001" s="133">
        <f>YEAR(Table1[[#This Row],[ETA
As requested
dd.mm.yyyy]])</f>
        <v>2025</v>
      </c>
    </row>
    <row r="2002" spans="1:40" hidden="1">
      <c r="A2002" s="123" t="s">
        <v>83</v>
      </c>
      <c r="B2002" s="36" t="s">
        <v>2464</v>
      </c>
      <c r="C2002" s="117">
        <v>5410716</v>
      </c>
      <c r="D2002" s="165">
        <v>45777</v>
      </c>
      <c r="E2002" s="117" t="s">
        <v>98</v>
      </c>
      <c r="F2002" s="36" t="str">
        <f>IFERROR(VLOOKUP(Table1[[#This Row],[Part Number]],DATABASE_FG!$C$6:D11991,2,FALSE)," ")</f>
        <v xml:space="preserve">094132526-8011 </v>
      </c>
      <c r="G2002" s="117" t="str">
        <f>IFERROR(_xlfn.XLOOKUP(Table1[[#This Row],[Part Number]],Table3[Part number],Table3[Drawing
 Revision]),"")</f>
        <v>AA</v>
      </c>
      <c r="H2002" s="118" cm="1">
        <f t="array" ref="H2002">IFERROR(INDEX(PDB!$C:$AT,MATCH(E2002,PDB!$B:$B,0),MATCH(YEAR(K2002),0+PDB!$C$1:$AT$1,0)),"")</f>
        <v>5.65</v>
      </c>
      <c r="I2002" s="36">
        <v>51</v>
      </c>
      <c r="J2002" s="125">
        <f>IFERROR(Table1[[#This Row],[Quantity]]*Table1[[#This Row],[Price/Unit
EUR]]," ")</f>
        <v>288.15000000000003</v>
      </c>
      <c r="K2002" s="126">
        <v>46011</v>
      </c>
      <c r="L2002" s="36">
        <f>WEEKNUM(Table1[[#This Row],[ETA
As requested
dd.mm.yyyy]])</f>
        <v>51</v>
      </c>
      <c r="M2002" s="36">
        <f>YEAR(Table1[[#This Row],[ETA
As requested
dd.mm.yyyy]])</f>
        <v>2025</v>
      </c>
      <c r="N2002" s="36">
        <f>IFERROR(INDEX(DATABASE_FG!$H$5:$H$367, MATCH(E2002, DATABASE_FG!$C$5:$C$367, 0)), " ")</f>
        <v>0</v>
      </c>
      <c r="O2002" s="129" t="str">
        <f>IF(E2002&lt;&gt;"", _xlfn.XLOOKUP(E2002, DATABASE_FG!C:C, DATABASE_FG!F:F), " ")</f>
        <v>Ghidaje</v>
      </c>
      <c r="P2002" s="129">
        <f>IFERROR(INDEX(DATABASE_FG!$G$5:$G$367, MATCH(E2002, DATABASE_FG!$C$5:$C$367, 0)), "Not Found")</f>
        <v>0</v>
      </c>
      <c r="Q2002" s="36"/>
      <c r="R2002" s="125" t="s">
        <v>678</v>
      </c>
      <c r="S2002" s="123">
        <f>Table1[[#This Row],[Quantity]]/48</f>
        <v>1.0625</v>
      </c>
      <c r="T2002" s="36"/>
      <c r="U2002" s="36"/>
      <c r="V2002" s="36"/>
      <c r="W2002" s="129"/>
      <c r="X2002" s="36"/>
      <c r="Y2002" s="36"/>
      <c r="Z2002" s="36"/>
      <c r="AA2002" s="125" t="s">
        <v>121</v>
      </c>
      <c r="AB2002" s="173">
        <v>45965</v>
      </c>
      <c r="AC2002" s="119" t="s">
        <v>4461</v>
      </c>
      <c r="AD2002" s="36">
        <f>IF(NOT(ISBLANK(AC2002)), C2002, "")</f>
        <v>5410716</v>
      </c>
      <c r="AE2002" s="36" t="str">
        <f>IF(NOT(ISBLANK(AC2002)), E2002, "")</f>
        <v>TK.KWSE20-A-0038-WW1</v>
      </c>
      <c r="AF2002" s="36">
        <v>51</v>
      </c>
      <c r="AG2002" s="120">
        <f>AF2002*H2002</f>
        <v>288.15000000000003</v>
      </c>
      <c r="AH2002" s="36"/>
      <c r="AI2002" s="124"/>
      <c r="AJ2002" s="122" t="s">
        <v>4477</v>
      </c>
      <c r="AK2002" s="129" t="str">
        <f ca="1">IF(AB2002="", IF(K2002 &lt; TODAY(), "Late", ""), IF(AB2002 &lt;= K2002 + 2, "On Time", "Late"))</f>
        <v>On Time</v>
      </c>
      <c r="AL2002" s="268" t="str">
        <f>TEXT(K2002,"mmmm")</f>
        <v>December</v>
      </c>
      <c r="AM2002" s="133">
        <f>YEAR(Table1[[#This Row],[ETA
As requested
dd.mm.yyyy]])</f>
        <v>2025</v>
      </c>
      <c r="AN2002" s="191"/>
    </row>
    <row r="2003" spans="1:40" hidden="1">
      <c r="A2003" s="123" t="s">
        <v>83</v>
      </c>
      <c r="B2003" s="36" t="s">
        <v>2464</v>
      </c>
      <c r="C2003" s="117">
        <v>5410716</v>
      </c>
      <c r="D2003" s="165">
        <v>45777</v>
      </c>
      <c r="E2003" s="117" t="s">
        <v>98</v>
      </c>
      <c r="F2003" s="36" t="str">
        <f>IFERROR(VLOOKUP(Table1[[#This Row],[Part Number]],DATABASE_FG!$C$6:D11992,2,FALSE)," ")</f>
        <v xml:space="preserve">094132526-8011 </v>
      </c>
      <c r="G2003" s="117" t="str">
        <f>IFERROR(_xlfn.XLOOKUP(Table1[[#This Row],[Part Number]],Table3[Part number],Table3[Drawing
 Revision]),"")</f>
        <v>AA</v>
      </c>
      <c r="H2003" s="118" cm="1">
        <f t="array" ref="H2003">IFERROR(INDEX(PDB!$C:$AT,MATCH(E2003,PDB!$B:$B,0),MATCH(YEAR(K2003),0+PDB!$C$1:$AT$1,0)),"")</f>
        <v>5.65</v>
      </c>
      <c r="I2003" s="36">
        <f>800-51</f>
        <v>749</v>
      </c>
      <c r="J2003" s="125">
        <f>IFERROR(Table1[[#This Row],[Quantity]]*Table1[[#This Row],[Price/Unit
EUR]]," ")</f>
        <v>4231.8500000000004</v>
      </c>
      <c r="K2003" s="126">
        <v>46011</v>
      </c>
      <c r="L2003" s="36">
        <f>WEEKNUM(Table1[[#This Row],[ETA
As requested
dd.mm.yyyy]])</f>
        <v>51</v>
      </c>
      <c r="M2003" s="36">
        <f>YEAR(Table1[[#This Row],[ETA
As requested
dd.mm.yyyy]])</f>
        <v>2025</v>
      </c>
      <c r="N2003" s="36">
        <f>IFERROR(INDEX(DATABASE_FG!$H$5:$H$367, MATCH(E2003, DATABASE_FG!$C$5:$C$367, 0)), " ")</f>
        <v>0</v>
      </c>
      <c r="O2003" s="129" t="str">
        <f>IF(E2003&lt;&gt;"", _xlfn.XLOOKUP(E2003, DATABASE_FG!C:C, DATABASE_FG!F:F), " ")</f>
        <v>Ghidaje</v>
      </c>
      <c r="P2003" s="129">
        <f>IFERROR(INDEX(DATABASE_FG!$G$5:$G$367, MATCH(E2003, DATABASE_FG!$C$5:$C$367, 0)), "Not Found")</f>
        <v>0</v>
      </c>
      <c r="Q2003" s="36"/>
      <c r="R2003" s="125" t="s">
        <v>678</v>
      </c>
      <c r="S2003" s="123">
        <f>IFERROR(INDEX(DATABASE_FG!$L$5:$L$367, MATCH(E2003, DATABASE_FG!$C$5:$C$367, 0)), " ")</f>
        <v>42</v>
      </c>
      <c r="T2003" s="36" t="s">
        <v>679</v>
      </c>
      <c r="U2003" s="36"/>
      <c r="V2003" s="36"/>
      <c r="W2003" s="129"/>
      <c r="X2003" s="36"/>
      <c r="Y2003" s="36"/>
      <c r="Z2003" s="36"/>
      <c r="AA2003" s="125" t="s">
        <v>3</v>
      </c>
      <c r="AB2003" s="173"/>
      <c r="AC2003" s="119"/>
      <c r="AD2003" s="36" t="str">
        <f t="shared" si="230"/>
        <v/>
      </c>
      <c r="AE2003" s="36" t="str">
        <f t="shared" si="231"/>
        <v/>
      </c>
      <c r="AF2003" s="36"/>
      <c r="AG2003" s="120">
        <f t="shared" si="229"/>
        <v>0</v>
      </c>
      <c r="AH2003" s="36"/>
      <c r="AI2003" s="124"/>
      <c r="AJ2003" s="122"/>
      <c r="AK2003" s="129" t="str">
        <f t="shared" ca="1" si="228"/>
        <v/>
      </c>
      <c r="AL2003" s="268" t="str">
        <f t="shared" si="227"/>
        <v>December</v>
      </c>
      <c r="AM2003" s="133">
        <f>YEAR(Table1[[#This Row],[ETA
As requested
dd.mm.yyyy]])</f>
        <v>2025</v>
      </c>
    </row>
    <row r="2004" spans="1:40" hidden="1">
      <c r="A2004" s="123" t="s">
        <v>83</v>
      </c>
      <c r="B2004" s="36" t="s">
        <v>1170</v>
      </c>
      <c r="C2004" s="117">
        <v>36635738</v>
      </c>
      <c r="D2004" s="165">
        <v>45400</v>
      </c>
      <c r="E2004" s="117" t="s">
        <v>99</v>
      </c>
      <c r="F2004" s="36" t="str">
        <f>IFERROR(VLOOKUP(Table1[[#This Row],[Part Number]],DATABASE_FG!$C$6:D11993,2,FALSE)," ")</f>
        <v xml:space="preserve">054380529-8011 </v>
      </c>
      <c r="G2004" s="117">
        <f>IFERROR(_xlfn.XLOOKUP(Table1[[#This Row],[Part Number]],Table3[Part number],Table3[Drawing
 Revision]),"")</f>
        <v>0</v>
      </c>
      <c r="H2004" s="118" cm="1">
        <f t="array" ref="H2004">IFERROR(INDEX(PDB!$C:$AT,MATCH(E2004,PDB!$B:$B,0),MATCH(YEAR(K2004),0+PDB!$C$1:$AT$1,0)),"")</f>
        <v>3.56</v>
      </c>
      <c r="I2004" s="36">
        <v>250</v>
      </c>
      <c r="J2004" s="125">
        <f>IFERROR(Table1[[#This Row],[Quantity]]*Table1[[#This Row],[Price/Unit
EUR]]," ")</f>
        <v>890</v>
      </c>
      <c r="K2004" s="126">
        <v>45419</v>
      </c>
      <c r="L2004" s="36">
        <f>WEEKNUM(Table1[[#This Row],[ETA
As requested
dd.mm.yyyy]])</f>
        <v>19</v>
      </c>
      <c r="M2004" s="36">
        <f>YEAR(Table1[[#This Row],[ETA
As requested
dd.mm.yyyy]])</f>
        <v>2024</v>
      </c>
      <c r="N2004" s="36">
        <f>IFERROR(INDEX(DATABASE_FG!$H$5:$H$367, MATCH(E2004, DATABASE_FG!$C$5:$C$367, 0)), " ")</f>
        <v>0</v>
      </c>
      <c r="O2004" s="129" t="str">
        <f>IF(E2004&lt;&gt;"", _xlfn.XLOOKUP(E2004, DATABASE_FG!C:C, DATABASE_FG!F:F), " ")</f>
        <v>Ghidaje</v>
      </c>
      <c r="P2004" s="129">
        <f>IFERROR(INDEX(DATABASE_FG!$G$5:$G$367, MATCH(E2004, DATABASE_FG!$C$5:$C$367, 0)), "Not Found")</f>
        <v>0</v>
      </c>
      <c r="Q2004" s="36"/>
      <c r="R2004" s="125" t="s">
        <v>678</v>
      </c>
      <c r="S2004" s="123">
        <f>IFERROR(INDEX(DATABASE_FG!$L$5:$L$367, MATCH(E2004, DATABASE_FG!$C$5:$C$367, 0)), " ")</f>
        <v>42</v>
      </c>
      <c r="T2004" s="36" t="s">
        <v>679</v>
      </c>
      <c r="U2004" s="36"/>
      <c r="V2004" s="36"/>
      <c r="W2004" s="129"/>
      <c r="X2004" s="36"/>
      <c r="Y2004" s="36"/>
      <c r="Z2004" s="36">
        <v>241705</v>
      </c>
      <c r="AA2004" s="125" t="s">
        <v>121</v>
      </c>
      <c r="AB2004" s="173">
        <v>45427</v>
      </c>
      <c r="AC2004" s="119">
        <v>2024488</v>
      </c>
      <c r="AD2004" s="36">
        <f t="shared" si="230"/>
        <v>36635738</v>
      </c>
      <c r="AE2004" s="36" t="str">
        <f t="shared" si="231"/>
        <v>TK.KWVE15-B-A-ESC-0038-WW1</v>
      </c>
      <c r="AF2004" s="36">
        <v>150</v>
      </c>
      <c r="AG2004" s="120">
        <f t="shared" si="229"/>
        <v>534</v>
      </c>
      <c r="AH2004" s="36"/>
      <c r="AI2004" s="124"/>
      <c r="AJ2004" s="122" t="s">
        <v>1462</v>
      </c>
      <c r="AK2004" s="129" t="str">
        <f t="shared" ca="1" si="228"/>
        <v>Late</v>
      </c>
      <c r="AL2004" s="268" t="str">
        <f t="shared" si="227"/>
        <v>May</v>
      </c>
      <c r="AM2004" s="133">
        <f>YEAR(Table1[[#This Row],[ETA
As requested
dd.mm.yyyy]])</f>
        <v>2024</v>
      </c>
    </row>
    <row r="2005" spans="1:40" hidden="1">
      <c r="A2005" s="123" t="s">
        <v>83</v>
      </c>
      <c r="B2005" s="36" t="s">
        <v>1170</v>
      </c>
      <c r="C2005" s="117">
        <v>36635738</v>
      </c>
      <c r="D2005" s="165">
        <v>45400</v>
      </c>
      <c r="E2005" s="117" t="s">
        <v>99</v>
      </c>
      <c r="F2005" s="36" t="str">
        <f>IFERROR(VLOOKUP(Table1[[#This Row],[Part Number]],DATABASE_FG!$C$6:D11994,2,FALSE)," ")</f>
        <v xml:space="preserve">054380529-8011 </v>
      </c>
      <c r="G2005" s="117">
        <f>IFERROR(_xlfn.XLOOKUP(Table1[[#This Row],[Part Number]],Table3[Part number],Table3[Drawing
 Revision]),"")</f>
        <v>0</v>
      </c>
      <c r="H2005" s="118" cm="1">
        <f t="array" ref="H2005">IFERROR(INDEX(PDB!$C:$AT,MATCH(E2005,PDB!$B:$B,0),MATCH(YEAR(K2005),0+PDB!$C$1:$AT$1,0)),"")</f>
        <v>3.56</v>
      </c>
      <c r="I2005" s="36"/>
      <c r="J2005" s="125">
        <f>IFERROR(Table1[[#This Row],[Quantity]]*Table1[[#This Row],[Price/Unit
EUR]]," ")</f>
        <v>0</v>
      </c>
      <c r="K2005" s="126">
        <v>45419</v>
      </c>
      <c r="L2005" s="36">
        <f>WEEKNUM(Table1[[#This Row],[ETA
As requested
dd.mm.yyyy]])</f>
        <v>19</v>
      </c>
      <c r="M2005" s="36">
        <f>YEAR(Table1[[#This Row],[ETA
As requested
dd.mm.yyyy]])</f>
        <v>2024</v>
      </c>
      <c r="N2005" s="36">
        <f>IFERROR(INDEX(DATABASE_FG!$H$5:$H$367, MATCH(E2005, DATABASE_FG!$C$5:$C$367, 0)), " ")</f>
        <v>0</v>
      </c>
      <c r="O2005" s="129" t="str">
        <f>IF(E2005&lt;&gt;"", _xlfn.XLOOKUP(E2005, DATABASE_FG!C:C, DATABASE_FG!F:F), " ")</f>
        <v>Ghidaje</v>
      </c>
      <c r="P2005" s="129">
        <f>IFERROR(INDEX(DATABASE_FG!$G$5:$G$367, MATCH(E2005, DATABASE_FG!$C$5:$C$367, 0)), "Not Found")</f>
        <v>0</v>
      </c>
      <c r="Q2005" s="36"/>
      <c r="R2005" s="125" t="s">
        <v>678</v>
      </c>
      <c r="S2005" s="123">
        <f>IFERROR(INDEX(DATABASE_FG!$L$5:$L$367, MATCH(E2005, DATABASE_FG!$C$5:$C$367, 0)), " ")</f>
        <v>42</v>
      </c>
      <c r="T2005" s="36"/>
      <c r="U2005" s="36"/>
      <c r="V2005" s="36"/>
      <c r="W2005" s="129"/>
      <c r="X2005" s="36"/>
      <c r="Y2005" s="36"/>
      <c r="Z2005" s="36"/>
      <c r="AA2005" s="125" t="s">
        <v>121</v>
      </c>
      <c r="AB2005" s="173">
        <v>45428</v>
      </c>
      <c r="AC2005" s="119">
        <v>2024493</v>
      </c>
      <c r="AD2005" s="36">
        <f t="shared" si="230"/>
        <v>36635738</v>
      </c>
      <c r="AE2005" s="36" t="str">
        <f t="shared" si="231"/>
        <v>TK.KWVE15-B-A-ESC-0038-WW1</v>
      </c>
      <c r="AF2005" s="36">
        <v>100</v>
      </c>
      <c r="AG2005" s="120">
        <f t="shared" si="229"/>
        <v>356</v>
      </c>
      <c r="AH2005" s="36"/>
      <c r="AI2005" s="124"/>
      <c r="AJ2005" s="122" t="s">
        <v>1464</v>
      </c>
      <c r="AK2005" s="129" t="str">
        <f t="shared" ca="1" si="228"/>
        <v>Late</v>
      </c>
      <c r="AL2005" s="268" t="str">
        <f t="shared" si="227"/>
        <v>May</v>
      </c>
      <c r="AM2005" s="133">
        <f>YEAR(Table1[[#This Row],[ETA
As requested
dd.mm.yyyy]])</f>
        <v>2024</v>
      </c>
    </row>
    <row r="2006" spans="1:40" hidden="1">
      <c r="A2006" s="123" t="s">
        <v>83</v>
      </c>
      <c r="B2006" s="36" t="s">
        <v>1170</v>
      </c>
      <c r="C2006" s="117">
        <v>36635745</v>
      </c>
      <c r="D2006" s="165">
        <v>45400</v>
      </c>
      <c r="E2006" s="117" t="s">
        <v>99</v>
      </c>
      <c r="F2006" s="36" t="str">
        <f>IFERROR(VLOOKUP(Table1[[#This Row],[Part Number]],DATABASE_FG!$C$6:D11995,2,FALSE)," ")</f>
        <v xml:space="preserve">054380529-8011 </v>
      </c>
      <c r="G2006" s="117">
        <f>IFERROR(_xlfn.XLOOKUP(Table1[[#This Row],[Part Number]],Table3[Part number],Table3[Drawing
 Revision]),"")</f>
        <v>0</v>
      </c>
      <c r="H2006" s="118" cm="1">
        <f t="array" ref="H2006">IFERROR(INDEX(PDB!$C:$AT,MATCH(E2006,PDB!$B:$B,0),MATCH(YEAR(K2006),0+PDB!$C$1:$AT$1,0)),"")</f>
        <v>3.56</v>
      </c>
      <c r="I2006" s="36">
        <v>250</v>
      </c>
      <c r="J2006" s="125">
        <f>IFERROR(Table1[[#This Row],[Quantity]]*Table1[[#This Row],[Price/Unit
EUR]]," ")</f>
        <v>890</v>
      </c>
      <c r="K2006" s="126">
        <v>45421</v>
      </c>
      <c r="L2006" s="36">
        <f>WEEKNUM(Table1[[#This Row],[ETA
As requested
dd.mm.yyyy]])</f>
        <v>19</v>
      </c>
      <c r="M2006" s="36">
        <f>YEAR(Table1[[#This Row],[ETA
As requested
dd.mm.yyyy]])</f>
        <v>2024</v>
      </c>
      <c r="N2006" s="36">
        <f>IFERROR(INDEX(DATABASE_FG!$H$5:$H$367, MATCH(E2006, DATABASE_FG!$C$5:$C$367, 0)), " ")</f>
        <v>0</v>
      </c>
      <c r="O2006" s="129" t="str">
        <f>IF(E2006&lt;&gt;"", _xlfn.XLOOKUP(E2006, DATABASE_FG!C:C, DATABASE_FG!F:F), " ")</f>
        <v>Ghidaje</v>
      </c>
      <c r="P2006" s="129">
        <f>IFERROR(INDEX(DATABASE_FG!$G$5:$G$367, MATCH(E2006, DATABASE_FG!$C$5:$C$367, 0)), "Not Found")</f>
        <v>0</v>
      </c>
      <c r="Q2006" s="36"/>
      <c r="R2006" s="125" t="s">
        <v>678</v>
      </c>
      <c r="S2006" s="123">
        <f>IFERROR(INDEX(DATABASE_FG!$L$5:$L$367, MATCH(E2006, DATABASE_FG!$C$5:$C$367, 0)), " ")</f>
        <v>42</v>
      </c>
      <c r="T2006" s="36" t="s">
        <v>679</v>
      </c>
      <c r="U2006" s="36"/>
      <c r="V2006" s="36"/>
      <c r="W2006" s="129"/>
      <c r="X2006" s="36"/>
      <c r="Y2006" s="36"/>
      <c r="Z2006" s="36">
        <v>241801</v>
      </c>
      <c r="AA2006" s="125" t="s">
        <v>121</v>
      </c>
      <c r="AB2006" s="173">
        <v>45428</v>
      </c>
      <c r="AC2006" s="119">
        <v>2024496</v>
      </c>
      <c r="AD2006" s="36">
        <f t="shared" si="230"/>
        <v>36635745</v>
      </c>
      <c r="AE2006" s="36" t="str">
        <f t="shared" si="231"/>
        <v>TK.KWVE15-B-A-ESC-0038-WW1</v>
      </c>
      <c r="AF2006" s="36">
        <v>100</v>
      </c>
      <c r="AG2006" s="120">
        <f t="shared" si="229"/>
        <v>356</v>
      </c>
      <c r="AH2006" s="36"/>
      <c r="AI2006" s="124"/>
      <c r="AJ2006" s="122" t="s">
        <v>1492</v>
      </c>
      <c r="AK2006" s="129" t="str">
        <f t="shared" ca="1" si="228"/>
        <v>Late</v>
      </c>
      <c r="AL2006" s="268" t="str">
        <f t="shared" si="227"/>
        <v>May</v>
      </c>
      <c r="AM2006" s="133">
        <f>YEAR(Table1[[#This Row],[ETA
As requested
dd.mm.yyyy]])</f>
        <v>2024</v>
      </c>
    </row>
    <row r="2007" spans="1:40" hidden="1">
      <c r="A2007" s="123" t="s">
        <v>83</v>
      </c>
      <c r="B2007" s="36" t="s">
        <v>1170</v>
      </c>
      <c r="C2007" s="117">
        <v>36635745</v>
      </c>
      <c r="D2007" s="165">
        <v>45400</v>
      </c>
      <c r="E2007" s="117" t="s">
        <v>99</v>
      </c>
      <c r="F2007" s="36" t="str">
        <f>IFERROR(VLOOKUP(Table1[[#This Row],[Part Number]],DATABASE_FG!$C$6:D11996,2,FALSE)," ")</f>
        <v xml:space="preserve">054380529-8011 </v>
      </c>
      <c r="G2007" s="117">
        <f>IFERROR(_xlfn.XLOOKUP(Table1[[#This Row],[Part Number]],Table3[Part number],Table3[Drawing
 Revision]),"")</f>
        <v>0</v>
      </c>
      <c r="H2007" s="118" cm="1">
        <f t="array" ref="H2007">IFERROR(INDEX(PDB!$C:$AT,MATCH(E2007,PDB!$B:$B,0),MATCH(YEAR(K2007),0+PDB!$C$1:$AT$1,0)),"")</f>
        <v>3.56</v>
      </c>
      <c r="I2007" s="36"/>
      <c r="J2007" s="125">
        <f>IFERROR(Table1[[#This Row],[Quantity]]*Table1[[#This Row],[Price/Unit
EUR]]," ")</f>
        <v>0</v>
      </c>
      <c r="K2007" s="126">
        <v>45421</v>
      </c>
      <c r="L2007" s="36">
        <f>WEEKNUM(Table1[[#This Row],[ETA
As requested
dd.mm.yyyy]])</f>
        <v>19</v>
      </c>
      <c r="M2007" s="36">
        <f>YEAR(Table1[[#This Row],[ETA
As requested
dd.mm.yyyy]])</f>
        <v>2024</v>
      </c>
      <c r="N2007" s="36">
        <f>IFERROR(INDEX(DATABASE_FG!$H$5:$H$367, MATCH(E2007, DATABASE_FG!$C$5:$C$367, 0)), " ")</f>
        <v>0</v>
      </c>
      <c r="O2007" s="129" t="str">
        <f>IF(E2007&lt;&gt;"", _xlfn.XLOOKUP(E2007, DATABASE_FG!C:C, DATABASE_FG!F:F), " ")</f>
        <v>Ghidaje</v>
      </c>
      <c r="P2007" s="129">
        <f>IFERROR(INDEX(DATABASE_FG!$G$5:$G$367, MATCH(E2007, DATABASE_FG!$C$5:$C$367, 0)), "Not Found")</f>
        <v>0</v>
      </c>
      <c r="Q2007" s="36"/>
      <c r="R2007" s="125" t="s">
        <v>678</v>
      </c>
      <c r="S2007" s="123">
        <f>IFERROR(INDEX(DATABASE_FG!$L$5:$L$367, MATCH(E2007, DATABASE_FG!$C$5:$C$367, 0)), " ")</f>
        <v>42</v>
      </c>
      <c r="T2007" s="36"/>
      <c r="U2007" s="36"/>
      <c r="V2007" s="36"/>
      <c r="W2007" s="129"/>
      <c r="X2007" s="36"/>
      <c r="Y2007" s="36"/>
      <c r="Z2007" s="36"/>
      <c r="AA2007" s="125" t="s">
        <v>121</v>
      </c>
      <c r="AB2007" s="173">
        <v>45432</v>
      </c>
      <c r="AC2007" s="119">
        <v>2024508</v>
      </c>
      <c r="AD2007" s="36">
        <f t="shared" si="230"/>
        <v>36635745</v>
      </c>
      <c r="AE2007" s="36" t="str">
        <f t="shared" si="231"/>
        <v>TK.KWVE15-B-A-ESC-0038-WW1</v>
      </c>
      <c r="AF2007" s="36">
        <v>75</v>
      </c>
      <c r="AG2007" s="120">
        <f t="shared" si="229"/>
        <v>267</v>
      </c>
      <c r="AH2007" s="36"/>
      <c r="AI2007" s="124"/>
      <c r="AJ2007" s="122" t="s">
        <v>1493</v>
      </c>
      <c r="AK2007" s="129" t="str">
        <f t="shared" ca="1" si="228"/>
        <v>Late</v>
      </c>
      <c r="AL2007" s="268" t="str">
        <f t="shared" si="227"/>
        <v>May</v>
      </c>
      <c r="AM2007" s="133">
        <f>YEAR(Table1[[#This Row],[ETA
As requested
dd.mm.yyyy]])</f>
        <v>2024</v>
      </c>
    </row>
    <row r="2008" spans="1:40" hidden="1">
      <c r="A2008" s="123" t="s">
        <v>83</v>
      </c>
      <c r="B2008" s="36" t="s">
        <v>1170</v>
      </c>
      <c r="C2008" s="117">
        <v>36635745</v>
      </c>
      <c r="D2008" s="165">
        <v>45400</v>
      </c>
      <c r="E2008" s="117" t="s">
        <v>99</v>
      </c>
      <c r="F2008" s="36" t="str">
        <f>IFERROR(VLOOKUP(Table1[[#This Row],[Part Number]],DATABASE_FG!$C$6:D11997,2,FALSE)," ")</f>
        <v xml:space="preserve">054380529-8011 </v>
      </c>
      <c r="G2008" s="117">
        <f>IFERROR(_xlfn.XLOOKUP(Table1[[#This Row],[Part Number]],Table3[Part number],Table3[Drawing
 Revision]),"")</f>
        <v>0</v>
      </c>
      <c r="H2008" s="118" cm="1">
        <f t="array" ref="H2008">IFERROR(INDEX(PDB!$C:$AT,MATCH(E2008,PDB!$B:$B,0),MATCH(YEAR(K2008),0+PDB!$C$1:$AT$1,0)),"")</f>
        <v>3.56</v>
      </c>
      <c r="I2008" s="36"/>
      <c r="J2008" s="125">
        <f>IFERROR(Table1[[#This Row],[Quantity]]*Table1[[#This Row],[Price/Unit
EUR]]," ")</f>
        <v>0</v>
      </c>
      <c r="K2008" s="126">
        <v>45421</v>
      </c>
      <c r="L2008" s="36">
        <f>WEEKNUM(Table1[[#This Row],[ETA
As requested
dd.mm.yyyy]])</f>
        <v>19</v>
      </c>
      <c r="M2008" s="36">
        <f>YEAR(Table1[[#This Row],[ETA
As requested
dd.mm.yyyy]])</f>
        <v>2024</v>
      </c>
      <c r="N2008" s="36">
        <f>IFERROR(INDEX(DATABASE_FG!$H$5:$H$367, MATCH(E2008, DATABASE_FG!$C$5:$C$367, 0)), " ")</f>
        <v>0</v>
      </c>
      <c r="O2008" s="129" t="str">
        <f>IF(E2008&lt;&gt;"", _xlfn.XLOOKUP(E2008, DATABASE_FG!C:C, DATABASE_FG!F:F), " ")</f>
        <v>Ghidaje</v>
      </c>
      <c r="P2008" s="129">
        <f>IFERROR(INDEX(DATABASE_FG!$G$5:$G$367, MATCH(E2008, DATABASE_FG!$C$5:$C$367, 0)), "Not Found")</f>
        <v>0</v>
      </c>
      <c r="Q2008" s="36"/>
      <c r="R2008" s="125" t="s">
        <v>678</v>
      </c>
      <c r="S2008" s="123">
        <f>IFERROR(INDEX(DATABASE_FG!$L$5:$L$367, MATCH(E2008, DATABASE_FG!$C$5:$C$367, 0)), " ")</f>
        <v>42</v>
      </c>
      <c r="T2008" s="36"/>
      <c r="U2008" s="36"/>
      <c r="V2008" s="36"/>
      <c r="W2008" s="129"/>
      <c r="X2008" s="36"/>
      <c r="Y2008" s="36"/>
      <c r="Z2008" s="36"/>
      <c r="AA2008" s="125" t="s">
        <v>121</v>
      </c>
      <c r="AB2008" s="173">
        <v>45433</v>
      </c>
      <c r="AC2008" s="119">
        <v>2024513</v>
      </c>
      <c r="AD2008" s="36">
        <f t="shared" si="230"/>
        <v>36635745</v>
      </c>
      <c r="AE2008" s="36" t="str">
        <f t="shared" si="231"/>
        <v>TK.KWVE15-B-A-ESC-0038-WW1</v>
      </c>
      <c r="AF2008" s="36">
        <v>75</v>
      </c>
      <c r="AG2008" s="120">
        <f t="shared" si="229"/>
        <v>267</v>
      </c>
      <c r="AH2008" s="36"/>
      <c r="AI2008" s="124"/>
      <c r="AJ2008" s="122" t="s">
        <v>1495</v>
      </c>
      <c r="AK2008" s="129" t="str">
        <f t="shared" ca="1" si="228"/>
        <v>Late</v>
      </c>
      <c r="AL2008" s="268" t="str">
        <f t="shared" si="227"/>
        <v>May</v>
      </c>
      <c r="AM2008" s="133">
        <f>YEAR(Table1[[#This Row],[ETA
As requested
dd.mm.yyyy]])</f>
        <v>2024</v>
      </c>
    </row>
    <row r="2009" spans="1:40" hidden="1">
      <c r="A2009" s="123" t="s">
        <v>83</v>
      </c>
      <c r="B2009" s="36" t="s">
        <v>1170</v>
      </c>
      <c r="C2009" s="117">
        <v>36635748</v>
      </c>
      <c r="D2009" s="165">
        <v>45400</v>
      </c>
      <c r="E2009" s="117" t="s">
        <v>99</v>
      </c>
      <c r="F2009" s="36" t="str">
        <f>IFERROR(VLOOKUP(Table1[[#This Row],[Part Number]],DATABASE_FG!$C$6:D11998,2,FALSE)," ")</f>
        <v xml:space="preserve">054380529-8011 </v>
      </c>
      <c r="G2009" s="117">
        <f>IFERROR(_xlfn.XLOOKUP(Table1[[#This Row],[Part Number]],Table3[Part number],Table3[Drawing
 Revision]),"")</f>
        <v>0</v>
      </c>
      <c r="H2009" s="118" cm="1">
        <f t="array" ref="H2009">IFERROR(INDEX(PDB!$C:$AT,MATCH(E2009,PDB!$B:$B,0),MATCH(YEAR(K2009),0+PDB!$C$1:$AT$1,0)),"")</f>
        <v>3.56</v>
      </c>
      <c r="I2009" s="36">
        <v>250</v>
      </c>
      <c r="J2009" s="125">
        <f>IFERROR(Table1[[#This Row],[Quantity]]*Table1[[#This Row],[Price/Unit
EUR]]," ")</f>
        <v>890</v>
      </c>
      <c r="K2009" s="126">
        <v>45426</v>
      </c>
      <c r="L2009" s="36">
        <f>WEEKNUM(Table1[[#This Row],[ETA
As requested
dd.mm.yyyy]])</f>
        <v>20</v>
      </c>
      <c r="M2009" s="36">
        <f>YEAR(Table1[[#This Row],[ETA
As requested
dd.mm.yyyy]])</f>
        <v>2024</v>
      </c>
      <c r="N2009" s="36">
        <f>IFERROR(INDEX(DATABASE_FG!$H$5:$H$367, MATCH(E2009, DATABASE_FG!$C$5:$C$367, 0)), " ")</f>
        <v>0</v>
      </c>
      <c r="O2009" s="129" t="str">
        <f>IF(E2009&lt;&gt;"", _xlfn.XLOOKUP(E2009, DATABASE_FG!C:C, DATABASE_FG!F:F), " ")</f>
        <v>Ghidaje</v>
      </c>
      <c r="P2009" s="129">
        <f>IFERROR(INDEX(DATABASE_FG!$G$5:$G$367, MATCH(E2009, DATABASE_FG!$C$5:$C$367, 0)), "Not Found")</f>
        <v>0</v>
      </c>
      <c r="Q2009" s="36"/>
      <c r="R2009" s="125" t="s">
        <v>678</v>
      </c>
      <c r="S2009" s="123">
        <f>IFERROR(INDEX(DATABASE_FG!$L$5:$L$367, MATCH(E2009, DATABASE_FG!$C$5:$C$367, 0)), " ")</f>
        <v>42</v>
      </c>
      <c r="T2009" s="36" t="s">
        <v>679</v>
      </c>
      <c r="U2009" s="36"/>
      <c r="V2009" s="36"/>
      <c r="W2009" s="129"/>
      <c r="X2009" s="36"/>
      <c r="Y2009" s="36"/>
      <c r="Z2009" s="36">
        <v>242001</v>
      </c>
      <c r="AA2009" s="125" t="s">
        <v>121</v>
      </c>
      <c r="AB2009" s="173">
        <v>45433</v>
      </c>
      <c r="AC2009" s="119">
        <v>2024514</v>
      </c>
      <c r="AD2009" s="36">
        <f t="shared" si="230"/>
        <v>36635748</v>
      </c>
      <c r="AE2009" s="36" t="str">
        <f t="shared" si="231"/>
        <v>TK.KWVE15-B-A-ESC-0038-WW1</v>
      </c>
      <c r="AF2009" s="36">
        <v>76</v>
      </c>
      <c r="AG2009" s="120">
        <f t="shared" si="229"/>
        <v>270.56</v>
      </c>
      <c r="AH2009" s="36"/>
      <c r="AI2009" s="124"/>
      <c r="AJ2009" s="122" t="s">
        <v>1507</v>
      </c>
      <c r="AK2009" s="129" t="str">
        <f t="shared" ca="1" si="228"/>
        <v>Late</v>
      </c>
      <c r="AL2009" s="268" t="str">
        <f t="shared" si="227"/>
        <v>May</v>
      </c>
      <c r="AM2009" s="133">
        <f>YEAR(Table1[[#This Row],[ETA
As requested
dd.mm.yyyy]])</f>
        <v>2024</v>
      </c>
    </row>
    <row r="2010" spans="1:40" hidden="1">
      <c r="A2010" s="123" t="s">
        <v>83</v>
      </c>
      <c r="B2010" s="36" t="s">
        <v>1170</v>
      </c>
      <c r="C2010" s="117">
        <v>36635748</v>
      </c>
      <c r="D2010" s="165">
        <v>45400</v>
      </c>
      <c r="E2010" s="117" t="s">
        <v>99</v>
      </c>
      <c r="F2010" s="36" t="str">
        <f>IFERROR(VLOOKUP(Table1[[#This Row],[Part Number]],DATABASE_FG!$C$6:D11999,2,FALSE)," ")</f>
        <v xml:space="preserve">054380529-8011 </v>
      </c>
      <c r="G2010" s="117">
        <f>IFERROR(_xlfn.XLOOKUP(Table1[[#This Row],[Part Number]],Table3[Part number],Table3[Drawing
 Revision]),"")</f>
        <v>0</v>
      </c>
      <c r="H2010" s="118" cm="1">
        <f t="array" ref="H2010">IFERROR(INDEX(PDB!$C:$AT,MATCH(E2010,PDB!$B:$B,0),MATCH(YEAR(K2010),0+PDB!$C$1:$AT$1,0)),"")</f>
        <v>3.56</v>
      </c>
      <c r="I2010" s="36"/>
      <c r="J2010" s="125">
        <f>IFERROR(Table1[[#This Row],[Quantity]]*Table1[[#This Row],[Price/Unit
EUR]]," ")</f>
        <v>0</v>
      </c>
      <c r="K2010" s="126">
        <v>45426</v>
      </c>
      <c r="L2010" s="36">
        <f>WEEKNUM(Table1[[#This Row],[ETA
As requested
dd.mm.yyyy]])</f>
        <v>20</v>
      </c>
      <c r="M2010" s="36">
        <f>YEAR(Table1[[#This Row],[ETA
As requested
dd.mm.yyyy]])</f>
        <v>2024</v>
      </c>
      <c r="N2010" s="36">
        <f>IFERROR(INDEX(DATABASE_FG!$H$5:$H$367, MATCH(E2010, DATABASE_FG!$C$5:$C$367, 0)), " ")</f>
        <v>0</v>
      </c>
      <c r="O2010" s="129" t="str">
        <f>IF(E2010&lt;&gt;"", _xlfn.XLOOKUP(E2010, DATABASE_FG!C:C, DATABASE_FG!F:F), " ")</f>
        <v>Ghidaje</v>
      </c>
      <c r="P2010" s="129">
        <f>IFERROR(INDEX(DATABASE_FG!$G$5:$G$367, MATCH(E2010, DATABASE_FG!$C$5:$C$367, 0)), "Not Found")</f>
        <v>0</v>
      </c>
      <c r="Q2010" s="36"/>
      <c r="R2010" s="125" t="s">
        <v>678</v>
      </c>
      <c r="S2010" s="123">
        <f>IFERROR(INDEX(DATABASE_FG!$L$5:$L$367, MATCH(E2010, DATABASE_FG!$C$5:$C$367, 0)), " ")</f>
        <v>42</v>
      </c>
      <c r="T2010" s="36"/>
      <c r="U2010" s="36"/>
      <c r="V2010" s="36"/>
      <c r="W2010" s="129"/>
      <c r="X2010" s="36"/>
      <c r="Y2010" s="36"/>
      <c r="Z2010" s="36"/>
      <c r="AA2010" s="125" t="s">
        <v>121</v>
      </c>
      <c r="AB2010" s="173">
        <v>45434</v>
      </c>
      <c r="AC2010" s="119">
        <v>2024524</v>
      </c>
      <c r="AD2010" s="36">
        <f t="shared" si="230"/>
        <v>36635748</v>
      </c>
      <c r="AE2010" s="36" t="str">
        <f t="shared" si="231"/>
        <v>TK.KWVE15-B-A-ESC-0038-WW1</v>
      </c>
      <c r="AF2010" s="36">
        <v>50</v>
      </c>
      <c r="AG2010" s="120">
        <f t="shared" si="229"/>
        <v>178</v>
      </c>
      <c r="AH2010" s="36"/>
      <c r="AI2010" s="124"/>
      <c r="AJ2010" s="122" t="s">
        <v>1509</v>
      </c>
      <c r="AK2010" s="129" t="str">
        <f t="shared" ca="1" si="228"/>
        <v>Late</v>
      </c>
      <c r="AL2010" s="268" t="str">
        <f t="shared" si="227"/>
        <v>May</v>
      </c>
      <c r="AM2010" s="133">
        <f>YEAR(Table1[[#This Row],[ETA
As requested
dd.mm.yyyy]])</f>
        <v>2024</v>
      </c>
    </row>
    <row r="2011" spans="1:40" hidden="1">
      <c r="A2011" s="123" t="s">
        <v>83</v>
      </c>
      <c r="B2011" s="36" t="s">
        <v>1170</v>
      </c>
      <c r="C2011" s="117">
        <v>36635748</v>
      </c>
      <c r="D2011" s="165">
        <v>45400</v>
      </c>
      <c r="E2011" s="117" t="s">
        <v>99</v>
      </c>
      <c r="F2011" s="36" t="str">
        <f>IFERROR(VLOOKUP(Table1[[#This Row],[Part Number]],DATABASE_FG!$C$6:D12000,2,FALSE)," ")</f>
        <v xml:space="preserve">054380529-8011 </v>
      </c>
      <c r="G2011" s="117">
        <f>IFERROR(_xlfn.XLOOKUP(Table1[[#This Row],[Part Number]],Table3[Part number],Table3[Drawing
 Revision]),"")</f>
        <v>0</v>
      </c>
      <c r="H2011" s="118" cm="1">
        <f t="array" ref="H2011">IFERROR(INDEX(PDB!$C:$AT,MATCH(E2011,PDB!$B:$B,0),MATCH(YEAR(K2011),0+PDB!$C$1:$AT$1,0)),"")</f>
        <v>3.56</v>
      </c>
      <c r="I2011" s="36"/>
      <c r="J2011" s="125">
        <f>IFERROR(Table1[[#This Row],[Quantity]]*Table1[[#This Row],[Price/Unit
EUR]]," ")</f>
        <v>0</v>
      </c>
      <c r="K2011" s="126">
        <v>45426</v>
      </c>
      <c r="L2011" s="36">
        <f>WEEKNUM(Table1[[#This Row],[ETA
As requested
dd.mm.yyyy]])</f>
        <v>20</v>
      </c>
      <c r="M2011" s="36">
        <f>YEAR(Table1[[#This Row],[ETA
As requested
dd.mm.yyyy]])</f>
        <v>2024</v>
      </c>
      <c r="N2011" s="36">
        <f>IFERROR(INDEX(DATABASE_FG!$H$5:$H$367, MATCH(E2011, DATABASE_FG!$C$5:$C$367, 0)), " ")</f>
        <v>0</v>
      </c>
      <c r="O2011" s="129" t="str">
        <f>IF(E2011&lt;&gt;"", _xlfn.XLOOKUP(E2011, DATABASE_FG!C:C, DATABASE_FG!F:F), " ")</f>
        <v>Ghidaje</v>
      </c>
      <c r="P2011" s="129">
        <f>IFERROR(INDEX(DATABASE_FG!$G$5:$G$367, MATCH(E2011, DATABASE_FG!$C$5:$C$367, 0)), "Not Found")</f>
        <v>0</v>
      </c>
      <c r="Q2011" s="36"/>
      <c r="R2011" s="125" t="s">
        <v>678</v>
      </c>
      <c r="S2011" s="123">
        <f>IFERROR(INDEX(DATABASE_FG!$L$5:$L$367, MATCH(E2011, DATABASE_FG!$C$5:$C$367, 0)), " ")</f>
        <v>42</v>
      </c>
      <c r="T2011" s="36"/>
      <c r="U2011" s="36"/>
      <c r="V2011" s="36"/>
      <c r="W2011" s="129"/>
      <c r="X2011" s="36"/>
      <c r="Y2011" s="36"/>
      <c r="Z2011" s="36"/>
      <c r="AA2011" s="125" t="s">
        <v>121</v>
      </c>
      <c r="AB2011" s="173">
        <v>45435</v>
      </c>
      <c r="AC2011" s="119">
        <v>2024530</v>
      </c>
      <c r="AD2011" s="36">
        <f t="shared" si="230"/>
        <v>36635748</v>
      </c>
      <c r="AE2011" s="36" t="str">
        <f t="shared" si="231"/>
        <v>TK.KWVE15-B-A-ESC-0038-WW1</v>
      </c>
      <c r="AF2011" s="36">
        <v>124</v>
      </c>
      <c r="AG2011" s="120">
        <f t="shared" si="229"/>
        <v>441.44</v>
      </c>
      <c r="AH2011" s="36"/>
      <c r="AI2011" s="124"/>
      <c r="AJ2011" s="122" t="s">
        <v>1510</v>
      </c>
      <c r="AK2011" s="129" t="str">
        <f t="shared" ca="1" si="228"/>
        <v>Late</v>
      </c>
      <c r="AL2011" s="268" t="str">
        <f t="shared" si="227"/>
        <v>May</v>
      </c>
      <c r="AM2011" s="133">
        <f>YEAR(Table1[[#This Row],[ETA
As requested
dd.mm.yyyy]])</f>
        <v>2024</v>
      </c>
    </row>
    <row r="2012" spans="1:40" hidden="1">
      <c r="A2012" s="123" t="s">
        <v>83</v>
      </c>
      <c r="B2012" s="36" t="s">
        <v>1170</v>
      </c>
      <c r="C2012" s="117">
        <v>36635751</v>
      </c>
      <c r="D2012" s="165">
        <v>45400</v>
      </c>
      <c r="E2012" s="117" t="s">
        <v>99</v>
      </c>
      <c r="F2012" s="36" t="str">
        <f>IFERROR(VLOOKUP(Table1[[#This Row],[Part Number]],DATABASE_FG!$C$6:D12001,2,FALSE)," ")</f>
        <v xml:space="preserve">054380529-8011 </v>
      </c>
      <c r="G2012" s="117">
        <f>IFERROR(_xlfn.XLOOKUP(Table1[[#This Row],[Part Number]],Table3[Part number],Table3[Drawing
 Revision]),"")</f>
        <v>0</v>
      </c>
      <c r="H2012" s="118" cm="1">
        <f t="array" ref="H2012">IFERROR(INDEX(PDB!$C:$AT,MATCH(E2012,PDB!$B:$B,0),MATCH(YEAR(K2012),0+PDB!$C$1:$AT$1,0)),"")</f>
        <v>3.56</v>
      </c>
      <c r="I2012" s="36">
        <v>250</v>
      </c>
      <c r="J2012" s="125">
        <f>IFERROR(Table1[[#This Row],[Quantity]]*Table1[[#This Row],[Price/Unit
EUR]]," ")</f>
        <v>890</v>
      </c>
      <c r="K2012" s="126">
        <v>45428</v>
      </c>
      <c r="L2012" s="36">
        <f>WEEKNUM(Table1[[#This Row],[ETA
As requested
dd.mm.yyyy]])</f>
        <v>20</v>
      </c>
      <c r="M2012" s="36">
        <f>YEAR(Table1[[#This Row],[ETA
As requested
dd.mm.yyyy]])</f>
        <v>2024</v>
      </c>
      <c r="N2012" s="36">
        <f>IFERROR(INDEX(DATABASE_FG!$H$5:$H$367, MATCH(E2012, DATABASE_FG!$C$5:$C$367, 0)), " ")</f>
        <v>0</v>
      </c>
      <c r="O2012" s="129" t="str">
        <f>IF(E2012&lt;&gt;"", _xlfn.XLOOKUP(E2012, DATABASE_FG!C:C, DATABASE_FG!F:F), " ")</f>
        <v>Ghidaje</v>
      </c>
      <c r="P2012" s="129">
        <f>IFERROR(INDEX(DATABASE_FG!$G$5:$G$367, MATCH(E2012, DATABASE_FG!$C$5:$C$367, 0)), "Not Found")</f>
        <v>0</v>
      </c>
      <c r="Q2012" s="36"/>
      <c r="R2012" s="125" t="s">
        <v>678</v>
      </c>
      <c r="S2012" s="123">
        <f>IFERROR(INDEX(DATABASE_FG!$L$5:$L$367, MATCH(E2012, DATABASE_FG!$C$5:$C$367, 0)), " ")</f>
        <v>42</v>
      </c>
      <c r="T2012" s="36" t="s">
        <v>679</v>
      </c>
      <c r="U2012" s="36"/>
      <c r="V2012" s="36"/>
      <c r="W2012" s="129"/>
      <c r="X2012" s="36"/>
      <c r="Y2012" s="36"/>
      <c r="Z2012" s="36">
        <v>242001</v>
      </c>
      <c r="AA2012" s="125" t="s">
        <v>121</v>
      </c>
      <c r="AB2012" s="173">
        <v>45436</v>
      </c>
      <c r="AC2012" s="119">
        <v>2024540</v>
      </c>
      <c r="AD2012" s="36">
        <f t="shared" si="230"/>
        <v>36635751</v>
      </c>
      <c r="AE2012" s="36" t="str">
        <f t="shared" si="231"/>
        <v>TK.KWVE15-B-A-ESC-0038-WW1</v>
      </c>
      <c r="AF2012" s="36">
        <v>96</v>
      </c>
      <c r="AG2012" s="120">
        <f t="shared" si="229"/>
        <v>341.76</v>
      </c>
      <c r="AH2012" s="36"/>
      <c r="AI2012" s="124"/>
      <c r="AJ2012" s="122" t="s">
        <v>1516</v>
      </c>
      <c r="AK2012" s="129" t="str">
        <f t="shared" ca="1" si="228"/>
        <v>Late</v>
      </c>
      <c r="AL2012" s="268" t="str">
        <f t="shared" si="227"/>
        <v>May</v>
      </c>
      <c r="AM2012" s="133">
        <f>YEAR(Table1[[#This Row],[ETA
As requested
dd.mm.yyyy]])</f>
        <v>2024</v>
      </c>
    </row>
    <row r="2013" spans="1:40" hidden="1">
      <c r="A2013" s="123" t="s">
        <v>83</v>
      </c>
      <c r="B2013" s="36" t="s">
        <v>1170</v>
      </c>
      <c r="C2013" s="117">
        <v>36635751</v>
      </c>
      <c r="D2013" s="165">
        <v>45400</v>
      </c>
      <c r="E2013" s="117" t="s">
        <v>99</v>
      </c>
      <c r="F2013" s="36" t="str">
        <f>IFERROR(VLOOKUP(Table1[[#This Row],[Part Number]],DATABASE_FG!$C$6:D12002,2,FALSE)," ")</f>
        <v xml:space="preserve">054380529-8011 </v>
      </c>
      <c r="G2013" s="117">
        <f>IFERROR(_xlfn.XLOOKUP(Table1[[#This Row],[Part Number]],Table3[Part number],Table3[Drawing
 Revision]),"")</f>
        <v>0</v>
      </c>
      <c r="H2013" s="118" cm="1">
        <f t="array" ref="H2013">IFERROR(INDEX(PDB!$C:$AT,MATCH(E2013,PDB!$B:$B,0),MATCH(YEAR(K2013),0+PDB!$C$1:$AT$1,0)),"")</f>
        <v>3.56</v>
      </c>
      <c r="I2013" s="36"/>
      <c r="J2013" s="125">
        <f>IFERROR(Table1[[#This Row],[Quantity]]*Table1[[#This Row],[Price/Unit
EUR]]," ")</f>
        <v>0</v>
      </c>
      <c r="K2013" s="126">
        <v>45428</v>
      </c>
      <c r="L2013" s="36">
        <f>WEEKNUM(Table1[[#This Row],[ETA
As requested
dd.mm.yyyy]])</f>
        <v>20</v>
      </c>
      <c r="M2013" s="36">
        <f>YEAR(Table1[[#This Row],[ETA
As requested
dd.mm.yyyy]])</f>
        <v>2024</v>
      </c>
      <c r="N2013" s="36">
        <f>IFERROR(INDEX(DATABASE_FG!$H$5:$H$367, MATCH(E2013, DATABASE_FG!$C$5:$C$367, 0)), " ")</f>
        <v>0</v>
      </c>
      <c r="O2013" s="129" t="str">
        <f>IF(E2013&lt;&gt;"", _xlfn.XLOOKUP(E2013, DATABASE_FG!C:C, DATABASE_FG!F:F), " ")</f>
        <v>Ghidaje</v>
      </c>
      <c r="P2013" s="129">
        <f>IFERROR(INDEX(DATABASE_FG!$G$5:$G$367, MATCH(E2013, DATABASE_FG!$C$5:$C$367, 0)), "Not Found")</f>
        <v>0</v>
      </c>
      <c r="Q2013" s="36"/>
      <c r="R2013" s="125" t="s">
        <v>678</v>
      </c>
      <c r="S2013" s="123">
        <f>IFERROR(INDEX(DATABASE_FG!$L$5:$L$367, MATCH(E2013, DATABASE_FG!$C$5:$C$367, 0)), " ")</f>
        <v>42</v>
      </c>
      <c r="T2013" s="36"/>
      <c r="U2013" s="36"/>
      <c r="V2013" s="36"/>
      <c r="W2013" s="129"/>
      <c r="X2013" s="36"/>
      <c r="Y2013" s="36"/>
      <c r="Z2013" s="36"/>
      <c r="AA2013" s="125" t="s">
        <v>121</v>
      </c>
      <c r="AB2013" s="172">
        <v>45439</v>
      </c>
      <c r="AC2013" s="119">
        <v>2024544</v>
      </c>
      <c r="AD2013" s="36">
        <f t="shared" si="230"/>
        <v>36635751</v>
      </c>
      <c r="AE2013" s="36" t="str">
        <f t="shared" si="231"/>
        <v>TK.KWVE15-B-A-ESC-0038-WW1</v>
      </c>
      <c r="AF2013" s="36">
        <v>145</v>
      </c>
      <c r="AG2013" s="120">
        <f t="shared" si="229"/>
        <v>516.20000000000005</v>
      </c>
      <c r="AH2013" s="36"/>
      <c r="AI2013" s="124"/>
      <c r="AJ2013" s="122" t="s">
        <v>1518</v>
      </c>
      <c r="AK2013" s="129" t="str">
        <f t="shared" ca="1" si="228"/>
        <v>Late</v>
      </c>
      <c r="AL2013" s="268" t="str">
        <f t="shared" si="227"/>
        <v>May</v>
      </c>
      <c r="AM2013" s="133">
        <f>YEAR(Table1[[#This Row],[ETA
As requested
dd.mm.yyyy]])</f>
        <v>2024</v>
      </c>
    </row>
    <row r="2014" spans="1:40" hidden="1">
      <c r="A2014" s="123" t="s">
        <v>83</v>
      </c>
      <c r="B2014" s="36" t="s">
        <v>1170</v>
      </c>
      <c r="C2014" s="117">
        <v>36635751</v>
      </c>
      <c r="D2014" s="165">
        <v>45400</v>
      </c>
      <c r="E2014" s="117" t="s">
        <v>99</v>
      </c>
      <c r="F2014" s="36" t="str">
        <f>IFERROR(VLOOKUP(Table1[[#This Row],[Part Number]],DATABASE_FG!$C$6:D12003,2,FALSE)," ")</f>
        <v xml:space="preserve">054380529-8011 </v>
      </c>
      <c r="G2014" s="117">
        <f>IFERROR(_xlfn.XLOOKUP(Table1[[#This Row],[Part Number]],Table3[Part number],Table3[Drawing
 Revision]),"")</f>
        <v>0</v>
      </c>
      <c r="H2014" s="118" cm="1">
        <f t="array" ref="H2014">IFERROR(INDEX(PDB!$C:$AT,MATCH(E2014,PDB!$B:$B,0),MATCH(YEAR(K2014),0+PDB!$C$1:$AT$1,0)),"")</f>
        <v>3.56</v>
      </c>
      <c r="I2014" s="36"/>
      <c r="J2014" s="125">
        <f>IFERROR(Table1[[#This Row],[Quantity]]*Table1[[#This Row],[Price/Unit
EUR]]," ")</f>
        <v>0</v>
      </c>
      <c r="K2014" s="126">
        <v>45428</v>
      </c>
      <c r="L2014" s="36">
        <f>WEEKNUM(Table1[[#This Row],[ETA
As requested
dd.mm.yyyy]])</f>
        <v>20</v>
      </c>
      <c r="M2014" s="36">
        <f>YEAR(Table1[[#This Row],[ETA
As requested
dd.mm.yyyy]])</f>
        <v>2024</v>
      </c>
      <c r="N2014" s="36">
        <f>IFERROR(INDEX(DATABASE_FG!$H$5:$H$367, MATCH(E2014, DATABASE_FG!$C$5:$C$367, 0)), " ")</f>
        <v>0</v>
      </c>
      <c r="O2014" s="129" t="str">
        <f>IF(E2014&lt;&gt;"", _xlfn.XLOOKUP(E2014, DATABASE_FG!C:C, DATABASE_FG!F:F), " ")</f>
        <v>Ghidaje</v>
      </c>
      <c r="P2014" s="129">
        <f>IFERROR(INDEX(DATABASE_FG!$G$5:$G$367, MATCH(E2014, DATABASE_FG!$C$5:$C$367, 0)), "Not Found")</f>
        <v>0</v>
      </c>
      <c r="Q2014" s="36"/>
      <c r="R2014" s="125" t="s">
        <v>678</v>
      </c>
      <c r="S2014" s="123">
        <f>IFERROR(INDEX(DATABASE_FG!$L$5:$L$367, MATCH(E2014, DATABASE_FG!$C$5:$C$367, 0)), " ")</f>
        <v>42</v>
      </c>
      <c r="T2014" s="36"/>
      <c r="U2014" s="36"/>
      <c r="V2014" s="36"/>
      <c r="W2014" s="129"/>
      <c r="X2014" s="36"/>
      <c r="Y2014" s="36"/>
      <c r="Z2014" s="36"/>
      <c r="AA2014" s="125" t="s">
        <v>121</v>
      </c>
      <c r="AB2014" s="172">
        <v>45440</v>
      </c>
      <c r="AC2014" s="119">
        <v>2024554</v>
      </c>
      <c r="AD2014" s="36">
        <f t="shared" si="230"/>
        <v>36635751</v>
      </c>
      <c r="AE2014" s="36" t="str">
        <f t="shared" si="231"/>
        <v>TK.KWVE15-B-A-ESC-0038-WW1</v>
      </c>
      <c r="AF2014" s="36">
        <v>9</v>
      </c>
      <c r="AG2014" s="120">
        <f t="shared" si="229"/>
        <v>32.04</v>
      </c>
      <c r="AH2014" s="36"/>
      <c r="AI2014" s="124"/>
      <c r="AJ2014" s="122" t="s">
        <v>1520</v>
      </c>
      <c r="AK2014" s="129" t="str">
        <f t="shared" ca="1" si="228"/>
        <v>Late</v>
      </c>
      <c r="AL2014" s="268" t="str">
        <f t="shared" si="227"/>
        <v>May</v>
      </c>
      <c r="AM2014" s="133">
        <f>YEAR(Table1[[#This Row],[ETA
As requested
dd.mm.yyyy]])</f>
        <v>2024</v>
      </c>
    </row>
    <row r="2015" spans="1:40" hidden="1">
      <c r="A2015" s="123" t="s">
        <v>83</v>
      </c>
      <c r="B2015" s="36" t="s">
        <v>1170</v>
      </c>
      <c r="C2015" s="117">
        <v>36635753</v>
      </c>
      <c r="D2015" s="165">
        <v>45400</v>
      </c>
      <c r="E2015" s="117" t="s">
        <v>99</v>
      </c>
      <c r="F2015" s="36" t="str">
        <f>IFERROR(VLOOKUP(Table1[[#This Row],[Part Number]],DATABASE_FG!$C$6:D12004,2,FALSE)," ")</f>
        <v xml:space="preserve">054380529-8011 </v>
      </c>
      <c r="G2015" s="117">
        <f>IFERROR(_xlfn.XLOOKUP(Table1[[#This Row],[Part Number]],Table3[Part number],Table3[Drawing
 Revision]),"")</f>
        <v>0</v>
      </c>
      <c r="H2015" s="118" cm="1">
        <f t="array" ref="H2015">IFERROR(INDEX(PDB!$C:$AT,MATCH(E2015,PDB!$B:$B,0),MATCH(YEAR(K2015),0+PDB!$C$1:$AT$1,0)),"")</f>
        <v>3.56</v>
      </c>
      <c r="I2015" s="36">
        <v>250</v>
      </c>
      <c r="J2015" s="125">
        <f>IFERROR(Table1[[#This Row],[Quantity]]*Table1[[#This Row],[Price/Unit
EUR]]," ")</f>
        <v>890</v>
      </c>
      <c r="K2015" s="126">
        <v>45433</v>
      </c>
      <c r="L2015" s="36">
        <f>WEEKNUM(Table1[[#This Row],[ETA
As requested
dd.mm.yyyy]])</f>
        <v>21</v>
      </c>
      <c r="M2015" s="36">
        <f>YEAR(Table1[[#This Row],[ETA
As requested
dd.mm.yyyy]])</f>
        <v>2024</v>
      </c>
      <c r="N2015" s="36">
        <f>IFERROR(INDEX(DATABASE_FG!$H$5:$H$367, MATCH(E2015, DATABASE_FG!$C$5:$C$367, 0)), " ")</f>
        <v>0</v>
      </c>
      <c r="O2015" s="129" t="str">
        <f>IF(E2015&lt;&gt;"", _xlfn.XLOOKUP(E2015, DATABASE_FG!C:C, DATABASE_FG!F:F), " ")</f>
        <v>Ghidaje</v>
      </c>
      <c r="P2015" s="129">
        <f>IFERROR(INDEX(DATABASE_FG!$G$5:$G$367, MATCH(E2015, DATABASE_FG!$C$5:$C$367, 0)), "Not Found")</f>
        <v>0</v>
      </c>
      <c r="Q2015" s="36"/>
      <c r="R2015" s="125" t="s">
        <v>678</v>
      </c>
      <c r="S2015" s="123">
        <f>IFERROR(INDEX(DATABASE_FG!$L$5:$L$367, MATCH(E2015, DATABASE_FG!$C$5:$C$367, 0)), " ")</f>
        <v>42</v>
      </c>
      <c r="T2015" s="36" t="s">
        <v>679</v>
      </c>
      <c r="U2015" s="36"/>
      <c r="V2015" s="36"/>
      <c r="W2015" s="129"/>
      <c r="X2015" s="36"/>
      <c r="Y2015" s="36"/>
      <c r="Z2015" s="36">
        <v>242001</v>
      </c>
      <c r="AA2015" s="125" t="s">
        <v>121</v>
      </c>
      <c r="AB2015" s="172">
        <v>45440</v>
      </c>
      <c r="AC2015" s="119">
        <v>2024555</v>
      </c>
      <c r="AD2015" s="36">
        <f t="shared" si="230"/>
        <v>36635753</v>
      </c>
      <c r="AE2015" s="36" t="str">
        <f t="shared" si="231"/>
        <v>TK.KWVE15-B-A-ESC-0038-WW1</v>
      </c>
      <c r="AF2015" s="36">
        <v>110</v>
      </c>
      <c r="AG2015" s="120">
        <f t="shared" si="229"/>
        <v>391.6</v>
      </c>
      <c r="AH2015" s="36"/>
      <c r="AI2015" s="124"/>
      <c r="AJ2015" s="122" t="s">
        <v>1532</v>
      </c>
      <c r="AK2015" s="129" t="str">
        <f t="shared" ca="1" si="228"/>
        <v>Late</v>
      </c>
      <c r="AL2015" s="268" t="str">
        <f t="shared" si="227"/>
        <v>May</v>
      </c>
      <c r="AM2015" s="133">
        <f>YEAR(Table1[[#This Row],[ETA
As requested
dd.mm.yyyy]])</f>
        <v>2024</v>
      </c>
    </row>
    <row r="2016" spans="1:40" ht="19.5" hidden="1" customHeight="1">
      <c r="A2016" s="123" t="s">
        <v>83</v>
      </c>
      <c r="B2016" s="36" t="s">
        <v>1170</v>
      </c>
      <c r="C2016" s="117">
        <v>36635753</v>
      </c>
      <c r="D2016" s="165">
        <v>45400</v>
      </c>
      <c r="E2016" s="117" t="s">
        <v>99</v>
      </c>
      <c r="F2016" s="36" t="str">
        <f>IFERROR(VLOOKUP(Table1[[#This Row],[Part Number]],DATABASE_FG!$C$6:D12005,2,FALSE)," ")</f>
        <v xml:space="preserve">054380529-8011 </v>
      </c>
      <c r="G2016" s="117">
        <f>IFERROR(_xlfn.XLOOKUP(Table1[[#This Row],[Part Number]],Table3[Part number],Table3[Drawing
 Revision]),"")</f>
        <v>0</v>
      </c>
      <c r="H2016" s="118" cm="1">
        <f t="array" ref="H2016">IFERROR(INDEX(PDB!$C:$AT,MATCH(E2016,PDB!$B:$B,0),MATCH(YEAR(K2016),0+PDB!$C$1:$AT$1,0)),"")</f>
        <v>3.56</v>
      </c>
      <c r="I2016" s="36"/>
      <c r="J2016" s="125">
        <f>IFERROR(Table1[[#This Row],[Quantity]]*Table1[[#This Row],[Price/Unit
EUR]]," ")</f>
        <v>0</v>
      </c>
      <c r="K2016" s="126">
        <v>45433</v>
      </c>
      <c r="L2016" s="36">
        <f>WEEKNUM(Table1[[#This Row],[ETA
As requested
dd.mm.yyyy]])</f>
        <v>21</v>
      </c>
      <c r="M2016" s="36">
        <f>YEAR(Table1[[#This Row],[ETA
As requested
dd.mm.yyyy]])</f>
        <v>2024</v>
      </c>
      <c r="N2016" s="36">
        <f>IFERROR(INDEX(DATABASE_FG!$H$5:$H$367, MATCH(E2016, DATABASE_FG!$C$5:$C$367, 0)), " ")</f>
        <v>0</v>
      </c>
      <c r="O2016" s="129" t="str">
        <f>IF(E2016&lt;&gt;"", _xlfn.XLOOKUP(E2016, DATABASE_FG!C:C, DATABASE_FG!F:F), " ")</f>
        <v>Ghidaje</v>
      </c>
      <c r="P2016" s="129">
        <f>IFERROR(INDEX(DATABASE_FG!$G$5:$G$367, MATCH(E2016, DATABASE_FG!$C$5:$C$367, 0)), "Not Found")</f>
        <v>0</v>
      </c>
      <c r="Q2016" s="36"/>
      <c r="R2016" s="125" t="s">
        <v>678</v>
      </c>
      <c r="S2016" s="123">
        <f>IFERROR(INDEX(DATABASE_FG!$L$5:$L$367, MATCH(E2016, DATABASE_FG!$C$5:$C$367, 0)), " ")</f>
        <v>42</v>
      </c>
      <c r="T2016" s="36"/>
      <c r="U2016" s="36"/>
      <c r="V2016" s="36"/>
      <c r="W2016" s="129"/>
      <c r="X2016" s="36"/>
      <c r="Y2016" s="36"/>
      <c r="Z2016" s="36"/>
      <c r="AA2016" s="125" t="s">
        <v>121</v>
      </c>
      <c r="AB2016" s="172">
        <v>45441</v>
      </c>
      <c r="AC2016" s="119">
        <v>2024568</v>
      </c>
      <c r="AD2016" s="36">
        <f t="shared" si="230"/>
        <v>36635753</v>
      </c>
      <c r="AE2016" s="36" t="str">
        <f t="shared" si="231"/>
        <v>TK.KWVE15-B-A-ESC-0038-WW1</v>
      </c>
      <c r="AF2016" s="36">
        <v>140</v>
      </c>
      <c r="AG2016" s="120">
        <f t="shared" si="229"/>
        <v>498.40000000000003</v>
      </c>
      <c r="AH2016" s="36"/>
      <c r="AI2016" s="124"/>
      <c r="AJ2016" s="122" t="s">
        <v>1533</v>
      </c>
      <c r="AK2016" s="129" t="str">
        <f t="shared" ca="1" si="228"/>
        <v>Late</v>
      </c>
      <c r="AL2016" s="268" t="str">
        <f t="shared" si="227"/>
        <v>May</v>
      </c>
      <c r="AM2016" s="133">
        <f>YEAR(Table1[[#This Row],[ETA
As requested
dd.mm.yyyy]])</f>
        <v>2024</v>
      </c>
    </row>
    <row r="2017" spans="1:39" ht="14.25" hidden="1" customHeight="1">
      <c r="A2017" s="123" t="s">
        <v>83</v>
      </c>
      <c r="B2017" s="36" t="s">
        <v>1170</v>
      </c>
      <c r="C2017" s="117">
        <v>36635755</v>
      </c>
      <c r="D2017" s="165">
        <v>45400</v>
      </c>
      <c r="E2017" s="117" t="s">
        <v>99</v>
      </c>
      <c r="F2017" s="36" t="str">
        <f>IFERROR(VLOOKUP(Table1[[#This Row],[Part Number]],DATABASE_FG!$C$6:D12006,2,FALSE)," ")</f>
        <v xml:space="preserve">054380529-8011 </v>
      </c>
      <c r="G2017" s="117">
        <f>IFERROR(_xlfn.XLOOKUP(Table1[[#This Row],[Part Number]],Table3[Part number],Table3[Drawing
 Revision]),"")</f>
        <v>0</v>
      </c>
      <c r="H2017" s="118" cm="1">
        <f t="array" ref="H2017">IFERROR(INDEX(PDB!$C:$AT,MATCH(E2017,PDB!$B:$B,0),MATCH(YEAR(K2017),0+PDB!$C$1:$AT$1,0)),"")</f>
        <v>3.56</v>
      </c>
      <c r="I2017" s="36">
        <v>250</v>
      </c>
      <c r="J2017" s="125">
        <f>IFERROR(Table1[[#This Row],[Quantity]]*Table1[[#This Row],[Price/Unit
EUR]]," ")</f>
        <v>890</v>
      </c>
      <c r="K2017" s="126">
        <v>45435</v>
      </c>
      <c r="L2017" s="36">
        <f>WEEKNUM(Table1[[#This Row],[ETA
As requested
dd.mm.yyyy]])</f>
        <v>21</v>
      </c>
      <c r="M2017" s="36">
        <f>YEAR(Table1[[#This Row],[ETA
As requested
dd.mm.yyyy]])</f>
        <v>2024</v>
      </c>
      <c r="N2017" s="36">
        <f>IFERROR(INDEX(DATABASE_FG!$H$5:$H$367, MATCH(E2017, DATABASE_FG!$C$5:$C$367, 0)), " ")</f>
        <v>0</v>
      </c>
      <c r="O2017" s="129" t="str">
        <f>IF(E2017&lt;&gt;"", _xlfn.XLOOKUP(E2017, DATABASE_FG!C:C, DATABASE_FG!F:F), " ")</f>
        <v>Ghidaje</v>
      </c>
      <c r="P2017" s="129">
        <f>IFERROR(INDEX(DATABASE_FG!$G$5:$G$367, MATCH(E2017, DATABASE_FG!$C$5:$C$367, 0)), "Not Found")</f>
        <v>0</v>
      </c>
      <c r="Q2017" s="36"/>
      <c r="R2017" s="125" t="s">
        <v>678</v>
      </c>
      <c r="S2017" s="123">
        <f>IFERROR(INDEX(DATABASE_FG!$L$5:$L$367, MATCH(E2017, DATABASE_FG!$C$5:$C$367, 0)), " ")</f>
        <v>42</v>
      </c>
      <c r="T2017" s="36" t="s">
        <v>679</v>
      </c>
      <c r="U2017" s="36"/>
      <c r="V2017" s="36"/>
      <c r="W2017" s="129"/>
      <c r="X2017" s="36"/>
      <c r="Y2017" s="36"/>
      <c r="Z2017" s="36">
        <v>242001</v>
      </c>
      <c r="AA2017" s="125" t="s">
        <v>121</v>
      </c>
      <c r="AB2017" s="172">
        <v>45442</v>
      </c>
      <c r="AC2017" s="119">
        <v>2024580</v>
      </c>
      <c r="AD2017" s="36">
        <f t="shared" si="230"/>
        <v>36635755</v>
      </c>
      <c r="AE2017" s="36" t="str">
        <f t="shared" si="231"/>
        <v>TK.KWVE15-B-A-ESC-0038-WW1</v>
      </c>
      <c r="AF2017" s="36">
        <v>194</v>
      </c>
      <c r="AG2017" s="120">
        <f t="shared" si="229"/>
        <v>690.64</v>
      </c>
      <c r="AH2017" s="36"/>
      <c r="AI2017" s="124"/>
      <c r="AJ2017" s="122" t="s">
        <v>1550</v>
      </c>
      <c r="AK2017" s="129" t="str">
        <f t="shared" ca="1" si="228"/>
        <v>Late</v>
      </c>
      <c r="AL2017" s="268" t="str">
        <f t="shared" si="227"/>
        <v>May</v>
      </c>
      <c r="AM2017" s="133">
        <f>YEAR(Table1[[#This Row],[ETA
As requested
dd.mm.yyyy]])</f>
        <v>2024</v>
      </c>
    </row>
    <row r="2018" spans="1:39" hidden="1">
      <c r="A2018" s="123" t="s">
        <v>83</v>
      </c>
      <c r="B2018" s="36" t="s">
        <v>1170</v>
      </c>
      <c r="C2018" s="117">
        <v>36635755</v>
      </c>
      <c r="D2018" s="165">
        <v>45400</v>
      </c>
      <c r="E2018" s="117" t="s">
        <v>99</v>
      </c>
      <c r="F2018" s="36" t="str">
        <f>IFERROR(VLOOKUP(Table1[[#This Row],[Part Number]],DATABASE_FG!$C$6:D12007,2,FALSE)," ")</f>
        <v xml:space="preserve">054380529-8011 </v>
      </c>
      <c r="G2018" s="117">
        <f>IFERROR(_xlfn.XLOOKUP(Table1[[#This Row],[Part Number]],Table3[Part number],Table3[Drawing
 Revision]),"")</f>
        <v>0</v>
      </c>
      <c r="H2018" s="118" cm="1">
        <f t="array" ref="H2018">IFERROR(INDEX(PDB!$C:$AT,MATCH(E2018,PDB!$B:$B,0),MATCH(YEAR(K2018),0+PDB!$C$1:$AT$1,0)),"")</f>
        <v>3.56</v>
      </c>
      <c r="I2018" s="36"/>
      <c r="J2018" s="125">
        <f>IFERROR(Table1[[#This Row],[Quantity]]*Table1[[#This Row],[Price/Unit
EUR]]," ")</f>
        <v>0</v>
      </c>
      <c r="K2018" s="126">
        <v>45435</v>
      </c>
      <c r="L2018" s="36">
        <f>WEEKNUM(Table1[[#This Row],[ETA
As requested
dd.mm.yyyy]])</f>
        <v>21</v>
      </c>
      <c r="M2018" s="36">
        <f>YEAR(Table1[[#This Row],[ETA
As requested
dd.mm.yyyy]])</f>
        <v>2024</v>
      </c>
      <c r="N2018" s="36">
        <f>IFERROR(INDEX(DATABASE_FG!$H$5:$H$367, MATCH(E2018, DATABASE_FG!$C$5:$C$367, 0)), " ")</f>
        <v>0</v>
      </c>
      <c r="O2018" s="129" t="str">
        <f>IF(E2018&lt;&gt;"", _xlfn.XLOOKUP(E2018, DATABASE_FG!C:C, DATABASE_FG!F:F), " ")</f>
        <v>Ghidaje</v>
      </c>
      <c r="P2018" s="129">
        <f>IFERROR(INDEX(DATABASE_FG!$G$5:$G$367, MATCH(E2018, DATABASE_FG!$C$5:$C$367, 0)), "Not Found")</f>
        <v>0</v>
      </c>
      <c r="Q2018" s="36"/>
      <c r="R2018" s="125" t="s">
        <v>678</v>
      </c>
      <c r="S2018" s="123">
        <f>IFERROR(INDEX(DATABASE_FG!$L$5:$L$367, MATCH(E2018, DATABASE_FG!$C$5:$C$367, 0)), " ")</f>
        <v>42</v>
      </c>
      <c r="T2018" s="36"/>
      <c r="U2018" s="36"/>
      <c r="V2018" s="36"/>
      <c r="W2018" s="129"/>
      <c r="X2018" s="36"/>
      <c r="Y2018" s="36"/>
      <c r="Z2018" s="36"/>
      <c r="AA2018" s="125" t="s">
        <v>121</v>
      </c>
      <c r="AB2018" s="172">
        <v>45443</v>
      </c>
      <c r="AC2018" s="119">
        <v>2024586</v>
      </c>
      <c r="AD2018" s="36">
        <f t="shared" si="230"/>
        <v>36635755</v>
      </c>
      <c r="AE2018" s="36" t="str">
        <f t="shared" si="231"/>
        <v>TK.KWVE15-B-A-ESC-0038-WW1</v>
      </c>
      <c r="AF2018" s="36">
        <v>56</v>
      </c>
      <c r="AG2018" s="120">
        <f t="shared" si="229"/>
        <v>199.36</v>
      </c>
      <c r="AH2018" s="36"/>
      <c r="AI2018" s="124"/>
      <c r="AJ2018" s="122" t="s">
        <v>1551</v>
      </c>
      <c r="AK2018" s="129" t="str">
        <f t="shared" ca="1" si="228"/>
        <v>Late</v>
      </c>
      <c r="AL2018" s="268" t="str">
        <f t="shared" si="227"/>
        <v>May</v>
      </c>
      <c r="AM2018" s="133">
        <f>YEAR(Table1[[#This Row],[ETA
As requested
dd.mm.yyyy]])</f>
        <v>2024</v>
      </c>
    </row>
    <row r="2019" spans="1:39" hidden="1">
      <c r="A2019" s="123" t="s">
        <v>83</v>
      </c>
      <c r="B2019" s="36" t="s">
        <v>1170</v>
      </c>
      <c r="C2019" s="117">
        <v>36635759</v>
      </c>
      <c r="D2019" s="165">
        <v>45400</v>
      </c>
      <c r="E2019" s="117" t="s">
        <v>99</v>
      </c>
      <c r="F2019" s="36" t="str">
        <f>IFERROR(VLOOKUP(Table1[[#This Row],[Part Number]],DATABASE_FG!$C$6:D12008,2,FALSE)," ")</f>
        <v xml:space="preserve">054380529-8011 </v>
      </c>
      <c r="G2019" s="117">
        <f>IFERROR(_xlfn.XLOOKUP(Table1[[#This Row],[Part Number]],Table3[Part number],Table3[Drawing
 Revision]),"")</f>
        <v>0</v>
      </c>
      <c r="H2019" s="118" cm="1">
        <f t="array" ref="H2019">IFERROR(INDEX(PDB!$C:$AT,MATCH(E2019,PDB!$B:$B,0),MATCH(YEAR(K2019),0+PDB!$C$1:$AT$1,0)),"")</f>
        <v>3.56</v>
      </c>
      <c r="I2019" s="36">
        <v>250</v>
      </c>
      <c r="J2019" s="125">
        <f>IFERROR(Table1[[#This Row],[Quantity]]*Table1[[#This Row],[Price/Unit
EUR]]," ")</f>
        <v>890</v>
      </c>
      <c r="K2019" s="126">
        <v>45440</v>
      </c>
      <c r="L2019" s="36">
        <f>WEEKNUM(Table1[[#This Row],[ETA
As requested
dd.mm.yyyy]])</f>
        <v>22</v>
      </c>
      <c r="M2019" s="36">
        <f>YEAR(Table1[[#This Row],[ETA
As requested
dd.mm.yyyy]])</f>
        <v>2024</v>
      </c>
      <c r="N2019" s="36">
        <f>IFERROR(INDEX(DATABASE_FG!$H$5:$H$367, MATCH(E2019, DATABASE_FG!$C$5:$C$367, 0)), " ")</f>
        <v>0</v>
      </c>
      <c r="O2019" s="129" t="str">
        <f>IF(E2019&lt;&gt;"", _xlfn.XLOOKUP(E2019, DATABASE_FG!C:C, DATABASE_FG!F:F), " ")</f>
        <v>Ghidaje</v>
      </c>
      <c r="P2019" s="129">
        <f>IFERROR(INDEX(DATABASE_FG!$G$5:$G$367, MATCH(E2019, DATABASE_FG!$C$5:$C$367, 0)), "Not Found")</f>
        <v>0</v>
      </c>
      <c r="Q2019" s="36"/>
      <c r="R2019" s="125" t="s">
        <v>678</v>
      </c>
      <c r="S2019" s="123">
        <f>IFERROR(INDEX(DATABASE_FG!$L$5:$L$367, MATCH(E2019, DATABASE_FG!$C$5:$C$367, 0)), " ")</f>
        <v>42</v>
      </c>
      <c r="T2019" s="36" t="s">
        <v>679</v>
      </c>
      <c r="U2019" s="36"/>
      <c r="V2019" s="36"/>
      <c r="W2019" s="129"/>
      <c r="X2019" s="36"/>
      <c r="Y2019" s="36"/>
      <c r="Z2019" s="36">
        <v>242001</v>
      </c>
      <c r="AA2019" s="125" t="s">
        <v>121</v>
      </c>
      <c r="AB2019" s="172">
        <v>45446</v>
      </c>
      <c r="AC2019" s="119">
        <v>2024591</v>
      </c>
      <c r="AD2019" s="36">
        <f t="shared" si="230"/>
        <v>36635759</v>
      </c>
      <c r="AE2019" s="36" t="str">
        <f t="shared" si="231"/>
        <v>TK.KWVE15-B-A-ESC-0038-WW1</v>
      </c>
      <c r="AF2019" s="36">
        <v>180</v>
      </c>
      <c r="AG2019" s="120">
        <f t="shared" si="229"/>
        <v>640.79999999999995</v>
      </c>
      <c r="AH2019" s="36"/>
      <c r="AI2019" s="124"/>
      <c r="AJ2019" s="122" t="s">
        <v>1576</v>
      </c>
      <c r="AK2019" s="129" t="str">
        <f t="shared" ca="1" si="228"/>
        <v>Late</v>
      </c>
      <c r="AL2019" s="268" t="str">
        <f t="shared" si="227"/>
        <v>May</v>
      </c>
      <c r="AM2019" s="133">
        <f>YEAR(Table1[[#This Row],[ETA
As requested
dd.mm.yyyy]])</f>
        <v>2024</v>
      </c>
    </row>
    <row r="2020" spans="1:39" hidden="1">
      <c r="A2020" s="123" t="s">
        <v>83</v>
      </c>
      <c r="B2020" s="36" t="s">
        <v>1170</v>
      </c>
      <c r="C2020" s="117">
        <v>36635759</v>
      </c>
      <c r="D2020" s="165">
        <v>45400</v>
      </c>
      <c r="E2020" s="117" t="s">
        <v>99</v>
      </c>
      <c r="F2020" s="36" t="str">
        <f>IFERROR(VLOOKUP(Table1[[#This Row],[Part Number]],DATABASE_FG!$C$6:D12009,2,FALSE)," ")</f>
        <v xml:space="preserve">054380529-8011 </v>
      </c>
      <c r="G2020" s="117">
        <f>IFERROR(_xlfn.XLOOKUP(Table1[[#This Row],[Part Number]],Table3[Part number],Table3[Drawing
 Revision]),"")</f>
        <v>0</v>
      </c>
      <c r="H2020" s="118" cm="1">
        <f t="array" ref="H2020">IFERROR(INDEX(PDB!$C:$AT,MATCH(E2020,PDB!$B:$B,0),MATCH(YEAR(K2020),0+PDB!$C$1:$AT$1,0)),"")</f>
        <v>3.56</v>
      </c>
      <c r="I2020" s="36"/>
      <c r="J2020" s="125">
        <f>IFERROR(Table1[[#This Row],[Quantity]]*Table1[[#This Row],[Price/Unit
EUR]]," ")</f>
        <v>0</v>
      </c>
      <c r="K2020" s="126">
        <v>45440</v>
      </c>
      <c r="L2020" s="36">
        <f>WEEKNUM(Table1[[#This Row],[ETA
As requested
dd.mm.yyyy]])</f>
        <v>22</v>
      </c>
      <c r="M2020" s="36">
        <f>YEAR(Table1[[#This Row],[ETA
As requested
dd.mm.yyyy]])</f>
        <v>2024</v>
      </c>
      <c r="N2020" s="36">
        <f>IFERROR(INDEX(DATABASE_FG!$H$5:$H$367, MATCH(E2020, DATABASE_FG!$C$5:$C$367, 0)), " ")</f>
        <v>0</v>
      </c>
      <c r="O2020" s="129" t="str">
        <f>IF(E2020&lt;&gt;"", _xlfn.XLOOKUP(E2020, DATABASE_FG!C:C, DATABASE_FG!F:F), " ")</f>
        <v>Ghidaje</v>
      </c>
      <c r="P2020" s="129">
        <f>IFERROR(INDEX(DATABASE_FG!$G$5:$G$367, MATCH(E2020, DATABASE_FG!$C$5:$C$367, 0)), "Not Found")</f>
        <v>0</v>
      </c>
      <c r="Q2020" s="36"/>
      <c r="R2020" s="125" t="s">
        <v>678</v>
      </c>
      <c r="S2020" s="123">
        <f>IFERROR(INDEX(DATABASE_FG!$L$5:$L$367, MATCH(E2020, DATABASE_FG!$C$5:$C$367, 0)), " ")</f>
        <v>42</v>
      </c>
      <c r="T2020" s="36"/>
      <c r="U2020" s="36"/>
      <c r="V2020" s="36"/>
      <c r="W2020" s="129"/>
      <c r="X2020" s="36"/>
      <c r="Y2020" s="36"/>
      <c r="Z2020" s="36"/>
      <c r="AA2020" s="125" t="s">
        <v>121</v>
      </c>
      <c r="AB2020" s="173">
        <v>45448</v>
      </c>
      <c r="AC2020" s="119">
        <v>2024609</v>
      </c>
      <c r="AD2020" s="36">
        <f t="shared" si="230"/>
        <v>36635759</v>
      </c>
      <c r="AE2020" s="36" t="str">
        <f t="shared" si="231"/>
        <v>TK.KWVE15-B-A-ESC-0038-WW1</v>
      </c>
      <c r="AF2020" s="36">
        <v>41</v>
      </c>
      <c r="AG2020" s="120">
        <f t="shared" si="229"/>
        <v>145.96</v>
      </c>
      <c r="AH2020" s="36"/>
      <c r="AI2020" s="124"/>
      <c r="AJ2020" s="122" t="s">
        <v>1578</v>
      </c>
      <c r="AK2020" s="129" t="str">
        <f t="shared" ca="1" si="228"/>
        <v>Late</v>
      </c>
      <c r="AL2020" s="268" t="str">
        <f t="shared" si="227"/>
        <v>May</v>
      </c>
      <c r="AM2020" s="133">
        <f>YEAR(Table1[[#This Row],[ETA
As requested
dd.mm.yyyy]])</f>
        <v>2024</v>
      </c>
    </row>
    <row r="2021" spans="1:39" hidden="1">
      <c r="A2021" s="123" t="s">
        <v>83</v>
      </c>
      <c r="B2021" s="36" t="s">
        <v>1170</v>
      </c>
      <c r="C2021" s="117">
        <v>36635759</v>
      </c>
      <c r="D2021" s="165">
        <v>45400</v>
      </c>
      <c r="E2021" s="117" t="s">
        <v>99</v>
      </c>
      <c r="F2021" s="36" t="str">
        <f>IFERROR(VLOOKUP(Table1[[#This Row],[Part Number]],DATABASE_FG!$C$6:D12010,2,FALSE)," ")</f>
        <v xml:space="preserve">054380529-8011 </v>
      </c>
      <c r="G2021" s="117">
        <f>IFERROR(_xlfn.XLOOKUP(Table1[[#This Row],[Part Number]],Table3[Part number],Table3[Drawing
 Revision]),"")</f>
        <v>0</v>
      </c>
      <c r="H2021" s="118" cm="1">
        <f t="array" ref="H2021">IFERROR(INDEX(PDB!$C:$AT,MATCH(E2021,PDB!$B:$B,0),MATCH(YEAR(K2021),0+PDB!$C$1:$AT$1,0)),"")</f>
        <v>3.56</v>
      </c>
      <c r="I2021" s="36"/>
      <c r="J2021" s="125">
        <f>IFERROR(Table1[[#This Row],[Quantity]]*Table1[[#This Row],[Price/Unit
EUR]]," ")</f>
        <v>0</v>
      </c>
      <c r="K2021" s="126">
        <v>45440</v>
      </c>
      <c r="L2021" s="36">
        <f>WEEKNUM(Table1[[#This Row],[ETA
As requested
dd.mm.yyyy]])</f>
        <v>22</v>
      </c>
      <c r="M2021" s="36">
        <f>YEAR(Table1[[#This Row],[ETA
As requested
dd.mm.yyyy]])</f>
        <v>2024</v>
      </c>
      <c r="N2021" s="36">
        <f>IFERROR(INDEX(DATABASE_FG!$H$5:$H$367, MATCH(E2021, DATABASE_FG!$C$5:$C$367, 0)), " ")</f>
        <v>0</v>
      </c>
      <c r="O2021" s="129" t="str">
        <f>IF(E2021&lt;&gt;"", _xlfn.XLOOKUP(E2021, DATABASE_FG!C:C, DATABASE_FG!F:F), " ")</f>
        <v>Ghidaje</v>
      </c>
      <c r="P2021" s="129">
        <f>IFERROR(INDEX(DATABASE_FG!$G$5:$G$367, MATCH(E2021, DATABASE_FG!$C$5:$C$367, 0)), "Not Found")</f>
        <v>0</v>
      </c>
      <c r="Q2021" s="36"/>
      <c r="R2021" s="125" t="s">
        <v>678</v>
      </c>
      <c r="S2021" s="123">
        <f>IFERROR(INDEX(DATABASE_FG!$L$5:$L$367, MATCH(E2021, DATABASE_FG!$C$5:$C$367, 0)), " ")</f>
        <v>42</v>
      </c>
      <c r="T2021" s="36"/>
      <c r="U2021" s="36"/>
      <c r="V2021" s="36"/>
      <c r="W2021" s="129"/>
      <c r="X2021" s="36"/>
      <c r="Y2021" s="36"/>
      <c r="Z2021" s="36"/>
      <c r="AA2021" s="125" t="s">
        <v>121</v>
      </c>
      <c r="AB2021" s="173">
        <v>45454</v>
      </c>
      <c r="AC2021" s="119">
        <v>2024637</v>
      </c>
      <c r="AD2021" s="36">
        <f t="shared" si="230"/>
        <v>36635759</v>
      </c>
      <c r="AE2021" s="36" t="str">
        <f t="shared" si="231"/>
        <v>TK.KWVE15-B-A-ESC-0038-WW1</v>
      </c>
      <c r="AF2021" s="36">
        <v>29</v>
      </c>
      <c r="AG2021" s="120">
        <f t="shared" si="229"/>
        <v>103.24</v>
      </c>
      <c r="AH2021" s="36"/>
      <c r="AI2021" s="124"/>
      <c r="AJ2021" s="122" t="s">
        <v>1580</v>
      </c>
      <c r="AK2021" s="129" t="str">
        <f t="shared" ca="1" si="228"/>
        <v>Late</v>
      </c>
      <c r="AL2021" s="268" t="str">
        <f t="shared" si="227"/>
        <v>May</v>
      </c>
      <c r="AM2021" s="133">
        <f>YEAR(Table1[[#This Row],[ETA
As requested
dd.mm.yyyy]])</f>
        <v>2024</v>
      </c>
    </row>
    <row r="2022" spans="1:39" hidden="1">
      <c r="A2022" s="123" t="s">
        <v>83</v>
      </c>
      <c r="B2022" s="36" t="s">
        <v>1170</v>
      </c>
      <c r="C2022" s="117">
        <v>36635762</v>
      </c>
      <c r="D2022" s="165">
        <v>45400</v>
      </c>
      <c r="E2022" s="117" t="s">
        <v>99</v>
      </c>
      <c r="F2022" s="36" t="str">
        <f>IFERROR(VLOOKUP(Table1[[#This Row],[Part Number]],DATABASE_FG!$C$6:D12011,2,FALSE)," ")</f>
        <v xml:space="preserve">054380529-8011 </v>
      </c>
      <c r="G2022" s="117">
        <f>IFERROR(_xlfn.XLOOKUP(Table1[[#This Row],[Part Number]],Table3[Part number],Table3[Drawing
 Revision]),"")</f>
        <v>0</v>
      </c>
      <c r="H2022" s="118" cm="1">
        <f t="array" ref="H2022">IFERROR(INDEX(PDB!$C:$AT,MATCH(E2022,PDB!$B:$B,0),MATCH(YEAR(K2022),0+PDB!$C$1:$AT$1,0)),"")</f>
        <v>3.56</v>
      </c>
      <c r="I2022" s="36">
        <v>150</v>
      </c>
      <c r="J2022" s="125">
        <f>IFERROR(Table1[[#This Row],[Quantity]]*Table1[[#This Row],[Price/Unit
EUR]]," ")</f>
        <v>534</v>
      </c>
      <c r="K2022" s="126">
        <v>45442</v>
      </c>
      <c r="L2022" s="36">
        <f>WEEKNUM(Table1[[#This Row],[ETA
As requested
dd.mm.yyyy]])</f>
        <v>22</v>
      </c>
      <c r="M2022" s="36">
        <f>YEAR(Table1[[#This Row],[ETA
As requested
dd.mm.yyyy]])</f>
        <v>2024</v>
      </c>
      <c r="N2022" s="36">
        <f>IFERROR(INDEX(DATABASE_FG!$H$5:$H$367, MATCH(E2022, DATABASE_FG!$C$5:$C$367, 0)), " ")</f>
        <v>0</v>
      </c>
      <c r="O2022" s="129" t="str">
        <f>IF(E2022&lt;&gt;"", _xlfn.XLOOKUP(E2022, DATABASE_FG!C:C, DATABASE_FG!F:F), " ")</f>
        <v>Ghidaje</v>
      </c>
      <c r="P2022" s="129">
        <f>IFERROR(INDEX(DATABASE_FG!$G$5:$G$367, MATCH(E2022, DATABASE_FG!$C$5:$C$367, 0)), "Not Found")</f>
        <v>0</v>
      </c>
      <c r="Q2022" s="36"/>
      <c r="R2022" s="125" t="s">
        <v>678</v>
      </c>
      <c r="S2022" s="123">
        <f>IFERROR(INDEX(DATABASE_FG!$L$5:$L$367, MATCH(E2022, DATABASE_FG!$C$5:$C$367, 0)), " ")</f>
        <v>42</v>
      </c>
      <c r="T2022" s="36" t="s">
        <v>679</v>
      </c>
      <c r="U2022" s="36"/>
      <c r="V2022" s="36"/>
      <c r="W2022" s="129"/>
      <c r="X2022" s="36"/>
      <c r="Y2022" s="36"/>
      <c r="Z2022" s="36">
        <v>242001</v>
      </c>
      <c r="AA2022" s="125" t="s">
        <v>121</v>
      </c>
      <c r="AB2022" s="173">
        <v>45443</v>
      </c>
      <c r="AC2022" s="119">
        <v>2024587</v>
      </c>
      <c r="AD2022" s="36">
        <f t="shared" si="230"/>
        <v>36635762</v>
      </c>
      <c r="AE2022" s="36" t="str">
        <f t="shared" si="231"/>
        <v>TK.KWVE15-B-A-ESC-0038-WW1</v>
      </c>
      <c r="AF2022" s="36">
        <v>29</v>
      </c>
      <c r="AG2022" s="120">
        <f t="shared" si="229"/>
        <v>103.24</v>
      </c>
      <c r="AH2022" s="36"/>
      <c r="AI2022" s="124"/>
      <c r="AJ2022" s="122" t="s">
        <v>1583</v>
      </c>
      <c r="AK2022" s="129" t="str">
        <f t="shared" ca="1" si="228"/>
        <v>On Time</v>
      </c>
      <c r="AL2022" s="268" t="str">
        <f t="shared" si="227"/>
        <v>May</v>
      </c>
      <c r="AM2022" s="133">
        <f>YEAR(Table1[[#This Row],[ETA
As requested
dd.mm.yyyy]])</f>
        <v>2024</v>
      </c>
    </row>
    <row r="2023" spans="1:39" hidden="1">
      <c r="A2023" s="123" t="s">
        <v>83</v>
      </c>
      <c r="B2023" s="36" t="s">
        <v>1170</v>
      </c>
      <c r="C2023" s="117">
        <v>36635762</v>
      </c>
      <c r="D2023" s="165">
        <v>45400</v>
      </c>
      <c r="E2023" s="117" t="s">
        <v>99</v>
      </c>
      <c r="F2023" s="36" t="str">
        <f>IFERROR(VLOOKUP(Table1[[#This Row],[Part Number]],DATABASE_FG!$C$6:D12012,2,FALSE)," ")</f>
        <v xml:space="preserve">054380529-8011 </v>
      </c>
      <c r="G2023" s="117">
        <f>IFERROR(_xlfn.XLOOKUP(Table1[[#This Row],[Part Number]],Table3[Part number],Table3[Drawing
 Revision]),"")</f>
        <v>0</v>
      </c>
      <c r="H2023" s="118" cm="1">
        <f t="array" ref="H2023">IFERROR(INDEX(PDB!$C:$AT,MATCH(E2023,PDB!$B:$B,0),MATCH(YEAR(K2023),0+PDB!$C$1:$AT$1,0)),"")</f>
        <v>3.56</v>
      </c>
      <c r="I2023" s="36"/>
      <c r="J2023" s="125">
        <f>IFERROR(Table1[[#This Row],[Quantity]]*Table1[[#This Row],[Price/Unit
EUR]]," ")</f>
        <v>0</v>
      </c>
      <c r="K2023" s="126">
        <v>45442</v>
      </c>
      <c r="L2023" s="36">
        <f>WEEKNUM(Table1[[#This Row],[ETA
As requested
dd.mm.yyyy]])</f>
        <v>22</v>
      </c>
      <c r="M2023" s="36">
        <f>YEAR(Table1[[#This Row],[ETA
As requested
dd.mm.yyyy]])</f>
        <v>2024</v>
      </c>
      <c r="N2023" s="36">
        <f>IFERROR(INDEX(DATABASE_FG!$H$5:$H$367, MATCH(E2023, DATABASE_FG!$C$5:$C$367, 0)), " ")</f>
        <v>0</v>
      </c>
      <c r="O2023" s="129" t="str">
        <f>IF(E2023&lt;&gt;"", _xlfn.XLOOKUP(E2023, DATABASE_FG!C:C, DATABASE_FG!F:F), " ")</f>
        <v>Ghidaje</v>
      </c>
      <c r="P2023" s="129">
        <f>IFERROR(INDEX(DATABASE_FG!$G$5:$G$367, MATCH(E2023, DATABASE_FG!$C$5:$C$367, 0)), "Not Found")</f>
        <v>0</v>
      </c>
      <c r="Q2023" s="36"/>
      <c r="R2023" s="125" t="s">
        <v>678</v>
      </c>
      <c r="S2023" s="123">
        <f>IFERROR(INDEX(DATABASE_FG!$L$5:$L$367, MATCH(E2023, DATABASE_FG!$C$5:$C$367, 0)), " ")</f>
        <v>42</v>
      </c>
      <c r="T2023" s="36"/>
      <c r="U2023" s="36"/>
      <c r="V2023" s="36"/>
      <c r="W2023" s="129"/>
      <c r="X2023" s="36"/>
      <c r="Y2023" s="36"/>
      <c r="Z2023" s="36"/>
      <c r="AA2023" s="125" t="s">
        <v>121</v>
      </c>
      <c r="AB2023" s="173">
        <v>45448</v>
      </c>
      <c r="AC2023" s="119">
        <v>2024610</v>
      </c>
      <c r="AD2023" s="36">
        <f t="shared" si="230"/>
        <v>36635762</v>
      </c>
      <c r="AE2023" s="36" t="str">
        <f t="shared" si="231"/>
        <v>TK.KWVE15-B-A-ESC-0038-WW1</v>
      </c>
      <c r="AF2023" s="36">
        <v>104</v>
      </c>
      <c r="AG2023" s="120">
        <f t="shared" si="229"/>
        <v>370.24</v>
      </c>
      <c r="AH2023" s="36"/>
      <c r="AI2023" s="124"/>
      <c r="AJ2023" s="122" t="s">
        <v>1586</v>
      </c>
      <c r="AK2023" s="129" t="str">
        <f t="shared" ca="1" si="228"/>
        <v>Late</v>
      </c>
      <c r="AL2023" s="268" t="str">
        <f t="shared" si="227"/>
        <v>May</v>
      </c>
      <c r="AM2023" s="133">
        <f>YEAR(Table1[[#This Row],[ETA
As requested
dd.mm.yyyy]])</f>
        <v>2024</v>
      </c>
    </row>
    <row r="2024" spans="1:39" hidden="1">
      <c r="A2024" s="123" t="s">
        <v>83</v>
      </c>
      <c r="B2024" s="36" t="s">
        <v>1170</v>
      </c>
      <c r="C2024" s="117">
        <v>36635762</v>
      </c>
      <c r="D2024" s="165">
        <v>45400</v>
      </c>
      <c r="E2024" s="117" t="s">
        <v>99</v>
      </c>
      <c r="F2024" s="36" t="str">
        <f>IFERROR(VLOOKUP(Table1[[#This Row],[Part Number]],DATABASE_FG!$C$6:D12013,2,FALSE)," ")</f>
        <v xml:space="preserve">054380529-8011 </v>
      </c>
      <c r="G2024" s="117">
        <f>IFERROR(_xlfn.XLOOKUP(Table1[[#This Row],[Part Number]],Table3[Part number],Table3[Drawing
 Revision]),"")</f>
        <v>0</v>
      </c>
      <c r="H2024" s="118" cm="1">
        <f t="array" ref="H2024">IFERROR(INDEX(PDB!$C:$AT,MATCH(E2024,PDB!$B:$B,0),MATCH(YEAR(K2024),0+PDB!$C$1:$AT$1,0)),"")</f>
        <v>3.56</v>
      </c>
      <c r="I2024" s="36"/>
      <c r="J2024" s="125">
        <f>IFERROR(Table1[[#This Row],[Quantity]]*Table1[[#This Row],[Price/Unit
EUR]]," ")</f>
        <v>0</v>
      </c>
      <c r="K2024" s="126">
        <v>45442</v>
      </c>
      <c r="L2024" s="36">
        <f>WEEKNUM(Table1[[#This Row],[ETA
As requested
dd.mm.yyyy]])</f>
        <v>22</v>
      </c>
      <c r="M2024" s="36">
        <f>YEAR(Table1[[#This Row],[ETA
As requested
dd.mm.yyyy]])</f>
        <v>2024</v>
      </c>
      <c r="N2024" s="36">
        <f>IFERROR(INDEX(DATABASE_FG!$H$5:$H$367, MATCH(E2024, DATABASE_FG!$C$5:$C$367, 0)), " ")</f>
        <v>0</v>
      </c>
      <c r="O2024" s="129" t="str">
        <f>IF(E2024&lt;&gt;"", _xlfn.XLOOKUP(E2024, DATABASE_FG!C:C, DATABASE_FG!F:F), " ")</f>
        <v>Ghidaje</v>
      </c>
      <c r="P2024" s="129">
        <f>IFERROR(INDEX(DATABASE_FG!$G$5:$G$367, MATCH(E2024, DATABASE_FG!$C$5:$C$367, 0)), "Not Found")</f>
        <v>0</v>
      </c>
      <c r="Q2024" s="36"/>
      <c r="R2024" s="125" t="s">
        <v>678</v>
      </c>
      <c r="S2024" s="123">
        <f>Table1[[#This Row],[Quantity]]/48</f>
        <v>0</v>
      </c>
      <c r="T2024" s="36"/>
      <c r="U2024" s="36"/>
      <c r="V2024" s="36"/>
      <c r="W2024" s="129"/>
      <c r="X2024" s="36"/>
      <c r="Y2024" s="36"/>
      <c r="Z2024" s="36"/>
      <c r="AA2024" s="125" t="s">
        <v>121</v>
      </c>
      <c r="AB2024" s="173">
        <v>45455</v>
      </c>
      <c r="AC2024" s="119">
        <v>2024642</v>
      </c>
      <c r="AD2024" s="36">
        <f t="shared" si="230"/>
        <v>36635762</v>
      </c>
      <c r="AE2024" s="36" t="str">
        <f t="shared" si="231"/>
        <v>TK.KWVE15-B-A-ESC-0038-WW1</v>
      </c>
      <c r="AF2024" s="36">
        <v>17</v>
      </c>
      <c r="AG2024" s="120">
        <f t="shared" si="229"/>
        <v>60.52</v>
      </c>
      <c r="AH2024" s="36"/>
      <c r="AI2024" s="124"/>
      <c r="AJ2024" s="122" t="s">
        <v>1589</v>
      </c>
      <c r="AK2024" s="129" t="str">
        <f t="shared" ca="1" si="228"/>
        <v>Late</v>
      </c>
      <c r="AL2024" s="268" t="str">
        <f t="shared" si="227"/>
        <v>May</v>
      </c>
      <c r="AM2024" s="133">
        <f>YEAR(Table1[[#This Row],[ETA
As requested
dd.mm.yyyy]])</f>
        <v>2024</v>
      </c>
    </row>
    <row r="2025" spans="1:39" hidden="1">
      <c r="A2025" s="123" t="s">
        <v>83</v>
      </c>
      <c r="B2025" s="36" t="s">
        <v>1170</v>
      </c>
      <c r="C2025" s="117">
        <v>36856222</v>
      </c>
      <c r="D2025" s="165">
        <v>45439</v>
      </c>
      <c r="E2025" s="117" t="s">
        <v>99</v>
      </c>
      <c r="F2025" s="36" t="str">
        <f>IFERROR(VLOOKUP(Table1[[#This Row],[Part Number]],DATABASE_FG!$C$6:D12014,2,FALSE)," ")</f>
        <v xml:space="preserve">054380529-8011 </v>
      </c>
      <c r="G2025" s="117">
        <f>IFERROR(_xlfn.XLOOKUP(Table1[[#This Row],[Part Number]],Table3[Part number],Table3[Drawing
 Revision]),"")</f>
        <v>0</v>
      </c>
      <c r="H2025" s="118" cm="1">
        <f t="array" ref="H2025">IFERROR(INDEX(PDB!$C:$AT,MATCH(E2025,PDB!$B:$B,0),MATCH(YEAR(K2025),0+PDB!$C$1:$AT$1,0)),"")</f>
        <v>3.56</v>
      </c>
      <c r="I2025" s="36">
        <v>300</v>
      </c>
      <c r="J2025" s="125">
        <f>IFERROR(Table1[[#This Row],[Quantity]]*Table1[[#This Row],[Price/Unit
EUR]]," ")</f>
        <v>1068</v>
      </c>
      <c r="K2025" s="126">
        <v>45447</v>
      </c>
      <c r="L2025" s="36">
        <f>WEEKNUM(Table1[[#This Row],[ETA
As requested
dd.mm.yyyy]])</f>
        <v>23</v>
      </c>
      <c r="M2025" s="36">
        <f>YEAR(Table1[[#This Row],[ETA
As requested
dd.mm.yyyy]])</f>
        <v>2024</v>
      </c>
      <c r="N2025" s="36">
        <f>IFERROR(INDEX(DATABASE_FG!$H$5:$H$367, MATCH(E2025, DATABASE_FG!$C$5:$C$367, 0)), " ")</f>
        <v>0</v>
      </c>
      <c r="O2025" s="129" t="str">
        <f>IF(E2025&lt;&gt;"", _xlfn.XLOOKUP(E2025, DATABASE_FG!C:C, DATABASE_FG!F:F), " ")</f>
        <v>Ghidaje</v>
      </c>
      <c r="P2025" s="129">
        <f>IFERROR(INDEX(DATABASE_FG!$G$5:$G$367, MATCH(E2025, DATABASE_FG!$C$5:$C$367, 0)), "Not Found")</f>
        <v>0</v>
      </c>
      <c r="Q2025" s="36"/>
      <c r="R2025" s="125" t="s">
        <v>678</v>
      </c>
      <c r="S2025" s="123">
        <f>IFERROR(INDEX(DATABASE_FG!$L$5:$L$367, MATCH(E2025, DATABASE_FG!$C$5:$C$367, 0)), " ")</f>
        <v>42</v>
      </c>
      <c r="T2025" s="36" t="s">
        <v>679</v>
      </c>
      <c r="U2025" s="36"/>
      <c r="V2025" s="36"/>
      <c r="W2025" s="129"/>
      <c r="X2025" s="36"/>
      <c r="Y2025" s="36"/>
      <c r="Z2025" s="36">
        <v>242306</v>
      </c>
      <c r="AA2025" s="125" t="s">
        <v>121</v>
      </c>
      <c r="AB2025" s="173">
        <v>45453</v>
      </c>
      <c r="AC2025" s="119">
        <v>2024631</v>
      </c>
      <c r="AD2025" s="36">
        <f t="shared" si="230"/>
        <v>36856222</v>
      </c>
      <c r="AE2025" s="36" t="str">
        <f t="shared" si="231"/>
        <v>TK.KWVE15-B-A-ESC-0038-WW1</v>
      </c>
      <c r="AF2025" s="36">
        <v>179</v>
      </c>
      <c r="AG2025" s="120">
        <f t="shared" si="229"/>
        <v>637.24</v>
      </c>
      <c r="AH2025" s="36"/>
      <c r="AI2025" s="124"/>
      <c r="AJ2025" s="122" t="s">
        <v>1605</v>
      </c>
      <c r="AK2025" s="129" t="str">
        <f t="shared" ca="1" si="228"/>
        <v>Late</v>
      </c>
      <c r="AL2025" s="268" t="str">
        <f t="shared" si="227"/>
        <v>June</v>
      </c>
      <c r="AM2025" s="133">
        <f>YEAR(Table1[[#This Row],[ETA
As requested
dd.mm.yyyy]])</f>
        <v>2024</v>
      </c>
    </row>
    <row r="2026" spans="1:39" hidden="1">
      <c r="A2026" s="123" t="s">
        <v>83</v>
      </c>
      <c r="B2026" s="36" t="s">
        <v>1170</v>
      </c>
      <c r="C2026" s="117">
        <v>36856222</v>
      </c>
      <c r="D2026" s="165">
        <v>45439</v>
      </c>
      <c r="E2026" s="117" t="s">
        <v>99</v>
      </c>
      <c r="F2026" s="36" t="str">
        <f>IFERROR(VLOOKUP(Table1[[#This Row],[Part Number]],DATABASE_FG!$C$6:D12015,2,FALSE)," ")</f>
        <v xml:space="preserve">054380529-8011 </v>
      </c>
      <c r="G2026" s="117">
        <f>IFERROR(_xlfn.XLOOKUP(Table1[[#This Row],[Part Number]],Table3[Part number],Table3[Drawing
 Revision]),"")</f>
        <v>0</v>
      </c>
      <c r="H2026" s="118" cm="1">
        <f t="array" ref="H2026">IFERROR(INDEX(PDB!$C:$AT,MATCH(E2026,PDB!$B:$B,0),MATCH(YEAR(K2026),0+PDB!$C$1:$AT$1,0)),"")</f>
        <v>3.56</v>
      </c>
      <c r="I2026" s="36"/>
      <c r="J2026" s="125">
        <f>IFERROR(Table1[[#This Row],[Quantity]]*Table1[[#This Row],[Price/Unit
EUR]]," ")</f>
        <v>0</v>
      </c>
      <c r="K2026" s="126">
        <v>45447</v>
      </c>
      <c r="L2026" s="36">
        <f>WEEKNUM(Table1[[#This Row],[ETA
As requested
dd.mm.yyyy]])</f>
        <v>23</v>
      </c>
      <c r="M2026" s="36">
        <f>YEAR(Table1[[#This Row],[ETA
As requested
dd.mm.yyyy]])</f>
        <v>2024</v>
      </c>
      <c r="N2026" s="36">
        <f>IFERROR(INDEX(DATABASE_FG!$H$5:$H$367, MATCH(E2026, DATABASE_FG!$C$5:$C$367, 0)), " ")</f>
        <v>0</v>
      </c>
      <c r="O2026" s="129" t="str">
        <f>IF(E2026&lt;&gt;"", _xlfn.XLOOKUP(E2026, DATABASE_FG!C:C, DATABASE_FG!F:F), " ")</f>
        <v>Ghidaje</v>
      </c>
      <c r="P2026" s="36">
        <f>IFERROR(INDEX(DATABASE_FG!$G$5:$G$367, MATCH(E2026, DATABASE_FG!$C$5:$C$367, 0)), "Not Found")</f>
        <v>0</v>
      </c>
      <c r="Q2026" s="36"/>
      <c r="R2026" s="125" t="s">
        <v>678</v>
      </c>
      <c r="S2026" s="123">
        <f>Table1[[#This Row],[Quantity]]/48</f>
        <v>0</v>
      </c>
      <c r="T2026" s="36"/>
      <c r="U2026" s="36"/>
      <c r="V2026" s="36"/>
      <c r="W2026" s="129"/>
      <c r="X2026" s="36"/>
      <c r="Y2026" s="36"/>
      <c r="Z2026" s="36"/>
      <c r="AA2026" s="125" t="s">
        <v>121</v>
      </c>
      <c r="AB2026" s="173">
        <v>45455</v>
      </c>
      <c r="AC2026" s="119">
        <v>2024644</v>
      </c>
      <c r="AD2026" s="36">
        <f t="shared" si="230"/>
        <v>36856222</v>
      </c>
      <c r="AE2026" s="36" t="str">
        <f t="shared" si="231"/>
        <v>TK.KWVE15-B-A-ESC-0038-WW1</v>
      </c>
      <c r="AF2026" s="36">
        <v>121</v>
      </c>
      <c r="AG2026" s="120">
        <f t="shared" si="229"/>
        <v>430.76</v>
      </c>
      <c r="AH2026" s="36"/>
      <c r="AI2026" s="124"/>
      <c r="AJ2026" s="122" t="s">
        <v>1608</v>
      </c>
      <c r="AK2026" s="129" t="str">
        <f t="shared" ca="1" si="228"/>
        <v>Late</v>
      </c>
      <c r="AL2026" s="268" t="str">
        <f t="shared" si="227"/>
        <v>June</v>
      </c>
      <c r="AM2026" s="133">
        <f>YEAR(Table1[[#This Row],[ETA
As requested
dd.mm.yyyy]])</f>
        <v>2024</v>
      </c>
    </row>
    <row r="2027" spans="1:39" hidden="1">
      <c r="A2027" s="123" t="s">
        <v>83</v>
      </c>
      <c r="B2027" s="36" t="s">
        <v>1170</v>
      </c>
      <c r="C2027" s="117">
        <v>36856222</v>
      </c>
      <c r="D2027" s="165">
        <v>45439</v>
      </c>
      <c r="E2027" s="117" t="s">
        <v>99</v>
      </c>
      <c r="F2027" s="36" t="str">
        <f>IFERROR(VLOOKUP(Table1[[#This Row],[Part Number]],DATABASE_FG!$C$6:D12016,2,FALSE)," ")</f>
        <v xml:space="preserve">054380529-8011 </v>
      </c>
      <c r="G2027" s="117">
        <f>IFERROR(_xlfn.XLOOKUP(Table1[[#This Row],[Part Number]],Table3[Part number],Table3[Drawing
 Revision]),"")</f>
        <v>0</v>
      </c>
      <c r="H2027" s="118" cm="1">
        <f t="array" ref="H2027">IFERROR(INDEX(PDB!$C:$AT,MATCH(E2027,PDB!$B:$B,0),MATCH(YEAR(K2027),0+PDB!$C$1:$AT$1,0)),"")</f>
        <v>3.56</v>
      </c>
      <c r="I2027" s="36">
        <v>300</v>
      </c>
      <c r="J2027" s="125">
        <f>IFERROR(Table1[[#This Row],[Quantity]]*Table1[[#This Row],[Price/Unit
EUR]]," ")</f>
        <v>1068</v>
      </c>
      <c r="K2027" s="126">
        <v>45449</v>
      </c>
      <c r="L2027" s="36">
        <f>WEEKNUM(Table1[[#This Row],[ETA
As requested
dd.mm.yyyy]])</f>
        <v>23</v>
      </c>
      <c r="M2027" s="36">
        <f>YEAR(Table1[[#This Row],[ETA
As requested
dd.mm.yyyy]])</f>
        <v>2024</v>
      </c>
      <c r="N2027" s="36">
        <f>IFERROR(INDEX(DATABASE_FG!$H$5:$H$367, MATCH(E2027, DATABASE_FG!$C$5:$C$367, 0)), " ")</f>
        <v>0</v>
      </c>
      <c r="O2027" s="129" t="str">
        <f>IF(E2027&lt;&gt;"", _xlfn.XLOOKUP(E2027, DATABASE_FG!C:C, DATABASE_FG!F:F), " ")</f>
        <v>Ghidaje</v>
      </c>
      <c r="P2027" s="36">
        <f>IFERROR(INDEX(DATABASE_FG!$G$5:$G$367, MATCH(E2027, DATABASE_FG!$C$5:$C$367, 0)), "Not Found")</f>
        <v>0</v>
      </c>
      <c r="Q2027" s="36"/>
      <c r="R2027" s="125" t="s">
        <v>678</v>
      </c>
      <c r="S2027" s="123">
        <f>IFERROR(INDEX(DATABASE_FG!$L$5:$L$367, MATCH(E2027, DATABASE_FG!$C$5:$C$367, 0)), " ")</f>
        <v>42</v>
      </c>
      <c r="T2027" s="36" t="s">
        <v>679</v>
      </c>
      <c r="U2027" s="36"/>
      <c r="V2027" s="36"/>
      <c r="W2027" s="129"/>
      <c r="X2027" s="36"/>
      <c r="Y2027" s="36"/>
      <c r="Z2027" s="36">
        <v>242405</v>
      </c>
      <c r="AA2027" s="125" t="s">
        <v>121</v>
      </c>
      <c r="AB2027" s="173">
        <v>45456</v>
      </c>
      <c r="AC2027" s="119">
        <v>2024653</v>
      </c>
      <c r="AD2027" s="36">
        <f t="shared" si="230"/>
        <v>36856222</v>
      </c>
      <c r="AE2027" s="36" t="str">
        <f t="shared" si="231"/>
        <v>TK.KWVE15-B-A-ESC-0038-WW1</v>
      </c>
      <c r="AF2027" s="36">
        <v>144</v>
      </c>
      <c r="AG2027" s="120">
        <f t="shared" si="229"/>
        <v>512.64</v>
      </c>
      <c r="AH2027" s="36"/>
      <c r="AI2027" s="124"/>
      <c r="AJ2027" s="122" t="s">
        <v>1630</v>
      </c>
      <c r="AK2027" s="129" t="str">
        <f t="shared" ca="1" si="228"/>
        <v>Late</v>
      </c>
      <c r="AL2027" s="268" t="str">
        <f t="shared" si="227"/>
        <v>June</v>
      </c>
      <c r="AM2027" s="133">
        <f>YEAR(Table1[[#This Row],[ETA
As requested
dd.mm.yyyy]])</f>
        <v>2024</v>
      </c>
    </row>
    <row r="2028" spans="1:39" hidden="1">
      <c r="A2028" s="123" t="s">
        <v>83</v>
      </c>
      <c r="B2028" s="36" t="s">
        <v>1170</v>
      </c>
      <c r="C2028" s="117">
        <v>36856222</v>
      </c>
      <c r="D2028" s="165">
        <v>45439</v>
      </c>
      <c r="E2028" s="117" t="s">
        <v>99</v>
      </c>
      <c r="F2028" s="36" t="str">
        <f>IFERROR(VLOOKUP(Table1[[#This Row],[Part Number]],DATABASE_FG!$C$6:D12017,2,FALSE)," ")</f>
        <v xml:space="preserve">054380529-8011 </v>
      </c>
      <c r="G2028" s="117">
        <f>IFERROR(_xlfn.XLOOKUP(Table1[[#This Row],[Part Number]],Table3[Part number],Table3[Drawing
 Revision]),"")</f>
        <v>0</v>
      </c>
      <c r="H2028" s="118" cm="1">
        <f t="array" ref="H2028">IFERROR(INDEX(PDB!$C:$AT,MATCH(E2028,PDB!$B:$B,0),MATCH(YEAR(K2028),0+PDB!$C$1:$AT$1,0)),"")</f>
        <v>3.56</v>
      </c>
      <c r="I2028" s="36"/>
      <c r="J2028" s="125">
        <f>IFERROR(Table1[[#This Row],[Quantity]]*Table1[[#This Row],[Price/Unit
EUR]]," ")</f>
        <v>0</v>
      </c>
      <c r="K2028" s="126">
        <v>45449</v>
      </c>
      <c r="L2028" s="36">
        <f>WEEKNUM(Table1[[#This Row],[ETA
As requested
dd.mm.yyyy]])</f>
        <v>23</v>
      </c>
      <c r="M2028" s="36">
        <f>YEAR(Table1[[#This Row],[ETA
As requested
dd.mm.yyyy]])</f>
        <v>2024</v>
      </c>
      <c r="N2028" s="36">
        <f>IFERROR(INDEX(DATABASE_FG!$H$5:$H$367, MATCH(E2028, DATABASE_FG!$C$5:$C$367, 0)), " ")</f>
        <v>0</v>
      </c>
      <c r="O2028" s="129" t="str">
        <f>IF(E2028&lt;&gt;"", _xlfn.XLOOKUP(E2028, DATABASE_FG!C:C, DATABASE_FG!F:F), " ")</f>
        <v>Ghidaje</v>
      </c>
      <c r="P2028" s="36">
        <f>IFERROR(INDEX(DATABASE_FG!$G$5:$G$367, MATCH(E2028, DATABASE_FG!$C$5:$C$367, 0)), "Not Found")</f>
        <v>0</v>
      </c>
      <c r="Q2028" s="36"/>
      <c r="R2028" s="125" t="s">
        <v>678</v>
      </c>
      <c r="S2028" s="123">
        <f>Table1[[#This Row],[Quantity]]/48</f>
        <v>0</v>
      </c>
      <c r="T2028" s="36"/>
      <c r="U2028" s="36"/>
      <c r="V2028" s="36"/>
      <c r="W2028" s="129"/>
      <c r="X2028" s="36"/>
      <c r="Y2028" s="36"/>
      <c r="Z2028" s="36"/>
      <c r="AA2028" s="125" t="s">
        <v>121</v>
      </c>
      <c r="AB2028" s="173">
        <v>45457</v>
      </c>
      <c r="AC2028" s="119">
        <v>2024664</v>
      </c>
      <c r="AD2028" s="36">
        <f t="shared" si="230"/>
        <v>36856222</v>
      </c>
      <c r="AE2028" s="36" t="str">
        <f t="shared" si="231"/>
        <v>TK.KWVE15-B-A-ESC-0038-WW1</v>
      </c>
      <c r="AF2028" s="36">
        <v>141</v>
      </c>
      <c r="AG2028" s="120">
        <f t="shared" si="229"/>
        <v>501.96</v>
      </c>
      <c r="AH2028" s="36"/>
      <c r="AI2028" s="124"/>
      <c r="AJ2028" s="122" t="s">
        <v>1631</v>
      </c>
      <c r="AK2028" s="129" t="str">
        <f t="shared" ca="1" si="228"/>
        <v>Late</v>
      </c>
      <c r="AL2028" s="268" t="str">
        <f t="shared" si="227"/>
        <v>June</v>
      </c>
      <c r="AM2028" s="133">
        <f>YEAR(Table1[[#This Row],[ETA
As requested
dd.mm.yyyy]])</f>
        <v>2024</v>
      </c>
    </row>
    <row r="2029" spans="1:39" hidden="1">
      <c r="A2029" s="123" t="s">
        <v>83</v>
      </c>
      <c r="B2029" s="36" t="s">
        <v>1170</v>
      </c>
      <c r="C2029" s="117">
        <v>36856222</v>
      </c>
      <c r="D2029" s="165">
        <v>45439</v>
      </c>
      <c r="E2029" s="117" t="s">
        <v>99</v>
      </c>
      <c r="F2029" s="36" t="str">
        <f>IFERROR(VLOOKUP(Table1[[#This Row],[Part Number]],DATABASE_FG!$C$6:D12018,2,FALSE)," ")</f>
        <v xml:space="preserve">054380529-8011 </v>
      </c>
      <c r="G2029" s="117">
        <f>IFERROR(_xlfn.XLOOKUP(Table1[[#This Row],[Part Number]],Table3[Part number],Table3[Drawing
 Revision]),"")</f>
        <v>0</v>
      </c>
      <c r="H2029" s="118" cm="1">
        <f t="array" ref="H2029">IFERROR(INDEX(PDB!$C:$AT,MATCH(E2029,PDB!$B:$B,0),MATCH(YEAR(K2029),0+PDB!$C$1:$AT$1,0)),"")</f>
        <v>3.56</v>
      </c>
      <c r="I2029" s="36"/>
      <c r="J2029" s="125">
        <f>IFERROR(Table1[[#This Row],[Quantity]]*Table1[[#This Row],[Price/Unit
EUR]]," ")</f>
        <v>0</v>
      </c>
      <c r="K2029" s="126">
        <v>45449</v>
      </c>
      <c r="L2029" s="36">
        <f>WEEKNUM(Table1[[#This Row],[ETA
As requested
dd.mm.yyyy]])</f>
        <v>23</v>
      </c>
      <c r="M2029" s="36">
        <f>YEAR(Table1[[#This Row],[ETA
As requested
dd.mm.yyyy]])</f>
        <v>2024</v>
      </c>
      <c r="N2029" s="36">
        <f>IFERROR(INDEX(DATABASE_FG!$H$5:$H$367, MATCH(E2029, DATABASE_FG!$C$5:$C$367, 0)), " ")</f>
        <v>0</v>
      </c>
      <c r="O2029" s="129" t="str">
        <f>IF(E2029&lt;&gt;"", _xlfn.XLOOKUP(E2029, DATABASE_FG!C:C, DATABASE_FG!F:F), " ")</f>
        <v>Ghidaje</v>
      </c>
      <c r="P2029" s="36">
        <f>IFERROR(INDEX(DATABASE_FG!$G$5:$G$367, MATCH(E2029, DATABASE_FG!$C$5:$C$367, 0)), "Not Found")</f>
        <v>0</v>
      </c>
      <c r="Q2029" s="36"/>
      <c r="R2029" s="125" t="s">
        <v>678</v>
      </c>
      <c r="S2029" s="123">
        <f>Table1[[#This Row],[Quantity]]/48</f>
        <v>0</v>
      </c>
      <c r="T2029" s="36"/>
      <c r="U2029" s="36"/>
      <c r="V2029" s="36"/>
      <c r="W2029" s="129"/>
      <c r="X2029" s="36"/>
      <c r="Y2029" s="36"/>
      <c r="Z2029" s="36"/>
      <c r="AA2029" s="125" t="s">
        <v>121</v>
      </c>
      <c r="AB2029" s="173">
        <v>45460</v>
      </c>
      <c r="AC2029" s="119">
        <v>2024672</v>
      </c>
      <c r="AD2029" s="36">
        <f t="shared" si="230"/>
        <v>36856222</v>
      </c>
      <c r="AE2029" s="36" t="str">
        <f t="shared" si="231"/>
        <v>TK.KWVE15-B-A-ESC-0038-WW1</v>
      </c>
      <c r="AF2029" s="36">
        <v>15</v>
      </c>
      <c r="AG2029" s="120">
        <f t="shared" si="229"/>
        <v>53.4</v>
      </c>
      <c r="AH2029" s="36"/>
      <c r="AI2029" s="124"/>
      <c r="AJ2029" s="122" t="s">
        <v>1632</v>
      </c>
      <c r="AK2029" s="129" t="str">
        <f t="shared" ca="1" si="228"/>
        <v>Late</v>
      </c>
      <c r="AL2029" s="268" t="str">
        <f t="shared" si="227"/>
        <v>June</v>
      </c>
      <c r="AM2029" s="133">
        <f>YEAR(Table1[[#This Row],[ETA
As requested
dd.mm.yyyy]])</f>
        <v>2024</v>
      </c>
    </row>
    <row r="2030" spans="1:39" hidden="1">
      <c r="A2030" s="123" t="s">
        <v>83</v>
      </c>
      <c r="B2030" s="36" t="s">
        <v>1170</v>
      </c>
      <c r="C2030" s="117">
        <v>36856237</v>
      </c>
      <c r="D2030" s="165">
        <v>45439</v>
      </c>
      <c r="E2030" s="117" t="s">
        <v>99</v>
      </c>
      <c r="F2030" s="36" t="str">
        <f>IFERROR(VLOOKUP(Table1[[#This Row],[Part Number]],DATABASE_FG!$C$6:D12019,2,FALSE)," ")</f>
        <v xml:space="preserve">054380529-8011 </v>
      </c>
      <c r="G2030" s="117">
        <f>IFERROR(_xlfn.XLOOKUP(Table1[[#This Row],[Part Number]],Table3[Part number],Table3[Drawing
 Revision]),"")</f>
        <v>0</v>
      </c>
      <c r="H2030" s="118" cm="1">
        <f t="array" ref="H2030">IFERROR(INDEX(PDB!$C:$AT,MATCH(E2030,PDB!$B:$B,0),MATCH(YEAR(K2030),0+PDB!$C$1:$AT$1,0)),"")</f>
        <v>3.56</v>
      </c>
      <c r="I2030" s="36">
        <v>300</v>
      </c>
      <c r="J2030" s="125">
        <f>IFERROR(Table1[[#This Row],[Quantity]]*Table1[[#This Row],[Price/Unit
EUR]]," ")</f>
        <v>1068</v>
      </c>
      <c r="K2030" s="126">
        <v>45454</v>
      </c>
      <c r="L2030" s="36">
        <f>WEEKNUM(Table1[[#This Row],[ETA
As requested
dd.mm.yyyy]])</f>
        <v>24</v>
      </c>
      <c r="M2030" s="36">
        <f>YEAR(Table1[[#This Row],[ETA
As requested
dd.mm.yyyy]])</f>
        <v>2024</v>
      </c>
      <c r="N2030" s="36">
        <f>IFERROR(INDEX(DATABASE_FG!$H$5:$H$367, MATCH(E2030, DATABASE_FG!$C$5:$C$367, 0)), " ")</f>
        <v>0</v>
      </c>
      <c r="O2030" s="129" t="str">
        <f>IF(E2030&lt;&gt;"", _xlfn.XLOOKUP(E2030, DATABASE_FG!C:C, DATABASE_FG!F:F), " ")</f>
        <v>Ghidaje</v>
      </c>
      <c r="P2030" s="36">
        <f>IFERROR(INDEX(DATABASE_FG!$G$5:$G$367, MATCH(E2030, DATABASE_FG!$C$5:$C$367, 0)), "Not Found")</f>
        <v>0</v>
      </c>
      <c r="Q2030" s="36"/>
      <c r="R2030" s="125" t="s">
        <v>678</v>
      </c>
      <c r="S2030" s="123">
        <f>IFERROR(INDEX(DATABASE_FG!$L$5:$L$367, MATCH(E2030, DATABASE_FG!$C$5:$C$367, 0)), " ")</f>
        <v>42</v>
      </c>
      <c r="T2030" s="36" t="s">
        <v>679</v>
      </c>
      <c r="U2030" s="36"/>
      <c r="V2030" s="36"/>
      <c r="W2030" s="129"/>
      <c r="X2030" s="36"/>
      <c r="Y2030" s="36"/>
      <c r="Z2030" s="36">
        <v>242405</v>
      </c>
      <c r="AA2030" s="125" t="s">
        <v>121</v>
      </c>
      <c r="AB2030" s="173">
        <v>45460</v>
      </c>
      <c r="AC2030" s="119">
        <v>2024673</v>
      </c>
      <c r="AD2030" s="36">
        <f t="shared" si="230"/>
        <v>36856237</v>
      </c>
      <c r="AE2030" s="36" t="str">
        <f t="shared" si="231"/>
        <v>TK.KWVE15-B-A-ESC-0038-WW1</v>
      </c>
      <c r="AF2030" s="36">
        <v>93</v>
      </c>
      <c r="AG2030" s="120">
        <f t="shared" si="229"/>
        <v>331.08</v>
      </c>
      <c r="AH2030" s="36"/>
      <c r="AI2030" s="124"/>
      <c r="AJ2030" s="122" t="s">
        <v>1652</v>
      </c>
      <c r="AK2030" s="129" t="str">
        <f t="shared" ca="1" si="228"/>
        <v>Late</v>
      </c>
      <c r="AL2030" s="268" t="str">
        <f t="shared" si="227"/>
        <v>June</v>
      </c>
      <c r="AM2030" s="133">
        <f>YEAR(Table1[[#This Row],[ETA
As requested
dd.mm.yyyy]])</f>
        <v>2024</v>
      </c>
    </row>
    <row r="2031" spans="1:39" hidden="1">
      <c r="A2031" s="123" t="s">
        <v>83</v>
      </c>
      <c r="B2031" s="36" t="s">
        <v>1170</v>
      </c>
      <c r="C2031" s="117">
        <v>36856237</v>
      </c>
      <c r="D2031" s="165">
        <v>45439</v>
      </c>
      <c r="E2031" s="117" t="s">
        <v>99</v>
      </c>
      <c r="F2031" s="36" t="str">
        <f>IFERROR(VLOOKUP(Table1[[#This Row],[Part Number]],DATABASE_FG!$C$6:D12020,2,FALSE)," ")</f>
        <v xml:space="preserve">054380529-8011 </v>
      </c>
      <c r="G2031" s="117">
        <f>IFERROR(_xlfn.XLOOKUP(Table1[[#This Row],[Part Number]],Table3[Part number],Table3[Drawing
 Revision]),"")</f>
        <v>0</v>
      </c>
      <c r="H2031" s="118" cm="1">
        <f t="array" ref="H2031">IFERROR(INDEX(PDB!$C:$AT,MATCH(E2031,PDB!$B:$B,0),MATCH(YEAR(K2031),0+PDB!$C$1:$AT$1,0)),"")</f>
        <v>3.56</v>
      </c>
      <c r="I2031" s="36"/>
      <c r="J2031" s="125">
        <f>IFERROR(Table1[[#This Row],[Quantity]]*Table1[[#This Row],[Price/Unit
EUR]]," ")</f>
        <v>0</v>
      </c>
      <c r="K2031" s="126">
        <v>45454</v>
      </c>
      <c r="L2031" s="36">
        <f>WEEKNUM(Table1[[#This Row],[ETA
As requested
dd.mm.yyyy]])</f>
        <v>24</v>
      </c>
      <c r="M2031" s="36">
        <f>YEAR(Table1[[#This Row],[ETA
As requested
dd.mm.yyyy]])</f>
        <v>2024</v>
      </c>
      <c r="N2031" s="36">
        <f>IFERROR(INDEX(DATABASE_FG!$H$5:$H$367, MATCH(E2031, DATABASE_FG!$C$5:$C$367, 0)), " ")</f>
        <v>0</v>
      </c>
      <c r="O2031" s="129" t="str">
        <f>IF(E2031&lt;&gt;"", _xlfn.XLOOKUP(E2031, DATABASE_FG!C:C, DATABASE_FG!F:F), " ")</f>
        <v>Ghidaje</v>
      </c>
      <c r="P2031" s="36">
        <f>IFERROR(INDEX(DATABASE_FG!$G$5:$G$367, MATCH(E2031, DATABASE_FG!$C$5:$C$367, 0)), "Not Found")</f>
        <v>0</v>
      </c>
      <c r="Q2031" s="36"/>
      <c r="R2031" s="125" t="s">
        <v>678</v>
      </c>
      <c r="S2031" s="123">
        <f>Table1[[#This Row],[Quantity]]/48</f>
        <v>0</v>
      </c>
      <c r="T2031" s="36"/>
      <c r="U2031" s="36"/>
      <c r="V2031" s="36"/>
      <c r="W2031" s="129"/>
      <c r="X2031" s="36"/>
      <c r="Y2031" s="36"/>
      <c r="Z2031" s="36"/>
      <c r="AA2031" s="125" t="s">
        <v>121</v>
      </c>
      <c r="AB2031" s="173">
        <v>45461</v>
      </c>
      <c r="AC2031" s="119">
        <v>2024683</v>
      </c>
      <c r="AD2031" s="36">
        <f t="shared" si="230"/>
        <v>36856237</v>
      </c>
      <c r="AE2031" s="36" t="str">
        <f t="shared" si="231"/>
        <v>TK.KWVE15-B-A-ESC-0038-WW1</v>
      </c>
      <c r="AF2031" s="36">
        <v>119</v>
      </c>
      <c r="AG2031" s="120">
        <f t="shared" si="229"/>
        <v>423.64</v>
      </c>
      <c r="AH2031" s="36"/>
      <c r="AI2031" s="124"/>
      <c r="AJ2031" s="122" t="s">
        <v>1653</v>
      </c>
      <c r="AK2031" s="129" t="str">
        <f t="shared" ca="1" si="228"/>
        <v>Late</v>
      </c>
      <c r="AL2031" s="268" t="str">
        <f t="shared" si="227"/>
        <v>June</v>
      </c>
      <c r="AM2031" s="133">
        <f>YEAR(Table1[[#This Row],[ETA
As requested
dd.mm.yyyy]])</f>
        <v>2024</v>
      </c>
    </row>
    <row r="2032" spans="1:39" hidden="1">
      <c r="A2032" s="123" t="s">
        <v>83</v>
      </c>
      <c r="B2032" s="36" t="s">
        <v>1170</v>
      </c>
      <c r="C2032" s="117">
        <v>36856237</v>
      </c>
      <c r="D2032" s="165">
        <v>45439</v>
      </c>
      <c r="E2032" s="117" t="s">
        <v>99</v>
      </c>
      <c r="F2032" s="36" t="str">
        <f>IFERROR(VLOOKUP(Table1[[#This Row],[Part Number]],DATABASE_FG!$C$6:D12021,2,FALSE)," ")</f>
        <v xml:space="preserve">054380529-8011 </v>
      </c>
      <c r="G2032" s="117">
        <f>IFERROR(_xlfn.XLOOKUP(Table1[[#This Row],[Part Number]],Table3[Part number],Table3[Drawing
 Revision]),"")</f>
        <v>0</v>
      </c>
      <c r="H2032" s="118" cm="1">
        <f t="array" ref="H2032">IFERROR(INDEX(PDB!$C:$AT,MATCH(E2032,PDB!$B:$B,0),MATCH(YEAR(K2032),0+PDB!$C$1:$AT$1,0)),"")</f>
        <v>3.56</v>
      </c>
      <c r="I2032" s="36"/>
      <c r="J2032" s="125">
        <f>IFERROR(Table1[[#This Row],[Quantity]]*Table1[[#This Row],[Price/Unit
EUR]]," ")</f>
        <v>0</v>
      </c>
      <c r="K2032" s="126">
        <v>45454</v>
      </c>
      <c r="L2032" s="36">
        <f>WEEKNUM(Table1[[#This Row],[ETA
As requested
dd.mm.yyyy]])</f>
        <v>24</v>
      </c>
      <c r="M2032" s="36">
        <f>YEAR(Table1[[#This Row],[ETA
As requested
dd.mm.yyyy]])</f>
        <v>2024</v>
      </c>
      <c r="N2032" s="36">
        <f>IFERROR(INDEX(DATABASE_FG!$H$5:$H$367, MATCH(E2032, DATABASE_FG!$C$5:$C$367, 0)), " ")</f>
        <v>0</v>
      </c>
      <c r="O2032" s="129" t="str">
        <f>IF(E2032&lt;&gt;"", _xlfn.XLOOKUP(E2032, DATABASE_FG!C:C, DATABASE_FG!F:F), " ")</f>
        <v>Ghidaje</v>
      </c>
      <c r="P2032" s="36">
        <f>IFERROR(INDEX(DATABASE_FG!$G$5:$G$367, MATCH(E2032, DATABASE_FG!$C$5:$C$367, 0)), "Not Found")</f>
        <v>0</v>
      </c>
      <c r="Q2032" s="36"/>
      <c r="R2032" s="125" t="s">
        <v>678</v>
      </c>
      <c r="S2032" s="123">
        <f>Table1[[#This Row],[Quantity]]/48</f>
        <v>0</v>
      </c>
      <c r="T2032" s="36"/>
      <c r="U2032" s="36"/>
      <c r="V2032" s="36"/>
      <c r="W2032" s="129"/>
      <c r="X2032" s="36"/>
      <c r="Y2032" s="36"/>
      <c r="Z2032" s="36"/>
      <c r="AA2032" s="125" t="s">
        <v>121</v>
      </c>
      <c r="AB2032" s="173">
        <v>45462</v>
      </c>
      <c r="AC2032" s="119">
        <v>2024687</v>
      </c>
      <c r="AD2032" s="36">
        <f t="shared" si="230"/>
        <v>36856237</v>
      </c>
      <c r="AE2032" s="36" t="str">
        <f t="shared" si="231"/>
        <v>TK.KWVE15-B-A-ESC-0038-WW1</v>
      </c>
      <c r="AF2032" s="36">
        <v>88</v>
      </c>
      <c r="AG2032" s="120">
        <f t="shared" si="229"/>
        <v>313.28000000000003</v>
      </c>
      <c r="AH2032" s="36"/>
      <c r="AI2032" s="124"/>
      <c r="AJ2032" s="122" t="s">
        <v>1654</v>
      </c>
      <c r="AK2032" s="129" t="str">
        <f t="shared" ca="1" si="228"/>
        <v>Late</v>
      </c>
      <c r="AL2032" s="268" t="str">
        <f t="shared" si="227"/>
        <v>June</v>
      </c>
      <c r="AM2032" s="133">
        <f>YEAR(Table1[[#This Row],[ETA
As requested
dd.mm.yyyy]])</f>
        <v>2024</v>
      </c>
    </row>
    <row r="2033" spans="1:39" ht="15" hidden="1" customHeight="1">
      <c r="A2033" s="123" t="s">
        <v>83</v>
      </c>
      <c r="B2033" s="36" t="s">
        <v>1170</v>
      </c>
      <c r="C2033" s="117">
        <v>36856237</v>
      </c>
      <c r="D2033" s="165">
        <v>45439</v>
      </c>
      <c r="E2033" s="117" t="s">
        <v>99</v>
      </c>
      <c r="F2033" s="36" t="str">
        <f>IFERROR(VLOOKUP(Table1[[#This Row],[Part Number]],DATABASE_FG!$C$6:D12022,2,FALSE)," ")</f>
        <v xml:space="preserve">054380529-8011 </v>
      </c>
      <c r="G2033" s="117">
        <f>IFERROR(_xlfn.XLOOKUP(Table1[[#This Row],[Part Number]],Table3[Part number],Table3[Drawing
 Revision]),"")</f>
        <v>0</v>
      </c>
      <c r="H2033" s="118" cm="1">
        <f t="array" ref="H2033">IFERROR(INDEX(PDB!$C:$AT,MATCH(E2033,PDB!$B:$B,0),MATCH(YEAR(K2033),0+PDB!$C$1:$AT$1,0)),"")</f>
        <v>3.56</v>
      </c>
      <c r="I2033" s="36">
        <v>300</v>
      </c>
      <c r="J2033" s="125">
        <f>IFERROR(Table1[[#This Row],[Quantity]]*Table1[[#This Row],[Price/Unit
EUR]]," ")</f>
        <v>1068</v>
      </c>
      <c r="K2033" s="126">
        <v>45456</v>
      </c>
      <c r="L2033" s="36">
        <f>WEEKNUM(Table1[[#This Row],[ETA
As requested
dd.mm.yyyy]])</f>
        <v>24</v>
      </c>
      <c r="M2033" s="36">
        <f>YEAR(Table1[[#This Row],[ETA
As requested
dd.mm.yyyy]])</f>
        <v>2024</v>
      </c>
      <c r="N2033" s="36">
        <f>IFERROR(INDEX(DATABASE_FG!$H$5:$H$367, MATCH(E2033, DATABASE_FG!$C$5:$C$367, 0)), " ")</f>
        <v>0</v>
      </c>
      <c r="O2033" s="129" t="str">
        <f>IF(E2033&lt;&gt;"", _xlfn.XLOOKUP(E2033, DATABASE_FG!C:C, DATABASE_FG!F:F), " ")</f>
        <v>Ghidaje</v>
      </c>
      <c r="P2033" s="36">
        <f>IFERROR(INDEX(DATABASE_FG!$G$5:$G$367, MATCH(E2033, DATABASE_FG!$C$5:$C$367, 0)), "Not Found")</f>
        <v>0</v>
      </c>
      <c r="Q2033" s="36"/>
      <c r="R2033" s="125" t="s">
        <v>678</v>
      </c>
      <c r="S2033" s="123">
        <f>IFERROR(INDEX(DATABASE_FG!$L$5:$L$367, MATCH(E2033, DATABASE_FG!$C$5:$C$367, 0)), " ")</f>
        <v>42</v>
      </c>
      <c r="T2033" s="36" t="s">
        <v>679</v>
      </c>
      <c r="U2033" s="36"/>
      <c r="V2033" s="36"/>
      <c r="W2033" s="129"/>
      <c r="X2033" s="36"/>
      <c r="Y2033" s="36"/>
      <c r="Z2033" s="36">
        <v>242405</v>
      </c>
      <c r="AA2033" s="125" t="s">
        <v>121</v>
      </c>
      <c r="AB2033" s="173">
        <v>45462</v>
      </c>
      <c r="AC2033" s="119">
        <v>2024687</v>
      </c>
      <c r="AD2033" s="36">
        <f t="shared" si="230"/>
        <v>36856237</v>
      </c>
      <c r="AE2033" s="36" t="str">
        <f t="shared" si="231"/>
        <v>TK.KWVE15-B-A-ESC-0038-WW1</v>
      </c>
      <c r="AF2033" s="36">
        <v>59</v>
      </c>
      <c r="AG2033" s="120">
        <f t="shared" si="229"/>
        <v>210.04</v>
      </c>
      <c r="AH2033" s="36"/>
      <c r="AI2033" s="124"/>
      <c r="AJ2033" s="122" t="s">
        <v>1654</v>
      </c>
      <c r="AK2033" s="129" t="str">
        <f t="shared" ca="1" si="228"/>
        <v>Late</v>
      </c>
      <c r="AL2033" s="268" t="str">
        <f t="shared" si="227"/>
        <v>June</v>
      </c>
      <c r="AM2033" s="133">
        <f>YEAR(Table1[[#This Row],[ETA
As requested
dd.mm.yyyy]])</f>
        <v>2024</v>
      </c>
    </row>
    <row r="2034" spans="1:39" hidden="1">
      <c r="A2034" s="123" t="s">
        <v>83</v>
      </c>
      <c r="B2034" s="36" t="s">
        <v>1170</v>
      </c>
      <c r="C2034" s="117">
        <v>36856237</v>
      </c>
      <c r="D2034" s="165">
        <v>45439</v>
      </c>
      <c r="E2034" s="117" t="s">
        <v>99</v>
      </c>
      <c r="F2034" s="36" t="str">
        <f>IFERROR(VLOOKUP(Table1[[#This Row],[Part Number]],DATABASE_FG!$C$6:D12023,2,FALSE)," ")</f>
        <v xml:space="preserve">054380529-8011 </v>
      </c>
      <c r="G2034" s="117">
        <f>IFERROR(_xlfn.XLOOKUP(Table1[[#This Row],[Part Number]],Table3[Part number],Table3[Drawing
 Revision]),"")</f>
        <v>0</v>
      </c>
      <c r="H2034" s="118" cm="1">
        <f t="array" ref="H2034">IFERROR(INDEX(PDB!$C:$AT,MATCH(E2034,PDB!$B:$B,0),MATCH(YEAR(K2034),0+PDB!$C$1:$AT$1,0)),"")</f>
        <v>3.56</v>
      </c>
      <c r="I2034" s="36"/>
      <c r="J2034" s="125">
        <f>IFERROR(Table1[[#This Row],[Quantity]]*Table1[[#This Row],[Price/Unit
EUR]]," ")</f>
        <v>0</v>
      </c>
      <c r="K2034" s="126">
        <v>45456</v>
      </c>
      <c r="L2034" s="36">
        <f>WEEKNUM(Table1[[#This Row],[ETA
As requested
dd.mm.yyyy]])</f>
        <v>24</v>
      </c>
      <c r="M2034" s="36">
        <f>YEAR(Table1[[#This Row],[ETA
As requested
dd.mm.yyyy]])</f>
        <v>2024</v>
      </c>
      <c r="N2034" s="36">
        <f>IFERROR(INDEX(DATABASE_FG!$H$5:$H$367, MATCH(E2034, DATABASE_FG!$C$5:$C$367, 0)), " ")</f>
        <v>0</v>
      </c>
      <c r="O2034" s="129" t="str">
        <f>IF(E2034&lt;&gt;"", _xlfn.XLOOKUP(E2034, DATABASE_FG!C:C, DATABASE_FG!F:F), " ")</f>
        <v>Ghidaje</v>
      </c>
      <c r="P2034" s="36">
        <f>IFERROR(INDEX(DATABASE_FG!$G$5:$G$367, MATCH(E2034, DATABASE_FG!$C$5:$C$367, 0)), "Not Found")</f>
        <v>0</v>
      </c>
      <c r="Q2034" s="36"/>
      <c r="R2034" s="125" t="s">
        <v>678</v>
      </c>
      <c r="S2034" s="123">
        <f>Table1[[#This Row],[Quantity]]/48</f>
        <v>0</v>
      </c>
      <c r="T2034" s="36"/>
      <c r="U2034" s="36"/>
      <c r="V2034" s="36"/>
      <c r="W2034" s="129"/>
      <c r="X2034" s="36"/>
      <c r="Y2034" s="36"/>
      <c r="Z2034" s="36"/>
      <c r="AA2034" s="125" t="s">
        <v>121</v>
      </c>
      <c r="AB2034" s="173">
        <v>45463</v>
      </c>
      <c r="AC2034" s="119">
        <v>2024698</v>
      </c>
      <c r="AD2034" s="36">
        <f t="shared" si="230"/>
        <v>36856237</v>
      </c>
      <c r="AE2034" s="36" t="str">
        <f t="shared" si="231"/>
        <v>TK.KWVE15-B-A-ESC-0038-WW1</v>
      </c>
      <c r="AF2034" s="36">
        <v>195</v>
      </c>
      <c r="AG2034" s="120">
        <f t="shared" si="229"/>
        <v>694.2</v>
      </c>
      <c r="AH2034" s="36"/>
      <c r="AI2034" s="124"/>
      <c r="AJ2034" s="122" t="s">
        <v>1683</v>
      </c>
      <c r="AK2034" s="129" t="str">
        <f t="shared" ca="1" si="228"/>
        <v>Late</v>
      </c>
      <c r="AL2034" s="268" t="str">
        <f t="shared" si="227"/>
        <v>June</v>
      </c>
      <c r="AM2034" s="133">
        <f>YEAR(Table1[[#This Row],[ETA
As requested
dd.mm.yyyy]])</f>
        <v>2024</v>
      </c>
    </row>
    <row r="2035" spans="1:39" hidden="1">
      <c r="A2035" s="123" t="s">
        <v>83</v>
      </c>
      <c r="B2035" s="36" t="s">
        <v>1170</v>
      </c>
      <c r="C2035" s="117">
        <v>36856237</v>
      </c>
      <c r="D2035" s="165">
        <v>45439</v>
      </c>
      <c r="E2035" s="117" t="s">
        <v>99</v>
      </c>
      <c r="F2035" s="36" t="str">
        <f>IFERROR(VLOOKUP(Table1[[#This Row],[Part Number]],DATABASE_FG!$C$6:D12024,2,FALSE)," ")</f>
        <v xml:space="preserve">054380529-8011 </v>
      </c>
      <c r="G2035" s="117">
        <f>IFERROR(_xlfn.XLOOKUP(Table1[[#This Row],[Part Number]],Table3[Part number],Table3[Drawing
 Revision]),"")</f>
        <v>0</v>
      </c>
      <c r="H2035" s="118" cm="1">
        <f t="array" ref="H2035">IFERROR(INDEX(PDB!$C:$AT,MATCH(E2035,PDB!$B:$B,0),MATCH(YEAR(K2035),0+PDB!$C$1:$AT$1,0)),"")</f>
        <v>3.56</v>
      </c>
      <c r="I2035" s="36"/>
      <c r="J2035" s="125">
        <f>IFERROR(Table1[[#This Row],[Quantity]]*Table1[[#This Row],[Price/Unit
EUR]]," ")</f>
        <v>0</v>
      </c>
      <c r="K2035" s="126">
        <v>45456</v>
      </c>
      <c r="L2035" s="36">
        <f>WEEKNUM(Table1[[#This Row],[ETA
As requested
dd.mm.yyyy]])</f>
        <v>24</v>
      </c>
      <c r="M2035" s="36">
        <f>YEAR(Table1[[#This Row],[ETA
As requested
dd.mm.yyyy]])</f>
        <v>2024</v>
      </c>
      <c r="N2035" s="36">
        <f>IFERROR(INDEX(DATABASE_FG!$H$5:$H$367, MATCH(E2035, DATABASE_FG!$C$5:$C$367, 0)), " ")</f>
        <v>0</v>
      </c>
      <c r="O2035" s="129" t="str">
        <f>IF(E2035&lt;&gt;"", _xlfn.XLOOKUP(E2035, DATABASE_FG!C:C, DATABASE_FG!F:F), " ")</f>
        <v>Ghidaje</v>
      </c>
      <c r="P2035" s="36">
        <f>IFERROR(INDEX(DATABASE_FG!$G$5:$G$367, MATCH(E2035, DATABASE_FG!$C$5:$C$367, 0)), "Not Found")</f>
        <v>0</v>
      </c>
      <c r="Q2035" s="36"/>
      <c r="R2035" s="125" t="s">
        <v>678</v>
      </c>
      <c r="S2035" s="123">
        <f>Table1[[#This Row],[Quantity]]/48</f>
        <v>0</v>
      </c>
      <c r="T2035" s="36"/>
      <c r="U2035" s="36"/>
      <c r="V2035" s="36"/>
      <c r="W2035" s="129"/>
      <c r="X2035" s="36"/>
      <c r="Y2035" s="36"/>
      <c r="Z2035" s="36"/>
      <c r="AA2035" s="125" t="s">
        <v>121</v>
      </c>
      <c r="AB2035" s="173">
        <v>45468</v>
      </c>
      <c r="AC2035" s="119">
        <v>2024714</v>
      </c>
      <c r="AD2035" s="36">
        <f t="shared" si="230"/>
        <v>36856237</v>
      </c>
      <c r="AE2035" s="36" t="str">
        <f t="shared" si="231"/>
        <v>TK.KWVE15-B-A-ESC-0038-WW1</v>
      </c>
      <c r="AF2035" s="36">
        <v>46</v>
      </c>
      <c r="AG2035" s="120">
        <f t="shared" si="229"/>
        <v>163.76</v>
      </c>
      <c r="AH2035" s="36"/>
      <c r="AI2035" s="124"/>
      <c r="AJ2035" s="122" t="s">
        <v>1684</v>
      </c>
      <c r="AK2035" s="129" t="str">
        <f t="shared" ca="1" si="228"/>
        <v>Late</v>
      </c>
      <c r="AL2035" s="268" t="str">
        <f t="shared" si="227"/>
        <v>June</v>
      </c>
      <c r="AM2035" s="133">
        <f>YEAR(Table1[[#This Row],[ETA
As requested
dd.mm.yyyy]])</f>
        <v>2024</v>
      </c>
    </row>
    <row r="2036" spans="1:39" hidden="1">
      <c r="A2036" s="123" t="s">
        <v>83</v>
      </c>
      <c r="B2036" s="36" t="s">
        <v>1170</v>
      </c>
      <c r="C2036" s="117">
        <v>36856252</v>
      </c>
      <c r="D2036" s="165">
        <v>45439</v>
      </c>
      <c r="E2036" s="117" t="s">
        <v>99</v>
      </c>
      <c r="F2036" s="36" t="str">
        <f>IFERROR(VLOOKUP(Table1[[#This Row],[Part Number]],DATABASE_FG!$C$6:D12025,2,FALSE)," ")</f>
        <v xml:space="preserve">054380529-8011 </v>
      </c>
      <c r="G2036" s="117">
        <f>IFERROR(_xlfn.XLOOKUP(Table1[[#This Row],[Part Number]],Table3[Part number],Table3[Drawing
 Revision]),"")</f>
        <v>0</v>
      </c>
      <c r="H2036" s="118" cm="1">
        <f t="array" ref="H2036">IFERROR(INDEX(PDB!$C:$AT,MATCH(E2036,PDB!$B:$B,0),MATCH(YEAR(K2036),0+PDB!$C$1:$AT$1,0)),"")</f>
        <v>3.56</v>
      </c>
      <c r="I2036" s="36">
        <v>150</v>
      </c>
      <c r="J2036" s="125">
        <f>IFERROR(Table1[[#This Row],[Quantity]]*Table1[[#This Row],[Price/Unit
EUR]]," ")</f>
        <v>534</v>
      </c>
      <c r="K2036" s="126">
        <v>45461</v>
      </c>
      <c r="L2036" s="36">
        <f>WEEKNUM(Table1[[#This Row],[ETA
As requested
dd.mm.yyyy]])</f>
        <v>25</v>
      </c>
      <c r="M2036" s="36">
        <f>YEAR(Table1[[#This Row],[ETA
As requested
dd.mm.yyyy]])</f>
        <v>2024</v>
      </c>
      <c r="N2036" s="36">
        <f>IFERROR(INDEX(DATABASE_FG!$H$5:$H$367, MATCH(E2036, DATABASE_FG!$C$5:$C$367, 0)), " ")</f>
        <v>0</v>
      </c>
      <c r="O2036" s="129" t="str">
        <f>IF(E2036&lt;&gt;"", _xlfn.XLOOKUP(E2036, DATABASE_FG!C:C, DATABASE_FG!F:F), " ")</f>
        <v>Ghidaje</v>
      </c>
      <c r="P2036" s="36">
        <f>IFERROR(INDEX(DATABASE_FG!$G$5:$G$367, MATCH(E2036, DATABASE_FG!$C$5:$C$367, 0)), "Not Found")</f>
        <v>0</v>
      </c>
      <c r="Q2036" s="36"/>
      <c r="R2036" s="125" t="s">
        <v>678</v>
      </c>
      <c r="S2036" s="123">
        <f>IFERROR(INDEX(DATABASE_FG!$L$5:$L$367, MATCH(E2036, DATABASE_FG!$C$5:$C$367, 0)), " ")</f>
        <v>42</v>
      </c>
      <c r="T2036" s="36" t="s">
        <v>679</v>
      </c>
      <c r="U2036" s="36"/>
      <c r="V2036" s="36"/>
      <c r="W2036" s="129"/>
      <c r="X2036" s="36"/>
      <c r="Y2036" s="36"/>
      <c r="Z2036" s="36">
        <v>242503</v>
      </c>
      <c r="AA2036" s="125" t="s">
        <v>121</v>
      </c>
      <c r="AB2036" s="173">
        <v>45468</v>
      </c>
      <c r="AC2036" s="119">
        <v>2024715</v>
      </c>
      <c r="AD2036" s="36">
        <f t="shared" si="230"/>
        <v>36856252</v>
      </c>
      <c r="AE2036" s="36" t="str">
        <f t="shared" si="231"/>
        <v>TK.KWVE15-B-A-ESC-0038-WW1</v>
      </c>
      <c r="AF2036" s="36">
        <v>150</v>
      </c>
      <c r="AG2036" s="120">
        <f t="shared" si="229"/>
        <v>534</v>
      </c>
      <c r="AH2036" s="36"/>
      <c r="AI2036" s="124"/>
      <c r="AJ2036" s="122" t="s">
        <v>1696</v>
      </c>
      <c r="AK2036" s="129" t="str">
        <f t="shared" ca="1" si="228"/>
        <v>Late</v>
      </c>
      <c r="AL2036" s="268" t="str">
        <f t="shared" ref="AL2036:AL2099" si="237">TEXT(K2036,"mmmm")</f>
        <v>June</v>
      </c>
      <c r="AM2036" s="133">
        <f>YEAR(Table1[[#This Row],[ETA
As requested
dd.mm.yyyy]])</f>
        <v>2024</v>
      </c>
    </row>
    <row r="2037" spans="1:39" hidden="1">
      <c r="A2037" s="123" t="s">
        <v>83</v>
      </c>
      <c r="B2037" s="36" t="s">
        <v>1170</v>
      </c>
      <c r="C2037" s="117">
        <v>36856252</v>
      </c>
      <c r="D2037" s="165">
        <v>45439</v>
      </c>
      <c r="E2037" s="117" t="s">
        <v>99</v>
      </c>
      <c r="F2037" s="36" t="str">
        <f>IFERROR(VLOOKUP(Table1[[#This Row],[Part Number]],DATABASE_FG!$C$6:D12026,2,FALSE)," ")</f>
        <v xml:space="preserve">054380529-8011 </v>
      </c>
      <c r="G2037" s="117">
        <f>IFERROR(_xlfn.XLOOKUP(Table1[[#This Row],[Part Number]],Table3[Part number],Table3[Drawing
 Revision]),"")</f>
        <v>0</v>
      </c>
      <c r="H2037" s="118" cm="1">
        <f t="array" ref="H2037">IFERROR(INDEX(PDB!$C:$AT,MATCH(E2037,PDB!$B:$B,0),MATCH(YEAR(K2037),0+PDB!$C$1:$AT$1,0)),"")</f>
        <v>3.56</v>
      </c>
      <c r="I2037" s="36">
        <v>150</v>
      </c>
      <c r="J2037" s="125">
        <f>IFERROR(Table1[[#This Row],[Quantity]]*Table1[[#This Row],[Price/Unit
EUR]]," ")</f>
        <v>534</v>
      </c>
      <c r="K2037" s="126">
        <v>45463</v>
      </c>
      <c r="L2037" s="36">
        <f>WEEKNUM(Table1[[#This Row],[ETA
As requested
dd.mm.yyyy]])</f>
        <v>25</v>
      </c>
      <c r="M2037" s="36">
        <f>YEAR(Table1[[#This Row],[ETA
As requested
dd.mm.yyyy]])</f>
        <v>2024</v>
      </c>
      <c r="N2037" s="36">
        <f>IFERROR(INDEX(DATABASE_FG!$H$5:$H$367, MATCH(E2037, DATABASE_FG!$C$5:$C$367, 0)), " ")</f>
        <v>0</v>
      </c>
      <c r="O2037" s="129" t="str">
        <f>IF(E2037&lt;&gt;"", _xlfn.XLOOKUP(E2037, DATABASE_FG!C:C, DATABASE_FG!F:F), " ")</f>
        <v>Ghidaje</v>
      </c>
      <c r="P2037" s="36">
        <f>IFERROR(INDEX(DATABASE_FG!$G$5:$G$367, MATCH(E2037, DATABASE_FG!$C$5:$C$367, 0)), "Not Found")</f>
        <v>0</v>
      </c>
      <c r="Q2037" s="36"/>
      <c r="R2037" s="125" t="s">
        <v>678</v>
      </c>
      <c r="S2037" s="123">
        <f>IFERROR(INDEX(DATABASE_FG!$L$5:$L$367, MATCH(E2037, DATABASE_FG!$C$5:$C$367, 0)), " ")</f>
        <v>42</v>
      </c>
      <c r="T2037" s="36" t="s">
        <v>679</v>
      </c>
      <c r="U2037" s="36"/>
      <c r="V2037" s="36"/>
      <c r="W2037" s="129"/>
      <c r="X2037" s="36"/>
      <c r="Y2037" s="36"/>
      <c r="Z2037" s="36">
        <v>242503</v>
      </c>
      <c r="AA2037" s="125" t="s">
        <v>121</v>
      </c>
      <c r="AB2037" s="173">
        <v>45468</v>
      </c>
      <c r="AC2037" s="119">
        <v>2024715</v>
      </c>
      <c r="AD2037" s="36">
        <f t="shared" si="230"/>
        <v>36856252</v>
      </c>
      <c r="AE2037" s="36" t="str">
        <f t="shared" si="231"/>
        <v>TK.KWVE15-B-A-ESC-0038-WW1</v>
      </c>
      <c r="AF2037" s="36">
        <v>145</v>
      </c>
      <c r="AG2037" s="120">
        <f t="shared" si="229"/>
        <v>516.20000000000005</v>
      </c>
      <c r="AH2037" s="36"/>
      <c r="AI2037" s="124"/>
      <c r="AJ2037" s="122" t="s">
        <v>1696</v>
      </c>
      <c r="AK2037" s="129" t="str">
        <f t="shared" ca="1" si="228"/>
        <v>Late</v>
      </c>
      <c r="AL2037" s="268" t="str">
        <f t="shared" si="237"/>
        <v>June</v>
      </c>
      <c r="AM2037" s="133">
        <f>YEAR(Table1[[#This Row],[ETA
As requested
dd.mm.yyyy]])</f>
        <v>2024</v>
      </c>
    </row>
    <row r="2038" spans="1:39" hidden="1">
      <c r="A2038" s="123" t="s">
        <v>83</v>
      </c>
      <c r="B2038" s="36" t="s">
        <v>1170</v>
      </c>
      <c r="C2038" s="117">
        <v>36856252</v>
      </c>
      <c r="D2038" s="165">
        <v>45439</v>
      </c>
      <c r="E2038" s="117" t="s">
        <v>99</v>
      </c>
      <c r="F2038" s="36" t="str">
        <f>IFERROR(VLOOKUP(Table1[[#This Row],[Part Number]],DATABASE_FG!$C$6:D12027,2,FALSE)," ")</f>
        <v xml:space="preserve">054380529-8011 </v>
      </c>
      <c r="G2038" s="117">
        <f>IFERROR(_xlfn.XLOOKUP(Table1[[#This Row],[Part Number]],Table3[Part number],Table3[Drawing
 Revision]),"")</f>
        <v>0</v>
      </c>
      <c r="H2038" s="118" cm="1">
        <f t="array" ref="H2038">IFERROR(INDEX(PDB!$C:$AT,MATCH(E2038,PDB!$B:$B,0),MATCH(YEAR(K2038),0+PDB!$C$1:$AT$1,0)),"")</f>
        <v>3.56</v>
      </c>
      <c r="I2038" s="36"/>
      <c r="J2038" s="125">
        <f>IFERROR(Table1[[#This Row],[Quantity]]*Table1[[#This Row],[Price/Unit
EUR]]," ")</f>
        <v>0</v>
      </c>
      <c r="K2038" s="126">
        <v>45463</v>
      </c>
      <c r="L2038" s="36">
        <f>WEEKNUM(Table1[[#This Row],[ETA
As requested
dd.mm.yyyy]])</f>
        <v>25</v>
      </c>
      <c r="M2038" s="36">
        <f>YEAR(Table1[[#This Row],[ETA
As requested
dd.mm.yyyy]])</f>
        <v>2024</v>
      </c>
      <c r="N2038" s="36">
        <f>IFERROR(INDEX(DATABASE_FG!$H$5:$H$367, MATCH(E2038, DATABASE_FG!$C$5:$C$367, 0)), " ")</f>
        <v>0</v>
      </c>
      <c r="O2038" s="129" t="str">
        <f>IF(E2038&lt;&gt;"", _xlfn.XLOOKUP(E2038, DATABASE_FG!C:C, DATABASE_FG!F:F), " ")</f>
        <v>Ghidaje</v>
      </c>
      <c r="P2038" s="36">
        <f>IFERROR(INDEX(DATABASE_FG!$G$5:$G$367, MATCH(E2038, DATABASE_FG!$C$5:$C$367, 0)), "Not Found")</f>
        <v>0</v>
      </c>
      <c r="Q2038" s="36"/>
      <c r="R2038" s="125" t="s">
        <v>678</v>
      </c>
      <c r="S2038" s="123">
        <f>Table1[[#This Row],[Quantity]]/48</f>
        <v>0</v>
      </c>
      <c r="T2038" s="36"/>
      <c r="U2038" s="36"/>
      <c r="V2038" s="36"/>
      <c r="W2038" s="129"/>
      <c r="X2038" s="36"/>
      <c r="Y2038" s="36"/>
      <c r="Z2038" s="36"/>
      <c r="AA2038" s="125" t="s">
        <v>121</v>
      </c>
      <c r="AB2038" s="173">
        <v>45475</v>
      </c>
      <c r="AC2038" s="119">
        <v>2024769</v>
      </c>
      <c r="AD2038" s="36">
        <f t="shared" si="230"/>
        <v>36856252</v>
      </c>
      <c r="AE2038" s="36" t="str">
        <f t="shared" si="231"/>
        <v>TK.KWVE15-B-A-ESC-0038-WW1</v>
      </c>
      <c r="AF2038" s="36">
        <v>5</v>
      </c>
      <c r="AG2038" s="120">
        <f t="shared" si="229"/>
        <v>17.8</v>
      </c>
      <c r="AH2038" s="36"/>
      <c r="AI2038" s="124"/>
      <c r="AJ2038" s="122" t="s">
        <v>1711</v>
      </c>
      <c r="AK2038" s="129" t="str">
        <f t="shared" ref="AK2038:AK2101" ca="1" si="238">IF(AB2038="", IF(K2038 &lt; TODAY(), "Late", ""), IF(AB2038 &lt;= K2038 + 2, "On Time", "Late"))</f>
        <v>Late</v>
      </c>
      <c r="AL2038" s="268" t="str">
        <f t="shared" si="237"/>
        <v>June</v>
      </c>
      <c r="AM2038" s="133">
        <f>YEAR(Table1[[#This Row],[ETA
As requested
dd.mm.yyyy]])</f>
        <v>2024</v>
      </c>
    </row>
    <row r="2039" spans="1:39" hidden="1">
      <c r="A2039" s="123" t="s">
        <v>83</v>
      </c>
      <c r="B2039" s="36" t="s">
        <v>1170</v>
      </c>
      <c r="C2039" s="117">
        <v>36856273</v>
      </c>
      <c r="D2039" s="165">
        <v>45439</v>
      </c>
      <c r="E2039" s="117" t="s">
        <v>99</v>
      </c>
      <c r="F2039" s="36" t="str">
        <f>IFERROR(VLOOKUP(Table1[[#This Row],[Part Number]],DATABASE_FG!$C$6:D12028,2,FALSE)," ")</f>
        <v xml:space="preserve">054380529-8011 </v>
      </c>
      <c r="G2039" s="117">
        <f>IFERROR(_xlfn.XLOOKUP(Table1[[#This Row],[Part Number]],Table3[Part number],Table3[Drawing
 Revision]),"")</f>
        <v>0</v>
      </c>
      <c r="H2039" s="118" cm="1">
        <f t="array" ref="H2039">IFERROR(INDEX(PDB!$C:$AT,MATCH(E2039,PDB!$B:$B,0),MATCH(YEAR(K2039),0+PDB!$C$1:$AT$1,0)),"")</f>
        <v>3.56</v>
      </c>
      <c r="I2039" s="36">
        <v>150</v>
      </c>
      <c r="J2039" s="125">
        <f>IFERROR(Table1[[#This Row],[Quantity]]*Table1[[#This Row],[Price/Unit
EUR]]," ")</f>
        <v>534</v>
      </c>
      <c r="K2039" s="126">
        <v>45468</v>
      </c>
      <c r="L2039" s="36">
        <f>WEEKNUM(Table1[[#This Row],[ETA
As requested
dd.mm.yyyy]])</f>
        <v>26</v>
      </c>
      <c r="M2039" s="36">
        <f>YEAR(Table1[[#This Row],[ETA
As requested
dd.mm.yyyy]])</f>
        <v>2024</v>
      </c>
      <c r="N2039" s="36">
        <f>IFERROR(INDEX(DATABASE_FG!$H$5:$H$367, MATCH(E2039, DATABASE_FG!$C$5:$C$367, 0)), " ")</f>
        <v>0</v>
      </c>
      <c r="O2039" s="129" t="str">
        <f>IF(E2039&lt;&gt;"", _xlfn.XLOOKUP(E2039, DATABASE_FG!C:C, DATABASE_FG!F:F), " ")</f>
        <v>Ghidaje</v>
      </c>
      <c r="P2039" s="36">
        <f>IFERROR(INDEX(DATABASE_FG!$G$5:$G$367, MATCH(E2039, DATABASE_FG!$C$5:$C$367, 0)), "Not Found")</f>
        <v>0</v>
      </c>
      <c r="Q2039" s="36"/>
      <c r="R2039" s="125" t="s">
        <v>678</v>
      </c>
      <c r="S2039" s="123">
        <f>IFERROR(INDEX(DATABASE_FG!$L$5:$L$367, MATCH(E2039, DATABASE_FG!$C$5:$C$367, 0)), " ")</f>
        <v>42</v>
      </c>
      <c r="T2039" s="36" t="s">
        <v>679</v>
      </c>
      <c r="U2039" s="36"/>
      <c r="V2039" s="36"/>
      <c r="W2039" s="129"/>
      <c r="X2039" s="36"/>
      <c r="Y2039" s="36"/>
      <c r="Z2039" s="36">
        <v>242503</v>
      </c>
      <c r="AA2039" s="125" t="s">
        <v>121</v>
      </c>
      <c r="AB2039" s="173">
        <v>45475</v>
      </c>
      <c r="AC2039" s="119">
        <v>2024770</v>
      </c>
      <c r="AD2039" s="36">
        <f t="shared" si="230"/>
        <v>36856273</v>
      </c>
      <c r="AE2039" s="36" t="str">
        <f t="shared" si="231"/>
        <v>TK.KWVE15-B-A-ESC-0038-WW1</v>
      </c>
      <c r="AF2039" s="36">
        <v>150</v>
      </c>
      <c r="AG2039" s="120">
        <f t="shared" si="229"/>
        <v>534</v>
      </c>
      <c r="AH2039" s="36"/>
      <c r="AI2039" s="124"/>
      <c r="AJ2039" s="122" t="s">
        <v>1732</v>
      </c>
      <c r="AK2039" s="129" t="str">
        <f t="shared" ca="1" si="238"/>
        <v>Late</v>
      </c>
      <c r="AL2039" s="268" t="str">
        <f t="shared" si="237"/>
        <v>June</v>
      </c>
      <c r="AM2039" s="133">
        <f>YEAR(Table1[[#This Row],[ETA
As requested
dd.mm.yyyy]])</f>
        <v>2024</v>
      </c>
    </row>
    <row r="2040" spans="1:39" ht="21.75" hidden="1" customHeight="1">
      <c r="A2040" s="123" t="s">
        <v>83</v>
      </c>
      <c r="B2040" s="36" t="s">
        <v>1170</v>
      </c>
      <c r="C2040" s="117">
        <v>36856273</v>
      </c>
      <c r="D2040" s="165">
        <v>45439</v>
      </c>
      <c r="E2040" s="117" t="s">
        <v>99</v>
      </c>
      <c r="F2040" s="36" t="str">
        <f>IFERROR(VLOOKUP(Table1[[#This Row],[Part Number]],DATABASE_FG!$C$6:D12029,2,FALSE)," ")</f>
        <v xml:space="preserve">054380529-8011 </v>
      </c>
      <c r="G2040" s="117">
        <f>IFERROR(_xlfn.XLOOKUP(Table1[[#This Row],[Part Number]],Table3[Part number],Table3[Drawing
 Revision]),"")</f>
        <v>0</v>
      </c>
      <c r="H2040" s="118" cm="1">
        <f t="array" ref="H2040">IFERROR(INDEX(PDB!$C:$AT,MATCH(E2040,PDB!$B:$B,0),MATCH(YEAR(K2040),0+PDB!$C$1:$AT$1,0)),"")</f>
        <v>3.56</v>
      </c>
      <c r="I2040" s="36">
        <v>150</v>
      </c>
      <c r="J2040" s="125">
        <f>IFERROR(Table1[[#This Row],[Quantity]]*Table1[[#This Row],[Price/Unit
EUR]]," ")</f>
        <v>534</v>
      </c>
      <c r="K2040" s="126">
        <v>45470</v>
      </c>
      <c r="L2040" s="36">
        <f>WEEKNUM(Table1[[#This Row],[ETA
As requested
dd.mm.yyyy]])</f>
        <v>26</v>
      </c>
      <c r="M2040" s="36">
        <f>YEAR(Table1[[#This Row],[ETA
As requested
dd.mm.yyyy]])</f>
        <v>2024</v>
      </c>
      <c r="N2040" s="36">
        <f>IFERROR(INDEX(DATABASE_FG!$H$5:$H$367, MATCH(E2040, DATABASE_FG!$C$5:$C$367, 0)), " ")</f>
        <v>0</v>
      </c>
      <c r="O2040" s="129" t="str">
        <f>IF(E2040&lt;&gt;"", _xlfn.XLOOKUP(E2040, DATABASE_FG!C:C, DATABASE_FG!F:F), " ")</f>
        <v>Ghidaje</v>
      </c>
      <c r="P2040" s="36">
        <f>IFERROR(INDEX(DATABASE_FG!$G$5:$G$367, MATCH(E2040, DATABASE_FG!$C$5:$C$367, 0)), "Not Found")</f>
        <v>0</v>
      </c>
      <c r="Q2040" s="36"/>
      <c r="R2040" s="125" t="s">
        <v>678</v>
      </c>
      <c r="S2040" s="123">
        <f>IFERROR(INDEX(DATABASE_FG!$L$5:$L$367, MATCH(E2040, DATABASE_FG!$C$5:$C$367, 0)), " ")</f>
        <v>42</v>
      </c>
      <c r="T2040" s="36" t="s">
        <v>679</v>
      </c>
      <c r="U2040" s="36"/>
      <c r="V2040" s="36"/>
      <c r="W2040" s="129"/>
      <c r="X2040" s="36"/>
      <c r="Y2040" s="36"/>
      <c r="Z2040" s="36" t="s">
        <v>1735</v>
      </c>
      <c r="AA2040" s="125" t="s">
        <v>121</v>
      </c>
      <c r="AB2040" s="173">
        <v>45475</v>
      </c>
      <c r="AC2040" s="119">
        <v>2024770</v>
      </c>
      <c r="AD2040" s="36">
        <f t="shared" si="230"/>
        <v>36856273</v>
      </c>
      <c r="AE2040" s="36" t="str">
        <f t="shared" si="231"/>
        <v>TK.KWVE15-B-A-ESC-0038-WW1</v>
      </c>
      <c r="AF2040" s="36">
        <v>48</v>
      </c>
      <c r="AG2040" s="120">
        <f t="shared" si="229"/>
        <v>170.88</v>
      </c>
      <c r="AH2040" s="36"/>
      <c r="AI2040" s="124"/>
      <c r="AJ2040" s="122" t="s">
        <v>1732</v>
      </c>
      <c r="AK2040" s="129" t="str">
        <f t="shared" ca="1" si="238"/>
        <v>Late</v>
      </c>
      <c r="AL2040" s="268" t="str">
        <f t="shared" si="237"/>
        <v>June</v>
      </c>
      <c r="AM2040" s="133">
        <f>YEAR(Table1[[#This Row],[ETA
As requested
dd.mm.yyyy]])</f>
        <v>2024</v>
      </c>
    </row>
    <row r="2041" spans="1:39" hidden="1">
      <c r="A2041" s="123" t="s">
        <v>83</v>
      </c>
      <c r="B2041" s="36" t="s">
        <v>1170</v>
      </c>
      <c r="C2041" s="117">
        <v>36856273</v>
      </c>
      <c r="D2041" s="165">
        <v>45439</v>
      </c>
      <c r="E2041" s="117" t="s">
        <v>99</v>
      </c>
      <c r="F2041" s="36" t="str">
        <f>IFERROR(VLOOKUP(Table1[[#This Row],[Part Number]],DATABASE_FG!$C$6:D12030,2,FALSE)," ")</f>
        <v xml:space="preserve">054380529-8011 </v>
      </c>
      <c r="G2041" s="117">
        <f>IFERROR(_xlfn.XLOOKUP(Table1[[#This Row],[Part Number]],Table3[Part number],Table3[Drawing
 Revision]),"")</f>
        <v>0</v>
      </c>
      <c r="H2041" s="118" cm="1">
        <f t="array" ref="H2041">IFERROR(INDEX(PDB!$C:$AT,MATCH(E2041,PDB!$B:$B,0),MATCH(YEAR(K2041),0+PDB!$C$1:$AT$1,0)),"")</f>
        <v>3.56</v>
      </c>
      <c r="I2041" s="36"/>
      <c r="J2041" s="125">
        <f>IFERROR(Table1[[#This Row],[Quantity]]*Table1[[#This Row],[Price/Unit
EUR]]," ")</f>
        <v>0</v>
      </c>
      <c r="K2041" s="126">
        <v>45470</v>
      </c>
      <c r="L2041" s="36">
        <f>WEEKNUM(Table1[[#This Row],[ETA
As requested
dd.mm.yyyy]])</f>
        <v>26</v>
      </c>
      <c r="M2041" s="36">
        <f>YEAR(Table1[[#This Row],[ETA
As requested
dd.mm.yyyy]])</f>
        <v>2024</v>
      </c>
      <c r="N2041" s="36">
        <f>IFERROR(INDEX(DATABASE_FG!$H$5:$H$367, MATCH(E2041, DATABASE_FG!$C$5:$C$367, 0)), " ")</f>
        <v>0</v>
      </c>
      <c r="O2041" s="129" t="str">
        <f>IF(E2041&lt;&gt;"", _xlfn.XLOOKUP(E2041, DATABASE_FG!C:C, DATABASE_FG!F:F), " ")</f>
        <v>Ghidaje</v>
      </c>
      <c r="P2041" s="36">
        <f>IFERROR(INDEX(DATABASE_FG!$G$5:$G$367, MATCH(E2041, DATABASE_FG!$C$5:$C$367, 0)), "Not Found")</f>
        <v>0</v>
      </c>
      <c r="Q2041" s="36"/>
      <c r="R2041" s="125" t="s">
        <v>678</v>
      </c>
      <c r="S2041" s="123">
        <f>Table1[[#This Row],[Quantity]]/48</f>
        <v>0</v>
      </c>
      <c r="T2041" s="36"/>
      <c r="U2041" s="36"/>
      <c r="V2041" s="36"/>
      <c r="W2041" s="129"/>
      <c r="X2041" s="36"/>
      <c r="Y2041" s="36"/>
      <c r="Z2041" s="36"/>
      <c r="AA2041" s="125" t="s">
        <v>121</v>
      </c>
      <c r="AB2041" s="172">
        <v>45476</v>
      </c>
      <c r="AC2041" s="119">
        <v>2024787</v>
      </c>
      <c r="AD2041" s="36">
        <f t="shared" si="230"/>
        <v>36856273</v>
      </c>
      <c r="AE2041" s="36" t="str">
        <f t="shared" si="231"/>
        <v>TK.KWVE15-B-A-ESC-0038-WW1</v>
      </c>
      <c r="AF2041" s="36">
        <v>0</v>
      </c>
      <c r="AG2041" s="120">
        <f t="shared" si="229"/>
        <v>0</v>
      </c>
      <c r="AH2041" s="36">
        <v>28</v>
      </c>
      <c r="AI2041" s="124"/>
      <c r="AJ2041" s="122"/>
      <c r="AK2041" s="129" t="str">
        <f t="shared" ca="1" si="238"/>
        <v>Late</v>
      </c>
      <c r="AL2041" s="268" t="str">
        <f t="shared" si="237"/>
        <v>June</v>
      </c>
      <c r="AM2041" s="133">
        <f>YEAR(Table1[[#This Row],[ETA
As requested
dd.mm.yyyy]])</f>
        <v>2024</v>
      </c>
    </row>
    <row r="2042" spans="1:39" hidden="1">
      <c r="A2042" s="123" t="s">
        <v>83</v>
      </c>
      <c r="B2042" s="36" t="s">
        <v>1170</v>
      </c>
      <c r="C2042" s="117">
        <v>36856273</v>
      </c>
      <c r="D2042" s="165">
        <v>45439</v>
      </c>
      <c r="E2042" s="117" t="s">
        <v>99</v>
      </c>
      <c r="F2042" s="36" t="str">
        <f>IFERROR(VLOOKUP(Table1[[#This Row],[Part Number]],DATABASE_FG!$C$6:D12031,2,FALSE)," ")</f>
        <v xml:space="preserve">054380529-8011 </v>
      </c>
      <c r="G2042" s="117">
        <f>IFERROR(_xlfn.XLOOKUP(Table1[[#This Row],[Part Number]],Table3[Part number],Table3[Drawing
 Revision]),"")</f>
        <v>0</v>
      </c>
      <c r="H2042" s="118" cm="1">
        <f t="array" ref="H2042">IFERROR(INDEX(PDB!$C:$AT,MATCH(E2042,PDB!$B:$B,0),MATCH(YEAR(K2042),0+PDB!$C$1:$AT$1,0)),"")</f>
        <v>3.56</v>
      </c>
      <c r="I2042" s="36"/>
      <c r="J2042" s="125">
        <f>IFERROR(Table1[[#This Row],[Quantity]]*Table1[[#This Row],[Price/Unit
EUR]]," ")</f>
        <v>0</v>
      </c>
      <c r="K2042" s="126">
        <v>45470</v>
      </c>
      <c r="L2042" s="36">
        <f>WEEKNUM(Table1[[#This Row],[ETA
As requested
dd.mm.yyyy]])</f>
        <v>26</v>
      </c>
      <c r="M2042" s="36">
        <f>YEAR(Table1[[#This Row],[ETA
As requested
dd.mm.yyyy]])</f>
        <v>2024</v>
      </c>
      <c r="N2042" s="36">
        <f>IFERROR(INDEX(DATABASE_FG!$H$5:$H$367, MATCH(E2042, DATABASE_FG!$C$5:$C$367, 0)), " ")</f>
        <v>0</v>
      </c>
      <c r="O2042" s="129" t="str">
        <f>IF(E2042&lt;&gt;"", _xlfn.XLOOKUP(E2042, DATABASE_FG!C:C, DATABASE_FG!F:F), " ")</f>
        <v>Ghidaje</v>
      </c>
      <c r="P2042" s="36">
        <f>IFERROR(INDEX(DATABASE_FG!$G$5:$G$367, MATCH(E2042, DATABASE_FG!$C$5:$C$367, 0)), "Not Found")</f>
        <v>0</v>
      </c>
      <c r="Q2042" s="36"/>
      <c r="R2042" s="125" t="s">
        <v>678</v>
      </c>
      <c r="S2042" s="123">
        <f>Table1[[#This Row],[Quantity]]/48</f>
        <v>0</v>
      </c>
      <c r="T2042" s="36"/>
      <c r="U2042" s="36"/>
      <c r="V2042" s="36"/>
      <c r="W2042" s="129"/>
      <c r="X2042" s="36"/>
      <c r="Y2042" s="36"/>
      <c r="Z2042" s="36"/>
      <c r="AA2042" s="125" t="s">
        <v>121</v>
      </c>
      <c r="AB2042" s="172">
        <v>45476</v>
      </c>
      <c r="AC2042" s="119">
        <v>2024783</v>
      </c>
      <c r="AD2042" s="36">
        <f t="shared" si="230"/>
        <v>36856273</v>
      </c>
      <c r="AE2042" s="36" t="str">
        <f t="shared" si="231"/>
        <v>TK.KWVE15-B-A-ESC-0038-WW1</v>
      </c>
      <c r="AF2042" s="36">
        <v>74</v>
      </c>
      <c r="AG2042" s="120">
        <f t="shared" si="229"/>
        <v>263.44</v>
      </c>
      <c r="AH2042" s="36"/>
      <c r="AI2042" s="124"/>
      <c r="AJ2042" s="122" t="s">
        <v>1736</v>
      </c>
      <c r="AK2042" s="129" t="str">
        <f t="shared" ca="1" si="238"/>
        <v>Late</v>
      </c>
      <c r="AL2042" s="268" t="str">
        <f t="shared" si="237"/>
        <v>June</v>
      </c>
      <c r="AM2042" s="133">
        <f>YEAR(Table1[[#This Row],[ETA
As requested
dd.mm.yyyy]])</f>
        <v>2024</v>
      </c>
    </row>
    <row r="2043" spans="1:39" hidden="1">
      <c r="A2043" s="123" t="s">
        <v>83</v>
      </c>
      <c r="B2043" s="36" t="s">
        <v>1170</v>
      </c>
      <c r="C2043" s="117">
        <v>36856273</v>
      </c>
      <c r="D2043" s="165">
        <v>45439</v>
      </c>
      <c r="E2043" s="117" t="s">
        <v>99</v>
      </c>
      <c r="F2043" s="36" t="str">
        <f>IFERROR(VLOOKUP(Table1[[#This Row],[Part Number]],DATABASE_FG!$C$6:D12032,2,FALSE)," ")</f>
        <v xml:space="preserve">054380529-8011 </v>
      </c>
      <c r="G2043" s="117">
        <f>IFERROR(_xlfn.XLOOKUP(Table1[[#This Row],[Part Number]],Table3[Part number],Table3[Drawing
 Revision]),"")</f>
        <v>0</v>
      </c>
      <c r="H2043" s="118" cm="1">
        <f t="array" ref="H2043">IFERROR(INDEX(PDB!$C:$AT,MATCH(E2043,PDB!$B:$B,0),MATCH(YEAR(K2043),0+PDB!$C$1:$AT$1,0)),"")</f>
        <v>3.56</v>
      </c>
      <c r="I2043" s="36"/>
      <c r="J2043" s="125">
        <f>IFERROR(Table1[[#This Row],[Quantity]]*Table1[[#This Row],[Price/Unit
EUR]]," ")</f>
        <v>0</v>
      </c>
      <c r="K2043" s="126">
        <v>45470</v>
      </c>
      <c r="L2043" s="36">
        <f>WEEKNUM(Table1[[#This Row],[ETA
As requested
dd.mm.yyyy]])</f>
        <v>26</v>
      </c>
      <c r="M2043" s="36">
        <f>YEAR(Table1[[#This Row],[ETA
As requested
dd.mm.yyyy]])</f>
        <v>2024</v>
      </c>
      <c r="N2043" s="36">
        <f>IFERROR(INDEX(DATABASE_FG!$H$5:$H$367, MATCH(E2043, DATABASE_FG!$C$5:$C$367, 0)), " ")</f>
        <v>0</v>
      </c>
      <c r="O2043" s="129" t="str">
        <f>IF(E2043&lt;&gt;"", _xlfn.XLOOKUP(E2043, DATABASE_FG!C:C, DATABASE_FG!F:F), " ")</f>
        <v>Ghidaje</v>
      </c>
      <c r="P2043" s="36">
        <f>IFERROR(INDEX(DATABASE_FG!$G$5:$G$367, MATCH(E2043, DATABASE_FG!$C$5:$C$367, 0)), "Not Found")</f>
        <v>0</v>
      </c>
      <c r="Q2043" s="36"/>
      <c r="R2043" s="125" t="s">
        <v>678</v>
      </c>
      <c r="S2043" s="123">
        <f>Table1[[#This Row],[Quantity]]/48</f>
        <v>0</v>
      </c>
      <c r="T2043" s="36"/>
      <c r="U2043" s="36"/>
      <c r="V2043" s="36"/>
      <c r="W2043" s="129"/>
      <c r="X2043" s="36"/>
      <c r="Y2043" s="36"/>
      <c r="Z2043" s="36"/>
      <c r="AA2043" s="125" t="s">
        <v>121</v>
      </c>
      <c r="AB2043" s="172">
        <v>45511</v>
      </c>
      <c r="AC2043" s="119">
        <v>2024993</v>
      </c>
      <c r="AD2043" s="36">
        <f t="shared" si="230"/>
        <v>36856273</v>
      </c>
      <c r="AE2043" s="36" t="str">
        <f t="shared" si="231"/>
        <v>TK.KWVE15-B-A-ESC-0038-WW1</v>
      </c>
      <c r="AF2043" s="36">
        <v>28</v>
      </c>
      <c r="AG2043" s="120">
        <f t="shared" si="229"/>
        <v>99.68</v>
      </c>
      <c r="AH2043" s="36"/>
      <c r="AI2043" s="124"/>
      <c r="AJ2043" s="122" t="s">
        <v>1740</v>
      </c>
      <c r="AK2043" s="129" t="str">
        <f t="shared" ca="1" si="238"/>
        <v>Late</v>
      </c>
      <c r="AL2043" s="268" t="str">
        <f t="shared" si="237"/>
        <v>June</v>
      </c>
      <c r="AM2043" s="133">
        <f>YEAR(Table1[[#This Row],[ETA
As requested
dd.mm.yyyy]])</f>
        <v>2024</v>
      </c>
    </row>
    <row r="2044" spans="1:39" hidden="1">
      <c r="A2044" s="123" t="s">
        <v>83</v>
      </c>
      <c r="B2044" s="36" t="s">
        <v>1170</v>
      </c>
      <c r="C2044" s="117">
        <v>37069186</v>
      </c>
      <c r="D2044" s="165">
        <v>45471</v>
      </c>
      <c r="E2044" s="117" t="s">
        <v>99</v>
      </c>
      <c r="F2044" s="36" t="str">
        <f>IFERROR(VLOOKUP(Table1[[#This Row],[Part Number]],DATABASE_FG!$C$6:D12033,2,FALSE)," ")</f>
        <v xml:space="preserve">054380529-8011 </v>
      </c>
      <c r="G2044" s="117">
        <f>IFERROR(_xlfn.XLOOKUP(Table1[[#This Row],[Part Number]],Table3[Part number],Table3[Drawing
 Revision]),"")</f>
        <v>0</v>
      </c>
      <c r="H2044" s="118" cm="1">
        <f t="array" ref="H2044">IFERROR(INDEX(PDB!$C:$AT,MATCH(E2044,PDB!$B:$B,0),MATCH(YEAR(K2044),0+PDB!$C$1:$AT$1,0)),"")</f>
        <v>3.56</v>
      </c>
      <c r="I2044" s="36">
        <v>100</v>
      </c>
      <c r="J2044" s="125">
        <f>IFERROR(Table1[[#This Row],[Quantity]]*Table1[[#This Row],[Price/Unit
EUR]]," ")</f>
        <v>356</v>
      </c>
      <c r="K2044" s="126">
        <v>45475</v>
      </c>
      <c r="L2044" s="36">
        <f>WEEKNUM(Table1[[#This Row],[ETA
As requested
dd.mm.yyyy]])</f>
        <v>27</v>
      </c>
      <c r="M2044" s="36">
        <f>YEAR(Table1[[#This Row],[ETA
As requested
dd.mm.yyyy]])</f>
        <v>2024</v>
      </c>
      <c r="N2044" s="36">
        <f>IFERROR(INDEX(DATABASE_FG!$H$5:$H$367, MATCH(E2044, DATABASE_FG!$C$5:$C$367, 0)), " ")</f>
        <v>0</v>
      </c>
      <c r="O2044" s="129" t="str">
        <f>IF(E2044&lt;&gt;"", _xlfn.XLOOKUP(E2044, DATABASE_FG!C:C, DATABASE_FG!F:F), " ")</f>
        <v>Ghidaje</v>
      </c>
      <c r="P2044" s="36">
        <f>IFERROR(INDEX(DATABASE_FG!$G$5:$G$367, MATCH(E2044, DATABASE_FG!$C$5:$C$367, 0)), "Not Found")</f>
        <v>0</v>
      </c>
      <c r="Q2044" s="36"/>
      <c r="R2044" s="125" t="s">
        <v>678</v>
      </c>
      <c r="S2044" s="123">
        <f>IFERROR(INDEX(DATABASE_FG!$L$5:$L$367, MATCH(E2044, DATABASE_FG!$C$5:$C$367, 0)), " ")</f>
        <v>42</v>
      </c>
      <c r="T2044" s="36" t="s">
        <v>679</v>
      </c>
      <c r="U2044" s="36"/>
      <c r="V2044" s="36"/>
      <c r="W2044" s="129"/>
      <c r="X2044" s="36"/>
      <c r="Y2044" s="36"/>
      <c r="Z2044" s="36">
        <v>242705</v>
      </c>
      <c r="AA2044" s="125" t="s">
        <v>121</v>
      </c>
      <c r="AB2044" s="172">
        <v>45477</v>
      </c>
      <c r="AC2044" s="119">
        <v>2024799</v>
      </c>
      <c r="AD2044" s="36">
        <f t="shared" si="230"/>
        <v>37069186</v>
      </c>
      <c r="AE2044" s="36" t="str">
        <f t="shared" si="231"/>
        <v>TK.KWVE15-B-A-ESC-0038-WW1</v>
      </c>
      <c r="AF2044" s="36">
        <v>100</v>
      </c>
      <c r="AG2044" s="120">
        <f t="shared" si="229"/>
        <v>356</v>
      </c>
      <c r="AH2044" s="36"/>
      <c r="AI2044" s="124"/>
      <c r="AJ2044" s="122" t="s">
        <v>1754</v>
      </c>
      <c r="AK2044" s="129" t="str">
        <f t="shared" ca="1" si="238"/>
        <v>On Time</v>
      </c>
      <c r="AL2044" s="268" t="str">
        <f t="shared" si="237"/>
        <v>July</v>
      </c>
      <c r="AM2044" s="133">
        <f>YEAR(Table1[[#This Row],[ETA
As requested
dd.mm.yyyy]])</f>
        <v>2024</v>
      </c>
    </row>
    <row r="2045" spans="1:39" hidden="1">
      <c r="A2045" s="123" t="s">
        <v>83</v>
      </c>
      <c r="B2045" s="36" t="s">
        <v>1170</v>
      </c>
      <c r="C2045" s="117">
        <v>37069186</v>
      </c>
      <c r="D2045" s="165">
        <v>45471</v>
      </c>
      <c r="E2045" s="117" t="s">
        <v>99</v>
      </c>
      <c r="F2045" s="36" t="str">
        <f>IFERROR(VLOOKUP(Table1[[#This Row],[Part Number]],DATABASE_FG!$C$6:D12034,2,FALSE)," ")</f>
        <v xml:space="preserve">054380529-8011 </v>
      </c>
      <c r="G2045" s="117">
        <f>IFERROR(_xlfn.XLOOKUP(Table1[[#This Row],[Part Number]],Table3[Part number],Table3[Drawing
 Revision]),"")</f>
        <v>0</v>
      </c>
      <c r="H2045" s="118" cm="1">
        <f t="array" ref="H2045">IFERROR(INDEX(PDB!$C:$AT,MATCH(E2045,PDB!$B:$B,0),MATCH(YEAR(K2045),0+PDB!$C$1:$AT$1,0)),"")</f>
        <v>3.56</v>
      </c>
      <c r="I2045" s="36">
        <v>100</v>
      </c>
      <c r="J2045" s="125">
        <f>IFERROR(Table1[[#This Row],[Quantity]]*Table1[[#This Row],[Price/Unit
EUR]]," ")</f>
        <v>356</v>
      </c>
      <c r="K2045" s="126">
        <v>45477</v>
      </c>
      <c r="L2045" s="36">
        <f>WEEKNUM(Table1[[#This Row],[ETA
As requested
dd.mm.yyyy]])</f>
        <v>27</v>
      </c>
      <c r="M2045" s="36">
        <f>YEAR(Table1[[#This Row],[ETA
As requested
dd.mm.yyyy]])</f>
        <v>2024</v>
      </c>
      <c r="N2045" s="36">
        <f>IFERROR(INDEX(DATABASE_FG!$H$5:$H$367, MATCH(E2045, DATABASE_FG!$C$5:$C$367, 0)), " ")</f>
        <v>0</v>
      </c>
      <c r="O2045" s="129" t="str">
        <f>IF(E2045&lt;&gt;"", _xlfn.XLOOKUP(E2045, DATABASE_FG!C:C, DATABASE_FG!F:F), " ")</f>
        <v>Ghidaje</v>
      </c>
      <c r="P2045" s="36">
        <f>IFERROR(INDEX(DATABASE_FG!$G$5:$G$367, MATCH(E2045, DATABASE_FG!$C$5:$C$367, 0)), "Not Found")</f>
        <v>0</v>
      </c>
      <c r="Q2045" s="36"/>
      <c r="R2045" s="125" t="s">
        <v>678</v>
      </c>
      <c r="S2045" s="123">
        <f>IFERROR(INDEX(DATABASE_FG!$L$5:$L$367, MATCH(E2045, DATABASE_FG!$C$5:$C$367, 0)), " ")</f>
        <v>42</v>
      </c>
      <c r="T2045" s="36" t="s">
        <v>679</v>
      </c>
      <c r="U2045" s="36"/>
      <c r="V2045" s="36"/>
      <c r="W2045" s="129"/>
      <c r="X2045" s="36"/>
      <c r="Y2045" s="36"/>
      <c r="Z2045" s="36">
        <v>242705</v>
      </c>
      <c r="AA2045" s="125" t="s">
        <v>121</v>
      </c>
      <c r="AB2045" s="172">
        <v>45478</v>
      </c>
      <c r="AC2045" s="119">
        <v>2024811</v>
      </c>
      <c r="AD2045" s="36">
        <f t="shared" si="230"/>
        <v>37069186</v>
      </c>
      <c r="AE2045" s="36" t="str">
        <f t="shared" si="231"/>
        <v>TK.KWVE15-B-A-ESC-0038-WW1</v>
      </c>
      <c r="AF2045" s="36">
        <v>100</v>
      </c>
      <c r="AG2045" s="120">
        <f t="shared" ref="AG2045:AG2108" si="239">AF2045*H2045</f>
        <v>356</v>
      </c>
      <c r="AH2045" s="36"/>
      <c r="AI2045" s="124"/>
      <c r="AJ2045" s="122" t="s">
        <v>1772</v>
      </c>
      <c r="AK2045" s="129" t="str">
        <f t="shared" ca="1" si="238"/>
        <v>On Time</v>
      </c>
      <c r="AL2045" s="268" t="str">
        <f t="shared" si="237"/>
        <v>July</v>
      </c>
      <c r="AM2045" s="133">
        <f>YEAR(Table1[[#This Row],[ETA
As requested
dd.mm.yyyy]])</f>
        <v>2024</v>
      </c>
    </row>
    <row r="2046" spans="1:39" hidden="1">
      <c r="A2046" s="123" t="s">
        <v>83</v>
      </c>
      <c r="B2046" s="36" t="s">
        <v>1170</v>
      </c>
      <c r="C2046" s="117">
        <v>37069198</v>
      </c>
      <c r="D2046" s="165">
        <v>45471</v>
      </c>
      <c r="E2046" s="117" t="s">
        <v>99</v>
      </c>
      <c r="F2046" s="36" t="str">
        <f>IFERROR(VLOOKUP(Table1[[#This Row],[Part Number]],DATABASE_FG!$C$6:D12035,2,FALSE)," ")</f>
        <v xml:space="preserve">054380529-8011 </v>
      </c>
      <c r="G2046" s="117">
        <f>IFERROR(_xlfn.XLOOKUP(Table1[[#This Row],[Part Number]],Table3[Part number],Table3[Drawing
 Revision]),"")</f>
        <v>0</v>
      </c>
      <c r="H2046" s="118" cm="1">
        <f t="array" ref="H2046">IFERROR(INDEX(PDB!$C:$AT,MATCH(E2046,PDB!$B:$B,0),MATCH(YEAR(K2046),0+PDB!$C$1:$AT$1,0)),"")</f>
        <v>3.56</v>
      </c>
      <c r="I2046" s="36">
        <v>100</v>
      </c>
      <c r="J2046" s="125">
        <f>IFERROR(Table1[[#This Row],[Quantity]]*Table1[[#This Row],[Price/Unit
EUR]]," ")</f>
        <v>356</v>
      </c>
      <c r="K2046" s="126">
        <v>45482</v>
      </c>
      <c r="L2046" s="36">
        <f>WEEKNUM(Table1[[#This Row],[ETA
As requested
dd.mm.yyyy]])</f>
        <v>28</v>
      </c>
      <c r="M2046" s="36">
        <f>YEAR(Table1[[#This Row],[ETA
As requested
dd.mm.yyyy]])</f>
        <v>2024</v>
      </c>
      <c r="N2046" s="36">
        <f>IFERROR(INDEX(DATABASE_FG!$H$5:$H$367, MATCH(E2046, DATABASE_FG!$C$5:$C$367, 0)), " ")</f>
        <v>0</v>
      </c>
      <c r="O2046" s="129" t="str">
        <f>IF(E2046&lt;&gt;"", _xlfn.XLOOKUP(E2046, DATABASE_FG!C:C, DATABASE_FG!F:F), " ")</f>
        <v>Ghidaje</v>
      </c>
      <c r="P2046" s="36">
        <f>IFERROR(INDEX(DATABASE_FG!$G$5:$G$367, MATCH(E2046, DATABASE_FG!$C$5:$C$367, 0)), "Not Found")</f>
        <v>0</v>
      </c>
      <c r="Q2046" s="36"/>
      <c r="R2046" s="125" t="s">
        <v>678</v>
      </c>
      <c r="S2046" s="123">
        <f>IFERROR(INDEX(DATABASE_FG!$L$5:$L$367, MATCH(E2046, DATABASE_FG!$C$5:$C$367, 0)), " ")</f>
        <v>42</v>
      </c>
      <c r="T2046" s="36" t="s">
        <v>679</v>
      </c>
      <c r="U2046" s="36"/>
      <c r="V2046" s="36"/>
      <c r="W2046" s="129"/>
      <c r="X2046" s="36"/>
      <c r="Y2046" s="36"/>
      <c r="Z2046" s="36">
        <v>242705</v>
      </c>
      <c r="AA2046" s="125" t="s">
        <v>121</v>
      </c>
      <c r="AB2046" s="172">
        <v>45478</v>
      </c>
      <c r="AC2046" s="119">
        <v>2024812</v>
      </c>
      <c r="AD2046" s="36">
        <f t="shared" si="230"/>
        <v>37069198</v>
      </c>
      <c r="AE2046" s="36" t="str">
        <f t="shared" si="231"/>
        <v>TK.KWVE15-B-A-ESC-0038-WW1</v>
      </c>
      <c r="AF2046" s="36">
        <v>24</v>
      </c>
      <c r="AG2046" s="120">
        <f t="shared" si="239"/>
        <v>85.44</v>
      </c>
      <c r="AH2046" s="36"/>
      <c r="AI2046" s="124"/>
      <c r="AJ2046" s="122" t="s">
        <v>1797</v>
      </c>
      <c r="AK2046" s="129" t="str">
        <f t="shared" ca="1" si="238"/>
        <v>On Time</v>
      </c>
      <c r="AL2046" s="268" t="str">
        <f t="shared" si="237"/>
        <v>July</v>
      </c>
      <c r="AM2046" s="133">
        <f>YEAR(Table1[[#This Row],[ETA
As requested
dd.mm.yyyy]])</f>
        <v>2024</v>
      </c>
    </row>
    <row r="2047" spans="1:39" ht="15.75" hidden="1" customHeight="1">
      <c r="A2047" s="123" t="s">
        <v>83</v>
      </c>
      <c r="B2047" s="36" t="s">
        <v>1170</v>
      </c>
      <c r="C2047" s="117">
        <v>37069198</v>
      </c>
      <c r="D2047" s="165">
        <v>45471</v>
      </c>
      <c r="E2047" s="117" t="s">
        <v>99</v>
      </c>
      <c r="F2047" s="36" t="str">
        <f>IFERROR(VLOOKUP(Table1[[#This Row],[Part Number]],DATABASE_FG!$C$6:D12036,2,FALSE)," ")</f>
        <v xml:space="preserve">054380529-8011 </v>
      </c>
      <c r="G2047" s="117">
        <f>IFERROR(_xlfn.XLOOKUP(Table1[[#This Row],[Part Number]],Table3[Part number],Table3[Drawing
 Revision]),"")</f>
        <v>0</v>
      </c>
      <c r="H2047" s="118" cm="1">
        <f t="array" ref="H2047">IFERROR(INDEX(PDB!$C:$AT,MATCH(E2047,PDB!$B:$B,0),MATCH(YEAR(K2047),0+PDB!$C$1:$AT$1,0)),"")</f>
        <v>3.56</v>
      </c>
      <c r="I2047" s="36"/>
      <c r="J2047" s="125">
        <f>IFERROR(Table1[[#This Row],[Quantity]]*Table1[[#This Row],[Price/Unit
EUR]]," ")</f>
        <v>0</v>
      </c>
      <c r="K2047" s="126">
        <v>45482</v>
      </c>
      <c r="L2047" s="36">
        <f>WEEKNUM(Table1[[#This Row],[ETA
As requested
dd.mm.yyyy]])</f>
        <v>28</v>
      </c>
      <c r="M2047" s="36">
        <f>YEAR(Table1[[#This Row],[ETA
As requested
dd.mm.yyyy]])</f>
        <v>2024</v>
      </c>
      <c r="N2047" s="36">
        <f>IFERROR(INDEX(DATABASE_FG!$H$5:$H$367, MATCH(E2047, DATABASE_FG!$C$5:$C$367, 0)), " ")</f>
        <v>0</v>
      </c>
      <c r="O2047" s="129" t="str">
        <f>IF(E2047&lt;&gt;"", _xlfn.XLOOKUP(E2047, DATABASE_FG!C:C, DATABASE_FG!F:F), " ")</f>
        <v>Ghidaje</v>
      </c>
      <c r="P2047" s="36">
        <f>IFERROR(INDEX(DATABASE_FG!$G$5:$G$367, MATCH(E2047, DATABASE_FG!$C$5:$C$367, 0)), "Not Found")</f>
        <v>0</v>
      </c>
      <c r="Q2047" s="36"/>
      <c r="R2047" s="125" t="s">
        <v>678</v>
      </c>
      <c r="S2047" s="123">
        <f>Table1[[#This Row],[Quantity]]/48</f>
        <v>0</v>
      </c>
      <c r="T2047" s="36"/>
      <c r="U2047" s="36"/>
      <c r="V2047" s="36"/>
      <c r="W2047" s="129"/>
      <c r="X2047" s="36"/>
      <c r="Y2047" s="36"/>
      <c r="Z2047" s="36"/>
      <c r="AA2047" s="125" t="s">
        <v>121</v>
      </c>
      <c r="AB2047" s="172">
        <v>45481</v>
      </c>
      <c r="AC2047" s="119">
        <v>2024818</v>
      </c>
      <c r="AD2047" s="36">
        <f t="shared" si="230"/>
        <v>37069198</v>
      </c>
      <c r="AE2047" s="36" t="str">
        <f t="shared" si="231"/>
        <v>TK.KWVE15-B-A-ESC-0038-WW1</v>
      </c>
      <c r="AF2047" s="36">
        <v>76</v>
      </c>
      <c r="AG2047" s="120">
        <f t="shared" si="239"/>
        <v>270.56</v>
      </c>
      <c r="AH2047" s="36"/>
      <c r="AI2047" s="124"/>
      <c r="AJ2047" s="122" t="s">
        <v>1799</v>
      </c>
      <c r="AK2047" s="129" t="str">
        <f t="shared" ca="1" si="238"/>
        <v>On Time</v>
      </c>
      <c r="AL2047" s="268" t="str">
        <f t="shared" si="237"/>
        <v>July</v>
      </c>
      <c r="AM2047" s="133">
        <f>YEAR(Table1[[#This Row],[ETA
As requested
dd.mm.yyyy]])</f>
        <v>2024</v>
      </c>
    </row>
    <row r="2048" spans="1:39" hidden="1">
      <c r="A2048" s="123" t="s">
        <v>83</v>
      </c>
      <c r="B2048" s="36" t="s">
        <v>1170</v>
      </c>
      <c r="C2048" s="117">
        <v>37069198</v>
      </c>
      <c r="D2048" s="165">
        <v>45471</v>
      </c>
      <c r="E2048" s="117" t="s">
        <v>99</v>
      </c>
      <c r="F2048" s="36" t="str">
        <f>IFERROR(VLOOKUP(Table1[[#This Row],[Part Number]],DATABASE_FG!$C$6:D12037,2,FALSE)," ")</f>
        <v xml:space="preserve">054380529-8011 </v>
      </c>
      <c r="G2048" s="117">
        <f>IFERROR(_xlfn.XLOOKUP(Table1[[#This Row],[Part Number]],Table3[Part number],Table3[Drawing
 Revision]),"")</f>
        <v>0</v>
      </c>
      <c r="H2048" s="118" cm="1">
        <f t="array" ref="H2048">IFERROR(INDEX(PDB!$C:$AT,MATCH(E2048,PDB!$B:$B,0),MATCH(YEAR(K2048),0+PDB!$C$1:$AT$1,0)),"")</f>
        <v>3.56</v>
      </c>
      <c r="I2048" s="36">
        <v>100</v>
      </c>
      <c r="J2048" s="125">
        <f>IFERROR(Table1[[#This Row],[Quantity]]*Table1[[#This Row],[Price/Unit
EUR]]," ")</f>
        <v>356</v>
      </c>
      <c r="K2048" s="126">
        <v>45484</v>
      </c>
      <c r="L2048" s="36">
        <f>WEEKNUM(Table1[[#This Row],[ETA
As requested
dd.mm.yyyy]])</f>
        <v>28</v>
      </c>
      <c r="M2048" s="36">
        <f>YEAR(Table1[[#This Row],[ETA
As requested
dd.mm.yyyy]])</f>
        <v>2024</v>
      </c>
      <c r="N2048" s="36">
        <f>IFERROR(INDEX(DATABASE_FG!$H$5:$H$367, MATCH(E2048, DATABASE_FG!$C$5:$C$367, 0)), " ")</f>
        <v>0</v>
      </c>
      <c r="O2048" s="129" t="str">
        <f>IF(E2048&lt;&gt;"", _xlfn.XLOOKUP(E2048, DATABASE_FG!C:C, DATABASE_FG!F:F), " ")</f>
        <v>Ghidaje</v>
      </c>
      <c r="P2048" s="36">
        <f>IFERROR(INDEX(DATABASE_FG!$G$5:$G$367, MATCH(E2048, DATABASE_FG!$C$5:$C$367, 0)), "Not Found")</f>
        <v>0</v>
      </c>
      <c r="Q2048" s="36"/>
      <c r="R2048" s="125" t="s">
        <v>678</v>
      </c>
      <c r="S2048" s="123">
        <f>IFERROR(INDEX(DATABASE_FG!$L$5:$L$367, MATCH(E2048, DATABASE_FG!$C$5:$C$367, 0)), " ")</f>
        <v>42</v>
      </c>
      <c r="T2048" s="36" t="s">
        <v>679</v>
      </c>
      <c r="U2048" s="36"/>
      <c r="V2048" s="36"/>
      <c r="W2048" s="129"/>
      <c r="X2048" s="36"/>
      <c r="Y2048" s="36"/>
      <c r="Z2048" s="36">
        <v>242705</v>
      </c>
      <c r="AA2048" s="125" t="s">
        <v>121</v>
      </c>
      <c r="AB2048" s="172">
        <v>45481</v>
      </c>
      <c r="AC2048" s="119">
        <v>2024818</v>
      </c>
      <c r="AD2048" s="36">
        <f t="shared" si="230"/>
        <v>37069198</v>
      </c>
      <c r="AE2048" s="36" t="str">
        <f t="shared" si="231"/>
        <v>TK.KWVE15-B-A-ESC-0038-WW1</v>
      </c>
      <c r="AF2048" s="36">
        <v>17</v>
      </c>
      <c r="AG2048" s="120">
        <f t="shared" si="239"/>
        <v>60.52</v>
      </c>
      <c r="AH2048" s="36"/>
      <c r="AI2048" s="124"/>
      <c r="AJ2048" s="122" t="s">
        <v>1799</v>
      </c>
      <c r="AK2048" s="129" t="str">
        <f t="shared" ca="1" si="238"/>
        <v>On Time</v>
      </c>
      <c r="AL2048" s="268" t="str">
        <f t="shared" si="237"/>
        <v>July</v>
      </c>
      <c r="AM2048" s="133">
        <f>YEAR(Table1[[#This Row],[ETA
As requested
dd.mm.yyyy]])</f>
        <v>2024</v>
      </c>
    </row>
    <row r="2049" spans="1:39" hidden="1">
      <c r="A2049" s="123" t="s">
        <v>83</v>
      </c>
      <c r="B2049" s="36" t="s">
        <v>1170</v>
      </c>
      <c r="C2049" s="117">
        <v>37069198</v>
      </c>
      <c r="D2049" s="165">
        <v>45471</v>
      </c>
      <c r="E2049" s="117" t="s">
        <v>99</v>
      </c>
      <c r="F2049" s="36" t="str">
        <f>IFERROR(VLOOKUP(Table1[[#This Row],[Part Number]],DATABASE_FG!$C$6:D12038,2,FALSE)," ")</f>
        <v xml:space="preserve">054380529-8011 </v>
      </c>
      <c r="G2049" s="117">
        <f>IFERROR(_xlfn.XLOOKUP(Table1[[#This Row],[Part Number]],Table3[Part number],Table3[Drawing
 Revision]),"")</f>
        <v>0</v>
      </c>
      <c r="H2049" s="118" cm="1">
        <f t="array" ref="H2049">IFERROR(INDEX(PDB!$C:$AT,MATCH(E2049,PDB!$B:$B,0),MATCH(YEAR(K2049),0+PDB!$C$1:$AT$1,0)),"")</f>
        <v>3.56</v>
      </c>
      <c r="I2049" s="36"/>
      <c r="J2049" s="125">
        <f>IFERROR(Table1[[#This Row],[Quantity]]*Table1[[#This Row],[Price/Unit
EUR]]," ")</f>
        <v>0</v>
      </c>
      <c r="K2049" s="126">
        <v>45484</v>
      </c>
      <c r="L2049" s="36">
        <f>WEEKNUM(Table1[[#This Row],[ETA
As requested
dd.mm.yyyy]])</f>
        <v>28</v>
      </c>
      <c r="M2049" s="36">
        <f>YEAR(Table1[[#This Row],[ETA
As requested
dd.mm.yyyy]])</f>
        <v>2024</v>
      </c>
      <c r="N2049" s="36">
        <f>IFERROR(INDEX(DATABASE_FG!$H$5:$H$367, MATCH(E2049, DATABASE_FG!$C$5:$C$367, 0)), " ")</f>
        <v>0</v>
      </c>
      <c r="O2049" s="129" t="str">
        <f>IF(E2049&lt;&gt;"", _xlfn.XLOOKUP(E2049, DATABASE_FG!C:C, DATABASE_FG!F:F), " ")</f>
        <v>Ghidaje</v>
      </c>
      <c r="P2049" s="36">
        <f>IFERROR(INDEX(DATABASE_FG!$G$5:$G$367, MATCH(E2049, DATABASE_FG!$C$5:$C$367, 0)), "Not Found")</f>
        <v>0</v>
      </c>
      <c r="Q2049" s="36"/>
      <c r="R2049" s="125" t="s">
        <v>678</v>
      </c>
      <c r="S2049" s="123">
        <f>Table1[[#This Row],[Quantity]]/48</f>
        <v>0</v>
      </c>
      <c r="T2049" s="36"/>
      <c r="U2049" s="36"/>
      <c r="V2049" s="36"/>
      <c r="W2049" s="129"/>
      <c r="X2049" s="36"/>
      <c r="Y2049" s="36"/>
      <c r="Z2049" s="36"/>
      <c r="AA2049" s="125" t="s">
        <v>121</v>
      </c>
      <c r="AB2049" s="172">
        <v>45482</v>
      </c>
      <c r="AC2049" s="119">
        <v>2024827</v>
      </c>
      <c r="AD2049" s="36">
        <f t="shared" si="230"/>
        <v>37069198</v>
      </c>
      <c r="AE2049" s="36" t="str">
        <f t="shared" si="231"/>
        <v>TK.KWVE15-B-A-ESC-0038-WW1</v>
      </c>
      <c r="AF2049" s="36">
        <v>83</v>
      </c>
      <c r="AG2049" s="120">
        <f t="shared" si="239"/>
        <v>295.48</v>
      </c>
      <c r="AH2049" s="36"/>
      <c r="AI2049" s="124"/>
      <c r="AJ2049" s="122" t="s">
        <v>1818</v>
      </c>
      <c r="AK2049" s="129" t="str">
        <f t="shared" ca="1" si="238"/>
        <v>On Time</v>
      </c>
      <c r="AL2049" s="268" t="str">
        <f t="shared" si="237"/>
        <v>July</v>
      </c>
      <c r="AM2049" s="133">
        <f>YEAR(Table1[[#This Row],[ETA
As requested
dd.mm.yyyy]])</f>
        <v>2024</v>
      </c>
    </row>
    <row r="2050" spans="1:39" hidden="1">
      <c r="A2050" s="123" t="s">
        <v>83</v>
      </c>
      <c r="B2050" s="36" t="s">
        <v>1170</v>
      </c>
      <c r="C2050" s="117">
        <v>37069205</v>
      </c>
      <c r="D2050" s="165">
        <v>45471</v>
      </c>
      <c r="E2050" s="117" t="s">
        <v>99</v>
      </c>
      <c r="F2050" s="36" t="str">
        <f>IFERROR(VLOOKUP(Table1[[#This Row],[Part Number]],DATABASE_FG!$C$6:D12039,2,FALSE)," ")</f>
        <v xml:space="preserve">054380529-8011 </v>
      </c>
      <c r="G2050" s="117">
        <f>IFERROR(_xlfn.XLOOKUP(Table1[[#This Row],[Part Number]],Table3[Part number],Table3[Drawing
 Revision]),"")</f>
        <v>0</v>
      </c>
      <c r="H2050" s="118" cm="1">
        <f t="array" ref="H2050">IFERROR(INDEX(PDB!$C:$AT,MATCH(E2050,PDB!$B:$B,0),MATCH(YEAR(K2050),0+PDB!$C$1:$AT$1,0)),"")</f>
        <v>3.56</v>
      </c>
      <c r="I2050" s="36">
        <v>100</v>
      </c>
      <c r="J2050" s="125">
        <f>IFERROR(Table1[[#This Row],[Quantity]]*Table1[[#This Row],[Price/Unit
EUR]]," ")</f>
        <v>356</v>
      </c>
      <c r="K2050" s="126">
        <v>45489</v>
      </c>
      <c r="L2050" s="36">
        <f>WEEKNUM(Table1[[#This Row],[ETA
As requested
dd.mm.yyyy]])</f>
        <v>29</v>
      </c>
      <c r="M2050" s="36">
        <f>YEAR(Table1[[#This Row],[ETA
As requested
dd.mm.yyyy]])</f>
        <v>2024</v>
      </c>
      <c r="N2050" s="36">
        <f>IFERROR(INDEX(DATABASE_FG!$H$5:$H$367, MATCH(E2050, DATABASE_FG!$C$5:$C$367, 0)), " ")</f>
        <v>0</v>
      </c>
      <c r="O2050" s="129" t="str">
        <f>IF(E2050&lt;&gt;"", _xlfn.XLOOKUP(E2050, DATABASE_FG!C:C, DATABASE_FG!F:F), " ")</f>
        <v>Ghidaje</v>
      </c>
      <c r="P2050" s="36">
        <f>IFERROR(INDEX(DATABASE_FG!$G$5:$G$367, MATCH(E2050, DATABASE_FG!$C$5:$C$367, 0)), "Not Found")</f>
        <v>0</v>
      </c>
      <c r="Q2050" s="36"/>
      <c r="R2050" s="125" t="s">
        <v>678</v>
      </c>
      <c r="S2050" s="123">
        <f>IFERROR(INDEX(DATABASE_FG!$L$5:$L$367, MATCH(E2050, DATABASE_FG!$C$5:$C$367, 0)), " ")</f>
        <v>42</v>
      </c>
      <c r="T2050" s="36" t="s">
        <v>679</v>
      </c>
      <c r="U2050" s="36"/>
      <c r="V2050" s="36"/>
      <c r="W2050" s="129"/>
      <c r="X2050" s="36"/>
      <c r="Y2050" s="36"/>
      <c r="Z2050" s="36">
        <v>242705</v>
      </c>
      <c r="AA2050" s="125" t="s">
        <v>121</v>
      </c>
      <c r="AB2050" s="172">
        <v>45482</v>
      </c>
      <c r="AC2050" s="119">
        <v>2024828</v>
      </c>
      <c r="AD2050" s="36">
        <f t="shared" si="230"/>
        <v>37069205</v>
      </c>
      <c r="AE2050" s="36" t="str">
        <f t="shared" si="231"/>
        <v>TK.KWVE15-B-A-ESC-0038-WW1</v>
      </c>
      <c r="AF2050" s="36">
        <v>18</v>
      </c>
      <c r="AG2050" s="120">
        <f t="shared" si="239"/>
        <v>64.08</v>
      </c>
      <c r="AH2050" s="36"/>
      <c r="AI2050" s="124"/>
      <c r="AJ2050" s="122" t="s">
        <v>1840</v>
      </c>
      <c r="AK2050" s="129" t="str">
        <f t="shared" ca="1" si="238"/>
        <v>On Time</v>
      </c>
      <c r="AL2050" s="268" t="str">
        <f t="shared" si="237"/>
        <v>July</v>
      </c>
      <c r="AM2050" s="133">
        <f>YEAR(Table1[[#This Row],[ETA
As requested
dd.mm.yyyy]])</f>
        <v>2024</v>
      </c>
    </row>
    <row r="2051" spans="1:39" hidden="1">
      <c r="A2051" s="123" t="s">
        <v>83</v>
      </c>
      <c r="B2051" s="36" t="s">
        <v>1170</v>
      </c>
      <c r="C2051" s="117">
        <v>37069205</v>
      </c>
      <c r="D2051" s="165">
        <v>45471</v>
      </c>
      <c r="E2051" s="117" t="s">
        <v>99</v>
      </c>
      <c r="F2051" s="36" t="str">
        <f>IFERROR(VLOOKUP(Table1[[#This Row],[Part Number]],DATABASE_FG!$C$6:D12040,2,FALSE)," ")</f>
        <v xml:space="preserve">054380529-8011 </v>
      </c>
      <c r="G2051" s="117">
        <f>IFERROR(_xlfn.XLOOKUP(Table1[[#This Row],[Part Number]],Table3[Part number],Table3[Drawing
 Revision]),"")</f>
        <v>0</v>
      </c>
      <c r="H2051" s="118" cm="1">
        <f t="array" ref="H2051">IFERROR(INDEX(PDB!$C:$AT,MATCH(E2051,PDB!$B:$B,0),MATCH(YEAR(K2051),0+PDB!$C$1:$AT$1,0)),"")</f>
        <v>3.56</v>
      </c>
      <c r="I2051" s="36"/>
      <c r="J2051" s="125">
        <f>IFERROR(Table1[[#This Row],[Quantity]]*Table1[[#This Row],[Price/Unit
EUR]]," ")</f>
        <v>0</v>
      </c>
      <c r="K2051" s="126">
        <v>45490</v>
      </c>
      <c r="L2051" s="36">
        <f>WEEKNUM(Table1[[#This Row],[ETA
As requested
dd.mm.yyyy]])</f>
        <v>29</v>
      </c>
      <c r="M2051" s="36">
        <f>YEAR(Table1[[#This Row],[ETA
As requested
dd.mm.yyyy]])</f>
        <v>2024</v>
      </c>
      <c r="N2051" s="36">
        <f>IFERROR(INDEX(DATABASE_FG!$H$5:$H$367, MATCH(E2051, DATABASE_FG!$C$5:$C$367, 0)), " ")</f>
        <v>0</v>
      </c>
      <c r="O2051" s="129" t="str">
        <f>IF(E2051&lt;&gt;"", _xlfn.XLOOKUP(E2051, DATABASE_FG!C:C, DATABASE_FG!F:F), " ")</f>
        <v>Ghidaje</v>
      </c>
      <c r="P2051" s="36">
        <f>IFERROR(INDEX(DATABASE_FG!$G$5:$G$367, MATCH(E2051, DATABASE_FG!$C$5:$C$367, 0)), "Not Found")</f>
        <v>0</v>
      </c>
      <c r="Q2051" s="36"/>
      <c r="R2051" s="125" t="s">
        <v>678</v>
      </c>
      <c r="S2051" s="123">
        <f>Table1[[#This Row],[Quantity]]/48</f>
        <v>0</v>
      </c>
      <c r="T2051" s="36"/>
      <c r="U2051" s="36"/>
      <c r="V2051" s="36"/>
      <c r="W2051" s="129"/>
      <c r="X2051" s="36"/>
      <c r="Y2051" s="36"/>
      <c r="Z2051" s="36"/>
      <c r="AA2051" s="125" t="s">
        <v>121</v>
      </c>
      <c r="AB2051" s="172">
        <v>45483</v>
      </c>
      <c r="AC2051" s="119">
        <v>2024836</v>
      </c>
      <c r="AD2051" s="36">
        <f t="shared" si="230"/>
        <v>37069205</v>
      </c>
      <c r="AE2051" s="36" t="str">
        <f t="shared" si="231"/>
        <v>TK.KWVE15-B-A-ESC-0038-WW1</v>
      </c>
      <c r="AF2051" s="36">
        <v>82</v>
      </c>
      <c r="AG2051" s="120">
        <f t="shared" si="239"/>
        <v>291.92</v>
      </c>
      <c r="AH2051" s="36"/>
      <c r="AI2051" s="124"/>
      <c r="AJ2051" s="122" t="s">
        <v>1847</v>
      </c>
      <c r="AK2051" s="129" t="str">
        <f t="shared" ca="1" si="238"/>
        <v>On Time</v>
      </c>
      <c r="AL2051" s="268" t="str">
        <f t="shared" si="237"/>
        <v>July</v>
      </c>
      <c r="AM2051" s="133">
        <f>YEAR(Table1[[#This Row],[ETA
As requested
dd.mm.yyyy]])</f>
        <v>2024</v>
      </c>
    </row>
    <row r="2052" spans="1:39" hidden="1">
      <c r="A2052" s="123" t="s">
        <v>83</v>
      </c>
      <c r="B2052" s="36" t="s">
        <v>1170</v>
      </c>
      <c r="C2052" s="117">
        <v>37069205</v>
      </c>
      <c r="D2052" s="165">
        <v>45471</v>
      </c>
      <c r="E2052" s="117" t="s">
        <v>99</v>
      </c>
      <c r="F2052" s="36" t="str">
        <f>IFERROR(VLOOKUP(Table1[[#This Row],[Part Number]],DATABASE_FG!$C$6:D12041,2,FALSE)," ")</f>
        <v xml:space="preserve">054380529-8011 </v>
      </c>
      <c r="G2052" s="117">
        <f>IFERROR(_xlfn.XLOOKUP(Table1[[#This Row],[Part Number]],Table3[Part number],Table3[Drawing
 Revision]),"")</f>
        <v>0</v>
      </c>
      <c r="H2052" s="118" cm="1">
        <f t="array" ref="H2052">IFERROR(INDEX(PDB!$C:$AT,MATCH(E2052,PDB!$B:$B,0),MATCH(YEAR(K2052),0+PDB!$C$1:$AT$1,0)),"")</f>
        <v>3.56</v>
      </c>
      <c r="I2052" s="36">
        <v>100</v>
      </c>
      <c r="J2052" s="125">
        <f>IFERROR(Table1[[#This Row],[Quantity]]*Table1[[#This Row],[Price/Unit
EUR]]," ")</f>
        <v>356</v>
      </c>
      <c r="K2052" s="126">
        <v>45491</v>
      </c>
      <c r="L2052" s="36">
        <f>WEEKNUM(Table1[[#This Row],[ETA
As requested
dd.mm.yyyy]])</f>
        <v>29</v>
      </c>
      <c r="M2052" s="36">
        <f>YEAR(Table1[[#This Row],[ETA
As requested
dd.mm.yyyy]])</f>
        <v>2024</v>
      </c>
      <c r="N2052" s="36">
        <f>IFERROR(INDEX(DATABASE_FG!$H$5:$H$367, MATCH(E2052, DATABASE_FG!$C$5:$C$367, 0)), " ")</f>
        <v>0</v>
      </c>
      <c r="O2052" s="129" t="str">
        <f>IF(E2052&lt;&gt;"", _xlfn.XLOOKUP(E2052, DATABASE_FG!C:C, DATABASE_FG!F:F), " ")</f>
        <v>Ghidaje</v>
      </c>
      <c r="P2052" s="36">
        <f>IFERROR(INDEX(DATABASE_FG!$G$5:$G$367, MATCH(E2052, DATABASE_FG!$C$5:$C$367, 0)), "Not Found")</f>
        <v>0</v>
      </c>
      <c r="Q2052" s="36"/>
      <c r="R2052" s="125" t="s">
        <v>678</v>
      </c>
      <c r="S2052" s="123">
        <f>IFERROR(INDEX(DATABASE_FG!$L$5:$L$367, MATCH(E2052, DATABASE_FG!$C$5:$C$367, 0)), " ")</f>
        <v>42</v>
      </c>
      <c r="T2052" s="36" t="s">
        <v>679</v>
      </c>
      <c r="U2052" s="36"/>
      <c r="V2052" s="36"/>
      <c r="W2052" s="129"/>
      <c r="X2052" s="36"/>
      <c r="Y2052" s="36"/>
      <c r="Z2052" s="36">
        <v>242705</v>
      </c>
      <c r="AA2052" s="125" t="s">
        <v>121</v>
      </c>
      <c r="AB2052" s="172">
        <v>45483</v>
      </c>
      <c r="AC2052" s="119">
        <v>2024836</v>
      </c>
      <c r="AD2052" s="36">
        <f t="shared" si="230"/>
        <v>37069205</v>
      </c>
      <c r="AE2052" s="36" t="str">
        <f t="shared" si="231"/>
        <v>TK.KWVE15-B-A-ESC-0038-WW1</v>
      </c>
      <c r="AF2052" s="36">
        <v>55</v>
      </c>
      <c r="AG2052" s="120">
        <f t="shared" si="239"/>
        <v>195.8</v>
      </c>
      <c r="AH2052" s="36"/>
      <c r="AI2052" s="124"/>
      <c r="AJ2052" s="122" t="s">
        <v>1847</v>
      </c>
      <c r="AK2052" s="129" t="str">
        <f t="shared" ca="1" si="238"/>
        <v>On Time</v>
      </c>
      <c r="AL2052" s="268" t="str">
        <f t="shared" si="237"/>
        <v>July</v>
      </c>
      <c r="AM2052" s="133">
        <f>YEAR(Table1[[#This Row],[ETA
As requested
dd.mm.yyyy]])</f>
        <v>2024</v>
      </c>
    </row>
    <row r="2053" spans="1:39" hidden="1">
      <c r="A2053" s="123" t="s">
        <v>83</v>
      </c>
      <c r="B2053" s="36" t="s">
        <v>1170</v>
      </c>
      <c r="C2053" s="117">
        <v>37069205</v>
      </c>
      <c r="D2053" s="165">
        <v>45471</v>
      </c>
      <c r="E2053" s="117" t="s">
        <v>99</v>
      </c>
      <c r="F2053" s="36" t="str">
        <f>IFERROR(VLOOKUP(Table1[[#This Row],[Part Number]],DATABASE_FG!$C$6:D12042,2,FALSE)," ")</f>
        <v xml:space="preserve">054380529-8011 </v>
      </c>
      <c r="G2053" s="117">
        <f>IFERROR(_xlfn.XLOOKUP(Table1[[#This Row],[Part Number]],Table3[Part number],Table3[Drawing
 Revision]),"")</f>
        <v>0</v>
      </c>
      <c r="H2053" s="118" cm="1">
        <f t="array" ref="H2053">IFERROR(INDEX(PDB!$C:$AT,MATCH(E2053,PDB!$B:$B,0),MATCH(YEAR(K2053),0+PDB!$C$1:$AT$1,0)),"")</f>
        <v>3.56</v>
      </c>
      <c r="I2053" s="36"/>
      <c r="J2053" s="125">
        <f>IFERROR(Table1[[#This Row],[Quantity]]*Table1[[#This Row],[Price/Unit
EUR]]," ")</f>
        <v>0</v>
      </c>
      <c r="K2053" s="126">
        <v>45491</v>
      </c>
      <c r="L2053" s="36">
        <f>WEEKNUM(Table1[[#This Row],[ETA
As requested
dd.mm.yyyy]])</f>
        <v>29</v>
      </c>
      <c r="M2053" s="36">
        <f>YEAR(Table1[[#This Row],[ETA
As requested
dd.mm.yyyy]])</f>
        <v>2024</v>
      </c>
      <c r="N2053" s="36">
        <f>IFERROR(INDEX(DATABASE_FG!$H$5:$H$367, MATCH(E2053, DATABASE_FG!$C$5:$C$367, 0)), " ")</f>
        <v>0</v>
      </c>
      <c r="O2053" s="129" t="str">
        <f>IF(E2053&lt;&gt;"", _xlfn.XLOOKUP(E2053, DATABASE_FG!C:C, DATABASE_FG!F:F), " ")</f>
        <v>Ghidaje</v>
      </c>
      <c r="P2053" s="36">
        <f>IFERROR(INDEX(DATABASE_FG!$G$5:$G$367, MATCH(E2053, DATABASE_FG!$C$5:$C$367, 0)), "Not Found")</f>
        <v>0</v>
      </c>
      <c r="Q2053" s="36"/>
      <c r="R2053" s="125" t="s">
        <v>678</v>
      </c>
      <c r="S2053" s="123">
        <f>Table1[[#This Row],[Quantity]]/48</f>
        <v>0</v>
      </c>
      <c r="T2053" s="36"/>
      <c r="U2053" s="36"/>
      <c r="V2053" s="36"/>
      <c r="W2053" s="129"/>
      <c r="X2053" s="36"/>
      <c r="Y2053" s="36"/>
      <c r="Z2053" s="36"/>
      <c r="AA2053" s="125" t="s">
        <v>121</v>
      </c>
      <c r="AB2053" s="172">
        <v>45505</v>
      </c>
      <c r="AC2053" s="119">
        <v>2024961</v>
      </c>
      <c r="AD2053" s="36">
        <f t="shared" si="230"/>
        <v>37069205</v>
      </c>
      <c r="AE2053" s="36" t="str">
        <f t="shared" si="231"/>
        <v>TK.KWVE15-B-A-ESC-0038-WW1</v>
      </c>
      <c r="AF2053" s="36">
        <v>44</v>
      </c>
      <c r="AG2053" s="120">
        <f t="shared" si="239"/>
        <v>156.64000000000001</v>
      </c>
      <c r="AH2053" s="36"/>
      <c r="AI2053" s="124"/>
      <c r="AJ2053" s="122" t="s">
        <v>1848</v>
      </c>
      <c r="AK2053" s="129" t="str">
        <f t="shared" ca="1" si="238"/>
        <v>Late</v>
      </c>
      <c r="AL2053" s="268" t="str">
        <f t="shared" si="237"/>
        <v>July</v>
      </c>
      <c r="AM2053" s="133">
        <f>YEAR(Table1[[#This Row],[ETA
As requested
dd.mm.yyyy]])</f>
        <v>2024</v>
      </c>
    </row>
    <row r="2054" spans="1:39" hidden="1">
      <c r="A2054" s="123" t="s">
        <v>83</v>
      </c>
      <c r="B2054" s="36" t="s">
        <v>1170</v>
      </c>
      <c r="C2054" s="70">
        <v>37069205</v>
      </c>
      <c r="D2054" s="165">
        <v>45471</v>
      </c>
      <c r="E2054" s="117" t="s">
        <v>99</v>
      </c>
      <c r="F2054" s="36" t="str">
        <f>IFERROR(VLOOKUP(Table1[[#This Row],[Part Number]],DATABASE_FG!$C$6:D12043,2,FALSE)," ")</f>
        <v xml:space="preserve">054380529-8011 </v>
      </c>
      <c r="G2054" s="117">
        <f>IFERROR(_xlfn.XLOOKUP(Table1[[#This Row],[Part Number]],Table3[Part number],Table3[Drawing
 Revision]),"")</f>
        <v>0</v>
      </c>
      <c r="H2054" s="118" cm="1">
        <f t="array" ref="H2054">IFERROR(INDEX(PDB!$C:$AT,MATCH(E2054,PDB!$B:$B,0),MATCH(YEAR(K2054),0+PDB!$C$1:$AT$1,0)),"")</f>
        <v>3.56</v>
      </c>
      <c r="I2054" s="36"/>
      <c r="J2054" s="125">
        <f>IFERROR(Table1[[#This Row],[Quantity]]*Table1[[#This Row],[Price/Unit
EUR]]," ")</f>
        <v>0</v>
      </c>
      <c r="K2054" s="126">
        <v>45491</v>
      </c>
      <c r="L2054" s="36">
        <f>WEEKNUM(Table1[[#This Row],[ETA
As requested
dd.mm.yyyy]])</f>
        <v>29</v>
      </c>
      <c r="M2054" s="36">
        <f>YEAR(Table1[[#This Row],[ETA
As requested
dd.mm.yyyy]])</f>
        <v>2024</v>
      </c>
      <c r="N2054" s="36">
        <f>IFERROR(INDEX(DATABASE_FG!$H$5:$H$367, MATCH(E2054, DATABASE_FG!$C$5:$C$367, 0)), " ")</f>
        <v>0</v>
      </c>
      <c r="O2054" s="129" t="str">
        <f>IF(E2054&lt;&gt;"", _xlfn.XLOOKUP(E2054, DATABASE_FG!C:C, DATABASE_FG!F:F), " ")</f>
        <v>Ghidaje</v>
      </c>
      <c r="P2054" s="36">
        <f>IFERROR(INDEX(DATABASE_FG!$G$5:$G$367, MATCH(E2054, DATABASE_FG!$C$5:$C$367, 0)), "Not Found")</f>
        <v>0</v>
      </c>
      <c r="Q2054" s="36"/>
      <c r="R2054" s="125" t="s">
        <v>678</v>
      </c>
      <c r="S2054" s="123">
        <f>Table1[[#This Row],[Quantity]]/48</f>
        <v>0</v>
      </c>
      <c r="T2054" s="36"/>
      <c r="U2054" s="36"/>
      <c r="V2054" s="36"/>
      <c r="W2054" s="129"/>
      <c r="X2054" s="36"/>
      <c r="Y2054" s="36"/>
      <c r="Z2054" s="36"/>
      <c r="AA2054" s="125" t="s">
        <v>121</v>
      </c>
      <c r="AB2054" s="172">
        <v>45506</v>
      </c>
      <c r="AC2054" s="119">
        <v>2024970</v>
      </c>
      <c r="AD2054" s="36">
        <f t="shared" si="230"/>
        <v>37069205</v>
      </c>
      <c r="AE2054" s="36" t="str">
        <f t="shared" si="231"/>
        <v>TK.KWVE15-B-A-ESC-0038-WW1</v>
      </c>
      <c r="AF2054" s="36">
        <v>1</v>
      </c>
      <c r="AG2054" s="120">
        <f t="shared" si="239"/>
        <v>3.56</v>
      </c>
      <c r="AH2054" s="36"/>
      <c r="AI2054" s="124"/>
      <c r="AJ2054" s="122" t="s">
        <v>1849</v>
      </c>
      <c r="AK2054" s="129" t="str">
        <f t="shared" ca="1" si="238"/>
        <v>Late</v>
      </c>
      <c r="AL2054" s="268" t="str">
        <f t="shared" si="237"/>
        <v>July</v>
      </c>
      <c r="AM2054" s="133">
        <f>YEAR(Table1[[#This Row],[ETA
As requested
dd.mm.yyyy]])</f>
        <v>2024</v>
      </c>
    </row>
    <row r="2055" spans="1:39" hidden="1">
      <c r="A2055" s="123" t="s">
        <v>83</v>
      </c>
      <c r="B2055" s="36" t="s">
        <v>1170</v>
      </c>
      <c r="C2055" s="70">
        <v>37069213</v>
      </c>
      <c r="D2055" s="165">
        <v>45471</v>
      </c>
      <c r="E2055" s="117" t="s">
        <v>99</v>
      </c>
      <c r="F2055" s="36" t="str">
        <f>IFERROR(VLOOKUP(Table1[[#This Row],[Part Number]],DATABASE_FG!$C$6:D12044,2,FALSE)," ")</f>
        <v xml:space="preserve">054380529-8011 </v>
      </c>
      <c r="G2055" s="117">
        <f>IFERROR(_xlfn.XLOOKUP(Table1[[#This Row],[Part Number]],Table3[Part number],Table3[Drawing
 Revision]),"")</f>
        <v>0</v>
      </c>
      <c r="H2055" s="118" cm="1">
        <f t="array" ref="H2055">IFERROR(INDEX(PDB!$C:$AT,MATCH(E2055,PDB!$B:$B,0),MATCH(YEAR(K2055),0+PDB!$C$1:$AT$1,0)),"")</f>
        <v>3.56</v>
      </c>
      <c r="I2055" s="36">
        <v>100</v>
      </c>
      <c r="J2055" s="125">
        <f>IFERROR(Table1[[#This Row],[Quantity]]*Table1[[#This Row],[Price/Unit
EUR]]," ")</f>
        <v>356</v>
      </c>
      <c r="K2055" s="126">
        <v>45496</v>
      </c>
      <c r="L2055" s="36">
        <f>WEEKNUM(Table1[[#This Row],[ETA
As requested
dd.mm.yyyy]])</f>
        <v>30</v>
      </c>
      <c r="M2055" s="36">
        <f>YEAR(Table1[[#This Row],[ETA
As requested
dd.mm.yyyy]])</f>
        <v>2024</v>
      </c>
      <c r="N2055" s="36">
        <f>IFERROR(INDEX(DATABASE_FG!$H$5:$H$367, MATCH(E2055, DATABASE_FG!$C$5:$C$367, 0)), " ")</f>
        <v>0</v>
      </c>
      <c r="O2055" s="129" t="str">
        <f>IF(E2055&lt;&gt;"", _xlfn.XLOOKUP(E2055, DATABASE_FG!C:C, DATABASE_FG!F:F), " ")</f>
        <v>Ghidaje</v>
      </c>
      <c r="P2055" s="36">
        <f>IFERROR(INDEX(DATABASE_FG!$G$5:$G$367, MATCH(E2055, DATABASE_FG!$C$5:$C$367, 0)), "Not Found")</f>
        <v>0</v>
      </c>
      <c r="Q2055" s="36"/>
      <c r="R2055" s="125" t="s">
        <v>678</v>
      </c>
      <c r="S2055" s="123">
        <f>IFERROR(INDEX(DATABASE_FG!$L$5:$L$367, MATCH(E2055, DATABASE_FG!$C$5:$C$367, 0)), " ")</f>
        <v>42</v>
      </c>
      <c r="T2055" s="36" t="s">
        <v>679</v>
      </c>
      <c r="U2055" s="36"/>
      <c r="V2055" s="36"/>
      <c r="W2055" s="129"/>
      <c r="X2055" s="36"/>
      <c r="Y2055" s="36"/>
      <c r="Z2055" s="36"/>
      <c r="AA2055" s="125" t="s">
        <v>121</v>
      </c>
      <c r="AB2055" s="172">
        <v>45506</v>
      </c>
      <c r="AC2055" s="119">
        <v>2024971</v>
      </c>
      <c r="AD2055" s="36">
        <f t="shared" si="230"/>
        <v>37069213</v>
      </c>
      <c r="AE2055" s="36" t="str">
        <f t="shared" si="231"/>
        <v>TK.KWVE15-B-A-ESC-0038-WW1</v>
      </c>
      <c r="AF2055" s="36">
        <v>100</v>
      </c>
      <c r="AG2055" s="120">
        <f t="shared" si="239"/>
        <v>356</v>
      </c>
      <c r="AH2055" s="36"/>
      <c r="AI2055" s="124"/>
      <c r="AJ2055" s="122" t="s">
        <v>1856</v>
      </c>
      <c r="AK2055" s="129" t="str">
        <f t="shared" ca="1" si="238"/>
        <v>Late</v>
      </c>
      <c r="AL2055" s="268" t="str">
        <f t="shared" si="237"/>
        <v>July</v>
      </c>
      <c r="AM2055" s="133">
        <f>YEAR(Table1[[#This Row],[ETA
As requested
dd.mm.yyyy]])</f>
        <v>2024</v>
      </c>
    </row>
    <row r="2056" spans="1:39" hidden="1">
      <c r="A2056" s="123" t="s">
        <v>83</v>
      </c>
      <c r="B2056" s="36" t="s">
        <v>1170</v>
      </c>
      <c r="C2056" s="117">
        <v>37069213</v>
      </c>
      <c r="D2056" s="165">
        <v>45471</v>
      </c>
      <c r="E2056" s="117" t="s">
        <v>99</v>
      </c>
      <c r="F2056" s="36" t="str">
        <f>IFERROR(VLOOKUP(Table1[[#This Row],[Part Number]],DATABASE_FG!$C$6:D12045,2,FALSE)," ")</f>
        <v xml:space="preserve">054380529-8011 </v>
      </c>
      <c r="G2056" s="117">
        <f>IFERROR(_xlfn.XLOOKUP(Table1[[#This Row],[Part Number]],Table3[Part number],Table3[Drawing
 Revision]),"")</f>
        <v>0</v>
      </c>
      <c r="H2056" s="118" cm="1">
        <f t="array" ref="H2056">IFERROR(INDEX(PDB!$C:$AT,MATCH(E2056,PDB!$B:$B,0),MATCH(YEAR(K2056),0+PDB!$C$1:$AT$1,0)),"")</f>
        <v>3.56</v>
      </c>
      <c r="I2056" s="36">
        <v>100</v>
      </c>
      <c r="J2056" s="125">
        <f>IFERROR(Table1[[#This Row],[Quantity]]*Table1[[#This Row],[Price/Unit
EUR]]," ")</f>
        <v>356</v>
      </c>
      <c r="K2056" s="126">
        <v>45498</v>
      </c>
      <c r="L2056" s="36">
        <f>WEEKNUM(Table1[[#This Row],[ETA
As requested
dd.mm.yyyy]])</f>
        <v>30</v>
      </c>
      <c r="M2056" s="36">
        <f>YEAR(Table1[[#This Row],[ETA
As requested
dd.mm.yyyy]])</f>
        <v>2024</v>
      </c>
      <c r="N2056" s="36">
        <f>IFERROR(INDEX(DATABASE_FG!$H$5:$H$367, MATCH(E2056, DATABASE_FG!$C$5:$C$367, 0)), " ")</f>
        <v>0</v>
      </c>
      <c r="O2056" s="129" t="str">
        <f>IF(E2056&lt;&gt;"", _xlfn.XLOOKUP(E2056, DATABASE_FG!C:C, DATABASE_FG!F:F), " ")</f>
        <v>Ghidaje</v>
      </c>
      <c r="P2056" s="36">
        <f>IFERROR(INDEX(DATABASE_FG!$G$5:$G$367, MATCH(E2056, DATABASE_FG!$C$5:$C$367, 0)), "Not Found")</f>
        <v>0</v>
      </c>
      <c r="Q2056" s="36"/>
      <c r="R2056" s="125" t="s">
        <v>678</v>
      </c>
      <c r="S2056" s="123">
        <f>IFERROR(INDEX(DATABASE_FG!$L$5:$L$367, MATCH(E2056, DATABASE_FG!$C$5:$C$367, 0)), " ")</f>
        <v>42</v>
      </c>
      <c r="T2056" s="36" t="s">
        <v>679</v>
      </c>
      <c r="U2056" s="36"/>
      <c r="V2056" s="36"/>
      <c r="W2056" s="129"/>
      <c r="X2056" s="36"/>
      <c r="Y2056" s="36"/>
      <c r="Z2056" s="36"/>
      <c r="AA2056" s="125" t="s">
        <v>121</v>
      </c>
      <c r="AB2056" s="172">
        <v>45506</v>
      </c>
      <c r="AC2056" s="119">
        <v>2024971</v>
      </c>
      <c r="AD2056" s="36">
        <f t="shared" si="230"/>
        <v>37069213</v>
      </c>
      <c r="AE2056" s="36" t="str">
        <f t="shared" si="231"/>
        <v>TK.KWVE15-B-A-ESC-0038-WW1</v>
      </c>
      <c r="AF2056" s="36">
        <v>43</v>
      </c>
      <c r="AG2056" s="120">
        <f t="shared" si="239"/>
        <v>153.08000000000001</v>
      </c>
      <c r="AH2056" s="36"/>
      <c r="AI2056" s="124"/>
      <c r="AJ2056" s="122" t="s">
        <v>1856</v>
      </c>
      <c r="AK2056" s="129" t="str">
        <f t="shared" ca="1" si="238"/>
        <v>Late</v>
      </c>
      <c r="AL2056" s="268" t="str">
        <f t="shared" si="237"/>
        <v>July</v>
      </c>
      <c r="AM2056" s="133">
        <f>YEAR(Table1[[#This Row],[ETA
As requested
dd.mm.yyyy]])</f>
        <v>2024</v>
      </c>
    </row>
    <row r="2057" spans="1:39" hidden="1">
      <c r="A2057" s="123" t="s">
        <v>83</v>
      </c>
      <c r="B2057" s="36" t="s">
        <v>1170</v>
      </c>
      <c r="C2057" s="117">
        <v>37069213</v>
      </c>
      <c r="D2057" s="165">
        <v>45471</v>
      </c>
      <c r="E2057" s="117" t="s">
        <v>99</v>
      </c>
      <c r="F2057" s="36" t="str">
        <f>IFERROR(VLOOKUP(Table1[[#This Row],[Part Number]],DATABASE_FG!$C$6:D12046,2,FALSE)," ")</f>
        <v xml:space="preserve">054380529-8011 </v>
      </c>
      <c r="G2057" s="117">
        <f>IFERROR(_xlfn.XLOOKUP(Table1[[#This Row],[Part Number]],Table3[Part number],Table3[Drawing
 Revision]),"")</f>
        <v>0</v>
      </c>
      <c r="H2057" s="118" cm="1">
        <f t="array" ref="H2057">IFERROR(INDEX(PDB!$C:$AT,MATCH(E2057,PDB!$B:$B,0),MATCH(YEAR(K2057),0+PDB!$C$1:$AT$1,0)),"")</f>
        <v>3.56</v>
      </c>
      <c r="I2057" s="36"/>
      <c r="J2057" s="125">
        <f>IFERROR(Table1[[#This Row],[Quantity]]*Table1[[#This Row],[Price/Unit
EUR]]," ")</f>
        <v>0</v>
      </c>
      <c r="K2057" s="126">
        <v>45498</v>
      </c>
      <c r="L2057" s="36">
        <f>WEEKNUM(Table1[[#This Row],[ETA
As requested
dd.mm.yyyy]])</f>
        <v>30</v>
      </c>
      <c r="M2057" s="36">
        <f>YEAR(Table1[[#This Row],[ETA
As requested
dd.mm.yyyy]])</f>
        <v>2024</v>
      </c>
      <c r="N2057" s="36">
        <f>IFERROR(INDEX(DATABASE_FG!$H$5:$H$367, MATCH(E2057, DATABASE_FG!$C$5:$C$367, 0)), " ")</f>
        <v>0</v>
      </c>
      <c r="O2057" s="129" t="str">
        <f>IF(E2057&lt;&gt;"", _xlfn.XLOOKUP(E2057, DATABASE_FG!C:C, DATABASE_FG!F:F), " ")</f>
        <v>Ghidaje</v>
      </c>
      <c r="P2057" s="36">
        <f>IFERROR(INDEX(DATABASE_FG!$G$5:$G$367, MATCH(E2057, DATABASE_FG!$C$5:$C$367, 0)), "Not Found")</f>
        <v>0</v>
      </c>
      <c r="Q2057" s="36"/>
      <c r="R2057" s="125" t="s">
        <v>678</v>
      </c>
      <c r="S2057" s="123">
        <f>Table1[[#This Row],[Quantity]]/48</f>
        <v>0</v>
      </c>
      <c r="T2057" s="36"/>
      <c r="U2057" s="36"/>
      <c r="V2057" s="36"/>
      <c r="W2057" s="129"/>
      <c r="X2057" s="36"/>
      <c r="Y2057" s="36"/>
      <c r="Z2057" s="36"/>
      <c r="AA2057" s="125" t="s">
        <v>121</v>
      </c>
      <c r="AB2057" s="172">
        <v>45509</v>
      </c>
      <c r="AC2057" s="119">
        <v>2024981</v>
      </c>
      <c r="AD2057" s="36">
        <f t="shared" si="230"/>
        <v>37069213</v>
      </c>
      <c r="AE2057" s="36" t="str">
        <f t="shared" si="231"/>
        <v>TK.KWVE15-B-A-ESC-0038-WW1</v>
      </c>
      <c r="AF2057" s="36">
        <v>57</v>
      </c>
      <c r="AG2057" s="120">
        <f t="shared" si="239"/>
        <v>202.92000000000002</v>
      </c>
      <c r="AH2057" s="36"/>
      <c r="AI2057" s="124"/>
      <c r="AJ2057" s="122" t="s">
        <v>1867</v>
      </c>
      <c r="AK2057" s="129" t="str">
        <f t="shared" ca="1" si="238"/>
        <v>Late</v>
      </c>
      <c r="AL2057" s="268" t="str">
        <f t="shared" si="237"/>
        <v>July</v>
      </c>
      <c r="AM2057" s="133">
        <f>YEAR(Table1[[#This Row],[ETA
As requested
dd.mm.yyyy]])</f>
        <v>2024</v>
      </c>
    </row>
    <row r="2058" spans="1:39" hidden="1">
      <c r="A2058" s="123" t="s">
        <v>83</v>
      </c>
      <c r="B2058" s="36" t="s">
        <v>1170</v>
      </c>
      <c r="C2058" s="117">
        <v>37069230</v>
      </c>
      <c r="D2058" s="165">
        <v>45471</v>
      </c>
      <c r="E2058" s="117" t="s">
        <v>99</v>
      </c>
      <c r="F2058" s="36" t="str">
        <f>IFERROR(VLOOKUP(Table1[[#This Row],[Part Number]],DATABASE_FG!$C$6:D12047,2,FALSE)," ")</f>
        <v xml:space="preserve">054380529-8011 </v>
      </c>
      <c r="G2058" s="117">
        <f>IFERROR(_xlfn.XLOOKUP(Table1[[#This Row],[Part Number]],Table3[Part number],Table3[Drawing
 Revision]),"")</f>
        <v>0</v>
      </c>
      <c r="H2058" s="118" cm="1">
        <f t="array" ref="H2058">IFERROR(INDEX(PDB!$C:$AT,MATCH(E2058,PDB!$B:$B,0),MATCH(YEAR(K2058),0+PDB!$C$1:$AT$1,0)),"")</f>
        <v>3.56</v>
      </c>
      <c r="I2058" s="36">
        <v>100</v>
      </c>
      <c r="J2058" s="125">
        <f>IFERROR(Table1[[#This Row],[Quantity]]*Table1[[#This Row],[Price/Unit
EUR]]," ")</f>
        <v>356</v>
      </c>
      <c r="K2058" s="126">
        <v>45503</v>
      </c>
      <c r="L2058" s="36">
        <f>WEEKNUM(Table1[[#This Row],[ETA
As requested
dd.mm.yyyy]])</f>
        <v>31</v>
      </c>
      <c r="M2058" s="36">
        <f>YEAR(Table1[[#This Row],[ETA
As requested
dd.mm.yyyy]])</f>
        <v>2024</v>
      </c>
      <c r="N2058" s="36">
        <f>IFERROR(INDEX(DATABASE_FG!$H$5:$H$367, MATCH(E2058, DATABASE_FG!$C$5:$C$367, 0)), " ")</f>
        <v>0</v>
      </c>
      <c r="O2058" s="129" t="str">
        <f>IF(E2058&lt;&gt;"", _xlfn.XLOOKUP(E2058, DATABASE_FG!C:C, DATABASE_FG!F:F), " ")</f>
        <v>Ghidaje</v>
      </c>
      <c r="P2058" s="36">
        <f>IFERROR(INDEX(DATABASE_FG!$G$5:$G$367, MATCH(E2058, DATABASE_FG!$C$5:$C$367, 0)), "Not Found")</f>
        <v>0</v>
      </c>
      <c r="Q2058" s="36"/>
      <c r="R2058" s="125" t="s">
        <v>678</v>
      </c>
      <c r="S2058" s="123">
        <f>IFERROR(INDEX(DATABASE_FG!$L$5:$L$367, MATCH(E2058, DATABASE_FG!$C$5:$C$367, 0)), " ")</f>
        <v>42</v>
      </c>
      <c r="T2058" s="36" t="s">
        <v>679</v>
      </c>
      <c r="U2058" s="36"/>
      <c r="V2058" s="36"/>
      <c r="W2058" s="129"/>
      <c r="X2058" s="36"/>
      <c r="Y2058" s="36"/>
      <c r="Z2058" s="36"/>
      <c r="AA2058" s="125" t="s">
        <v>121</v>
      </c>
      <c r="AB2058" s="172">
        <v>45509</v>
      </c>
      <c r="AC2058" s="119">
        <v>2024982</v>
      </c>
      <c r="AD2058" s="36">
        <f t="shared" ref="AD2058:AD2121" si="240">IF(NOT(ISBLANK(AC2058)), C2058, "")</f>
        <v>37069230</v>
      </c>
      <c r="AE2058" s="36" t="str">
        <f t="shared" si="231"/>
        <v>TK.KWVE15-B-A-ESC-0038-WW1</v>
      </c>
      <c r="AF2058" s="36">
        <v>46</v>
      </c>
      <c r="AG2058" s="120">
        <f t="shared" si="239"/>
        <v>163.76</v>
      </c>
      <c r="AH2058" s="36"/>
      <c r="AI2058" s="124"/>
      <c r="AJ2058" s="122" t="s">
        <v>1888</v>
      </c>
      <c r="AK2058" s="129" t="str">
        <f t="shared" ca="1" si="238"/>
        <v>Late</v>
      </c>
      <c r="AL2058" s="268" t="str">
        <f t="shared" si="237"/>
        <v>July</v>
      </c>
      <c r="AM2058" s="133">
        <f>YEAR(Table1[[#This Row],[ETA
As requested
dd.mm.yyyy]])</f>
        <v>2024</v>
      </c>
    </row>
    <row r="2059" spans="1:39" hidden="1">
      <c r="A2059" s="123" t="s">
        <v>83</v>
      </c>
      <c r="B2059" s="36" t="s">
        <v>1170</v>
      </c>
      <c r="C2059" s="117">
        <v>37069230</v>
      </c>
      <c r="D2059" s="165">
        <v>45471</v>
      </c>
      <c r="E2059" s="117" t="s">
        <v>99</v>
      </c>
      <c r="F2059" s="36" t="str">
        <f>IFERROR(VLOOKUP(Table1[[#This Row],[Part Number]],DATABASE_FG!$C$6:D12048,2,FALSE)," ")</f>
        <v xml:space="preserve">054380529-8011 </v>
      </c>
      <c r="G2059" s="117">
        <f>IFERROR(_xlfn.XLOOKUP(Table1[[#This Row],[Part Number]],Table3[Part number],Table3[Drawing
 Revision]),"")</f>
        <v>0</v>
      </c>
      <c r="H2059" s="118" cm="1">
        <f t="array" ref="H2059">IFERROR(INDEX(PDB!$C:$AT,MATCH(E2059,PDB!$B:$B,0),MATCH(YEAR(K2059),0+PDB!$C$1:$AT$1,0)),"")</f>
        <v>3.56</v>
      </c>
      <c r="I2059" s="36"/>
      <c r="J2059" s="125">
        <f>IFERROR(Table1[[#This Row],[Quantity]]*Table1[[#This Row],[Price/Unit
EUR]]," ")</f>
        <v>0</v>
      </c>
      <c r="K2059" s="126">
        <v>45503</v>
      </c>
      <c r="L2059" s="36">
        <f>WEEKNUM(Table1[[#This Row],[ETA
As requested
dd.mm.yyyy]])</f>
        <v>31</v>
      </c>
      <c r="M2059" s="36">
        <f>YEAR(Table1[[#This Row],[ETA
As requested
dd.mm.yyyy]])</f>
        <v>2024</v>
      </c>
      <c r="N2059" s="36">
        <f>IFERROR(INDEX(DATABASE_FG!$H$5:$H$367, MATCH(E2059, DATABASE_FG!$C$5:$C$367, 0)), " ")</f>
        <v>0</v>
      </c>
      <c r="O2059" s="129" t="str">
        <f>IF(E2059&lt;&gt;"", _xlfn.XLOOKUP(E2059, DATABASE_FG!C:C, DATABASE_FG!F:F), " ")</f>
        <v>Ghidaje</v>
      </c>
      <c r="P2059" s="36">
        <f>IFERROR(INDEX(DATABASE_FG!$G$5:$G$367, MATCH(E2059, DATABASE_FG!$C$5:$C$367, 0)), "Not Found")</f>
        <v>0</v>
      </c>
      <c r="Q2059" s="36"/>
      <c r="R2059" s="125" t="s">
        <v>678</v>
      </c>
      <c r="S2059" s="123">
        <f>Table1[[#This Row],[Quantity]]/48</f>
        <v>0</v>
      </c>
      <c r="T2059" s="36" t="s">
        <v>679</v>
      </c>
      <c r="U2059" s="36"/>
      <c r="V2059" s="36"/>
      <c r="W2059" s="129"/>
      <c r="X2059" s="36"/>
      <c r="Y2059" s="36"/>
      <c r="Z2059" s="36"/>
      <c r="AA2059" s="125" t="s">
        <v>121</v>
      </c>
      <c r="AB2059" s="172">
        <v>45510</v>
      </c>
      <c r="AC2059" s="119">
        <v>2024988</v>
      </c>
      <c r="AD2059" s="36">
        <f t="shared" si="240"/>
        <v>37069230</v>
      </c>
      <c r="AE2059" s="36" t="str">
        <f t="shared" si="231"/>
        <v>TK.KWVE15-B-A-ESC-0038-WW1</v>
      </c>
      <c r="AF2059" s="36">
        <v>54</v>
      </c>
      <c r="AG2059" s="120">
        <f t="shared" si="239"/>
        <v>192.24</v>
      </c>
      <c r="AH2059" s="36"/>
      <c r="AI2059" s="124"/>
      <c r="AJ2059" s="122" t="s">
        <v>1889</v>
      </c>
      <c r="AK2059" s="129" t="str">
        <f t="shared" ca="1" si="238"/>
        <v>Late</v>
      </c>
      <c r="AL2059" s="268" t="str">
        <f t="shared" si="237"/>
        <v>July</v>
      </c>
      <c r="AM2059" s="133">
        <f>YEAR(Table1[[#This Row],[ETA
As requested
dd.mm.yyyy]])</f>
        <v>2024</v>
      </c>
    </row>
    <row r="2060" spans="1:39" hidden="1">
      <c r="A2060" s="123" t="s">
        <v>83</v>
      </c>
      <c r="B2060" s="36" t="s">
        <v>1170</v>
      </c>
      <c r="C2060" s="117">
        <v>37069230</v>
      </c>
      <c r="D2060" s="165">
        <v>45471</v>
      </c>
      <c r="E2060" s="117" t="s">
        <v>99</v>
      </c>
      <c r="F2060" s="36" t="str">
        <f>IFERROR(VLOOKUP(Table1[[#This Row],[Part Number]],DATABASE_FG!$C$6:D12049,2,FALSE)," ")</f>
        <v xml:space="preserve">054380529-8011 </v>
      </c>
      <c r="G2060" s="117">
        <f>IFERROR(_xlfn.XLOOKUP(Table1[[#This Row],[Part Number]],Table3[Part number],Table3[Drawing
 Revision]),"")</f>
        <v>0</v>
      </c>
      <c r="H2060" s="118" cm="1">
        <f t="array" ref="H2060">IFERROR(INDEX(PDB!$C:$AT,MATCH(E2060,PDB!$B:$B,0),MATCH(YEAR(K2060),0+PDB!$C$1:$AT$1,0)),"")</f>
        <v>3.56</v>
      </c>
      <c r="I2060" s="36">
        <v>100</v>
      </c>
      <c r="J2060" s="125">
        <f>IFERROR(Table1[[#This Row],[Quantity]]*Table1[[#This Row],[Price/Unit
EUR]]," ")</f>
        <v>356</v>
      </c>
      <c r="K2060" s="126">
        <v>45504</v>
      </c>
      <c r="L2060" s="36">
        <f>WEEKNUM(Table1[[#This Row],[ETA
As requested
dd.mm.yyyy]])</f>
        <v>31</v>
      </c>
      <c r="M2060" s="36">
        <f>YEAR(Table1[[#This Row],[ETA
As requested
dd.mm.yyyy]])</f>
        <v>2024</v>
      </c>
      <c r="N2060" s="36">
        <f>IFERROR(INDEX(DATABASE_FG!$H$5:$H$367, MATCH(E2060, DATABASE_FG!$C$5:$C$367, 0)), " ")</f>
        <v>0</v>
      </c>
      <c r="O2060" s="129" t="str">
        <f>IF(E2060&lt;&gt;"", _xlfn.XLOOKUP(E2060, DATABASE_FG!C:C, DATABASE_FG!F:F), " ")</f>
        <v>Ghidaje</v>
      </c>
      <c r="P2060" s="36">
        <f>IFERROR(INDEX(DATABASE_FG!$G$5:$G$367, MATCH(E2060, DATABASE_FG!$C$5:$C$367, 0)), "Not Found")</f>
        <v>0</v>
      </c>
      <c r="Q2060" s="36"/>
      <c r="R2060" s="125" t="s">
        <v>678</v>
      </c>
      <c r="S2060" s="123">
        <f>IFERROR(INDEX(DATABASE_FG!$L$5:$L$367, MATCH(E2060, DATABASE_FG!$C$5:$C$367, 0)), " ")</f>
        <v>42</v>
      </c>
      <c r="T2060" s="36" t="s">
        <v>679</v>
      </c>
      <c r="U2060" s="36"/>
      <c r="V2060" s="36"/>
      <c r="W2060" s="129"/>
      <c r="X2060" s="36"/>
      <c r="Y2060" s="36"/>
      <c r="Z2060" s="36"/>
      <c r="AA2060" s="125" t="s">
        <v>121</v>
      </c>
      <c r="AB2060" s="172">
        <v>45510</v>
      </c>
      <c r="AC2060" s="119">
        <v>2024988</v>
      </c>
      <c r="AD2060" s="36">
        <f t="shared" si="240"/>
        <v>37069230</v>
      </c>
      <c r="AE2060" s="36" t="str">
        <f t="shared" ref="AE2060:AE2123" si="241">IF(NOT(ISBLANK(AC2060)), E2060, "")</f>
        <v>TK.KWVE15-B-A-ESC-0038-WW1</v>
      </c>
      <c r="AF2060" s="36">
        <f>89-54</f>
        <v>35</v>
      </c>
      <c r="AG2060" s="120">
        <f t="shared" si="239"/>
        <v>124.60000000000001</v>
      </c>
      <c r="AH2060" s="36"/>
      <c r="AI2060" s="124"/>
      <c r="AJ2060" s="122" t="s">
        <v>1889</v>
      </c>
      <c r="AK2060" s="129" t="str">
        <f t="shared" ca="1" si="238"/>
        <v>Late</v>
      </c>
      <c r="AL2060" s="268" t="str">
        <f t="shared" si="237"/>
        <v>July</v>
      </c>
      <c r="AM2060" s="133">
        <f>YEAR(Table1[[#This Row],[ETA
As requested
dd.mm.yyyy]])</f>
        <v>2024</v>
      </c>
    </row>
    <row r="2061" spans="1:39" hidden="1">
      <c r="A2061" s="123" t="s">
        <v>83</v>
      </c>
      <c r="B2061" s="36" t="s">
        <v>1170</v>
      </c>
      <c r="C2061" s="117">
        <v>37069230</v>
      </c>
      <c r="D2061" s="165">
        <v>45471</v>
      </c>
      <c r="E2061" s="117" t="s">
        <v>99</v>
      </c>
      <c r="F2061" s="36" t="str">
        <f>IFERROR(VLOOKUP(Table1[[#This Row],[Part Number]],DATABASE_FG!$C$6:D12050,2,FALSE)," ")</f>
        <v xml:space="preserve">054380529-8011 </v>
      </c>
      <c r="G2061" s="117">
        <f>IFERROR(_xlfn.XLOOKUP(Table1[[#This Row],[Part Number]],Table3[Part number],Table3[Drawing
 Revision]),"")</f>
        <v>0</v>
      </c>
      <c r="H2061" s="118" cm="1">
        <f t="array" ref="H2061">IFERROR(INDEX(PDB!$C:$AT,MATCH(E2061,PDB!$B:$B,0),MATCH(YEAR(K2061),0+PDB!$C$1:$AT$1,0)),"")</f>
        <v>3.56</v>
      </c>
      <c r="I2061" s="36"/>
      <c r="J2061" s="125">
        <f>IFERROR(Table1[[#This Row],[Quantity]]*Table1[[#This Row],[Price/Unit
EUR]]," ")</f>
        <v>0</v>
      </c>
      <c r="K2061" s="126">
        <v>45504</v>
      </c>
      <c r="L2061" s="36">
        <f>WEEKNUM(Table1[[#This Row],[ETA
As requested
dd.mm.yyyy]])</f>
        <v>31</v>
      </c>
      <c r="M2061" s="36">
        <f>YEAR(Table1[[#This Row],[ETA
As requested
dd.mm.yyyy]])</f>
        <v>2024</v>
      </c>
      <c r="N2061" s="36">
        <f>IFERROR(INDEX(DATABASE_FG!$H$5:$H$367, MATCH(E2061, DATABASE_FG!$C$5:$C$367, 0)), " ")</f>
        <v>0</v>
      </c>
      <c r="O2061" s="129" t="str">
        <f>IF(E2061&lt;&gt;"", _xlfn.XLOOKUP(E2061, DATABASE_FG!C:C, DATABASE_FG!F:F), " ")</f>
        <v>Ghidaje</v>
      </c>
      <c r="P2061" s="36">
        <f>IFERROR(INDEX(DATABASE_FG!$G$5:$G$367, MATCH(E2061, DATABASE_FG!$C$5:$C$367, 0)), "Not Found")</f>
        <v>0</v>
      </c>
      <c r="Q2061" s="36"/>
      <c r="R2061" s="125" t="s">
        <v>678</v>
      </c>
      <c r="S2061" s="123">
        <f>Table1[[#This Row],[Quantity]]/48</f>
        <v>0</v>
      </c>
      <c r="T2061" s="36"/>
      <c r="U2061" s="36"/>
      <c r="V2061" s="36"/>
      <c r="W2061" s="129"/>
      <c r="X2061" s="36"/>
      <c r="Y2061" s="36"/>
      <c r="Z2061" s="36"/>
      <c r="AA2061" s="125" t="s">
        <v>121</v>
      </c>
      <c r="AB2061" s="172">
        <v>45511</v>
      </c>
      <c r="AC2061" s="119">
        <v>2024992</v>
      </c>
      <c r="AD2061" s="36">
        <f t="shared" si="240"/>
        <v>37069230</v>
      </c>
      <c r="AE2061" s="36" t="str">
        <f t="shared" si="241"/>
        <v>TK.KWVE15-B-A-ESC-0038-WW1</v>
      </c>
      <c r="AF2061" s="36">
        <v>65</v>
      </c>
      <c r="AG2061" s="120">
        <f t="shared" si="239"/>
        <v>231.4</v>
      </c>
      <c r="AH2061" s="36"/>
      <c r="AI2061" s="124"/>
      <c r="AJ2061" s="122" t="s">
        <v>1896</v>
      </c>
      <c r="AK2061" s="129" t="str">
        <f t="shared" ca="1" si="238"/>
        <v>Late</v>
      </c>
      <c r="AL2061" s="268" t="str">
        <f t="shared" si="237"/>
        <v>July</v>
      </c>
      <c r="AM2061" s="133">
        <f>YEAR(Table1[[#This Row],[ETA
As requested
dd.mm.yyyy]])</f>
        <v>2024</v>
      </c>
    </row>
    <row r="2062" spans="1:39" hidden="1">
      <c r="A2062" s="123" t="s">
        <v>83</v>
      </c>
      <c r="B2062" s="36" t="s">
        <v>1170</v>
      </c>
      <c r="C2062" s="117">
        <v>37327340</v>
      </c>
      <c r="D2062" s="165">
        <v>45497</v>
      </c>
      <c r="E2062" s="117" t="s">
        <v>99</v>
      </c>
      <c r="F2062" s="36" t="str">
        <f>IFERROR(VLOOKUP(Table1[[#This Row],[Part Number]],DATABASE_FG!$C$6:D12051,2,FALSE)," ")</f>
        <v xml:space="preserve">054380529-8011 </v>
      </c>
      <c r="G2062" s="117">
        <f>IFERROR(_xlfn.XLOOKUP(Table1[[#This Row],[Part Number]],Table3[Part number],Table3[Drawing
 Revision]),"")</f>
        <v>0</v>
      </c>
      <c r="H2062" s="118" cm="1">
        <f t="array" ref="H2062">IFERROR(INDEX(PDB!$C:$AT,MATCH(E2062,PDB!$B:$B,0),MATCH(YEAR(K2062),0+PDB!$C$1:$AT$1,0)),"")</f>
        <v>3.56</v>
      </c>
      <c r="I2062" s="36">
        <v>100</v>
      </c>
      <c r="J2062" s="125">
        <f>IFERROR(Table1[[#This Row],[Quantity]]*Table1[[#This Row],[Price/Unit
EUR]]," ")</f>
        <v>356</v>
      </c>
      <c r="K2062" s="126">
        <v>45510</v>
      </c>
      <c r="L2062" s="36">
        <f>WEEKNUM(Table1[[#This Row],[ETA
As requested
dd.mm.yyyy]])</f>
        <v>32</v>
      </c>
      <c r="M2062" s="36">
        <f>YEAR(Table1[[#This Row],[ETA
As requested
dd.mm.yyyy]])</f>
        <v>2024</v>
      </c>
      <c r="N2062" s="36">
        <f>IFERROR(INDEX(DATABASE_FG!$H$5:$H$367, MATCH(E2062, DATABASE_FG!$C$5:$C$367, 0)), " ")</f>
        <v>0</v>
      </c>
      <c r="O2062" s="129" t="str">
        <f>IF(E2062&lt;&gt;"", _xlfn.XLOOKUP(E2062, DATABASE_FG!C:C, DATABASE_FG!F:F), " ")</f>
        <v>Ghidaje</v>
      </c>
      <c r="P2062" s="36">
        <f>IFERROR(INDEX(DATABASE_FG!$G$5:$G$367, MATCH(E2062, DATABASE_FG!$C$5:$C$367, 0)), "Not Found")</f>
        <v>0</v>
      </c>
      <c r="Q2062" s="36"/>
      <c r="R2062" s="125" t="s">
        <v>678</v>
      </c>
      <c r="S2062" s="123">
        <f>IFERROR(INDEX(DATABASE_FG!$L$5:$L$367, MATCH(E2062, DATABASE_FG!$C$5:$C$367, 0)), " ")</f>
        <v>42</v>
      </c>
      <c r="T2062" s="36" t="s">
        <v>679</v>
      </c>
      <c r="U2062" s="36"/>
      <c r="V2062" s="36"/>
      <c r="W2062" s="129"/>
      <c r="X2062" s="36"/>
      <c r="Y2062" s="36"/>
      <c r="Z2062" s="36"/>
      <c r="AA2062" s="125" t="s">
        <v>121</v>
      </c>
      <c r="AB2062" s="172">
        <v>45511</v>
      </c>
      <c r="AC2062" s="119">
        <v>2024994</v>
      </c>
      <c r="AD2062" s="36">
        <f t="shared" si="240"/>
        <v>37327340</v>
      </c>
      <c r="AE2062" s="36" t="str">
        <f t="shared" si="241"/>
        <v>TK.KWVE15-B-A-ESC-0038-WW1</v>
      </c>
      <c r="AF2062" s="36">
        <f>115-28-65</f>
        <v>22</v>
      </c>
      <c r="AG2062" s="120">
        <f t="shared" si="239"/>
        <v>78.320000000000007</v>
      </c>
      <c r="AH2062" s="36"/>
      <c r="AI2062" s="124"/>
      <c r="AJ2062" s="122" t="s">
        <v>1909</v>
      </c>
      <c r="AK2062" s="129" t="str">
        <f t="shared" ca="1" si="238"/>
        <v>On Time</v>
      </c>
      <c r="AL2062" s="268" t="str">
        <f t="shared" si="237"/>
        <v>August</v>
      </c>
      <c r="AM2062" s="133">
        <f>YEAR(Table1[[#This Row],[ETA
As requested
dd.mm.yyyy]])</f>
        <v>2024</v>
      </c>
    </row>
    <row r="2063" spans="1:39" hidden="1">
      <c r="A2063" s="123" t="s">
        <v>83</v>
      </c>
      <c r="B2063" s="36" t="s">
        <v>1170</v>
      </c>
      <c r="C2063" s="117">
        <v>37327340</v>
      </c>
      <c r="D2063" s="165">
        <v>45497</v>
      </c>
      <c r="E2063" s="117" t="s">
        <v>99</v>
      </c>
      <c r="F2063" s="36" t="str">
        <f>IFERROR(VLOOKUP(Table1[[#This Row],[Part Number]],DATABASE_FG!$C$6:D12052,2,FALSE)," ")</f>
        <v xml:space="preserve">054380529-8011 </v>
      </c>
      <c r="G2063" s="117">
        <f>IFERROR(_xlfn.XLOOKUP(Table1[[#This Row],[Part Number]],Table3[Part number],Table3[Drawing
 Revision]),"")</f>
        <v>0</v>
      </c>
      <c r="H2063" s="118" cm="1">
        <f t="array" ref="H2063">IFERROR(INDEX(PDB!$C:$AT,MATCH(E2063,PDB!$B:$B,0),MATCH(YEAR(K2063),0+PDB!$C$1:$AT$1,0)),"")</f>
        <v>3.56</v>
      </c>
      <c r="I2063" s="36"/>
      <c r="J2063" s="125">
        <f>IFERROR(Table1[[#This Row],[Quantity]]*Table1[[#This Row],[Price/Unit
EUR]]," ")</f>
        <v>0</v>
      </c>
      <c r="K2063" s="126">
        <v>45511</v>
      </c>
      <c r="L2063" s="36">
        <f>WEEKNUM(Table1[[#This Row],[ETA
As requested
dd.mm.yyyy]])</f>
        <v>32</v>
      </c>
      <c r="M2063" s="36">
        <f>YEAR(Table1[[#This Row],[ETA
As requested
dd.mm.yyyy]])</f>
        <v>2024</v>
      </c>
      <c r="N2063" s="36">
        <f>IFERROR(INDEX(DATABASE_FG!$H$5:$H$367, MATCH(E2063, DATABASE_FG!$C$5:$C$367, 0)), " ")</f>
        <v>0</v>
      </c>
      <c r="O2063" s="129" t="str">
        <f>IF(E2063&lt;&gt;"", _xlfn.XLOOKUP(E2063, DATABASE_FG!C:C, DATABASE_FG!F:F), " ")</f>
        <v>Ghidaje</v>
      </c>
      <c r="P2063" s="36">
        <f>IFERROR(INDEX(DATABASE_FG!$G$5:$G$367, MATCH(E2063, DATABASE_FG!$C$5:$C$367, 0)), "Not Found")</f>
        <v>0</v>
      </c>
      <c r="Q2063" s="36"/>
      <c r="R2063" s="125" t="s">
        <v>678</v>
      </c>
      <c r="S2063" s="123">
        <f>Table1[[#This Row],[Quantity]]/48</f>
        <v>0</v>
      </c>
      <c r="T2063" s="36"/>
      <c r="U2063" s="36"/>
      <c r="V2063" s="36"/>
      <c r="W2063" s="129"/>
      <c r="X2063" s="36"/>
      <c r="Y2063" s="36"/>
      <c r="Z2063" s="36"/>
      <c r="AA2063" s="125" t="s">
        <v>121</v>
      </c>
      <c r="AB2063" s="173">
        <v>45512</v>
      </c>
      <c r="AC2063" s="119">
        <v>20241004</v>
      </c>
      <c r="AD2063" s="36">
        <f t="shared" si="240"/>
        <v>37327340</v>
      </c>
      <c r="AE2063" s="36" t="str">
        <f t="shared" si="241"/>
        <v>TK.KWVE15-B-A-ESC-0038-WW1</v>
      </c>
      <c r="AF2063" s="36">
        <v>73</v>
      </c>
      <c r="AG2063" s="120">
        <f t="shared" si="239"/>
        <v>259.88</v>
      </c>
      <c r="AH2063" s="36"/>
      <c r="AI2063" s="124"/>
      <c r="AJ2063" s="122" t="s">
        <v>1920</v>
      </c>
      <c r="AK2063" s="129" t="str">
        <f t="shared" ca="1" si="238"/>
        <v>On Time</v>
      </c>
      <c r="AL2063" s="268" t="str">
        <f t="shared" si="237"/>
        <v>August</v>
      </c>
      <c r="AM2063" s="133">
        <f>YEAR(Table1[[#This Row],[ETA
As requested
dd.mm.yyyy]])</f>
        <v>2024</v>
      </c>
    </row>
    <row r="2064" spans="1:39" hidden="1">
      <c r="A2064" s="123" t="s">
        <v>83</v>
      </c>
      <c r="B2064" s="36" t="s">
        <v>1170</v>
      </c>
      <c r="C2064" s="117">
        <v>37327340</v>
      </c>
      <c r="D2064" s="165">
        <v>45497</v>
      </c>
      <c r="E2064" s="117" t="s">
        <v>99</v>
      </c>
      <c r="F2064" s="36" t="str">
        <f>IFERROR(VLOOKUP(Table1[[#This Row],[Part Number]],DATABASE_FG!$C$6:D12053,2,FALSE)," ")</f>
        <v xml:space="preserve">054380529-8011 </v>
      </c>
      <c r="G2064" s="117">
        <f>IFERROR(_xlfn.XLOOKUP(Table1[[#This Row],[Part Number]],Table3[Part number],Table3[Drawing
 Revision]),"")</f>
        <v>0</v>
      </c>
      <c r="H2064" s="118" cm="1">
        <f t="array" ref="H2064">IFERROR(INDEX(PDB!$C:$AT,MATCH(E2064,PDB!$B:$B,0),MATCH(YEAR(K2064),0+PDB!$C$1:$AT$1,0)),"")</f>
        <v>3.56</v>
      </c>
      <c r="I2064" s="36"/>
      <c r="J2064" s="125">
        <f>IFERROR(Table1[[#This Row],[Quantity]]*Table1[[#This Row],[Price/Unit
EUR]]," ")</f>
        <v>0</v>
      </c>
      <c r="K2064" s="126">
        <v>45512</v>
      </c>
      <c r="L2064" s="36">
        <f>WEEKNUM(Table1[[#This Row],[ETA
As requested
dd.mm.yyyy]])</f>
        <v>32</v>
      </c>
      <c r="M2064" s="36">
        <f>YEAR(Table1[[#This Row],[ETA
As requested
dd.mm.yyyy]])</f>
        <v>2024</v>
      </c>
      <c r="N2064" s="36">
        <f>IFERROR(INDEX(DATABASE_FG!$H$5:$H$367, MATCH(E2064, DATABASE_FG!$C$5:$C$367, 0)), " ")</f>
        <v>0</v>
      </c>
      <c r="O2064" s="129" t="str">
        <f>IF(E2064&lt;&gt;"", _xlfn.XLOOKUP(E2064, DATABASE_FG!C:C, DATABASE_FG!F:F), " ")</f>
        <v>Ghidaje</v>
      </c>
      <c r="P2064" s="36">
        <f>IFERROR(INDEX(DATABASE_FG!$G$5:$G$367, MATCH(E2064, DATABASE_FG!$C$5:$C$367, 0)), "Not Found")</f>
        <v>0</v>
      </c>
      <c r="Q2064" s="36"/>
      <c r="R2064" s="125" t="s">
        <v>678</v>
      </c>
      <c r="S2064" s="123">
        <f>Table1[[#This Row],[Quantity]]/48</f>
        <v>0</v>
      </c>
      <c r="T2064" s="36"/>
      <c r="U2064" s="36"/>
      <c r="V2064" s="36"/>
      <c r="W2064" s="129"/>
      <c r="X2064" s="36"/>
      <c r="Y2064" s="36"/>
      <c r="Z2064" s="36"/>
      <c r="AA2064" s="125" t="s">
        <v>121</v>
      </c>
      <c r="AB2064" s="173">
        <v>45513</v>
      </c>
      <c r="AC2064" s="119">
        <v>202401009</v>
      </c>
      <c r="AD2064" s="36">
        <f t="shared" si="240"/>
        <v>37327340</v>
      </c>
      <c r="AE2064" s="36" t="str">
        <f t="shared" si="241"/>
        <v>TK.KWVE15-B-A-ESC-0038-WW1</v>
      </c>
      <c r="AF2064" s="36">
        <v>5</v>
      </c>
      <c r="AG2064" s="120">
        <f t="shared" si="239"/>
        <v>17.8</v>
      </c>
      <c r="AH2064" s="36"/>
      <c r="AI2064" s="124"/>
      <c r="AJ2064" s="122" t="s">
        <v>1926</v>
      </c>
      <c r="AK2064" s="129" t="str">
        <f t="shared" ca="1" si="238"/>
        <v>On Time</v>
      </c>
      <c r="AL2064" s="268" t="str">
        <f t="shared" si="237"/>
        <v>August</v>
      </c>
      <c r="AM2064" s="133">
        <f>YEAR(Table1[[#This Row],[ETA
As requested
dd.mm.yyyy]])</f>
        <v>2024</v>
      </c>
    </row>
    <row r="2065" spans="1:39" hidden="1">
      <c r="A2065" s="123" t="s">
        <v>83</v>
      </c>
      <c r="B2065" s="36" t="s">
        <v>1170</v>
      </c>
      <c r="C2065" s="117">
        <v>37327346</v>
      </c>
      <c r="D2065" s="165">
        <v>45497</v>
      </c>
      <c r="E2065" s="117" t="s">
        <v>99</v>
      </c>
      <c r="F2065" s="36" t="str">
        <f>IFERROR(VLOOKUP(Table1[[#This Row],[Part Number]],DATABASE_FG!$C$6:D12054,2,FALSE)," ")</f>
        <v xml:space="preserve">054380529-8011 </v>
      </c>
      <c r="G2065" s="117">
        <f>IFERROR(_xlfn.XLOOKUP(Table1[[#This Row],[Part Number]],Table3[Part number],Table3[Drawing
 Revision]),"")</f>
        <v>0</v>
      </c>
      <c r="H2065" s="118" cm="1">
        <f t="array" ref="H2065">IFERROR(INDEX(PDB!$C:$AT,MATCH(E2065,PDB!$B:$B,0),MATCH(YEAR(K2065),0+PDB!$C$1:$AT$1,0)),"")</f>
        <v>3.56</v>
      </c>
      <c r="I2065" s="36">
        <v>100</v>
      </c>
      <c r="J2065" s="125">
        <f>IFERROR(Table1[[#This Row],[Quantity]]*Table1[[#This Row],[Price/Unit
EUR]]," ")</f>
        <v>356</v>
      </c>
      <c r="K2065" s="126">
        <v>45517</v>
      </c>
      <c r="L2065" s="36">
        <f>WEEKNUM(Table1[[#This Row],[ETA
As requested
dd.mm.yyyy]])</f>
        <v>33</v>
      </c>
      <c r="M2065" s="36">
        <f>YEAR(Table1[[#This Row],[ETA
As requested
dd.mm.yyyy]])</f>
        <v>2024</v>
      </c>
      <c r="N2065" s="36">
        <f>IFERROR(INDEX(DATABASE_FG!$H$5:$H$367, MATCH(E2065, DATABASE_FG!$C$5:$C$367, 0)), " ")</f>
        <v>0</v>
      </c>
      <c r="O2065" s="129" t="str">
        <f>IF(E2065&lt;&gt;"", _xlfn.XLOOKUP(E2065, DATABASE_FG!C:C, DATABASE_FG!F:F), " ")</f>
        <v>Ghidaje</v>
      </c>
      <c r="P2065" s="36">
        <f>IFERROR(INDEX(DATABASE_FG!$G$5:$G$367, MATCH(E2065, DATABASE_FG!$C$5:$C$367, 0)), "Not Found")</f>
        <v>0</v>
      </c>
      <c r="Q2065" s="36"/>
      <c r="R2065" s="125" t="s">
        <v>678</v>
      </c>
      <c r="S2065" s="123">
        <f>IFERROR(INDEX(DATABASE_FG!$L$5:$L$367, MATCH(E2065, DATABASE_FG!$C$5:$C$367, 0)), " ")</f>
        <v>42</v>
      </c>
      <c r="T2065" s="36" t="s">
        <v>679</v>
      </c>
      <c r="U2065" s="36"/>
      <c r="V2065" s="36"/>
      <c r="W2065" s="129"/>
      <c r="X2065" s="36"/>
      <c r="Y2065" s="36"/>
      <c r="Z2065" s="36"/>
      <c r="AA2065" s="125" t="s">
        <v>121</v>
      </c>
      <c r="AB2065" s="173">
        <v>45513</v>
      </c>
      <c r="AC2065" s="119">
        <v>202401010</v>
      </c>
      <c r="AD2065" s="36">
        <f t="shared" si="240"/>
        <v>37327346</v>
      </c>
      <c r="AE2065" s="36" t="str">
        <f t="shared" si="241"/>
        <v>TK.KWVE15-B-A-ESC-0038-WW1</v>
      </c>
      <c r="AF2065" s="36">
        <v>76</v>
      </c>
      <c r="AG2065" s="120">
        <f t="shared" si="239"/>
        <v>270.56</v>
      </c>
      <c r="AH2065" s="36"/>
      <c r="AI2065" s="124"/>
      <c r="AJ2065" s="122" t="s">
        <v>1944</v>
      </c>
      <c r="AK2065" s="129" t="str">
        <f t="shared" ca="1" si="238"/>
        <v>On Time</v>
      </c>
      <c r="AL2065" s="268" t="str">
        <f t="shared" si="237"/>
        <v>August</v>
      </c>
      <c r="AM2065" s="133">
        <f>YEAR(Table1[[#This Row],[ETA
As requested
dd.mm.yyyy]])</f>
        <v>2024</v>
      </c>
    </row>
    <row r="2066" spans="1:39" hidden="1">
      <c r="A2066" s="123" t="s">
        <v>83</v>
      </c>
      <c r="B2066" s="36" t="s">
        <v>1170</v>
      </c>
      <c r="C2066" s="117">
        <v>37327346</v>
      </c>
      <c r="D2066" s="165">
        <v>45497</v>
      </c>
      <c r="E2066" s="117" t="s">
        <v>99</v>
      </c>
      <c r="F2066" s="36" t="str">
        <f>IFERROR(VLOOKUP(Table1[[#This Row],[Part Number]],DATABASE_FG!$C$6:D12055,2,FALSE)," ")</f>
        <v xml:space="preserve">054380529-8011 </v>
      </c>
      <c r="G2066" s="117">
        <f>IFERROR(_xlfn.XLOOKUP(Table1[[#This Row],[Part Number]],Table3[Part number],Table3[Drawing
 Revision]),"")</f>
        <v>0</v>
      </c>
      <c r="H2066" s="118" cm="1">
        <f t="array" ref="H2066">IFERROR(INDEX(PDB!$C:$AT,MATCH(E2066,PDB!$B:$B,0),MATCH(YEAR(K2066),0+PDB!$C$1:$AT$1,0)),"")</f>
        <v>3.56</v>
      </c>
      <c r="I2066" s="36">
        <v>0</v>
      </c>
      <c r="J2066" s="125">
        <f>IFERROR(Table1[[#This Row],[Quantity]]*Table1[[#This Row],[Price/Unit
EUR]]," ")</f>
        <v>0</v>
      </c>
      <c r="K2066" s="126">
        <v>45517</v>
      </c>
      <c r="L2066" s="36">
        <f>WEEKNUM(Table1[[#This Row],[ETA
As requested
dd.mm.yyyy]])</f>
        <v>33</v>
      </c>
      <c r="M2066" s="36">
        <f>YEAR(Table1[[#This Row],[ETA
As requested
dd.mm.yyyy]])</f>
        <v>2024</v>
      </c>
      <c r="N2066" s="36">
        <f>IFERROR(INDEX(DATABASE_FG!$H$5:$H$367, MATCH(E2066, DATABASE_FG!$C$5:$C$367, 0)), " ")</f>
        <v>0</v>
      </c>
      <c r="O2066" s="129" t="str">
        <f>IF(E2066&lt;&gt;"", _xlfn.XLOOKUP(E2066, DATABASE_FG!C:C, DATABASE_FG!F:F), " ")</f>
        <v>Ghidaje</v>
      </c>
      <c r="P2066" s="36">
        <f>IFERROR(INDEX(DATABASE_FG!$G$5:$G$367, MATCH(E2066, DATABASE_FG!$C$5:$C$367, 0)), "Not Found")</f>
        <v>0</v>
      </c>
      <c r="Q2066" s="36"/>
      <c r="R2066" s="125" t="s">
        <v>678</v>
      </c>
      <c r="S2066" s="123">
        <f>Table1[[#This Row],[Quantity]]/48</f>
        <v>0</v>
      </c>
      <c r="T2066" s="36"/>
      <c r="U2066" s="36"/>
      <c r="V2066" s="36"/>
      <c r="W2066" s="129"/>
      <c r="X2066" s="36"/>
      <c r="Y2066" s="36"/>
      <c r="Z2066" s="36"/>
      <c r="AA2066" s="125" t="s">
        <v>121</v>
      </c>
      <c r="AB2066" s="173">
        <v>45523</v>
      </c>
      <c r="AC2066" s="119">
        <v>202401033</v>
      </c>
      <c r="AD2066" s="36">
        <f t="shared" si="240"/>
        <v>37327346</v>
      </c>
      <c r="AE2066" s="36" t="str">
        <f t="shared" si="241"/>
        <v>TK.KWVE15-B-A-ESC-0038-WW1</v>
      </c>
      <c r="AF2066" s="36">
        <v>24</v>
      </c>
      <c r="AG2066" s="120">
        <f t="shared" si="239"/>
        <v>85.44</v>
      </c>
      <c r="AH2066" s="36"/>
      <c r="AI2066" s="124"/>
      <c r="AJ2066" s="122" t="s">
        <v>1946</v>
      </c>
      <c r="AK2066" s="129" t="str">
        <f t="shared" ca="1" si="238"/>
        <v>Late</v>
      </c>
      <c r="AL2066" s="268" t="str">
        <f t="shared" si="237"/>
        <v>August</v>
      </c>
      <c r="AM2066" s="133">
        <f>YEAR(Table1[[#This Row],[ETA
As requested
dd.mm.yyyy]])</f>
        <v>2024</v>
      </c>
    </row>
    <row r="2067" spans="1:39" hidden="1">
      <c r="A2067" s="123" t="s">
        <v>83</v>
      </c>
      <c r="B2067" s="36" t="s">
        <v>1170</v>
      </c>
      <c r="C2067" s="117">
        <v>37521048</v>
      </c>
      <c r="D2067" s="165">
        <v>45527</v>
      </c>
      <c r="E2067" s="117" t="s">
        <v>99</v>
      </c>
      <c r="F2067" s="36" t="str">
        <f>IFERROR(VLOOKUP(Table1[[#This Row],[Part Number]],DATABASE_FG!$C$6:D12056,2,FALSE)," ")</f>
        <v xml:space="preserve">054380529-8011 </v>
      </c>
      <c r="G2067" s="117">
        <f>IFERROR(_xlfn.XLOOKUP(Table1[[#This Row],[Part Number]],Table3[Part number],Table3[Drawing
 Revision]),"")</f>
        <v>0</v>
      </c>
      <c r="H2067" s="118" cm="1">
        <f t="array" ref="H2067">IFERROR(INDEX(PDB!$C:$AT,MATCH(E2067,PDB!$B:$B,0),MATCH(YEAR(K2067),0+PDB!$C$1:$AT$1,0)),"")</f>
        <v>3.56</v>
      </c>
      <c r="I2067" s="36">
        <v>300</v>
      </c>
      <c r="J2067" s="125">
        <f>IFERROR(Table1[[#This Row],[Quantity]]*Table1[[#This Row],[Price/Unit
EUR]]," ")</f>
        <v>1068</v>
      </c>
      <c r="K2067" s="126">
        <v>45537</v>
      </c>
      <c r="L2067" s="36">
        <f>WEEKNUM(Table1[[#This Row],[ETA
As requested
dd.mm.yyyy]])</f>
        <v>36</v>
      </c>
      <c r="M2067" s="36">
        <f>YEAR(Table1[[#This Row],[ETA
As requested
dd.mm.yyyy]])</f>
        <v>2024</v>
      </c>
      <c r="N2067" s="36">
        <f>IFERROR(INDEX(DATABASE_FG!$H$5:$H$367, MATCH(E2067, DATABASE_FG!$C$5:$C$367, 0)), " ")</f>
        <v>0</v>
      </c>
      <c r="O2067" s="129" t="str">
        <f>IF(E2067&lt;&gt;"", _xlfn.XLOOKUP(E2067, DATABASE_FG!C:C, DATABASE_FG!F:F), " ")</f>
        <v>Ghidaje</v>
      </c>
      <c r="P2067" s="36">
        <f>IFERROR(INDEX(DATABASE_FG!$G$5:$G$367, MATCH(E2067, DATABASE_FG!$C$5:$C$367, 0)), "Not Found")</f>
        <v>0</v>
      </c>
      <c r="Q2067" s="36"/>
      <c r="R2067" s="125" t="s">
        <v>678</v>
      </c>
      <c r="S2067" s="123">
        <f>IFERROR(INDEX(DATABASE_FG!$L$5:$L$367, MATCH(E2067, DATABASE_FG!$C$5:$C$367, 0)), " ")</f>
        <v>42</v>
      </c>
      <c r="T2067" s="36"/>
      <c r="U2067" s="36"/>
      <c r="V2067" s="36"/>
      <c r="W2067" s="129"/>
      <c r="X2067" s="36"/>
      <c r="Y2067" s="36"/>
      <c r="Z2067" s="36"/>
      <c r="AA2067" s="125" t="s">
        <v>121</v>
      </c>
      <c r="AB2067" s="173">
        <v>45538</v>
      </c>
      <c r="AC2067" s="119">
        <v>202401096</v>
      </c>
      <c r="AD2067" s="36">
        <f t="shared" si="240"/>
        <v>37521048</v>
      </c>
      <c r="AE2067" s="36" t="str">
        <f t="shared" si="241"/>
        <v>TK.KWVE15-B-A-ESC-0038-WW1</v>
      </c>
      <c r="AF2067" s="36">
        <v>300</v>
      </c>
      <c r="AG2067" s="120">
        <f t="shared" si="239"/>
        <v>1068</v>
      </c>
      <c r="AH2067" s="36"/>
      <c r="AI2067" s="124"/>
      <c r="AJ2067" s="122" t="s">
        <v>2315</v>
      </c>
      <c r="AK2067" s="129" t="str">
        <f t="shared" ca="1" si="238"/>
        <v>On Time</v>
      </c>
      <c r="AL2067" s="268" t="str">
        <f t="shared" si="237"/>
        <v>September</v>
      </c>
      <c r="AM2067" s="133">
        <f>YEAR(Table1[[#This Row],[ETA
As requested
dd.mm.yyyy]])</f>
        <v>2024</v>
      </c>
    </row>
    <row r="2068" spans="1:39" hidden="1">
      <c r="A2068" s="123" t="s">
        <v>83</v>
      </c>
      <c r="B2068" s="36" t="s">
        <v>1170</v>
      </c>
      <c r="C2068" s="117">
        <v>37521048</v>
      </c>
      <c r="D2068" s="165">
        <v>45527</v>
      </c>
      <c r="E2068" s="117" t="s">
        <v>99</v>
      </c>
      <c r="F2068" s="36" t="str">
        <f>IFERROR(VLOOKUP(Table1[[#This Row],[Part Number]],DATABASE_FG!$C$6:D12057,2,FALSE)," ")</f>
        <v xml:space="preserve">054380529-8011 </v>
      </c>
      <c r="G2068" s="117">
        <f>IFERROR(_xlfn.XLOOKUP(Table1[[#This Row],[Part Number]],Table3[Part number],Table3[Drawing
 Revision]),"")</f>
        <v>0</v>
      </c>
      <c r="H2068" s="118" cm="1">
        <f t="array" ref="H2068">IFERROR(INDEX(PDB!$C:$AT,MATCH(E2068,PDB!$B:$B,0),MATCH(YEAR(K2068),0+PDB!$C$1:$AT$1,0)),"")</f>
        <v>3.56</v>
      </c>
      <c r="I2068" s="36">
        <v>300</v>
      </c>
      <c r="J2068" s="125">
        <f>IFERROR(Table1[[#This Row],[Quantity]]*Table1[[#This Row],[Price/Unit
EUR]]," ")</f>
        <v>1068</v>
      </c>
      <c r="K2068" s="126">
        <v>45544</v>
      </c>
      <c r="L2068" s="36">
        <f>WEEKNUM(Table1[[#This Row],[ETA
As requested
dd.mm.yyyy]])</f>
        <v>37</v>
      </c>
      <c r="M2068" s="36">
        <f>YEAR(Table1[[#This Row],[ETA
As requested
dd.mm.yyyy]])</f>
        <v>2024</v>
      </c>
      <c r="N2068" s="36">
        <f>IFERROR(INDEX(DATABASE_FG!$H$5:$H$367, MATCH(E2068, DATABASE_FG!$C$5:$C$367, 0)), " ")</f>
        <v>0</v>
      </c>
      <c r="O2068" s="129" t="str">
        <f>IF(E2068&lt;&gt;"", _xlfn.XLOOKUP(E2068, DATABASE_FG!C:C, DATABASE_FG!F:F), " ")</f>
        <v>Ghidaje</v>
      </c>
      <c r="P2068" s="36">
        <f>IFERROR(INDEX(DATABASE_FG!$G$5:$G$367, MATCH(E2068, DATABASE_FG!$C$5:$C$367, 0)), "Not Found")</f>
        <v>0</v>
      </c>
      <c r="Q2068" s="36"/>
      <c r="R2068" s="125" t="s">
        <v>678</v>
      </c>
      <c r="S2068" s="123">
        <f>IFERROR(INDEX(DATABASE_FG!$L$5:$L$367, MATCH(E2068, DATABASE_FG!$C$5:$C$367, 0)), " ")</f>
        <v>42</v>
      </c>
      <c r="T2068" s="36"/>
      <c r="U2068" s="36"/>
      <c r="V2068" s="36"/>
      <c r="W2068" s="129"/>
      <c r="X2068" s="36"/>
      <c r="Y2068" s="36"/>
      <c r="Z2068" s="36"/>
      <c r="AA2068" s="125" t="s">
        <v>121</v>
      </c>
      <c r="AB2068" s="173">
        <v>45545</v>
      </c>
      <c r="AC2068" s="119">
        <v>202401120</v>
      </c>
      <c r="AD2068" s="36">
        <f t="shared" si="240"/>
        <v>37521048</v>
      </c>
      <c r="AE2068" s="36" t="str">
        <f t="shared" si="241"/>
        <v>TK.KWVE15-B-A-ESC-0038-WW1</v>
      </c>
      <c r="AF2068" s="36">
        <v>300</v>
      </c>
      <c r="AG2068" s="120">
        <f t="shared" si="239"/>
        <v>1068</v>
      </c>
      <c r="AH2068" s="36"/>
      <c r="AI2068" s="124"/>
      <c r="AJ2068" s="122" t="s">
        <v>2367</v>
      </c>
      <c r="AK2068" s="129" t="str">
        <f t="shared" ca="1" si="238"/>
        <v>On Time</v>
      </c>
      <c r="AL2068" s="268" t="str">
        <f t="shared" si="237"/>
        <v>September</v>
      </c>
      <c r="AM2068" s="133">
        <f>YEAR(Table1[[#This Row],[ETA
As requested
dd.mm.yyyy]])</f>
        <v>2024</v>
      </c>
    </row>
    <row r="2069" spans="1:39" hidden="1">
      <c r="A2069" s="123" t="s">
        <v>83</v>
      </c>
      <c r="B2069" s="36" t="s">
        <v>1170</v>
      </c>
      <c r="C2069" s="117">
        <v>37521048</v>
      </c>
      <c r="D2069" s="165">
        <v>45527</v>
      </c>
      <c r="E2069" s="117" t="s">
        <v>99</v>
      </c>
      <c r="F2069" s="36" t="str">
        <f>IFERROR(VLOOKUP(Table1[[#This Row],[Part Number]],DATABASE_FG!$C$6:D12058,2,FALSE)," ")</f>
        <v xml:space="preserve">054380529-8011 </v>
      </c>
      <c r="G2069" s="117">
        <f>IFERROR(_xlfn.XLOOKUP(Table1[[#This Row],[Part Number]],Table3[Part number],Table3[Drawing
 Revision]),"")</f>
        <v>0</v>
      </c>
      <c r="H2069" s="118" cm="1">
        <f t="array" ref="H2069">IFERROR(INDEX(PDB!$C:$AT,MATCH(E2069,PDB!$B:$B,0),MATCH(YEAR(K2069),0+PDB!$C$1:$AT$1,0)),"")</f>
        <v>3.56</v>
      </c>
      <c r="I2069" s="36">
        <v>100</v>
      </c>
      <c r="J2069" s="125">
        <f>IFERROR(Table1[[#This Row],[Quantity]]*Table1[[#This Row],[Price/Unit
EUR]]," ")</f>
        <v>356</v>
      </c>
      <c r="K2069" s="126">
        <v>45551</v>
      </c>
      <c r="L2069" s="36">
        <f>WEEKNUM(Table1[[#This Row],[ETA
As requested
dd.mm.yyyy]])</f>
        <v>38</v>
      </c>
      <c r="M2069" s="36">
        <f>YEAR(Table1[[#This Row],[ETA
As requested
dd.mm.yyyy]])</f>
        <v>2024</v>
      </c>
      <c r="N2069" s="36">
        <f>IFERROR(INDEX(DATABASE_FG!$H$5:$H$367, MATCH(E2069, DATABASE_FG!$C$5:$C$367, 0)), " ")</f>
        <v>0</v>
      </c>
      <c r="O2069" s="129" t="str">
        <f>IF(E2069&lt;&gt;"", _xlfn.XLOOKUP(E2069, DATABASE_FG!C:C, DATABASE_FG!F:F), " ")</f>
        <v>Ghidaje</v>
      </c>
      <c r="P2069" s="36">
        <f>IFERROR(INDEX(DATABASE_FG!$G$5:$G$367, MATCH(E2069, DATABASE_FG!$C$5:$C$367, 0)), "Not Found")</f>
        <v>0</v>
      </c>
      <c r="Q2069" s="36"/>
      <c r="R2069" s="125" t="s">
        <v>678</v>
      </c>
      <c r="S2069" s="123">
        <f>IFERROR(INDEX(DATABASE_FG!$L$5:$L$367, MATCH(E2069, DATABASE_FG!$C$5:$C$367, 0)), " ")</f>
        <v>42</v>
      </c>
      <c r="T2069" s="36"/>
      <c r="U2069" s="36"/>
      <c r="V2069" s="36"/>
      <c r="W2069" s="129"/>
      <c r="X2069" s="36"/>
      <c r="Y2069" s="36"/>
      <c r="Z2069" s="36"/>
      <c r="AA2069" s="125" t="s">
        <v>121</v>
      </c>
      <c r="AB2069" s="173">
        <v>45552</v>
      </c>
      <c r="AC2069" s="119">
        <v>202401144</v>
      </c>
      <c r="AD2069" s="36">
        <f t="shared" si="240"/>
        <v>37521048</v>
      </c>
      <c r="AE2069" s="36" t="str">
        <f t="shared" si="241"/>
        <v>TK.KWVE15-B-A-ESC-0038-WW1</v>
      </c>
      <c r="AF2069" s="36">
        <v>100</v>
      </c>
      <c r="AG2069" s="120">
        <f t="shared" si="239"/>
        <v>356</v>
      </c>
      <c r="AH2069" s="36"/>
      <c r="AI2069" s="124"/>
      <c r="AJ2069" s="122" t="s">
        <v>2381</v>
      </c>
      <c r="AK2069" s="129" t="str">
        <f t="shared" ca="1" si="238"/>
        <v>On Time</v>
      </c>
      <c r="AL2069" s="268" t="str">
        <f t="shared" si="237"/>
        <v>September</v>
      </c>
      <c r="AM2069" s="133">
        <f>YEAR(Table1[[#This Row],[ETA
As requested
dd.mm.yyyy]])</f>
        <v>2024</v>
      </c>
    </row>
    <row r="2070" spans="1:39" hidden="1">
      <c r="A2070" s="123" t="s">
        <v>83</v>
      </c>
      <c r="B2070" s="36" t="s">
        <v>1170</v>
      </c>
      <c r="C2070" s="117">
        <v>37521048</v>
      </c>
      <c r="D2070" s="165">
        <v>45527</v>
      </c>
      <c r="E2070" s="117" t="s">
        <v>99</v>
      </c>
      <c r="F2070" s="36" t="str">
        <f>IFERROR(VLOOKUP(Table1[[#This Row],[Part Number]],DATABASE_FG!$C$6:D12059,2,FALSE)," ")</f>
        <v xml:space="preserve">054380529-8011 </v>
      </c>
      <c r="G2070" s="117">
        <f>IFERROR(_xlfn.XLOOKUP(Table1[[#This Row],[Part Number]],Table3[Part number],Table3[Drawing
 Revision]),"")</f>
        <v>0</v>
      </c>
      <c r="H2070" s="118" cm="1">
        <f t="array" ref="H2070">IFERROR(INDEX(PDB!$C:$AT,MATCH(E2070,PDB!$B:$B,0),MATCH(YEAR(K2070),0+PDB!$C$1:$AT$1,0)),"")</f>
        <v>3.56</v>
      </c>
      <c r="I2070" s="36">
        <v>100</v>
      </c>
      <c r="J2070" s="125">
        <f>IFERROR(Table1[[#This Row],[Quantity]]*Table1[[#This Row],[Price/Unit
EUR]]," ")</f>
        <v>356</v>
      </c>
      <c r="K2070" s="126">
        <v>45565</v>
      </c>
      <c r="L2070" s="36">
        <f>WEEKNUM(Table1[[#This Row],[ETA
As requested
dd.mm.yyyy]])</f>
        <v>40</v>
      </c>
      <c r="M2070" s="36">
        <f>YEAR(Table1[[#This Row],[ETA
As requested
dd.mm.yyyy]])</f>
        <v>2024</v>
      </c>
      <c r="N2070" s="36">
        <f>IFERROR(INDEX(DATABASE_FG!$H$5:$H$367, MATCH(E2070, DATABASE_FG!$C$5:$C$367, 0)), " ")</f>
        <v>0</v>
      </c>
      <c r="O2070" s="129" t="str">
        <f>IF(E2070&lt;&gt;"", _xlfn.XLOOKUP(E2070, DATABASE_FG!C:C, DATABASE_FG!F:F), " ")</f>
        <v>Ghidaje</v>
      </c>
      <c r="P2070" s="36">
        <f>IFERROR(INDEX(DATABASE_FG!$G$5:$G$367, MATCH(E2070, DATABASE_FG!$C$5:$C$367, 0)), "Not Found")</f>
        <v>0</v>
      </c>
      <c r="Q2070" s="36"/>
      <c r="R2070" s="125" t="s">
        <v>678</v>
      </c>
      <c r="S2070" s="123">
        <f>IFERROR(INDEX(DATABASE_FG!$L$5:$L$367, MATCH(E2070, DATABASE_FG!$C$5:$C$367, 0)), " ")</f>
        <v>42</v>
      </c>
      <c r="T2070" s="36" t="s">
        <v>679</v>
      </c>
      <c r="U2070" s="36"/>
      <c r="V2070" s="36"/>
      <c r="W2070" s="129"/>
      <c r="X2070" s="36"/>
      <c r="Y2070" s="36"/>
      <c r="Z2070" s="36"/>
      <c r="AA2070" s="125" t="s">
        <v>121</v>
      </c>
      <c r="AB2070" s="173">
        <v>45566</v>
      </c>
      <c r="AC2070" s="119">
        <v>202401187</v>
      </c>
      <c r="AD2070" s="36">
        <f t="shared" si="240"/>
        <v>37521048</v>
      </c>
      <c r="AE2070" s="36" t="str">
        <f t="shared" si="241"/>
        <v>TK.KWVE15-B-A-ESC-0038-WW1</v>
      </c>
      <c r="AF2070" s="36">
        <v>100</v>
      </c>
      <c r="AG2070" s="120">
        <f t="shared" si="239"/>
        <v>356</v>
      </c>
      <c r="AH2070" s="36"/>
      <c r="AI2070" s="124"/>
      <c r="AJ2070" s="122" t="s">
        <v>2404</v>
      </c>
      <c r="AK2070" s="129" t="str">
        <f t="shared" ca="1" si="238"/>
        <v>On Time</v>
      </c>
      <c r="AL2070" s="268" t="str">
        <f t="shared" si="237"/>
        <v>September</v>
      </c>
      <c r="AM2070" s="133">
        <f>YEAR(Table1[[#This Row],[ETA
As requested
dd.mm.yyyy]])</f>
        <v>2024</v>
      </c>
    </row>
    <row r="2071" spans="1:39" hidden="1">
      <c r="A2071" s="123" t="s">
        <v>83</v>
      </c>
      <c r="B2071" s="36" t="s">
        <v>1170</v>
      </c>
      <c r="C2071" s="117">
        <v>37521048</v>
      </c>
      <c r="D2071" s="165">
        <v>45527</v>
      </c>
      <c r="E2071" s="117" t="s">
        <v>99</v>
      </c>
      <c r="F2071" s="36" t="str">
        <f>IFERROR(VLOOKUP(Table1[[#This Row],[Part Number]],DATABASE_FG!$C$6:D12060,2,FALSE)," ")</f>
        <v xml:space="preserve">054380529-8011 </v>
      </c>
      <c r="G2071" s="117">
        <f>IFERROR(_xlfn.XLOOKUP(Table1[[#This Row],[Part Number]],Table3[Part number],Table3[Drawing
 Revision]),"")</f>
        <v>0</v>
      </c>
      <c r="H2071" s="118" cm="1">
        <f t="array" ref="H2071">IFERROR(INDEX(PDB!$C:$AT,MATCH(E2071,PDB!$B:$B,0),MATCH(YEAR(K2071),0+PDB!$C$1:$AT$1,0)),"")</f>
        <v>3.56</v>
      </c>
      <c r="I2071" s="36">
        <v>100</v>
      </c>
      <c r="J2071" s="125">
        <f>IFERROR(Table1[[#This Row],[Quantity]]*Table1[[#This Row],[Price/Unit
EUR]]," ")</f>
        <v>356</v>
      </c>
      <c r="K2071" s="126">
        <v>45566</v>
      </c>
      <c r="L2071" s="36">
        <f>WEEKNUM(Table1[[#This Row],[ETA
As requested
dd.mm.yyyy]])</f>
        <v>40</v>
      </c>
      <c r="M2071" s="36">
        <f>YEAR(Table1[[#This Row],[ETA
As requested
dd.mm.yyyy]])</f>
        <v>2024</v>
      </c>
      <c r="N2071" s="36">
        <f>IFERROR(INDEX(DATABASE_FG!$H$5:$H$367, MATCH(E2071, DATABASE_FG!$C$5:$C$367, 0)), " ")</f>
        <v>0</v>
      </c>
      <c r="O2071" s="129" t="str">
        <f>IF(E2071&lt;&gt;"", _xlfn.XLOOKUP(E2071, DATABASE_FG!C:C, DATABASE_FG!F:F), " ")</f>
        <v>Ghidaje</v>
      </c>
      <c r="P2071" s="36">
        <f>IFERROR(INDEX(DATABASE_FG!$G$5:$G$367, MATCH(E2071, DATABASE_FG!$C$5:$C$367, 0)), "Not Found")</f>
        <v>0</v>
      </c>
      <c r="Q2071" s="36"/>
      <c r="R2071" s="125" t="s">
        <v>678</v>
      </c>
      <c r="S2071" s="123">
        <f>IFERROR(INDEX(DATABASE_FG!$L$5:$L$367, MATCH(E2071, DATABASE_FG!$C$5:$C$367, 0)), " ")</f>
        <v>42</v>
      </c>
      <c r="T2071" s="36"/>
      <c r="U2071" s="36"/>
      <c r="V2071" s="36"/>
      <c r="W2071" s="129"/>
      <c r="X2071" s="36"/>
      <c r="Y2071" s="36"/>
      <c r="Z2071" s="36"/>
      <c r="AA2071" s="125" t="s">
        <v>121</v>
      </c>
      <c r="AB2071" s="173">
        <v>45566</v>
      </c>
      <c r="AC2071" s="119">
        <v>202401187</v>
      </c>
      <c r="AD2071" s="36">
        <f t="shared" si="240"/>
        <v>37521048</v>
      </c>
      <c r="AE2071" s="36" t="str">
        <f t="shared" si="241"/>
        <v>TK.KWVE15-B-A-ESC-0038-WW1</v>
      </c>
      <c r="AF2071" s="36">
        <v>100</v>
      </c>
      <c r="AG2071" s="120">
        <f t="shared" si="239"/>
        <v>356</v>
      </c>
      <c r="AH2071" s="36"/>
      <c r="AI2071" s="124"/>
      <c r="AJ2071" s="122" t="s">
        <v>2404</v>
      </c>
      <c r="AK2071" s="129" t="str">
        <f t="shared" ca="1" si="238"/>
        <v>On Time</v>
      </c>
      <c r="AL2071" s="268" t="str">
        <f t="shared" si="237"/>
        <v>October</v>
      </c>
      <c r="AM2071" s="133">
        <f>YEAR(Table1[[#This Row],[ETA
As requested
dd.mm.yyyy]])</f>
        <v>2024</v>
      </c>
    </row>
    <row r="2072" spans="1:39" hidden="1">
      <c r="A2072" s="123" t="s">
        <v>83</v>
      </c>
      <c r="B2072" s="36" t="s">
        <v>1170</v>
      </c>
      <c r="C2072" s="117">
        <v>37672561</v>
      </c>
      <c r="D2072" s="165">
        <v>45553</v>
      </c>
      <c r="E2072" s="117" t="s">
        <v>99</v>
      </c>
      <c r="F2072" s="36" t="str">
        <f>IFERROR(VLOOKUP(Table1[[#This Row],[Part Number]],DATABASE_FG!$C$6:D12061,2,FALSE)," ")</f>
        <v xml:space="preserve">054380529-8011 </v>
      </c>
      <c r="G2072" s="117">
        <f>IFERROR(_xlfn.XLOOKUP(Table1[[#This Row],[Part Number]],Table3[Part number],Table3[Drawing
 Revision]),"")</f>
        <v>0</v>
      </c>
      <c r="H2072" s="118" cm="1">
        <f t="array" ref="H2072">IFERROR(INDEX(PDB!$C:$AT,MATCH(E2072,PDB!$B:$B,0),MATCH(YEAR(K2072),0+PDB!$C$1:$AT$1,0)),"")</f>
        <v>3.56</v>
      </c>
      <c r="I2072" s="36">
        <v>200</v>
      </c>
      <c r="J2072" s="125">
        <f>IFERROR(Table1[[#This Row],[Quantity]]*Table1[[#This Row],[Price/Unit
EUR]]," ")</f>
        <v>712</v>
      </c>
      <c r="K2072" s="126">
        <v>45573</v>
      </c>
      <c r="L2072" s="36">
        <f>WEEKNUM(Table1[[#This Row],[ETA
As requested
dd.mm.yyyy]])</f>
        <v>41</v>
      </c>
      <c r="M2072" s="36">
        <f>YEAR(Table1[[#This Row],[ETA
As requested
dd.mm.yyyy]])</f>
        <v>2024</v>
      </c>
      <c r="N2072" s="36">
        <f>IFERROR(INDEX(DATABASE_FG!$H$5:$H$367, MATCH(E2072, DATABASE_FG!$C$5:$C$367, 0)), " ")</f>
        <v>0</v>
      </c>
      <c r="O2072" s="129" t="str">
        <f>IF(E2072&lt;&gt;"", _xlfn.XLOOKUP(E2072, DATABASE_FG!C:C, DATABASE_FG!F:F), " ")</f>
        <v>Ghidaje</v>
      </c>
      <c r="P2072" s="36">
        <f>IFERROR(INDEX(DATABASE_FG!$G$5:$G$367, MATCH(E2072, DATABASE_FG!$C$5:$C$367, 0)), "Not Found")</f>
        <v>0</v>
      </c>
      <c r="Q2072" s="36"/>
      <c r="R2072" s="125" t="s">
        <v>678</v>
      </c>
      <c r="S2072" s="123">
        <f>IFERROR(INDEX(DATABASE_FG!$L$5:$L$367, MATCH(E2072, DATABASE_FG!$C$5:$C$367, 0)), " ")</f>
        <v>42</v>
      </c>
      <c r="T2072" s="36"/>
      <c r="U2072" s="36"/>
      <c r="V2072" s="36"/>
      <c r="W2072" s="129"/>
      <c r="X2072" s="36"/>
      <c r="Y2072" s="36"/>
      <c r="Z2072" s="36"/>
      <c r="AA2072" s="125" t="s">
        <v>121</v>
      </c>
      <c r="AB2072" s="173">
        <v>45566</v>
      </c>
      <c r="AC2072" s="119">
        <v>202401188</v>
      </c>
      <c r="AD2072" s="36">
        <f t="shared" si="240"/>
        <v>37672561</v>
      </c>
      <c r="AE2072" s="36" t="str">
        <f t="shared" si="241"/>
        <v>TK.KWVE15-B-A-ESC-0038-WW1</v>
      </c>
      <c r="AF2072" s="36">
        <v>60</v>
      </c>
      <c r="AG2072" s="120">
        <f t="shared" si="239"/>
        <v>213.6</v>
      </c>
      <c r="AH2072" s="36"/>
      <c r="AI2072" s="124"/>
      <c r="AJ2072" s="122" t="s">
        <v>2442</v>
      </c>
      <c r="AK2072" s="129" t="str">
        <f t="shared" ca="1" si="238"/>
        <v>On Time</v>
      </c>
      <c r="AL2072" s="268" t="str">
        <f t="shared" si="237"/>
        <v>October</v>
      </c>
      <c r="AM2072" s="133">
        <f>YEAR(Table1[[#This Row],[ETA
As requested
dd.mm.yyyy]])</f>
        <v>2024</v>
      </c>
    </row>
    <row r="2073" spans="1:39" hidden="1">
      <c r="A2073" s="123" t="s">
        <v>83</v>
      </c>
      <c r="B2073" s="36" t="s">
        <v>1170</v>
      </c>
      <c r="C2073" s="117">
        <v>37672561</v>
      </c>
      <c r="D2073" s="165">
        <v>45553</v>
      </c>
      <c r="E2073" s="117" t="s">
        <v>99</v>
      </c>
      <c r="F2073" s="36" t="str">
        <f>IFERROR(VLOOKUP(Table1[[#This Row],[Part Number]],DATABASE_FG!$C$6:D12062,2,FALSE)," ")</f>
        <v xml:space="preserve">054380529-8011 </v>
      </c>
      <c r="G2073" s="117">
        <f>IFERROR(_xlfn.XLOOKUP(Table1[[#This Row],[Part Number]],Table3[Part number],Table3[Drawing
 Revision]),"")</f>
        <v>0</v>
      </c>
      <c r="H2073" s="118" cm="1">
        <f t="array" ref="H2073">IFERROR(INDEX(PDB!$C:$AT,MATCH(E2073,PDB!$B:$B,0),MATCH(YEAR(K2073),0+PDB!$C$1:$AT$1,0)),"")</f>
        <v>3.56</v>
      </c>
      <c r="I2073" s="36">
        <v>0</v>
      </c>
      <c r="J2073" s="125">
        <f>IFERROR(Table1[[#This Row],[Quantity]]*Table1[[#This Row],[Price/Unit
EUR]]," ")</f>
        <v>0</v>
      </c>
      <c r="K2073" s="126">
        <v>45573</v>
      </c>
      <c r="L2073" s="36">
        <f>WEEKNUM(Table1[[#This Row],[ETA
As requested
dd.mm.yyyy]])</f>
        <v>41</v>
      </c>
      <c r="M2073" s="36">
        <f>YEAR(Table1[[#This Row],[ETA
As requested
dd.mm.yyyy]])</f>
        <v>2024</v>
      </c>
      <c r="N2073" s="36">
        <f>IFERROR(INDEX(DATABASE_FG!$H$5:$H$367, MATCH(E2073, DATABASE_FG!$C$5:$C$367, 0)), " ")</f>
        <v>0</v>
      </c>
      <c r="O2073" s="129" t="str">
        <f>IF(E2073&lt;&gt;"", _xlfn.XLOOKUP(E2073, DATABASE_FG!C:C, DATABASE_FG!F:F), " ")</f>
        <v>Ghidaje</v>
      </c>
      <c r="P2073" s="36">
        <f>IFERROR(INDEX(DATABASE_FG!$G$5:$G$367, MATCH(E2073, DATABASE_FG!$C$5:$C$367, 0)), "Not Found")</f>
        <v>0</v>
      </c>
      <c r="Q2073" s="36"/>
      <c r="R2073" s="125" t="s">
        <v>678</v>
      </c>
      <c r="S2073" s="123">
        <f>Table1[[#This Row],[Quantity]]/48</f>
        <v>0</v>
      </c>
      <c r="T2073" s="36"/>
      <c r="U2073" s="36"/>
      <c r="V2073" s="36"/>
      <c r="W2073" s="129"/>
      <c r="X2073" s="36"/>
      <c r="Y2073" s="36"/>
      <c r="Z2073" s="36"/>
      <c r="AA2073" s="125" t="s">
        <v>121</v>
      </c>
      <c r="AB2073" s="173">
        <v>45573</v>
      </c>
      <c r="AC2073" s="119">
        <v>202401216</v>
      </c>
      <c r="AD2073" s="36">
        <f t="shared" si="240"/>
        <v>37672561</v>
      </c>
      <c r="AE2073" s="36" t="str">
        <f t="shared" si="241"/>
        <v>TK.KWVE15-B-A-ESC-0038-WW1</v>
      </c>
      <c r="AF2073" s="36">
        <v>122</v>
      </c>
      <c r="AG2073" s="120">
        <f t="shared" si="239"/>
        <v>434.32</v>
      </c>
      <c r="AH2073" s="36"/>
      <c r="AI2073" s="124"/>
      <c r="AJ2073" s="122" t="s">
        <v>2448</v>
      </c>
      <c r="AK2073" s="129" t="str">
        <f t="shared" ca="1" si="238"/>
        <v>On Time</v>
      </c>
      <c r="AL2073" s="268" t="str">
        <f t="shared" si="237"/>
        <v>October</v>
      </c>
      <c r="AM2073" s="133">
        <f>YEAR(Table1[[#This Row],[ETA
As requested
dd.mm.yyyy]])</f>
        <v>2024</v>
      </c>
    </row>
    <row r="2074" spans="1:39" hidden="1">
      <c r="A2074" s="123" t="s">
        <v>83</v>
      </c>
      <c r="B2074" s="36" t="s">
        <v>1170</v>
      </c>
      <c r="C2074" s="117">
        <v>37672561</v>
      </c>
      <c r="D2074" s="165">
        <v>45553</v>
      </c>
      <c r="E2074" s="117" t="s">
        <v>99</v>
      </c>
      <c r="F2074" s="36" t="str">
        <f>IFERROR(VLOOKUP(Table1[[#This Row],[Part Number]],DATABASE_FG!$C$6:D12063,2,FALSE)," ")</f>
        <v xml:space="preserve">054380529-8011 </v>
      </c>
      <c r="G2074" s="117">
        <f>IFERROR(_xlfn.XLOOKUP(Table1[[#This Row],[Part Number]],Table3[Part number],Table3[Drawing
 Revision]),"")</f>
        <v>0</v>
      </c>
      <c r="H2074" s="118" cm="1">
        <f t="array" ref="H2074">IFERROR(INDEX(PDB!$C:$AT,MATCH(E2074,PDB!$B:$B,0),MATCH(YEAR(K2074),0+PDB!$C$1:$AT$1,0)),"")</f>
        <v>3.56</v>
      </c>
      <c r="I2074" s="36">
        <v>0</v>
      </c>
      <c r="J2074" s="125">
        <f>IFERROR(Table1[[#This Row],[Quantity]]*Table1[[#This Row],[Price/Unit
EUR]]," ")</f>
        <v>0</v>
      </c>
      <c r="K2074" s="126">
        <v>45573</v>
      </c>
      <c r="L2074" s="36">
        <f>WEEKNUM(Table1[[#This Row],[ETA
As requested
dd.mm.yyyy]])</f>
        <v>41</v>
      </c>
      <c r="M2074" s="36">
        <f>YEAR(Table1[[#This Row],[ETA
As requested
dd.mm.yyyy]])</f>
        <v>2024</v>
      </c>
      <c r="N2074" s="36">
        <f>IFERROR(INDEX(DATABASE_FG!$H$5:$H$367, MATCH(E2074, DATABASE_FG!$C$5:$C$367, 0)), " ")</f>
        <v>0</v>
      </c>
      <c r="O2074" s="129" t="str">
        <f>IF(E2074&lt;&gt;"", _xlfn.XLOOKUP(E2074, DATABASE_FG!C:C, DATABASE_FG!F:F), " ")</f>
        <v>Ghidaje</v>
      </c>
      <c r="P2074" s="36">
        <f>IFERROR(INDEX(DATABASE_FG!$G$5:$G$367, MATCH(E2074, DATABASE_FG!$C$5:$C$367, 0)), "Not Found")</f>
        <v>0</v>
      </c>
      <c r="Q2074" s="36"/>
      <c r="R2074" s="125" t="s">
        <v>678</v>
      </c>
      <c r="S2074" s="123">
        <f>Table1[[#This Row],[Quantity]]/48</f>
        <v>0</v>
      </c>
      <c r="T2074" s="36"/>
      <c r="U2074" s="36"/>
      <c r="V2074" s="36"/>
      <c r="W2074" s="129"/>
      <c r="X2074" s="36"/>
      <c r="Y2074" s="36"/>
      <c r="Z2074" s="36"/>
      <c r="AA2074" s="125" t="s">
        <v>121</v>
      </c>
      <c r="AB2074" s="173">
        <v>45581</v>
      </c>
      <c r="AC2074" s="119">
        <v>202401250</v>
      </c>
      <c r="AD2074" s="36">
        <f t="shared" si="240"/>
        <v>37672561</v>
      </c>
      <c r="AE2074" s="36" t="str">
        <f t="shared" si="241"/>
        <v>TK.KWVE15-B-A-ESC-0038-WW1</v>
      </c>
      <c r="AF2074" s="36">
        <v>18</v>
      </c>
      <c r="AG2074" s="120">
        <f t="shared" si="239"/>
        <v>64.08</v>
      </c>
      <c r="AH2074" s="36"/>
      <c r="AI2074" s="124"/>
      <c r="AJ2074" s="122" t="s">
        <v>2454</v>
      </c>
      <c r="AK2074" s="129" t="str">
        <f t="shared" ca="1" si="238"/>
        <v>Late</v>
      </c>
      <c r="AL2074" s="268" t="str">
        <f t="shared" si="237"/>
        <v>October</v>
      </c>
      <c r="AM2074" s="133">
        <f>YEAR(Table1[[#This Row],[ETA
As requested
dd.mm.yyyy]])</f>
        <v>2024</v>
      </c>
    </row>
    <row r="2075" spans="1:39" hidden="1">
      <c r="A2075" s="123" t="s">
        <v>83</v>
      </c>
      <c r="B2075" s="36" t="s">
        <v>1170</v>
      </c>
      <c r="C2075" s="70">
        <v>37672567</v>
      </c>
      <c r="D2075" s="165">
        <v>45553</v>
      </c>
      <c r="E2075" s="117" t="s">
        <v>99</v>
      </c>
      <c r="F2075" s="36" t="str">
        <f>IFERROR(VLOOKUP(Table1[[#This Row],[Part Number]],DATABASE_FG!$C$6:D12064,2,FALSE)," ")</f>
        <v xml:space="preserve">054380529-8011 </v>
      </c>
      <c r="G2075" s="117">
        <f>IFERROR(_xlfn.XLOOKUP(Table1[[#This Row],[Part Number]],Table3[Part number],Table3[Drawing
 Revision]),"")</f>
        <v>0</v>
      </c>
      <c r="H2075" s="118" cm="1">
        <f t="array" ref="H2075">IFERROR(INDEX(PDB!$C:$AT,MATCH(E2075,PDB!$B:$B,0),MATCH(YEAR(K2075),0+PDB!$C$1:$AT$1,0)),"")</f>
        <v>3.56</v>
      </c>
      <c r="I2075" s="36">
        <v>200</v>
      </c>
      <c r="J2075" s="125">
        <f>IFERROR(Table1[[#This Row],[Quantity]]*Table1[[#This Row],[Price/Unit
EUR]]," ")</f>
        <v>712</v>
      </c>
      <c r="K2075" s="126">
        <v>45580</v>
      </c>
      <c r="L2075" s="36">
        <f>WEEKNUM(Table1[[#This Row],[ETA
As requested
dd.mm.yyyy]])</f>
        <v>42</v>
      </c>
      <c r="M2075" s="36">
        <f>YEAR(Table1[[#This Row],[ETA
As requested
dd.mm.yyyy]])</f>
        <v>2024</v>
      </c>
      <c r="N2075" s="36">
        <f>IFERROR(INDEX(DATABASE_FG!$H$5:$H$367, MATCH(E2075, DATABASE_FG!$C$5:$C$367, 0)), " ")</f>
        <v>0</v>
      </c>
      <c r="O2075" s="129" t="str">
        <f>IF(E2075&lt;&gt;"", _xlfn.XLOOKUP(E2075, DATABASE_FG!C:C, DATABASE_FG!F:F), " ")</f>
        <v>Ghidaje</v>
      </c>
      <c r="P2075" s="36">
        <f>IFERROR(INDEX(DATABASE_FG!$G$5:$G$367, MATCH(E2075, DATABASE_FG!$C$5:$C$367, 0)), "Not Found")</f>
        <v>0</v>
      </c>
      <c r="Q2075" s="36"/>
      <c r="R2075" s="125" t="s">
        <v>678</v>
      </c>
      <c r="S2075" s="123">
        <f>IFERROR(INDEX(DATABASE_FG!$L$5:$L$367, MATCH(E2075, DATABASE_FG!$C$5:$C$367, 0)), " ")</f>
        <v>42</v>
      </c>
      <c r="T2075" s="36"/>
      <c r="U2075" s="36"/>
      <c r="V2075" s="36"/>
      <c r="W2075" s="129"/>
      <c r="X2075" s="36"/>
      <c r="Y2075" s="36"/>
      <c r="Z2075" s="36"/>
      <c r="AA2075" s="125" t="s">
        <v>121</v>
      </c>
      <c r="AB2075" s="173">
        <v>45581</v>
      </c>
      <c r="AC2075" s="119">
        <v>202401251</v>
      </c>
      <c r="AD2075" s="36">
        <f t="shared" si="240"/>
        <v>37672567</v>
      </c>
      <c r="AE2075" s="36" t="str">
        <f t="shared" si="241"/>
        <v>TK.KWVE15-B-A-ESC-0038-WW1</v>
      </c>
      <c r="AF2075" s="36">
        <v>200</v>
      </c>
      <c r="AG2075" s="120">
        <f t="shared" si="239"/>
        <v>712</v>
      </c>
      <c r="AH2075" s="36"/>
      <c r="AI2075" s="124"/>
      <c r="AJ2075" s="122" t="s">
        <v>2471</v>
      </c>
      <c r="AK2075" s="129" t="str">
        <f t="shared" ca="1" si="238"/>
        <v>On Time</v>
      </c>
      <c r="AL2075" s="268" t="str">
        <f t="shared" si="237"/>
        <v>October</v>
      </c>
      <c r="AM2075" s="133">
        <f>YEAR(Table1[[#This Row],[ETA
As requested
dd.mm.yyyy]])</f>
        <v>2024</v>
      </c>
    </row>
    <row r="2076" spans="1:39" hidden="1">
      <c r="A2076" s="123" t="s">
        <v>83</v>
      </c>
      <c r="B2076" s="36" t="s">
        <v>1170</v>
      </c>
      <c r="C2076" s="117">
        <v>37672568</v>
      </c>
      <c r="D2076" s="165">
        <v>45553</v>
      </c>
      <c r="E2076" s="117" t="s">
        <v>99</v>
      </c>
      <c r="F2076" s="36" t="str">
        <f>IFERROR(VLOOKUP(Table1[[#This Row],[Part Number]],DATABASE_FG!$C$6:D12065,2,FALSE)," ")</f>
        <v xml:space="preserve">054380529-8011 </v>
      </c>
      <c r="G2076" s="117">
        <f>IFERROR(_xlfn.XLOOKUP(Table1[[#This Row],[Part Number]],Table3[Part number],Table3[Drawing
 Revision]),"")</f>
        <v>0</v>
      </c>
      <c r="H2076" s="118" cm="1">
        <f t="array" ref="H2076">IFERROR(INDEX(PDB!$C:$AT,MATCH(E2076,PDB!$B:$B,0),MATCH(YEAR(K2076),0+PDB!$C$1:$AT$1,0)),"")</f>
        <v>3.56</v>
      </c>
      <c r="I2076" s="36">
        <v>200</v>
      </c>
      <c r="J2076" s="125">
        <f>IFERROR(Table1[[#This Row],[Quantity]]*Table1[[#This Row],[Price/Unit
EUR]]," ")</f>
        <v>712</v>
      </c>
      <c r="K2076" s="126">
        <v>45587</v>
      </c>
      <c r="L2076" s="36">
        <f>WEEKNUM(Table1[[#This Row],[ETA
As requested
dd.mm.yyyy]])</f>
        <v>43</v>
      </c>
      <c r="M2076" s="36">
        <f>YEAR(Table1[[#This Row],[ETA
As requested
dd.mm.yyyy]])</f>
        <v>2024</v>
      </c>
      <c r="N2076" s="36">
        <f>IFERROR(INDEX(DATABASE_FG!$H$5:$H$367, MATCH(E2076, DATABASE_FG!$C$5:$C$367, 0)), " ")</f>
        <v>0</v>
      </c>
      <c r="O2076" s="129" t="str">
        <f>IF(E2076&lt;&gt;"", _xlfn.XLOOKUP(E2076, DATABASE_FG!C:C, DATABASE_FG!F:F), " ")</f>
        <v>Ghidaje</v>
      </c>
      <c r="P2076" s="36">
        <f>IFERROR(INDEX(DATABASE_FG!$G$5:$G$367, MATCH(E2076, DATABASE_FG!$C$5:$C$367, 0)), "Not Found")</f>
        <v>0</v>
      </c>
      <c r="Q2076" s="36"/>
      <c r="R2076" s="125" t="s">
        <v>678</v>
      </c>
      <c r="S2076" s="123">
        <f>IFERROR(INDEX(DATABASE_FG!$L$5:$L$367, MATCH(E2076, DATABASE_FG!$C$5:$C$367, 0)), " ")</f>
        <v>42</v>
      </c>
      <c r="T2076" s="36"/>
      <c r="U2076" s="36"/>
      <c r="V2076" s="36"/>
      <c r="W2076" s="129"/>
      <c r="X2076" s="36"/>
      <c r="Y2076" s="36"/>
      <c r="Z2076" s="36"/>
      <c r="AA2076" s="125" t="s">
        <v>121</v>
      </c>
      <c r="AB2076" s="173">
        <v>45581</v>
      </c>
      <c r="AC2076" s="119">
        <v>202401252</v>
      </c>
      <c r="AD2076" s="36">
        <f t="shared" si="240"/>
        <v>37672568</v>
      </c>
      <c r="AE2076" s="36" t="str">
        <f t="shared" si="241"/>
        <v>TK.KWVE15-B-A-ESC-0038-WW1</v>
      </c>
      <c r="AF2076" s="36">
        <v>200</v>
      </c>
      <c r="AG2076" s="120">
        <f t="shared" si="239"/>
        <v>712</v>
      </c>
      <c r="AH2076" s="36"/>
      <c r="AI2076" s="124"/>
      <c r="AJ2076" s="122" t="s">
        <v>2505</v>
      </c>
      <c r="AK2076" s="129" t="str">
        <f t="shared" ca="1" si="238"/>
        <v>On Time</v>
      </c>
      <c r="AL2076" s="268" t="str">
        <f t="shared" si="237"/>
        <v>October</v>
      </c>
      <c r="AM2076" s="133">
        <f>YEAR(Table1[[#This Row],[ETA
As requested
dd.mm.yyyy]])</f>
        <v>2024</v>
      </c>
    </row>
    <row r="2077" spans="1:39" hidden="1">
      <c r="A2077" s="123" t="s">
        <v>83</v>
      </c>
      <c r="B2077" s="36" t="s">
        <v>1170</v>
      </c>
      <c r="C2077" s="117">
        <v>37672570</v>
      </c>
      <c r="D2077" s="165">
        <v>45553</v>
      </c>
      <c r="E2077" s="117" t="s">
        <v>99</v>
      </c>
      <c r="F2077" s="36" t="str">
        <f>IFERROR(VLOOKUP(Table1[[#This Row],[Part Number]],DATABASE_FG!$C$6:D12066,2,FALSE)," ")</f>
        <v xml:space="preserve">054380529-8011 </v>
      </c>
      <c r="G2077" s="117">
        <f>IFERROR(_xlfn.XLOOKUP(Table1[[#This Row],[Part Number]],Table3[Part number],Table3[Drawing
 Revision]),"")</f>
        <v>0</v>
      </c>
      <c r="H2077" s="118" cm="1">
        <f t="array" ref="H2077">IFERROR(INDEX(PDB!$C:$AT,MATCH(E2077,PDB!$B:$B,0),MATCH(YEAR(K2077),0+PDB!$C$1:$AT$1,0)),"")</f>
        <v>3.56</v>
      </c>
      <c r="I2077" s="36">
        <v>87</v>
      </c>
      <c r="J2077" s="125">
        <f>IFERROR(Table1[[#This Row],[Quantity]]*Table1[[#This Row],[Price/Unit
EUR]]," ")</f>
        <v>309.72000000000003</v>
      </c>
      <c r="K2077" s="126">
        <v>45594</v>
      </c>
      <c r="L2077" s="36">
        <f>WEEKNUM(Table1[[#This Row],[ETA
As requested
dd.mm.yyyy]])</f>
        <v>44</v>
      </c>
      <c r="M2077" s="36">
        <f>YEAR(Table1[[#This Row],[ETA
As requested
dd.mm.yyyy]])</f>
        <v>2024</v>
      </c>
      <c r="N2077" s="36">
        <f>IFERROR(INDEX(DATABASE_FG!$H$5:$H$367, MATCH(E2077, DATABASE_FG!$C$5:$C$367, 0)), " ")</f>
        <v>0</v>
      </c>
      <c r="O2077" s="129" t="str">
        <f>IF(E2077&lt;&gt;"", _xlfn.XLOOKUP(E2077, DATABASE_FG!C:C, DATABASE_FG!F:F), " ")</f>
        <v>Ghidaje</v>
      </c>
      <c r="P2077" s="36">
        <f>IFERROR(INDEX(DATABASE_FG!$G$5:$G$367, MATCH(E2077, DATABASE_FG!$C$5:$C$367, 0)), "Not Found")</f>
        <v>0</v>
      </c>
      <c r="Q2077" s="36"/>
      <c r="R2077" s="125" t="s">
        <v>678</v>
      </c>
      <c r="S2077" s="123">
        <f>IFERROR(INDEX(DATABASE_FG!$L$5:$L$367, MATCH(E2077, DATABASE_FG!$C$5:$C$367, 0)), " ")</f>
        <v>42</v>
      </c>
      <c r="T2077" s="36"/>
      <c r="U2077" s="36"/>
      <c r="V2077" s="36"/>
      <c r="W2077" s="129"/>
      <c r="X2077" s="36"/>
      <c r="Y2077" s="36"/>
      <c r="Z2077" s="36"/>
      <c r="AA2077" s="125" t="s">
        <v>121</v>
      </c>
      <c r="AB2077" s="173">
        <v>45581</v>
      </c>
      <c r="AC2077" s="119">
        <v>202401253</v>
      </c>
      <c r="AD2077" s="36">
        <f t="shared" si="240"/>
        <v>37672570</v>
      </c>
      <c r="AE2077" s="36" t="str">
        <f t="shared" si="241"/>
        <v>TK.KWVE15-B-A-ESC-0038-WW1</v>
      </c>
      <c r="AF2077" s="36">
        <f>505-418</f>
        <v>87</v>
      </c>
      <c r="AG2077" s="120">
        <f t="shared" si="239"/>
        <v>309.72000000000003</v>
      </c>
      <c r="AH2077" s="36"/>
      <c r="AI2077" s="124"/>
      <c r="AJ2077" s="122" t="s">
        <v>2527</v>
      </c>
      <c r="AK2077" s="129" t="str">
        <f t="shared" ca="1" si="238"/>
        <v>On Time</v>
      </c>
      <c r="AL2077" s="268" t="str">
        <f t="shared" si="237"/>
        <v>October</v>
      </c>
      <c r="AM2077" s="133">
        <f>YEAR(Table1[[#This Row],[ETA
As requested
dd.mm.yyyy]])</f>
        <v>2024</v>
      </c>
    </row>
    <row r="2078" spans="1:39" hidden="1">
      <c r="A2078" s="123" t="s">
        <v>83</v>
      </c>
      <c r="B2078" s="36" t="s">
        <v>1170</v>
      </c>
      <c r="C2078" s="117">
        <v>37672570</v>
      </c>
      <c r="D2078" s="165">
        <v>45553</v>
      </c>
      <c r="E2078" s="117" t="s">
        <v>99</v>
      </c>
      <c r="F2078" s="36" t="str">
        <f>IFERROR(VLOOKUP(Table1[[#This Row],[Part Number]],DATABASE_FG!$C$6:D12067,2,FALSE)," ")</f>
        <v xml:space="preserve">054380529-8011 </v>
      </c>
      <c r="G2078" s="117">
        <f>IFERROR(_xlfn.XLOOKUP(Table1[[#This Row],[Part Number]],Table3[Part number],Table3[Drawing
 Revision]),"")</f>
        <v>0</v>
      </c>
      <c r="H2078" s="118" cm="1">
        <f t="array" ref="H2078">IFERROR(INDEX(PDB!$C:$AT,MATCH(E2078,PDB!$B:$B,0),MATCH(YEAR(K2078),0+PDB!$C$1:$AT$1,0)),"")</f>
        <v>3.56</v>
      </c>
      <c r="I2078" s="36">
        <v>113</v>
      </c>
      <c r="J2078" s="125">
        <f>IFERROR(Table1[[#This Row],[Quantity]]*Table1[[#This Row],[Price/Unit
EUR]]," ")</f>
        <v>402.28000000000003</v>
      </c>
      <c r="K2078" s="126">
        <v>45594</v>
      </c>
      <c r="L2078" s="36">
        <f>WEEKNUM(Table1[[#This Row],[ETA
As requested
dd.mm.yyyy]])</f>
        <v>44</v>
      </c>
      <c r="M2078" s="36">
        <f>YEAR(Table1[[#This Row],[ETA
As requested
dd.mm.yyyy]])</f>
        <v>2024</v>
      </c>
      <c r="N2078" s="36">
        <f>IFERROR(INDEX(DATABASE_FG!$H$5:$H$367, MATCH(E2078, DATABASE_FG!$C$5:$C$367, 0)), " ")</f>
        <v>0</v>
      </c>
      <c r="O2078" s="129" t="str">
        <f>IF(E2078&lt;&gt;"", _xlfn.XLOOKUP(E2078, DATABASE_FG!C:C, DATABASE_FG!F:F), " ")</f>
        <v>Ghidaje</v>
      </c>
      <c r="P2078" s="36">
        <f>IFERROR(INDEX(DATABASE_FG!$G$5:$G$367, MATCH(E2078, DATABASE_FG!$C$5:$C$367, 0)), "Not Found")</f>
        <v>0</v>
      </c>
      <c r="Q2078" s="36"/>
      <c r="R2078" s="125" t="s">
        <v>678</v>
      </c>
      <c r="S2078" s="123">
        <f>IFERROR(INDEX(DATABASE_FG!$L$5:$L$367, MATCH(E2078, DATABASE_FG!$C$5:$C$367, 0)), " ")</f>
        <v>42</v>
      </c>
      <c r="T2078" s="36"/>
      <c r="U2078" s="36"/>
      <c r="V2078" s="36"/>
      <c r="W2078" s="129"/>
      <c r="X2078" s="36"/>
      <c r="Y2078" s="36"/>
      <c r="Z2078" s="36"/>
      <c r="AA2078" s="125" t="s">
        <v>121</v>
      </c>
      <c r="AB2078" s="173">
        <v>45590</v>
      </c>
      <c r="AC2078" s="119">
        <v>202401283</v>
      </c>
      <c r="AD2078" s="36">
        <f t="shared" si="240"/>
        <v>37672570</v>
      </c>
      <c r="AE2078" s="36" t="str">
        <f t="shared" si="241"/>
        <v>TK.KWVE15-B-A-ESC-0038-WW1</v>
      </c>
      <c r="AF2078" s="36">
        <v>69</v>
      </c>
      <c r="AG2078" s="120">
        <f t="shared" si="239"/>
        <v>245.64000000000001</v>
      </c>
      <c r="AH2078" s="36"/>
      <c r="AI2078" s="124"/>
      <c r="AJ2078" s="122" t="s">
        <v>2530</v>
      </c>
      <c r="AK2078" s="129" t="str">
        <f t="shared" ca="1" si="238"/>
        <v>On Time</v>
      </c>
      <c r="AL2078" s="268" t="str">
        <f t="shared" si="237"/>
        <v>October</v>
      </c>
      <c r="AM2078" s="133">
        <f>YEAR(Table1[[#This Row],[ETA
As requested
dd.mm.yyyy]])</f>
        <v>2024</v>
      </c>
    </row>
    <row r="2079" spans="1:39" hidden="1">
      <c r="A2079" s="123" t="s">
        <v>83</v>
      </c>
      <c r="B2079" s="36" t="s">
        <v>1170</v>
      </c>
      <c r="C2079" s="117">
        <v>37871632</v>
      </c>
      <c r="D2079" s="165">
        <v>45587</v>
      </c>
      <c r="E2079" s="117" t="s">
        <v>99</v>
      </c>
      <c r="F2079" s="36" t="str">
        <f>IFERROR(VLOOKUP(Table1[[#This Row],[Part Number]],DATABASE_FG!$C$6:D12068,2,FALSE)," ")</f>
        <v xml:space="preserve">054380529-8011 </v>
      </c>
      <c r="G2079" s="117">
        <f>IFERROR(_xlfn.XLOOKUP(Table1[[#This Row],[Part Number]],Table3[Part number],Table3[Drawing
 Revision]),"")</f>
        <v>0</v>
      </c>
      <c r="H2079" s="118" cm="1">
        <f t="array" ref="H2079">IFERROR(INDEX(PDB!$C:$AT,MATCH(E2079,PDB!$B:$B,0),MATCH(YEAR(K2079),0+PDB!$C$1:$AT$1,0)),"")</f>
        <v>3.56</v>
      </c>
      <c r="I2079" s="36">
        <v>44</v>
      </c>
      <c r="J2079" s="125">
        <f>IFERROR(Table1[[#This Row],[Quantity]]*Table1[[#This Row],[Price/Unit
EUR]]," ")</f>
        <v>156.64000000000001</v>
      </c>
      <c r="K2079" s="126">
        <v>45601</v>
      </c>
      <c r="L2079" s="36">
        <f>WEEKNUM(Table1[[#This Row],[ETA
As requested
dd.mm.yyyy]])</f>
        <v>45</v>
      </c>
      <c r="M2079" s="36">
        <f>YEAR(Table1[[#This Row],[ETA
As requested
dd.mm.yyyy]])</f>
        <v>2024</v>
      </c>
      <c r="N2079" s="36">
        <f>IFERROR(INDEX(DATABASE_FG!$H$5:$H$367, MATCH(E2079, DATABASE_FG!$C$5:$C$367, 0)), " ")</f>
        <v>0</v>
      </c>
      <c r="O2079" s="129" t="str">
        <f>IF(E2079&lt;&gt;"", _xlfn.XLOOKUP(E2079, DATABASE_FG!C:C, DATABASE_FG!F:F), " ")</f>
        <v>Ghidaje</v>
      </c>
      <c r="P2079" s="36">
        <f>IFERROR(INDEX(DATABASE_FG!$G$5:$G$367, MATCH(E2079, DATABASE_FG!$C$5:$C$367, 0)), "Not Found")</f>
        <v>0</v>
      </c>
      <c r="Q2079" s="36"/>
      <c r="R2079" s="125" t="s">
        <v>678</v>
      </c>
      <c r="S2079" s="123">
        <f>IFERROR(INDEX(DATABASE_FG!$L$5:$L$367, MATCH(E2079, DATABASE_FG!$C$5:$C$367, 0)), " ")</f>
        <v>42</v>
      </c>
      <c r="T2079" s="36" t="s">
        <v>679</v>
      </c>
      <c r="U2079" s="36"/>
      <c r="V2079" s="36"/>
      <c r="W2079" s="129"/>
      <c r="X2079" s="36"/>
      <c r="Y2079" s="36"/>
      <c r="Z2079" s="36"/>
      <c r="AA2079" s="125" t="s">
        <v>121</v>
      </c>
      <c r="AB2079" s="173">
        <v>45597</v>
      </c>
      <c r="AC2079" s="119">
        <v>202401315</v>
      </c>
      <c r="AD2079" s="36">
        <f t="shared" si="240"/>
        <v>37871632</v>
      </c>
      <c r="AE2079" s="36" t="str">
        <f t="shared" si="241"/>
        <v>TK.KWVE15-B-A-ESC-0038-WW1</v>
      </c>
      <c r="AF2079" s="36">
        <v>44</v>
      </c>
      <c r="AG2079" s="120">
        <f t="shared" si="239"/>
        <v>156.64000000000001</v>
      </c>
      <c r="AH2079" s="36"/>
      <c r="AI2079" s="124"/>
      <c r="AJ2079" s="122" t="s">
        <v>2549</v>
      </c>
      <c r="AK2079" s="129" t="str">
        <f t="shared" ca="1" si="238"/>
        <v>On Time</v>
      </c>
      <c r="AL2079" s="268" t="str">
        <f t="shared" si="237"/>
        <v>November</v>
      </c>
      <c r="AM2079" s="133">
        <f>YEAR(Table1[[#This Row],[ETA
As requested
dd.mm.yyyy]])</f>
        <v>2024</v>
      </c>
    </row>
    <row r="2080" spans="1:39" hidden="1">
      <c r="A2080" s="123" t="s">
        <v>83</v>
      </c>
      <c r="B2080" s="36" t="s">
        <v>1170</v>
      </c>
      <c r="C2080" s="117">
        <v>37871632</v>
      </c>
      <c r="D2080" s="165">
        <v>45587</v>
      </c>
      <c r="E2080" s="117" t="s">
        <v>99</v>
      </c>
      <c r="F2080" s="36" t="str">
        <f>IFERROR(VLOOKUP(Table1[[#This Row],[Part Number]],DATABASE_FG!$C$6:D12069,2,FALSE)," ")</f>
        <v xml:space="preserve">054380529-8011 </v>
      </c>
      <c r="G2080" s="117">
        <f>IFERROR(_xlfn.XLOOKUP(Table1[[#This Row],[Part Number]],Table3[Part number],Table3[Drawing
 Revision]),"")</f>
        <v>0</v>
      </c>
      <c r="H2080" s="118" cm="1">
        <f t="array" ref="H2080">IFERROR(INDEX(PDB!$C:$AT,MATCH(E2080,PDB!$B:$B,0),MATCH(YEAR(K2080),0+PDB!$C$1:$AT$1,0)),"")</f>
        <v>3.56</v>
      </c>
      <c r="I2080" s="36">
        <v>144</v>
      </c>
      <c r="J2080" s="125">
        <f>IFERROR(Table1[[#This Row],[Quantity]]*Table1[[#This Row],[Price/Unit
EUR]]," ")</f>
        <v>512.64</v>
      </c>
      <c r="K2080" s="126">
        <v>45601</v>
      </c>
      <c r="L2080" s="36">
        <f>WEEKNUM(Table1[[#This Row],[ETA
As requested
dd.mm.yyyy]])</f>
        <v>45</v>
      </c>
      <c r="M2080" s="36">
        <f>YEAR(Table1[[#This Row],[ETA
As requested
dd.mm.yyyy]])</f>
        <v>2024</v>
      </c>
      <c r="N2080" s="36">
        <f>IFERROR(INDEX(DATABASE_FG!$H$5:$H$367, MATCH(E2080, DATABASE_FG!$C$5:$C$367, 0)), " ")</f>
        <v>0</v>
      </c>
      <c r="O2080" s="129" t="str">
        <f>IF(E2080&lt;&gt;"", _xlfn.XLOOKUP(E2080, DATABASE_FG!C:C, DATABASE_FG!F:F), " ")</f>
        <v>Ghidaje</v>
      </c>
      <c r="P2080" s="36">
        <f>IFERROR(INDEX(DATABASE_FG!$G$5:$G$367, MATCH(E2080, DATABASE_FG!$C$5:$C$367, 0)), "Not Found")</f>
        <v>0</v>
      </c>
      <c r="Q2080" s="36"/>
      <c r="R2080" s="125" t="s">
        <v>678</v>
      </c>
      <c r="S2080" s="123">
        <f>IFERROR(INDEX(DATABASE_FG!$L$5:$L$367, MATCH(E2080, DATABASE_FG!$C$5:$C$367, 0)), " ")</f>
        <v>42</v>
      </c>
      <c r="T2080" s="36" t="s">
        <v>679</v>
      </c>
      <c r="U2080" s="36"/>
      <c r="V2080" s="36"/>
      <c r="W2080" s="129"/>
      <c r="X2080" s="36" t="s">
        <v>1750</v>
      </c>
      <c r="Y2080" s="36"/>
      <c r="Z2080" s="36" t="s">
        <v>2428</v>
      </c>
      <c r="AA2080" s="125" t="s">
        <v>121</v>
      </c>
      <c r="AB2080" s="173">
        <v>45604</v>
      </c>
      <c r="AC2080" s="119">
        <v>202401361</v>
      </c>
      <c r="AD2080" s="36">
        <f t="shared" si="240"/>
        <v>37871632</v>
      </c>
      <c r="AE2080" s="36" t="str">
        <f t="shared" si="241"/>
        <v>TK.KWVE15-B-A-ESC-0038-WW1</v>
      </c>
      <c r="AF2080" s="36">
        <v>144</v>
      </c>
      <c r="AG2080" s="120">
        <f t="shared" si="239"/>
        <v>512.64</v>
      </c>
      <c r="AH2080" s="36"/>
      <c r="AI2080" s="124"/>
      <c r="AJ2080" s="122" t="s">
        <v>2552</v>
      </c>
      <c r="AK2080" s="129" t="str">
        <f t="shared" ca="1" si="238"/>
        <v>Late</v>
      </c>
      <c r="AL2080" s="268" t="str">
        <f t="shared" si="237"/>
        <v>November</v>
      </c>
      <c r="AM2080" s="133">
        <f>YEAR(Table1[[#This Row],[ETA
As requested
dd.mm.yyyy]])</f>
        <v>2024</v>
      </c>
    </row>
    <row r="2081" spans="1:39" hidden="1">
      <c r="A2081" s="123" t="s">
        <v>83</v>
      </c>
      <c r="B2081" s="36" t="s">
        <v>1170</v>
      </c>
      <c r="C2081" s="117">
        <v>37871632</v>
      </c>
      <c r="D2081" s="165">
        <v>45587</v>
      </c>
      <c r="E2081" s="117" t="s">
        <v>99</v>
      </c>
      <c r="F2081" s="36" t="str">
        <f>IFERROR(VLOOKUP(Table1[[#This Row],[Part Number]],DATABASE_FG!$C$6:D12070,2,FALSE)," ")</f>
        <v xml:space="preserve">054380529-8011 </v>
      </c>
      <c r="G2081" s="117">
        <f>IFERROR(_xlfn.XLOOKUP(Table1[[#This Row],[Part Number]],Table3[Part number],Table3[Drawing
 Revision]),"")</f>
        <v>0</v>
      </c>
      <c r="H2081" s="118" cm="1">
        <f t="array" ref="H2081">IFERROR(INDEX(PDB!$C:$AT,MATCH(E2081,PDB!$B:$B,0),MATCH(YEAR(K2081),0+PDB!$C$1:$AT$1,0)),"")</f>
        <v>3.56</v>
      </c>
      <c r="I2081" s="36">
        <v>56</v>
      </c>
      <c r="J2081" s="125">
        <f>IFERROR(Table1[[#This Row],[Quantity]]*Table1[[#This Row],[Price/Unit
EUR]]," ")</f>
        <v>199.36</v>
      </c>
      <c r="K2081" s="126">
        <v>45601</v>
      </c>
      <c r="L2081" s="36">
        <f>WEEKNUM(Table1[[#This Row],[ETA
As requested
dd.mm.yyyy]])</f>
        <v>45</v>
      </c>
      <c r="M2081" s="36">
        <f>YEAR(Table1[[#This Row],[ETA
As requested
dd.mm.yyyy]])</f>
        <v>2024</v>
      </c>
      <c r="N2081" s="36">
        <f>IFERROR(INDEX(DATABASE_FG!$H$5:$H$367, MATCH(E2081, DATABASE_FG!$C$5:$C$367, 0)), " ")</f>
        <v>0</v>
      </c>
      <c r="O2081" s="129" t="str">
        <f>IF(E2081&lt;&gt;"", _xlfn.XLOOKUP(E2081, DATABASE_FG!C:C, DATABASE_FG!F:F), " ")</f>
        <v>Ghidaje</v>
      </c>
      <c r="P2081" s="36">
        <f>IFERROR(INDEX(DATABASE_FG!$G$5:$G$367, MATCH(E2081, DATABASE_FG!$C$5:$C$367, 0)), "Not Found")</f>
        <v>0</v>
      </c>
      <c r="Q2081" s="36"/>
      <c r="R2081" s="125" t="s">
        <v>678</v>
      </c>
      <c r="S2081" s="123">
        <f>IFERROR(INDEX(DATABASE_FG!$L$5:$L$367, MATCH(E2081, DATABASE_FG!$C$5:$C$367, 0)), " ")</f>
        <v>42</v>
      </c>
      <c r="T2081" s="36" t="s">
        <v>679</v>
      </c>
      <c r="U2081" s="36"/>
      <c r="V2081" s="36"/>
      <c r="W2081" s="129"/>
      <c r="X2081" s="36"/>
      <c r="Y2081" s="36"/>
      <c r="Z2081" s="36"/>
      <c r="AA2081" s="125" t="s">
        <v>121</v>
      </c>
      <c r="AB2081" s="173">
        <v>45636</v>
      </c>
      <c r="AC2081" s="119">
        <v>202401514</v>
      </c>
      <c r="AD2081" s="36">
        <f t="shared" si="240"/>
        <v>37871632</v>
      </c>
      <c r="AE2081" s="36" t="str">
        <f t="shared" si="241"/>
        <v>TK.KWVE15-B-A-ESC-0038-WW1</v>
      </c>
      <c r="AF2081" s="36">
        <v>56</v>
      </c>
      <c r="AG2081" s="120">
        <f t="shared" si="239"/>
        <v>199.36</v>
      </c>
      <c r="AH2081" s="36"/>
      <c r="AI2081" s="124"/>
      <c r="AJ2081" s="122" t="s">
        <v>2558</v>
      </c>
      <c r="AK2081" s="129" t="str">
        <f t="shared" ca="1" si="238"/>
        <v>Late</v>
      </c>
      <c r="AL2081" s="268" t="str">
        <f t="shared" si="237"/>
        <v>November</v>
      </c>
      <c r="AM2081" s="133">
        <f>YEAR(Table1[[#This Row],[ETA
As requested
dd.mm.yyyy]])</f>
        <v>2024</v>
      </c>
    </row>
    <row r="2082" spans="1:39" hidden="1">
      <c r="A2082" s="123" t="s">
        <v>83</v>
      </c>
      <c r="B2082" s="36" t="s">
        <v>1170</v>
      </c>
      <c r="C2082" s="117">
        <v>38036624</v>
      </c>
      <c r="D2082" s="165">
        <v>45614</v>
      </c>
      <c r="E2082" s="117" t="s">
        <v>99</v>
      </c>
      <c r="F2082" s="36" t="str">
        <f>IFERROR(VLOOKUP(Table1[[#This Row],[Part Number]],DATABASE_FG!$C$6:D12071,2,FALSE)," ")</f>
        <v xml:space="preserve">054380529-8011 </v>
      </c>
      <c r="G2082" s="117">
        <f>IFERROR(_xlfn.XLOOKUP(Table1[[#This Row],[Part Number]],Table3[Part number],Table3[Drawing
 Revision]),"")</f>
        <v>0</v>
      </c>
      <c r="H2082" s="118" cm="1">
        <f t="array" ref="H2082">IFERROR(INDEX(PDB!$C:$AT,MATCH(E2082,PDB!$B:$B,0),MATCH(YEAR(K2082),0+PDB!$C$1:$AT$1,0)),"")</f>
        <v>3.56</v>
      </c>
      <c r="I2082" s="36">
        <v>150</v>
      </c>
      <c r="J2082" s="125">
        <f>IFERROR(Table1[[#This Row],[Quantity]]*Table1[[#This Row],[Price/Unit
EUR]]," ")</f>
        <v>534</v>
      </c>
      <c r="K2082" s="126">
        <v>45629</v>
      </c>
      <c r="L2082" s="36">
        <f>WEEKNUM(Table1[[#This Row],[ETA
As requested
dd.mm.yyyy]])</f>
        <v>49</v>
      </c>
      <c r="M2082" s="36">
        <f>YEAR(Table1[[#This Row],[ETA
As requested
dd.mm.yyyy]])</f>
        <v>2024</v>
      </c>
      <c r="N2082" s="36">
        <f>IFERROR(INDEX(DATABASE_FG!$H$5:$H$367, MATCH(E2082, DATABASE_FG!$C$5:$C$367, 0)), " ")</f>
        <v>0</v>
      </c>
      <c r="O2082" s="129" t="str">
        <f>IF(E2082&lt;&gt;"", _xlfn.XLOOKUP(E2082, DATABASE_FG!C:C, DATABASE_FG!F:F), " ")</f>
        <v>Ghidaje</v>
      </c>
      <c r="P2082" s="36">
        <f>IFERROR(INDEX(DATABASE_FG!$G$5:$G$367, MATCH(E2082, DATABASE_FG!$C$5:$C$367, 0)), "Not Found")</f>
        <v>0</v>
      </c>
      <c r="Q2082" s="36"/>
      <c r="R2082" s="125" t="s">
        <v>678</v>
      </c>
      <c r="S2082" s="123">
        <f>IFERROR(INDEX(DATABASE_FG!$L$5:$L$367, MATCH(E2082, DATABASE_FG!$C$5:$C$367, 0)), " ")</f>
        <v>42</v>
      </c>
      <c r="T2082" s="36" t="s">
        <v>679</v>
      </c>
      <c r="U2082" s="36"/>
      <c r="V2082" s="36"/>
      <c r="W2082" s="129"/>
      <c r="X2082" s="36"/>
      <c r="Y2082" s="36"/>
      <c r="Z2082" s="36"/>
      <c r="AA2082" s="125" t="s">
        <v>121</v>
      </c>
      <c r="AB2082" s="173">
        <v>45636</v>
      </c>
      <c r="AC2082" s="119">
        <v>202401515</v>
      </c>
      <c r="AD2082" s="36">
        <f t="shared" si="240"/>
        <v>38036624</v>
      </c>
      <c r="AE2082" s="36" t="str">
        <f t="shared" si="241"/>
        <v>TK.KWVE15-B-A-ESC-0038-WW1</v>
      </c>
      <c r="AF2082" s="36">
        <v>150</v>
      </c>
      <c r="AG2082" s="120">
        <f t="shared" si="239"/>
        <v>534</v>
      </c>
      <c r="AH2082" s="36"/>
      <c r="AI2082" s="124"/>
      <c r="AJ2082" s="122" t="s">
        <v>2641</v>
      </c>
      <c r="AK2082" s="129" t="str">
        <f t="shared" ca="1" si="238"/>
        <v>Late</v>
      </c>
      <c r="AL2082" s="268" t="str">
        <f t="shared" si="237"/>
        <v>December</v>
      </c>
      <c r="AM2082" s="133">
        <f>YEAR(Table1[[#This Row],[ETA
As requested
dd.mm.yyyy]])</f>
        <v>2024</v>
      </c>
    </row>
    <row r="2083" spans="1:39" hidden="1">
      <c r="A2083" s="123" t="s">
        <v>83</v>
      </c>
      <c r="B2083" s="36" t="s">
        <v>1170</v>
      </c>
      <c r="C2083" s="117">
        <v>38036624</v>
      </c>
      <c r="D2083" s="165">
        <v>45614</v>
      </c>
      <c r="E2083" s="117" t="s">
        <v>99</v>
      </c>
      <c r="F2083" s="36" t="str">
        <f>IFERROR(VLOOKUP(Table1[[#This Row],[Part Number]],DATABASE_FG!$C$6:D12072,2,FALSE)," ")</f>
        <v xml:space="preserve">054380529-8011 </v>
      </c>
      <c r="G2083" s="117">
        <f>IFERROR(_xlfn.XLOOKUP(Table1[[#This Row],[Part Number]],Table3[Part number],Table3[Drawing
 Revision]),"")</f>
        <v>0</v>
      </c>
      <c r="H2083" s="118" cm="1">
        <f t="array" ref="H2083">IFERROR(INDEX(PDB!$C:$AT,MATCH(E2083,PDB!$B:$B,0),MATCH(YEAR(K2083),0+PDB!$C$1:$AT$1,0)),"")</f>
        <v>3.56</v>
      </c>
      <c r="I2083" s="36">
        <v>446</v>
      </c>
      <c r="J2083" s="125">
        <f>IFERROR(Table1[[#This Row],[Quantity]]*Table1[[#This Row],[Price/Unit
EUR]]," ")</f>
        <v>1587.76</v>
      </c>
      <c r="K2083" s="126">
        <v>45629</v>
      </c>
      <c r="L2083" s="36">
        <f>WEEKNUM(Table1[[#This Row],[ETA
As requested
dd.mm.yyyy]])</f>
        <v>49</v>
      </c>
      <c r="M2083" s="36">
        <f>YEAR(Table1[[#This Row],[ETA
As requested
dd.mm.yyyy]])</f>
        <v>2024</v>
      </c>
      <c r="N2083" s="36">
        <f>IFERROR(INDEX(DATABASE_FG!$H$5:$H$367, MATCH(E2083, DATABASE_FG!$C$5:$C$367, 0)), " ")</f>
        <v>0</v>
      </c>
      <c r="O2083" s="129" t="str">
        <f>IF(E2083&lt;&gt;"", _xlfn.XLOOKUP(E2083, DATABASE_FG!C:C, DATABASE_FG!F:F), " ")</f>
        <v>Ghidaje</v>
      </c>
      <c r="P2083" s="36">
        <f>IFERROR(INDEX(DATABASE_FG!$G$5:$G$367, MATCH(E2083, DATABASE_FG!$C$5:$C$367, 0)), "Not Found")</f>
        <v>0</v>
      </c>
      <c r="Q2083" s="36"/>
      <c r="R2083" s="125" t="s">
        <v>678</v>
      </c>
      <c r="S2083" s="123">
        <f>IFERROR(INDEX(DATABASE_FG!$L$5:$L$367, MATCH(E2083, DATABASE_FG!$C$5:$C$367, 0)), " ")</f>
        <v>42</v>
      </c>
      <c r="T2083" s="36" t="s">
        <v>679</v>
      </c>
      <c r="U2083" s="36" t="s">
        <v>2643</v>
      </c>
      <c r="V2083" s="36"/>
      <c r="W2083" s="129"/>
      <c r="X2083" s="36"/>
      <c r="Y2083" s="36"/>
      <c r="Z2083" s="36"/>
      <c r="AA2083" s="125" t="s">
        <v>121</v>
      </c>
      <c r="AB2083" s="173">
        <v>45638</v>
      </c>
      <c r="AC2083" s="119">
        <v>202401532</v>
      </c>
      <c r="AD2083" s="36">
        <f t="shared" si="240"/>
        <v>38036624</v>
      </c>
      <c r="AE2083" s="36" t="str">
        <f t="shared" si="241"/>
        <v>TK.KWVE15-B-A-ESC-0038-WW1</v>
      </c>
      <c r="AF2083" s="36">
        <v>446</v>
      </c>
      <c r="AG2083" s="120">
        <f t="shared" si="239"/>
        <v>1587.76</v>
      </c>
      <c r="AH2083" s="36"/>
      <c r="AI2083" s="124"/>
      <c r="AJ2083" s="122" t="s">
        <v>2644</v>
      </c>
      <c r="AK2083" s="129" t="str">
        <f t="shared" ca="1" si="238"/>
        <v>Late</v>
      </c>
      <c r="AL2083" s="268" t="str">
        <f t="shared" si="237"/>
        <v>December</v>
      </c>
      <c r="AM2083" s="133">
        <f>YEAR(Table1[[#This Row],[ETA
As requested
dd.mm.yyyy]])</f>
        <v>2024</v>
      </c>
    </row>
    <row r="2084" spans="1:39" hidden="1">
      <c r="A2084" s="123" t="s">
        <v>83</v>
      </c>
      <c r="B2084" s="36" t="s">
        <v>1170</v>
      </c>
      <c r="C2084" s="117">
        <v>38036624</v>
      </c>
      <c r="D2084" s="165">
        <v>45614</v>
      </c>
      <c r="E2084" s="117" t="s">
        <v>99</v>
      </c>
      <c r="F2084" s="36" t="str">
        <f>IFERROR(VLOOKUP(Table1[[#This Row],[Part Number]],DATABASE_FG!$C$6:D12073,2,FALSE)," ")</f>
        <v xml:space="preserve">054380529-8011 </v>
      </c>
      <c r="G2084" s="117">
        <f>IFERROR(_xlfn.XLOOKUP(Table1[[#This Row],[Part Number]],Table3[Part number],Table3[Drawing
 Revision]),"")</f>
        <v>0</v>
      </c>
      <c r="H2084" s="118" cm="1">
        <f t="array" ref="H2084">IFERROR(INDEX(PDB!$C:$AT,MATCH(E2084,PDB!$B:$B,0),MATCH(YEAR(K2084),0+PDB!$C$1:$AT$1,0)),"")</f>
        <v>3.56</v>
      </c>
      <c r="I2084" s="36">
        <v>4</v>
      </c>
      <c r="J2084" s="125">
        <f>IFERROR(Table1[[#This Row],[Quantity]]*Table1[[#This Row],[Price/Unit
EUR]]," ")</f>
        <v>14.24</v>
      </c>
      <c r="K2084" s="126">
        <v>45636</v>
      </c>
      <c r="L2084" s="36">
        <f>WEEKNUM(Table1[[#This Row],[ETA
As requested
dd.mm.yyyy]])</f>
        <v>50</v>
      </c>
      <c r="M2084" s="36">
        <f>YEAR(Table1[[#This Row],[ETA
As requested
dd.mm.yyyy]])</f>
        <v>2024</v>
      </c>
      <c r="N2084" s="36">
        <f>IFERROR(INDEX(DATABASE_FG!$H$5:$H$367, MATCH(E2084, DATABASE_FG!$C$5:$C$367, 0)), " ")</f>
        <v>0</v>
      </c>
      <c r="O2084" s="129" t="str">
        <f>IF(E2084&lt;&gt;"", _xlfn.XLOOKUP(E2084, DATABASE_FG!C:C, DATABASE_FG!F:F), " ")</f>
        <v>Ghidaje</v>
      </c>
      <c r="P2084" s="36">
        <f>IFERROR(INDEX(DATABASE_FG!$G$5:$G$367, MATCH(E2084, DATABASE_FG!$C$5:$C$367, 0)), "Not Found")</f>
        <v>0</v>
      </c>
      <c r="Q2084" s="36"/>
      <c r="R2084" s="125" t="s">
        <v>678</v>
      </c>
      <c r="S2084" s="123">
        <f>IFERROR(INDEX(DATABASE_FG!$L$5:$L$367, MATCH(E2084, DATABASE_FG!$C$5:$C$367, 0)), " ")</f>
        <v>42</v>
      </c>
      <c r="T2084" s="36" t="s">
        <v>679</v>
      </c>
      <c r="U2084" s="36"/>
      <c r="V2084" s="36"/>
      <c r="W2084" s="129"/>
      <c r="X2084" s="36"/>
      <c r="Y2084" s="36"/>
      <c r="Z2084" s="36"/>
      <c r="AA2084" s="125" t="s">
        <v>121</v>
      </c>
      <c r="AB2084" s="173">
        <v>45674</v>
      </c>
      <c r="AC2084" s="119" t="s">
        <v>2662</v>
      </c>
      <c r="AD2084" s="36">
        <f t="shared" si="240"/>
        <v>38036624</v>
      </c>
      <c r="AE2084" s="36" t="str">
        <f t="shared" si="241"/>
        <v>TK.KWVE15-B-A-ESC-0038-WW1</v>
      </c>
      <c r="AF2084" s="36">
        <v>4</v>
      </c>
      <c r="AG2084" s="120">
        <f t="shared" si="239"/>
        <v>14.24</v>
      </c>
      <c r="AH2084" s="36"/>
      <c r="AI2084" s="124"/>
      <c r="AJ2084" s="122" t="s">
        <v>2663</v>
      </c>
      <c r="AK2084" s="129" t="str">
        <f t="shared" ca="1" si="238"/>
        <v>Late</v>
      </c>
      <c r="AL2084" s="268" t="str">
        <f t="shared" si="237"/>
        <v>December</v>
      </c>
      <c r="AM2084" s="133">
        <f>YEAR(Table1[[#This Row],[ETA
As requested
dd.mm.yyyy]])</f>
        <v>2024</v>
      </c>
    </row>
    <row r="2085" spans="1:39" hidden="1">
      <c r="A2085" s="123" t="s">
        <v>83</v>
      </c>
      <c r="B2085" s="36" t="s">
        <v>1170</v>
      </c>
      <c r="C2085" s="117">
        <v>38215957</v>
      </c>
      <c r="D2085" s="165">
        <v>45635</v>
      </c>
      <c r="E2085" s="117" t="s">
        <v>99</v>
      </c>
      <c r="F2085" s="36" t="str">
        <f>IFERROR(VLOOKUP(Table1[[#This Row],[Part Number]],DATABASE_FG!$C$6:D12074,2,FALSE)," ")</f>
        <v xml:space="preserve">054380529-8011 </v>
      </c>
      <c r="G2085" s="117">
        <f>IFERROR(_xlfn.XLOOKUP(Table1[[#This Row],[Part Number]],Table3[Part number],Table3[Drawing
 Revision]),"")</f>
        <v>0</v>
      </c>
      <c r="H2085" s="118" cm="1">
        <f t="array" ref="H2085">IFERROR(INDEX(PDB!$C:$AT,MATCH(E2085,PDB!$B:$B,0),MATCH(YEAR(K2085),0+PDB!$C$1:$AT$1,0)),"")</f>
        <v>3.56</v>
      </c>
      <c r="I2085" s="36">
        <v>300</v>
      </c>
      <c r="J2085" s="125">
        <f>IFERROR(Table1[[#This Row],[Quantity]]*Table1[[#This Row],[Price/Unit
EUR]]," ")</f>
        <v>1068</v>
      </c>
      <c r="K2085" s="126">
        <v>45666</v>
      </c>
      <c r="L2085" s="36">
        <f>WEEKNUM(Table1[[#This Row],[ETA
As requested
dd.mm.yyyy]])</f>
        <v>2</v>
      </c>
      <c r="M2085" s="36">
        <f>YEAR(Table1[[#This Row],[ETA
As requested
dd.mm.yyyy]])</f>
        <v>2025</v>
      </c>
      <c r="N2085" s="36">
        <f>IFERROR(INDEX(DATABASE_FG!$H$5:$H$367, MATCH(E2085, DATABASE_FG!$C$5:$C$367, 0)), " ")</f>
        <v>0</v>
      </c>
      <c r="O2085" s="129" t="str">
        <f>IF(E2085&lt;&gt;"", _xlfn.XLOOKUP(E2085, DATABASE_FG!C:C, DATABASE_FG!F:F), " ")</f>
        <v>Ghidaje</v>
      </c>
      <c r="P2085" s="36">
        <f>IFERROR(INDEX(DATABASE_FG!$G$5:$G$367, MATCH(E2085, DATABASE_FG!$C$5:$C$367, 0)), "Not Found")</f>
        <v>0</v>
      </c>
      <c r="Q2085" s="36"/>
      <c r="R2085" s="125" t="s">
        <v>678</v>
      </c>
      <c r="S2085" s="123">
        <f>IFERROR(INDEX(DATABASE_FG!$L$5:$L$367, MATCH(E2085, DATABASE_FG!$C$5:$C$367, 0)), " ")</f>
        <v>42</v>
      </c>
      <c r="T2085" s="36" t="s">
        <v>679</v>
      </c>
      <c r="U2085" s="36"/>
      <c r="V2085" s="36"/>
      <c r="W2085" s="129"/>
      <c r="X2085" s="36"/>
      <c r="Y2085" s="36"/>
      <c r="Z2085" s="36"/>
      <c r="AA2085" s="125" t="s">
        <v>121</v>
      </c>
      <c r="AB2085" s="173">
        <v>45674</v>
      </c>
      <c r="AC2085" s="119" t="s">
        <v>2699</v>
      </c>
      <c r="AD2085" s="36">
        <f t="shared" si="240"/>
        <v>38215957</v>
      </c>
      <c r="AE2085" s="36" t="str">
        <f t="shared" si="241"/>
        <v>TK.KWVE15-B-A-ESC-0038-WW1</v>
      </c>
      <c r="AF2085" s="36">
        <v>300</v>
      </c>
      <c r="AG2085" s="120">
        <f t="shared" si="239"/>
        <v>1068</v>
      </c>
      <c r="AH2085" s="36"/>
      <c r="AI2085" s="124"/>
      <c r="AJ2085" s="122" t="s">
        <v>2700</v>
      </c>
      <c r="AK2085" s="129" t="str">
        <f t="shared" ca="1" si="238"/>
        <v>Late</v>
      </c>
      <c r="AL2085" s="268" t="str">
        <f t="shared" si="237"/>
        <v>January</v>
      </c>
      <c r="AM2085" s="133">
        <f>YEAR(Table1[[#This Row],[ETA
As requested
dd.mm.yyyy]])</f>
        <v>2025</v>
      </c>
    </row>
    <row r="2086" spans="1:39" hidden="1">
      <c r="A2086" s="123" t="s">
        <v>83</v>
      </c>
      <c r="B2086" s="36" t="s">
        <v>1170</v>
      </c>
      <c r="C2086" s="117">
        <v>38215957</v>
      </c>
      <c r="D2086" s="165">
        <v>45635</v>
      </c>
      <c r="E2086" s="117" t="s">
        <v>99</v>
      </c>
      <c r="F2086" s="36" t="str">
        <f>IFERROR(VLOOKUP(Table1[[#This Row],[Part Number]],DATABASE_FG!$C$6:D12075,2,FALSE)," ")</f>
        <v xml:space="preserve">054380529-8011 </v>
      </c>
      <c r="G2086" s="117">
        <f>IFERROR(_xlfn.XLOOKUP(Table1[[#This Row],[Part Number]],Table3[Part number],Table3[Drawing
 Revision]),"")</f>
        <v>0</v>
      </c>
      <c r="H2086" s="118" cm="1">
        <f t="array" ref="H2086">IFERROR(INDEX(PDB!$C:$AT,MATCH(E2086,PDB!$B:$B,0),MATCH(YEAR(K2086),0+PDB!$C$1:$AT$1,0)),"")</f>
        <v>3.56</v>
      </c>
      <c r="I2086" s="36">
        <v>270</v>
      </c>
      <c r="J2086" s="125">
        <f>IFERROR(Table1[[#This Row],[Quantity]]*Table1[[#This Row],[Price/Unit
EUR]]," ")</f>
        <v>961.2</v>
      </c>
      <c r="K2086" s="126">
        <v>45673</v>
      </c>
      <c r="L2086" s="36">
        <f>WEEKNUM(Table1[[#This Row],[ETA
As requested
dd.mm.yyyy]])</f>
        <v>3</v>
      </c>
      <c r="M2086" s="36">
        <f>YEAR(Table1[[#This Row],[ETA
As requested
dd.mm.yyyy]])</f>
        <v>2025</v>
      </c>
      <c r="N2086" s="36">
        <f>IFERROR(INDEX(DATABASE_FG!$H$5:$H$367, MATCH(E2086, DATABASE_FG!$C$5:$C$367, 0)), " ")</f>
        <v>0</v>
      </c>
      <c r="O2086" s="129" t="str">
        <f>IF(E2086&lt;&gt;"", _xlfn.XLOOKUP(E2086, DATABASE_FG!C:C, DATABASE_FG!F:F), " ")</f>
        <v>Ghidaje</v>
      </c>
      <c r="P2086" s="36">
        <f>IFERROR(INDEX(DATABASE_FG!$G$5:$G$367, MATCH(E2086, DATABASE_FG!$C$5:$C$367, 0)), "Not Found")</f>
        <v>0</v>
      </c>
      <c r="Q2086" s="36"/>
      <c r="R2086" s="125" t="s">
        <v>678</v>
      </c>
      <c r="S2086" s="123">
        <f>IFERROR(INDEX(DATABASE_FG!$L$5:$L$367, MATCH(E2086, DATABASE_FG!$C$5:$C$367, 0)), " ")</f>
        <v>42</v>
      </c>
      <c r="T2086" s="36" t="s">
        <v>679</v>
      </c>
      <c r="U2086" s="36"/>
      <c r="V2086" s="36"/>
      <c r="W2086" s="129"/>
      <c r="X2086" s="36"/>
      <c r="Y2086" s="36"/>
      <c r="Z2086" s="36"/>
      <c r="AA2086" s="125" t="s">
        <v>121</v>
      </c>
      <c r="AB2086" s="173">
        <v>45674</v>
      </c>
      <c r="AC2086" s="119" t="s">
        <v>2699</v>
      </c>
      <c r="AD2086" s="36">
        <f t="shared" si="240"/>
        <v>38215957</v>
      </c>
      <c r="AE2086" s="36" t="str">
        <f t="shared" si="241"/>
        <v>TK.KWVE15-B-A-ESC-0038-WW1</v>
      </c>
      <c r="AF2086" s="36">
        <v>270</v>
      </c>
      <c r="AG2086" s="120">
        <f t="shared" si="239"/>
        <v>961.2</v>
      </c>
      <c r="AH2086" s="36"/>
      <c r="AI2086" s="124"/>
      <c r="AJ2086" s="122" t="s">
        <v>2700</v>
      </c>
      <c r="AK2086" s="129" t="str">
        <f t="shared" ca="1" si="238"/>
        <v>On Time</v>
      </c>
      <c r="AL2086" s="268" t="str">
        <f t="shared" si="237"/>
        <v>January</v>
      </c>
      <c r="AM2086" s="133">
        <f>YEAR(Table1[[#This Row],[ETA
As requested
dd.mm.yyyy]])</f>
        <v>2025</v>
      </c>
    </row>
    <row r="2087" spans="1:39" hidden="1">
      <c r="A2087" s="123" t="s">
        <v>83</v>
      </c>
      <c r="B2087" s="36" t="s">
        <v>1170</v>
      </c>
      <c r="C2087" s="117">
        <v>38215957</v>
      </c>
      <c r="D2087" s="165">
        <v>45635</v>
      </c>
      <c r="E2087" s="117" t="s">
        <v>99</v>
      </c>
      <c r="F2087" s="36" t="str">
        <f>IFERROR(VLOOKUP(Table1[[#This Row],[Part Number]],DATABASE_FG!$C$6:D12076,2,FALSE)," ")</f>
        <v xml:space="preserve">054380529-8011 </v>
      </c>
      <c r="G2087" s="117">
        <f>IFERROR(_xlfn.XLOOKUP(Table1[[#This Row],[Part Number]],Table3[Part number],Table3[Drawing
 Revision]),"")</f>
        <v>0</v>
      </c>
      <c r="H2087" s="118" cm="1">
        <f t="array" ref="H2087">IFERROR(INDEX(PDB!$C:$AT,MATCH(E2087,PDB!$B:$B,0),MATCH(YEAR(K2087),0+PDB!$C$1:$AT$1,0)),"")</f>
        <v>3.56</v>
      </c>
      <c r="I2087" s="36">
        <v>26</v>
      </c>
      <c r="J2087" s="125">
        <f>IFERROR(Table1[[#This Row],[Quantity]]*Table1[[#This Row],[Price/Unit
EUR]]," ")</f>
        <v>92.56</v>
      </c>
      <c r="K2087" s="126">
        <v>45673</v>
      </c>
      <c r="L2087" s="36">
        <f>WEEKNUM(Table1[[#This Row],[ETA
As requested
dd.mm.yyyy]])</f>
        <v>3</v>
      </c>
      <c r="M2087" s="36">
        <f>YEAR(Table1[[#This Row],[ETA
As requested
dd.mm.yyyy]])</f>
        <v>2025</v>
      </c>
      <c r="N2087" s="36">
        <f>IFERROR(INDEX(DATABASE_FG!$H$5:$H$367, MATCH(E2087, DATABASE_FG!$C$5:$C$367, 0)), " ")</f>
        <v>0</v>
      </c>
      <c r="O2087" s="129" t="str">
        <f>IF(E2087&lt;&gt;"", _xlfn.XLOOKUP(E2087, DATABASE_FG!C:C, DATABASE_FG!F:F), " ")</f>
        <v>Ghidaje</v>
      </c>
      <c r="P2087" s="36">
        <f>IFERROR(INDEX(DATABASE_FG!$G$5:$G$367, MATCH(E2087, DATABASE_FG!$C$5:$C$367, 0)), "Not Found")</f>
        <v>0</v>
      </c>
      <c r="Q2087" s="36"/>
      <c r="R2087" s="125" t="s">
        <v>678</v>
      </c>
      <c r="S2087" s="123">
        <f>IFERROR(INDEX(DATABASE_FG!$L$5:$L$367, MATCH(E2087, DATABASE_FG!$C$5:$C$367, 0)), " ")</f>
        <v>42</v>
      </c>
      <c r="T2087" s="36" t="s">
        <v>679</v>
      </c>
      <c r="U2087" s="36"/>
      <c r="V2087" s="36"/>
      <c r="W2087" s="129"/>
      <c r="X2087" s="36"/>
      <c r="Y2087" s="36"/>
      <c r="Z2087" s="36"/>
      <c r="AA2087" s="125" t="s">
        <v>121</v>
      </c>
      <c r="AB2087" s="172">
        <v>45688</v>
      </c>
      <c r="AC2087" s="119" t="s">
        <v>2726</v>
      </c>
      <c r="AD2087" s="36">
        <f t="shared" si="240"/>
        <v>38215957</v>
      </c>
      <c r="AE2087" s="36" t="str">
        <f t="shared" si="241"/>
        <v>TK.KWVE15-B-A-ESC-0038-WW1</v>
      </c>
      <c r="AF2087" s="36">
        <v>26</v>
      </c>
      <c r="AG2087" s="120">
        <f t="shared" si="239"/>
        <v>92.56</v>
      </c>
      <c r="AH2087" s="36"/>
      <c r="AI2087" s="124"/>
      <c r="AJ2087" s="122" t="s">
        <v>2727</v>
      </c>
      <c r="AK2087" s="129" t="str">
        <f t="shared" ca="1" si="238"/>
        <v>Late</v>
      </c>
      <c r="AL2087" s="268" t="str">
        <f t="shared" si="237"/>
        <v>January</v>
      </c>
      <c r="AM2087" s="133">
        <f>YEAR(Table1[[#This Row],[ETA
As requested
dd.mm.yyyy]])</f>
        <v>2025</v>
      </c>
    </row>
    <row r="2088" spans="1:39" hidden="1">
      <c r="A2088" s="123" t="s">
        <v>83</v>
      </c>
      <c r="B2088" s="36" t="s">
        <v>1170</v>
      </c>
      <c r="C2088" s="117">
        <v>38215957</v>
      </c>
      <c r="D2088" s="165">
        <v>45635</v>
      </c>
      <c r="E2088" s="117" t="s">
        <v>99</v>
      </c>
      <c r="F2088" s="36" t="str">
        <f>IFERROR(VLOOKUP(Table1[[#This Row],[Part Number]],DATABASE_FG!$C$6:D12077,2,FALSE)," ")</f>
        <v xml:space="preserve">054380529-8011 </v>
      </c>
      <c r="G2088" s="117">
        <f>IFERROR(_xlfn.XLOOKUP(Table1[[#This Row],[Part Number]],Table3[Part number],Table3[Drawing
 Revision]),"")</f>
        <v>0</v>
      </c>
      <c r="H2088" s="118" cm="1">
        <f t="array" ref="H2088">IFERROR(INDEX(PDB!$C:$AT,MATCH(E2088,PDB!$B:$B,0),MATCH(YEAR(K2088),0+PDB!$C$1:$AT$1,0)),"")</f>
        <v>3.56</v>
      </c>
      <c r="I2088" s="36">
        <v>93</v>
      </c>
      <c r="J2088" s="125">
        <f>IFERROR(Table1[[#This Row],[Quantity]]*Table1[[#This Row],[Price/Unit
EUR]]," ")</f>
        <v>331.08</v>
      </c>
      <c r="K2088" s="126">
        <v>45680</v>
      </c>
      <c r="L2088" s="36">
        <f>WEEKNUM(Table1[[#This Row],[ETA
As requested
dd.mm.yyyy]])</f>
        <v>4</v>
      </c>
      <c r="M2088" s="36">
        <f>YEAR(Table1[[#This Row],[ETA
As requested
dd.mm.yyyy]])</f>
        <v>2025</v>
      </c>
      <c r="N2088" s="36">
        <f>IFERROR(INDEX(DATABASE_FG!$H$5:$H$367, MATCH(E2088, DATABASE_FG!$C$5:$C$367, 0)), " ")</f>
        <v>0</v>
      </c>
      <c r="O2088" s="129" t="str">
        <f>IF(E2088&lt;&gt;"", _xlfn.XLOOKUP(E2088, DATABASE_FG!C:C, DATABASE_FG!F:F), " ")</f>
        <v>Ghidaje</v>
      </c>
      <c r="P2088" s="36">
        <f>IFERROR(INDEX(DATABASE_FG!$G$5:$G$367, MATCH(E2088, DATABASE_FG!$C$5:$C$367, 0)), "Not Found")</f>
        <v>0</v>
      </c>
      <c r="Q2088" s="36"/>
      <c r="R2088" s="125" t="s">
        <v>678</v>
      </c>
      <c r="S2088" s="123">
        <f>IFERROR(INDEX(DATABASE_FG!$L$5:$L$367, MATCH(E2088, DATABASE_FG!$C$5:$C$367, 0)), " ")</f>
        <v>42</v>
      </c>
      <c r="T2088" s="36" t="s">
        <v>679</v>
      </c>
      <c r="U2088" s="36"/>
      <c r="V2088" s="36"/>
      <c r="W2088" s="129"/>
      <c r="X2088" s="36"/>
      <c r="Y2088" s="36"/>
      <c r="Z2088" s="36"/>
      <c r="AA2088" s="125" t="s">
        <v>121</v>
      </c>
      <c r="AB2088" s="172">
        <v>45688</v>
      </c>
      <c r="AC2088" s="119" t="s">
        <v>2726</v>
      </c>
      <c r="AD2088" s="36">
        <f t="shared" si="240"/>
        <v>38215957</v>
      </c>
      <c r="AE2088" s="36" t="str">
        <f t="shared" si="241"/>
        <v>TK.KWVE15-B-A-ESC-0038-WW1</v>
      </c>
      <c r="AF2088" s="36">
        <v>93</v>
      </c>
      <c r="AG2088" s="120">
        <f t="shared" si="239"/>
        <v>331.08</v>
      </c>
      <c r="AH2088" s="36"/>
      <c r="AI2088" s="124"/>
      <c r="AJ2088" s="122" t="s">
        <v>2727</v>
      </c>
      <c r="AK2088" s="129" t="str">
        <f t="shared" ca="1" si="238"/>
        <v>Late</v>
      </c>
      <c r="AL2088" s="268" t="str">
        <f t="shared" si="237"/>
        <v>January</v>
      </c>
      <c r="AM2088" s="133">
        <f>YEAR(Table1[[#This Row],[ETA
As requested
dd.mm.yyyy]])</f>
        <v>2025</v>
      </c>
    </row>
    <row r="2089" spans="1:39" hidden="1">
      <c r="A2089" s="123" t="s">
        <v>83</v>
      </c>
      <c r="B2089" s="36" t="s">
        <v>1170</v>
      </c>
      <c r="C2089" s="117">
        <v>38215957</v>
      </c>
      <c r="D2089" s="165">
        <v>45635</v>
      </c>
      <c r="E2089" s="117" t="s">
        <v>99</v>
      </c>
      <c r="F2089" s="36" t="str">
        <f>IFERROR(VLOOKUP(Table1[[#This Row],[Part Number]],DATABASE_FG!$C$6:D12078,2,FALSE)," ")</f>
        <v xml:space="preserve">054380529-8011 </v>
      </c>
      <c r="G2089" s="117">
        <f>IFERROR(_xlfn.XLOOKUP(Table1[[#This Row],[Part Number]],Table3[Part number],Table3[Drawing
 Revision]),"")</f>
        <v>0</v>
      </c>
      <c r="H2089" s="118" cm="1">
        <f t="array" ref="H2089">IFERROR(INDEX(PDB!$C:$AT,MATCH(E2089,PDB!$B:$B,0),MATCH(YEAR(K2089),0+PDB!$C$1:$AT$1,0)),"")</f>
        <v>3.56</v>
      </c>
      <c r="I2089" s="36">
        <v>7</v>
      </c>
      <c r="J2089" s="125">
        <f>IFERROR(Table1[[#This Row],[Quantity]]*Table1[[#This Row],[Price/Unit
EUR]]," ")</f>
        <v>24.92</v>
      </c>
      <c r="K2089" s="126">
        <v>45680</v>
      </c>
      <c r="L2089" s="36">
        <f>WEEKNUM(Table1[[#This Row],[ETA
As requested
dd.mm.yyyy]])</f>
        <v>4</v>
      </c>
      <c r="M2089" s="36">
        <f>YEAR(Table1[[#This Row],[ETA
As requested
dd.mm.yyyy]])</f>
        <v>2025</v>
      </c>
      <c r="N2089" s="36">
        <f>IFERROR(INDEX(DATABASE_FG!$H$5:$H$367, MATCH(E2089, DATABASE_FG!$C$5:$C$367, 0)), " ")</f>
        <v>0</v>
      </c>
      <c r="O2089" s="129" t="str">
        <f>IF(E2089&lt;&gt;"", _xlfn.XLOOKUP(E2089, DATABASE_FG!C:C, DATABASE_FG!F:F), " ")</f>
        <v>Ghidaje</v>
      </c>
      <c r="P2089" s="36">
        <f>IFERROR(INDEX(DATABASE_FG!$G$5:$G$367, MATCH(E2089, DATABASE_FG!$C$5:$C$367, 0)), "Not Found")</f>
        <v>0</v>
      </c>
      <c r="Q2089" s="36"/>
      <c r="R2089" s="125" t="s">
        <v>678</v>
      </c>
      <c r="S2089" s="123">
        <f>IFERROR(INDEX(DATABASE_FG!$L$5:$L$367, MATCH(E2089, DATABASE_FG!$C$5:$C$367, 0)), " ")</f>
        <v>42</v>
      </c>
      <c r="T2089" s="36" t="s">
        <v>679</v>
      </c>
      <c r="U2089" s="36"/>
      <c r="V2089" s="36"/>
      <c r="W2089" s="129"/>
      <c r="X2089" s="36"/>
      <c r="Y2089" s="36"/>
      <c r="Z2089" s="36"/>
      <c r="AA2089" s="125" t="s">
        <v>121</v>
      </c>
      <c r="AB2089" s="173">
        <v>45691</v>
      </c>
      <c r="AC2089" s="119">
        <v>25134</v>
      </c>
      <c r="AD2089" s="36">
        <f t="shared" si="240"/>
        <v>38215957</v>
      </c>
      <c r="AE2089" s="36" t="str">
        <f t="shared" si="241"/>
        <v>TK.KWVE15-B-A-ESC-0038-WW1</v>
      </c>
      <c r="AF2089" s="36">
        <v>7</v>
      </c>
      <c r="AG2089" s="120">
        <f t="shared" si="239"/>
        <v>24.92</v>
      </c>
      <c r="AH2089" s="36"/>
      <c r="AI2089" s="124"/>
      <c r="AJ2089" s="122" t="s">
        <v>2758</v>
      </c>
      <c r="AK2089" s="129" t="str">
        <f t="shared" ca="1" si="238"/>
        <v>Late</v>
      </c>
      <c r="AL2089" s="268" t="str">
        <f t="shared" si="237"/>
        <v>January</v>
      </c>
      <c r="AM2089" s="133">
        <f>YEAR(Table1[[#This Row],[ETA
As requested
dd.mm.yyyy]])</f>
        <v>2025</v>
      </c>
    </row>
    <row r="2090" spans="1:39" hidden="1">
      <c r="A2090" s="123" t="s">
        <v>83</v>
      </c>
      <c r="B2090" s="36" t="s">
        <v>1170</v>
      </c>
      <c r="C2090" s="117">
        <v>38474464</v>
      </c>
      <c r="D2090" s="165">
        <v>45679</v>
      </c>
      <c r="E2090" s="117" t="s">
        <v>99</v>
      </c>
      <c r="F2090" s="36" t="str">
        <f>IFERROR(VLOOKUP(Table1[[#This Row],[Part Number]],DATABASE_FG!$C$6:D12079,2,FALSE)," ")</f>
        <v xml:space="preserve">054380529-8011 </v>
      </c>
      <c r="G2090" s="117">
        <f>IFERROR(_xlfn.XLOOKUP(Table1[[#This Row],[Part Number]],Table3[Part number],Table3[Drawing
 Revision]),"")</f>
        <v>0</v>
      </c>
      <c r="H2090" s="118" cm="1">
        <f t="array" ref="H2090">IFERROR(INDEX(PDB!$C:$AT,MATCH(E2090,PDB!$B:$B,0),MATCH(YEAR(K2090),0+PDB!$C$1:$AT$1,0)),"")</f>
        <v>3.56</v>
      </c>
      <c r="I2090" s="36">
        <v>300</v>
      </c>
      <c r="J2090" s="125">
        <f>IFERROR(Table1[[#This Row],[Quantity]]*Table1[[#This Row],[Price/Unit
EUR]]," ")</f>
        <v>1068</v>
      </c>
      <c r="K2090" s="126">
        <v>45694</v>
      </c>
      <c r="L2090" s="36">
        <f>WEEKNUM(Table1[[#This Row],[ETA
As requested
dd.mm.yyyy]])</f>
        <v>6</v>
      </c>
      <c r="M2090" s="36">
        <f>YEAR(Table1[[#This Row],[ETA
As requested
dd.mm.yyyy]])</f>
        <v>2025</v>
      </c>
      <c r="N2090" s="36">
        <f>IFERROR(INDEX(DATABASE_FG!$H$5:$H$367, MATCH(E2090, DATABASE_FG!$C$5:$C$367, 0)), " ")</f>
        <v>0</v>
      </c>
      <c r="O2090" s="129" t="str">
        <f>IF(E2090&lt;&gt;"", _xlfn.XLOOKUP(E2090, DATABASE_FG!C:C, DATABASE_FG!F:F), " ")</f>
        <v>Ghidaje</v>
      </c>
      <c r="P2090" s="36">
        <f>IFERROR(INDEX(DATABASE_FG!$G$5:$G$367, MATCH(E2090, DATABASE_FG!$C$5:$C$367, 0)), "Not Found")</f>
        <v>0</v>
      </c>
      <c r="Q2090" s="36"/>
      <c r="R2090" s="125" t="s">
        <v>678</v>
      </c>
      <c r="S2090" s="123">
        <f>IFERROR(INDEX(DATABASE_FG!$L$5:$L$367, MATCH(E2090, DATABASE_FG!$C$5:$C$367, 0)), " ")</f>
        <v>42</v>
      </c>
      <c r="T2090" s="36" t="s">
        <v>679</v>
      </c>
      <c r="U2090" s="36"/>
      <c r="V2090" s="36"/>
      <c r="W2090" s="129"/>
      <c r="X2090" s="36"/>
      <c r="Y2090" s="36"/>
      <c r="Z2090" s="36"/>
      <c r="AA2090" s="125" t="s">
        <v>121</v>
      </c>
      <c r="AB2090" s="173">
        <v>45691</v>
      </c>
      <c r="AC2090" s="119">
        <v>25135</v>
      </c>
      <c r="AD2090" s="36">
        <f t="shared" si="240"/>
        <v>38474464</v>
      </c>
      <c r="AE2090" s="36" t="str">
        <f t="shared" si="241"/>
        <v>TK.KWVE15-B-A-ESC-0038-WW1</v>
      </c>
      <c r="AF2090" s="36">
        <v>300</v>
      </c>
      <c r="AG2090" s="120">
        <f t="shared" si="239"/>
        <v>1068</v>
      </c>
      <c r="AH2090" s="36"/>
      <c r="AI2090" s="124"/>
      <c r="AJ2090" s="122" t="s">
        <v>2769</v>
      </c>
      <c r="AK2090" s="129" t="str">
        <f t="shared" ca="1" si="238"/>
        <v>On Time</v>
      </c>
      <c r="AL2090" s="268" t="str">
        <f t="shared" si="237"/>
        <v>February</v>
      </c>
      <c r="AM2090" s="133">
        <f>YEAR(Table1[[#This Row],[ETA
As requested
dd.mm.yyyy]])</f>
        <v>2025</v>
      </c>
    </row>
    <row r="2091" spans="1:39" hidden="1">
      <c r="A2091" s="123" t="s">
        <v>83</v>
      </c>
      <c r="B2091" s="36" t="s">
        <v>1170</v>
      </c>
      <c r="C2091" s="117">
        <v>38474464</v>
      </c>
      <c r="D2091" s="165">
        <v>45679</v>
      </c>
      <c r="E2091" s="117" t="s">
        <v>99</v>
      </c>
      <c r="F2091" s="36" t="str">
        <f>IFERROR(VLOOKUP(Table1[[#This Row],[Part Number]],DATABASE_FG!$C$6:D12080,2,FALSE)," ")</f>
        <v xml:space="preserve">054380529-8011 </v>
      </c>
      <c r="G2091" s="117">
        <f>IFERROR(_xlfn.XLOOKUP(Table1[[#This Row],[Part Number]],Table3[Part number],Table3[Drawing
 Revision]),"")</f>
        <v>0</v>
      </c>
      <c r="H2091" s="118" cm="1">
        <f t="array" ref="H2091">IFERROR(INDEX(PDB!$C:$AT,MATCH(E2091,PDB!$B:$B,0),MATCH(YEAR(K2091),0+PDB!$C$1:$AT$1,0)),"")</f>
        <v>3.56</v>
      </c>
      <c r="I2091" s="36">
        <v>21</v>
      </c>
      <c r="J2091" s="125">
        <f>IFERROR(Table1[[#This Row],[Quantity]]*Table1[[#This Row],[Price/Unit
EUR]]," ")</f>
        <v>74.760000000000005</v>
      </c>
      <c r="K2091" s="126">
        <v>45701</v>
      </c>
      <c r="L2091" s="36">
        <f>WEEKNUM(Table1[[#This Row],[ETA
As requested
dd.mm.yyyy]])</f>
        <v>7</v>
      </c>
      <c r="M2091" s="36">
        <f>YEAR(Table1[[#This Row],[ETA
As requested
dd.mm.yyyy]])</f>
        <v>2025</v>
      </c>
      <c r="N2091" s="36">
        <f>IFERROR(INDEX(DATABASE_FG!$H$5:$H$367, MATCH(E2091, DATABASE_FG!$C$5:$C$367, 0)), " ")</f>
        <v>0</v>
      </c>
      <c r="O2091" s="129" t="str">
        <f>IF(E2091&lt;&gt;"", _xlfn.XLOOKUP(E2091, DATABASE_FG!C:C, DATABASE_FG!F:F), " ")</f>
        <v>Ghidaje</v>
      </c>
      <c r="P2091" s="36">
        <f>IFERROR(INDEX(DATABASE_FG!$G$5:$G$367, MATCH(E2091, DATABASE_FG!$C$5:$C$367, 0)), "Not Found")</f>
        <v>0</v>
      </c>
      <c r="Q2091" s="36"/>
      <c r="R2091" s="125" t="s">
        <v>678</v>
      </c>
      <c r="S2091" s="123">
        <f>IFERROR(INDEX(DATABASE_FG!$L$5:$L$367, MATCH(E2091, DATABASE_FG!$C$5:$C$367, 0)), " ")</f>
        <v>42</v>
      </c>
      <c r="T2091" s="36" t="s">
        <v>679</v>
      </c>
      <c r="U2091" s="36"/>
      <c r="V2091" s="36"/>
      <c r="W2091" s="129"/>
      <c r="X2091" s="36"/>
      <c r="Y2091" s="36"/>
      <c r="Z2091" s="36"/>
      <c r="AA2091" s="125" t="s">
        <v>121</v>
      </c>
      <c r="AB2091" s="173">
        <v>45691</v>
      </c>
      <c r="AC2091" s="119">
        <v>25135</v>
      </c>
      <c r="AD2091" s="36">
        <f t="shared" si="240"/>
        <v>38474464</v>
      </c>
      <c r="AE2091" s="36" t="str">
        <f t="shared" si="241"/>
        <v>TK.KWVE15-B-A-ESC-0038-WW1</v>
      </c>
      <c r="AF2091" s="36">
        <v>21</v>
      </c>
      <c r="AG2091" s="120">
        <f t="shared" si="239"/>
        <v>74.760000000000005</v>
      </c>
      <c r="AH2091" s="36"/>
      <c r="AI2091" s="124"/>
      <c r="AJ2091" s="122" t="s">
        <v>2769</v>
      </c>
      <c r="AK2091" s="129" t="str">
        <f t="shared" ca="1" si="238"/>
        <v>On Time</v>
      </c>
      <c r="AL2091" s="268" t="str">
        <f t="shared" si="237"/>
        <v>February</v>
      </c>
      <c r="AM2091" s="133">
        <f>YEAR(Table1[[#This Row],[ETA
As requested
dd.mm.yyyy]])</f>
        <v>2025</v>
      </c>
    </row>
    <row r="2092" spans="1:39" hidden="1">
      <c r="A2092" s="123" t="s">
        <v>83</v>
      </c>
      <c r="B2092" s="36" t="s">
        <v>1170</v>
      </c>
      <c r="C2092" s="117">
        <v>38474464</v>
      </c>
      <c r="D2092" s="165">
        <v>45679</v>
      </c>
      <c r="E2092" s="117" t="s">
        <v>99</v>
      </c>
      <c r="F2092" s="36" t="str">
        <f>IFERROR(VLOOKUP(Table1[[#This Row],[Part Number]],DATABASE_FG!$C$6:D12081,2,FALSE)," ")</f>
        <v xml:space="preserve">054380529-8011 </v>
      </c>
      <c r="G2092" s="117">
        <f>IFERROR(_xlfn.XLOOKUP(Table1[[#This Row],[Part Number]],Table3[Part number],Table3[Drawing
 Revision]),"")</f>
        <v>0</v>
      </c>
      <c r="H2092" s="118" cm="1">
        <f t="array" ref="H2092">IFERROR(INDEX(PDB!$C:$AT,MATCH(E2092,PDB!$B:$B,0),MATCH(YEAR(K2092),0+PDB!$C$1:$AT$1,0)),"")</f>
        <v>3.56</v>
      </c>
      <c r="I2092" s="36">
        <f>300-21-6</f>
        <v>273</v>
      </c>
      <c r="J2092" s="125">
        <f>IFERROR(Table1[[#This Row],[Quantity]]*Table1[[#This Row],[Price/Unit
EUR]]," ")</f>
        <v>971.88</v>
      </c>
      <c r="K2092" s="126">
        <v>45701</v>
      </c>
      <c r="L2092" s="36">
        <f>WEEKNUM(Table1[[#This Row],[ETA
As requested
dd.mm.yyyy]])</f>
        <v>7</v>
      </c>
      <c r="M2092" s="36">
        <f>YEAR(Table1[[#This Row],[ETA
As requested
dd.mm.yyyy]])</f>
        <v>2025</v>
      </c>
      <c r="N2092" s="36">
        <f>IFERROR(INDEX(DATABASE_FG!$H$5:$H$367, MATCH(E2092, DATABASE_FG!$C$5:$C$367, 0)), " ")</f>
        <v>0</v>
      </c>
      <c r="O2092" s="129" t="str">
        <f>IF(E2092&lt;&gt;"", _xlfn.XLOOKUP(E2092, DATABASE_FG!C:C, DATABASE_FG!F:F), " ")</f>
        <v>Ghidaje</v>
      </c>
      <c r="P2092" s="36">
        <f>IFERROR(INDEX(DATABASE_FG!$G$5:$G$367, MATCH(E2092, DATABASE_FG!$C$5:$C$367, 0)), "Not Found")</f>
        <v>0</v>
      </c>
      <c r="Q2092" s="36"/>
      <c r="R2092" s="125" t="s">
        <v>678</v>
      </c>
      <c r="S2092" s="123">
        <f>IFERROR(INDEX(DATABASE_FG!$L$5:$L$367, MATCH(E2092, DATABASE_FG!$C$5:$C$367, 0)), " ")</f>
        <v>42</v>
      </c>
      <c r="T2092" s="36" t="s">
        <v>679</v>
      </c>
      <c r="U2092" s="36"/>
      <c r="V2092" s="36"/>
      <c r="W2092" s="129"/>
      <c r="X2092" s="36"/>
      <c r="Y2092" s="36" t="s">
        <v>121</v>
      </c>
      <c r="Z2092" s="36"/>
      <c r="AA2092" s="125" t="s">
        <v>121</v>
      </c>
      <c r="AB2092" s="173">
        <v>45705</v>
      </c>
      <c r="AC2092" s="119">
        <v>25212</v>
      </c>
      <c r="AD2092" s="36">
        <f t="shared" si="240"/>
        <v>38474464</v>
      </c>
      <c r="AE2092" s="36" t="str">
        <f t="shared" si="241"/>
        <v>TK.KWVE15-B-A-ESC-0038-WW1</v>
      </c>
      <c r="AF2092" s="36">
        <f>279-6</f>
        <v>273</v>
      </c>
      <c r="AG2092" s="120">
        <f t="shared" si="239"/>
        <v>971.88</v>
      </c>
      <c r="AH2092" s="36"/>
      <c r="AI2092" s="124" t="s">
        <v>2799</v>
      </c>
      <c r="AJ2092" s="341" t="s">
        <v>2800</v>
      </c>
      <c r="AK2092" s="129" t="str">
        <f t="shared" ca="1" si="238"/>
        <v>Late</v>
      </c>
      <c r="AL2092" s="268" t="str">
        <f t="shared" si="237"/>
        <v>February</v>
      </c>
      <c r="AM2092" s="133">
        <f>YEAR(Table1[[#This Row],[ETA
As requested
dd.mm.yyyy]])</f>
        <v>2025</v>
      </c>
    </row>
    <row r="2093" spans="1:39" hidden="1">
      <c r="A2093" s="123" t="s">
        <v>83</v>
      </c>
      <c r="B2093" s="36" t="s">
        <v>1170</v>
      </c>
      <c r="C2093" s="117">
        <v>38474464</v>
      </c>
      <c r="D2093" s="165">
        <v>45679</v>
      </c>
      <c r="E2093" s="117" t="s">
        <v>99</v>
      </c>
      <c r="F2093" s="36" t="str">
        <f>IFERROR(VLOOKUP(Table1[[#This Row],[Part Number]],DATABASE_FG!$C$6:D12082,2,FALSE)," ")</f>
        <v xml:space="preserve">054380529-8011 </v>
      </c>
      <c r="G2093" s="117">
        <f>IFERROR(_xlfn.XLOOKUP(Table1[[#This Row],[Part Number]],Table3[Part number],Table3[Drawing
 Revision]),"")</f>
        <v>0</v>
      </c>
      <c r="H2093" s="118" cm="1">
        <f t="array" ref="H2093">IFERROR(INDEX(PDB!$C:$AT,MATCH(E2093,PDB!$B:$B,0),MATCH(YEAR(K2093),0+PDB!$C$1:$AT$1,0)),"")</f>
        <v>3.56</v>
      </c>
      <c r="I2093" s="36">
        <v>3</v>
      </c>
      <c r="J2093" s="125">
        <f>IFERROR(Table1[[#This Row],[Quantity]]*Table1[[#This Row],[Price/Unit
EUR]]," ")</f>
        <v>10.68</v>
      </c>
      <c r="K2093" s="126">
        <v>45708</v>
      </c>
      <c r="L2093" s="36">
        <f>WEEKNUM(Table1[[#This Row],[ETA
As requested
dd.mm.yyyy]])</f>
        <v>8</v>
      </c>
      <c r="M2093" s="36">
        <f>YEAR(Table1[[#This Row],[ETA
As requested
dd.mm.yyyy]])</f>
        <v>2025</v>
      </c>
      <c r="N2093" s="36">
        <f>IFERROR(INDEX(DATABASE_FG!$H$5:$H$367, MATCH(E2093, DATABASE_FG!$C$5:$C$367, 0)), " ")</f>
        <v>0</v>
      </c>
      <c r="O2093" s="129" t="str">
        <f>IF(E2093&lt;&gt;"", _xlfn.XLOOKUP(E2093, DATABASE_FG!C:C, DATABASE_FG!F:F), " ")</f>
        <v>Ghidaje</v>
      </c>
      <c r="P2093" s="36">
        <f>IFERROR(INDEX(DATABASE_FG!$G$5:$G$367, MATCH(E2093, DATABASE_FG!$C$5:$C$367, 0)), "Not Found")</f>
        <v>0</v>
      </c>
      <c r="Q2093" s="36"/>
      <c r="R2093" s="125" t="s">
        <v>678</v>
      </c>
      <c r="S2093" s="123">
        <f>IFERROR(INDEX(DATABASE_FG!$L$5:$L$367, MATCH(E2093, DATABASE_FG!$C$5:$C$367, 0)), " ")</f>
        <v>42</v>
      </c>
      <c r="T2093" s="36" t="s">
        <v>679</v>
      </c>
      <c r="U2093" s="36"/>
      <c r="V2093" s="36"/>
      <c r="W2093" s="129"/>
      <c r="X2093" s="36"/>
      <c r="Y2093" s="36" t="s">
        <v>121</v>
      </c>
      <c r="Z2093" s="36"/>
      <c r="AA2093" s="125" t="s">
        <v>121</v>
      </c>
      <c r="AB2093" s="173">
        <v>45705</v>
      </c>
      <c r="AC2093" s="119">
        <v>25212</v>
      </c>
      <c r="AD2093" s="36">
        <f t="shared" si="240"/>
        <v>38474464</v>
      </c>
      <c r="AE2093" s="36" t="str">
        <f t="shared" si="241"/>
        <v>TK.KWVE15-B-A-ESC-0038-WW1</v>
      </c>
      <c r="AF2093" s="36">
        <v>3</v>
      </c>
      <c r="AG2093" s="120">
        <f t="shared" si="239"/>
        <v>10.68</v>
      </c>
      <c r="AH2093" s="36"/>
      <c r="AI2093" s="124"/>
      <c r="AJ2093" s="122" t="s">
        <v>2845</v>
      </c>
      <c r="AK2093" s="129" t="str">
        <f t="shared" ca="1" si="238"/>
        <v>On Time</v>
      </c>
      <c r="AL2093" s="268" t="str">
        <f t="shared" si="237"/>
        <v>February</v>
      </c>
      <c r="AM2093" s="133">
        <f>YEAR(Table1[[#This Row],[ETA
As requested
dd.mm.yyyy]])</f>
        <v>2025</v>
      </c>
    </row>
    <row r="2094" spans="1:39" hidden="1">
      <c r="A2094" s="123" t="s">
        <v>83</v>
      </c>
      <c r="B2094" s="36" t="s">
        <v>1170</v>
      </c>
      <c r="C2094" s="117">
        <v>38474464</v>
      </c>
      <c r="D2094" s="165">
        <v>45679</v>
      </c>
      <c r="E2094" s="117" t="s">
        <v>99</v>
      </c>
      <c r="F2094" s="36" t="str">
        <f>IFERROR(VLOOKUP(Table1[[#This Row],[Part Number]],DATABASE_FG!$C$6:D12083,2,FALSE)," ")</f>
        <v xml:space="preserve">054380529-8011 </v>
      </c>
      <c r="G2094" s="117">
        <f>IFERROR(_xlfn.XLOOKUP(Table1[[#This Row],[Part Number]],Table3[Part number],Table3[Drawing
 Revision]),"")</f>
        <v>0</v>
      </c>
      <c r="H2094" s="118" cm="1">
        <f t="array" ref="H2094">IFERROR(INDEX(PDB!$C:$AT,MATCH(E2094,PDB!$B:$B,0),MATCH(YEAR(K2094),0+PDB!$C$1:$AT$1,0)),"")</f>
        <v>3.56</v>
      </c>
      <c r="I2094" s="36">
        <f>100-3</f>
        <v>97</v>
      </c>
      <c r="J2094" s="125">
        <f>IFERROR(Table1[[#This Row],[Quantity]]*Table1[[#This Row],[Price/Unit
EUR]]," ")</f>
        <v>345.32</v>
      </c>
      <c r="K2094" s="126">
        <v>45708</v>
      </c>
      <c r="L2094" s="36">
        <f>WEEKNUM(Table1[[#This Row],[ETA
As requested
dd.mm.yyyy]])</f>
        <v>8</v>
      </c>
      <c r="M2094" s="36">
        <f>YEAR(Table1[[#This Row],[ETA
As requested
dd.mm.yyyy]])</f>
        <v>2025</v>
      </c>
      <c r="N2094" s="36">
        <f>IFERROR(INDEX(DATABASE_FG!$H$5:$H$367, MATCH(E2094, DATABASE_FG!$C$5:$C$367, 0)), " ")</f>
        <v>0</v>
      </c>
      <c r="O2094" s="129" t="str">
        <f>IF(E2094&lt;&gt;"", _xlfn.XLOOKUP(E2094, DATABASE_FG!C:C, DATABASE_FG!F:F), " ")</f>
        <v>Ghidaje</v>
      </c>
      <c r="P2094" s="36">
        <f>IFERROR(INDEX(DATABASE_FG!$G$5:$G$367, MATCH(E2094, DATABASE_FG!$C$5:$C$367, 0)), "Not Found")</f>
        <v>0</v>
      </c>
      <c r="Q2094" s="36"/>
      <c r="R2094" s="125" t="s">
        <v>678</v>
      </c>
      <c r="S2094" s="123">
        <f>IFERROR(INDEX(DATABASE_FG!$L$5:$L$367, MATCH(E2094, DATABASE_FG!$C$5:$C$367, 0)), " ")</f>
        <v>42</v>
      </c>
      <c r="T2094" s="36" t="s">
        <v>679</v>
      </c>
      <c r="U2094" s="36"/>
      <c r="V2094" s="36"/>
      <c r="W2094" s="129"/>
      <c r="X2094" s="36"/>
      <c r="Y2094" s="36" t="s">
        <v>121</v>
      </c>
      <c r="Z2094" s="36"/>
      <c r="AA2094" s="125" t="s">
        <v>121</v>
      </c>
      <c r="AB2094" s="173">
        <v>45706</v>
      </c>
      <c r="AC2094" s="119">
        <v>25229</v>
      </c>
      <c r="AD2094" s="36">
        <f t="shared" si="240"/>
        <v>38474464</v>
      </c>
      <c r="AE2094" s="36" t="str">
        <f t="shared" si="241"/>
        <v>TK.KWVE15-B-A-ESC-0038-WW1</v>
      </c>
      <c r="AF2094" s="36">
        <v>97</v>
      </c>
      <c r="AG2094" s="120">
        <f t="shared" si="239"/>
        <v>345.32</v>
      </c>
      <c r="AH2094" s="36"/>
      <c r="AI2094" s="124"/>
      <c r="AJ2094" s="122" t="s">
        <v>2846</v>
      </c>
      <c r="AK2094" s="129" t="str">
        <f t="shared" ca="1" si="238"/>
        <v>On Time</v>
      </c>
      <c r="AL2094" s="268" t="str">
        <f t="shared" si="237"/>
        <v>February</v>
      </c>
      <c r="AM2094" s="133">
        <f>YEAR(Table1[[#This Row],[ETA
As requested
dd.mm.yyyy]])</f>
        <v>2025</v>
      </c>
    </row>
    <row r="2095" spans="1:39" hidden="1">
      <c r="A2095" s="123" t="s">
        <v>83</v>
      </c>
      <c r="B2095" s="36" t="s">
        <v>1170</v>
      </c>
      <c r="C2095" s="117">
        <v>38474464</v>
      </c>
      <c r="D2095" s="165">
        <v>45679</v>
      </c>
      <c r="E2095" s="117" t="s">
        <v>99</v>
      </c>
      <c r="F2095" s="36" t="str">
        <f>IFERROR(VLOOKUP(Table1[[#This Row],[Part Number]],DATABASE_FG!$C$6:D12084,2,FALSE)," ")</f>
        <v xml:space="preserve">054380529-8011 </v>
      </c>
      <c r="G2095" s="117">
        <f>IFERROR(_xlfn.XLOOKUP(Table1[[#This Row],[Part Number]],Table3[Part number],Table3[Drawing
 Revision]),"")</f>
        <v>0</v>
      </c>
      <c r="H2095" s="118" cm="1">
        <f t="array" ref="H2095">IFERROR(INDEX(PDB!$C:$AT,MATCH(E2095,PDB!$B:$B,0),MATCH(YEAR(K2095),0+PDB!$C$1:$AT$1,0)),"")</f>
        <v>3.56</v>
      </c>
      <c r="I2095" s="36">
        <v>92</v>
      </c>
      <c r="J2095" s="125">
        <f>IFERROR(Table1[[#This Row],[Quantity]]*Table1[[#This Row],[Price/Unit
EUR]]," ")</f>
        <v>327.52</v>
      </c>
      <c r="K2095" s="126">
        <v>45715</v>
      </c>
      <c r="L2095" s="36">
        <f>WEEKNUM(Table1[[#This Row],[ETA
As requested
dd.mm.yyyy]])</f>
        <v>9</v>
      </c>
      <c r="M2095" s="36">
        <f>YEAR(Table1[[#This Row],[ETA
As requested
dd.mm.yyyy]])</f>
        <v>2025</v>
      </c>
      <c r="N2095" s="36">
        <f>IFERROR(INDEX(DATABASE_FG!$H$5:$H$367, MATCH(E2095, DATABASE_FG!$C$5:$C$367, 0)), " ")</f>
        <v>0</v>
      </c>
      <c r="O2095" s="129" t="str">
        <f>IF(E2095&lt;&gt;"", _xlfn.XLOOKUP(E2095, DATABASE_FG!C:C, DATABASE_FG!F:F), " ")</f>
        <v>Ghidaje</v>
      </c>
      <c r="P2095" s="36">
        <f>IFERROR(INDEX(DATABASE_FG!$G$5:$G$367, MATCH(E2095, DATABASE_FG!$C$5:$C$367, 0)), "Not Found")</f>
        <v>0</v>
      </c>
      <c r="Q2095" s="36"/>
      <c r="R2095" s="125" t="s">
        <v>678</v>
      </c>
      <c r="S2095" s="123">
        <f>IFERROR(INDEX(DATABASE_FG!$L$5:$L$367, MATCH(E2095, DATABASE_FG!$C$5:$C$367, 0)), " ")</f>
        <v>42</v>
      </c>
      <c r="T2095" s="36" t="s">
        <v>679</v>
      </c>
      <c r="U2095" s="36"/>
      <c r="V2095" s="36"/>
      <c r="W2095" s="129"/>
      <c r="X2095" s="36"/>
      <c r="Y2095" s="36" t="s">
        <v>121</v>
      </c>
      <c r="Z2095" s="36"/>
      <c r="AA2095" s="125" t="s">
        <v>121</v>
      </c>
      <c r="AB2095" s="173">
        <v>45706</v>
      </c>
      <c r="AC2095" s="119">
        <v>25229</v>
      </c>
      <c r="AD2095" s="36">
        <f t="shared" si="240"/>
        <v>38474464</v>
      </c>
      <c r="AE2095" s="36" t="str">
        <f t="shared" si="241"/>
        <v>TK.KWVE15-B-A-ESC-0038-WW1</v>
      </c>
      <c r="AF2095" s="36">
        <v>92</v>
      </c>
      <c r="AG2095" s="120">
        <f t="shared" si="239"/>
        <v>327.52</v>
      </c>
      <c r="AH2095" s="36"/>
      <c r="AI2095" s="124"/>
      <c r="AJ2095" s="122" t="s">
        <v>2846</v>
      </c>
      <c r="AK2095" s="129" t="str">
        <f t="shared" ca="1" si="238"/>
        <v>On Time</v>
      </c>
      <c r="AL2095" s="268" t="str">
        <f t="shared" si="237"/>
        <v>February</v>
      </c>
      <c r="AM2095" s="133">
        <f>YEAR(Table1[[#This Row],[ETA
As requested
dd.mm.yyyy]])</f>
        <v>2025</v>
      </c>
    </row>
    <row r="2096" spans="1:39" hidden="1">
      <c r="A2096" s="123" t="s">
        <v>83</v>
      </c>
      <c r="B2096" s="36" t="s">
        <v>1170</v>
      </c>
      <c r="C2096" s="117">
        <v>38474464</v>
      </c>
      <c r="D2096" s="165">
        <v>45679</v>
      </c>
      <c r="E2096" s="117" t="s">
        <v>99</v>
      </c>
      <c r="F2096" s="36" t="str">
        <f>IFERROR(VLOOKUP(Table1[[#This Row],[Part Number]],DATABASE_FG!$C$6:D12085,2,FALSE)," ")</f>
        <v xml:space="preserve">054380529-8011 </v>
      </c>
      <c r="G2096" s="117">
        <f>IFERROR(_xlfn.XLOOKUP(Table1[[#This Row],[Part Number]],Table3[Part number],Table3[Drawing
 Revision]),"")</f>
        <v>0</v>
      </c>
      <c r="H2096" s="118" cm="1">
        <f t="array" ref="H2096">IFERROR(INDEX(PDB!$C:$AT,MATCH(E2096,PDB!$B:$B,0),MATCH(YEAR(K2096),0+PDB!$C$1:$AT$1,0)),"")</f>
        <v>3.56</v>
      </c>
      <c r="I2096" s="36">
        <v>316</v>
      </c>
      <c r="J2096" s="125">
        <f>IFERROR(Table1[[#This Row],[Quantity]]*Table1[[#This Row],[Price/Unit
EUR]]," ")</f>
        <v>1124.96</v>
      </c>
      <c r="K2096" s="126">
        <v>45715</v>
      </c>
      <c r="L2096" s="36">
        <f>WEEKNUM(Table1[[#This Row],[ETA
As requested
dd.mm.yyyy]])</f>
        <v>9</v>
      </c>
      <c r="M2096" s="36">
        <f>YEAR(Table1[[#This Row],[ETA
As requested
dd.mm.yyyy]])</f>
        <v>2025</v>
      </c>
      <c r="N2096" s="36">
        <f>IFERROR(INDEX(DATABASE_FG!$H$5:$H$367, MATCH(E2096, DATABASE_FG!$C$5:$C$367, 0)), " ")</f>
        <v>0</v>
      </c>
      <c r="O2096" s="129" t="str">
        <f>IF(E2096&lt;&gt;"", _xlfn.XLOOKUP(E2096, DATABASE_FG!C:C, DATABASE_FG!F:F), " ")</f>
        <v>Ghidaje</v>
      </c>
      <c r="P2096" s="36">
        <f>IFERROR(INDEX(DATABASE_FG!$G$5:$G$367, MATCH(E2096, DATABASE_FG!$C$5:$C$367, 0)), "Not Found")</f>
        <v>0</v>
      </c>
      <c r="Q2096" s="36"/>
      <c r="R2096" s="125" t="s">
        <v>678</v>
      </c>
      <c r="S2096" s="123">
        <f>IFERROR(INDEX(DATABASE_FG!$L$5:$L$367, MATCH(E2096, DATABASE_FG!$C$5:$C$367, 0)), " ")</f>
        <v>42</v>
      </c>
      <c r="T2096" s="36" t="s">
        <v>679</v>
      </c>
      <c r="U2096" s="36"/>
      <c r="V2096" s="36"/>
      <c r="W2096" s="129"/>
      <c r="X2096" s="36"/>
      <c r="Y2096" s="36"/>
      <c r="Z2096" s="36"/>
      <c r="AA2096" s="125" t="s">
        <v>121</v>
      </c>
      <c r="AB2096" s="173">
        <v>45715</v>
      </c>
      <c r="AC2096" s="119">
        <v>25273</v>
      </c>
      <c r="AD2096" s="36">
        <f t="shared" si="240"/>
        <v>38474464</v>
      </c>
      <c r="AE2096" s="36" t="str">
        <f t="shared" si="241"/>
        <v>TK.KWVE15-B-A-ESC-0038-WW1</v>
      </c>
      <c r="AF2096" s="36">
        <v>316</v>
      </c>
      <c r="AG2096" s="120">
        <f t="shared" si="239"/>
        <v>1124.96</v>
      </c>
      <c r="AH2096" s="36"/>
      <c r="AI2096" s="124"/>
      <c r="AJ2096" s="122" t="s">
        <v>2890</v>
      </c>
      <c r="AK2096" s="129" t="str">
        <f t="shared" ca="1" si="238"/>
        <v>On Time</v>
      </c>
      <c r="AL2096" s="268" t="str">
        <f t="shared" si="237"/>
        <v>February</v>
      </c>
      <c r="AM2096" s="133">
        <f>YEAR(Table1[[#This Row],[ETA
As requested
dd.mm.yyyy]])</f>
        <v>2025</v>
      </c>
    </row>
    <row r="2097" spans="1:39" hidden="1">
      <c r="A2097" s="123" t="s">
        <v>83</v>
      </c>
      <c r="B2097" s="36" t="s">
        <v>1170</v>
      </c>
      <c r="C2097" s="117">
        <v>38474464</v>
      </c>
      <c r="D2097" s="165">
        <v>45679</v>
      </c>
      <c r="E2097" s="117" t="s">
        <v>99</v>
      </c>
      <c r="F2097" s="36" t="str">
        <f>IFERROR(VLOOKUP(Table1[[#This Row],[Part Number]],DATABASE_FG!$C$6:D12086,2,FALSE)," ")</f>
        <v xml:space="preserve">054380529-8011 </v>
      </c>
      <c r="G2097" s="117">
        <f>IFERROR(_xlfn.XLOOKUP(Table1[[#This Row],[Part Number]],Table3[Part number],Table3[Drawing
 Revision]),"")</f>
        <v>0</v>
      </c>
      <c r="H2097" s="118" cm="1">
        <f t="array" ref="H2097">IFERROR(INDEX(PDB!$C:$AT,MATCH(E2097,PDB!$B:$B,0),MATCH(YEAR(K2097),0+PDB!$C$1:$AT$1,0)),"")</f>
        <v>3.56</v>
      </c>
      <c r="I2097" s="36">
        <v>292</v>
      </c>
      <c r="J2097" s="125">
        <f>IFERROR(Table1[[#This Row],[Quantity]]*Table1[[#This Row],[Price/Unit
EUR]]," ")</f>
        <v>1039.52</v>
      </c>
      <c r="K2097" s="126">
        <v>45715</v>
      </c>
      <c r="L2097" s="36">
        <f>WEEKNUM(Table1[[#This Row],[ETA
As requested
dd.mm.yyyy]])</f>
        <v>9</v>
      </c>
      <c r="M2097" s="36">
        <f>YEAR(Table1[[#This Row],[ETA
As requested
dd.mm.yyyy]])</f>
        <v>2025</v>
      </c>
      <c r="N2097" s="36">
        <f>IFERROR(INDEX(DATABASE_FG!$H$5:$H$367, MATCH(E2097, DATABASE_FG!$C$5:$C$367, 0)), " ")</f>
        <v>0</v>
      </c>
      <c r="O2097" s="129" t="str">
        <f>IF(E2097&lt;&gt;"", _xlfn.XLOOKUP(E2097, DATABASE_FG!C:C, DATABASE_FG!F:F), " ")</f>
        <v>Ghidaje</v>
      </c>
      <c r="P2097" s="36">
        <f>IFERROR(INDEX(DATABASE_FG!$G$5:$G$367, MATCH(E2097, DATABASE_FG!$C$5:$C$367, 0)), "Not Found")</f>
        <v>0</v>
      </c>
      <c r="Q2097" s="36"/>
      <c r="R2097" s="125" t="s">
        <v>678</v>
      </c>
      <c r="S2097" s="123">
        <f>IFERROR(INDEX(DATABASE_FG!$L$5:$L$367, MATCH(E2097, DATABASE_FG!$C$5:$C$367, 0)), " ")</f>
        <v>42</v>
      </c>
      <c r="T2097" s="36" t="s">
        <v>679</v>
      </c>
      <c r="U2097" s="36"/>
      <c r="V2097" s="36"/>
      <c r="W2097" s="129"/>
      <c r="X2097" s="36"/>
      <c r="Y2097" s="36"/>
      <c r="Z2097" s="36"/>
      <c r="AA2097" s="125" t="s">
        <v>121</v>
      </c>
      <c r="AB2097" s="173">
        <v>45720</v>
      </c>
      <c r="AC2097" s="119">
        <v>25306</v>
      </c>
      <c r="AD2097" s="36">
        <f t="shared" si="240"/>
        <v>38474464</v>
      </c>
      <c r="AE2097" s="36" t="str">
        <f t="shared" si="241"/>
        <v>TK.KWVE15-B-A-ESC-0038-WW1</v>
      </c>
      <c r="AF2097" s="36">
        <v>292</v>
      </c>
      <c r="AG2097" s="120">
        <f t="shared" si="239"/>
        <v>1039.52</v>
      </c>
      <c r="AH2097" s="36"/>
      <c r="AI2097" s="124"/>
      <c r="AJ2097" s="122" t="s">
        <v>2891</v>
      </c>
      <c r="AK2097" s="129" t="str">
        <f t="shared" ca="1" si="238"/>
        <v>Late</v>
      </c>
      <c r="AL2097" s="268" t="str">
        <f t="shared" si="237"/>
        <v>February</v>
      </c>
      <c r="AM2097" s="133">
        <f>YEAR(Table1[[#This Row],[ETA
As requested
dd.mm.yyyy]])</f>
        <v>2025</v>
      </c>
    </row>
    <row r="2098" spans="1:39" hidden="1">
      <c r="A2098" s="123" t="s">
        <v>83</v>
      </c>
      <c r="B2098" s="36" t="s">
        <v>1170</v>
      </c>
      <c r="C2098" s="117">
        <v>38676275</v>
      </c>
      <c r="D2098" s="165">
        <v>45709</v>
      </c>
      <c r="E2098" s="117" t="s">
        <v>99</v>
      </c>
      <c r="F2098" s="36" t="str">
        <f>IFERROR(VLOOKUP(Table1[[#This Row],[Part Number]],DATABASE_FG!$C$6:D12087,2,FALSE)," ")</f>
        <v xml:space="preserve">054380529-8011 </v>
      </c>
      <c r="G2098" s="117">
        <f>IFERROR(_xlfn.XLOOKUP(Table1[[#This Row],[Part Number]],Table3[Part number],Table3[Drawing
 Revision]),"")</f>
        <v>0</v>
      </c>
      <c r="H2098" s="118" cm="1">
        <f t="array" ref="H2098">IFERROR(INDEX(PDB!$C:$AT,MATCH(E2098,PDB!$B:$B,0),MATCH(YEAR(K2098),0+PDB!$C$1:$AT$1,0)),"")</f>
        <v>3.56</v>
      </c>
      <c r="I2098" s="36">
        <v>331</v>
      </c>
      <c r="J2098" s="125">
        <f>IFERROR(Table1[[#This Row],[Quantity]]*Table1[[#This Row],[Price/Unit
EUR]]," ")</f>
        <v>1178.3600000000001</v>
      </c>
      <c r="K2098" s="126">
        <v>45720</v>
      </c>
      <c r="L2098" s="36">
        <f>WEEKNUM(Table1[[#This Row],[ETA
As requested
dd.mm.yyyy]])</f>
        <v>10</v>
      </c>
      <c r="M2098" s="36">
        <f>YEAR(Table1[[#This Row],[ETA
As requested
dd.mm.yyyy]])</f>
        <v>2025</v>
      </c>
      <c r="N2098" s="36">
        <f>IFERROR(INDEX(DATABASE_FG!$H$5:$H$367, MATCH(E2098, DATABASE_FG!$C$5:$C$367, 0)), " ")</f>
        <v>0</v>
      </c>
      <c r="O2098" s="129" t="str">
        <f>IF(E2098&lt;&gt;"", _xlfn.XLOOKUP(E2098, DATABASE_FG!C:C, DATABASE_FG!F:F), " ")</f>
        <v>Ghidaje</v>
      </c>
      <c r="P2098" s="36">
        <f>IFERROR(INDEX(DATABASE_FG!$G$5:$G$367, MATCH(E2098, DATABASE_FG!$C$5:$C$367, 0)), "Not Found")</f>
        <v>0</v>
      </c>
      <c r="Q2098" s="36"/>
      <c r="R2098" s="125" t="s">
        <v>678</v>
      </c>
      <c r="S2098" s="123">
        <f>IFERROR(INDEX(DATABASE_FG!$L$5:$L$367, MATCH(E2098, DATABASE_FG!$C$5:$C$367, 0)), " ")</f>
        <v>42</v>
      </c>
      <c r="T2098" s="36" t="s">
        <v>679</v>
      </c>
      <c r="U2098" s="36"/>
      <c r="V2098" s="36"/>
      <c r="W2098" s="129"/>
      <c r="X2098" s="36"/>
      <c r="Y2098" s="36"/>
      <c r="Z2098" s="36"/>
      <c r="AA2098" s="125" t="s">
        <v>121</v>
      </c>
      <c r="AB2098" s="173">
        <v>45720</v>
      </c>
      <c r="AC2098" s="119">
        <v>25310</v>
      </c>
      <c r="AD2098" s="36">
        <f t="shared" si="240"/>
        <v>38676275</v>
      </c>
      <c r="AE2098" s="36" t="str">
        <f t="shared" si="241"/>
        <v>TK.KWVE15-B-A-ESC-0038-WW1</v>
      </c>
      <c r="AF2098" s="36">
        <v>331</v>
      </c>
      <c r="AG2098" s="120">
        <f t="shared" si="239"/>
        <v>1178.3600000000001</v>
      </c>
      <c r="AH2098" s="36"/>
      <c r="AI2098" s="124"/>
      <c r="AJ2098" s="122" t="s">
        <v>2914</v>
      </c>
      <c r="AK2098" s="129" t="str">
        <f t="shared" ca="1" si="238"/>
        <v>On Time</v>
      </c>
      <c r="AL2098" s="268" t="str">
        <f t="shared" si="237"/>
        <v>March</v>
      </c>
      <c r="AM2098" s="133">
        <f>YEAR(Table1[[#This Row],[ETA
As requested
dd.mm.yyyy]])</f>
        <v>2025</v>
      </c>
    </row>
    <row r="2099" spans="1:39" hidden="1">
      <c r="A2099" s="123" t="s">
        <v>83</v>
      </c>
      <c r="B2099" s="36" t="s">
        <v>1170</v>
      </c>
      <c r="C2099" s="117">
        <v>38676275</v>
      </c>
      <c r="D2099" s="165">
        <v>45709</v>
      </c>
      <c r="E2099" s="117" t="s">
        <v>99</v>
      </c>
      <c r="F2099" s="36" t="str">
        <f>IFERROR(VLOOKUP(Table1[[#This Row],[Part Number]],DATABASE_FG!$C$6:D12088,2,FALSE)," ")</f>
        <v xml:space="preserve">054380529-8011 </v>
      </c>
      <c r="G2099" s="117">
        <f>IFERROR(_xlfn.XLOOKUP(Table1[[#This Row],[Part Number]],Table3[Part number],Table3[Drawing
 Revision]),"")</f>
        <v>0</v>
      </c>
      <c r="H2099" s="118" cm="1">
        <f t="array" ref="H2099">IFERROR(INDEX(PDB!$C:$AT,MATCH(E2099,PDB!$B:$B,0),MATCH(YEAR(K2099),0+PDB!$C$1:$AT$1,0)),"")</f>
        <v>3.56</v>
      </c>
      <c r="I2099" s="36">
        <f>400-331</f>
        <v>69</v>
      </c>
      <c r="J2099" s="125">
        <f>IFERROR(Table1[[#This Row],[Quantity]]*Table1[[#This Row],[Price/Unit
EUR]]," ")</f>
        <v>245.64000000000001</v>
      </c>
      <c r="K2099" s="126">
        <v>45720</v>
      </c>
      <c r="L2099" s="36">
        <f>WEEKNUM(Table1[[#This Row],[ETA
As requested
dd.mm.yyyy]])</f>
        <v>10</v>
      </c>
      <c r="M2099" s="36">
        <f>YEAR(Table1[[#This Row],[ETA
As requested
dd.mm.yyyy]])</f>
        <v>2025</v>
      </c>
      <c r="N2099" s="36">
        <f>IFERROR(INDEX(DATABASE_FG!$H$5:$H$367, MATCH(E2099, DATABASE_FG!$C$5:$C$367, 0)), " ")</f>
        <v>0</v>
      </c>
      <c r="O2099" s="129" t="str">
        <f>IF(E2099&lt;&gt;"", _xlfn.XLOOKUP(E2099, DATABASE_FG!C:C, DATABASE_FG!F:F), " ")</f>
        <v>Ghidaje</v>
      </c>
      <c r="P2099" s="36">
        <f>IFERROR(INDEX(DATABASE_FG!$G$5:$G$367, MATCH(E2099, DATABASE_FG!$C$5:$C$367, 0)), "Not Found")</f>
        <v>0</v>
      </c>
      <c r="Q2099" s="36"/>
      <c r="R2099" s="125" t="s">
        <v>678</v>
      </c>
      <c r="S2099" s="123">
        <f>IFERROR(INDEX(DATABASE_FG!$L$5:$L$367, MATCH(E2099, DATABASE_FG!$C$5:$C$367, 0)), " ")</f>
        <v>42</v>
      </c>
      <c r="T2099" s="36" t="s">
        <v>679</v>
      </c>
      <c r="U2099" s="36"/>
      <c r="V2099" s="36"/>
      <c r="W2099" s="129"/>
      <c r="X2099" s="36"/>
      <c r="Y2099" s="36"/>
      <c r="Z2099" s="36"/>
      <c r="AA2099" s="125" t="s">
        <v>121</v>
      </c>
      <c r="AB2099" s="173">
        <v>45729</v>
      </c>
      <c r="AC2099" s="119">
        <v>25368</v>
      </c>
      <c r="AD2099" s="36">
        <f t="shared" si="240"/>
        <v>38676275</v>
      </c>
      <c r="AE2099" s="36" t="str">
        <f t="shared" si="241"/>
        <v>TK.KWVE15-B-A-ESC-0038-WW1</v>
      </c>
      <c r="AF2099" s="36">
        <v>69</v>
      </c>
      <c r="AG2099" s="120">
        <f t="shared" si="239"/>
        <v>245.64000000000001</v>
      </c>
      <c r="AH2099" s="36"/>
      <c r="AI2099" s="124"/>
      <c r="AJ2099" s="122" t="s">
        <v>2925</v>
      </c>
      <c r="AK2099" s="129" t="str">
        <f t="shared" ca="1" si="238"/>
        <v>Late</v>
      </c>
      <c r="AL2099" s="268" t="str">
        <f t="shared" si="237"/>
        <v>March</v>
      </c>
      <c r="AM2099" s="133">
        <f>YEAR(Table1[[#This Row],[ETA
As requested
dd.mm.yyyy]])</f>
        <v>2025</v>
      </c>
    </row>
    <row r="2100" spans="1:39" hidden="1">
      <c r="A2100" s="123" t="s">
        <v>83</v>
      </c>
      <c r="B2100" s="36" t="s">
        <v>1170</v>
      </c>
      <c r="C2100" s="117">
        <v>38676275</v>
      </c>
      <c r="D2100" s="165">
        <v>45709</v>
      </c>
      <c r="E2100" s="117" t="s">
        <v>99</v>
      </c>
      <c r="F2100" s="36" t="str">
        <f>IFERROR(VLOOKUP(Table1[[#This Row],[Part Number]],DATABASE_FG!$C$6:D12089,2,FALSE)," ")</f>
        <v xml:space="preserve">054380529-8011 </v>
      </c>
      <c r="G2100" s="117">
        <f>IFERROR(_xlfn.XLOOKUP(Table1[[#This Row],[Part Number]],Table3[Part number],Table3[Drawing
 Revision]),"")</f>
        <v>0</v>
      </c>
      <c r="H2100" s="118" cm="1">
        <f t="array" ref="H2100">IFERROR(INDEX(PDB!$C:$AT,MATCH(E2100,PDB!$B:$B,0),MATCH(YEAR(K2100),0+PDB!$C$1:$AT$1,0)),"")</f>
        <v>3.56</v>
      </c>
      <c r="I2100" s="36">
        <v>400</v>
      </c>
      <c r="J2100" s="125">
        <f>IFERROR(Table1[[#This Row],[Quantity]]*Table1[[#This Row],[Price/Unit
EUR]]," ")</f>
        <v>1424</v>
      </c>
      <c r="K2100" s="126">
        <v>45727</v>
      </c>
      <c r="L2100" s="36">
        <f>WEEKNUM(Table1[[#This Row],[ETA
As requested
dd.mm.yyyy]])</f>
        <v>11</v>
      </c>
      <c r="M2100" s="36">
        <f>YEAR(Table1[[#This Row],[ETA
As requested
dd.mm.yyyy]])</f>
        <v>2025</v>
      </c>
      <c r="N2100" s="36">
        <f>IFERROR(INDEX(DATABASE_FG!$H$5:$H$367, MATCH(E2100, DATABASE_FG!$C$5:$C$367, 0)), " ")</f>
        <v>0</v>
      </c>
      <c r="O2100" s="129" t="str">
        <f>IF(E2100&lt;&gt;"", _xlfn.XLOOKUP(E2100, DATABASE_FG!C:C, DATABASE_FG!F:F), " ")</f>
        <v>Ghidaje</v>
      </c>
      <c r="P2100" s="36">
        <f>IFERROR(INDEX(DATABASE_FG!$G$5:$G$367, MATCH(E2100, DATABASE_FG!$C$5:$C$367, 0)), "Not Found")</f>
        <v>0</v>
      </c>
      <c r="Q2100" s="36"/>
      <c r="R2100" s="125" t="s">
        <v>678</v>
      </c>
      <c r="S2100" s="123">
        <f>IFERROR(INDEX(DATABASE_FG!$L$5:$L$367, MATCH(E2100, DATABASE_FG!$C$5:$C$367, 0)), " ")</f>
        <v>42</v>
      </c>
      <c r="T2100" s="36" t="s">
        <v>679</v>
      </c>
      <c r="U2100" s="36"/>
      <c r="V2100" s="36"/>
      <c r="W2100" s="129"/>
      <c r="X2100" s="36"/>
      <c r="Y2100" s="36"/>
      <c r="Z2100" s="36"/>
      <c r="AA2100" s="125" t="s">
        <v>121</v>
      </c>
      <c r="AB2100" s="173">
        <v>45729</v>
      </c>
      <c r="AC2100" s="119">
        <v>25368</v>
      </c>
      <c r="AD2100" s="36">
        <f t="shared" si="240"/>
        <v>38676275</v>
      </c>
      <c r="AE2100" s="36" t="str">
        <f t="shared" si="241"/>
        <v>TK.KWVE15-B-A-ESC-0038-WW1</v>
      </c>
      <c r="AF2100" s="36">
        <v>400</v>
      </c>
      <c r="AG2100" s="120">
        <f t="shared" si="239"/>
        <v>1424</v>
      </c>
      <c r="AH2100" s="36"/>
      <c r="AI2100" s="124"/>
      <c r="AJ2100" s="122" t="s">
        <v>2925</v>
      </c>
      <c r="AK2100" s="129" t="str">
        <f t="shared" ca="1" si="238"/>
        <v>On Time</v>
      </c>
      <c r="AL2100" s="268" t="str">
        <f t="shared" ref="AL2100:AL2164" si="242">TEXT(K2100,"mmmm")</f>
        <v>March</v>
      </c>
      <c r="AM2100" s="133">
        <f>YEAR(Table1[[#This Row],[ETA
As requested
dd.mm.yyyy]])</f>
        <v>2025</v>
      </c>
    </row>
    <row r="2101" spans="1:39" hidden="1">
      <c r="A2101" s="123" t="s">
        <v>83</v>
      </c>
      <c r="B2101" s="36" t="s">
        <v>1170</v>
      </c>
      <c r="C2101" s="117">
        <v>38676275</v>
      </c>
      <c r="D2101" s="165">
        <v>45709</v>
      </c>
      <c r="E2101" s="117" t="s">
        <v>99</v>
      </c>
      <c r="F2101" s="36" t="str">
        <f>IFERROR(VLOOKUP(Table1[[#This Row],[Part Number]],DATABASE_FG!$C$6:D12090,2,FALSE)," ")</f>
        <v xml:space="preserve">054380529-8011 </v>
      </c>
      <c r="G2101" s="117">
        <f>IFERROR(_xlfn.XLOOKUP(Table1[[#This Row],[Part Number]],Table3[Part number],Table3[Drawing
 Revision]),"")</f>
        <v>0</v>
      </c>
      <c r="H2101" s="118" cm="1">
        <f t="array" ref="H2101">IFERROR(INDEX(PDB!$C:$AT,MATCH(E2101,PDB!$B:$B,0),MATCH(YEAR(K2101),0+PDB!$C$1:$AT$1,0)),"")</f>
        <v>3.56</v>
      </c>
      <c r="I2101" s="36">
        <v>94</v>
      </c>
      <c r="J2101" s="125">
        <f>IFERROR(Table1[[#This Row],[Quantity]]*Table1[[#This Row],[Price/Unit
EUR]]," ")</f>
        <v>334.64</v>
      </c>
      <c r="K2101" s="126">
        <v>45734</v>
      </c>
      <c r="L2101" s="36">
        <f>WEEKNUM(Table1[[#This Row],[ETA
As requested
dd.mm.yyyy]])</f>
        <v>12</v>
      </c>
      <c r="M2101" s="36">
        <f>YEAR(Table1[[#This Row],[ETA
As requested
dd.mm.yyyy]])</f>
        <v>2025</v>
      </c>
      <c r="N2101" s="36">
        <f>IFERROR(INDEX(DATABASE_FG!$H$5:$H$367, MATCH(E2101, DATABASE_FG!$C$5:$C$367, 0)), " ")</f>
        <v>0</v>
      </c>
      <c r="O2101" s="129" t="str">
        <f>IF(E2101&lt;&gt;"", _xlfn.XLOOKUP(E2101, DATABASE_FG!C:C, DATABASE_FG!F:F), " ")</f>
        <v>Ghidaje</v>
      </c>
      <c r="P2101" s="36">
        <f>IFERROR(INDEX(DATABASE_FG!$G$5:$G$367, MATCH(E2101, DATABASE_FG!$C$5:$C$367, 0)), "Not Found")</f>
        <v>0</v>
      </c>
      <c r="Q2101" s="36"/>
      <c r="R2101" s="125" t="s">
        <v>678</v>
      </c>
      <c r="S2101" s="123">
        <f>IFERROR(INDEX(DATABASE_FG!$L$5:$L$367, MATCH(E2101, DATABASE_FG!$C$5:$C$367, 0)), " ")</f>
        <v>42</v>
      </c>
      <c r="T2101" s="36" t="s">
        <v>679</v>
      </c>
      <c r="U2101" s="36"/>
      <c r="V2101" s="36"/>
      <c r="W2101" s="129"/>
      <c r="X2101" s="36"/>
      <c r="Y2101" s="36"/>
      <c r="Z2101" s="36"/>
      <c r="AA2101" s="125" t="s">
        <v>121</v>
      </c>
      <c r="AB2101" s="173">
        <v>45729</v>
      </c>
      <c r="AC2101" s="119">
        <v>25368</v>
      </c>
      <c r="AD2101" s="36">
        <f t="shared" si="240"/>
        <v>38676275</v>
      </c>
      <c r="AE2101" s="36" t="str">
        <f t="shared" si="241"/>
        <v>TK.KWVE15-B-A-ESC-0038-WW1</v>
      </c>
      <c r="AF2101" s="36">
        <v>94</v>
      </c>
      <c r="AG2101" s="120">
        <f t="shared" si="239"/>
        <v>334.64</v>
      </c>
      <c r="AH2101" s="36"/>
      <c r="AI2101" s="124"/>
      <c r="AJ2101" s="122" t="s">
        <v>2925</v>
      </c>
      <c r="AK2101" s="129" t="str">
        <f t="shared" ca="1" si="238"/>
        <v>On Time</v>
      </c>
      <c r="AL2101" s="268" t="str">
        <f t="shared" si="242"/>
        <v>March</v>
      </c>
      <c r="AM2101" s="133">
        <f>YEAR(Table1[[#This Row],[ETA
As requested
dd.mm.yyyy]])</f>
        <v>2025</v>
      </c>
    </row>
    <row r="2102" spans="1:39" hidden="1">
      <c r="A2102" s="123" t="s">
        <v>83</v>
      </c>
      <c r="B2102" s="36" t="s">
        <v>1170</v>
      </c>
      <c r="C2102" s="117">
        <v>38676275</v>
      </c>
      <c r="D2102" s="165">
        <v>45709</v>
      </c>
      <c r="E2102" s="117" t="s">
        <v>99</v>
      </c>
      <c r="F2102" s="36" t="str">
        <f>IFERROR(VLOOKUP(Table1[[#This Row],[Part Number]],DATABASE_FG!$C$6:D12091,2,FALSE)," ")</f>
        <v xml:space="preserve">054380529-8011 </v>
      </c>
      <c r="G2102" s="117">
        <f>IFERROR(_xlfn.XLOOKUP(Table1[[#This Row],[Part Number]],Table3[Part number],Table3[Drawing
 Revision]),"")</f>
        <v>0</v>
      </c>
      <c r="H2102" s="118" cm="1">
        <f t="array" ref="H2102">IFERROR(INDEX(PDB!$C:$AT,MATCH(E2102,PDB!$B:$B,0),MATCH(YEAR(K2102),0+PDB!$C$1:$AT$1,0)),"")</f>
        <v>3.56</v>
      </c>
      <c r="I2102" s="36">
        <f>400-94</f>
        <v>306</v>
      </c>
      <c r="J2102" s="125">
        <f>IFERROR(Table1[[#This Row],[Quantity]]*Table1[[#This Row],[Price/Unit
EUR]]," ")</f>
        <v>1089.3600000000001</v>
      </c>
      <c r="K2102" s="126">
        <v>45734</v>
      </c>
      <c r="L2102" s="36">
        <f>WEEKNUM(Table1[[#This Row],[ETA
As requested
dd.mm.yyyy]])</f>
        <v>12</v>
      </c>
      <c r="M2102" s="36">
        <f>YEAR(Table1[[#This Row],[ETA
As requested
dd.mm.yyyy]])</f>
        <v>2025</v>
      </c>
      <c r="N2102" s="36">
        <f>IFERROR(INDEX(DATABASE_FG!$H$5:$H$367, MATCH(E2102, DATABASE_FG!$C$5:$C$367, 0)), " ")</f>
        <v>0</v>
      </c>
      <c r="O2102" s="129" t="str">
        <f>IF(E2102&lt;&gt;"", _xlfn.XLOOKUP(E2102, DATABASE_FG!C:C, DATABASE_FG!F:F), " ")</f>
        <v>Ghidaje</v>
      </c>
      <c r="P2102" s="36">
        <f>IFERROR(INDEX(DATABASE_FG!$G$5:$G$367, MATCH(E2102, DATABASE_FG!$C$5:$C$367, 0)), "Not Found")</f>
        <v>0</v>
      </c>
      <c r="Q2102" s="36"/>
      <c r="R2102" s="125" t="s">
        <v>678</v>
      </c>
      <c r="S2102" s="123">
        <f>IFERROR(INDEX(DATABASE_FG!$L$5:$L$367, MATCH(E2102, DATABASE_FG!$C$5:$C$367, 0)), " ")</f>
        <v>42</v>
      </c>
      <c r="T2102" s="36" t="s">
        <v>679</v>
      </c>
      <c r="U2102" s="36"/>
      <c r="V2102" s="36"/>
      <c r="W2102" s="129"/>
      <c r="X2102" s="36"/>
      <c r="Y2102" s="36"/>
      <c r="Z2102" s="36"/>
      <c r="AA2102" s="125" t="s">
        <v>121</v>
      </c>
      <c r="AB2102" s="173">
        <v>45730</v>
      </c>
      <c r="AC2102" s="119">
        <v>25380</v>
      </c>
      <c r="AD2102" s="36">
        <f t="shared" si="240"/>
        <v>38676275</v>
      </c>
      <c r="AE2102" s="36" t="str">
        <f t="shared" si="241"/>
        <v>TK.KWVE15-B-A-ESC-0038-WW1</v>
      </c>
      <c r="AF2102" s="36">
        <v>306</v>
      </c>
      <c r="AG2102" s="120">
        <f t="shared" si="239"/>
        <v>1089.3600000000001</v>
      </c>
      <c r="AH2102" s="36"/>
      <c r="AI2102" s="124"/>
      <c r="AJ2102" s="122" t="s">
        <v>2967</v>
      </c>
      <c r="AK2102" s="129" t="str">
        <f t="shared" ref="AK2102:AK2166" ca="1" si="243">IF(AB2102="", IF(K2102 &lt; TODAY(), "Late", ""), IF(AB2102 &lt;= K2102 + 2, "On Time", "Late"))</f>
        <v>On Time</v>
      </c>
      <c r="AL2102" s="268" t="str">
        <f t="shared" si="242"/>
        <v>March</v>
      </c>
      <c r="AM2102" s="133">
        <f>YEAR(Table1[[#This Row],[ETA
As requested
dd.mm.yyyy]])</f>
        <v>2025</v>
      </c>
    </row>
    <row r="2103" spans="1:39" hidden="1">
      <c r="A2103" s="123" t="s">
        <v>83</v>
      </c>
      <c r="B2103" s="36" t="s">
        <v>1170</v>
      </c>
      <c r="C2103" s="117">
        <v>38676275</v>
      </c>
      <c r="D2103" s="165">
        <v>45709</v>
      </c>
      <c r="E2103" s="117" t="s">
        <v>99</v>
      </c>
      <c r="F2103" s="36" t="str">
        <f>IFERROR(VLOOKUP(Table1[[#This Row],[Part Number]],DATABASE_FG!$C$6:D12092,2,FALSE)," ")</f>
        <v xml:space="preserve">054380529-8011 </v>
      </c>
      <c r="G2103" s="117">
        <f>IFERROR(_xlfn.XLOOKUP(Table1[[#This Row],[Part Number]],Table3[Part number],Table3[Drawing
 Revision]),"")</f>
        <v>0</v>
      </c>
      <c r="H2103" s="118" cm="1">
        <f t="array" ref="H2103">IFERROR(INDEX(PDB!$C:$AT,MATCH(E2103,PDB!$B:$B,0),MATCH(YEAR(K2103),0+PDB!$C$1:$AT$1,0)),"")</f>
        <v>3.56</v>
      </c>
      <c r="I2103" s="36">
        <v>200</v>
      </c>
      <c r="J2103" s="125">
        <f>IFERROR(Table1[[#This Row],[Quantity]]*Table1[[#This Row],[Price/Unit
EUR]]," ")</f>
        <v>712</v>
      </c>
      <c r="K2103" s="126">
        <v>45741</v>
      </c>
      <c r="L2103" s="36">
        <f>WEEKNUM(Table1[[#This Row],[ETA
As requested
dd.mm.yyyy]])</f>
        <v>13</v>
      </c>
      <c r="M2103" s="36">
        <f>YEAR(Table1[[#This Row],[ETA
As requested
dd.mm.yyyy]])</f>
        <v>2025</v>
      </c>
      <c r="N2103" s="36">
        <f>IFERROR(INDEX(DATABASE_FG!$H$5:$H$367, MATCH(E2103, DATABASE_FG!$C$5:$C$367, 0)), " ")</f>
        <v>0</v>
      </c>
      <c r="O2103" s="129" t="str">
        <f>IF(E2103&lt;&gt;"", _xlfn.XLOOKUP(E2103, DATABASE_FG!C:C, DATABASE_FG!F:F), " ")</f>
        <v>Ghidaje</v>
      </c>
      <c r="P2103" s="36">
        <f>IFERROR(INDEX(DATABASE_FG!$G$5:$G$367, MATCH(E2103, DATABASE_FG!$C$5:$C$367, 0)), "Not Found")</f>
        <v>0</v>
      </c>
      <c r="Q2103" s="36"/>
      <c r="R2103" s="125" t="s">
        <v>678</v>
      </c>
      <c r="S2103" s="123">
        <f>IFERROR(INDEX(DATABASE_FG!$L$5:$L$367, MATCH(E2103, DATABASE_FG!$C$5:$C$367, 0)), " ")</f>
        <v>42</v>
      </c>
      <c r="T2103" s="36" t="s">
        <v>679</v>
      </c>
      <c r="U2103" s="36"/>
      <c r="V2103" s="36"/>
      <c r="W2103" s="129"/>
      <c r="X2103" s="36"/>
      <c r="Y2103" s="36"/>
      <c r="Z2103" s="36"/>
      <c r="AA2103" s="125" t="s">
        <v>121</v>
      </c>
      <c r="AB2103" s="173">
        <v>45734</v>
      </c>
      <c r="AC2103" s="119">
        <v>25396</v>
      </c>
      <c r="AD2103" s="36">
        <f t="shared" si="240"/>
        <v>38676275</v>
      </c>
      <c r="AE2103" s="36" t="str">
        <f t="shared" si="241"/>
        <v>TK.KWVE15-B-A-ESC-0038-WW1</v>
      </c>
      <c r="AF2103" s="36">
        <v>200</v>
      </c>
      <c r="AG2103" s="120">
        <f t="shared" si="239"/>
        <v>712</v>
      </c>
      <c r="AH2103" s="36"/>
      <c r="AI2103" s="124"/>
      <c r="AJ2103" s="122" t="s">
        <v>3008</v>
      </c>
      <c r="AK2103" s="129" t="str">
        <f t="shared" ca="1" si="243"/>
        <v>On Time</v>
      </c>
      <c r="AL2103" s="268" t="str">
        <f t="shared" si="242"/>
        <v>March</v>
      </c>
      <c r="AM2103" s="133">
        <f>YEAR(Table1[[#This Row],[ETA
As requested
dd.mm.yyyy]])</f>
        <v>2025</v>
      </c>
    </row>
    <row r="2104" spans="1:39" hidden="1">
      <c r="A2104" s="123" t="s">
        <v>83</v>
      </c>
      <c r="B2104" s="36" t="s">
        <v>1170</v>
      </c>
      <c r="C2104" s="117">
        <v>38676275</v>
      </c>
      <c r="D2104" s="165">
        <v>45709</v>
      </c>
      <c r="E2104" s="117" t="s">
        <v>99</v>
      </c>
      <c r="F2104" s="36" t="str">
        <f>IFERROR(VLOOKUP(Table1[[#This Row],[Part Number]],DATABASE_FG!$C$6:D12093,2,FALSE)," ")</f>
        <v xml:space="preserve">054380529-8011 </v>
      </c>
      <c r="G2104" s="117">
        <f>IFERROR(_xlfn.XLOOKUP(Table1[[#This Row],[Part Number]],Table3[Part number],Table3[Drawing
 Revision]),"")</f>
        <v>0</v>
      </c>
      <c r="H2104" s="118" cm="1">
        <f t="array" ref="H2104">IFERROR(INDEX(PDB!$C:$AT,MATCH(E2104,PDB!$B:$B,0),MATCH(YEAR(K2104),0+PDB!$C$1:$AT$1,0)),"")</f>
        <v>3.56</v>
      </c>
      <c r="I2104" s="36">
        <v>124</v>
      </c>
      <c r="J2104" s="125">
        <f>IFERROR(Table1[[#This Row],[Quantity]]*Table1[[#This Row],[Price/Unit
EUR]]," ")</f>
        <v>441.44</v>
      </c>
      <c r="K2104" s="126">
        <v>45748</v>
      </c>
      <c r="L2104" s="36">
        <f>WEEKNUM(Table1[[#This Row],[ETA
As requested
dd.mm.yyyy]])</f>
        <v>14</v>
      </c>
      <c r="M2104" s="36">
        <f>YEAR(Table1[[#This Row],[ETA
As requested
dd.mm.yyyy]])</f>
        <v>2025</v>
      </c>
      <c r="N2104" s="36">
        <f>IFERROR(INDEX(DATABASE_FG!$H$5:$H$367, MATCH(E2104, DATABASE_FG!$C$5:$C$367, 0)), " ")</f>
        <v>0</v>
      </c>
      <c r="O2104" s="129" t="str">
        <f>IF(E2104&lt;&gt;"", _xlfn.XLOOKUP(E2104, DATABASE_FG!C:C, DATABASE_FG!F:F), " ")</f>
        <v>Ghidaje</v>
      </c>
      <c r="P2104" s="36">
        <f>IFERROR(INDEX(DATABASE_FG!$G$5:$G$367, MATCH(E2104, DATABASE_FG!$C$5:$C$367, 0)), "Not Found")</f>
        <v>0</v>
      </c>
      <c r="Q2104" s="36"/>
      <c r="R2104" s="125" t="s">
        <v>678</v>
      </c>
      <c r="S2104" s="123">
        <f>IFERROR(INDEX(DATABASE_FG!$L$5:$L$367, MATCH(E2104, DATABASE_FG!$C$5:$C$367, 0)), " ")</f>
        <v>42</v>
      </c>
      <c r="T2104" s="36" t="s">
        <v>679</v>
      </c>
      <c r="U2104" s="36"/>
      <c r="V2104" s="36"/>
      <c r="W2104" s="129"/>
      <c r="X2104" s="36"/>
      <c r="Y2104" s="36"/>
      <c r="Z2104" s="36"/>
      <c r="AA2104" s="125" t="s">
        <v>121</v>
      </c>
      <c r="AB2104" s="173">
        <v>45748</v>
      </c>
      <c r="AC2104" s="119" t="s">
        <v>3029</v>
      </c>
      <c r="AD2104" s="36">
        <f t="shared" si="240"/>
        <v>38676275</v>
      </c>
      <c r="AE2104" s="36" t="str">
        <f t="shared" si="241"/>
        <v>TK.KWVE15-B-A-ESC-0038-WW1</v>
      </c>
      <c r="AF2104" s="36">
        <v>124</v>
      </c>
      <c r="AG2104" s="120">
        <f t="shared" si="239"/>
        <v>441.44</v>
      </c>
      <c r="AH2104" s="36"/>
      <c r="AI2104" s="124"/>
      <c r="AJ2104" s="122" t="s">
        <v>3030</v>
      </c>
      <c r="AK2104" s="129" t="str">
        <f t="shared" ca="1" si="243"/>
        <v>On Time</v>
      </c>
      <c r="AL2104" s="268" t="str">
        <f t="shared" si="242"/>
        <v>April</v>
      </c>
      <c r="AM2104" s="133">
        <f>YEAR(Table1[[#This Row],[ETA
As requested
dd.mm.yyyy]])</f>
        <v>2025</v>
      </c>
    </row>
    <row r="2105" spans="1:39" hidden="1">
      <c r="A2105" s="123" t="s">
        <v>83</v>
      </c>
      <c r="B2105" s="36" t="s">
        <v>1170</v>
      </c>
      <c r="C2105" s="117">
        <v>38676275</v>
      </c>
      <c r="D2105" s="165">
        <v>45709</v>
      </c>
      <c r="E2105" s="117" t="s">
        <v>99</v>
      </c>
      <c r="F2105" s="36" t="str">
        <f>IFERROR(VLOOKUP(Table1[[#This Row],[Part Number]],DATABASE_FG!$C$6:D12094,2,FALSE)," ")</f>
        <v xml:space="preserve">054380529-8011 </v>
      </c>
      <c r="G2105" s="117">
        <f>IFERROR(_xlfn.XLOOKUP(Table1[[#This Row],[Part Number]],Table3[Part number],Table3[Drawing
 Revision]),"")</f>
        <v>0</v>
      </c>
      <c r="H2105" s="118" cm="1">
        <f t="array" ref="H2105">IFERROR(INDEX(PDB!$C:$AT,MATCH(E2105,PDB!$B:$B,0),MATCH(YEAR(K2105),0+PDB!$C$1:$AT$1,0)),"")</f>
        <v>3.56</v>
      </c>
      <c r="I2105" s="36">
        <f>200-124</f>
        <v>76</v>
      </c>
      <c r="J2105" s="125">
        <f>IFERROR(Table1[[#This Row],[Quantity]]*Table1[[#This Row],[Price/Unit
EUR]]," ")</f>
        <v>270.56</v>
      </c>
      <c r="K2105" s="126">
        <v>45748</v>
      </c>
      <c r="L2105" s="36">
        <f>WEEKNUM(Table1[[#This Row],[ETA
As requested
dd.mm.yyyy]])</f>
        <v>14</v>
      </c>
      <c r="M2105" s="36">
        <f>YEAR(Table1[[#This Row],[ETA
As requested
dd.mm.yyyy]])</f>
        <v>2025</v>
      </c>
      <c r="N2105" s="36">
        <f>IFERROR(INDEX(DATABASE_FG!$H$5:$H$367, MATCH(E2105, DATABASE_FG!$C$5:$C$367, 0)), " ")</f>
        <v>0</v>
      </c>
      <c r="O2105" s="129" t="str">
        <f>IF(E2105&lt;&gt;"", _xlfn.XLOOKUP(E2105, DATABASE_FG!C:C, DATABASE_FG!F:F), " ")</f>
        <v>Ghidaje</v>
      </c>
      <c r="P2105" s="36">
        <f>IFERROR(INDEX(DATABASE_FG!$G$5:$G$367, MATCH(E2105, DATABASE_FG!$C$5:$C$367, 0)), "Not Found")</f>
        <v>0</v>
      </c>
      <c r="Q2105" s="36"/>
      <c r="R2105" s="125" t="s">
        <v>678</v>
      </c>
      <c r="S2105" s="123">
        <f>IFERROR(INDEX(DATABASE_FG!$L$5:$L$367, MATCH(E2105, DATABASE_FG!$C$5:$C$367, 0)), " ")</f>
        <v>42</v>
      </c>
      <c r="T2105" s="36" t="s">
        <v>679</v>
      </c>
      <c r="U2105" s="36"/>
      <c r="V2105" s="36"/>
      <c r="W2105" s="129"/>
      <c r="X2105" s="36"/>
      <c r="Y2105" s="36"/>
      <c r="Z2105" s="36"/>
      <c r="AA2105" s="125" t="s">
        <v>121</v>
      </c>
      <c r="AB2105" s="173">
        <v>45777</v>
      </c>
      <c r="AC2105" s="119">
        <v>25701</v>
      </c>
      <c r="AD2105" s="36">
        <f t="shared" si="240"/>
        <v>38676275</v>
      </c>
      <c r="AE2105" s="36" t="str">
        <f t="shared" si="241"/>
        <v>TK.KWVE15-B-A-ESC-0038-WW1</v>
      </c>
      <c r="AF2105" s="36">
        <v>76</v>
      </c>
      <c r="AG2105" s="120">
        <f t="shared" si="239"/>
        <v>270.56</v>
      </c>
      <c r="AH2105" s="36"/>
      <c r="AI2105" s="124"/>
      <c r="AJ2105" s="122" t="s">
        <v>3038</v>
      </c>
      <c r="AK2105" s="129" t="str">
        <f t="shared" ca="1" si="243"/>
        <v>Late</v>
      </c>
      <c r="AL2105" s="268" t="str">
        <f t="shared" si="242"/>
        <v>April</v>
      </c>
      <c r="AM2105" s="133">
        <f>YEAR(Table1[[#This Row],[ETA
As requested
dd.mm.yyyy]])</f>
        <v>2025</v>
      </c>
    </row>
    <row r="2106" spans="1:39" hidden="1">
      <c r="A2106" s="123" t="s">
        <v>83</v>
      </c>
      <c r="B2106" s="36" t="s">
        <v>1170</v>
      </c>
      <c r="C2106" s="117">
        <v>5410521</v>
      </c>
      <c r="D2106" s="165">
        <v>45777</v>
      </c>
      <c r="E2106" s="117" t="s">
        <v>99</v>
      </c>
      <c r="F2106" s="36" t="str">
        <f>IFERROR(VLOOKUP(Table1[[#This Row],[Part Number]],DATABASE_FG!$C$6:D12095,2,FALSE)," ")</f>
        <v xml:space="preserve">054380529-8011 </v>
      </c>
      <c r="G2106" s="117">
        <f>IFERROR(_xlfn.XLOOKUP(Table1[[#This Row],[Part Number]],Table3[Part number],Table3[Drawing
 Revision]),"")</f>
        <v>0</v>
      </c>
      <c r="H2106" s="118" cm="1">
        <f t="array" ref="H2106">IFERROR(INDEX(PDB!$C:$AT,MATCH(E2106,PDB!$B:$B,0),MATCH(YEAR(K2106),0+PDB!$C$1:$AT$1,0)),"")</f>
        <v>3.56</v>
      </c>
      <c r="I2106" s="36">
        <v>476</v>
      </c>
      <c r="J2106" s="125">
        <f>IFERROR(Table1[[#This Row],[Quantity]]*Table1[[#This Row],[Price/Unit
EUR]]," ")</f>
        <v>1694.56</v>
      </c>
      <c r="K2106" s="126">
        <v>45782</v>
      </c>
      <c r="L2106" s="36">
        <f>WEEKNUM(Table1[[#This Row],[ETA
As requested
dd.mm.yyyy]])</f>
        <v>19</v>
      </c>
      <c r="M2106" s="36">
        <f>YEAR(Table1[[#This Row],[ETA
As requested
dd.mm.yyyy]])</f>
        <v>2025</v>
      </c>
      <c r="N2106" s="36">
        <f>IFERROR(INDEX(DATABASE_FG!$H$5:$H$367, MATCH(E2106, DATABASE_FG!$C$5:$C$367, 0)), " ")</f>
        <v>0</v>
      </c>
      <c r="O2106" s="129" t="str">
        <f>IF(E2106&lt;&gt;"", _xlfn.XLOOKUP(E2106, DATABASE_FG!C:C, DATABASE_FG!F:F), " ")</f>
        <v>Ghidaje</v>
      </c>
      <c r="P2106" s="36">
        <f>IFERROR(INDEX(DATABASE_FG!$G$5:$G$367, MATCH(E2106, DATABASE_FG!$C$5:$C$367, 0)), "Not Found")</f>
        <v>0</v>
      </c>
      <c r="Q2106" s="36"/>
      <c r="R2106" s="125" t="s">
        <v>678</v>
      </c>
      <c r="S2106" s="123">
        <f>IFERROR(INDEX(DATABASE_FG!$L$5:$L$367, MATCH(E2106, DATABASE_FG!$C$5:$C$367, 0)), " ")</f>
        <v>42</v>
      </c>
      <c r="T2106" s="36" t="s">
        <v>679</v>
      </c>
      <c r="U2106" s="36"/>
      <c r="V2106" s="36"/>
      <c r="W2106" s="129"/>
      <c r="X2106" s="36"/>
      <c r="Y2106" s="36"/>
      <c r="Z2106" s="36"/>
      <c r="AA2106" s="125" t="s">
        <v>121</v>
      </c>
      <c r="AB2106" s="173">
        <v>45783</v>
      </c>
      <c r="AC2106" s="119">
        <v>25722</v>
      </c>
      <c r="AD2106" s="36">
        <f t="shared" si="240"/>
        <v>5410521</v>
      </c>
      <c r="AE2106" s="36" t="str">
        <f t="shared" si="241"/>
        <v>TK.KWVE15-B-A-ESC-0038-WW1</v>
      </c>
      <c r="AF2106" s="36">
        <v>476</v>
      </c>
      <c r="AG2106" s="120">
        <f t="shared" si="239"/>
        <v>1694.56</v>
      </c>
      <c r="AH2106" s="36"/>
      <c r="AI2106" s="124"/>
      <c r="AJ2106" s="122" t="s">
        <v>3142</v>
      </c>
      <c r="AK2106" s="129" t="str">
        <f t="shared" ca="1" si="243"/>
        <v>On Time</v>
      </c>
      <c r="AL2106" s="268" t="str">
        <f t="shared" si="242"/>
        <v>May</v>
      </c>
      <c r="AM2106" s="133">
        <f>YEAR(Table1[[#This Row],[ETA
As requested
dd.mm.yyyy]])</f>
        <v>2025</v>
      </c>
    </row>
    <row r="2107" spans="1:39" hidden="1">
      <c r="A2107" s="123" t="s">
        <v>83</v>
      </c>
      <c r="B2107" s="36" t="s">
        <v>1170</v>
      </c>
      <c r="C2107" s="117">
        <v>5410521</v>
      </c>
      <c r="D2107" s="165">
        <v>45777</v>
      </c>
      <c r="E2107" s="117" t="s">
        <v>99</v>
      </c>
      <c r="F2107" s="36" t="str">
        <f>IFERROR(VLOOKUP(Table1[[#This Row],[Part Number]],DATABASE_FG!$C$6:D12096,2,FALSE)," ")</f>
        <v xml:space="preserve">054380529-8011 </v>
      </c>
      <c r="G2107" s="117">
        <f>IFERROR(_xlfn.XLOOKUP(Table1[[#This Row],[Part Number]],Table3[Part number],Table3[Drawing
 Revision]),"")</f>
        <v>0</v>
      </c>
      <c r="H2107" s="118" cm="1">
        <f t="array" ref="H2107">IFERROR(INDEX(PDB!$C:$AT,MATCH(E2107,PDB!$B:$B,0),MATCH(YEAR(K2107),0+PDB!$C$1:$AT$1,0)),"")</f>
        <v>3.56</v>
      </c>
      <c r="I2107" s="36">
        <f>300-176</f>
        <v>124</v>
      </c>
      <c r="J2107" s="125">
        <f>IFERROR(Table1[[#This Row],[Quantity]]*Table1[[#This Row],[Price/Unit
EUR]]," ")</f>
        <v>441.44</v>
      </c>
      <c r="K2107" s="126">
        <v>45789</v>
      </c>
      <c r="L2107" s="36">
        <f>WEEKNUM(Table1[[#This Row],[ETA
As requested
dd.mm.yyyy]])</f>
        <v>20</v>
      </c>
      <c r="M2107" s="36">
        <f>YEAR(Table1[[#This Row],[ETA
As requested
dd.mm.yyyy]])</f>
        <v>2025</v>
      </c>
      <c r="N2107" s="36">
        <f>IFERROR(INDEX(DATABASE_FG!$H$5:$H$367, MATCH(E2107, DATABASE_FG!$C$5:$C$367, 0)), " ")</f>
        <v>0</v>
      </c>
      <c r="O2107" s="129" t="str">
        <f>IF(E2107&lt;&gt;"", _xlfn.XLOOKUP(E2107, DATABASE_FG!C:C, DATABASE_FG!F:F), " ")</f>
        <v>Ghidaje</v>
      </c>
      <c r="P2107" s="36">
        <f>IFERROR(INDEX(DATABASE_FG!$G$5:$G$367, MATCH(E2107, DATABASE_FG!$C$5:$C$367, 0)), "Not Found")</f>
        <v>0</v>
      </c>
      <c r="Q2107" s="36"/>
      <c r="R2107" s="125" t="s">
        <v>678</v>
      </c>
      <c r="S2107" s="123">
        <f>IFERROR(INDEX(DATABASE_FG!$L$5:$L$367, MATCH(E2107, DATABASE_FG!$C$5:$C$367, 0)), " ")</f>
        <v>42</v>
      </c>
      <c r="T2107" s="36" t="s">
        <v>679</v>
      </c>
      <c r="U2107" s="36"/>
      <c r="V2107" s="36"/>
      <c r="W2107" s="129"/>
      <c r="X2107" s="36"/>
      <c r="Y2107" s="36"/>
      <c r="Z2107" s="36"/>
      <c r="AA2107" s="125" t="s">
        <v>121</v>
      </c>
      <c r="AB2107" s="173">
        <v>45785</v>
      </c>
      <c r="AC2107" s="119">
        <v>25741</v>
      </c>
      <c r="AD2107" s="36">
        <f t="shared" si="240"/>
        <v>5410521</v>
      </c>
      <c r="AE2107" s="36" t="str">
        <f t="shared" si="241"/>
        <v>TK.KWVE15-B-A-ESC-0038-WW1</v>
      </c>
      <c r="AF2107" s="36">
        <v>124</v>
      </c>
      <c r="AG2107" s="120">
        <f t="shared" si="239"/>
        <v>441.44</v>
      </c>
      <c r="AH2107" s="36"/>
      <c r="AI2107" s="124"/>
      <c r="AJ2107" s="122" t="s">
        <v>3175</v>
      </c>
      <c r="AK2107" s="129" t="str">
        <f t="shared" ca="1" si="243"/>
        <v>On Time</v>
      </c>
      <c r="AL2107" s="268" t="str">
        <f t="shared" si="242"/>
        <v>May</v>
      </c>
      <c r="AM2107" s="133">
        <f>YEAR(Table1[[#This Row],[ETA
As requested
dd.mm.yyyy]])</f>
        <v>2025</v>
      </c>
    </row>
    <row r="2108" spans="1:39" hidden="1">
      <c r="A2108" s="123" t="s">
        <v>83</v>
      </c>
      <c r="B2108" s="36" t="s">
        <v>1170</v>
      </c>
      <c r="C2108" s="117">
        <v>5410521</v>
      </c>
      <c r="D2108" s="165">
        <v>45777</v>
      </c>
      <c r="E2108" s="117" t="s">
        <v>99</v>
      </c>
      <c r="F2108" s="36" t="str">
        <f>IFERROR(VLOOKUP(Table1[[#This Row],[Part Number]],DATABASE_FG!$C$6:D12097,2,FALSE)," ")</f>
        <v xml:space="preserve">054380529-8011 </v>
      </c>
      <c r="G2108" s="117">
        <f>IFERROR(_xlfn.XLOOKUP(Table1[[#This Row],[Part Number]],Table3[Part number],Table3[Drawing
 Revision]),"")</f>
        <v>0</v>
      </c>
      <c r="H2108" s="118" cm="1">
        <f t="array" ref="H2108">IFERROR(INDEX(PDB!$C:$AT,MATCH(E2108,PDB!$B:$B,0),MATCH(YEAR(K2108),0+PDB!$C$1:$AT$1,0)),"")</f>
        <v>3.56</v>
      </c>
      <c r="I2108" s="36">
        <v>233</v>
      </c>
      <c r="J2108" s="125">
        <f>IFERROR(Table1[[#This Row],[Quantity]]*Table1[[#This Row],[Price/Unit
EUR]]," ")</f>
        <v>829.48</v>
      </c>
      <c r="K2108" s="126">
        <v>45796</v>
      </c>
      <c r="L2108" s="36">
        <f>WEEKNUM(Table1[[#This Row],[ETA
As requested
dd.mm.yyyy]])</f>
        <v>21</v>
      </c>
      <c r="M2108" s="36">
        <f>YEAR(Table1[[#This Row],[ETA
As requested
dd.mm.yyyy]])</f>
        <v>2025</v>
      </c>
      <c r="N2108" s="36">
        <f>IFERROR(INDEX(DATABASE_FG!$H$5:$H$367, MATCH(E2108, DATABASE_FG!$C$5:$C$367, 0)), " ")</f>
        <v>0</v>
      </c>
      <c r="O2108" s="129" t="str">
        <f>IF(E2108&lt;&gt;"", _xlfn.XLOOKUP(E2108, DATABASE_FG!C:C, DATABASE_FG!F:F), " ")</f>
        <v>Ghidaje</v>
      </c>
      <c r="P2108" s="36">
        <f>IFERROR(INDEX(DATABASE_FG!$G$5:$G$367, MATCH(E2108, DATABASE_FG!$C$5:$C$367, 0)), "Not Found")</f>
        <v>0</v>
      </c>
      <c r="Q2108" s="36"/>
      <c r="R2108" s="125" t="s">
        <v>678</v>
      </c>
      <c r="S2108" s="123">
        <f>IFERROR(INDEX(DATABASE_FG!$L$5:$L$367, MATCH(E2108, DATABASE_FG!$C$5:$C$367, 0)), " ")</f>
        <v>42</v>
      </c>
      <c r="T2108" s="36" t="s">
        <v>679</v>
      </c>
      <c r="U2108" s="36"/>
      <c r="V2108" s="36"/>
      <c r="W2108" s="129"/>
      <c r="X2108" s="36"/>
      <c r="Y2108" s="36"/>
      <c r="Z2108" s="36"/>
      <c r="AA2108" s="125" t="s">
        <v>121</v>
      </c>
      <c r="AB2108" s="173">
        <v>45785</v>
      </c>
      <c r="AC2108" s="119">
        <v>25741</v>
      </c>
      <c r="AD2108" s="36">
        <f t="shared" si="240"/>
        <v>5410521</v>
      </c>
      <c r="AE2108" s="36" t="str">
        <f t="shared" si="241"/>
        <v>TK.KWVE15-B-A-ESC-0038-WW1</v>
      </c>
      <c r="AF2108" s="36">
        <v>233</v>
      </c>
      <c r="AG2108" s="120">
        <f t="shared" si="239"/>
        <v>829.48</v>
      </c>
      <c r="AH2108" s="36"/>
      <c r="AI2108" s="124"/>
      <c r="AJ2108" s="122" t="s">
        <v>3175</v>
      </c>
      <c r="AK2108" s="129" t="str">
        <f t="shared" ca="1" si="243"/>
        <v>On Time</v>
      </c>
      <c r="AL2108" s="268" t="str">
        <f t="shared" si="242"/>
        <v>May</v>
      </c>
      <c r="AM2108" s="133">
        <f>YEAR(Table1[[#This Row],[ETA
As requested
dd.mm.yyyy]])</f>
        <v>2025</v>
      </c>
    </row>
    <row r="2109" spans="1:39" hidden="1">
      <c r="A2109" s="123" t="s">
        <v>83</v>
      </c>
      <c r="B2109" s="36" t="s">
        <v>1170</v>
      </c>
      <c r="C2109" s="117">
        <v>5410521</v>
      </c>
      <c r="D2109" s="165">
        <v>45777</v>
      </c>
      <c r="E2109" s="117" t="s">
        <v>99</v>
      </c>
      <c r="F2109" s="36" t="str">
        <f>IFERROR(VLOOKUP(Table1[[#This Row],[Part Number]],DATABASE_FG!$C$6:D12098,2,FALSE)," ")</f>
        <v xml:space="preserve">054380529-8011 </v>
      </c>
      <c r="G2109" s="117">
        <f>IFERROR(_xlfn.XLOOKUP(Table1[[#This Row],[Part Number]],Table3[Part number],Table3[Drawing
 Revision]),"")</f>
        <v>0</v>
      </c>
      <c r="H2109" s="118" cm="1">
        <f t="array" ref="H2109">IFERROR(INDEX(PDB!$C:$AT,MATCH(E2109,PDB!$B:$B,0),MATCH(YEAR(K2109),0+PDB!$C$1:$AT$1,0)),"")</f>
        <v>3.56</v>
      </c>
      <c r="I2109" s="36">
        <v>62</v>
      </c>
      <c r="J2109" s="125">
        <f>IFERROR(Table1[[#This Row],[Quantity]]*Table1[[#This Row],[Price/Unit
EUR]]," ")</f>
        <v>220.72</v>
      </c>
      <c r="K2109" s="126">
        <v>45803</v>
      </c>
      <c r="L2109" s="36">
        <f>WEEKNUM(Table1[[#This Row],[ETA
As requested
dd.mm.yyyy]])</f>
        <v>22</v>
      </c>
      <c r="M2109" s="36">
        <f>YEAR(Table1[[#This Row],[ETA
As requested
dd.mm.yyyy]])</f>
        <v>2025</v>
      </c>
      <c r="N2109" s="36">
        <f>IFERROR(INDEX(DATABASE_FG!$H$5:$H$367, MATCH(E2109, DATABASE_FG!$C$5:$C$367, 0)), " ")</f>
        <v>0</v>
      </c>
      <c r="O2109" s="129" t="str">
        <f>IF(E2109&lt;&gt;"", _xlfn.XLOOKUP(E2109, DATABASE_FG!C:C, DATABASE_FG!F:F), " ")</f>
        <v>Ghidaje</v>
      </c>
      <c r="P2109" s="36">
        <f>IFERROR(INDEX(DATABASE_FG!$G$5:$G$367, MATCH(E2109, DATABASE_FG!$C$5:$C$367, 0)), "Not Found")</f>
        <v>0</v>
      </c>
      <c r="Q2109" s="36"/>
      <c r="R2109" s="125" t="s">
        <v>678</v>
      </c>
      <c r="S2109" s="123">
        <f>IFERROR(INDEX(DATABASE_FG!$L$5:$L$367, MATCH(E2109, DATABASE_FG!$C$5:$C$367, 0)), " ")</f>
        <v>42</v>
      </c>
      <c r="T2109" s="36" t="s">
        <v>679</v>
      </c>
      <c r="U2109" s="36"/>
      <c r="V2109" s="36"/>
      <c r="W2109" s="129"/>
      <c r="X2109" s="36"/>
      <c r="Y2109" s="36"/>
      <c r="Z2109" s="36"/>
      <c r="AA2109" s="125" t="s">
        <v>121</v>
      </c>
      <c r="AB2109" s="173">
        <v>45790</v>
      </c>
      <c r="AC2109" s="119">
        <v>25767</v>
      </c>
      <c r="AD2109" s="36">
        <f t="shared" si="240"/>
        <v>5410521</v>
      </c>
      <c r="AE2109" s="36" t="str">
        <f t="shared" si="241"/>
        <v>TK.KWVE15-B-A-ESC-0038-WW1</v>
      </c>
      <c r="AF2109" s="36">
        <v>62</v>
      </c>
      <c r="AG2109" s="120">
        <f t="shared" ref="AG2109:AG2173" si="244">AF2109*H2109</f>
        <v>220.72</v>
      </c>
      <c r="AH2109" s="36"/>
      <c r="AI2109" s="124"/>
      <c r="AJ2109" s="122" t="s">
        <v>3209</v>
      </c>
      <c r="AK2109" s="129" t="str">
        <f t="shared" ca="1" si="243"/>
        <v>On Time</v>
      </c>
      <c r="AL2109" s="268" t="str">
        <f t="shared" si="242"/>
        <v>May</v>
      </c>
      <c r="AM2109" s="133">
        <f>YEAR(Table1[[#This Row],[ETA
As requested
dd.mm.yyyy]])</f>
        <v>2025</v>
      </c>
    </row>
    <row r="2110" spans="1:39" hidden="1">
      <c r="A2110" s="123" t="s">
        <v>83</v>
      </c>
      <c r="B2110" s="36" t="s">
        <v>1170</v>
      </c>
      <c r="C2110" s="117">
        <v>5410521</v>
      </c>
      <c r="D2110" s="165">
        <v>45777</v>
      </c>
      <c r="E2110" s="117" t="s">
        <v>99</v>
      </c>
      <c r="F2110" s="36" t="str">
        <f>IFERROR(VLOOKUP(Table1[[#This Row],[Part Number]],DATABASE_FG!$C$6:D12099,2,FALSE)," ")</f>
        <v xml:space="preserve">054380529-8011 </v>
      </c>
      <c r="G2110" s="117">
        <f>IFERROR(_xlfn.XLOOKUP(Table1[[#This Row],[Part Number]],Table3[Part number],Table3[Drawing
 Revision]),"")</f>
        <v>0</v>
      </c>
      <c r="H2110" s="118" cm="1">
        <f t="array" ref="H2110">IFERROR(INDEX(PDB!$C:$AT,MATCH(E2110,PDB!$B:$B,0),MATCH(YEAR(K2110),0+PDB!$C$1:$AT$1,0)),"")</f>
        <v>3.56</v>
      </c>
      <c r="I2110" s="36">
        <f>167-62</f>
        <v>105</v>
      </c>
      <c r="J2110" s="125">
        <f>IFERROR(Table1[[#This Row],[Quantity]]*Table1[[#This Row],[Price/Unit
EUR]]," ")</f>
        <v>373.8</v>
      </c>
      <c r="K2110" s="126">
        <v>45803</v>
      </c>
      <c r="L2110" s="36">
        <f>WEEKNUM(Table1[[#This Row],[ETA
As requested
dd.mm.yyyy]])</f>
        <v>22</v>
      </c>
      <c r="M2110" s="36">
        <f>YEAR(Table1[[#This Row],[ETA
As requested
dd.mm.yyyy]])</f>
        <v>2025</v>
      </c>
      <c r="N2110" s="36">
        <f>IFERROR(INDEX(DATABASE_FG!$H$5:$H$367, MATCH(E2110, DATABASE_FG!$C$5:$C$367, 0)), " ")</f>
        <v>0</v>
      </c>
      <c r="O2110" s="129" t="str">
        <f>IF(E2110&lt;&gt;"", _xlfn.XLOOKUP(E2110, DATABASE_FG!C:C, DATABASE_FG!F:F), " ")</f>
        <v>Ghidaje</v>
      </c>
      <c r="P2110" s="36">
        <f>IFERROR(INDEX(DATABASE_FG!$G$5:$G$367, MATCH(E2110, DATABASE_FG!$C$5:$C$367, 0)), "Not Found")</f>
        <v>0</v>
      </c>
      <c r="Q2110" s="36"/>
      <c r="R2110" s="125" t="s">
        <v>678</v>
      </c>
      <c r="S2110" s="123">
        <f>IFERROR(INDEX(DATABASE_FG!$L$5:$L$367, MATCH(E2110, DATABASE_FG!$C$5:$C$367, 0)), " ")</f>
        <v>42</v>
      </c>
      <c r="T2110" s="36" t="s">
        <v>679</v>
      </c>
      <c r="U2110" s="36"/>
      <c r="V2110" s="36"/>
      <c r="W2110" s="129"/>
      <c r="X2110" s="36"/>
      <c r="Y2110" s="36"/>
      <c r="Z2110" s="36"/>
      <c r="AA2110" s="125" t="s">
        <v>121</v>
      </c>
      <c r="AB2110" s="173">
        <v>45806</v>
      </c>
      <c r="AC2110" s="119">
        <v>25849</v>
      </c>
      <c r="AD2110" s="36">
        <f t="shared" si="240"/>
        <v>5410521</v>
      </c>
      <c r="AE2110" s="36" t="str">
        <f t="shared" si="241"/>
        <v>TK.KWVE15-B-A-ESC-0038-WW1</v>
      </c>
      <c r="AF2110" s="36">
        <v>105</v>
      </c>
      <c r="AG2110" s="120">
        <f t="shared" si="244"/>
        <v>373.8</v>
      </c>
      <c r="AH2110" s="36"/>
      <c r="AI2110" s="124"/>
      <c r="AJ2110" s="122" t="s">
        <v>3212</v>
      </c>
      <c r="AK2110" s="129" t="str">
        <f t="shared" ca="1" si="243"/>
        <v>Late</v>
      </c>
      <c r="AL2110" s="268" t="str">
        <f t="shared" si="242"/>
        <v>May</v>
      </c>
      <c r="AM2110" s="133">
        <f>YEAR(Table1[[#This Row],[ETA
As requested
dd.mm.yyyy]])</f>
        <v>2025</v>
      </c>
    </row>
    <row r="2111" spans="1:39" hidden="1">
      <c r="A2111" s="123" t="s">
        <v>83</v>
      </c>
      <c r="B2111" s="36" t="s">
        <v>1170</v>
      </c>
      <c r="C2111" s="117">
        <v>5410521</v>
      </c>
      <c r="D2111" s="165">
        <v>45777</v>
      </c>
      <c r="E2111" s="117" t="s">
        <v>99</v>
      </c>
      <c r="F2111" s="36" t="str">
        <f>IFERROR(VLOOKUP(Table1[[#This Row],[Part Number]],DATABASE_FG!$C$6:D12100,2,FALSE)," ")</f>
        <v xml:space="preserve">054380529-8011 </v>
      </c>
      <c r="G2111" s="117">
        <f>IFERROR(_xlfn.XLOOKUP(Table1[[#This Row],[Part Number]],Table3[Part number],Table3[Drawing
 Revision]),"")</f>
        <v>0</v>
      </c>
      <c r="H2111" s="118" cm="1">
        <f t="array" ref="H2111">IFERROR(INDEX(PDB!$C:$AT,MATCH(E2111,PDB!$B:$B,0),MATCH(YEAR(K2111),0+PDB!$C$1:$AT$1,0)),"")</f>
        <v>3.56</v>
      </c>
      <c r="I2111" s="36">
        <v>238</v>
      </c>
      <c r="J2111" s="125">
        <f>IFERROR(Table1[[#This Row],[Quantity]]*Table1[[#This Row],[Price/Unit
EUR]]," ")</f>
        <v>847.28</v>
      </c>
      <c r="K2111" s="126">
        <v>45811</v>
      </c>
      <c r="L2111" s="36">
        <f>WEEKNUM(Table1[[#This Row],[ETA
As requested
dd.mm.yyyy]])</f>
        <v>23</v>
      </c>
      <c r="M2111" s="36">
        <f>YEAR(Table1[[#This Row],[ETA
As requested
dd.mm.yyyy]])</f>
        <v>2025</v>
      </c>
      <c r="N2111" s="36">
        <f>IFERROR(INDEX(DATABASE_FG!$H$5:$H$367, MATCH(E2111, DATABASE_FG!$C$5:$C$367, 0)), " ")</f>
        <v>0</v>
      </c>
      <c r="O2111" s="129" t="str">
        <f>IF(E2111&lt;&gt;"", _xlfn.XLOOKUP(E2111, DATABASE_FG!C:C, DATABASE_FG!F:F), " ")</f>
        <v>Ghidaje</v>
      </c>
      <c r="P2111" s="36">
        <f>IFERROR(INDEX(DATABASE_FG!$G$5:$G$367, MATCH(E2111, DATABASE_FG!$C$5:$C$367, 0)), "Not Found")</f>
        <v>0</v>
      </c>
      <c r="Q2111" s="36"/>
      <c r="R2111" s="125" t="s">
        <v>678</v>
      </c>
      <c r="S2111" s="123">
        <f>Table1[[#This Row],[Quantity]]/48</f>
        <v>4.958333333333333</v>
      </c>
      <c r="T2111" s="36" t="s">
        <v>679</v>
      </c>
      <c r="U2111" s="36"/>
      <c r="V2111" s="36"/>
      <c r="W2111" s="129"/>
      <c r="X2111" s="36"/>
      <c r="Y2111" s="36"/>
      <c r="Z2111" s="36"/>
      <c r="AA2111" s="125" t="s">
        <v>121</v>
      </c>
      <c r="AB2111" s="173">
        <v>45811</v>
      </c>
      <c r="AC2111" s="119">
        <v>25871</v>
      </c>
      <c r="AD2111" s="36">
        <f t="shared" si="240"/>
        <v>5410521</v>
      </c>
      <c r="AE2111" s="36" t="str">
        <f t="shared" si="241"/>
        <v>TK.KWVE15-B-A-ESC-0038-WW1</v>
      </c>
      <c r="AF2111" s="36">
        <v>238</v>
      </c>
      <c r="AG2111" s="120">
        <f t="shared" si="244"/>
        <v>847.28</v>
      </c>
      <c r="AH2111" s="36"/>
      <c r="AI2111" s="124"/>
      <c r="AJ2111" s="122" t="s">
        <v>3229</v>
      </c>
      <c r="AK2111" s="129" t="str">
        <f t="shared" ca="1" si="243"/>
        <v>On Time</v>
      </c>
      <c r="AL2111" s="268" t="str">
        <f t="shared" si="242"/>
        <v>June</v>
      </c>
      <c r="AM2111" s="133">
        <f>YEAR(Table1[[#This Row],[ETA
As requested
dd.mm.yyyy]])</f>
        <v>2025</v>
      </c>
    </row>
    <row r="2112" spans="1:39" hidden="1">
      <c r="A2112" s="123" t="s">
        <v>83</v>
      </c>
      <c r="B2112" s="36" t="s">
        <v>1170</v>
      </c>
      <c r="C2112" s="117">
        <v>5410521</v>
      </c>
      <c r="D2112" s="165">
        <v>45777</v>
      </c>
      <c r="E2112" s="117" t="s">
        <v>99</v>
      </c>
      <c r="F2112" s="36" t="str">
        <f>IFERROR(VLOOKUP(Table1[[#This Row],[Part Number]],DATABASE_FG!$C$6:D12101,2,FALSE)," ")</f>
        <v xml:space="preserve">054380529-8011 </v>
      </c>
      <c r="G2112" s="117">
        <f>IFERROR(_xlfn.XLOOKUP(Table1[[#This Row],[Part Number]],Table3[Part number],Table3[Drawing
 Revision]),"")</f>
        <v>0</v>
      </c>
      <c r="H2112" s="118" cm="1">
        <f t="array" ref="H2112">IFERROR(INDEX(PDB!$C:$AT,MATCH(E2112,PDB!$B:$B,0),MATCH(YEAR(K2112),0+PDB!$C$1:$AT$1,0)),"")</f>
        <v>3.56</v>
      </c>
      <c r="I2112" s="36">
        <v>315</v>
      </c>
      <c r="J2112" s="125">
        <f>IFERROR(Table1[[#This Row],[Quantity]]*Table1[[#This Row],[Price/Unit
EUR]]," ")</f>
        <v>1121.4000000000001</v>
      </c>
      <c r="K2112" s="126">
        <v>45818</v>
      </c>
      <c r="L2112" s="36">
        <f>WEEKNUM(Table1[[#This Row],[ETA
As requested
dd.mm.yyyy]])</f>
        <v>24</v>
      </c>
      <c r="M2112" s="36">
        <f>YEAR(Table1[[#This Row],[ETA
As requested
dd.mm.yyyy]])</f>
        <v>2025</v>
      </c>
      <c r="N2112" s="36">
        <f>IFERROR(INDEX(DATABASE_FG!$H$5:$H$367, MATCH(E2112, DATABASE_FG!$C$5:$C$367, 0)), " ")</f>
        <v>0</v>
      </c>
      <c r="O2112" s="129" t="str">
        <f>IF(E2112&lt;&gt;"", _xlfn.XLOOKUP(E2112, DATABASE_FG!C:C, DATABASE_FG!F:F), " ")</f>
        <v>Ghidaje</v>
      </c>
      <c r="P2112" s="36">
        <f>IFERROR(INDEX(DATABASE_FG!$G$5:$G$367, MATCH(E2112, DATABASE_FG!$C$5:$C$367, 0)), "Not Found")</f>
        <v>0</v>
      </c>
      <c r="Q2112" s="36"/>
      <c r="R2112" s="125" t="s">
        <v>678</v>
      </c>
      <c r="S2112" s="123">
        <f>Table1[[#This Row],[Quantity]]/48</f>
        <v>6.5625</v>
      </c>
      <c r="T2112" s="36"/>
      <c r="U2112" s="36"/>
      <c r="V2112" s="36"/>
      <c r="W2112" s="129"/>
      <c r="X2112" s="36"/>
      <c r="Y2112" s="36"/>
      <c r="Z2112" s="36"/>
      <c r="AA2112" s="125" t="s">
        <v>121</v>
      </c>
      <c r="AB2112" s="173">
        <v>45813</v>
      </c>
      <c r="AC2112" s="119">
        <v>25887</v>
      </c>
      <c r="AD2112" s="36">
        <f t="shared" si="240"/>
        <v>5410521</v>
      </c>
      <c r="AE2112" s="36" t="str">
        <f t="shared" si="241"/>
        <v>TK.KWVE15-B-A-ESC-0038-WW1</v>
      </c>
      <c r="AF2112" s="36">
        <v>315</v>
      </c>
      <c r="AG2112" s="120">
        <f t="shared" si="244"/>
        <v>1121.4000000000001</v>
      </c>
      <c r="AH2112" s="36"/>
      <c r="AI2112" s="124"/>
      <c r="AJ2112" s="122" t="s">
        <v>3240</v>
      </c>
      <c r="AK2112" s="129" t="str">
        <f t="shared" ca="1" si="243"/>
        <v>On Time</v>
      </c>
      <c r="AL2112" s="268" t="str">
        <f t="shared" si="242"/>
        <v>June</v>
      </c>
      <c r="AM2112" s="133">
        <f>YEAR(Table1[[#This Row],[ETA
As requested
dd.mm.yyyy]])</f>
        <v>2025</v>
      </c>
    </row>
    <row r="2113" spans="1:39" hidden="1">
      <c r="A2113" s="123" t="s">
        <v>83</v>
      </c>
      <c r="B2113" s="36" t="s">
        <v>1170</v>
      </c>
      <c r="C2113" s="117">
        <v>5410521</v>
      </c>
      <c r="D2113" s="165">
        <v>45777</v>
      </c>
      <c r="E2113" s="117" t="s">
        <v>99</v>
      </c>
      <c r="F2113" s="36" t="str">
        <f>IFERROR(VLOOKUP(Table1[[#This Row],[Part Number]],DATABASE_FG!$C$6:D12102,2,FALSE)," ")</f>
        <v xml:space="preserve">054380529-8011 </v>
      </c>
      <c r="G2113" s="117">
        <f>IFERROR(_xlfn.XLOOKUP(Table1[[#This Row],[Part Number]],Table3[Part number],Table3[Drawing
 Revision]),"")</f>
        <v>0</v>
      </c>
      <c r="H2113" s="118" cm="1">
        <f t="array" ref="H2113">IFERROR(INDEX(PDB!$C:$AT,MATCH(E2113,PDB!$B:$B,0),MATCH(YEAR(K2113),0+PDB!$C$1:$AT$1,0)),"")</f>
        <v>3.56</v>
      </c>
      <c r="I2113" s="36">
        <v>44</v>
      </c>
      <c r="J2113" s="125">
        <f>IFERROR(Table1[[#This Row],[Quantity]]*Table1[[#This Row],[Price/Unit
EUR]]," ")</f>
        <v>156.64000000000001</v>
      </c>
      <c r="K2113" s="126">
        <v>45818</v>
      </c>
      <c r="L2113" s="36">
        <f>WEEKNUM(Table1[[#This Row],[ETA
As requested
dd.mm.yyyy]])</f>
        <v>24</v>
      </c>
      <c r="M2113" s="36">
        <f>YEAR(Table1[[#This Row],[ETA
As requested
dd.mm.yyyy]])</f>
        <v>2025</v>
      </c>
      <c r="N2113" s="36">
        <f>IFERROR(INDEX(DATABASE_FG!$H$5:$H$367, MATCH(E2113, DATABASE_FG!$C$5:$C$367, 0)), " ")</f>
        <v>0</v>
      </c>
      <c r="O2113" s="129" t="str">
        <f>IF(E2113&lt;&gt;"", _xlfn.XLOOKUP(E2113, DATABASE_FG!C:C, DATABASE_FG!F:F), " ")</f>
        <v>Ghidaje</v>
      </c>
      <c r="P2113" s="36">
        <f>IFERROR(INDEX(DATABASE_FG!$G$5:$G$367, MATCH(E2113, DATABASE_FG!$C$5:$C$367, 0)), "Not Found")</f>
        <v>0</v>
      </c>
      <c r="Q2113" s="36"/>
      <c r="R2113" s="125" t="s">
        <v>678</v>
      </c>
      <c r="S2113" s="123">
        <f>Table1[[#This Row],[Quantity]]/48</f>
        <v>0.91666666666666663</v>
      </c>
      <c r="T2113" s="36"/>
      <c r="U2113" s="36"/>
      <c r="V2113" s="36"/>
      <c r="W2113" s="129"/>
      <c r="X2113" s="36"/>
      <c r="Y2113" s="36"/>
      <c r="Z2113" s="36"/>
      <c r="AA2113" s="125" t="s">
        <v>121</v>
      </c>
      <c r="AB2113" s="173">
        <v>45827</v>
      </c>
      <c r="AC2113" s="119">
        <v>25951</v>
      </c>
      <c r="AD2113" s="36">
        <f t="shared" si="240"/>
        <v>5410521</v>
      </c>
      <c r="AE2113" s="36" t="str">
        <f t="shared" si="241"/>
        <v>TK.KWVE15-B-A-ESC-0038-WW1</v>
      </c>
      <c r="AF2113" s="36">
        <v>44</v>
      </c>
      <c r="AG2113" s="120">
        <f t="shared" si="244"/>
        <v>156.64000000000001</v>
      </c>
      <c r="AH2113" s="36"/>
      <c r="AI2113" s="124"/>
      <c r="AJ2113" s="122" t="s">
        <v>3241</v>
      </c>
      <c r="AK2113" s="129" t="str">
        <f t="shared" ca="1" si="243"/>
        <v>Late</v>
      </c>
      <c r="AL2113" s="268" t="str">
        <f t="shared" si="242"/>
        <v>June</v>
      </c>
      <c r="AM2113" s="133">
        <f>YEAR(Table1[[#This Row],[ETA
As requested
dd.mm.yyyy]])</f>
        <v>2025</v>
      </c>
    </row>
    <row r="2114" spans="1:39" hidden="1">
      <c r="A2114" s="123" t="s">
        <v>83</v>
      </c>
      <c r="B2114" s="36" t="s">
        <v>1170</v>
      </c>
      <c r="C2114" s="117">
        <v>5410521</v>
      </c>
      <c r="D2114" s="165">
        <v>45777</v>
      </c>
      <c r="E2114" s="117" t="s">
        <v>99</v>
      </c>
      <c r="F2114" s="36" t="str">
        <f>IFERROR(VLOOKUP(Table1[[#This Row],[Part Number]],DATABASE_FG!$C$6:D12103,2,FALSE)," ")</f>
        <v xml:space="preserve">054380529-8011 </v>
      </c>
      <c r="G2114" s="117">
        <f>IFERROR(_xlfn.XLOOKUP(Table1[[#This Row],[Part Number]],Table3[Part number],Table3[Drawing
 Revision]),"")</f>
        <v>0</v>
      </c>
      <c r="H2114" s="118" cm="1">
        <f t="array" ref="H2114">IFERROR(INDEX(PDB!$C:$AT,MATCH(E2114,PDB!$B:$B,0),MATCH(YEAR(K2114),0+PDB!$C$1:$AT$1,0)),"")</f>
        <v>3.56</v>
      </c>
      <c r="I2114" s="36">
        <f>600-238-315-44+116</f>
        <v>119</v>
      </c>
      <c r="J2114" s="125">
        <f>IFERROR(Table1[[#This Row],[Quantity]]*Table1[[#This Row],[Price/Unit
EUR]]," ")</f>
        <v>423.64</v>
      </c>
      <c r="K2114" s="126">
        <v>45818</v>
      </c>
      <c r="L2114" s="36">
        <f>WEEKNUM(Table1[[#This Row],[ETA
As requested
dd.mm.yyyy]])</f>
        <v>24</v>
      </c>
      <c r="M2114" s="36">
        <f>YEAR(Table1[[#This Row],[ETA
As requested
dd.mm.yyyy]])</f>
        <v>2025</v>
      </c>
      <c r="N2114" s="36">
        <f>IFERROR(INDEX(DATABASE_FG!$H$5:$H$367, MATCH(E2114, DATABASE_FG!$C$5:$C$367, 0)), " ")</f>
        <v>0</v>
      </c>
      <c r="O2114" s="129" t="str">
        <f>IF(E2114&lt;&gt;"", _xlfn.XLOOKUP(E2114, DATABASE_FG!C:C, DATABASE_FG!F:F), " ")</f>
        <v>Ghidaje</v>
      </c>
      <c r="P2114" s="36">
        <f>IFERROR(INDEX(DATABASE_FG!$G$5:$G$367, MATCH(E2114, DATABASE_FG!$C$5:$C$367, 0)), "Not Found")</f>
        <v>0</v>
      </c>
      <c r="Q2114" s="36"/>
      <c r="R2114" s="125" t="s">
        <v>678</v>
      </c>
      <c r="S2114" s="123">
        <f>Table1[[#This Row],[Quantity]]/48</f>
        <v>2.4791666666666665</v>
      </c>
      <c r="T2114" s="36" t="s">
        <v>679</v>
      </c>
      <c r="U2114" s="36"/>
      <c r="V2114" s="36"/>
      <c r="W2114" s="129"/>
      <c r="X2114" s="36"/>
      <c r="Y2114" s="36"/>
      <c r="Z2114" s="36"/>
      <c r="AA2114" s="125" t="s">
        <v>121</v>
      </c>
      <c r="AB2114" s="173">
        <v>45859</v>
      </c>
      <c r="AC2114" s="119" t="s">
        <v>3249</v>
      </c>
      <c r="AD2114" s="36">
        <f t="shared" si="240"/>
        <v>5410521</v>
      </c>
      <c r="AE2114" s="36" t="str">
        <f t="shared" si="241"/>
        <v>TK.KWVE15-B-A-ESC-0038-WW1</v>
      </c>
      <c r="AF2114" s="36">
        <v>119</v>
      </c>
      <c r="AG2114" s="120">
        <f t="shared" si="244"/>
        <v>423.64</v>
      </c>
      <c r="AH2114" s="36"/>
      <c r="AI2114" s="124"/>
      <c r="AJ2114" s="122" t="s">
        <v>3250</v>
      </c>
      <c r="AK2114" s="129" t="str">
        <f t="shared" ca="1" si="243"/>
        <v>Late</v>
      </c>
      <c r="AL2114" s="268" t="str">
        <f t="shared" si="242"/>
        <v>June</v>
      </c>
      <c r="AM2114" s="133">
        <f>YEAR(Table1[[#This Row],[ETA
As requested
dd.mm.yyyy]])</f>
        <v>2025</v>
      </c>
    </row>
    <row r="2115" spans="1:39" hidden="1">
      <c r="A2115" s="123" t="s">
        <v>83</v>
      </c>
      <c r="B2115" s="36" t="s">
        <v>1170</v>
      </c>
      <c r="C2115" s="117">
        <v>5410521</v>
      </c>
      <c r="D2115" s="165">
        <v>45777</v>
      </c>
      <c r="E2115" s="117" t="s">
        <v>99</v>
      </c>
      <c r="F2115" s="36" t="str">
        <f>IFERROR(VLOOKUP(Table1[[#This Row],[Part Number]],DATABASE_FG!$C$6:D12104,2,FALSE)," ")</f>
        <v xml:space="preserve">054380529-8011 </v>
      </c>
      <c r="G2115" s="117">
        <f>IFERROR(_xlfn.XLOOKUP(Table1[[#This Row],[Part Number]],Table3[Part number],Table3[Drawing
 Revision]),"")</f>
        <v>0</v>
      </c>
      <c r="H2115" s="118" cm="1">
        <f t="array" ref="H2115">IFERROR(INDEX(PDB!$C:$AT,MATCH(E2115,PDB!$B:$B,0),MATCH(YEAR(K2115),0+PDB!$C$1:$AT$1,0)),"")</f>
        <v>3.56</v>
      </c>
      <c r="I2115" s="36">
        <f>200-116+115</f>
        <v>199</v>
      </c>
      <c r="J2115" s="125">
        <f>IFERROR(Table1[[#This Row],[Quantity]]*Table1[[#This Row],[Price/Unit
EUR]]," ")</f>
        <v>708.44</v>
      </c>
      <c r="K2115" s="126">
        <v>45845</v>
      </c>
      <c r="L2115" s="36">
        <f>WEEKNUM(Table1[[#This Row],[ETA
As requested
dd.mm.yyyy]])</f>
        <v>28</v>
      </c>
      <c r="M2115" s="36">
        <f>YEAR(Table1[[#This Row],[ETA
As requested
dd.mm.yyyy]])</f>
        <v>2025</v>
      </c>
      <c r="N2115" s="36">
        <f>IFERROR(INDEX(DATABASE_FG!$H$5:$H$367, MATCH(E2115, DATABASE_FG!$C$5:$C$367, 0)), " ")</f>
        <v>0</v>
      </c>
      <c r="O2115" s="129" t="str">
        <f>IF(E2115&lt;&gt;"", _xlfn.XLOOKUP(E2115, DATABASE_FG!C:C, DATABASE_FG!F:F), " ")</f>
        <v>Ghidaje</v>
      </c>
      <c r="P2115" s="36">
        <f>IFERROR(INDEX(DATABASE_FG!$G$5:$G$367, MATCH(E2115, DATABASE_FG!$C$5:$C$367, 0)), "Not Found")</f>
        <v>0</v>
      </c>
      <c r="Q2115" s="36"/>
      <c r="R2115" s="125" t="s">
        <v>678</v>
      </c>
      <c r="S2115" s="123">
        <f>Table1[[#This Row],[Quantity]]/48</f>
        <v>4.145833333333333</v>
      </c>
      <c r="T2115" s="36" t="s">
        <v>679</v>
      </c>
      <c r="U2115" s="36"/>
      <c r="V2115" s="36"/>
      <c r="W2115" s="129"/>
      <c r="X2115" s="36"/>
      <c r="Y2115" s="36"/>
      <c r="Z2115" s="36"/>
      <c r="AA2115" s="125" t="s">
        <v>121</v>
      </c>
      <c r="AB2115" s="173">
        <v>45860</v>
      </c>
      <c r="AC2115" s="119" t="s">
        <v>3405</v>
      </c>
      <c r="AD2115" s="36">
        <f t="shared" si="240"/>
        <v>5410521</v>
      </c>
      <c r="AE2115" s="36" t="str">
        <f t="shared" si="241"/>
        <v>TK.KWVE15-B-A-ESC-0038-WW1</v>
      </c>
      <c r="AF2115" s="36">
        <v>199</v>
      </c>
      <c r="AG2115" s="120">
        <f t="shared" si="244"/>
        <v>708.44</v>
      </c>
      <c r="AH2115" s="36"/>
      <c r="AI2115" s="124"/>
      <c r="AJ2115" s="122" t="s">
        <v>3406</v>
      </c>
      <c r="AK2115" s="129" t="str">
        <f t="shared" ca="1" si="243"/>
        <v>Late</v>
      </c>
      <c r="AL2115" s="268" t="str">
        <f t="shared" si="242"/>
        <v>July</v>
      </c>
      <c r="AM2115" s="133">
        <f>YEAR(Table1[[#This Row],[ETA
As requested
dd.mm.yyyy]])</f>
        <v>2025</v>
      </c>
    </row>
    <row r="2116" spans="1:39" hidden="1">
      <c r="A2116" s="123" t="s">
        <v>83</v>
      </c>
      <c r="B2116" s="36" t="s">
        <v>1170</v>
      </c>
      <c r="C2116" s="117">
        <v>5410521</v>
      </c>
      <c r="D2116" s="165">
        <v>45777</v>
      </c>
      <c r="E2116" s="117" t="s">
        <v>99</v>
      </c>
      <c r="F2116" s="36" t="str">
        <f>IFERROR(VLOOKUP(Table1[[#This Row],[Part Number]],DATABASE_FG!$C$6:D12105,2,FALSE)," ")</f>
        <v xml:space="preserve">054380529-8011 </v>
      </c>
      <c r="G2116" s="117">
        <f>IFERROR(_xlfn.XLOOKUP(Table1[[#This Row],[Part Number]],Table3[Part number],Table3[Drawing
 Revision]),"")</f>
        <v>0</v>
      </c>
      <c r="H2116" s="118" cm="1">
        <f t="array" ref="H2116">IFERROR(INDEX(PDB!$C:$AT,MATCH(E2116,PDB!$B:$B,0),MATCH(YEAR(K2116),0+PDB!$C$1:$AT$1,0)),"")</f>
        <v>3.56</v>
      </c>
      <c r="I2116" s="36">
        <v>271</v>
      </c>
      <c r="J2116" s="125">
        <f>IFERROR(Table1[[#This Row],[Quantity]]*Table1[[#This Row],[Price/Unit
EUR]]," ")</f>
        <v>964.76</v>
      </c>
      <c r="K2116" s="126">
        <v>45845</v>
      </c>
      <c r="L2116" s="36">
        <f>WEEKNUM(Table1[[#This Row],[ETA
As requested
dd.mm.yyyy]])</f>
        <v>28</v>
      </c>
      <c r="M2116" s="36">
        <f>YEAR(Table1[[#This Row],[ETA
As requested
dd.mm.yyyy]])</f>
        <v>2025</v>
      </c>
      <c r="N2116" s="36">
        <f>IFERROR(INDEX(DATABASE_FG!$H$5:$H$367, MATCH(E2116, DATABASE_FG!$C$5:$C$367, 0)), " ")</f>
        <v>0</v>
      </c>
      <c r="O2116" s="129" t="str">
        <f>IF(E2116&lt;&gt;"", _xlfn.XLOOKUP(E2116, DATABASE_FG!C:C, DATABASE_FG!F:F), " ")</f>
        <v>Ghidaje</v>
      </c>
      <c r="P2116" s="36">
        <f>IFERROR(INDEX(DATABASE_FG!$G$5:$G$367, MATCH(E2116, DATABASE_FG!$C$5:$C$367, 0)), "Not Found")</f>
        <v>0</v>
      </c>
      <c r="Q2116" s="36"/>
      <c r="R2116" s="125" t="s">
        <v>678</v>
      </c>
      <c r="S2116" s="123">
        <f>Table1[[#This Row],[Quantity]]/48</f>
        <v>5.645833333333333</v>
      </c>
      <c r="T2116" s="36" t="s">
        <v>679</v>
      </c>
      <c r="U2116" s="36"/>
      <c r="V2116" s="36"/>
      <c r="W2116" s="129"/>
      <c r="X2116" s="36"/>
      <c r="Y2116" s="36"/>
      <c r="Z2116" s="36"/>
      <c r="AA2116" s="125" t="s">
        <v>121</v>
      </c>
      <c r="AB2116" s="172">
        <v>45861</v>
      </c>
      <c r="AC2116" s="119" t="s">
        <v>3407</v>
      </c>
      <c r="AD2116" s="36">
        <f t="shared" si="240"/>
        <v>5410521</v>
      </c>
      <c r="AE2116" s="36" t="str">
        <f t="shared" si="241"/>
        <v>TK.KWVE15-B-A-ESC-0038-WW1</v>
      </c>
      <c r="AF2116" s="36">
        <v>271</v>
      </c>
      <c r="AG2116" s="120">
        <f t="shared" si="244"/>
        <v>964.76</v>
      </c>
      <c r="AH2116" s="36"/>
      <c r="AI2116" s="124"/>
      <c r="AJ2116" s="122" t="s">
        <v>3408</v>
      </c>
      <c r="AK2116" s="129" t="str">
        <f t="shared" ca="1" si="243"/>
        <v>Late</v>
      </c>
      <c r="AL2116" s="268" t="str">
        <f t="shared" si="242"/>
        <v>July</v>
      </c>
      <c r="AM2116" s="133">
        <f>YEAR(Table1[[#This Row],[ETA
As requested
dd.mm.yyyy]])</f>
        <v>2025</v>
      </c>
    </row>
    <row r="2117" spans="1:39" hidden="1">
      <c r="A2117" s="123" t="s">
        <v>83</v>
      </c>
      <c r="B2117" s="36" t="s">
        <v>1170</v>
      </c>
      <c r="C2117" s="117">
        <v>5410521</v>
      </c>
      <c r="D2117" s="165">
        <v>45777</v>
      </c>
      <c r="E2117" s="117" t="s">
        <v>99</v>
      </c>
      <c r="F2117" s="36" t="str">
        <f>IFERROR(VLOOKUP(Table1[[#This Row],[Part Number]],DATABASE_FG!$C$6:D12106,2,FALSE)," ")</f>
        <v xml:space="preserve">054380529-8011 </v>
      </c>
      <c r="G2117" s="117">
        <f>IFERROR(_xlfn.XLOOKUP(Table1[[#This Row],[Part Number]],Table3[Part number],Table3[Drawing
 Revision]),"")</f>
        <v>0</v>
      </c>
      <c r="H2117" s="118" cm="1">
        <f t="array" ref="H2117">IFERROR(INDEX(PDB!$C:$AT,MATCH(E2117,PDB!$B:$B,0),MATCH(YEAR(K2117),0+PDB!$C$1:$AT$1,0)),"")</f>
        <v>3.56</v>
      </c>
      <c r="I2117" s="36">
        <v>219</v>
      </c>
      <c r="J2117" s="125">
        <f>IFERROR(Table1[[#This Row],[Quantity]]*Table1[[#This Row],[Price/Unit
EUR]]," ")</f>
        <v>779.64</v>
      </c>
      <c r="K2117" s="126">
        <v>45856</v>
      </c>
      <c r="L2117" s="36">
        <f>WEEKNUM(Table1[[#This Row],[ETA
As requested
dd.mm.yyyy]])</f>
        <v>29</v>
      </c>
      <c r="M2117" s="36">
        <f>YEAR(Table1[[#This Row],[ETA
As requested
dd.mm.yyyy]])</f>
        <v>2025</v>
      </c>
      <c r="N2117" s="36">
        <f>IFERROR(INDEX(DATABASE_FG!$H$5:$H$367, MATCH(E2117, DATABASE_FG!$C$5:$C$367, 0)), " ")</f>
        <v>0</v>
      </c>
      <c r="O2117" s="129" t="str">
        <f>IF(E2117&lt;&gt;"", _xlfn.XLOOKUP(E2117, DATABASE_FG!C:C, DATABASE_FG!F:F), " ")</f>
        <v>Ghidaje</v>
      </c>
      <c r="P2117" s="36">
        <f>IFERROR(INDEX(DATABASE_FG!$G$5:$G$367, MATCH(E2117, DATABASE_FG!$C$5:$C$367, 0)), "Not Found")</f>
        <v>0</v>
      </c>
      <c r="Q2117" s="36"/>
      <c r="R2117" s="125" t="s">
        <v>678</v>
      </c>
      <c r="S2117" s="123">
        <f>Table1[[#This Row],[Quantity]]/48</f>
        <v>4.5625</v>
      </c>
      <c r="T2117" s="36" t="s">
        <v>679</v>
      </c>
      <c r="U2117" s="36"/>
      <c r="V2117" s="36"/>
      <c r="W2117" s="129"/>
      <c r="X2117" s="36"/>
      <c r="Y2117" s="36"/>
      <c r="Z2117" s="36"/>
      <c r="AA2117" s="125" t="s">
        <v>121</v>
      </c>
      <c r="AB2117" s="172">
        <v>45862</v>
      </c>
      <c r="AC2117" s="119">
        <v>202550</v>
      </c>
      <c r="AD2117" s="36">
        <f t="shared" si="240"/>
        <v>5410521</v>
      </c>
      <c r="AE2117" s="36" t="str">
        <f t="shared" si="241"/>
        <v>TK.KWVE15-B-A-ESC-0038-WW1</v>
      </c>
      <c r="AF2117" s="36">
        <v>219</v>
      </c>
      <c r="AG2117" s="120">
        <f t="shared" si="244"/>
        <v>779.64</v>
      </c>
      <c r="AH2117" s="36"/>
      <c r="AI2117" s="124"/>
      <c r="AJ2117" s="122" t="s">
        <v>3433</v>
      </c>
      <c r="AK2117" s="129" t="str">
        <f t="shared" ca="1" si="243"/>
        <v>Late</v>
      </c>
      <c r="AL2117" s="268" t="str">
        <f t="shared" si="242"/>
        <v>July</v>
      </c>
      <c r="AM2117" s="133">
        <f>YEAR(Table1[[#This Row],[ETA
As requested
dd.mm.yyyy]])</f>
        <v>2025</v>
      </c>
    </row>
    <row r="2118" spans="1:39" hidden="1">
      <c r="A2118" s="123" t="s">
        <v>83</v>
      </c>
      <c r="B2118" s="36" t="s">
        <v>1170</v>
      </c>
      <c r="C2118" s="117">
        <v>5410521</v>
      </c>
      <c r="D2118" s="165">
        <v>45777</v>
      </c>
      <c r="E2118" s="117" t="s">
        <v>99</v>
      </c>
      <c r="F2118" s="36" t="str">
        <f>IFERROR(VLOOKUP(Table1[[#This Row],[Part Number]],DATABASE_FG!$C$6:D12107,2,FALSE)," ")</f>
        <v xml:space="preserve">054380529-8011 </v>
      </c>
      <c r="G2118" s="117">
        <f>IFERROR(_xlfn.XLOOKUP(Table1[[#This Row],[Part Number]],Table3[Part number],Table3[Drawing
 Revision]),"")</f>
        <v>0</v>
      </c>
      <c r="H2118" s="118" cm="1">
        <f t="array" ref="H2118">IFERROR(INDEX(PDB!$C:$AT,MATCH(E2118,PDB!$B:$B,0),MATCH(YEAR(K2118),0+PDB!$C$1:$AT$1,0)),"")</f>
        <v>3.56</v>
      </c>
      <c r="I2118" s="36">
        <v>287</v>
      </c>
      <c r="J2118" s="125">
        <f>IFERROR(Table1[[#This Row],[Quantity]]*Table1[[#This Row],[Price/Unit
EUR]]," ")</f>
        <v>1021.72</v>
      </c>
      <c r="K2118" s="126">
        <v>45856</v>
      </c>
      <c r="L2118" s="36">
        <f>WEEKNUM(Table1[[#This Row],[ETA
As requested
dd.mm.yyyy]])</f>
        <v>29</v>
      </c>
      <c r="M2118" s="36">
        <f>YEAR(Table1[[#This Row],[ETA
As requested
dd.mm.yyyy]])</f>
        <v>2025</v>
      </c>
      <c r="N2118" s="36">
        <f>IFERROR(INDEX(DATABASE_FG!$H$5:$H$367, MATCH(E2118, DATABASE_FG!$C$5:$C$367, 0)), " ")</f>
        <v>0</v>
      </c>
      <c r="O2118" s="129" t="str">
        <f>IF(E2118&lt;&gt;"", _xlfn.XLOOKUP(E2118, DATABASE_FG!C:C, DATABASE_FG!F:F), " ")</f>
        <v>Ghidaje</v>
      </c>
      <c r="P2118" s="36">
        <f>IFERROR(INDEX(DATABASE_FG!$G$5:$G$367, MATCH(E2118, DATABASE_FG!$C$5:$C$367, 0)), "Not Found")</f>
        <v>0</v>
      </c>
      <c r="Q2118" s="36"/>
      <c r="R2118" s="125" t="s">
        <v>678</v>
      </c>
      <c r="S2118" s="123">
        <f>Table1[[#This Row],[Quantity]]/48</f>
        <v>5.979166666666667</v>
      </c>
      <c r="T2118" s="36" t="s">
        <v>679</v>
      </c>
      <c r="U2118" s="36"/>
      <c r="V2118" s="36"/>
      <c r="W2118" s="129"/>
      <c r="X2118" s="36"/>
      <c r="Y2118" s="36"/>
      <c r="Z2118" s="36"/>
      <c r="AA2118" s="125" t="s">
        <v>121</v>
      </c>
      <c r="AB2118" s="172">
        <v>45863</v>
      </c>
      <c r="AC2118" s="119" t="s">
        <v>3434</v>
      </c>
      <c r="AD2118" s="36">
        <f t="shared" si="240"/>
        <v>5410521</v>
      </c>
      <c r="AE2118" s="36" t="str">
        <f t="shared" si="241"/>
        <v>TK.KWVE15-B-A-ESC-0038-WW1</v>
      </c>
      <c r="AF2118" s="36">
        <v>287</v>
      </c>
      <c r="AG2118" s="120">
        <f t="shared" si="244"/>
        <v>1021.72</v>
      </c>
      <c r="AH2118" s="36"/>
      <c r="AI2118" s="124"/>
      <c r="AJ2118" s="122" t="s">
        <v>3435</v>
      </c>
      <c r="AK2118" s="129" t="str">
        <f t="shared" ca="1" si="243"/>
        <v>Late</v>
      </c>
      <c r="AL2118" s="268" t="str">
        <f t="shared" si="242"/>
        <v>July</v>
      </c>
      <c r="AM2118" s="133">
        <f>YEAR(Table1[[#This Row],[ETA
As requested
dd.mm.yyyy]])</f>
        <v>2025</v>
      </c>
    </row>
    <row r="2119" spans="1:39" hidden="1">
      <c r="A2119" s="123" t="s">
        <v>83</v>
      </c>
      <c r="B2119" s="36" t="s">
        <v>1170</v>
      </c>
      <c r="C2119" s="117">
        <v>5410521</v>
      </c>
      <c r="D2119" s="165">
        <v>45777</v>
      </c>
      <c r="E2119" s="117" t="s">
        <v>99</v>
      </c>
      <c r="F2119" s="36" t="str">
        <f>IFERROR(VLOOKUP(Table1[[#This Row],[Part Number]],DATABASE_FG!$C$6:D12108,2,FALSE)," ")</f>
        <v xml:space="preserve">054380529-8011 </v>
      </c>
      <c r="G2119" s="117">
        <f>IFERROR(_xlfn.XLOOKUP(Table1[[#This Row],[Part Number]],Table3[Part number],Table3[Drawing
 Revision]),"")</f>
        <v>0</v>
      </c>
      <c r="H2119" s="118" cm="1">
        <f t="array" ref="H2119">IFERROR(INDEX(PDB!$C:$AT,MATCH(E2119,PDB!$B:$B,0),MATCH(YEAR(K2119),0+PDB!$C$1:$AT$1,0)),"")</f>
        <v>3.56</v>
      </c>
      <c r="I2119" s="36">
        <f>464-287+40</f>
        <v>217</v>
      </c>
      <c r="J2119" s="125">
        <f>IFERROR(Table1[[#This Row],[Quantity]]*Table1[[#This Row],[Price/Unit
EUR]]," ")</f>
        <v>772.52</v>
      </c>
      <c r="K2119" s="126">
        <v>45856</v>
      </c>
      <c r="L2119" s="36">
        <f>WEEKNUM(Table1[[#This Row],[ETA
As requested
dd.mm.yyyy]])</f>
        <v>29</v>
      </c>
      <c r="M2119" s="36">
        <f>YEAR(Table1[[#This Row],[ETA
As requested
dd.mm.yyyy]])</f>
        <v>2025</v>
      </c>
      <c r="N2119" s="36">
        <f>IFERROR(INDEX(DATABASE_FG!$H$5:$H$367, MATCH(E2119, DATABASE_FG!$C$5:$C$367, 0)), " ")</f>
        <v>0</v>
      </c>
      <c r="O2119" s="129" t="str">
        <f>IF(E2119&lt;&gt;"", _xlfn.XLOOKUP(E2119, DATABASE_FG!C:C, DATABASE_FG!F:F), " ")</f>
        <v>Ghidaje</v>
      </c>
      <c r="P2119" s="36">
        <f>IFERROR(INDEX(DATABASE_FG!$G$5:$G$367, MATCH(E2119, DATABASE_FG!$C$5:$C$367, 0)), "Not Found")</f>
        <v>0</v>
      </c>
      <c r="Q2119" s="36"/>
      <c r="R2119" s="125" t="s">
        <v>678</v>
      </c>
      <c r="S2119" s="123">
        <f>Table1[[#This Row],[Quantity]]/48</f>
        <v>4.520833333333333</v>
      </c>
      <c r="T2119" s="36" t="s">
        <v>679</v>
      </c>
      <c r="U2119" s="36"/>
      <c r="V2119" s="36"/>
      <c r="W2119" s="129"/>
      <c r="X2119" s="36"/>
      <c r="Y2119" s="36"/>
      <c r="Z2119" s="36"/>
      <c r="AA2119" s="125" t="s">
        <v>121</v>
      </c>
      <c r="AB2119" s="173">
        <v>45866</v>
      </c>
      <c r="AC2119" s="119" t="s">
        <v>3436</v>
      </c>
      <c r="AD2119" s="36">
        <f t="shared" si="240"/>
        <v>5410521</v>
      </c>
      <c r="AE2119" s="36" t="str">
        <f t="shared" si="241"/>
        <v>TK.KWVE15-B-A-ESC-0038-WW1</v>
      </c>
      <c r="AF2119" s="36">
        <v>217</v>
      </c>
      <c r="AG2119" s="120">
        <f t="shared" si="244"/>
        <v>772.52</v>
      </c>
      <c r="AH2119" s="36"/>
      <c r="AI2119" s="124"/>
      <c r="AJ2119" s="122" t="s">
        <v>3437</v>
      </c>
      <c r="AK2119" s="129" t="str">
        <f t="shared" ca="1" si="243"/>
        <v>Late</v>
      </c>
      <c r="AL2119" s="268" t="str">
        <f t="shared" si="242"/>
        <v>July</v>
      </c>
      <c r="AM2119" s="133">
        <f>YEAR(Table1[[#This Row],[ETA
As requested
dd.mm.yyyy]])</f>
        <v>2025</v>
      </c>
    </row>
    <row r="2120" spans="1:39" hidden="1">
      <c r="A2120" s="123" t="s">
        <v>83</v>
      </c>
      <c r="B2120" s="36" t="s">
        <v>1170</v>
      </c>
      <c r="C2120" s="117">
        <v>5410521</v>
      </c>
      <c r="D2120" s="165">
        <v>45777</v>
      </c>
      <c r="E2120" s="117" t="s">
        <v>99</v>
      </c>
      <c r="F2120" s="36" t="str">
        <f>IFERROR(VLOOKUP(Table1[[#This Row],[Part Number]],DATABASE_FG!$C$6:D12109,2,FALSE)," ")</f>
        <v xml:space="preserve">054380529-8011 </v>
      </c>
      <c r="G2120" s="117">
        <f>IFERROR(_xlfn.XLOOKUP(Table1[[#This Row],[Part Number]],Table3[Part number],Table3[Drawing
 Revision]),"")</f>
        <v>0</v>
      </c>
      <c r="H2120" s="118" cm="1">
        <f t="array" ref="H2120">IFERROR(INDEX(PDB!$C:$AT,MATCH(E2120,PDB!$B:$B,0),MATCH(YEAR(K2120),0+PDB!$C$1:$AT$1,0)),"")</f>
        <v>3.56</v>
      </c>
      <c r="I2120" s="36">
        <f>464-287+40</f>
        <v>217</v>
      </c>
      <c r="J2120" s="125">
        <f>IFERROR(Table1[[#This Row],[Quantity]]*Table1[[#This Row],[Price/Unit
EUR]]," ")</f>
        <v>772.52</v>
      </c>
      <c r="K2120" s="126">
        <v>45856</v>
      </c>
      <c r="L2120" s="36">
        <f>WEEKNUM(Table1[[#This Row],[ETA
As requested
dd.mm.yyyy]])</f>
        <v>29</v>
      </c>
      <c r="M2120" s="36">
        <f>YEAR(Table1[[#This Row],[ETA
As requested
dd.mm.yyyy]])</f>
        <v>2025</v>
      </c>
      <c r="N2120" s="36">
        <f>IFERROR(INDEX(DATABASE_FG!$H$5:$H$367, MATCH(E2120, DATABASE_FG!$C$5:$C$367, 0)), " ")</f>
        <v>0</v>
      </c>
      <c r="O2120" s="129" t="str">
        <f>IF(E2120&lt;&gt;"", _xlfn.XLOOKUP(E2120, DATABASE_FG!C:C, DATABASE_FG!F:F), " ")</f>
        <v>Ghidaje</v>
      </c>
      <c r="P2120" s="36">
        <f>IFERROR(INDEX(DATABASE_FG!$G$5:$G$367, MATCH(E2120, DATABASE_FG!$C$5:$C$367, 0)), "Not Found")</f>
        <v>0</v>
      </c>
      <c r="Q2120" s="36"/>
      <c r="R2120" s="125" t="s">
        <v>678</v>
      </c>
      <c r="S2120" s="123">
        <f>Table1[[#This Row],[Quantity]]/48</f>
        <v>4.520833333333333</v>
      </c>
      <c r="T2120" s="36" t="s">
        <v>679</v>
      </c>
      <c r="U2120" s="36"/>
      <c r="V2120" s="36"/>
      <c r="W2120" s="129"/>
      <c r="X2120" s="36"/>
      <c r="Y2120" s="36"/>
      <c r="Z2120" s="36"/>
      <c r="AA2120" s="125" t="s">
        <v>121</v>
      </c>
      <c r="AB2120" s="173">
        <v>45867</v>
      </c>
      <c r="AC2120" s="119" t="s">
        <v>3438</v>
      </c>
      <c r="AD2120" s="36">
        <f t="shared" si="240"/>
        <v>5410521</v>
      </c>
      <c r="AE2120" s="36" t="str">
        <f t="shared" si="241"/>
        <v>TK.KWVE15-B-A-ESC-0038-WW1</v>
      </c>
      <c r="AF2120" s="36">
        <v>217</v>
      </c>
      <c r="AG2120" s="120">
        <f t="shared" si="244"/>
        <v>772.52</v>
      </c>
      <c r="AH2120" s="36"/>
      <c r="AI2120" s="124"/>
      <c r="AJ2120" s="122" t="s">
        <v>3439</v>
      </c>
      <c r="AK2120" s="129" t="str">
        <f t="shared" ca="1" si="243"/>
        <v>Late</v>
      </c>
      <c r="AL2120" s="268" t="str">
        <f t="shared" si="242"/>
        <v>July</v>
      </c>
      <c r="AM2120" s="133">
        <f>YEAR(Table1[[#This Row],[ETA
As requested
dd.mm.yyyy]])</f>
        <v>2025</v>
      </c>
    </row>
    <row r="2121" spans="1:39" hidden="1">
      <c r="A2121" s="123" t="s">
        <v>83</v>
      </c>
      <c r="B2121" s="36" t="s">
        <v>1170</v>
      </c>
      <c r="C2121" s="117">
        <v>5410521</v>
      </c>
      <c r="D2121" s="165">
        <v>45777</v>
      </c>
      <c r="E2121" s="117" t="s">
        <v>99</v>
      </c>
      <c r="F2121" s="36" t="str">
        <f>IFERROR(VLOOKUP(Table1[[#This Row],[Part Number]],DATABASE_FG!$C$6:D12110,2,FALSE)," ")</f>
        <v xml:space="preserve">054380529-8011 </v>
      </c>
      <c r="G2121" s="117">
        <f>IFERROR(_xlfn.XLOOKUP(Table1[[#This Row],[Part Number]],Table3[Part number],Table3[Drawing
 Revision]),"")</f>
        <v>0</v>
      </c>
      <c r="H2121" s="118" cm="1">
        <f t="array" ref="H2121">IFERROR(INDEX(PDB!$C:$AT,MATCH(E2121,PDB!$B:$B,0),MATCH(YEAR(K2121),0+PDB!$C$1:$AT$1,0)),"")</f>
        <v>3.56</v>
      </c>
      <c r="I2121" s="36">
        <v>238</v>
      </c>
      <c r="J2121" s="125">
        <f>IFERROR(Table1[[#This Row],[Quantity]]*Table1[[#This Row],[Price/Unit
EUR]]," ")</f>
        <v>847.28</v>
      </c>
      <c r="K2121" s="126">
        <v>45877</v>
      </c>
      <c r="L2121" s="36">
        <f>WEEKNUM(Table1[[#This Row],[ETA
As requested
dd.mm.yyyy]])</f>
        <v>32</v>
      </c>
      <c r="M2121" s="36">
        <f>YEAR(Table1[[#This Row],[ETA
As requested
dd.mm.yyyy]])</f>
        <v>2025</v>
      </c>
      <c r="N2121" s="36">
        <f>IFERROR(INDEX(DATABASE_FG!$H$5:$H$367, MATCH(E2121, DATABASE_FG!$C$5:$C$367, 0)), " ")</f>
        <v>0</v>
      </c>
      <c r="O2121" s="129" t="str">
        <f>IF(E2121&lt;&gt;"", _xlfn.XLOOKUP(E2121, DATABASE_FG!C:C, DATABASE_FG!F:F), " ")</f>
        <v>Ghidaje</v>
      </c>
      <c r="P2121" s="36">
        <f>IFERROR(INDEX(DATABASE_FG!$G$5:$G$367, MATCH(E2121, DATABASE_FG!$C$5:$C$367, 0)), "Not Found")</f>
        <v>0</v>
      </c>
      <c r="Q2121" s="36"/>
      <c r="R2121" s="125" t="s">
        <v>678</v>
      </c>
      <c r="S2121" s="123">
        <f>Table1[[#This Row],[Quantity]]/48</f>
        <v>4.958333333333333</v>
      </c>
      <c r="T2121" s="36" t="s">
        <v>679</v>
      </c>
      <c r="U2121" s="36"/>
      <c r="V2121" s="36"/>
      <c r="W2121" s="129"/>
      <c r="X2121" s="36"/>
      <c r="Y2121" s="36"/>
      <c r="Z2121" s="36"/>
      <c r="AA2121" s="125" t="s">
        <v>121</v>
      </c>
      <c r="AB2121" s="173">
        <v>45868</v>
      </c>
      <c r="AC2121" s="119" t="s">
        <v>3526</v>
      </c>
      <c r="AD2121" s="36">
        <f t="shared" si="240"/>
        <v>5410521</v>
      </c>
      <c r="AE2121" s="36" t="str">
        <f t="shared" si="241"/>
        <v>TK.KWVE15-B-A-ESC-0038-WW1</v>
      </c>
      <c r="AF2121" s="36">
        <v>238</v>
      </c>
      <c r="AG2121" s="120">
        <f t="shared" si="244"/>
        <v>847.28</v>
      </c>
      <c r="AH2121" s="36"/>
      <c r="AI2121" s="124"/>
      <c r="AJ2121" s="122" t="s">
        <v>3527</v>
      </c>
      <c r="AK2121" s="129" t="str">
        <f t="shared" ca="1" si="243"/>
        <v>On Time</v>
      </c>
      <c r="AL2121" s="268" t="str">
        <f t="shared" si="242"/>
        <v>August</v>
      </c>
      <c r="AM2121" s="133">
        <f>YEAR(Table1[[#This Row],[ETA
As requested
dd.mm.yyyy]])</f>
        <v>2025</v>
      </c>
    </row>
    <row r="2122" spans="1:39" hidden="1">
      <c r="A2122" s="123" t="s">
        <v>83</v>
      </c>
      <c r="B2122" s="36" t="s">
        <v>1170</v>
      </c>
      <c r="C2122" s="117">
        <v>5410521</v>
      </c>
      <c r="D2122" s="165">
        <v>45777</v>
      </c>
      <c r="E2122" s="117" t="s">
        <v>99</v>
      </c>
      <c r="F2122" s="36" t="str">
        <f>IFERROR(VLOOKUP(Table1[[#This Row],[Part Number]],DATABASE_FG!$C$6:D12111,2,FALSE)," ")</f>
        <v xml:space="preserve">054380529-8011 </v>
      </c>
      <c r="G2122" s="117">
        <f>IFERROR(_xlfn.XLOOKUP(Table1[[#This Row],[Part Number]],Table3[Part number],Table3[Drawing
 Revision]),"")</f>
        <v>0</v>
      </c>
      <c r="H2122" s="118" cm="1">
        <f t="array" ref="H2122">IFERROR(INDEX(PDB!$C:$AT,MATCH(E2122,PDB!$B:$B,0),MATCH(YEAR(K2122),0+PDB!$C$1:$AT$1,0)),"")</f>
        <v>3.56</v>
      </c>
      <c r="I2122" s="36">
        <f>600-40-217-238+133</f>
        <v>238</v>
      </c>
      <c r="J2122" s="125">
        <f>IFERROR(Table1[[#This Row],[Quantity]]*Table1[[#This Row],[Price/Unit
EUR]]," ")</f>
        <v>847.28</v>
      </c>
      <c r="K2122" s="126">
        <v>45877</v>
      </c>
      <c r="L2122" s="36">
        <f>WEEKNUM(Table1[[#This Row],[ETA
As requested
dd.mm.yyyy]])</f>
        <v>32</v>
      </c>
      <c r="M2122" s="36">
        <f>YEAR(Table1[[#This Row],[ETA
As requested
dd.mm.yyyy]])</f>
        <v>2025</v>
      </c>
      <c r="N2122" s="36">
        <f>IFERROR(INDEX(DATABASE_FG!$H$5:$H$367, MATCH(E2122, DATABASE_FG!$C$5:$C$367, 0)), " ")</f>
        <v>0</v>
      </c>
      <c r="O2122" s="129" t="str">
        <f>IF(E2122&lt;&gt;"", _xlfn.XLOOKUP(E2122, DATABASE_FG!C:C, DATABASE_FG!F:F), " ")</f>
        <v>Ghidaje</v>
      </c>
      <c r="P2122" s="36">
        <f>IFERROR(INDEX(DATABASE_FG!$G$5:$G$367, MATCH(E2122, DATABASE_FG!$C$5:$C$367, 0)), "Not Found")</f>
        <v>0</v>
      </c>
      <c r="Q2122" s="36"/>
      <c r="R2122" s="125" t="s">
        <v>678</v>
      </c>
      <c r="S2122" s="123">
        <f>Table1[[#This Row],[Quantity]]/48</f>
        <v>4.958333333333333</v>
      </c>
      <c r="T2122" s="36" t="s">
        <v>679</v>
      </c>
      <c r="U2122" s="36"/>
      <c r="V2122" s="36"/>
      <c r="W2122" s="129"/>
      <c r="X2122" s="36"/>
      <c r="Y2122" s="36"/>
      <c r="Z2122" s="36"/>
      <c r="AA2122" s="125" t="s">
        <v>121</v>
      </c>
      <c r="AB2122" s="173">
        <v>45869</v>
      </c>
      <c r="AC2122" s="119" t="s">
        <v>3528</v>
      </c>
      <c r="AD2122" s="36">
        <f t="shared" ref="AD2122" si="245">IF(NOT(ISBLANK(AC2122)), C2122, "")</f>
        <v>5410521</v>
      </c>
      <c r="AE2122" s="36" t="str">
        <f t="shared" si="241"/>
        <v>TK.KWVE15-B-A-ESC-0038-WW1</v>
      </c>
      <c r="AF2122" s="36">
        <v>238</v>
      </c>
      <c r="AG2122" s="120">
        <f t="shared" si="244"/>
        <v>847.28</v>
      </c>
      <c r="AH2122" s="36"/>
      <c r="AI2122" s="124"/>
      <c r="AJ2122" s="122" t="s">
        <v>3529</v>
      </c>
      <c r="AK2122" s="129" t="str">
        <f t="shared" ca="1" si="243"/>
        <v>On Time</v>
      </c>
      <c r="AL2122" s="268" t="str">
        <f t="shared" si="242"/>
        <v>August</v>
      </c>
      <c r="AM2122" s="133">
        <f>YEAR(Table1[[#This Row],[ETA
As requested
dd.mm.yyyy]])</f>
        <v>2025</v>
      </c>
    </row>
    <row r="2123" spans="1:39" hidden="1">
      <c r="A2123" s="123" t="s">
        <v>83</v>
      </c>
      <c r="B2123" s="36" t="s">
        <v>1170</v>
      </c>
      <c r="C2123" s="117">
        <v>5410521</v>
      </c>
      <c r="D2123" s="165">
        <v>45777</v>
      </c>
      <c r="E2123" s="117" t="s">
        <v>99</v>
      </c>
      <c r="F2123" s="36" t="str">
        <f>IFERROR(VLOOKUP(Table1[[#This Row],[Part Number]],DATABASE_FG!$C$6:D12112,2,FALSE)," ")</f>
        <v xml:space="preserve">054380529-8011 </v>
      </c>
      <c r="G2123" s="117">
        <f>IFERROR(_xlfn.XLOOKUP(Table1[[#This Row],[Part Number]],Table3[Part number],Table3[Drawing
 Revision]),"")</f>
        <v>0</v>
      </c>
      <c r="H2123" s="118" cm="1">
        <f t="array" ref="H2123">IFERROR(INDEX(PDB!$C:$AT,MATCH(E2123,PDB!$B:$B,0),MATCH(YEAR(K2123),0+PDB!$C$1:$AT$1,0)),"")</f>
        <v>3.56</v>
      </c>
      <c r="I2123" s="36">
        <f>600-133-467</f>
        <v>0</v>
      </c>
      <c r="J2123" s="125">
        <f>IFERROR(Table1[[#This Row],[Quantity]]*Table1[[#This Row],[Price/Unit
EUR]]," ")</f>
        <v>0</v>
      </c>
      <c r="K2123" s="126">
        <v>45894</v>
      </c>
      <c r="L2123" s="36">
        <f>WEEKNUM(Table1[[#This Row],[ETA
As requested
dd.mm.yyyy]])</f>
        <v>35</v>
      </c>
      <c r="M2123" s="36">
        <f>YEAR(Table1[[#This Row],[ETA
As requested
dd.mm.yyyy]])</f>
        <v>2025</v>
      </c>
      <c r="N2123" s="36">
        <f>IFERROR(INDEX(DATABASE_FG!$H$5:$H$367, MATCH(E2123, DATABASE_FG!$C$5:$C$367, 0)), " ")</f>
        <v>0</v>
      </c>
      <c r="O2123" s="129" t="str">
        <f>IF(E2123&lt;&gt;"", _xlfn.XLOOKUP(E2123, DATABASE_FG!C:C, DATABASE_FG!F:F), " ")</f>
        <v>Ghidaje</v>
      </c>
      <c r="P2123" s="36">
        <f>IFERROR(INDEX(DATABASE_FG!$G$5:$G$367, MATCH(E2123, DATABASE_FG!$C$5:$C$367, 0)), "Not Found")</f>
        <v>0</v>
      </c>
      <c r="Q2123" s="36"/>
      <c r="R2123" s="125" t="s">
        <v>678</v>
      </c>
      <c r="S2123" s="123">
        <f>Table1[[#This Row],[Quantity]]/48</f>
        <v>0</v>
      </c>
      <c r="T2123" s="36" t="s">
        <v>679</v>
      </c>
      <c r="U2123" s="36"/>
      <c r="V2123" s="36"/>
      <c r="W2123" s="129"/>
      <c r="X2123" s="36"/>
      <c r="Y2123" s="36"/>
      <c r="Z2123" s="36"/>
      <c r="AA2123" s="125" t="s">
        <v>121</v>
      </c>
      <c r="AB2123" s="173">
        <v>45874</v>
      </c>
      <c r="AC2123" s="119" t="s">
        <v>3610</v>
      </c>
      <c r="AD2123" s="36">
        <v>0</v>
      </c>
      <c r="AE2123" s="36" t="str">
        <f t="shared" si="241"/>
        <v>TK.KWVE15-B-A-ESC-0038-WW1</v>
      </c>
      <c r="AF2123" s="36">
        <v>0</v>
      </c>
      <c r="AG2123" s="120">
        <f t="shared" si="244"/>
        <v>0</v>
      </c>
      <c r="AH2123" s="36"/>
      <c r="AI2123" s="124"/>
      <c r="AJ2123" s="122"/>
      <c r="AK2123" s="129" t="str">
        <f t="shared" ca="1" si="243"/>
        <v>On Time</v>
      </c>
      <c r="AL2123" s="268" t="str">
        <f t="shared" si="242"/>
        <v>August</v>
      </c>
      <c r="AM2123" s="133">
        <f>YEAR(Table1[[#This Row],[ETA
As requested
dd.mm.yyyy]])</f>
        <v>2025</v>
      </c>
    </row>
    <row r="2124" spans="1:39" hidden="1">
      <c r="A2124" s="123" t="s">
        <v>83</v>
      </c>
      <c r="B2124" s="36" t="s">
        <v>1170</v>
      </c>
      <c r="C2124" s="117">
        <v>5410521</v>
      </c>
      <c r="D2124" s="165">
        <v>45777</v>
      </c>
      <c r="E2124" s="117" t="s">
        <v>99</v>
      </c>
      <c r="F2124" s="36" t="str">
        <f>IFERROR(VLOOKUP(Table1[[#This Row],[Part Number]],DATABASE_FG!$C$6:D12113,2,FALSE)," ")</f>
        <v xml:space="preserve">054380529-8011 </v>
      </c>
      <c r="G2124" s="117">
        <f>IFERROR(_xlfn.XLOOKUP(Table1[[#This Row],[Part Number]],Table3[Part number],Table3[Drawing
 Revision]),"")</f>
        <v>0</v>
      </c>
      <c r="H2124" s="118" cm="1">
        <f t="array" ref="H2124">IFERROR(INDEX(PDB!$C:$AT,MATCH(E2124,PDB!$B:$B,0),MATCH(YEAR(K2124),0+PDB!$C$1:$AT$1,0)),"")</f>
        <v>3.56</v>
      </c>
      <c r="I2124" s="36">
        <f>651-467</f>
        <v>184</v>
      </c>
      <c r="J2124" s="125">
        <f>IFERROR(Table1[[#This Row],[Quantity]]*Table1[[#This Row],[Price/Unit
EUR]]," ")</f>
        <v>655.04</v>
      </c>
      <c r="K2124" s="126">
        <v>45894</v>
      </c>
      <c r="L2124" s="36">
        <f>WEEKNUM(Table1[[#This Row],[ETA
As requested
dd.mm.yyyy]])</f>
        <v>35</v>
      </c>
      <c r="M2124" s="36">
        <f>YEAR(Table1[[#This Row],[ETA
As requested
dd.mm.yyyy]])</f>
        <v>2025</v>
      </c>
      <c r="N2124" s="36">
        <f>IFERROR(INDEX(DATABASE_FG!$H$5:$H$367, MATCH(E2124, DATABASE_FG!$C$5:$C$367, 0)), " ")</f>
        <v>0</v>
      </c>
      <c r="O2124" s="129" t="str">
        <f>IF(E2124&lt;&gt;"", _xlfn.XLOOKUP(E2124, DATABASE_FG!C:C, DATABASE_FG!F:F), " ")</f>
        <v>Ghidaje</v>
      </c>
      <c r="P2124" s="36">
        <f>IFERROR(INDEX(DATABASE_FG!$G$5:$G$367, MATCH(E2124, DATABASE_FG!$C$5:$C$367, 0)), "Not Found")</f>
        <v>0</v>
      </c>
      <c r="Q2124" s="36"/>
      <c r="R2124" s="125" t="s">
        <v>678</v>
      </c>
      <c r="S2124" s="123">
        <f>Table1[[#This Row],[Quantity]]/48</f>
        <v>3.8333333333333335</v>
      </c>
      <c r="T2124" s="36" t="s">
        <v>679</v>
      </c>
      <c r="U2124" s="36"/>
      <c r="V2124" s="36"/>
      <c r="W2124" s="129"/>
      <c r="X2124" s="36"/>
      <c r="Y2124" s="36"/>
      <c r="Z2124" s="36"/>
      <c r="AA2124" s="125" t="s">
        <v>121</v>
      </c>
      <c r="AB2124" s="173">
        <v>45874</v>
      </c>
      <c r="AC2124" s="119" t="s">
        <v>3610</v>
      </c>
      <c r="AD2124" s="36">
        <f t="shared" ref="AD2124:AD2188" si="246">IF(NOT(ISBLANK(AC2124)), C2124, "")</f>
        <v>5410521</v>
      </c>
      <c r="AE2124" s="36" t="str">
        <f t="shared" ref="AE2124:AE2188" si="247">IF(NOT(ISBLANK(AC2124)), E2124, "")</f>
        <v>TK.KWVE15-B-A-ESC-0038-WW1</v>
      </c>
      <c r="AF2124" s="36">
        <v>184</v>
      </c>
      <c r="AG2124" s="120">
        <f t="shared" si="244"/>
        <v>655.04</v>
      </c>
      <c r="AH2124" s="36"/>
      <c r="AI2124" s="124"/>
      <c r="AJ2124" s="122" t="s">
        <v>3611</v>
      </c>
      <c r="AK2124" s="129" t="str">
        <f t="shared" ca="1" si="243"/>
        <v>On Time</v>
      </c>
      <c r="AL2124" s="268" t="str">
        <f t="shared" si="242"/>
        <v>August</v>
      </c>
      <c r="AM2124" s="133">
        <f>YEAR(Table1[[#This Row],[ETA
As requested
dd.mm.yyyy]])</f>
        <v>2025</v>
      </c>
    </row>
    <row r="2125" spans="1:39" hidden="1">
      <c r="A2125" s="123" t="s">
        <v>83</v>
      </c>
      <c r="B2125" s="36" t="s">
        <v>1170</v>
      </c>
      <c r="C2125" s="117">
        <v>5410521</v>
      </c>
      <c r="D2125" s="165">
        <v>45777</v>
      </c>
      <c r="E2125" s="117" t="s">
        <v>99</v>
      </c>
      <c r="F2125" s="36" t="str">
        <f>IFERROR(VLOOKUP(Table1[[#This Row],[Part Number]],DATABASE_FG!$C$6:D12114,2,FALSE)," ")</f>
        <v xml:space="preserve">054380529-8011 </v>
      </c>
      <c r="G2125" s="117">
        <f>IFERROR(_xlfn.XLOOKUP(Table1[[#This Row],[Part Number]],Table3[Part number],Table3[Drawing
 Revision]),"")</f>
        <v>0</v>
      </c>
      <c r="H2125" s="118" cm="1">
        <f t="array" ref="H2125">IFERROR(INDEX(PDB!$C:$AT,MATCH(E2125,PDB!$B:$B,0),MATCH(YEAR(K2125),0+PDB!$C$1:$AT$1,0)),"")</f>
        <v>3.56</v>
      </c>
      <c r="I2125" s="36">
        <f>651-200</f>
        <v>451</v>
      </c>
      <c r="J2125" s="125">
        <f>IFERROR(Table1[[#This Row],[Quantity]]*Table1[[#This Row],[Price/Unit
EUR]]," ")</f>
        <v>1605.56</v>
      </c>
      <c r="K2125" s="126">
        <v>45901</v>
      </c>
      <c r="L2125" s="36">
        <f>WEEKNUM(Table1[[#This Row],[ETA
As requested
dd.mm.yyyy]])</f>
        <v>36</v>
      </c>
      <c r="M2125" s="36">
        <f>YEAR(Table1[[#This Row],[ETA
As requested
dd.mm.yyyy]])</f>
        <v>2025</v>
      </c>
      <c r="N2125" s="36">
        <f>IFERROR(INDEX(DATABASE_FG!$H$5:$H$367, MATCH(E2125, DATABASE_FG!$C$5:$C$367, 0)), " ")</f>
        <v>0</v>
      </c>
      <c r="O2125" s="129" t="str">
        <f>IF(E2125&lt;&gt;"", _xlfn.XLOOKUP(E2125, DATABASE_FG!C:C, DATABASE_FG!F:F), " ")</f>
        <v>Ghidaje</v>
      </c>
      <c r="P2125" s="36">
        <f>IFERROR(INDEX(DATABASE_FG!$G$5:$G$367, MATCH(E2125, DATABASE_FG!$C$5:$C$367, 0)), "Not Found")</f>
        <v>0</v>
      </c>
      <c r="Q2125" s="36"/>
      <c r="R2125" s="125" t="s">
        <v>678</v>
      </c>
      <c r="S2125" s="123">
        <f>Table1[[#This Row],[Quantity]]/48</f>
        <v>9.3958333333333339</v>
      </c>
      <c r="T2125" s="36" t="s">
        <v>679</v>
      </c>
      <c r="U2125" s="36"/>
      <c r="V2125" s="36"/>
      <c r="W2125" s="129"/>
      <c r="X2125" s="36"/>
      <c r="Y2125" s="36"/>
      <c r="Z2125" s="36"/>
      <c r="AA2125" s="125" t="s">
        <v>121</v>
      </c>
      <c r="AB2125" s="173">
        <v>45874</v>
      </c>
      <c r="AC2125" s="119" t="s">
        <v>3610</v>
      </c>
      <c r="AD2125" s="36">
        <f t="shared" si="246"/>
        <v>5410521</v>
      </c>
      <c r="AE2125" s="36" t="str">
        <f t="shared" si="247"/>
        <v>TK.KWVE15-B-A-ESC-0038-WW1</v>
      </c>
      <c r="AF2125" s="36">
        <v>451</v>
      </c>
      <c r="AG2125" s="120">
        <f t="shared" si="244"/>
        <v>1605.56</v>
      </c>
      <c r="AH2125" s="36"/>
      <c r="AI2125" s="124"/>
      <c r="AJ2125" s="122" t="s">
        <v>3611</v>
      </c>
      <c r="AK2125" s="129" t="str">
        <f t="shared" ca="1" si="243"/>
        <v>On Time</v>
      </c>
      <c r="AL2125" s="268" t="str">
        <f t="shared" si="242"/>
        <v>September</v>
      </c>
      <c r="AM2125" s="133">
        <f>YEAR(Table1[[#This Row],[ETA
As requested
dd.mm.yyyy]])</f>
        <v>2025</v>
      </c>
    </row>
    <row r="2126" spans="1:39" hidden="1">
      <c r="A2126" s="123" t="s">
        <v>83</v>
      </c>
      <c r="B2126" s="36" t="s">
        <v>1170</v>
      </c>
      <c r="C2126" s="117">
        <v>5410521</v>
      </c>
      <c r="D2126" s="165">
        <v>45777</v>
      </c>
      <c r="E2126" s="117" t="s">
        <v>99</v>
      </c>
      <c r="F2126" s="36" t="str">
        <f>IFERROR(VLOOKUP(Table1[[#This Row],[Part Number]],DATABASE_FG!$C$6:D12115,2,FALSE)," ")</f>
        <v xml:space="preserve">054380529-8011 </v>
      </c>
      <c r="G2126" s="117">
        <f>IFERROR(_xlfn.XLOOKUP(Table1[[#This Row],[Part Number]],Table3[Part number],Table3[Drawing
 Revision]),"")</f>
        <v>0</v>
      </c>
      <c r="H2126" s="118" cm="1">
        <f t="array" ref="H2126">IFERROR(INDEX(PDB!$C:$AT,MATCH(E2126,PDB!$B:$B,0),MATCH(YEAR(K2126),0+PDB!$C$1:$AT$1,0)),"")</f>
        <v>3.56</v>
      </c>
      <c r="I2126" s="36">
        <v>16</v>
      </c>
      <c r="J2126" s="125">
        <f>IFERROR(Table1[[#This Row],[Quantity]]*Table1[[#This Row],[Price/Unit
EUR]]," ")</f>
        <v>56.96</v>
      </c>
      <c r="K2126" s="126">
        <v>45917</v>
      </c>
      <c r="L2126" s="36">
        <f>WEEKNUM(Table1[[#This Row],[ETA
As requested
dd.mm.yyyy]])</f>
        <v>38</v>
      </c>
      <c r="M2126" s="36">
        <f>YEAR(Table1[[#This Row],[ETA
As requested
dd.mm.yyyy]])</f>
        <v>2025</v>
      </c>
      <c r="N2126" s="36">
        <f>IFERROR(INDEX(DATABASE_FG!$H$5:$H$367, MATCH(E2126, DATABASE_FG!$C$5:$C$367, 0)), " ")</f>
        <v>0</v>
      </c>
      <c r="O2126" s="129" t="str">
        <f>IF(E2126&lt;&gt;"", _xlfn.XLOOKUP(E2126, DATABASE_FG!C:C, DATABASE_FG!F:F), " ")</f>
        <v>Ghidaje</v>
      </c>
      <c r="P2126" s="36">
        <f>IFERROR(INDEX(DATABASE_FG!$G$5:$G$367, MATCH(E2126, DATABASE_FG!$C$5:$C$367, 0)), "Not Found")</f>
        <v>0</v>
      </c>
      <c r="Q2126" s="36"/>
      <c r="R2126" s="125" t="s">
        <v>678</v>
      </c>
      <c r="S2126" s="123">
        <f>Table1[[#This Row],[Quantity]]/48</f>
        <v>0.33333333333333331</v>
      </c>
      <c r="T2126" s="36" t="s">
        <v>679</v>
      </c>
      <c r="U2126" s="36"/>
      <c r="V2126" s="36"/>
      <c r="W2126" s="129"/>
      <c r="X2126" s="36"/>
      <c r="Y2126" s="36"/>
      <c r="Z2126" s="36"/>
      <c r="AA2126" s="125" t="s">
        <v>121</v>
      </c>
      <c r="AB2126" s="173">
        <v>45874</v>
      </c>
      <c r="AC2126" s="119" t="s">
        <v>3610</v>
      </c>
      <c r="AD2126" s="36">
        <f t="shared" si="246"/>
        <v>5410521</v>
      </c>
      <c r="AE2126" s="36" t="str">
        <f t="shared" si="247"/>
        <v>TK.KWVE15-B-A-ESC-0038-WW1</v>
      </c>
      <c r="AF2126" s="36">
        <v>16</v>
      </c>
      <c r="AG2126" s="120">
        <f t="shared" si="244"/>
        <v>56.96</v>
      </c>
      <c r="AH2126" s="36"/>
      <c r="AI2126" s="124"/>
      <c r="AJ2126" s="122" t="s">
        <v>3611</v>
      </c>
      <c r="AK2126" s="129" t="str">
        <f t="shared" ca="1" si="243"/>
        <v>On Time</v>
      </c>
      <c r="AL2126" s="268" t="str">
        <f t="shared" si="242"/>
        <v>September</v>
      </c>
      <c r="AM2126" s="133">
        <f>YEAR(Table1[[#This Row],[ETA
As requested
dd.mm.yyyy]])</f>
        <v>2025</v>
      </c>
    </row>
    <row r="2127" spans="1:39" hidden="1">
      <c r="A2127" s="123" t="s">
        <v>83</v>
      </c>
      <c r="B2127" s="36" t="s">
        <v>1170</v>
      </c>
      <c r="C2127" s="117">
        <v>5410521</v>
      </c>
      <c r="D2127" s="165">
        <v>45777</v>
      </c>
      <c r="E2127" s="117" t="s">
        <v>99</v>
      </c>
      <c r="F2127" s="36" t="str">
        <f>IFERROR(VLOOKUP(Table1[[#This Row],[Part Number]],DATABASE_FG!$C$6:D12116,2,FALSE)," ")</f>
        <v xml:space="preserve">054380529-8011 </v>
      </c>
      <c r="G2127" s="117">
        <f>IFERROR(_xlfn.XLOOKUP(Table1[[#This Row],[Part Number]],Table3[Part number],Table3[Drawing
 Revision]),"")</f>
        <v>0</v>
      </c>
      <c r="H2127" s="118" cm="1">
        <f t="array" ref="H2127">IFERROR(INDEX(PDB!$C:$AT,MATCH(E2127,PDB!$B:$B,0),MATCH(YEAR(K2127),0+PDB!$C$1:$AT$1,0)),"")</f>
        <v>3.56</v>
      </c>
      <c r="I2127" s="36">
        <f>200-16+22</f>
        <v>206</v>
      </c>
      <c r="J2127" s="125">
        <f>IFERROR(Table1[[#This Row],[Quantity]]*Table1[[#This Row],[Price/Unit
EUR]]," ")</f>
        <v>733.36</v>
      </c>
      <c r="K2127" s="126">
        <v>45917</v>
      </c>
      <c r="L2127" s="36">
        <f>WEEKNUM(Table1[[#This Row],[ETA
As requested
dd.mm.yyyy]])</f>
        <v>38</v>
      </c>
      <c r="M2127" s="36">
        <f>YEAR(Table1[[#This Row],[ETA
As requested
dd.mm.yyyy]])</f>
        <v>2025</v>
      </c>
      <c r="N2127" s="36">
        <f>IFERROR(INDEX(DATABASE_FG!$H$5:$H$367, MATCH(E2127, DATABASE_FG!$C$5:$C$367, 0)), " ")</f>
        <v>0</v>
      </c>
      <c r="O2127" s="129" t="str">
        <f>IF(E2127&lt;&gt;"", _xlfn.XLOOKUP(E2127, DATABASE_FG!C:C, DATABASE_FG!F:F), " ")</f>
        <v>Ghidaje</v>
      </c>
      <c r="P2127" s="36">
        <f>IFERROR(INDEX(DATABASE_FG!$G$5:$G$367, MATCH(E2127, DATABASE_FG!$C$5:$C$367, 0)), "Not Found")</f>
        <v>0</v>
      </c>
      <c r="Q2127" s="36"/>
      <c r="R2127" s="125" t="s">
        <v>678</v>
      </c>
      <c r="S2127" s="123">
        <f>Table1[[#This Row],[Quantity]]/48</f>
        <v>4.291666666666667</v>
      </c>
      <c r="T2127" s="36" t="s">
        <v>679</v>
      </c>
      <c r="U2127" s="36"/>
      <c r="V2127" s="36"/>
      <c r="W2127" s="129"/>
      <c r="X2127" s="36"/>
      <c r="Y2127" s="36"/>
      <c r="Z2127" s="36"/>
      <c r="AA2127" s="125" t="s">
        <v>121</v>
      </c>
      <c r="AB2127" s="173">
        <v>45899</v>
      </c>
      <c r="AC2127" s="119" t="s">
        <v>3695</v>
      </c>
      <c r="AD2127" s="36">
        <f t="shared" si="246"/>
        <v>5410521</v>
      </c>
      <c r="AE2127" s="36" t="str">
        <f t="shared" si="247"/>
        <v>TK.KWVE15-B-A-ESC-0038-WW1</v>
      </c>
      <c r="AF2127" s="36">
        <v>206</v>
      </c>
      <c r="AG2127" s="120">
        <f t="shared" si="244"/>
        <v>733.36</v>
      </c>
      <c r="AH2127" s="36"/>
      <c r="AI2127" s="124"/>
      <c r="AJ2127" s="122" t="s">
        <v>3696</v>
      </c>
      <c r="AK2127" s="129" t="str">
        <f t="shared" ca="1" si="243"/>
        <v>On Time</v>
      </c>
      <c r="AL2127" s="268" t="str">
        <f t="shared" si="242"/>
        <v>September</v>
      </c>
      <c r="AM2127" s="133">
        <f>YEAR(Table1[[#This Row],[ETA
As requested
dd.mm.yyyy]])</f>
        <v>2025</v>
      </c>
    </row>
    <row r="2128" spans="1:39" hidden="1">
      <c r="A2128" s="123" t="s">
        <v>83</v>
      </c>
      <c r="B2128" s="36" t="s">
        <v>1170</v>
      </c>
      <c r="C2128" s="117">
        <v>5410521</v>
      </c>
      <c r="D2128" s="165">
        <v>45777</v>
      </c>
      <c r="E2128" s="117" t="s">
        <v>99</v>
      </c>
      <c r="F2128" s="36" t="str">
        <f>IFERROR(VLOOKUP(Table1[[#This Row],[Part Number]],DATABASE_FG!$C$6:D12117,2,FALSE)," ")</f>
        <v xml:space="preserve">054380529-8011 </v>
      </c>
      <c r="G2128" s="117">
        <f>IFERROR(_xlfn.XLOOKUP(Table1[[#This Row],[Part Number]],Table3[Part number],Table3[Drawing
 Revision]),"")</f>
        <v>0</v>
      </c>
      <c r="H2128" s="118" cm="1">
        <f t="array" ref="H2128">IFERROR(INDEX(PDB!$C:$AT,MATCH(E2128,PDB!$B:$B,0),MATCH(YEAR(K2128),0+PDB!$C$1:$AT$1,0)),"")</f>
        <v>3.56</v>
      </c>
      <c r="I2128" s="36">
        <f>200-22</f>
        <v>178</v>
      </c>
      <c r="J2128" s="125">
        <f>IFERROR(Table1[[#This Row],[Quantity]]*Table1[[#This Row],[Price/Unit
EUR]]," ")</f>
        <v>633.68000000000006</v>
      </c>
      <c r="K2128" s="126">
        <v>45923</v>
      </c>
      <c r="L2128" s="36">
        <f>WEEKNUM(Table1[[#This Row],[ETA
As requested
dd.mm.yyyy]])</f>
        <v>39</v>
      </c>
      <c r="M2128" s="36">
        <f>YEAR(Table1[[#This Row],[ETA
As requested
dd.mm.yyyy]])</f>
        <v>2025</v>
      </c>
      <c r="N2128" s="36">
        <f>IFERROR(INDEX(DATABASE_FG!$H$5:$H$367, MATCH(E2128, DATABASE_FG!$C$5:$C$367, 0)), " ")</f>
        <v>0</v>
      </c>
      <c r="O2128" s="129" t="str">
        <f>IF(E2128&lt;&gt;"", _xlfn.XLOOKUP(E2128, DATABASE_FG!C:C, DATABASE_FG!F:F), " ")</f>
        <v>Ghidaje</v>
      </c>
      <c r="P2128" s="36">
        <f>IFERROR(INDEX(DATABASE_FG!$G$5:$G$367, MATCH(E2128, DATABASE_FG!$C$5:$C$367, 0)), "Not Found")</f>
        <v>0</v>
      </c>
      <c r="Q2128" s="36"/>
      <c r="R2128" s="125" t="s">
        <v>678</v>
      </c>
      <c r="S2128" s="123">
        <f>Table1[[#This Row],[Quantity]]/48</f>
        <v>3.7083333333333335</v>
      </c>
      <c r="T2128" s="36" t="s">
        <v>679</v>
      </c>
      <c r="U2128" s="36"/>
      <c r="V2128" s="36"/>
      <c r="W2128" s="129"/>
      <c r="X2128" s="36"/>
      <c r="Y2128" s="36"/>
      <c r="Z2128" s="36"/>
      <c r="AA2128" s="125" t="s">
        <v>121</v>
      </c>
      <c r="AB2128" s="173">
        <v>45918</v>
      </c>
      <c r="AC2128" s="119" t="s">
        <v>3710</v>
      </c>
      <c r="AD2128" s="36">
        <f t="shared" si="246"/>
        <v>5410521</v>
      </c>
      <c r="AE2128" s="36" t="str">
        <f t="shared" si="247"/>
        <v>TK.KWVE15-B-A-ESC-0038-WW1</v>
      </c>
      <c r="AF2128" s="36">
        <v>178</v>
      </c>
      <c r="AG2128" s="120">
        <f t="shared" si="244"/>
        <v>633.68000000000006</v>
      </c>
      <c r="AH2128" s="36"/>
      <c r="AI2128" s="124"/>
      <c r="AJ2128" s="122" t="s">
        <v>3711</v>
      </c>
      <c r="AK2128" s="129" t="str">
        <f t="shared" ca="1" si="243"/>
        <v>On Time</v>
      </c>
      <c r="AL2128" s="268" t="str">
        <f t="shared" si="242"/>
        <v>September</v>
      </c>
      <c r="AM2128" s="133">
        <f>YEAR(Table1[[#This Row],[ETA
As requested
dd.mm.yyyy]])</f>
        <v>2025</v>
      </c>
    </row>
    <row r="2129" spans="1:40" hidden="1">
      <c r="A2129" s="123" t="s">
        <v>83</v>
      </c>
      <c r="B2129" s="36" t="s">
        <v>1170</v>
      </c>
      <c r="C2129" s="117">
        <v>5410521</v>
      </c>
      <c r="D2129" s="165">
        <v>45777</v>
      </c>
      <c r="E2129" s="117" t="s">
        <v>99</v>
      </c>
      <c r="F2129" s="36" t="str">
        <f>IFERROR(VLOOKUP(Table1[[#This Row],[Part Number]],DATABASE_FG!$C$6:D12118,2,FALSE)," ")</f>
        <v xml:space="preserve">054380529-8011 </v>
      </c>
      <c r="G2129" s="117">
        <f>IFERROR(_xlfn.XLOOKUP(Table1[[#This Row],[Part Number]],Table3[Part number],Table3[Drawing
 Revision]),"")</f>
        <v>0</v>
      </c>
      <c r="H2129" s="118" cm="1">
        <f t="array" ref="H2129">IFERROR(INDEX(PDB!$C:$AT,MATCH(E2129,PDB!$B:$B,0),MATCH(YEAR(K2129),0+PDB!$C$1:$AT$1,0)),"")</f>
        <v>3.56</v>
      </c>
      <c r="I2129" s="36">
        <v>60</v>
      </c>
      <c r="J2129" s="125">
        <f>IFERROR(Table1[[#This Row],[Quantity]]*Table1[[#This Row],[Price/Unit
EUR]]," ")</f>
        <v>213.6</v>
      </c>
      <c r="K2129" s="126">
        <v>45929</v>
      </c>
      <c r="L2129" s="36">
        <f>WEEKNUM(Table1[[#This Row],[ETA
As requested
dd.mm.yyyy]])</f>
        <v>40</v>
      </c>
      <c r="M2129" s="36">
        <f>YEAR(Table1[[#This Row],[ETA
As requested
dd.mm.yyyy]])</f>
        <v>2025</v>
      </c>
      <c r="N2129" s="36">
        <f>IFERROR(INDEX(DATABASE_FG!$H$5:$H$367, MATCH(E2129, DATABASE_FG!$C$5:$C$367, 0)), " ")</f>
        <v>0</v>
      </c>
      <c r="O2129" s="129" t="str">
        <f>IF(E2129&lt;&gt;"", _xlfn.XLOOKUP(E2129, DATABASE_FG!C:C, DATABASE_FG!F:F), " ")</f>
        <v>Ghidaje</v>
      </c>
      <c r="P2129" s="36">
        <f>IFERROR(INDEX(DATABASE_FG!$G$5:$G$367, MATCH(E2129, DATABASE_FG!$C$5:$C$367, 0)), "Not Found")</f>
        <v>0</v>
      </c>
      <c r="Q2129" s="36"/>
      <c r="R2129" s="125" t="s">
        <v>678</v>
      </c>
      <c r="S2129" s="123">
        <f>Table1[[#This Row],[Quantity]]/48</f>
        <v>1.25</v>
      </c>
      <c r="T2129" s="36"/>
      <c r="U2129" s="36"/>
      <c r="V2129" s="36"/>
      <c r="W2129" s="129"/>
      <c r="X2129" s="36"/>
      <c r="Y2129" s="36"/>
      <c r="Z2129" s="36"/>
      <c r="AA2129" s="125" t="s">
        <v>121</v>
      </c>
      <c r="AB2129" s="173">
        <v>45918</v>
      </c>
      <c r="AC2129" s="119" t="s">
        <v>3710</v>
      </c>
      <c r="AD2129" s="36">
        <f t="shared" si="246"/>
        <v>5410521</v>
      </c>
      <c r="AE2129" s="36" t="str">
        <f t="shared" si="247"/>
        <v>TK.KWVE15-B-A-ESC-0038-WW1</v>
      </c>
      <c r="AF2129" s="36">
        <v>60</v>
      </c>
      <c r="AG2129" s="120">
        <f t="shared" si="244"/>
        <v>213.6</v>
      </c>
      <c r="AH2129" s="36"/>
      <c r="AI2129" s="124"/>
      <c r="AJ2129" s="122" t="s">
        <v>3711</v>
      </c>
      <c r="AK2129" s="129" t="str">
        <f t="shared" ca="1" si="243"/>
        <v>On Time</v>
      </c>
      <c r="AL2129" s="268" t="str">
        <f t="shared" si="242"/>
        <v>September</v>
      </c>
      <c r="AM2129" s="133">
        <f>YEAR(Table1[[#This Row],[ETA
As requested
dd.mm.yyyy]])</f>
        <v>2025</v>
      </c>
      <c r="AN2129" s="191"/>
    </row>
    <row r="2130" spans="1:40" hidden="1">
      <c r="A2130" s="123" t="s">
        <v>83</v>
      </c>
      <c r="B2130" s="36" t="s">
        <v>1170</v>
      </c>
      <c r="C2130" s="117">
        <v>5410521</v>
      </c>
      <c r="D2130" s="165">
        <v>45777</v>
      </c>
      <c r="E2130" s="117" t="s">
        <v>99</v>
      </c>
      <c r="F2130" s="36" t="str">
        <f>IFERROR(VLOOKUP(Table1[[#This Row],[Part Number]],DATABASE_FG!$C$6:D12119,2,FALSE)," ")</f>
        <v xml:space="preserve">054380529-8011 </v>
      </c>
      <c r="G2130" s="117">
        <f>IFERROR(_xlfn.XLOOKUP(Table1[[#This Row],[Part Number]],Table3[Part number],Table3[Drawing
 Revision]),"")</f>
        <v>0</v>
      </c>
      <c r="H2130" s="118" cm="1">
        <f t="array" ref="H2130">IFERROR(INDEX(PDB!$C:$AT,MATCH(E2130,PDB!$B:$B,0),MATCH(YEAR(K2130),0+PDB!$C$1:$AT$1,0)),"")</f>
        <v>3.56</v>
      </c>
      <c r="I2130" s="36">
        <f>200-60</f>
        <v>140</v>
      </c>
      <c r="J2130" s="125">
        <f>IFERROR(Table1[[#This Row],[Quantity]]*Table1[[#This Row],[Price/Unit
EUR]]," ")</f>
        <v>498.40000000000003</v>
      </c>
      <c r="K2130" s="126">
        <v>45929</v>
      </c>
      <c r="L2130" s="36">
        <f>WEEKNUM(Table1[[#This Row],[ETA
As requested
dd.mm.yyyy]])</f>
        <v>40</v>
      </c>
      <c r="M2130" s="36">
        <f>YEAR(Table1[[#This Row],[ETA
As requested
dd.mm.yyyy]])</f>
        <v>2025</v>
      </c>
      <c r="N2130" s="36">
        <f>IFERROR(INDEX(DATABASE_FG!$H$5:$H$367, MATCH(E2130, DATABASE_FG!$C$5:$C$367, 0)), " ")</f>
        <v>0</v>
      </c>
      <c r="O2130" s="129" t="str">
        <f>IF(E2130&lt;&gt;"", _xlfn.XLOOKUP(E2130, DATABASE_FG!C:C, DATABASE_FG!F:F), " ")</f>
        <v>Ghidaje</v>
      </c>
      <c r="P2130" s="36">
        <f>IFERROR(INDEX(DATABASE_FG!$G$5:$G$367, MATCH(E2130, DATABASE_FG!$C$5:$C$367, 0)), "Not Found")</f>
        <v>0</v>
      </c>
      <c r="Q2130" s="36"/>
      <c r="R2130" s="125" t="s">
        <v>678</v>
      </c>
      <c r="S2130" s="123">
        <f>Table1[[#This Row],[Quantity]]/48</f>
        <v>2.9166666666666665</v>
      </c>
      <c r="T2130" s="36" t="s">
        <v>679</v>
      </c>
      <c r="U2130" s="36"/>
      <c r="V2130" s="36"/>
      <c r="W2130" s="129"/>
      <c r="X2130" s="36"/>
      <c r="Y2130" s="36"/>
      <c r="Z2130" s="36"/>
      <c r="AA2130" s="125" t="s">
        <v>121</v>
      </c>
      <c r="AB2130" s="173">
        <v>45919</v>
      </c>
      <c r="AC2130" s="119">
        <v>2025183</v>
      </c>
      <c r="AD2130" s="36">
        <f t="shared" si="246"/>
        <v>5410521</v>
      </c>
      <c r="AE2130" s="36" t="str">
        <f t="shared" si="247"/>
        <v>TK.KWVE15-B-A-ESC-0038-WW1</v>
      </c>
      <c r="AF2130" s="36">
        <v>140</v>
      </c>
      <c r="AG2130" s="120">
        <f t="shared" si="244"/>
        <v>498.40000000000003</v>
      </c>
      <c r="AH2130" s="36"/>
      <c r="AI2130" s="124"/>
      <c r="AJ2130" s="122" t="s">
        <v>3721</v>
      </c>
      <c r="AK2130" s="129" t="str">
        <f t="shared" ca="1" si="243"/>
        <v>On Time</v>
      </c>
      <c r="AL2130" s="268" t="str">
        <f t="shared" si="242"/>
        <v>September</v>
      </c>
      <c r="AM2130" s="133">
        <f>YEAR(Table1[[#This Row],[ETA
As requested
dd.mm.yyyy]])</f>
        <v>2025</v>
      </c>
    </row>
    <row r="2131" spans="1:40" hidden="1">
      <c r="A2131" s="123" t="s">
        <v>83</v>
      </c>
      <c r="B2131" s="36" t="s">
        <v>1170</v>
      </c>
      <c r="C2131" s="117">
        <v>5410521</v>
      </c>
      <c r="D2131" s="165">
        <v>45777</v>
      </c>
      <c r="E2131" s="117" t="s">
        <v>99</v>
      </c>
      <c r="F2131" s="36" t="str">
        <f>IFERROR(VLOOKUP(Table1[[#This Row],[Part Number]],DATABASE_FG!$C$6:D12120,2,FALSE)," ")</f>
        <v xml:space="preserve">054380529-8011 </v>
      </c>
      <c r="G2131" s="117">
        <f>IFERROR(_xlfn.XLOOKUP(Table1[[#This Row],[Part Number]],Table3[Part number],Table3[Drawing
 Revision]),"")</f>
        <v>0</v>
      </c>
      <c r="H2131" s="118" cm="1">
        <f t="array" ref="H2131">IFERROR(INDEX(PDB!$C:$AT,MATCH(E2131,PDB!$B:$B,0),MATCH(YEAR(K2131),0+PDB!$C$1:$AT$1,0)),"")</f>
        <v>3.56</v>
      </c>
      <c r="I2131" s="36">
        <v>200</v>
      </c>
      <c r="J2131" s="125">
        <f>IFERROR(Table1[[#This Row],[Quantity]]*Table1[[#This Row],[Price/Unit
EUR]]," ")</f>
        <v>712</v>
      </c>
      <c r="K2131" s="126">
        <v>45933</v>
      </c>
      <c r="L2131" s="36">
        <f>WEEKNUM(Table1[[#This Row],[ETA
As requested
dd.mm.yyyy]])</f>
        <v>40</v>
      </c>
      <c r="M2131" s="36">
        <f>YEAR(Table1[[#This Row],[ETA
As requested
dd.mm.yyyy]])</f>
        <v>2025</v>
      </c>
      <c r="N2131" s="36">
        <f>IFERROR(INDEX(DATABASE_FG!$H$5:$H$367, MATCH(E2131, DATABASE_FG!$C$5:$C$367, 0)), " ")</f>
        <v>0</v>
      </c>
      <c r="O2131" s="129" t="str">
        <f>IF(E2131&lt;&gt;"", _xlfn.XLOOKUP(E2131, DATABASE_FG!C:C, DATABASE_FG!F:F), " ")</f>
        <v>Ghidaje</v>
      </c>
      <c r="P2131" s="36">
        <f>IFERROR(INDEX(DATABASE_FG!$G$5:$G$367, MATCH(E2131, DATABASE_FG!$C$5:$C$367, 0)), "Not Found")</f>
        <v>0</v>
      </c>
      <c r="Q2131" s="36"/>
      <c r="R2131" s="125" t="s">
        <v>678</v>
      </c>
      <c r="S2131" s="123">
        <f>Table1[[#This Row],[Quantity]]/48</f>
        <v>4.166666666666667</v>
      </c>
      <c r="T2131" s="36"/>
      <c r="U2131" s="36"/>
      <c r="V2131" s="36"/>
      <c r="W2131" s="129"/>
      <c r="X2131" s="36"/>
      <c r="Y2131" s="36"/>
      <c r="Z2131" s="36"/>
      <c r="AA2131" s="125" t="s">
        <v>121</v>
      </c>
      <c r="AB2131" s="173">
        <v>45919</v>
      </c>
      <c r="AC2131" s="119">
        <v>2025183</v>
      </c>
      <c r="AD2131" s="36">
        <f t="shared" si="246"/>
        <v>5410521</v>
      </c>
      <c r="AE2131" s="36" t="str">
        <f t="shared" si="247"/>
        <v>TK.KWVE15-B-A-ESC-0038-WW1</v>
      </c>
      <c r="AF2131" s="36">
        <v>200</v>
      </c>
      <c r="AG2131" s="120">
        <f t="shared" si="244"/>
        <v>712</v>
      </c>
      <c r="AH2131" s="36"/>
      <c r="AI2131" s="124"/>
      <c r="AJ2131" s="122"/>
      <c r="AK2131" s="129" t="str">
        <f t="shared" ca="1" si="243"/>
        <v>On Time</v>
      </c>
      <c r="AL2131" s="268" t="str">
        <f t="shared" si="242"/>
        <v>October</v>
      </c>
      <c r="AM2131" s="133">
        <f>YEAR(Table1[[#This Row],[ETA
As requested
dd.mm.yyyy]])</f>
        <v>2025</v>
      </c>
    </row>
    <row r="2132" spans="1:40" hidden="1">
      <c r="A2132" s="123" t="s">
        <v>83</v>
      </c>
      <c r="B2132" s="36" t="s">
        <v>1170</v>
      </c>
      <c r="C2132" s="117">
        <v>5410521</v>
      </c>
      <c r="D2132" s="165">
        <v>45777</v>
      </c>
      <c r="E2132" s="117" t="s">
        <v>99</v>
      </c>
      <c r="F2132" s="36" t="str">
        <f>IFERROR(VLOOKUP(Table1[[#This Row],[Part Number]],DATABASE_FG!$C$6:D12121,2,FALSE)," ")</f>
        <v xml:space="preserve">054380529-8011 </v>
      </c>
      <c r="G2132" s="117">
        <f>IFERROR(_xlfn.XLOOKUP(Table1[[#This Row],[Part Number]],Table3[Part number],Table3[Drawing
 Revision]),"")</f>
        <v>0</v>
      </c>
      <c r="H2132" s="118" cm="1">
        <f t="array" ref="H2132">IFERROR(INDEX(PDB!$C:$AT,MATCH(E2132,PDB!$B:$B,0),MATCH(YEAR(K2132),0+PDB!$C$1:$AT$1,0)),"")</f>
        <v>3.56</v>
      </c>
      <c r="I2132" s="36">
        <v>35</v>
      </c>
      <c r="J2132" s="125">
        <f>IFERROR(Table1[[#This Row],[Quantity]]*Table1[[#This Row],[Price/Unit
EUR]]," ")</f>
        <v>124.60000000000001</v>
      </c>
      <c r="K2132" s="126">
        <v>45938</v>
      </c>
      <c r="L2132" s="36">
        <f>WEEKNUM(Table1[[#This Row],[ETA
As requested
dd.mm.yyyy]])</f>
        <v>41</v>
      </c>
      <c r="M2132" s="36">
        <f>YEAR(Table1[[#This Row],[ETA
As requested
dd.mm.yyyy]])</f>
        <v>2025</v>
      </c>
      <c r="N2132" s="36">
        <f>IFERROR(INDEX(DATABASE_FG!$H$5:$H$367, MATCH(E2132, DATABASE_FG!$C$5:$C$367, 0)), " ")</f>
        <v>0</v>
      </c>
      <c r="O2132" s="129" t="str">
        <f>IF(E2132&lt;&gt;"", _xlfn.XLOOKUP(E2132, DATABASE_FG!C:C, DATABASE_FG!F:F), " ")</f>
        <v>Ghidaje</v>
      </c>
      <c r="P2132" s="36">
        <f>IFERROR(INDEX(DATABASE_FG!$G$5:$G$367, MATCH(E2132, DATABASE_FG!$C$5:$C$367, 0)), "Not Found")</f>
        <v>0</v>
      </c>
      <c r="Q2132" s="36"/>
      <c r="R2132" s="125" t="s">
        <v>678</v>
      </c>
      <c r="S2132" s="123">
        <f>Table1[[#This Row],[Quantity]]/48</f>
        <v>0.72916666666666663</v>
      </c>
      <c r="T2132" s="36"/>
      <c r="U2132" s="36"/>
      <c r="V2132" s="36"/>
      <c r="W2132" s="129"/>
      <c r="X2132" s="36"/>
      <c r="Y2132" s="36"/>
      <c r="Z2132" s="36"/>
      <c r="AA2132" s="125" t="s">
        <v>121</v>
      </c>
      <c r="AB2132" s="173">
        <v>45919</v>
      </c>
      <c r="AC2132" s="119">
        <v>2025183</v>
      </c>
      <c r="AD2132" s="36">
        <f t="shared" si="246"/>
        <v>5410521</v>
      </c>
      <c r="AE2132" s="36" t="str">
        <f t="shared" si="247"/>
        <v>TK.KWVE15-B-A-ESC-0038-WW1</v>
      </c>
      <c r="AF2132" s="36">
        <v>35</v>
      </c>
      <c r="AG2132" s="120">
        <f t="shared" si="244"/>
        <v>124.60000000000001</v>
      </c>
      <c r="AH2132" s="36"/>
      <c r="AI2132" s="124"/>
      <c r="AJ2132" s="122" t="s">
        <v>3721</v>
      </c>
      <c r="AK2132" s="129" t="str">
        <f t="shared" ca="1" si="243"/>
        <v>On Time</v>
      </c>
      <c r="AL2132" s="268" t="str">
        <f t="shared" si="242"/>
        <v>October</v>
      </c>
      <c r="AM2132" s="133">
        <f>YEAR(Table1[[#This Row],[ETA
As requested
dd.mm.yyyy]])</f>
        <v>2025</v>
      </c>
      <c r="AN2132" s="191"/>
    </row>
    <row r="2133" spans="1:40" hidden="1">
      <c r="A2133" s="123" t="s">
        <v>83</v>
      </c>
      <c r="B2133" s="36" t="s">
        <v>1170</v>
      </c>
      <c r="C2133" s="117">
        <v>5410521</v>
      </c>
      <c r="D2133" s="165">
        <v>45777</v>
      </c>
      <c r="E2133" s="117" t="s">
        <v>99</v>
      </c>
      <c r="F2133" s="36" t="str">
        <f>IFERROR(VLOOKUP(Table1[[#This Row],[Part Number]],DATABASE_FG!$C$6:D12122,2,FALSE)," ")</f>
        <v xml:space="preserve">054380529-8011 </v>
      </c>
      <c r="G2133" s="117">
        <f>IFERROR(_xlfn.XLOOKUP(Table1[[#This Row],[Part Number]],Table3[Part number],Table3[Drawing
 Revision]),"")</f>
        <v>0</v>
      </c>
      <c r="H2133" s="118" cm="1">
        <f t="array" ref="H2133">IFERROR(INDEX(PDB!$C:$AT,MATCH(E2133,PDB!$B:$B,0),MATCH(YEAR(K2133),0+PDB!$C$1:$AT$1,0)),"")</f>
        <v>3.56</v>
      </c>
      <c r="I2133" s="36">
        <v>119</v>
      </c>
      <c r="J2133" s="125">
        <f>IFERROR(Table1[[#This Row],[Quantity]]*Table1[[#This Row],[Price/Unit
EUR]]," ")</f>
        <v>423.64</v>
      </c>
      <c r="K2133" s="126">
        <v>45938</v>
      </c>
      <c r="L2133" s="36">
        <f>WEEKNUM(Table1[[#This Row],[ETA
As requested
dd.mm.yyyy]])</f>
        <v>41</v>
      </c>
      <c r="M2133" s="36">
        <f>YEAR(Table1[[#This Row],[ETA
As requested
dd.mm.yyyy]])</f>
        <v>2025</v>
      </c>
      <c r="N2133" s="36">
        <f>IFERROR(INDEX(DATABASE_FG!$H$5:$H$367, MATCH(E2133, DATABASE_FG!$C$5:$C$367, 0)), " ")</f>
        <v>0</v>
      </c>
      <c r="O2133" s="129" t="str">
        <f>IF(E2133&lt;&gt;"", _xlfn.XLOOKUP(E2133, DATABASE_FG!C:C, DATABASE_FG!F:F), " ")</f>
        <v>Ghidaje</v>
      </c>
      <c r="P2133" s="36">
        <f>IFERROR(INDEX(DATABASE_FG!$G$5:$G$367, MATCH(E2133, DATABASE_FG!$C$5:$C$367, 0)), "Not Found")</f>
        <v>0</v>
      </c>
      <c r="Q2133" s="36"/>
      <c r="R2133" s="125" t="s">
        <v>678</v>
      </c>
      <c r="S2133" s="123">
        <f>Table1[[#This Row],[Quantity]]/48</f>
        <v>2.4791666666666665</v>
      </c>
      <c r="T2133" s="36"/>
      <c r="U2133" s="36"/>
      <c r="V2133" s="36"/>
      <c r="W2133" s="129"/>
      <c r="X2133" s="36"/>
      <c r="Y2133" s="36"/>
      <c r="Z2133" s="36"/>
      <c r="AA2133" s="125" t="s">
        <v>121</v>
      </c>
      <c r="AB2133" s="173">
        <v>45922</v>
      </c>
      <c r="AC2133" s="119">
        <v>2025188</v>
      </c>
      <c r="AD2133" s="36">
        <f t="shared" si="246"/>
        <v>5410521</v>
      </c>
      <c r="AE2133" s="36" t="str">
        <f t="shared" si="247"/>
        <v>TK.KWVE15-B-A-ESC-0038-WW1</v>
      </c>
      <c r="AF2133" s="36">
        <v>119</v>
      </c>
      <c r="AG2133" s="120">
        <f t="shared" si="244"/>
        <v>423.64</v>
      </c>
      <c r="AH2133" s="36"/>
      <c r="AI2133" s="124"/>
      <c r="AJ2133" s="122" t="s">
        <v>3794</v>
      </c>
      <c r="AK2133" s="129" t="str">
        <f t="shared" ca="1" si="243"/>
        <v>On Time</v>
      </c>
      <c r="AL2133" s="268" t="str">
        <f t="shared" si="242"/>
        <v>October</v>
      </c>
      <c r="AM2133" s="133">
        <f>YEAR(Table1[[#This Row],[ETA
As requested
dd.mm.yyyy]])</f>
        <v>2025</v>
      </c>
      <c r="AN2133" s="191"/>
    </row>
    <row r="2134" spans="1:40" hidden="1">
      <c r="A2134" s="123" t="s">
        <v>83</v>
      </c>
      <c r="B2134" s="36" t="s">
        <v>1170</v>
      </c>
      <c r="C2134" s="117">
        <v>5410521</v>
      </c>
      <c r="D2134" s="165">
        <v>45777</v>
      </c>
      <c r="E2134" s="117" t="s">
        <v>99</v>
      </c>
      <c r="F2134" s="36" t="str">
        <f>IFERROR(VLOOKUP(Table1[[#This Row],[Part Number]],DATABASE_FG!$C$6:D12123,2,FALSE)," ")</f>
        <v xml:space="preserve">054380529-8011 </v>
      </c>
      <c r="G2134" s="117">
        <f>IFERROR(_xlfn.XLOOKUP(Table1[[#This Row],[Part Number]],Table3[Part number],Table3[Drawing
 Revision]),"")</f>
        <v>0</v>
      </c>
      <c r="H2134" s="118" cm="1">
        <f t="array" ref="H2134">IFERROR(INDEX(PDB!$C:$AT,MATCH(E2134,PDB!$B:$B,0),MATCH(YEAR(K2134),0+PDB!$C$1:$AT$1,0)),"")</f>
        <v>3.56</v>
      </c>
      <c r="I2134" s="36">
        <v>162</v>
      </c>
      <c r="J2134" s="125">
        <f>IFERROR(Table1[[#This Row],[Quantity]]*Table1[[#This Row],[Price/Unit
EUR]]," ")</f>
        <v>576.72</v>
      </c>
      <c r="K2134" s="126">
        <v>45952</v>
      </c>
      <c r="L2134" s="36">
        <f>WEEKNUM(Table1[[#This Row],[ETA
As requested
dd.mm.yyyy]])</f>
        <v>43</v>
      </c>
      <c r="M2134" s="36">
        <f>YEAR(Table1[[#This Row],[ETA
As requested
dd.mm.yyyy]])</f>
        <v>2025</v>
      </c>
      <c r="N2134" s="36">
        <f>IFERROR(INDEX(DATABASE_FG!$H$5:$H$367, MATCH(E2134, DATABASE_FG!$C$5:$C$367, 0)), " ")</f>
        <v>0</v>
      </c>
      <c r="O2134" s="129" t="str">
        <f>IF(E2134&lt;&gt;"", _xlfn.XLOOKUP(E2134, DATABASE_FG!C:C, DATABASE_FG!F:F), " ")</f>
        <v>Ghidaje</v>
      </c>
      <c r="P2134" s="36">
        <f>IFERROR(INDEX(DATABASE_FG!$G$5:$G$367, MATCH(E2134, DATABASE_FG!$C$5:$C$367, 0)), "Not Found")</f>
        <v>0</v>
      </c>
      <c r="Q2134" s="36"/>
      <c r="R2134" s="125" t="s">
        <v>678</v>
      </c>
      <c r="S2134" s="123">
        <f>Table1[[#This Row],[Quantity]]/48</f>
        <v>3.375</v>
      </c>
      <c r="T2134" s="36"/>
      <c r="U2134" s="36"/>
      <c r="V2134" s="36"/>
      <c r="W2134" s="129"/>
      <c r="X2134" s="36"/>
      <c r="Y2134" s="36"/>
      <c r="Z2134" s="36"/>
      <c r="AA2134" s="125" t="s">
        <v>121</v>
      </c>
      <c r="AB2134" s="173">
        <v>45932</v>
      </c>
      <c r="AC2134" s="119" t="s">
        <v>3818</v>
      </c>
      <c r="AD2134" s="36">
        <f t="shared" si="246"/>
        <v>5410521</v>
      </c>
      <c r="AE2134" s="36" t="str">
        <f t="shared" si="247"/>
        <v>TK.KWVE15-B-A-ESC-0038-WW1</v>
      </c>
      <c r="AF2134" s="36">
        <v>162</v>
      </c>
      <c r="AG2134" s="120">
        <f t="shared" si="244"/>
        <v>576.72</v>
      </c>
      <c r="AH2134" s="36"/>
      <c r="AI2134" s="124"/>
      <c r="AJ2134" s="122" t="s">
        <v>3819</v>
      </c>
      <c r="AK2134" s="129" t="str">
        <f t="shared" ca="1" si="243"/>
        <v>On Time</v>
      </c>
      <c r="AL2134" s="268" t="str">
        <f t="shared" si="242"/>
        <v>October</v>
      </c>
      <c r="AM2134" s="133">
        <f>YEAR(Table1[[#This Row],[ETA
As requested
dd.mm.yyyy]])</f>
        <v>2025</v>
      </c>
    </row>
    <row r="2135" spans="1:40" hidden="1">
      <c r="A2135" s="123" t="s">
        <v>83</v>
      </c>
      <c r="B2135" s="36" t="s">
        <v>1170</v>
      </c>
      <c r="C2135" s="117">
        <v>5410521</v>
      </c>
      <c r="D2135" s="165">
        <v>45777</v>
      </c>
      <c r="E2135" s="117" t="s">
        <v>99</v>
      </c>
      <c r="F2135" s="36" t="str">
        <f>IFERROR(VLOOKUP(Table1[[#This Row],[Part Number]],DATABASE_FG!$C$6:D12124,2,FALSE)," ")</f>
        <v xml:space="preserve">054380529-8011 </v>
      </c>
      <c r="G2135" s="117">
        <f>IFERROR(_xlfn.XLOOKUP(Table1[[#This Row],[Part Number]],Table3[Part number],Table3[Drawing
 Revision]),"")</f>
        <v>0</v>
      </c>
      <c r="H2135" s="118" cm="1">
        <f t="array" ref="H2135">IFERROR(INDEX(PDB!$C:$AT,MATCH(E2135,PDB!$B:$B,0),MATCH(YEAR(K2135),0+PDB!$C$1:$AT$1,0)),"")</f>
        <v>3.56</v>
      </c>
      <c r="I2135" s="36">
        <v>300</v>
      </c>
      <c r="J2135" s="125">
        <f>IFERROR(Table1[[#This Row],[Quantity]]*Table1[[#This Row],[Price/Unit
EUR]]," ")</f>
        <v>1068</v>
      </c>
      <c r="K2135" s="126">
        <v>45959</v>
      </c>
      <c r="L2135" s="36">
        <f>WEEKNUM(Table1[[#This Row],[ETA
As requested
dd.mm.yyyy]])</f>
        <v>44</v>
      </c>
      <c r="M2135" s="36">
        <f>YEAR(Table1[[#This Row],[ETA
As requested
dd.mm.yyyy]])</f>
        <v>2025</v>
      </c>
      <c r="N2135" s="36">
        <f>IFERROR(INDEX(DATABASE_FG!$H$5:$H$367, MATCH(E2135, DATABASE_FG!$C$5:$C$367, 0)), " ")</f>
        <v>0</v>
      </c>
      <c r="O2135" s="129" t="str">
        <f>IF(E2135&lt;&gt;"", _xlfn.XLOOKUP(E2135, DATABASE_FG!C:C, DATABASE_FG!F:F), " ")</f>
        <v>Ghidaje</v>
      </c>
      <c r="P2135" s="36">
        <f>IFERROR(INDEX(DATABASE_FG!$G$5:$G$367, MATCH(E2135, DATABASE_FG!$C$5:$C$367, 0)), "Not Found")</f>
        <v>0</v>
      </c>
      <c r="Q2135" s="36"/>
      <c r="R2135" s="125" t="s">
        <v>678</v>
      </c>
      <c r="S2135" s="123">
        <f>Table1[[#This Row],[Quantity]]/48</f>
        <v>6.25</v>
      </c>
      <c r="T2135" s="36"/>
      <c r="U2135" s="36"/>
      <c r="V2135" s="36"/>
      <c r="W2135" s="129"/>
      <c r="X2135" s="36"/>
      <c r="Y2135" s="36"/>
      <c r="Z2135" s="36"/>
      <c r="AA2135" s="125" t="s">
        <v>121</v>
      </c>
      <c r="AB2135" s="173">
        <v>45932</v>
      </c>
      <c r="AC2135" s="119" t="s">
        <v>3818</v>
      </c>
      <c r="AD2135" s="36">
        <f t="shared" si="246"/>
        <v>5410521</v>
      </c>
      <c r="AE2135" s="36" t="str">
        <f t="shared" si="247"/>
        <v>TK.KWVE15-B-A-ESC-0038-WW1</v>
      </c>
      <c r="AF2135" s="36">
        <v>300</v>
      </c>
      <c r="AG2135" s="120">
        <f t="shared" si="244"/>
        <v>1068</v>
      </c>
      <c r="AH2135" s="36"/>
      <c r="AI2135" s="124"/>
      <c r="AJ2135" s="122" t="s">
        <v>3819</v>
      </c>
      <c r="AK2135" s="129" t="str">
        <f t="shared" ca="1" si="243"/>
        <v>On Time</v>
      </c>
      <c r="AL2135" s="268" t="str">
        <f t="shared" si="242"/>
        <v>October</v>
      </c>
      <c r="AM2135" s="133">
        <f>YEAR(Table1[[#This Row],[ETA
As requested
dd.mm.yyyy]])</f>
        <v>2025</v>
      </c>
    </row>
    <row r="2136" spans="1:40" hidden="1">
      <c r="A2136" s="123" t="s">
        <v>83</v>
      </c>
      <c r="B2136" s="36" t="s">
        <v>1170</v>
      </c>
      <c r="C2136" s="117">
        <v>5410521</v>
      </c>
      <c r="D2136" s="165">
        <v>45951</v>
      </c>
      <c r="E2136" s="117" t="s">
        <v>99</v>
      </c>
      <c r="F2136" s="36" t="str">
        <f>IFERROR(VLOOKUP(Table1[[#This Row],[Part Number]],DATABASE_FG!$C$6:D12125,2,FALSE)," ")</f>
        <v xml:space="preserve">054380529-8011 </v>
      </c>
      <c r="G2136" s="117">
        <f>IFERROR(_xlfn.XLOOKUP(Table1[[#This Row],[Part Number]],Table3[Part number],Table3[Drawing
 Revision]),"")</f>
        <v>0</v>
      </c>
      <c r="H2136" s="118" cm="1">
        <f t="array" ref="H2136">IFERROR(INDEX(PDB!$C:$AT,MATCH(E2136,PDB!$B:$B,0),MATCH(YEAR(K2136),0+PDB!$C$1:$AT$1,0)),"")</f>
        <v>3.56</v>
      </c>
      <c r="I2136" s="36">
        <v>500</v>
      </c>
      <c r="J2136" s="125">
        <f>IFERROR(Table1[[#This Row],[Quantity]]*Table1[[#This Row],[Price/Unit
EUR]]," ")</f>
        <v>1780</v>
      </c>
      <c r="K2136" s="126">
        <v>45966</v>
      </c>
      <c r="L2136" s="36">
        <f>WEEKNUM(Table1[[#This Row],[ETA
As requested
dd.mm.yyyy]])</f>
        <v>45</v>
      </c>
      <c r="M2136" s="36">
        <f>YEAR(Table1[[#This Row],[ETA
As requested
dd.mm.yyyy]])</f>
        <v>2025</v>
      </c>
      <c r="N2136" s="36">
        <f>IFERROR(INDEX(DATABASE_FG!$H$5:$H$367, MATCH(E2136, DATABASE_FG!$C$5:$C$367, 0)), " ")</f>
        <v>0</v>
      </c>
      <c r="O2136" s="129" t="str">
        <f>IF(E2136&lt;&gt;"", _xlfn.XLOOKUP(E2136, DATABASE_FG!C:C, DATABASE_FG!F:F), " ")</f>
        <v>Ghidaje</v>
      </c>
      <c r="P2136" s="36">
        <f>IFERROR(INDEX(DATABASE_FG!$G$5:$G$367, MATCH(E2136, DATABASE_FG!$C$5:$C$367, 0)), "Not Found")</f>
        <v>0</v>
      </c>
      <c r="Q2136" s="36"/>
      <c r="R2136" s="125" t="s">
        <v>678</v>
      </c>
      <c r="S2136" s="123">
        <f>Table1[[#This Row],[Quantity]]/48</f>
        <v>10.416666666666666</v>
      </c>
      <c r="T2136" s="36"/>
      <c r="U2136" s="36"/>
      <c r="V2136" s="36"/>
      <c r="W2136" s="129"/>
      <c r="X2136" s="36"/>
      <c r="Y2136" s="36"/>
      <c r="Z2136" s="36"/>
      <c r="AA2136" s="125" t="s">
        <v>121</v>
      </c>
      <c r="AB2136" s="173">
        <v>45965</v>
      </c>
      <c r="AC2136" s="119" t="s">
        <v>4460</v>
      </c>
      <c r="AD2136" s="36">
        <f t="shared" si="246"/>
        <v>5410521</v>
      </c>
      <c r="AE2136" s="36" t="str">
        <f t="shared" si="247"/>
        <v>TK.KWVE15-B-A-ESC-0038-WW1</v>
      </c>
      <c r="AF2136" s="36">
        <v>500</v>
      </c>
      <c r="AG2136" s="120">
        <f t="shared" si="244"/>
        <v>1780</v>
      </c>
      <c r="AH2136" s="36"/>
      <c r="AI2136" s="124"/>
      <c r="AJ2136" s="122" t="s">
        <v>4476</v>
      </c>
      <c r="AK2136" s="129" t="str">
        <f t="shared" ca="1" si="243"/>
        <v>On Time</v>
      </c>
      <c r="AL2136" s="268" t="str">
        <f t="shared" si="242"/>
        <v>November</v>
      </c>
      <c r="AM2136" s="133">
        <f>YEAR(Table1[[#This Row],[ETA
As requested
dd.mm.yyyy]])</f>
        <v>2025</v>
      </c>
    </row>
    <row r="2137" spans="1:40" hidden="1">
      <c r="A2137" s="123" t="s">
        <v>83</v>
      </c>
      <c r="B2137" s="36" t="s">
        <v>1170</v>
      </c>
      <c r="C2137" s="117">
        <v>5410521</v>
      </c>
      <c r="D2137" s="165">
        <v>45951</v>
      </c>
      <c r="E2137" s="117" t="s">
        <v>99</v>
      </c>
      <c r="F2137" s="36" t="str">
        <f>IFERROR(VLOOKUP(Table1[[#This Row],[Part Number]],DATABASE_FG!$C$6:D12126,2,FALSE)," ")</f>
        <v xml:space="preserve">054380529-8011 </v>
      </c>
      <c r="G2137" s="117">
        <f>IFERROR(_xlfn.XLOOKUP(Table1[[#This Row],[Part Number]],Table3[Part number],Table3[Drawing
 Revision]),"")</f>
        <v>0</v>
      </c>
      <c r="H2137" s="118" cm="1">
        <f t="array" ref="H2137">IFERROR(INDEX(PDB!$C:$AT,MATCH(E2137,PDB!$B:$B,0),MATCH(YEAR(K2137),0+PDB!$C$1:$AT$1,0)),"")</f>
        <v>3.56</v>
      </c>
      <c r="I2137" s="36">
        <v>70</v>
      </c>
      <c r="J2137" s="125">
        <f>IFERROR(Table1[[#This Row],[Quantity]]*Table1[[#This Row],[Price/Unit
EUR]]," ")</f>
        <v>249.20000000000002</v>
      </c>
      <c r="K2137" s="126">
        <v>45972</v>
      </c>
      <c r="L2137" s="36">
        <f>WEEKNUM(Table1[[#This Row],[ETA
As requested
dd.mm.yyyy]])</f>
        <v>46</v>
      </c>
      <c r="M2137" s="36">
        <f>YEAR(Table1[[#This Row],[ETA
As requested
dd.mm.yyyy]])</f>
        <v>2025</v>
      </c>
      <c r="N2137" s="36">
        <f>IFERROR(INDEX(DATABASE_FG!$H$5:$H$367, MATCH(E2137, DATABASE_FG!$C$5:$C$367, 0)), " ")</f>
        <v>0</v>
      </c>
      <c r="O2137" s="129" t="str">
        <f>IF(E2137&lt;&gt;"", _xlfn.XLOOKUP(E2137, DATABASE_FG!C:C, DATABASE_FG!F:F), " ")</f>
        <v>Ghidaje</v>
      </c>
      <c r="P2137" s="36">
        <f>IFERROR(INDEX(DATABASE_FG!$G$5:$G$367, MATCH(E2137, DATABASE_FG!$C$5:$C$367, 0)), "Not Found")</f>
        <v>0</v>
      </c>
      <c r="Q2137" s="36"/>
      <c r="R2137" s="125" t="s">
        <v>678</v>
      </c>
      <c r="S2137" s="123">
        <f>Table1[[#This Row],[Quantity]]/48</f>
        <v>1.4583333333333333</v>
      </c>
      <c r="T2137" s="36"/>
      <c r="U2137" s="36"/>
      <c r="V2137" s="36"/>
      <c r="W2137" s="129"/>
      <c r="X2137" s="36"/>
      <c r="Y2137" s="36"/>
      <c r="Z2137" s="36"/>
      <c r="AA2137" s="125" t="s">
        <v>121</v>
      </c>
      <c r="AB2137" s="173">
        <v>45965</v>
      </c>
      <c r="AC2137" s="119" t="s">
        <v>4460</v>
      </c>
      <c r="AD2137" s="36">
        <f>IF(NOT(ISBLANK(AC2137)), C2137, "")</f>
        <v>5410521</v>
      </c>
      <c r="AE2137" s="36" t="str">
        <f>IF(NOT(ISBLANK(AC2137)), E2137, "")</f>
        <v>TK.KWVE15-B-A-ESC-0038-WW1</v>
      </c>
      <c r="AF2137" s="36">
        <v>70</v>
      </c>
      <c r="AG2137" s="120">
        <f>AF2137*H2137</f>
        <v>249.20000000000002</v>
      </c>
      <c r="AH2137" s="36"/>
      <c r="AI2137" s="124"/>
      <c r="AJ2137" s="122" t="s">
        <v>4476</v>
      </c>
      <c r="AK2137" s="129" t="str">
        <f ca="1">IF(AB2137="", IF(K2137 &lt; TODAY(), "Late", ""), IF(AB2137 &lt;= K2137 + 2, "On Time", "Late"))</f>
        <v>On Time</v>
      </c>
      <c r="AL2137" s="268" t="str">
        <f>TEXT(K2137,"mmmm")</f>
        <v>November</v>
      </c>
      <c r="AM2137" s="133">
        <f>YEAR(Table1[[#This Row],[ETA
As requested
dd.mm.yyyy]])</f>
        <v>2025</v>
      </c>
      <c r="AN2137" s="191"/>
    </row>
    <row r="2138" spans="1:40" hidden="1">
      <c r="A2138" s="123" t="s">
        <v>83</v>
      </c>
      <c r="B2138" s="36" t="s">
        <v>1170</v>
      </c>
      <c r="C2138" s="117">
        <v>5410521</v>
      </c>
      <c r="D2138" s="165">
        <v>45951</v>
      </c>
      <c r="E2138" s="117" t="s">
        <v>99</v>
      </c>
      <c r="F2138" s="36" t="str">
        <f>IFERROR(VLOOKUP(Table1[[#This Row],[Part Number]],DATABASE_FG!$C$6:D12127,2,FALSE)," ")</f>
        <v xml:space="preserve">054380529-8011 </v>
      </c>
      <c r="G2138" s="117">
        <f>IFERROR(_xlfn.XLOOKUP(Table1[[#This Row],[Part Number]],Table3[Part number],Table3[Drawing
 Revision]),"")</f>
        <v>0</v>
      </c>
      <c r="H2138" s="118" cm="1">
        <f t="array" ref="H2138">IFERROR(INDEX(PDB!$C:$AT,MATCH(E2138,PDB!$B:$B,0),MATCH(YEAR(K2138),0+PDB!$C$1:$AT$1,0)),"")</f>
        <v>3.56</v>
      </c>
      <c r="I2138" s="36">
        <f>500-70</f>
        <v>430</v>
      </c>
      <c r="J2138" s="125">
        <f>IFERROR(Table1[[#This Row],[Quantity]]*Table1[[#This Row],[Price/Unit
EUR]]," ")</f>
        <v>1530.8</v>
      </c>
      <c r="K2138" s="126">
        <v>45972</v>
      </c>
      <c r="L2138" s="36">
        <f>WEEKNUM(Table1[[#This Row],[ETA
As requested
dd.mm.yyyy]])</f>
        <v>46</v>
      </c>
      <c r="M2138" s="36">
        <f>YEAR(Table1[[#This Row],[ETA
As requested
dd.mm.yyyy]])</f>
        <v>2025</v>
      </c>
      <c r="N2138" s="36">
        <f>IFERROR(INDEX(DATABASE_FG!$H$5:$H$367, MATCH(E2138, DATABASE_FG!$C$5:$C$367, 0)), " ")</f>
        <v>0</v>
      </c>
      <c r="O2138" s="129" t="str">
        <f>IF(E2138&lt;&gt;"", _xlfn.XLOOKUP(E2138, DATABASE_FG!C:C, DATABASE_FG!F:F), " ")</f>
        <v>Ghidaje</v>
      </c>
      <c r="P2138" s="36">
        <f>IFERROR(INDEX(DATABASE_FG!$G$5:$G$367, MATCH(E2138, DATABASE_FG!$C$5:$C$367, 0)), "Not Found")</f>
        <v>0</v>
      </c>
      <c r="Q2138" s="36"/>
      <c r="R2138" s="125" t="s">
        <v>678</v>
      </c>
      <c r="S2138" s="123">
        <f>Table1[[#This Row],[Quantity]]/48</f>
        <v>8.9583333333333339</v>
      </c>
      <c r="T2138" s="36"/>
      <c r="U2138" s="36"/>
      <c r="V2138" s="36"/>
      <c r="W2138" s="129"/>
      <c r="X2138" s="36"/>
      <c r="Y2138" s="36"/>
      <c r="Z2138" s="36"/>
      <c r="AA2138" s="125" t="s">
        <v>3</v>
      </c>
      <c r="AB2138" s="173"/>
      <c r="AC2138" s="119"/>
      <c r="AD2138" s="36" t="str">
        <f t="shared" si="246"/>
        <v/>
      </c>
      <c r="AE2138" s="36" t="str">
        <f t="shared" si="247"/>
        <v/>
      </c>
      <c r="AF2138" s="36"/>
      <c r="AG2138" s="120">
        <f t="shared" si="244"/>
        <v>0</v>
      </c>
      <c r="AH2138" s="36"/>
      <c r="AI2138" s="124"/>
      <c r="AJ2138" s="122"/>
      <c r="AK2138" s="129" t="str">
        <f t="shared" ca="1" si="243"/>
        <v/>
      </c>
      <c r="AL2138" s="268" t="str">
        <f t="shared" si="242"/>
        <v>November</v>
      </c>
      <c r="AM2138" s="133">
        <f>YEAR(Table1[[#This Row],[ETA
As requested
dd.mm.yyyy]])</f>
        <v>2025</v>
      </c>
    </row>
    <row r="2139" spans="1:40" hidden="1">
      <c r="A2139" s="123" t="s">
        <v>83</v>
      </c>
      <c r="B2139" s="36" t="s">
        <v>1170</v>
      </c>
      <c r="C2139" s="117">
        <v>5410521</v>
      </c>
      <c r="D2139" s="165">
        <v>45951</v>
      </c>
      <c r="E2139" s="117" t="s">
        <v>99</v>
      </c>
      <c r="F2139" s="36" t="str">
        <f>IFERROR(VLOOKUP(Table1[[#This Row],[Part Number]],DATABASE_FG!$C$6:D12128,2,FALSE)," ")</f>
        <v xml:space="preserve">054380529-8011 </v>
      </c>
      <c r="G2139" s="117">
        <f>IFERROR(_xlfn.XLOOKUP(Table1[[#This Row],[Part Number]],Table3[Part number],Table3[Drawing
 Revision]),"")</f>
        <v>0</v>
      </c>
      <c r="H2139" s="118" cm="1">
        <f t="array" ref="H2139">IFERROR(INDEX(PDB!$C:$AT,MATCH(E2139,PDB!$B:$B,0),MATCH(YEAR(K2139),0+PDB!$C$1:$AT$1,0)),"")</f>
        <v>3.56</v>
      </c>
      <c r="I2139" s="36">
        <v>1000</v>
      </c>
      <c r="J2139" s="125">
        <f>IFERROR(Table1[[#This Row],[Quantity]]*Table1[[#This Row],[Price/Unit
EUR]]," ")</f>
        <v>3560</v>
      </c>
      <c r="K2139" s="126">
        <v>45975</v>
      </c>
      <c r="L2139" s="36">
        <f>WEEKNUM(Table1[[#This Row],[ETA
As requested
dd.mm.yyyy]])</f>
        <v>46</v>
      </c>
      <c r="M2139" s="36">
        <f>YEAR(Table1[[#This Row],[ETA
As requested
dd.mm.yyyy]])</f>
        <v>2025</v>
      </c>
      <c r="N2139" s="36">
        <f>IFERROR(INDEX(DATABASE_FG!$H$5:$H$367, MATCH(E2139, DATABASE_FG!$C$5:$C$367, 0)), " ")</f>
        <v>0</v>
      </c>
      <c r="O2139" s="129" t="str">
        <f>IF(E2139&lt;&gt;"", _xlfn.XLOOKUP(E2139, DATABASE_FG!C:C, DATABASE_FG!F:F), " ")</f>
        <v>Ghidaje</v>
      </c>
      <c r="P2139" s="129">
        <f>IFERROR(INDEX(DATABASE_FG!$G$5:$G$367, MATCH(E2139, DATABASE_FG!$C$5:$C$367, 0)), "Not Found")</f>
        <v>0</v>
      </c>
      <c r="Q2139" s="36"/>
      <c r="R2139" s="125" t="s">
        <v>678</v>
      </c>
      <c r="S2139" s="123">
        <f>Table1[[#This Row],[Quantity]]/48</f>
        <v>20.833333333333332</v>
      </c>
      <c r="T2139" s="36"/>
      <c r="U2139" s="36"/>
      <c r="V2139" s="36"/>
      <c r="W2139" s="129"/>
      <c r="X2139" s="36"/>
      <c r="Y2139" s="36"/>
      <c r="Z2139" s="36"/>
      <c r="AA2139" s="125" t="s">
        <v>3</v>
      </c>
      <c r="AB2139" s="173"/>
      <c r="AC2139" s="119"/>
      <c r="AD2139" s="36" t="str">
        <f t="shared" si="246"/>
        <v/>
      </c>
      <c r="AE2139" s="36" t="str">
        <f t="shared" si="247"/>
        <v/>
      </c>
      <c r="AF2139" s="36"/>
      <c r="AG2139" s="120">
        <f t="shared" si="244"/>
        <v>0</v>
      </c>
      <c r="AH2139" s="36"/>
      <c r="AI2139" s="124"/>
      <c r="AJ2139" s="122"/>
      <c r="AK2139" s="129" t="str">
        <f t="shared" ca="1" si="243"/>
        <v/>
      </c>
      <c r="AL2139" s="268" t="str">
        <f t="shared" si="242"/>
        <v>November</v>
      </c>
      <c r="AM2139" s="133">
        <f>YEAR(Table1[[#This Row],[ETA
As requested
dd.mm.yyyy]])</f>
        <v>2025</v>
      </c>
    </row>
    <row r="2140" spans="1:40" hidden="1">
      <c r="A2140" s="123" t="s">
        <v>83</v>
      </c>
      <c r="B2140" s="36" t="s">
        <v>2464</v>
      </c>
      <c r="C2140" s="117">
        <v>5410521</v>
      </c>
      <c r="D2140" s="165">
        <v>45777</v>
      </c>
      <c r="E2140" s="117" t="s">
        <v>99</v>
      </c>
      <c r="F2140" s="36" t="str">
        <f>IFERROR(VLOOKUP(Table1[[#This Row],[Part Number]],DATABASE_FG!$C$6:D12129,2,FALSE)," ")</f>
        <v xml:space="preserve">054380529-8011 </v>
      </c>
      <c r="G2140" s="117">
        <f>IFERROR(_xlfn.XLOOKUP(Table1[[#This Row],[Part Number]],Table3[Part number],Table3[Drawing
 Revision]),"")</f>
        <v>0</v>
      </c>
      <c r="H2140" s="118" cm="1">
        <f t="array" ref="H2140">IFERROR(INDEX(PDB!$C:$AT,MATCH(E2140,PDB!$B:$B,0),MATCH(YEAR(K2140),0+PDB!$C$1:$AT$1,0)),"")</f>
        <v>3.56</v>
      </c>
      <c r="I2140" s="36">
        <v>200</v>
      </c>
      <c r="J2140" s="125">
        <f>IFERROR(Table1[[#This Row],[Quantity]]*Table1[[#This Row],[Price/Unit
EUR]]," ")</f>
        <v>712</v>
      </c>
      <c r="K2140" s="126">
        <v>46005</v>
      </c>
      <c r="L2140" s="36">
        <f>WEEKNUM(Table1[[#This Row],[ETA
As requested
dd.mm.yyyy]])</f>
        <v>51</v>
      </c>
      <c r="M2140" s="36">
        <f>YEAR(Table1[[#This Row],[ETA
As requested
dd.mm.yyyy]])</f>
        <v>2025</v>
      </c>
      <c r="N2140" s="36">
        <f>IFERROR(INDEX(DATABASE_FG!$H$5:$H$367, MATCH(E2140, DATABASE_FG!$C$5:$C$367, 0)), " ")</f>
        <v>0</v>
      </c>
      <c r="O2140" s="129" t="str">
        <f>IF(E2140&lt;&gt;"", _xlfn.XLOOKUP(E2140, DATABASE_FG!C:C, DATABASE_FG!F:F), " ")</f>
        <v>Ghidaje</v>
      </c>
      <c r="P2140" s="36">
        <f>IFERROR(INDEX(DATABASE_FG!$G$5:$G$367, MATCH(E2140, DATABASE_FG!$C$5:$C$367, 0)), "Not Found")</f>
        <v>0</v>
      </c>
      <c r="Q2140" s="36"/>
      <c r="R2140" s="125" t="s">
        <v>678</v>
      </c>
      <c r="S2140" s="123">
        <f>Table1[[#This Row],[Quantity]]/48</f>
        <v>4.166666666666667</v>
      </c>
      <c r="T2140" s="36"/>
      <c r="U2140" s="36"/>
      <c r="V2140" s="36"/>
      <c r="W2140" s="129"/>
      <c r="X2140" s="36"/>
      <c r="Y2140" s="36"/>
      <c r="Z2140" s="36"/>
      <c r="AA2140" s="125" t="s">
        <v>3</v>
      </c>
      <c r="AB2140" s="173"/>
      <c r="AC2140" s="119"/>
      <c r="AD2140" s="36" t="str">
        <f t="shared" si="246"/>
        <v/>
      </c>
      <c r="AE2140" s="36" t="str">
        <f t="shared" si="247"/>
        <v/>
      </c>
      <c r="AF2140" s="36"/>
      <c r="AG2140" s="120">
        <f t="shared" si="244"/>
        <v>0</v>
      </c>
      <c r="AH2140" s="36"/>
      <c r="AI2140" s="124"/>
      <c r="AJ2140" s="122"/>
      <c r="AK2140" s="129" t="str">
        <f t="shared" ca="1" si="243"/>
        <v/>
      </c>
      <c r="AL2140" s="268" t="str">
        <f t="shared" si="242"/>
        <v>December</v>
      </c>
      <c r="AM2140" s="133">
        <f>YEAR(Table1[[#This Row],[ETA
As requested
dd.mm.yyyy]])</f>
        <v>2025</v>
      </c>
    </row>
    <row r="2141" spans="1:40" hidden="1">
      <c r="A2141" s="123" t="s">
        <v>83</v>
      </c>
      <c r="B2141" s="36" t="s">
        <v>1170</v>
      </c>
      <c r="C2141" s="117">
        <v>36340001</v>
      </c>
      <c r="D2141" s="165">
        <v>45352</v>
      </c>
      <c r="E2141" s="117" t="s">
        <v>100</v>
      </c>
      <c r="F2141" s="36" t="str">
        <f>IFERROR(VLOOKUP(Table1[[#This Row],[Part Number]],DATABASE_FG!$C$6:D12130,2,FALSE)," ")</f>
        <v>054830877-8011</v>
      </c>
      <c r="G2141" s="117" t="str">
        <f>IFERROR(_xlfn.XLOOKUP(Table1[[#This Row],[Part Number]],Table3[Part number],Table3[Drawing
 Revision]),"")</f>
        <v>AA</v>
      </c>
      <c r="H2141" s="118" cm="1">
        <f t="array" ref="H2141">IFERROR(INDEX(PDB!$C:$AT,MATCH(E2141,PDB!$B:$B,0),MATCH(YEAR(K2141),0+PDB!$C$1:$AT$1,0)),"")</f>
        <v>5.72</v>
      </c>
      <c r="I2141" s="36">
        <v>187</v>
      </c>
      <c r="J2141" s="125">
        <f>IFERROR(Table1[[#This Row],[Quantity]]*Table1[[#This Row],[Price/Unit
EUR]]," ")</f>
        <v>1069.6399999999999</v>
      </c>
      <c r="K2141" s="126">
        <v>45380</v>
      </c>
      <c r="L2141" s="36">
        <f>WEEKNUM(Table1[[#This Row],[ETA
As requested
dd.mm.yyyy]])</f>
        <v>13</v>
      </c>
      <c r="M2141" s="36">
        <f>YEAR(Table1[[#This Row],[ETA
As requested
dd.mm.yyyy]])</f>
        <v>2024</v>
      </c>
      <c r="N2141" s="36">
        <f>IFERROR(INDEX(DATABASE_FG!$H$5:$H$367, MATCH(E2141, DATABASE_FG!$C$5:$C$367, 0)), " ")</f>
        <v>0</v>
      </c>
      <c r="O2141" s="129" t="str">
        <f>IF(E2141&lt;&gt;"", _xlfn.XLOOKUP(E2141, DATABASE_FG!C:C, DATABASE_FG!F:F), " ")</f>
        <v>Ghidaje</v>
      </c>
      <c r="P2141" s="36">
        <f>IFERROR(INDEX(DATABASE_FG!$G$5:$G$367, MATCH(E2141, DATABASE_FG!$C$5:$C$367, 0)), "Not Found")</f>
        <v>0</v>
      </c>
      <c r="Q2141" s="36"/>
      <c r="R2141" s="125" t="s">
        <v>678</v>
      </c>
      <c r="S2141" s="123">
        <f>IFERROR(INDEX(DATABASE_FG!$L$5:$L$367, MATCH(E2141, DATABASE_FG!$C$5:$C$367, 0)), " ")</f>
        <v>42</v>
      </c>
      <c r="T2141" s="36" t="s">
        <v>679</v>
      </c>
      <c r="U2141" s="36"/>
      <c r="V2141" s="36"/>
      <c r="W2141" s="129"/>
      <c r="X2141" s="36"/>
      <c r="Y2141" s="36"/>
      <c r="Z2141" s="36">
        <v>241303</v>
      </c>
      <c r="AA2141" s="125" t="s">
        <v>677</v>
      </c>
      <c r="AB2141" s="173">
        <v>45380</v>
      </c>
      <c r="AC2141" s="119">
        <v>2024289</v>
      </c>
      <c r="AD2141" s="36">
        <f t="shared" si="246"/>
        <v>36340001</v>
      </c>
      <c r="AE2141" s="36" t="str">
        <f t="shared" si="247"/>
        <v>TK.KWVE20-B-A-L-0038-WW1</v>
      </c>
      <c r="AF2141" s="36">
        <v>187</v>
      </c>
      <c r="AG2141" s="120">
        <f t="shared" si="244"/>
        <v>1069.6399999999999</v>
      </c>
      <c r="AH2141" s="36"/>
      <c r="AI2141" s="124"/>
      <c r="AJ2141" s="122" t="s">
        <v>1256</v>
      </c>
      <c r="AK2141" s="129" t="str">
        <f t="shared" ca="1" si="243"/>
        <v>On Time</v>
      </c>
      <c r="AL2141" s="268" t="str">
        <f t="shared" si="242"/>
        <v>March</v>
      </c>
      <c r="AM2141" s="133">
        <f>YEAR(Table1[[#This Row],[ETA
As requested
dd.mm.yyyy]])</f>
        <v>2024</v>
      </c>
    </row>
    <row r="2142" spans="1:40" hidden="1">
      <c r="A2142" s="123" t="s">
        <v>83</v>
      </c>
      <c r="B2142" s="36" t="s">
        <v>1170</v>
      </c>
      <c r="C2142" s="117">
        <v>36508920</v>
      </c>
      <c r="D2142" s="165">
        <v>45378</v>
      </c>
      <c r="E2142" s="117" t="s">
        <v>100</v>
      </c>
      <c r="F2142" s="36" t="str">
        <f>IFERROR(VLOOKUP(Table1[[#This Row],[Part Number]],DATABASE_FG!$C$6:D12131,2,FALSE)," ")</f>
        <v>054830877-8011</v>
      </c>
      <c r="G2142" s="117" t="str">
        <f>IFERROR(_xlfn.XLOOKUP(Table1[[#This Row],[Part Number]],Table3[Part number],Table3[Drawing
 Revision]),"")</f>
        <v>AA</v>
      </c>
      <c r="H2142" s="118" cm="1">
        <f t="array" ref="H2142">IFERROR(INDEX(PDB!$C:$AT,MATCH(E2142,PDB!$B:$B,0),MATCH(YEAR(K2142),0+PDB!$C$1:$AT$1,0)),"")</f>
        <v>5.72</v>
      </c>
      <c r="I2142" s="36">
        <v>125</v>
      </c>
      <c r="J2142" s="125">
        <f>IFERROR(Table1[[#This Row],[Quantity]]*Table1[[#This Row],[Price/Unit
EUR]]," ")</f>
        <v>715</v>
      </c>
      <c r="K2142" s="126">
        <v>45384</v>
      </c>
      <c r="L2142" s="36">
        <f>WEEKNUM(Table1[[#This Row],[ETA
As requested
dd.mm.yyyy]])</f>
        <v>14</v>
      </c>
      <c r="M2142" s="36">
        <f>YEAR(Table1[[#This Row],[ETA
As requested
dd.mm.yyyy]])</f>
        <v>2024</v>
      </c>
      <c r="N2142" s="36">
        <f>IFERROR(INDEX(DATABASE_FG!$H$5:$H$367, MATCH(E2142, DATABASE_FG!$C$5:$C$367, 0)), " ")</f>
        <v>0</v>
      </c>
      <c r="O2142" s="129" t="str">
        <f>IF(E2142&lt;&gt;"", _xlfn.XLOOKUP(E2142, DATABASE_FG!C:C, DATABASE_FG!F:F), " ")</f>
        <v>Ghidaje</v>
      </c>
      <c r="P2142" s="36">
        <f>IFERROR(INDEX(DATABASE_FG!$G$5:$G$367, MATCH(E2142, DATABASE_FG!$C$5:$C$367, 0)), "Not Found")</f>
        <v>0</v>
      </c>
      <c r="Q2142" s="36"/>
      <c r="R2142" s="125" t="s">
        <v>678</v>
      </c>
      <c r="S2142" s="123">
        <f>IFERROR(INDEX(DATABASE_FG!$L$5:$L$367, MATCH(E2142, DATABASE_FG!$C$5:$C$367, 0)), " ")</f>
        <v>42</v>
      </c>
      <c r="T2142" s="36" t="s">
        <v>679</v>
      </c>
      <c r="U2142" s="36"/>
      <c r="V2142" s="36"/>
      <c r="W2142" s="129"/>
      <c r="X2142" s="36"/>
      <c r="Y2142" s="36"/>
      <c r="Z2142" s="36" t="s">
        <v>1261</v>
      </c>
      <c r="AA2142" s="125" t="s">
        <v>121</v>
      </c>
      <c r="AB2142" s="173">
        <v>45384</v>
      </c>
      <c r="AC2142" s="119">
        <v>2024298</v>
      </c>
      <c r="AD2142" s="36">
        <f t="shared" si="246"/>
        <v>36508920</v>
      </c>
      <c r="AE2142" s="36" t="str">
        <f t="shared" si="247"/>
        <v>TK.KWVE20-B-A-L-0038-WW1</v>
      </c>
      <c r="AF2142" s="36">
        <v>125</v>
      </c>
      <c r="AG2142" s="120">
        <f t="shared" si="244"/>
        <v>715</v>
      </c>
      <c r="AH2142" s="36"/>
      <c r="AI2142" s="124"/>
      <c r="AJ2142" s="122" t="s">
        <v>1262</v>
      </c>
      <c r="AK2142" s="129" t="str">
        <f t="shared" ca="1" si="243"/>
        <v>On Time</v>
      </c>
      <c r="AL2142" s="268" t="str">
        <f t="shared" si="242"/>
        <v>April</v>
      </c>
      <c r="AM2142" s="133">
        <f>YEAR(Table1[[#This Row],[ETA
As requested
dd.mm.yyyy]])</f>
        <v>2024</v>
      </c>
    </row>
    <row r="2143" spans="1:40" hidden="1">
      <c r="A2143" s="123" t="s">
        <v>83</v>
      </c>
      <c r="B2143" s="36" t="s">
        <v>1170</v>
      </c>
      <c r="C2143" s="117">
        <v>36508924</v>
      </c>
      <c r="D2143" s="165">
        <v>45378</v>
      </c>
      <c r="E2143" s="117" t="s">
        <v>100</v>
      </c>
      <c r="F2143" s="36" t="str">
        <f>IFERROR(VLOOKUP(Table1[[#This Row],[Part Number]],DATABASE_FG!$C$6:D12132,2,FALSE)," ")</f>
        <v>054830877-8011</v>
      </c>
      <c r="G2143" s="117" t="str">
        <f>IFERROR(_xlfn.XLOOKUP(Table1[[#This Row],[Part Number]],Table3[Part number],Table3[Drawing
 Revision]),"")</f>
        <v>AA</v>
      </c>
      <c r="H2143" s="118" cm="1">
        <f t="array" ref="H2143">IFERROR(INDEX(PDB!$C:$AT,MATCH(E2143,PDB!$B:$B,0),MATCH(YEAR(K2143),0+PDB!$C$1:$AT$1,0)),"")</f>
        <v>5.72</v>
      </c>
      <c r="I2143" s="36">
        <v>125</v>
      </c>
      <c r="J2143" s="125">
        <f>IFERROR(Table1[[#This Row],[Quantity]]*Table1[[#This Row],[Price/Unit
EUR]]," ")</f>
        <v>715</v>
      </c>
      <c r="K2143" s="126">
        <v>45386</v>
      </c>
      <c r="L2143" s="36">
        <f>WEEKNUM(Table1[[#This Row],[ETA
As requested
dd.mm.yyyy]])</f>
        <v>14</v>
      </c>
      <c r="M2143" s="36">
        <f>YEAR(Table1[[#This Row],[ETA
As requested
dd.mm.yyyy]])</f>
        <v>2024</v>
      </c>
      <c r="N2143" s="36">
        <f>IFERROR(INDEX(DATABASE_FG!$H$5:$H$367, MATCH(E2143, DATABASE_FG!$C$5:$C$367, 0)), " ")</f>
        <v>0</v>
      </c>
      <c r="O2143" s="129" t="str">
        <f>IF(E2143&lt;&gt;"", _xlfn.XLOOKUP(E2143, DATABASE_FG!C:C, DATABASE_FG!F:F), " ")</f>
        <v>Ghidaje</v>
      </c>
      <c r="P2143" s="36">
        <f>IFERROR(INDEX(DATABASE_FG!$G$5:$G$367, MATCH(E2143, DATABASE_FG!$C$5:$C$367, 0)), "Not Found")</f>
        <v>0</v>
      </c>
      <c r="Q2143" s="36"/>
      <c r="R2143" s="125" t="s">
        <v>678</v>
      </c>
      <c r="S2143" s="123">
        <f>IFERROR(INDEX(DATABASE_FG!$L$5:$L$367, MATCH(E2143, DATABASE_FG!$C$5:$C$367, 0)), " ")</f>
        <v>42</v>
      </c>
      <c r="T2143" s="36" t="s">
        <v>679</v>
      </c>
      <c r="U2143" s="36"/>
      <c r="V2143" s="36"/>
      <c r="W2143" s="129"/>
      <c r="X2143" s="36"/>
      <c r="Y2143" s="36"/>
      <c r="Z2143" s="36" t="s">
        <v>1261</v>
      </c>
      <c r="AA2143" s="125" t="s">
        <v>121</v>
      </c>
      <c r="AB2143" s="173">
        <v>45386</v>
      </c>
      <c r="AC2143" s="119">
        <v>2024306</v>
      </c>
      <c r="AD2143" s="36">
        <f t="shared" si="246"/>
        <v>36508924</v>
      </c>
      <c r="AE2143" s="36" t="str">
        <f t="shared" si="247"/>
        <v>TK.KWVE20-B-A-L-0038-WW1</v>
      </c>
      <c r="AF2143" s="36">
        <v>125</v>
      </c>
      <c r="AG2143" s="120">
        <f t="shared" si="244"/>
        <v>715</v>
      </c>
      <c r="AH2143" s="36"/>
      <c r="AI2143" s="124"/>
      <c r="AJ2143" s="122" t="s">
        <v>1276</v>
      </c>
      <c r="AK2143" s="129" t="str">
        <f t="shared" ca="1" si="243"/>
        <v>On Time</v>
      </c>
      <c r="AL2143" s="268" t="str">
        <f t="shared" si="242"/>
        <v>April</v>
      </c>
      <c r="AM2143" s="133">
        <f>YEAR(Table1[[#This Row],[ETA
As requested
dd.mm.yyyy]])</f>
        <v>2024</v>
      </c>
    </row>
    <row r="2144" spans="1:40" hidden="1">
      <c r="A2144" s="123" t="s">
        <v>83</v>
      </c>
      <c r="B2144" s="36" t="s">
        <v>1170</v>
      </c>
      <c r="C2144" s="117">
        <v>36508929</v>
      </c>
      <c r="D2144" s="165">
        <v>45378</v>
      </c>
      <c r="E2144" s="117" t="s">
        <v>100</v>
      </c>
      <c r="F2144" s="36" t="str">
        <f>IFERROR(VLOOKUP(Table1[[#This Row],[Part Number]],DATABASE_FG!$C$6:D12133,2,FALSE)," ")</f>
        <v>054830877-8011</v>
      </c>
      <c r="G2144" s="117" t="str">
        <f>IFERROR(_xlfn.XLOOKUP(Table1[[#This Row],[Part Number]],Table3[Part number],Table3[Drawing
 Revision]),"")</f>
        <v>AA</v>
      </c>
      <c r="H2144" s="118" cm="1">
        <f t="array" ref="H2144">IFERROR(INDEX(PDB!$C:$AT,MATCH(E2144,PDB!$B:$B,0),MATCH(YEAR(K2144),0+PDB!$C$1:$AT$1,0)),"")</f>
        <v>5.72</v>
      </c>
      <c r="I2144" s="36">
        <v>225</v>
      </c>
      <c r="J2144" s="125">
        <f>IFERROR(Table1[[#This Row],[Quantity]]*Table1[[#This Row],[Price/Unit
EUR]]," ")</f>
        <v>1287</v>
      </c>
      <c r="K2144" s="126">
        <v>45391</v>
      </c>
      <c r="L2144" s="36">
        <f>WEEKNUM(Table1[[#This Row],[ETA
As requested
dd.mm.yyyy]])</f>
        <v>15</v>
      </c>
      <c r="M2144" s="36">
        <f>YEAR(Table1[[#This Row],[ETA
As requested
dd.mm.yyyy]])</f>
        <v>2024</v>
      </c>
      <c r="N2144" s="36">
        <f>IFERROR(INDEX(DATABASE_FG!$H$5:$H$367, MATCH(E2144, DATABASE_FG!$C$5:$C$367, 0)), " ")</f>
        <v>0</v>
      </c>
      <c r="O2144" s="129" t="str">
        <f>IF(E2144&lt;&gt;"", _xlfn.XLOOKUP(E2144, DATABASE_FG!C:C, DATABASE_FG!F:F), " ")</f>
        <v>Ghidaje</v>
      </c>
      <c r="P2144" s="36">
        <f>IFERROR(INDEX(DATABASE_FG!$G$5:$G$367, MATCH(E2144, DATABASE_FG!$C$5:$C$367, 0)), "Not Found")</f>
        <v>0</v>
      </c>
      <c r="Q2144" s="36"/>
      <c r="R2144" s="125" t="s">
        <v>678</v>
      </c>
      <c r="S2144" s="123">
        <f>IFERROR(INDEX(DATABASE_FG!$L$5:$L$367, MATCH(E2144, DATABASE_FG!$C$5:$C$367, 0)), " ")</f>
        <v>42</v>
      </c>
      <c r="T2144" s="36" t="s">
        <v>679</v>
      </c>
      <c r="U2144" s="36"/>
      <c r="V2144" s="36"/>
      <c r="W2144" s="129"/>
      <c r="X2144" s="36"/>
      <c r="Y2144" s="36"/>
      <c r="Z2144" s="36" t="s">
        <v>1291</v>
      </c>
      <c r="AA2144" s="125" t="s">
        <v>121</v>
      </c>
      <c r="AB2144" s="173">
        <v>45386</v>
      </c>
      <c r="AC2144" s="119">
        <v>2024308</v>
      </c>
      <c r="AD2144" s="36">
        <f t="shared" si="246"/>
        <v>36508929</v>
      </c>
      <c r="AE2144" s="36" t="str">
        <f t="shared" si="247"/>
        <v>TK.KWVE20-B-A-L-0038-WW1</v>
      </c>
      <c r="AF2144" s="36">
        <v>70</v>
      </c>
      <c r="AG2144" s="120">
        <f t="shared" si="244"/>
        <v>400.4</v>
      </c>
      <c r="AH2144" s="36"/>
      <c r="AI2144" s="124"/>
      <c r="AJ2144" s="122" t="s">
        <v>1292</v>
      </c>
      <c r="AK2144" s="129" t="str">
        <f t="shared" ca="1" si="243"/>
        <v>On Time</v>
      </c>
      <c r="AL2144" s="268" t="str">
        <f t="shared" si="242"/>
        <v>April</v>
      </c>
      <c r="AM2144" s="133">
        <f>YEAR(Table1[[#This Row],[ETA
As requested
dd.mm.yyyy]])</f>
        <v>2024</v>
      </c>
    </row>
    <row r="2145" spans="1:39" hidden="1">
      <c r="A2145" s="123" t="s">
        <v>83</v>
      </c>
      <c r="B2145" s="36" t="s">
        <v>1170</v>
      </c>
      <c r="C2145" s="117">
        <v>36508929</v>
      </c>
      <c r="D2145" s="165">
        <v>45378</v>
      </c>
      <c r="E2145" s="117" t="s">
        <v>100</v>
      </c>
      <c r="F2145" s="36" t="str">
        <f>IFERROR(VLOOKUP(Table1[[#This Row],[Part Number]],DATABASE_FG!$C$6:D12134,2,FALSE)," ")</f>
        <v>054830877-8011</v>
      </c>
      <c r="G2145" s="117" t="str">
        <f>IFERROR(_xlfn.XLOOKUP(Table1[[#This Row],[Part Number]],Table3[Part number],Table3[Drawing
 Revision]),"")</f>
        <v>AA</v>
      </c>
      <c r="H2145" s="118" cm="1">
        <f t="array" ref="H2145">IFERROR(INDEX(PDB!$C:$AT,MATCH(E2145,PDB!$B:$B,0),MATCH(YEAR(K2145),0+PDB!$C$1:$AT$1,0)),"")</f>
        <v>5.72</v>
      </c>
      <c r="I2145" s="36"/>
      <c r="J2145" s="125">
        <f>IFERROR(Table1[[#This Row],[Quantity]]*Table1[[#This Row],[Price/Unit
EUR]]," ")</f>
        <v>0</v>
      </c>
      <c r="K2145" s="126">
        <v>45391</v>
      </c>
      <c r="L2145" s="36">
        <f>WEEKNUM(Table1[[#This Row],[ETA
As requested
dd.mm.yyyy]])</f>
        <v>15</v>
      </c>
      <c r="M2145" s="36">
        <f>YEAR(Table1[[#This Row],[ETA
As requested
dd.mm.yyyy]])</f>
        <v>2024</v>
      </c>
      <c r="N2145" s="36">
        <f>IFERROR(INDEX(DATABASE_FG!$H$5:$H$367, MATCH(E2145, DATABASE_FG!$C$5:$C$367, 0)), " ")</f>
        <v>0</v>
      </c>
      <c r="O2145" s="129" t="str">
        <f>IF(E2145&lt;&gt;"", _xlfn.XLOOKUP(E2145, DATABASE_FG!C:C, DATABASE_FG!F:F), " ")</f>
        <v>Ghidaje</v>
      </c>
      <c r="P2145" s="36">
        <f>IFERROR(INDEX(DATABASE_FG!$G$5:$G$367, MATCH(E2145, DATABASE_FG!$C$5:$C$367, 0)), "Not Found")</f>
        <v>0</v>
      </c>
      <c r="Q2145" s="36"/>
      <c r="R2145" s="125" t="s">
        <v>678</v>
      </c>
      <c r="S2145" s="123">
        <f>IFERROR(INDEX(DATABASE_FG!$L$5:$L$367, MATCH(E2145, DATABASE_FG!$C$5:$C$367, 0)), " ")</f>
        <v>42</v>
      </c>
      <c r="T2145" s="36"/>
      <c r="U2145" s="36"/>
      <c r="V2145" s="36"/>
      <c r="W2145" s="129"/>
      <c r="X2145" s="36"/>
      <c r="Y2145" s="36"/>
      <c r="Z2145" s="36"/>
      <c r="AA2145" s="125" t="s">
        <v>121</v>
      </c>
      <c r="AB2145" s="173">
        <v>45391</v>
      </c>
      <c r="AC2145" s="119">
        <v>2024323</v>
      </c>
      <c r="AD2145" s="36">
        <f t="shared" si="246"/>
        <v>36508929</v>
      </c>
      <c r="AE2145" s="36" t="str">
        <f t="shared" si="247"/>
        <v>TK.KWVE20-B-A-L-0038-WW1</v>
      </c>
      <c r="AF2145" s="36">
        <v>134</v>
      </c>
      <c r="AG2145" s="120">
        <f t="shared" si="244"/>
        <v>766.48</v>
      </c>
      <c r="AH2145" s="36"/>
      <c r="AI2145" s="124"/>
      <c r="AJ2145" s="122"/>
      <c r="AK2145" s="129" t="str">
        <f t="shared" ca="1" si="243"/>
        <v>On Time</v>
      </c>
      <c r="AL2145" s="268" t="str">
        <f t="shared" si="242"/>
        <v>April</v>
      </c>
      <c r="AM2145" s="133">
        <f>YEAR(Table1[[#This Row],[ETA
As requested
dd.mm.yyyy]])</f>
        <v>2024</v>
      </c>
    </row>
    <row r="2146" spans="1:39" hidden="1">
      <c r="A2146" s="123" t="s">
        <v>83</v>
      </c>
      <c r="B2146" s="36" t="s">
        <v>1170</v>
      </c>
      <c r="C2146" s="117">
        <v>36508929</v>
      </c>
      <c r="D2146" s="165">
        <v>45378</v>
      </c>
      <c r="E2146" s="117" t="s">
        <v>100</v>
      </c>
      <c r="F2146" s="36" t="str">
        <f>IFERROR(VLOOKUP(Table1[[#This Row],[Part Number]],DATABASE_FG!$C$6:D12135,2,FALSE)," ")</f>
        <v>054830877-8011</v>
      </c>
      <c r="G2146" s="117" t="str">
        <f>IFERROR(_xlfn.XLOOKUP(Table1[[#This Row],[Part Number]],Table3[Part number],Table3[Drawing
 Revision]),"")</f>
        <v>AA</v>
      </c>
      <c r="H2146" s="118" cm="1">
        <f t="array" ref="H2146">IFERROR(INDEX(PDB!$C:$AT,MATCH(E2146,PDB!$B:$B,0),MATCH(YEAR(K2146),0+PDB!$C$1:$AT$1,0)),"")</f>
        <v>5.72</v>
      </c>
      <c r="I2146" s="36"/>
      <c r="J2146" s="125">
        <f>IFERROR(Table1[[#This Row],[Quantity]]*Table1[[#This Row],[Price/Unit
EUR]]," ")</f>
        <v>0</v>
      </c>
      <c r="K2146" s="126">
        <v>45391</v>
      </c>
      <c r="L2146" s="36">
        <f>WEEKNUM(Table1[[#This Row],[ETA
As requested
dd.mm.yyyy]])</f>
        <v>15</v>
      </c>
      <c r="M2146" s="36">
        <f>YEAR(Table1[[#This Row],[ETA
As requested
dd.mm.yyyy]])</f>
        <v>2024</v>
      </c>
      <c r="N2146" s="36">
        <f>IFERROR(INDEX(DATABASE_FG!$H$5:$H$367, MATCH(E2146, DATABASE_FG!$C$5:$C$367, 0)), " ")</f>
        <v>0</v>
      </c>
      <c r="O2146" s="129" t="str">
        <f>IF(E2146&lt;&gt;"", _xlfn.XLOOKUP(E2146, DATABASE_FG!C:C, DATABASE_FG!F:F), " ")</f>
        <v>Ghidaje</v>
      </c>
      <c r="P2146" s="36">
        <f>IFERROR(INDEX(DATABASE_FG!$G$5:$G$367, MATCH(E2146, DATABASE_FG!$C$5:$C$367, 0)), "Not Found")</f>
        <v>0</v>
      </c>
      <c r="Q2146" s="36"/>
      <c r="R2146" s="125" t="s">
        <v>678</v>
      </c>
      <c r="S2146" s="123">
        <f>IFERROR(INDEX(DATABASE_FG!$L$5:$L$367, MATCH(E2146, DATABASE_FG!$C$5:$C$367, 0)), " ")</f>
        <v>42</v>
      </c>
      <c r="T2146" s="36"/>
      <c r="U2146" s="36"/>
      <c r="V2146" s="36"/>
      <c r="W2146" s="129"/>
      <c r="X2146" s="36"/>
      <c r="Y2146" s="36"/>
      <c r="Z2146" s="36"/>
      <c r="AA2146" s="125" t="s">
        <v>121</v>
      </c>
      <c r="AB2146" s="173">
        <v>45393</v>
      </c>
      <c r="AC2146" s="119">
        <v>2024334</v>
      </c>
      <c r="AD2146" s="36">
        <f t="shared" si="246"/>
        <v>36508929</v>
      </c>
      <c r="AE2146" s="36" t="str">
        <f t="shared" si="247"/>
        <v>TK.KWVE20-B-A-L-0038-WW1</v>
      </c>
      <c r="AF2146" s="36">
        <v>21</v>
      </c>
      <c r="AG2146" s="120">
        <f t="shared" si="244"/>
        <v>120.11999999999999</v>
      </c>
      <c r="AH2146" s="36"/>
      <c r="AI2146" s="124"/>
      <c r="AJ2146" s="122" t="s">
        <v>1299</v>
      </c>
      <c r="AK2146" s="129" t="str">
        <f t="shared" ca="1" si="243"/>
        <v>On Time</v>
      </c>
      <c r="AL2146" s="268" t="str">
        <f t="shared" si="242"/>
        <v>April</v>
      </c>
      <c r="AM2146" s="133">
        <f>YEAR(Table1[[#This Row],[ETA
As requested
dd.mm.yyyy]])</f>
        <v>2024</v>
      </c>
    </row>
    <row r="2147" spans="1:39" hidden="1">
      <c r="A2147" s="123" t="s">
        <v>83</v>
      </c>
      <c r="B2147" s="36" t="s">
        <v>1170</v>
      </c>
      <c r="C2147" s="117">
        <v>36508932</v>
      </c>
      <c r="D2147" s="165">
        <v>45378</v>
      </c>
      <c r="E2147" s="117" t="s">
        <v>100</v>
      </c>
      <c r="F2147" s="36" t="str">
        <f>IFERROR(VLOOKUP(Table1[[#This Row],[Part Number]],DATABASE_FG!$C$6:D12136,2,FALSE)," ")</f>
        <v>054830877-8011</v>
      </c>
      <c r="G2147" s="117" t="str">
        <f>IFERROR(_xlfn.XLOOKUP(Table1[[#This Row],[Part Number]],Table3[Part number],Table3[Drawing
 Revision]),"")</f>
        <v>AA</v>
      </c>
      <c r="H2147" s="118" cm="1">
        <f t="array" ref="H2147">IFERROR(INDEX(PDB!$C:$AT,MATCH(E2147,PDB!$B:$B,0),MATCH(YEAR(K2147),0+PDB!$C$1:$AT$1,0)),"")</f>
        <v>5.72</v>
      </c>
      <c r="I2147" s="36">
        <v>225</v>
      </c>
      <c r="J2147" s="125">
        <f>IFERROR(Table1[[#This Row],[Quantity]]*Table1[[#This Row],[Price/Unit
EUR]]," ")</f>
        <v>1287</v>
      </c>
      <c r="K2147" s="126">
        <v>45393</v>
      </c>
      <c r="L2147" s="36">
        <f>WEEKNUM(Table1[[#This Row],[ETA
As requested
dd.mm.yyyy]])</f>
        <v>15</v>
      </c>
      <c r="M2147" s="36">
        <f>YEAR(Table1[[#This Row],[ETA
As requested
dd.mm.yyyy]])</f>
        <v>2024</v>
      </c>
      <c r="N2147" s="36">
        <f>IFERROR(INDEX(DATABASE_FG!$H$5:$H$367, MATCH(E2147, DATABASE_FG!$C$5:$C$367, 0)), " ")</f>
        <v>0</v>
      </c>
      <c r="O2147" s="129" t="str">
        <f>IF(E2147&lt;&gt;"", _xlfn.XLOOKUP(E2147, DATABASE_FG!C:C, DATABASE_FG!F:F), " ")</f>
        <v>Ghidaje</v>
      </c>
      <c r="P2147" s="36">
        <f>IFERROR(INDEX(DATABASE_FG!$G$5:$G$367, MATCH(E2147, DATABASE_FG!$C$5:$C$367, 0)), "Not Found")</f>
        <v>0</v>
      </c>
      <c r="Q2147" s="36"/>
      <c r="R2147" s="125" t="s">
        <v>678</v>
      </c>
      <c r="S2147" s="123">
        <f>IFERROR(INDEX(DATABASE_FG!$L$5:$L$367, MATCH(E2147, DATABASE_FG!$C$5:$C$367, 0)), " ")</f>
        <v>42</v>
      </c>
      <c r="T2147" s="36" t="s">
        <v>679</v>
      </c>
      <c r="U2147" s="36"/>
      <c r="V2147" s="36"/>
      <c r="W2147" s="129"/>
      <c r="X2147" s="36"/>
      <c r="Y2147" s="36"/>
      <c r="Z2147" s="36" t="s">
        <v>1309</v>
      </c>
      <c r="AA2147" s="125" t="s">
        <v>121</v>
      </c>
      <c r="AB2147" s="173">
        <v>45393</v>
      </c>
      <c r="AC2147" s="119">
        <v>2024335</v>
      </c>
      <c r="AD2147" s="36">
        <f t="shared" si="246"/>
        <v>36508932</v>
      </c>
      <c r="AE2147" s="36" t="str">
        <f t="shared" si="247"/>
        <v>TK.KWVE20-B-A-L-0038-WW1</v>
      </c>
      <c r="AF2147" s="36">
        <v>136</v>
      </c>
      <c r="AG2147" s="120">
        <f t="shared" si="244"/>
        <v>777.92</v>
      </c>
      <c r="AH2147" s="36"/>
      <c r="AI2147" s="124"/>
      <c r="AJ2147" s="122" t="s">
        <v>1310</v>
      </c>
      <c r="AK2147" s="129" t="str">
        <f t="shared" ca="1" si="243"/>
        <v>On Time</v>
      </c>
      <c r="AL2147" s="268" t="str">
        <f t="shared" si="242"/>
        <v>April</v>
      </c>
      <c r="AM2147" s="133">
        <f>YEAR(Table1[[#This Row],[ETA
As requested
dd.mm.yyyy]])</f>
        <v>2024</v>
      </c>
    </row>
    <row r="2148" spans="1:39" hidden="1">
      <c r="A2148" s="123" t="s">
        <v>83</v>
      </c>
      <c r="B2148" s="36" t="s">
        <v>1170</v>
      </c>
      <c r="C2148" s="117">
        <v>36508932</v>
      </c>
      <c r="D2148" s="165">
        <v>45378</v>
      </c>
      <c r="E2148" s="117" t="s">
        <v>100</v>
      </c>
      <c r="F2148" s="36" t="str">
        <f>IFERROR(VLOOKUP(Table1[[#This Row],[Part Number]],DATABASE_FG!$C$6:D12137,2,FALSE)," ")</f>
        <v>054830877-8011</v>
      </c>
      <c r="G2148" s="117" t="str">
        <f>IFERROR(_xlfn.XLOOKUP(Table1[[#This Row],[Part Number]],Table3[Part number],Table3[Drawing
 Revision]),"")</f>
        <v>AA</v>
      </c>
      <c r="H2148" s="118" cm="1">
        <f t="array" ref="H2148">IFERROR(INDEX(PDB!$C:$AT,MATCH(E2148,PDB!$B:$B,0),MATCH(YEAR(K2148),0+PDB!$C$1:$AT$1,0)),"")</f>
        <v>5.72</v>
      </c>
      <c r="I2148" s="36"/>
      <c r="J2148" s="125">
        <f>IFERROR(Table1[[#This Row],[Quantity]]*Table1[[#This Row],[Price/Unit
EUR]]," ")</f>
        <v>0</v>
      </c>
      <c r="K2148" s="126">
        <v>45393</v>
      </c>
      <c r="L2148" s="36">
        <f>WEEKNUM(Table1[[#This Row],[ETA
As requested
dd.mm.yyyy]])</f>
        <v>15</v>
      </c>
      <c r="M2148" s="36">
        <f>YEAR(Table1[[#This Row],[ETA
As requested
dd.mm.yyyy]])</f>
        <v>2024</v>
      </c>
      <c r="N2148" s="36">
        <f>IFERROR(INDEX(DATABASE_FG!$H$5:$H$367, MATCH(E2148, DATABASE_FG!$C$5:$C$367, 0)), " ")</f>
        <v>0</v>
      </c>
      <c r="O2148" s="129" t="str">
        <f>IF(E2148&lt;&gt;"", _xlfn.XLOOKUP(E2148, DATABASE_FG!C:C, DATABASE_FG!F:F), " ")</f>
        <v>Ghidaje</v>
      </c>
      <c r="P2148" s="36">
        <f>IFERROR(INDEX(DATABASE_FG!$G$5:$G$367, MATCH(E2148, DATABASE_FG!$C$5:$C$367, 0)), "Not Found")</f>
        <v>0</v>
      </c>
      <c r="Q2148" s="36"/>
      <c r="R2148" s="125" t="s">
        <v>678</v>
      </c>
      <c r="S2148" s="123">
        <f>IFERROR(INDEX(DATABASE_FG!$L$5:$L$367, MATCH(E2148, DATABASE_FG!$C$5:$C$367, 0)), " ")</f>
        <v>42</v>
      </c>
      <c r="T2148" s="36"/>
      <c r="U2148" s="36"/>
      <c r="V2148" s="36"/>
      <c r="W2148" s="129"/>
      <c r="X2148" s="36"/>
      <c r="Y2148" s="36"/>
      <c r="Z2148" s="36"/>
      <c r="AA2148" s="125" t="s">
        <v>121</v>
      </c>
      <c r="AB2148" s="173">
        <v>45394</v>
      </c>
      <c r="AC2148" s="119">
        <v>2024342</v>
      </c>
      <c r="AD2148" s="36">
        <f t="shared" si="246"/>
        <v>36508932</v>
      </c>
      <c r="AE2148" s="36" t="str">
        <f t="shared" si="247"/>
        <v>TK.KWVE20-B-A-L-0038-WW1</v>
      </c>
      <c r="AF2148" s="36">
        <v>89</v>
      </c>
      <c r="AG2148" s="120">
        <f t="shared" si="244"/>
        <v>509.08</v>
      </c>
      <c r="AH2148" s="36"/>
      <c r="AI2148" s="124"/>
      <c r="AJ2148" s="122" t="s">
        <v>1311</v>
      </c>
      <c r="AK2148" s="129" t="str">
        <f t="shared" ca="1" si="243"/>
        <v>On Time</v>
      </c>
      <c r="AL2148" s="268" t="str">
        <f t="shared" si="242"/>
        <v>April</v>
      </c>
      <c r="AM2148" s="133">
        <f>YEAR(Table1[[#This Row],[ETA
As requested
dd.mm.yyyy]])</f>
        <v>2024</v>
      </c>
    </row>
    <row r="2149" spans="1:39" hidden="1">
      <c r="A2149" s="123" t="s">
        <v>83</v>
      </c>
      <c r="B2149" s="36" t="s">
        <v>1170</v>
      </c>
      <c r="C2149" s="117">
        <v>36508932</v>
      </c>
      <c r="D2149" s="165">
        <v>45378</v>
      </c>
      <c r="E2149" s="117" t="s">
        <v>100</v>
      </c>
      <c r="F2149" s="36" t="str">
        <f>IFERROR(VLOOKUP(Table1[[#This Row],[Part Number]],DATABASE_FG!$C$6:D12138,2,FALSE)," ")</f>
        <v>054830877-8011</v>
      </c>
      <c r="G2149" s="117" t="str">
        <f>IFERROR(_xlfn.XLOOKUP(Table1[[#This Row],[Part Number]],Table3[Part number],Table3[Drawing
 Revision]),"")</f>
        <v>AA</v>
      </c>
      <c r="H2149" s="118" cm="1">
        <f t="array" ref="H2149">IFERROR(INDEX(PDB!$C:$AT,MATCH(E2149,PDB!$B:$B,0),MATCH(YEAR(K2149),0+PDB!$C$1:$AT$1,0)),"")</f>
        <v>5.72</v>
      </c>
      <c r="I2149" s="36"/>
      <c r="J2149" s="125">
        <f>IFERROR(Table1[[#This Row],[Quantity]]*Table1[[#This Row],[Price/Unit
EUR]]," ")</f>
        <v>0</v>
      </c>
      <c r="K2149" s="126">
        <v>45393</v>
      </c>
      <c r="L2149" s="36">
        <f>WEEKNUM(Table1[[#This Row],[ETA
As requested
dd.mm.yyyy]])</f>
        <v>15</v>
      </c>
      <c r="M2149" s="36">
        <f>YEAR(Table1[[#This Row],[ETA
As requested
dd.mm.yyyy]])</f>
        <v>2024</v>
      </c>
      <c r="N2149" s="36">
        <f>IFERROR(INDEX(DATABASE_FG!$H$5:$H$367, MATCH(E2149, DATABASE_FG!$C$5:$C$367, 0)), " ")</f>
        <v>0</v>
      </c>
      <c r="O2149" s="129" t="str">
        <f>IF(E2149&lt;&gt;"", _xlfn.XLOOKUP(E2149, DATABASE_FG!C:C, DATABASE_FG!F:F), " ")</f>
        <v>Ghidaje</v>
      </c>
      <c r="P2149" s="36">
        <f>IFERROR(INDEX(DATABASE_FG!$G$5:$G$367, MATCH(E2149, DATABASE_FG!$C$5:$C$367, 0)), "Not Found")</f>
        <v>0</v>
      </c>
      <c r="Q2149" s="36"/>
      <c r="R2149" s="125" t="s">
        <v>678</v>
      </c>
      <c r="S2149" s="123">
        <f>IFERROR(INDEX(DATABASE_FG!$L$5:$L$367, MATCH(E2149, DATABASE_FG!$C$5:$C$367, 0)), " ")</f>
        <v>42</v>
      </c>
      <c r="T2149" s="36"/>
      <c r="U2149" s="36"/>
      <c r="V2149" s="36"/>
      <c r="W2149" s="129"/>
      <c r="X2149" s="36"/>
      <c r="Y2149" s="36"/>
      <c r="Z2149" s="36"/>
      <c r="AA2149" s="125" t="s">
        <v>121</v>
      </c>
      <c r="AB2149" s="173">
        <v>45407</v>
      </c>
      <c r="AC2149" s="119">
        <v>2024407</v>
      </c>
      <c r="AD2149" s="36">
        <f t="shared" si="246"/>
        <v>36508932</v>
      </c>
      <c r="AE2149" s="36" t="str">
        <f t="shared" si="247"/>
        <v>TK.KWVE20-B-A-L-0038-WW1</v>
      </c>
      <c r="AF2149" s="36">
        <v>25</v>
      </c>
      <c r="AG2149" s="120">
        <f t="shared" si="244"/>
        <v>143</v>
      </c>
      <c r="AH2149" s="36"/>
      <c r="AI2149" s="124"/>
      <c r="AJ2149" s="122" t="s">
        <v>1312</v>
      </c>
      <c r="AK2149" s="129" t="str">
        <f t="shared" ca="1" si="243"/>
        <v>Late</v>
      </c>
      <c r="AL2149" s="268" t="str">
        <f t="shared" si="242"/>
        <v>April</v>
      </c>
      <c r="AM2149" s="133">
        <f>YEAR(Table1[[#This Row],[ETA
As requested
dd.mm.yyyy]])</f>
        <v>2024</v>
      </c>
    </row>
    <row r="2150" spans="1:39" hidden="1">
      <c r="A2150" s="123" t="s">
        <v>83</v>
      </c>
      <c r="B2150" s="36" t="s">
        <v>1170</v>
      </c>
      <c r="C2150" s="117">
        <v>36508943</v>
      </c>
      <c r="D2150" s="165">
        <v>45378</v>
      </c>
      <c r="E2150" s="117" t="s">
        <v>100</v>
      </c>
      <c r="F2150" s="36" t="str">
        <f>IFERROR(VLOOKUP(Table1[[#This Row],[Part Number]],DATABASE_FG!$C$6:D12139,2,FALSE)," ")</f>
        <v>054830877-8011</v>
      </c>
      <c r="G2150" s="117" t="str">
        <f>IFERROR(_xlfn.XLOOKUP(Table1[[#This Row],[Part Number]],Table3[Part number],Table3[Drawing
 Revision]),"")</f>
        <v>AA</v>
      </c>
      <c r="H2150" s="118" cm="1">
        <f t="array" ref="H2150">IFERROR(INDEX(PDB!$C:$AT,MATCH(E2150,PDB!$B:$B,0),MATCH(YEAR(K2150),0+PDB!$C$1:$AT$1,0)),"")</f>
        <v>5.72</v>
      </c>
      <c r="I2150" s="36">
        <v>225</v>
      </c>
      <c r="J2150" s="125">
        <f>IFERROR(Table1[[#This Row],[Quantity]]*Table1[[#This Row],[Price/Unit
EUR]]," ")</f>
        <v>1287</v>
      </c>
      <c r="K2150" s="126">
        <v>45398</v>
      </c>
      <c r="L2150" s="36">
        <f>WEEKNUM(Table1[[#This Row],[ETA
As requested
dd.mm.yyyy]])</f>
        <v>16</v>
      </c>
      <c r="M2150" s="36">
        <f>YEAR(Table1[[#This Row],[ETA
As requested
dd.mm.yyyy]])</f>
        <v>2024</v>
      </c>
      <c r="N2150" s="36">
        <f>IFERROR(INDEX(DATABASE_FG!$H$5:$H$367, MATCH(E2150, DATABASE_FG!$C$5:$C$367, 0)), " ")</f>
        <v>0</v>
      </c>
      <c r="O2150" s="129" t="str">
        <f>IF(E2150&lt;&gt;"", _xlfn.XLOOKUP(E2150, DATABASE_FG!C:C, DATABASE_FG!F:F), " ")</f>
        <v>Ghidaje</v>
      </c>
      <c r="P2150" s="36">
        <f>IFERROR(INDEX(DATABASE_FG!$G$5:$G$367, MATCH(E2150, DATABASE_FG!$C$5:$C$367, 0)), "Not Found")</f>
        <v>0</v>
      </c>
      <c r="Q2150" s="36"/>
      <c r="R2150" s="125" t="s">
        <v>678</v>
      </c>
      <c r="S2150" s="123">
        <f>IFERROR(INDEX(DATABASE_FG!$L$5:$L$367, MATCH(E2150, DATABASE_FG!$C$5:$C$367, 0)), " ")</f>
        <v>42</v>
      </c>
      <c r="T2150" s="36" t="s">
        <v>679</v>
      </c>
      <c r="U2150" s="36"/>
      <c r="V2150" s="36"/>
      <c r="W2150" s="129"/>
      <c r="X2150" s="36"/>
      <c r="Y2150" s="36"/>
      <c r="Z2150" s="36" t="s">
        <v>1355</v>
      </c>
      <c r="AA2150" s="125" t="s">
        <v>121</v>
      </c>
      <c r="AB2150" s="173">
        <v>45394</v>
      </c>
      <c r="AC2150" s="119">
        <v>2024343</v>
      </c>
      <c r="AD2150" s="36">
        <f t="shared" si="246"/>
        <v>36508943</v>
      </c>
      <c r="AE2150" s="36" t="str">
        <f t="shared" si="247"/>
        <v>TK.KWVE20-B-A-L-0038-WW1</v>
      </c>
      <c r="AF2150" s="36">
        <v>23</v>
      </c>
      <c r="AG2150" s="120">
        <f t="shared" si="244"/>
        <v>131.56</v>
      </c>
      <c r="AH2150" s="36"/>
      <c r="AI2150" s="124"/>
      <c r="AJ2150" s="122" t="s">
        <v>1356</v>
      </c>
      <c r="AK2150" s="129" t="str">
        <f t="shared" ca="1" si="243"/>
        <v>On Time</v>
      </c>
      <c r="AL2150" s="268" t="str">
        <f t="shared" si="242"/>
        <v>April</v>
      </c>
      <c r="AM2150" s="133">
        <f>YEAR(Table1[[#This Row],[ETA
As requested
dd.mm.yyyy]])</f>
        <v>2024</v>
      </c>
    </row>
    <row r="2151" spans="1:39" hidden="1">
      <c r="A2151" s="123" t="s">
        <v>83</v>
      </c>
      <c r="B2151" s="36" t="s">
        <v>1170</v>
      </c>
      <c r="C2151" s="117">
        <v>36508943</v>
      </c>
      <c r="D2151" s="165">
        <v>45378</v>
      </c>
      <c r="E2151" s="117" t="s">
        <v>100</v>
      </c>
      <c r="F2151" s="36" t="str">
        <f>IFERROR(VLOOKUP(Table1[[#This Row],[Part Number]],DATABASE_FG!$C$6:D12140,2,FALSE)," ")</f>
        <v>054830877-8011</v>
      </c>
      <c r="G2151" s="117" t="str">
        <f>IFERROR(_xlfn.XLOOKUP(Table1[[#This Row],[Part Number]],Table3[Part number],Table3[Drawing
 Revision]),"")</f>
        <v>AA</v>
      </c>
      <c r="H2151" s="118" cm="1">
        <f t="array" ref="H2151">IFERROR(INDEX(PDB!$C:$AT,MATCH(E2151,PDB!$B:$B,0),MATCH(YEAR(K2151),0+PDB!$C$1:$AT$1,0)),"")</f>
        <v>5.72</v>
      </c>
      <c r="I2151" s="36"/>
      <c r="J2151" s="125">
        <f>IFERROR(Table1[[#This Row],[Quantity]]*Table1[[#This Row],[Price/Unit
EUR]]," ")</f>
        <v>0</v>
      </c>
      <c r="K2151" s="126">
        <v>45399</v>
      </c>
      <c r="L2151" s="36">
        <f>WEEKNUM(Table1[[#This Row],[ETA
As requested
dd.mm.yyyy]])</f>
        <v>16</v>
      </c>
      <c r="M2151" s="36">
        <f>YEAR(Table1[[#This Row],[ETA
As requested
dd.mm.yyyy]])</f>
        <v>2024</v>
      </c>
      <c r="N2151" s="36">
        <f>IFERROR(INDEX(DATABASE_FG!$H$5:$H$367, MATCH(E2151, DATABASE_FG!$C$5:$C$367, 0)), " ")</f>
        <v>0</v>
      </c>
      <c r="O2151" s="129" t="str">
        <f>IF(E2151&lt;&gt;"", _xlfn.XLOOKUP(E2151, DATABASE_FG!C:C, DATABASE_FG!F:F), " ")</f>
        <v>Ghidaje</v>
      </c>
      <c r="P2151" s="36">
        <f>IFERROR(INDEX(DATABASE_FG!$G$5:$G$367, MATCH(E2151, DATABASE_FG!$C$5:$C$367, 0)), "Not Found")</f>
        <v>0</v>
      </c>
      <c r="Q2151" s="36"/>
      <c r="R2151" s="125" t="s">
        <v>678</v>
      </c>
      <c r="S2151" s="123">
        <f>IFERROR(INDEX(DATABASE_FG!$L$5:$L$367, MATCH(E2151, DATABASE_FG!$C$5:$C$367, 0)), " ")</f>
        <v>42</v>
      </c>
      <c r="T2151" s="36"/>
      <c r="U2151" s="36"/>
      <c r="V2151" s="36"/>
      <c r="W2151" s="129"/>
      <c r="X2151" s="36"/>
      <c r="Y2151" s="36"/>
      <c r="Z2151" s="36"/>
      <c r="AA2151" s="125" t="s">
        <v>121</v>
      </c>
      <c r="AB2151" s="173">
        <v>45398</v>
      </c>
      <c r="AC2151" s="119">
        <v>2024364</v>
      </c>
      <c r="AD2151" s="36">
        <f t="shared" si="246"/>
        <v>36508943</v>
      </c>
      <c r="AE2151" s="36" t="str">
        <f t="shared" si="247"/>
        <v>TK.KWVE20-B-A-L-0038-WW1</v>
      </c>
      <c r="AF2151" s="36">
        <v>202</v>
      </c>
      <c r="AG2151" s="120">
        <f t="shared" si="244"/>
        <v>1155.44</v>
      </c>
      <c r="AH2151" s="36"/>
      <c r="AI2151" s="124"/>
      <c r="AJ2151" s="122" t="s">
        <v>1360</v>
      </c>
      <c r="AK2151" s="129" t="str">
        <f t="shared" ca="1" si="243"/>
        <v>On Time</v>
      </c>
      <c r="AL2151" s="268" t="str">
        <f t="shared" si="242"/>
        <v>April</v>
      </c>
      <c r="AM2151" s="133">
        <f>YEAR(Table1[[#This Row],[ETA
As requested
dd.mm.yyyy]])</f>
        <v>2024</v>
      </c>
    </row>
    <row r="2152" spans="1:39" hidden="1">
      <c r="A2152" s="123" t="s">
        <v>83</v>
      </c>
      <c r="B2152" s="36" t="s">
        <v>1170</v>
      </c>
      <c r="C2152" s="117">
        <v>36508936</v>
      </c>
      <c r="D2152" s="165">
        <v>45378</v>
      </c>
      <c r="E2152" s="117" t="s">
        <v>100</v>
      </c>
      <c r="F2152" s="36" t="str">
        <f>IFERROR(VLOOKUP(Table1[[#This Row],[Part Number]],DATABASE_FG!$C$6:D12141,2,FALSE)," ")</f>
        <v>054830877-8011</v>
      </c>
      <c r="G2152" s="117" t="str">
        <f>IFERROR(_xlfn.XLOOKUP(Table1[[#This Row],[Part Number]],Table3[Part number],Table3[Drawing
 Revision]),"")</f>
        <v>AA</v>
      </c>
      <c r="H2152" s="118" cm="1">
        <f t="array" ref="H2152">IFERROR(INDEX(PDB!$C:$AT,MATCH(E2152,PDB!$B:$B,0),MATCH(YEAR(K2152),0+PDB!$C$1:$AT$1,0)),"")</f>
        <v>5.72</v>
      </c>
      <c r="I2152" s="36">
        <v>250</v>
      </c>
      <c r="J2152" s="125">
        <f>IFERROR(Table1[[#This Row],[Quantity]]*Table1[[#This Row],[Price/Unit
EUR]]," ")</f>
        <v>1430</v>
      </c>
      <c r="K2152" s="126">
        <v>45400</v>
      </c>
      <c r="L2152" s="36">
        <f>WEEKNUM(Table1[[#This Row],[ETA
As requested
dd.mm.yyyy]])</f>
        <v>16</v>
      </c>
      <c r="M2152" s="36">
        <f>YEAR(Table1[[#This Row],[ETA
As requested
dd.mm.yyyy]])</f>
        <v>2024</v>
      </c>
      <c r="N2152" s="36">
        <f>IFERROR(INDEX(DATABASE_FG!$H$5:$H$367, MATCH(E2152, DATABASE_FG!$C$5:$C$367, 0)), " ")</f>
        <v>0</v>
      </c>
      <c r="O2152" s="129" t="str">
        <f>IF(E2152&lt;&gt;"", _xlfn.XLOOKUP(E2152, DATABASE_FG!C:C, DATABASE_FG!F:F), " ")</f>
        <v>Ghidaje</v>
      </c>
      <c r="P2152" s="129">
        <f>IFERROR(INDEX(DATABASE_FG!$G$5:$G$367, MATCH(E2152, DATABASE_FG!$C$5:$C$367, 0)), "Not Found")</f>
        <v>0</v>
      </c>
      <c r="Q2152" s="36"/>
      <c r="R2152" s="125" t="s">
        <v>678</v>
      </c>
      <c r="S2152" s="123">
        <f>IFERROR(INDEX(DATABASE_FG!$L$5:$L$367, MATCH(E2152, DATABASE_FG!$C$5:$C$367, 0)), " ")</f>
        <v>42</v>
      </c>
      <c r="T2152" s="36" t="s">
        <v>679</v>
      </c>
      <c r="U2152" s="36"/>
      <c r="V2152" s="36"/>
      <c r="W2152" s="129"/>
      <c r="X2152" s="36"/>
      <c r="Y2152" s="36"/>
      <c r="Z2152" s="36" t="s">
        <v>1361</v>
      </c>
      <c r="AA2152" s="125" t="s">
        <v>121</v>
      </c>
      <c r="AB2152" s="173">
        <v>45398</v>
      </c>
      <c r="AC2152" s="119">
        <v>2024365</v>
      </c>
      <c r="AD2152" s="36">
        <f t="shared" si="246"/>
        <v>36508936</v>
      </c>
      <c r="AE2152" s="36" t="str">
        <f t="shared" si="247"/>
        <v>TK.KWVE20-B-A-L-0038-WW1</v>
      </c>
      <c r="AF2152" s="36">
        <v>45</v>
      </c>
      <c r="AG2152" s="120">
        <f t="shared" si="244"/>
        <v>257.39999999999998</v>
      </c>
      <c r="AH2152" s="36"/>
      <c r="AI2152" s="124"/>
      <c r="AJ2152" s="122" t="s">
        <v>1362</v>
      </c>
      <c r="AK2152" s="129" t="str">
        <f t="shared" ca="1" si="243"/>
        <v>On Time</v>
      </c>
      <c r="AL2152" s="268" t="str">
        <f t="shared" si="242"/>
        <v>April</v>
      </c>
      <c r="AM2152" s="133">
        <f>YEAR(Table1[[#This Row],[ETA
As requested
dd.mm.yyyy]])</f>
        <v>2024</v>
      </c>
    </row>
    <row r="2153" spans="1:39" hidden="1">
      <c r="A2153" s="123" t="s">
        <v>83</v>
      </c>
      <c r="B2153" s="36" t="s">
        <v>1170</v>
      </c>
      <c r="C2153" s="117">
        <v>36508936</v>
      </c>
      <c r="D2153" s="165">
        <v>45378</v>
      </c>
      <c r="E2153" s="117" t="s">
        <v>100</v>
      </c>
      <c r="F2153" s="36" t="str">
        <f>IFERROR(VLOOKUP(Table1[[#This Row],[Part Number]],DATABASE_FG!$C$6:D12142,2,FALSE)," ")</f>
        <v>054830877-8011</v>
      </c>
      <c r="G2153" s="117" t="str">
        <f>IFERROR(_xlfn.XLOOKUP(Table1[[#This Row],[Part Number]],Table3[Part number],Table3[Drawing
 Revision]),"")</f>
        <v>AA</v>
      </c>
      <c r="H2153" s="118" cm="1">
        <f t="array" ref="H2153">IFERROR(INDEX(PDB!$C:$AT,MATCH(E2153,PDB!$B:$B,0),MATCH(YEAR(K2153),0+PDB!$C$1:$AT$1,0)),"")</f>
        <v>5.72</v>
      </c>
      <c r="I2153" s="36"/>
      <c r="J2153" s="125">
        <f>IFERROR(Table1[[#This Row],[Quantity]]*Table1[[#This Row],[Price/Unit
EUR]]," ")</f>
        <v>0</v>
      </c>
      <c r="K2153" s="126">
        <v>45400</v>
      </c>
      <c r="L2153" s="36">
        <f>WEEKNUM(Table1[[#This Row],[ETA
As requested
dd.mm.yyyy]])</f>
        <v>16</v>
      </c>
      <c r="M2153" s="36">
        <f>YEAR(Table1[[#This Row],[ETA
As requested
dd.mm.yyyy]])</f>
        <v>2024</v>
      </c>
      <c r="N2153" s="36">
        <f>IFERROR(INDEX(DATABASE_FG!$H$5:$H$367, MATCH(E2153, DATABASE_FG!$C$5:$C$367, 0)), " ")</f>
        <v>0</v>
      </c>
      <c r="O2153" s="129" t="str">
        <f>IF(E2153&lt;&gt;"", _xlfn.XLOOKUP(E2153, DATABASE_FG!C:C, DATABASE_FG!F:F), " ")</f>
        <v>Ghidaje</v>
      </c>
      <c r="P2153" s="129">
        <f>IFERROR(INDEX(DATABASE_FG!$G$5:$G$367, MATCH(E2153, DATABASE_FG!$C$5:$C$367, 0)), "Not Found")</f>
        <v>0</v>
      </c>
      <c r="Q2153" s="36"/>
      <c r="R2153" s="125" t="s">
        <v>678</v>
      </c>
      <c r="S2153" s="123">
        <f>IFERROR(INDEX(DATABASE_FG!$L$5:$L$367, MATCH(E2153, DATABASE_FG!$C$5:$C$367, 0)), " ")</f>
        <v>42</v>
      </c>
      <c r="T2153" s="36"/>
      <c r="U2153" s="36"/>
      <c r="V2153" s="36"/>
      <c r="W2153" s="129"/>
      <c r="X2153" s="36"/>
      <c r="Y2153" s="36"/>
      <c r="Z2153" s="36"/>
      <c r="AA2153" s="125" t="s">
        <v>121</v>
      </c>
      <c r="AB2153" s="173">
        <v>45400</v>
      </c>
      <c r="AC2153" s="119">
        <v>2024376</v>
      </c>
      <c r="AD2153" s="36">
        <f t="shared" si="246"/>
        <v>36508936</v>
      </c>
      <c r="AE2153" s="36" t="str">
        <f t="shared" si="247"/>
        <v>TK.KWVE20-B-A-L-0038-WW1</v>
      </c>
      <c r="AF2153" s="36">
        <v>48</v>
      </c>
      <c r="AG2153" s="120">
        <f t="shared" si="244"/>
        <v>274.56</v>
      </c>
      <c r="AH2153" s="36"/>
      <c r="AI2153" s="124"/>
      <c r="AJ2153" s="122" t="s">
        <v>1365</v>
      </c>
      <c r="AK2153" s="129" t="str">
        <f t="shared" ca="1" si="243"/>
        <v>On Time</v>
      </c>
      <c r="AL2153" s="268" t="str">
        <f t="shared" si="242"/>
        <v>April</v>
      </c>
      <c r="AM2153" s="133">
        <f>YEAR(Table1[[#This Row],[ETA
As requested
dd.mm.yyyy]])</f>
        <v>2024</v>
      </c>
    </row>
    <row r="2154" spans="1:39" hidden="1">
      <c r="A2154" s="123" t="s">
        <v>83</v>
      </c>
      <c r="B2154" s="36" t="s">
        <v>1170</v>
      </c>
      <c r="C2154" s="117">
        <v>36508936</v>
      </c>
      <c r="D2154" s="165">
        <v>45378</v>
      </c>
      <c r="E2154" s="117" t="s">
        <v>100</v>
      </c>
      <c r="F2154" s="36" t="str">
        <f>IFERROR(VLOOKUP(Table1[[#This Row],[Part Number]],DATABASE_FG!$C$6:D12143,2,FALSE)," ")</f>
        <v>054830877-8011</v>
      </c>
      <c r="G2154" s="117" t="str">
        <f>IFERROR(_xlfn.XLOOKUP(Table1[[#This Row],[Part Number]],Table3[Part number],Table3[Drawing
 Revision]),"")</f>
        <v>AA</v>
      </c>
      <c r="H2154" s="118" cm="1">
        <f t="array" ref="H2154">IFERROR(INDEX(PDB!$C:$AT,MATCH(E2154,PDB!$B:$B,0),MATCH(YEAR(K2154),0+PDB!$C$1:$AT$1,0)),"")</f>
        <v>5.72</v>
      </c>
      <c r="I2154" s="36"/>
      <c r="J2154" s="125">
        <f>IFERROR(Table1[[#This Row],[Quantity]]*Table1[[#This Row],[Price/Unit
EUR]]," ")</f>
        <v>0</v>
      </c>
      <c r="K2154" s="126">
        <v>45400</v>
      </c>
      <c r="L2154" s="36">
        <f>WEEKNUM(Table1[[#This Row],[ETA
As requested
dd.mm.yyyy]])</f>
        <v>16</v>
      </c>
      <c r="M2154" s="36">
        <f>YEAR(Table1[[#This Row],[ETA
As requested
dd.mm.yyyy]])</f>
        <v>2024</v>
      </c>
      <c r="N2154" s="36">
        <f>IFERROR(INDEX(DATABASE_FG!$H$5:$H$367, MATCH(E2154, DATABASE_FG!$C$5:$C$367, 0)), " ")</f>
        <v>0</v>
      </c>
      <c r="O2154" s="129" t="str">
        <f>IF(E2154&lt;&gt;"", _xlfn.XLOOKUP(E2154, DATABASE_FG!C:C, DATABASE_FG!F:F), " ")</f>
        <v>Ghidaje</v>
      </c>
      <c r="P2154" s="129">
        <f>IFERROR(INDEX(DATABASE_FG!$G$5:$G$367, MATCH(E2154, DATABASE_FG!$C$5:$C$367, 0)), "Not Found")</f>
        <v>0</v>
      </c>
      <c r="Q2154" s="36"/>
      <c r="R2154" s="125" t="s">
        <v>678</v>
      </c>
      <c r="S2154" s="123">
        <f>IFERROR(INDEX(DATABASE_FG!$L$5:$L$367, MATCH(E2154, DATABASE_FG!$C$5:$C$367, 0)), " ")</f>
        <v>42</v>
      </c>
      <c r="T2154" s="36"/>
      <c r="U2154" s="36"/>
      <c r="V2154" s="36"/>
      <c r="W2154" s="129"/>
      <c r="X2154" s="36"/>
      <c r="Y2154" s="36"/>
      <c r="Z2154" s="36"/>
      <c r="AA2154" s="125" t="s">
        <v>121</v>
      </c>
      <c r="AB2154" s="173">
        <v>45400</v>
      </c>
      <c r="AC2154" s="119">
        <v>2024378</v>
      </c>
      <c r="AD2154" s="36">
        <f t="shared" si="246"/>
        <v>36508936</v>
      </c>
      <c r="AE2154" s="36" t="str">
        <f t="shared" si="247"/>
        <v>TK.KWVE20-B-A-L-0038-WW1</v>
      </c>
      <c r="AF2154" s="36">
        <v>96</v>
      </c>
      <c r="AG2154" s="120">
        <f t="shared" si="244"/>
        <v>549.12</v>
      </c>
      <c r="AH2154" s="36"/>
      <c r="AI2154" s="124"/>
      <c r="AJ2154" s="122" t="s">
        <v>1366</v>
      </c>
      <c r="AK2154" s="129" t="str">
        <f t="shared" ca="1" si="243"/>
        <v>On Time</v>
      </c>
      <c r="AL2154" s="268" t="str">
        <f t="shared" si="242"/>
        <v>April</v>
      </c>
      <c r="AM2154" s="133">
        <f>YEAR(Table1[[#This Row],[ETA
As requested
dd.mm.yyyy]])</f>
        <v>2024</v>
      </c>
    </row>
    <row r="2155" spans="1:39" hidden="1">
      <c r="A2155" s="123" t="s">
        <v>83</v>
      </c>
      <c r="B2155" s="36" t="s">
        <v>1170</v>
      </c>
      <c r="C2155" s="117">
        <v>36508936</v>
      </c>
      <c r="D2155" s="165">
        <v>45378</v>
      </c>
      <c r="E2155" s="117" t="s">
        <v>100</v>
      </c>
      <c r="F2155" s="36" t="str">
        <f>IFERROR(VLOOKUP(Table1[[#This Row],[Part Number]],DATABASE_FG!$C$6:D12144,2,FALSE)," ")</f>
        <v>054830877-8011</v>
      </c>
      <c r="G2155" s="117" t="str">
        <f>IFERROR(_xlfn.XLOOKUP(Table1[[#This Row],[Part Number]],Table3[Part number],Table3[Drawing
 Revision]),"")</f>
        <v>AA</v>
      </c>
      <c r="H2155" s="118" cm="1">
        <f t="array" ref="H2155">IFERROR(INDEX(PDB!$C:$AT,MATCH(E2155,PDB!$B:$B,0),MATCH(YEAR(K2155),0+PDB!$C$1:$AT$1,0)),"")</f>
        <v>5.72</v>
      </c>
      <c r="I2155" s="36"/>
      <c r="J2155" s="125">
        <f>IFERROR(Table1[[#This Row],[Quantity]]*Table1[[#This Row],[Price/Unit
EUR]]," ")</f>
        <v>0</v>
      </c>
      <c r="K2155" s="126">
        <v>45400</v>
      </c>
      <c r="L2155" s="36">
        <f>WEEKNUM(Table1[[#This Row],[ETA
As requested
dd.mm.yyyy]])</f>
        <v>16</v>
      </c>
      <c r="M2155" s="36">
        <f>YEAR(Table1[[#This Row],[ETA
As requested
dd.mm.yyyy]])</f>
        <v>2024</v>
      </c>
      <c r="N2155" s="36">
        <f>IFERROR(INDEX(DATABASE_FG!$H$5:$H$367, MATCH(E2155, DATABASE_FG!$C$5:$C$367, 0)), " ")</f>
        <v>0</v>
      </c>
      <c r="O2155" s="129" t="str">
        <f>IF(E2155&lt;&gt;"", _xlfn.XLOOKUP(E2155, DATABASE_FG!C:C, DATABASE_FG!F:F), " ")</f>
        <v>Ghidaje</v>
      </c>
      <c r="P2155" s="129">
        <f>IFERROR(INDEX(DATABASE_FG!$G$5:$G$367, MATCH(E2155, DATABASE_FG!$C$5:$C$367, 0)), "Not Found")</f>
        <v>0</v>
      </c>
      <c r="Q2155" s="36"/>
      <c r="R2155" s="125" t="s">
        <v>678</v>
      </c>
      <c r="S2155" s="123">
        <f>IFERROR(INDEX(DATABASE_FG!$L$5:$L$367, MATCH(E2155, DATABASE_FG!$C$5:$C$367, 0)), " ")</f>
        <v>42</v>
      </c>
      <c r="T2155" s="36"/>
      <c r="U2155" s="36"/>
      <c r="V2155" s="36"/>
      <c r="W2155" s="129"/>
      <c r="X2155" s="36"/>
      <c r="Y2155" s="36"/>
      <c r="Z2155" s="36"/>
      <c r="AA2155" s="125" t="s">
        <v>121</v>
      </c>
      <c r="AB2155" s="173">
        <v>45401</v>
      </c>
      <c r="AC2155" s="119">
        <v>2024383</v>
      </c>
      <c r="AD2155" s="36">
        <f t="shared" si="246"/>
        <v>36508936</v>
      </c>
      <c r="AE2155" s="36" t="str">
        <f t="shared" si="247"/>
        <v>TK.KWVE20-B-A-L-0038-WW1</v>
      </c>
      <c r="AF2155" s="36">
        <v>61</v>
      </c>
      <c r="AG2155" s="120">
        <f t="shared" si="244"/>
        <v>348.91999999999996</v>
      </c>
      <c r="AH2155" s="36"/>
      <c r="AI2155" s="124"/>
      <c r="AJ2155" s="122" t="s">
        <v>1367</v>
      </c>
      <c r="AK2155" s="129" t="str">
        <f t="shared" ca="1" si="243"/>
        <v>On Time</v>
      </c>
      <c r="AL2155" s="268" t="str">
        <f t="shared" si="242"/>
        <v>April</v>
      </c>
      <c r="AM2155" s="133">
        <f>YEAR(Table1[[#This Row],[ETA
As requested
dd.mm.yyyy]])</f>
        <v>2024</v>
      </c>
    </row>
    <row r="2156" spans="1:39" hidden="1">
      <c r="A2156" s="123" t="s">
        <v>83</v>
      </c>
      <c r="B2156" s="36" t="s">
        <v>1170</v>
      </c>
      <c r="C2156" s="117">
        <v>36508951</v>
      </c>
      <c r="D2156" s="165">
        <v>45373</v>
      </c>
      <c r="E2156" s="117" t="s">
        <v>100</v>
      </c>
      <c r="F2156" s="36" t="str">
        <f>IFERROR(VLOOKUP(Table1[[#This Row],[Part Number]],DATABASE_FG!$C$6:D12145,2,FALSE)," ")</f>
        <v>054830877-8011</v>
      </c>
      <c r="G2156" s="117" t="str">
        <f>IFERROR(_xlfn.XLOOKUP(Table1[[#This Row],[Part Number]],Table3[Part number],Table3[Drawing
 Revision]),"")</f>
        <v>AA</v>
      </c>
      <c r="H2156" s="118" cm="1">
        <f t="array" ref="H2156">IFERROR(INDEX(PDB!$C:$AT,MATCH(E2156,PDB!$B:$B,0),MATCH(YEAR(K2156),0+PDB!$C$1:$AT$1,0)),"")</f>
        <v>5.72</v>
      </c>
      <c r="I2156" s="36">
        <v>325</v>
      </c>
      <c r="J2156" s="125">
        <f>IFERROR(Table1[[#This Row],[Quantity]]*Table1[[#This Row],[Price/Unit
EUR]]," ")</f>
        <v>1859</v>
      </c>
      <c r="K2156" s="126">
        <v>45405</v>
      </c>
      <c r="L2156" s="36">
        <f>WEEKNUM(Table1[[#This Row],[ETA
As requested
dd.mm.yyyy]])</f>
        <v>17</v>
      </c>
      <c r="M2156" s="36">
        <f>YEAR(Table1[[#This Row],[ETA
As requested
dd.mm.yyyy]])</f>
        <v>2024</v>
      </c>
      <c r="N2156" s="36">
        <f>IFERROR(INDEX(DATABASE_FG!$H$5:$H$367, MATCH(E2156, DATABASE_FG!$C$5:$C$367, 0)), " ")</f>
        <v>0</v>
      </c>
      <c r="O2156" s="129" t="str">
        <f>IF(E2156&lt;&gt;"", _xlfn.XLOOKUP(E2156, DATABASE_FG!C:C, DATABASE_FG!F:F), " ")</f>
        <v>Ghidaje</v>
      </c>
      <c r="P2156" s="129">
        <f>IFERROR(INDEX(DATABASE_FG!$G$5:$G$367, MATCH(E2156, DATABASE_FG!$C$5:$C$367, 0)), "Not Found")</f>
        <v>0</v>
      </c>
      <c r="Q2156" s="36"/>
      <c r="R2156" s="125" t="s">
        <v>678</v>
      </c>
      <c r="S2156" s="123">
        <f>IFERROR(INDEX(DATABASE_FG!$L$5:$L$367, MATCH(E2156, DATABASE_FG!$C$5:$C$367, 0)), " ")</f>
        <v>42</v>
      </c>
      <c r="T2156" s="36" t="s">
        <v>3</v>
      </c>
      <c r="U2156" s="36"/>
      <c r="V2156" s="36"/>
      <c r="W2156" s="129"/>
      <c r="X2156" s="36"/>
      <c r="Y2156" s="36"/>
      <c r="Z2156" s="36" t="s">
        <v>1393</v>
      </c>
      <c r="AA2156" s="125" t="s">
        <v>121</v>
      </c>
      <c r="AB2156" s="173">
        <v>45401</v>
      </c>
      <c r="AC2156" s="119">
        <v>2024384</v>
      </c>
      <c r="AD2156" s="36">
        <f t="shared" si="246"/>
        <v>36508951</v>
      </c>
      <c r="AE2156" s="36" t="str">
        <f t="shared" si="247"/>
        <v>TK.KWVE20-B-A-L-0038-WW1</v>
      </c>
      <c r="AF2156" s="36">
        <v>56</v>
      </c>
      <c r="AG2156" s="120">
        <f t="shared" si="244"/>
        <v>320.32</v>
      </c>
      <c r="AH2156" s="36"/>
      <c r="AI2156" s="124"/>
      <c r="AJ2156" s="122" t="s">
        <v>1394</v>
      </c>
      <c r="AK2156" s="129" t="str">
        <f t="shared" ca="1" si="243"/>
        <v>On Time</v>
      </c>
      <c r="AL2156" s="268" t="str">
        <f t="shared" si="242"/>
        <v>April</v>
      </c>
      <c r="AM2156" s="133">
        <f>YEAR(Table1[[#This Row],[ETA
As requested
dd.mm.yyyy]])</f>
        <v>2024</v>
      </c>
    </row>
    <row r="2157" spans="1:39" hidden="1">
      <c r="A2157" s="123" t="s">
        <v>83</v>
      </c>
      <c r="B2157" s="36" t="s">
        <v>1170</v>
      </c>
      <c r="C2157" s="117">
        <v>36508951</v>
      </c>
      <c r="D2157" s="165">
        <v>45373</v>
      </c>
      <c r="E2157" s="117" t="s">
        <v>100</v>
      </c>
      <c r="F2157" s="36" t="str">
        <f>IFERROR(VLOOKUP(Table1[[#This Row],[Part Number]],DATABASE_FG!$C$6:D12146,2,FALSE)," ")</f>
        <v>054830877-8011</v>
      </c>
      <c r="G2157" s="117" t="str">
        <f>IFERROR(_xlfn.XLOOKUP(Table1[[#This Row],[Part Number]],Table3[Part number],Table3[Drawing
 Revision]),"")</f>
        <v>AA</v>
      </c>
      <c r="H2157" s="118" cm="1">
        <f t="array" ref="H2157">IFERROR(INDEX(PDB!$C:$AT,MATCH(E2157,PDB!$B:$B,0),MATCH(YEAR(K2157),0+PDB!$C$1:$AT$1,0)),"")</f>
        <v>5.72</v>
      </c>
      <c r="I2157" s="36"/>
      <c r="J2157" s="125">
        <f>IFERROR(Table1[[#This Row],[Quantity]]*Table1[[#This Row],[Price/Unit
EUR]]," ")</f>
        <v>0</v>
      </c>
      <c r="K2157" s="126">
        <v>45405</v>
      </c>
      <c r="L2157" s="36">
        <f>WEEKNUM(Table1[[#This Row],[ETA
As requested
dd.mm.yyyy]])</f>
        <v>17</v>
      </c>
      <c r="M2157" s="36">
        <f>YEAR(Table1[[#This Row],[ETA
As requested
dd.mm.yyyy]])</f>
        <v>2024</v>
      </c>
      <c r="N2157" s="36">
        <f>IFERROR(INDEX(DATABASE_FG!$H$5:$H$367, MATCH(E2157, DATABASE_FG!$C$5:$C$367, 0)), " ")</f>
        <v>0</v>
      </c>
      <c r="O2157" s="129" t="str">
        <f>IF(E2157&lt;&gt;"", _xlfn.XLOOKUP(E2157, DATABASE_FG!C:C, DATABASE_FG!F:F), " ")</f>
        <v>Ghidaje</v>
      </c>
      <c r="P2157" s="129">
        <f>IFERROR(INDEX(DATABASE_FG!$G$5:$G$367, MATCH(E2157, DATABASE_FG!$C$5:$C$367, 0)), "Not Found")</f>
        <v>0</v>
      </c>
      <c r="Q2157" s="36"/>
      <c r="R2157" s="125" t="s">
        <v>678</v>
      </c>
      <c r="S2157" s="123">
        <f>IFERROR(INDEX(DATABASE_FG!$L$5:$L$367, MATCH(E2157, DATABASE_FG!$C$5:$C$367, 0)), " ")</f>
        <v>42</v>
      </c>
      <c r="T2157" s="36"/>
      <c r="U2157" s="36"/>
      <c r="V2157" s="36"/>
      <c r="W2157" s="129"/>
      <c r="X2157" s="36"/>
      <c r="Y2157" s="36"/>
      <c r="Z2157" s="36"/>
      <c r="AA2157" s="125" t="s">
        <v>121</v>
      </c>
      <c r="AB2157" s="173">
        <v>45405</v>
      </c>
      <c r="AC2157" s="119">
        <v>2024391</v>
      </c>
      <c r="AD2157" s="36">
        <f t="shared" si="246"/>
        <v>36508951</v>
      </c>
      <c r="AE2157" s="36" t="str">
        <f t="shared" si="247"/>
        <v>TK.KWVE20-B-A-L-0038-WW1</v>
      </c>
      <c r="AF2157" s="36">
        <v>269</v>
      </c>
      <c r="AG2157" s="120">
        <f t="shared" si="244"/>
        <v>1538.6799999999998</v>
      </c>
      <c r="AH2157" s="36"/>
      <c r="AI2157" s="124"/>
      <c r="AJ2157" s="122" t="s">
        <v>1397</v>
      </c>
      <c r="AK2157" s="129" t="str">
        <f t="shared" ca="1" si="243"/>
        <v>On Time</v>
      </c>
      <c r="AL2157" s="268" t="str">
        <f t="shared" si="242"/>
        <v>April</v>
      </c>
      <c r="AM2157" s="133">
        <f>YEAR(Table1[[#This Row],[ETA
As requested
dd.mm.yyyy]])</f>
        <v>2024</v>
      </c>
    </row>
    <row r="2158" spans="1:39" hidden="1">
      <c r="A2158" s="123" t="s">
        <v>83</v>
      </c>
      <c r="B2158" s="36" t="s">
        <v>1170</v>
      </c>
      <c r="C2158" s="117">
        <v>36635770</v>
      </c>
      <c r="D2158" s="165">
        <v>45400</v>
      </c>
      <c r="E2158" s="117" t="s">
        <v>100</v>
      </c>
      <c r="F2158" s="36" t="str">
        <f>IFERROR(VLOOKUP(Table1[[#This Row],[Part Number]],DATABASE_FG!$C$6:D12147,2,FALSE)," ")</f>
        <v>054830877-8011</v>
      </c>
      <c r="G2158" s="117" t="str">
        <f>IFERROR(_xlfn.XLOOKUP(Table1[[#This Row],[Part Number]],Table3[Part number],Table3[Drawing
 Revision]),"")</f>
        <v>AA</v>
      </c>
      <c r="H2158" s="118" cm="1">
        <f t="array" ref="H2158">IFERROR(INDEX(PDB!$C:$AT,MATCH(E2158,PDB!$B:$B,0),MATCH(YEAR(K2158),0+PDB!$C$1:$AT$1,0)),"")</f>
        <v>5.72</v>
      </c>
      <c r="I2158" s="36">
        <v>200</v>
      </c>
      <c r="J2158" s="125">
        <f>IFERROR(Table1[[#This Row],[Quantity]]*Table1[[#This Row],[Price/Unit
EUR]]," ")</f>
        <v>1144</v>
      </c>
      <c r="K2158" s="126">
        <v>45419</v>
      </c>
      <c r="L2158" s="36">
        <f>WEEKNUM(Table1[[#This Row],[ETA
As requested
dd.mm.yyyy]])</f>
        <v>19</v>
      </c>
      <c r="M2158" s="36">
        <f>YEAR(Table1[[#This Row],[ETA
As requested
dd.mm.yyyy]])</f>
        <v>2024</v>
      </c>
      <c r="N2158" s="36">
        <f>IFERROR(INDEX(DATABASE_FG!$H$5:$H$367, MATCH(E2158, DATABASE_FG!$C$5:$C$367, 0)), " ")</f>
        <v>0</v>
      </c>
      <c r="O2158" s="129" t="str">
        <f>IF(E2158&lt;&gt;"", _xlfn.XLOOKUP(E2158, DATABASE_FG!C:C, DATABASE_FG!F:F), " ")</f>
        <v>Ghidaje</v>
      </c>
      <c r="P2158" s="129">
        <f>IFERROR(INDEX(DATABASE_FG!$G$5:$G$367, MATCH(E2158, DATABASE_FG!$C$5:$C$367, 0)), "Not Found")</f>
        <v>0</v>
      </c>
      <c r="Q2158" s="36"/>
      <c r="R2158" s="125" t="s">
        <v>678</v>
      </c>
      <c r="S2158" s="123">
        <f>IFERROR(INDEX(DATABASE_FG!$L$5:$L$367, MATCH(E2158, DATABASE_FG!$C$5:$C$367, 0)), " ")</f>
        <v>42</v>
      </c>
      <c r="T2158" s="36" t="s">
        <v>679</v>
      </c>
      <c r="U2158" s="36"/>
      <c r="V2158" s="36"/>
      <c r="W2158" s="129"/>
      <c r="X2158" s="36"/>
      <c r="Y2158" s="36"/>
      <c r="Z2158" s="36" t="s">
        <v>1450</v>
      </c>
      <c r="AA2158" s="125" t="s">
        <v>121</v>
      </c>
      <c r="AB2158" s="173">
        <v>45419</v>
      </c>
      <c r="AC2158" s="119">
        <v>2024432</v>
      </c>
      <c r="AD2158" s="36">
        <f t="shared" si="246"/>
        <v>36635770</v>
      </c>
      <c r="AE2158" s="36" t="str">
        <f t="shared" si="247"/>
        <v>TK.KWVE20-B-A-L-0038-WW1</v>
      </c>
      <c r="AF2158" s="36">
        <v>200</v>
      </c>
      <c r="AG2158" s="120">
        <f t="shared" si="244"/>
        <v>1144</v>
      </c>
      <c r="AH2158" s="36"/>
      <c r="AI2158" s="124"/>
      <c r="AJ2158" s="122" t="s">
        <v>1451</v>
      </c>
      <c r="AK2158" s="129" t="str">
        <f t="shared" ca="1" si="243"/>
        <v>On Time</v>
      </c>
      <c r="AL2158" s="268" t="str">
        <f t="shared" si="242"/>
        <v>May</v>
      </c>
      <c r="AM2158" s="133">
        <f>YEAR(Table1[[#This Row],[ETA
As requested
dd.mm.yyyy]])</f>
        <v>2024</v>
      </c>
    </row>
    <row r="2159" spans="1:39" hidden="1">
      <c r="A2159" s="123" t="s">
        <v>83</v>
      </c>
      <c r="B2159" s="36" t="s">
        <v>1170</v>
      </c>
      <c r="C2159" s="117">
        <v>36635773</v>
      </c>
      <c r="D2159" s="165">
        <v>45400</v>
      </c>
      <c r="E2159" s="117" t="s">
        <v>100</v>
      </c>
      <c r="F2159" s="36" t="str">
        <f>IFERROR(VLOOKUP(Table1[[#This Row],[Part Number]],DATABASE_FG!$C$6:D12148,2,FALSE)," ")</f>
        <v>054830877-8011</v>
      </c>
      <c r="G2159" s="117" t="str">
        <f>IFERROR(_xlfn.XLOOKUP(Table1[[#This Row],[Part Number]],Table3[Part number],Table3[Drawing
 Revision]),"")</f>
        <v>AA</v>
      </c>
      <c r="H2159" s="118" cm="1">
        <f t="array" ref="H2159">IFERROR(INDEX(PDB!$C:$AT,MATCH(E2159,PDB!$B:$B,0),MATCH(YEAR(K2159),0+PDB!$C$1:$AT$1,0)),"")</f>
        <v>5.72</v>
      </c>
      <c r="I2159" s="36">
        <v>200</v>
      </c>
      <c r="J2159" s="125">
        <f>IFERROR(Table1[[#This Row],[Quantity]]*Table1[[#This Row],[Price/Unit
EUR]]," ")</f>
        <v>1144</v>
      </c>
      <c r="K2159" s="126">
        <v>45421</v>
      </c>
      <c r="L2159" s="36">
        <f>WEEKNUM(Table1[[#This Row],[ETA
As requested
dd.mm.yyyy]])</f>
        <v>19</v>
      </c>
      <c r="M2159" s="36">
        <f>YEAR(Table1[[#This Row],[ETA
As requested
dd.mm.yyyy]])</f>
        <v>2024</v>
      </c>
      <c r="N2159" s="36">
        <f>IFERROR(INDEX(DATABASE_FG!$H$5:$H$367, MATCH(E2159, DATABASE_FG!$C$5:$C$367, 0)), " ")</f>
        <v>0</v>
      </c>
      <c r="O2159" s="129" t="str">
        <f>IF(E2159&lt;&gt;"", _xlfn.XLOOKUP(E2159, DATABASE_FG!C:C, DATABASE_FG!F:F), " ")</f>
        <v>Ghidaje</v>
      </c>
      <c r="P2159" s="129">
        <f>IFERROR(INDEX(DATABASE_FG!$G$5:$G$367, MATCH(E2159, DATABASE_FG!$C$5:$C$367, 0)), "Not Found")</f>
        <v>0</v>
      </c>
      <c r="Q2159" s="36"/>
      <c r="R2159" s="125" t="s">
        <v>678</v>
      </c>
      <c r="S2159" s="123">
        <f>IFERROR(INDEX(DATABASE_FG!$L$5:$L$367, MATCH(E2159, DATABASE_FG!$C$5:$C$367, 0)), " ")</f>
        <v>42</v>
      </c>
      <c r="T2159" s="36" t="s">
        <v>679</v>
      </c>
      <c r="U2159" s="36"/>
      <c r="V2159" s="36"/>
      <c r="W2159" s="129"/>
      <c r="X2159" s="36"/>
      <c r="Y2159" s="36"/>
      <c r="Z2159" s="36">
        <v>241803</v>
      </c>
      <c r="AA2159" s="125" t="s">
        <v>121</v>
      </c>
      <c r="AB2159" s="173">
        <v>45421</v>
      </c>
      <c r="AC2159" s="119">
        <v>2024449</v>
      </c>
      <c r="AD2159" s="36">
        <f t="shared" si="246"/>
        <v>36635773</v>
      </c>
      <c r="AE2159" s="36" t="str">
        <f t="shared" si="247"/>
        <v>TK.KWVE20-B-A-L-0038-WW1</v>
      </c>
      <c r="AF2159" s="36">
        <v>200</v>
      </c>
      <c r="AG2159" s="120">
        <f t="shared" si="244"/>
        <v>1144</v>
      </c>
      <c r="AH2159" s="36"/>
      <c r="AI2159" s="124"/>
      <c r="AJ2159" s="122" t="s">
        <v>1487</v>
      </c>
      <c r="AK2159" s="129" t="str">
        <f t="shared" ca="1" si="243"/>
        <v>On Time</v>
      </c>
      <c r="AL2159" s="268" t="str">
        <f t="shared" si="242"/>
        <v>May</v>
      </c>
      <c r="AM2159" s="133">
        <f>YEAR(Table1[[#This Row],[ETA
As requested
dd.mm.yyyy]])</f>
        <v>2024</v>
      </c>
    </row>
    <row r="2160" spans="1:39" hidden="1">
      <c r="A2160" s="123" t="s">
        <v>83</v>
      </c>
      <c r="B2160" s="36" t="s">
        <v>1170</v>
      </c>
      <c r="C2160" s="117">
        <v>36635780</v>
      </c>
      <c r="D2160" s="165">
        <v>45400</v>
      </c>
      <c r="E2160" s="117" t="s">
        <v>100</v>
      </c>
      <c r="F2160" s="36" t="str">
        <f>IFERROR(VLOOKUP(Table1[[#This Row],[Part Number]],DATABASE_FG!$C$6:D12149,2,FALSE)," ")</f>
        <v>054830877-8011</v>
      </c>
      <c r="G2160" s="117" t="str">
        <f>IFERROR(_xlfn.XLOOKUP(Table1[[#This Row],[Part Number]],Table3[Part number],Table3[Drawing
 Revision]),"")</f>
        <v>AA</v>
      </c>
      <c r="H2160" s="118" cm="1">
        <f t="array" ref="H2160">IFERROR(INDEX(PDB!$C:$AT,MATCH(E2160,PDB!$B:$B,0),MATCH(YEAR(K2160),0+PDB!$C$1:$AT$1,0)),"")</f>
        <v>5.72</v>
      </c>
      <c r="I2160" s="36">
        <v>200</v>
      </c>
      <c r="J2160" s="125">
        <f>IFERROR(Table1[[#This Row],[Quantity]]*Table1[[#This Row],[Price/Unit
EUR]]," ")</f>
        <v>1144</v>
      </c>
      <c r="K2160" s="126">
        <v>45426</v>
      </c>
      <c r="L2160" s="36">
        <f>WEEKNUM(Table1[[#This Row],[ETA
As requested
dd.mm.yyyy]])</f>
        <v>20</v>
      </c>
      <c r="M2160" s="36">
        <f>YEAR(Table1[[#This Row],[ETA
As requested
dd.mm.yyyy]])</f>
        <v>2024</v>
      </c>
      <c r="N2160" s="36">
        <f>IFERROR(INDEX(DATABASE_FG!$H$5:$H$367, MATCH(E2160, DATABASE_FG!$C$5:$C$367, 0)), " ")</f>
        <v>0</v>
      </c>
      <c r="O2160" s="129" t="str">
        <f>IF(E2160&lt;&gt;"", _xlfn.XLOOKUP(E2160, DATABASE_FG!C:C, DATABASE_FG!F:F), " ")</f>
        <v>Ghidaje</v>
      </c>
      <c r="P2160" s="36">
        <f>IFERROR(INDEX(DATABASE_FG!$G$5:$G$367, MATCH(E2160, DATABASE_FG!$C$5:$C$367, 0)), "Not Found")</f>
        <v>0</v>
      </c>
      <c r="Q2160" s="36"/>
      <c r="R2160" s="125" t="s">
        <v>678</v>
      </c>
      <c r="S2160" s="123">
        <f>IFERROR(INDEX(DATABASE_FG!$L$5:$L$367, MATCH(E2160, DATABASE_FG!$C$5:$C$367, 0)), " ")</f>
        <v>42</v>
      </c>
      <c r="T2160" s="36" t="s">
        <v>679</v>
      </c>
      <c r="U2160" s="36"/>
      <c r="V2160" s="36"/>
      <c r="W2160" s="129"/>
      <c r="X2160" s="36"/>
      <c r="Y2160" s="36"/>
      <c r="Z2160" s="36">
        <v>242003</v>
      </c>
      <c r="AA2160" s="125" t="s">
        <v>121</v>
      </c>
      <c r="AB2160" s="173">
        <v>45426</v>
      </c>
      <c r="AC2160" s="119">
        <v>2024478</v>
      </c>
      <c r="AD2160" s="36">
        <f t="shared" si="246"/>
        <v>36635780</v>
      </c>
      <c r="AE2160" s="36" t="str">
        <f t="shared" si="247"/>
        <v>TK.KWVE20-B-A-L-0038-WW1</v>
      </c>
      <c r="AF2160" s="36">
        <v>200</v>
      </c>
      <c r="AG2160" s="120">
        <f t="shared" si="244"/>
        <v>1144</v>
      </c>
      <c r="AH2160" s="36"/>
      <c r="AI2160" s="124"/>
      <c r="AJ2160" s="122" t="s">
        <v>1502</v>
      </c>
      <c r="AK2160" s="129" t="str">
        <f t="shared" ca="1" si="243"/>
        <v>On Time</v>
      </c>
      <c r="AL2160" s="268" t="str">
        <f t="shared" si="242"/>
        <v>May</v>
      </c>
      <c r="AM2160" s="133">
        <f>YEAR(Table1[[#This Row],[ETA
As requested
dd.mm.yyyy]])</f>
        <v>2024</v>
      </c>
    </row>
    <row r="2161" spans="1:39" hidden="1">
      <c r="A2161" s="123" t="s">
        <v>83</v>
      </c>
      <c r="B2161" s="36" t="s">
        <v>1170</v>
      </c>
      <c r="C2161" s="117">
        <v>36635782</v>
      </c>
      <c r="D2161" s="165">
        <v>45400</v>
      </c>
      <c r="E2161" s="117" t="s">
        <v>100</v>
      </c>
      <c r="F2161" s="36" t="str">
        <f>IFERROR(VLOOKUP(Table1[[#This Row],[Part Number]],DATABASE_FG!$C$6:D12150,2,FALSE)," ")</f>
        <v>054830877-8011</v>
      </c>
      <c r="G2161" s="117" t="str">
        <f>IFERROR(_xlfn.XLOOKUP(Table1[[#This Row],[Part Number]],Table3[Part number],Table3[Drawing
 Revision]),"")</f>
        <v>AA</v>
      </c>
      <c r="H2161" s="118" cm="1">
        <f t="array" ref="H2161">IFERROR(INDEX(PDB!$C:$AT,MATCH(E2161,PDB!$B:$B,0),MATCH(YEAR(K2161),0+PDB!$C$1:$AT$1,0)),"")</f>
        <v>5.72</v>
      </c>
      <c r="I2161" s="36">
        <v>200</v>
      </c>
      <c r="J2161" s="125">
        <f>IFERROR(Table1[[#This Row],[Quantity]]*Table1[[#This Row],[Price/Unit
EUR]]," ")</f>
        <v>1144</v>
      </c>
      <c r="K2161" s="126">
        <v>45428</v>
      </c>
      <c r="L2161" s="36">
        <f>WEEKNUM(Table1[[#This Row],[ETA
As requested
dd.mm.yyyy]])</f>
        <v>20</v>
      </c>
      <c r="M2161" s="36">
        <f>YEAR(Table1[[#This Row],[ETA
As requested
dd.mm.yyyy]])</f>
        <v>2024</v>
      </c>
      <c r="N2161" s="36">
        <f>IFERROR(INDEX(DATABASE_FG!$H$5:$H$367, MATCH(E2161, DATABASE_FG!$C$5:$C$367, 0)), " ")</f>
        <v>0</v>
      </c>
      <c r="O2161" s="129" t="str">
        <f>IF(E2161&lt;&gt;"", _xlfn.XLOOKUP(E2161, DATABASE_FG!C:C, DATABASE_FG!F:F), " ")</f>
        <v>Ghidaje</v>
      </c>
      <c r="P2161" s="36">
        <f>IFERROR(INDEX(DATABASE_FG!$G$5:$G$367, MATCH(E2161, DATABASE_FG!$C$5:$C$367, 0)), "Not Found")</f>
        <v>0</v>
      </c>
      <c r="Q2161" s="36"/>
      <c r="R2161" s="125" t="s">
        <v>678</v>
      </c>
      <c r="S2161" s="123">
        <f>IFERROR(INDEX(DATABASE_FG!$L$5:$L$367, MATCH(E2161, DATABASE_FG!$C$5:$C$367, 0)), " ")</f>
        <v>42</v>
      </c>
      <c r="T2161" s="36" t="s">
        <v>679</v>
      </c>
      <c r="U2161" s="36"/>
      <c r="V2161" s="36"/>
      <c r="W2161" s="129"/>
      <c r="X2161" s="36"/>
      <c r="Y2161" s="36"/>
      <c r="Z2161" s="36">
        <v>242003</v>
      </c>
      <c r="AA2161" s="125" t="s">
        <v>121</v>
      </c>
      <c r="AB2161" s="173">
        <v>45426</v>
      </c>
      <c r="AC2161" s="119">
        <v>2024479</v>
      </c>
      <c r="AD2161" s="36">
        <f t="shared" si="246"/>
        <v>36635782</v>
      </c>
      <c r="AE2161" s="36" t="str">
        <f t="shared" si="247"/>
        <v>TK.KWVE20-B-A-L-0038-WW1</v>
      </c>
      <c r="AF2161" s="36">
        <v>125</v>
      </c>
      <c r="AG2161" s="120">
        <f t="shared" si="244"/>
        <v>715</v>
      </c>
      <c r="AH2161" s="36"/>
      <c r="AI2161" s="124"/>
      <c r="AJ2161" s="122" t="s">
        <v>1512</v>
      </c>
      <c r="AK2161" s="129" t="str">
        <f t="shared" ca="1" si="243"/>
        <v>On Time</v>
      </c>
      <c r="AL2161" s="268" t="str">
        <f t="shared" si="242"/>
        <v>May</v>
      </c>
      <c r="AM2161" s="133">
        <f>YEAR(Table1[[#This Row],[ETA
As requested
dd.mm.yyyy]])</f>
        <v>2024</v>
      </c>
    </row>
    <row r="2162" spans="1:39" hidden="1">
      <c r="A2162" s="123" t="s">
        <v>83</v>
      </c>
      <c r="B2162" s="36" t="s">
        <v>1170</v>
      </c>
      <c r="C2162" s="117">
        <v>36635782</v>
      </c>
      <c r="D2162" s="165">
        <v>45400</v>
      </c>
      <c r="E2162" s="117" t="s">
        <v>100</v>
      </c>
      <c r="F2162" s="36" t="str">
        <f>IFERROR(VLOOKUP(Table1[[#This Row],[Part Number]],DATABASE_FG!$C$6:D12151,2,FALSE)," ")</f>
        <v>054830877-8011</v>
      </c>
      <c r="G2162" s="117" t="str">
        <f>IFERROR(_xlfn.XLOOKUP(Table1[[#This Row],[Part Number]],Table3[Part number],Table3[Drawing
 Revision]),"")</f>
        <v>AA</v>
      </c>
      <c r="H2162" s="118" cm="1">
        <f t="array" ref="H2162">IFERROR(INDEX(PDB!$C:$AT,MATCH(E2162,PDB!$B:$B,0),MATCH(YEAR(K2162),0+PDB!$C$1:$AT$1,0)),"")</f>
        <v>5.72</v>
      </c>
      <c r="I2162" s="36"/>
      <c r="J2162" s="125">
        <f>IFERROR(Table1[[#This Row],[Quantity]]*Table1[[#This Row],[Price/Unit
EUR]]," ")</f>
        <v>0</v>
      </c>
      <c r="K2162" s="126">
        <v>45428</v>
      </c>
      <c r="L2162" s="36">
        <f>WEEKNUM(Table1[[#This Row],[ETA
As requested
dd.mm.yyyy]])</f>
        <v>20</v>
      </c>
      <c r="M2162" s="36">
        <f>YEAR(Table1[[#This Row],[ETA
As requested
dd.mm.yyyy]])</f>
        <v>2024</v>
      </c>
      <c r="N2162" s="36">
        <f>IFERROR(INDEX(DATABASE_FG!$H$5:$H$367, MATCH(E2162, DATABASE_FG!$C$5:$C$367, 0)), " ")</f>
        <v>0</v>
      </c>
      <c r="O2162" s="129" t="str">
        <f>IF(E2162&lt;&gt;"", _xlfn.XLOOKUP(E2162, DATABASE_FG!C:C, DATABASE_FG!F:F), " ")</f>
        <v>Ghidaje</v>
      </c>
      <c r="P2162" s="36">
        <f>IFERROR(INDEX(DATABASE_FG!$G$5:$G$367, MATCH(E2162, DATABASE_FG!$C$5:$C$367, 0)), "Not Found")</f>
        <v>0</v>
      </c>
      <c r="Q2162" s="36"/>
      <c r="R2162" s="125" t="s">
        <v>678</v>
      </c>
      <c r="S2162" s="123">
        <f>IFERROR(INDEX(DATABASE_FG!$L$5:$L$367, MATCH(E2162, DATABASE_FG!$C$5:$C$367, 0)), " ")</f>
        <v>42</v>
      </c>
      <c r="T2162" s="36"/>
      <c r="U2162" s="36"/>
      <c r="V2162" s="36"/>
      <c r="W2162" s="129"/>
      <c r="X2162" s="36"/>
      <c r="Y2162" s="36"/>
      <c r="Z2162" s="36"/>
      <c r="AA2162" s="125" t="s">
        <v>121</v>
      </c>
      <c r="AB2162" s="173">
        <v>45428</v>
      </c>
      <c r="AC2162" s="119">
        <v>2024489</v>
      </c>
      <c r="AD2162" s="36">
        <f t="shared" si="246"/>
        <v>36635782</v>
      </c>
      <c r="AE2162" s="36" t="str">
        <f t="shared" si="247"/>
        <v>TK.KWVE20-B-A-L-0038-WW1</v>
      </c>
      <c r="AF2162" s="36">
        <v>52</v>
      </c>
      <c r="AG2162" s="120">
        <f t="shared" si="244"/>
        <v>297.44</v>
      </c>
      <c r="AH2162" s="36"/>
      <c r="AI2162" s="124"/>
      <c r="AJ2162" s="122" t="s">
        <v>1513</v>
      </c>
      <c r="AK2162" s="129" t="str">
        <f t="shared" ca="1" si="243"/>
        <v>On Time</v>
      </c>
      <c r="AL2162" s="268" t="str">
        <f t="shared" si="242"/>
        <v>May</v>
      </c>
      <c r="AM2162" s="133">
        <f>YEAR(Table1[[#This Row],[ETA
As requested
dd.mm.yyyy]])</f>
        <v>2024</v>
      </c>
    </row>
    <row r="2163" spans="1:39" hidden="1">
      <c r="A2163" s="123" t="s">
        <v>83</v>
      </c>
      <c r="B2163" s="36" t="s">
        <v>1170</v>
      </c>
      <c r="C2163" s="117">
        <v>36635782</v>
      </c>
      <c r="D2163" s="165">
        <v>45400</v>
      </c>
      <c r="E2163" s="117" t="s">
        <v>100</v>
      </c>
      <c r="F2163" s="36" t="str">
        <f>IFERROR(VLOOKUP(Table1[[#This Row],[Part Number]],DATABASE_FG!$C$6:D12152,2,FALSE)," ")</f>
        <v>054830877-8011</v>
      </c>
      <c r="G2163" s="117" t="str">
        <f>IFERROR(_xlfn.XLOOKUP(Table1[[#This Row],[Part Number]],Table3[Part number],Table3[Drawing
 Revision]),"")</f>
        <v>AA</v>
      </c>
      <c r="H2163" s="118" cm="1">
        <f t="array" ref="H2163">IFERROR(INDEX(PDB!$C:$AT,MATCH(E2163,PDB!$B:$B,0),MATCH(YEAR(K2163),0+PDB!$C$1:$AT$1,0)),"")</f>
        <v>5.72</v>
      </c>
      <c r="I2163" s="36"/>
      <c r="J2163" s="125">
        <f>IFERROR(Table1[[#This Row],[Quantity]]*Table1[[#This Row],[Price/Unit
EUR]]," ")</f>
        <v>0</v>
      </c>
      <c r="K2163" s="126">
        <v>45428</v>
      </c>
      <c r="L2163" s="36">
        <f>WEEKNUM(Table1[[#This Row],[ETA
As requested
dd.mm.yyyy]])</f>
        <v>20</v>
      </c>
      <c r="M2163" s="36">
        <f>YEAR(Table1[[#This Row],[ETA
As requested
dd.mm.yyyy]])</f>
        <v>2024</v>
      </c>
      <c r="N2163" s="36">
        <f>IFERROR(INDEX(DATABASE_FG!$H$5:$H$367, MATCH(E2163, DATABASE_FG!$C$5:$C$367, 0)), " ")</f>
        <v>0</v>
      </c>
      <c r="O2163" s="129" t="str">
        <f>IF(E2163&lt;&gt;"", _xlfn.XLOOKUP(E2163, DATABASE_FG!C:C, DATABASE_FG!F:F), " ")</f>
        <v>Ghidaje</v>
      </c>
      <c r="P2163" s="36">
        <f>IFERROR(INDEX(DATABASE_FG!$G$5:$G$367, MATCH(E2163, DATABASE_FG!$C$5:$C$367, 0)), "Not Found")</f>
        <v>0</v>
      </c>
      <c r="Q2163" s="36"/>
      <c r="R2163" s="125" t="s">
        <v>678</v>
      </c>
      <c r="S2163" s="123">
        <f>IFERROR(INDEX(DATABASE_FG!$L$5:$L$367, MATCH(E2163, DATABASE_FG!$C$5:$C$367, 0)), " ")</f>
        <v>42</v>
      </c>
      <c r="T2163" s="36"/>
      <c r="U2163" s="36"/>
      <c r="V2163" s="36"/>
      <c r="W2163" s="129"/>
      <c r="X2163" s="36"/>
      <c r="Y2163" s="36"/>
      <c r="Z2163" s="36"/>
      <c r="AA2163" s="125" t="s">
        <v>121</v>
      </c>
      <c r="AB2163" s="173">
        <v>45440</v>
      </c>
      <c r="AC2163" s="119">
        <v>2024552</v>
      </c>
      <c r="AD2163" s="36">
        <f t="shared" si="246"/>
        <v>36635782</v>
      </c>
      <c r="AE2163" s="36" t="str">
        <f t="shared" si="247"/>
        <v>TK.KWVE20-B-A-L-0038-WW1</v>
      </c>
      <c r="AF2163" s="36">
        <v>23</v>
      </c>
      <c r="AG2163" s="120">
        <f t="shared" si="244"/>
        <v>131.56</v>
      </c>
      <c r="AH2163" s="36"/>
      <c r="AI2163" s="124"/>
      <c r="AJ2163" s="122" t="s">
        <v>1519</v>
      </c>
      <c r="AK2163" s="129" t="str">
        <f t="shared" ca="1" si="243"/>
        <v>Late</v>
      </c>
      <c r="AL2163" s="268" t="str">
        <f t="shared" si="242"/>
        <v>May</v>
      </c>
      <c r="AM2163" s="133">
        <f>YEAR(Table1[[#This Row],[ETA
As requested
dd.mm.yyyy]])</f>
        <v>2024</v>
      </c>
    </row>
    <row r="2164" spans="1:39" hidden="1">
      <c r="A2164" s="123" t="s">
        <v>83</v>
      </c>
      <c r="B2164" s="36" t="s">
        <v>1170</v>
      </c>
      <c r="C2164" s="117">
        <v>36635784</v>
      </c>
      <c r="D2164" s="165">
        <v>45400</v>
      </c>
      <c r="E2164" s="117" t="s">
        <v>100</v>
      </c>
      <c r="F2164" s="36" t="str">
        <f>IFERROR(VLOOKUP(Table1[[#This Row],[Part Number]],DATABASE_FG!$C$6:D12153,2,FALSE)," ")</f>
        <v>054830877-8011</v>
      </c>
      <c r="G2164" s="117" t="str">
        <f>IFERROR(_xlfn.XLOOKUP(Table1[[#This Row],[Part Number]],Table3[Part number],Table3[Drawing
 Revision]),"")</f>
        <v>AA</v>
      </c>
      <c r="H2164" s="118" cm="1">
        <f t="array" ref="H2164">IFERROR(INDEX(PDB!$C:$AT,MATCH(E2164,PDB!$B:$B,0),MATCH(YEAR(K2164),0+PDB!$C$1:$AT$1,0)),"")</f>
        <v>5.72</v>
      </c>
      <c r="I2164" s="36">
        <v>175</v>
      </c>
      <c r="J2164" s="125">
        <f>IFERROR(Table1[[#This Row],[Quantity]]*Table1[[#This Row],[Price/Unit
EUR]]," ")</f>
        <v>1001</v>
      </c>
      <c r="K2164" s="126">
        <v>45433</v>
      </c>
      <c r="L2164" s="36">
        <f>WEEKNUM(Table1[[#This Row],[ETA
As requested
dd.mm.yyyy]])</f>
        <v>21</v>
      </c>
      <c r="M2164" s="36">
        <f>YEAR(Table1[[#This Row],[ETA
As requested
dd.mm.yyyy]])</f>
        <v>2024</v>
      </c>
      <c r="N2164" s="36">
        <f>IFERROR(INDEX(DATABASE_FG!$H$5:$H$367, MATCH(E2164, DATABASE_FG!$C$5:$C$367, 0)), " ")</f>
        <v>0</v>
      </c>
      <c r="O2164" s="129" t="str">
        <f>IF(E2164&lt;&gt;"", _xlfn.XLOOKUP(E2164, DATABASE_FG!C:C, DATABASE_FG!F:F), " ")</f>
        <v>Ghidaje</v>
      </c>
      <c r="P2164" s="36">
        <f>IFERROR(INDEX(DATABASE_FG!$G$5:$G$367, MATCH(E2164, DATABASE_FG!$C$5:$C$367, 0)), "Not Found")</f>
        <v>0</v>
      </c>
      <c r="Q2164" s="36"/>
      <c r="R2164" s="125" t="s">
        <v>678</v>
      </c>
      <c r="S2164" s="123">
        <f>IFERROR(INDEX(DATABASE_FG!$L$5:$L$367, MATCH(E2164, DATABASE_FG!$C$5:$C$367, 0)), " ")</f>
        <v>42</v>
      </c>
      <c r="T2164" s="36" t="s">
        <v>679</v>
      </c>
      <c r="U2164" s="36"/>
      <c r="V2164" s="36"/>
      <c r="W2164" s="129"/>
      <c r="X2164" s="36"/>
      <c r="Y2164" s="36"/>
      <c r="Z2164" s="36">
        <v>242117</v>
      </c>
      <c r="AA2164" s="125" t="s">
        <v>121</v>
      </c>
      <c r="AB2164" s="173">
        <v>45440</v>
      </c>
      <c r="AC2164" s="119">
        <v>2024553</v>
      </c>
      <c r="AD2164" s="36">
        <f t="shared" si="246"/>
        <v>36635784</v>
      </c>
      <c r="AE2164" s="36" t="str">
        <f t="shared" si="247"/>
        <v>TK.KWVE20-B-A-L-0038-WW1</v>
      </c>
      <c r="AF2164" s="36">
        <v>175</v>
      </c>
      <c r="AG2164" s="120">
        <f t="shared" si="244"/>
        <v>1001</v>
      </c>
      <c r="AH2164" s="36"/>
      <c r="AI2164" s="124"/>
      <c r="AJ2164" s="122" t="s">
        <v>1531</v>
      </c>
      <c r="AK2164" s="129" t="str">
        <f t="shared" ca="1" si="243"/>
        <v>Late</v>
      </c>
      <c r="AL2164" s="268" t="str">
        <f t="shared" si="242"/>
        <v>May</v>
      </c>
      <c r="AM2164" s="133">
        <f>YEAR(Table1[[#This Row],[ETA
As requested
dd.mm.yyyy]])</f>
        <v>2024</v>
      </c>
    </row>
    <row r="2165" spans="1:39" hidden="1">
      <c r="A2165" s="123" t="s">
        <v>83</v>
      </c>
      <c r="B2165" s="36" t="s">
        <v>1170</v>
      </c>
      <c r="C2165" s="117">
        <v>36635786</v>
      </c>
      <c r="D2165" s="165">
        <v>45400</v>
      </c>
      <c r="E2165" s="117" t="s">
        <v>100</v>
      </c>
      <c r="F2165" s="36" t="str">
        <f>IFERROR(VLOOKUP(Table1[[#This Row],[Part Number]],DATABASE_FG!$C$6:D12154,2,FALSE)," ")</f>
        <v>054830877-8011</v>
      </c>
      <c r="G2165" s="117" t="str">
        <f>IFERROR(_xlfn.XLOOKUP(Table1[[#This Row],[Part Number]],Table3[Part number],Table3[Drawing
 Revision]),"")</f>
        <v>AA</v>
      </c>
      <c r="H2165" s="118" cm="1">
        <f t="array" ref="H2165">IFERROR(INDEX(PDB!$C:$AT,MATCH(E2165,PDB!$B:$B,0),MATCH(YEAR(K2165),0+PDB!$C$1:$AT$1,0)),"")</f>
        <v>5.72</v>
      </c>
      <c r="I2165" s="36">
        <v>175</v>
      </c>
      <c r="J2165" s="125">
        <f>IFERROR(Table1[[#This Row],[Quantity]]*Table1[[#This Row],[Price/Unit
EUR]]," ")</f>
        <v>1001</v>
      </c>
      <c r="K2165" s="126">
        <v>45435</v>
      </c>
      <c r="L2165" s="36">
        <f>WEEKNUM(Table1[[#This Row],[ETA
As requested
dd.mm.yyyy]])</f>
        <v>21</v>
      </c>
      <c r="M2165" s="36">
        <f>YEAR(Table1[[#This Row],[ETA
As requested
dd.mm.yyyy]])</f>
        <v>2024</v>
      </c>
      <c r="N2165" s="36">
        <f>IFERROR(INDEX(DATABASE_FG!$H$5:$H$367, MATCH(E2165, DATABASE_FG!$C$5:$C$367, 0)), " ")</f>
        <v>0</v>
      </c>
      <c r="O2165" s="129" t="str">
        <f>IF(E2165&lt;&gt;"", _xlfn.XLOOKUP(E2165, DATABASE_FG!C:C, DATABASE_FG!F:F), " ")</f>
        <v>Ghidaje</v>
      </c>
      <c r="P2165" s="36">
        <f>IFERROR(INDEX(DATABASE_FG!$G$5:$G$367, MATCH(E2165, DATABASE_FG!$C$5:$C$367, 0)), "Not Found")</f>
        <v>0</v>
      </c>
      <c r="Q2165" s="36"/>
      <c r="R2165" s="125" t="s">
        <v>678</v>
      </c>
      <c r="S2165" s="123">
        <f>IFERROR(INDEX(DATABASE_FG!$L$5:$L$367, MATCH(E2165, DATABASE_FG!$C$5:$C$367, 0)), " ")</f>
        <v>42</v>
      </c>
      <c r="T2165" s="36" t="s">
        <v>679</v>
      </c>
      <c r="U2165" s="36"/>
      <c r="V2165" s="36"/>
      <c r="W2165" s="129"/>
      <c r="X2165" s="36"/>
      <c r="Y2165" s="36"/>
      <c r="Z2165" s="36">
        <v>242117</v>
      </c>
      <c r="AA2165" s="125" t="s">
        <v>121</v>
      </c>
      <c r="AB2165" s="173">
        <v>45441</v>
      </c>
      <c r="AC2165" s="119">
        <v>2024566</v>
      </c>
      <c r="AD2165" s="36">
        <f t="shared" si="246"/>
        <v>36635786</v>
      </c>
      <c r="AE2165" s="36" t="str">
        <f t="shared" si="247"/>
        <v>TK.KWVE20-B-A-L-0038-WW1</v>
      </c>
      <c r="AF2165" s="36">
        <v>161</v>
      </c>
      <c r="AG2165" s="120">
        <f t="shared" si="244"/>
        <v>920.92</v>
      </c>
      <c r="AH2165" s="36"/>
      <c r="AI2165" s="124"/>
      <c r="AJ2165" s="122" t="s">
        <v>1547</v>
      </c>
      <c r="AK2165" s="129" t="str">
        <f t="shared" ca="1" si="243"/>
        <v>Late</v>
      </c>
      <c r="AL2165" s="268" t="str">
        <f t="shared" ref="AL2165:AL2228" si="248">TEXT(K2165,"mmmm")</f>
        <v>May</v>
      </c>
      <c r="AM2165" s="133">
        <f>YEAR(Table1[[#This Row],[ETA
As requested
dd.mm.yyyy]])</f>
        <v>2024</v>
      </c>
    </row>
    <row r="2166" spans="1:39" hidden="1">
      <c r="A2166" s="123" t="s">
        <v>83</v>
      </c>
      <c r="B2166" s="36" t="s">
        <v>1170</v>
      </c>
      <c r="C2166" s="117">
        <v>36635786</v>
      </c>
      <c r="D2166" s="165">
        <v>45400</v>
      </c>
      <c r="E2166" s="117" t="s">
        <v>100</v>
      </c>
      <c r="F2166" s="36" t="str">
        <f>IFERROR(VLOOKUP(Table1[[#This Row],[Part Number]],DATABASE_FG!$C$6:D12155,2,FALSE)," ")</f>
        <v>054830877-8011</v>
      </c>
      <c r="G2166" s="117" t="str">
        <f>IFERROR(_xlfn.XLOOKUP(Table1[[#This Row],[Part Number]],Table3[Part number],Table3[Drawing
 Revision]),"")</f>
        <v>AA</v>
      </c>
      <c r="H2166" s="118" cm="1">
        <f t="array" ref="H2166">IFERROR(INDEX(PDB!$C:$AT,MATCH(E2166,PDB!$B:$B,0),MATCH(YEAR(K2166),0+PDB!$C$1:$AT$1,0)),"")</f>
        <v>5.72</v>
      </c>
      <c r="I2166" s="36"/>
      <c r="J2166" s="125">
        <f>IFERROR(Table1[[#This Row],[Quantity]]*Table1[[#This Row],[Price/Unit
EUR]]," ")</f>
        <v>0</v>
      </c>
      <c r="K2166" s="126">
        <v>45435</v>
      </c>
      <c r="L2166" s="36">
        <f>WEEKNUM(Table1[[#This Row],[ETA
As requested
dd.mm.yyyy]])</f>
        <v>21</v>
      </c>
      <c r="M2166" s="36">
        <f>YEAR(Table1[[#This Row],[ETA
As requested
dd.mm.yyyy]])</f>
        <v>2024</v>
      </c>
      <c r="N2166" s="36">
        <f>IFERROR(INDEX(DATABASE_FG!$H$5:$H$367, MATCH(E2166, DATABASE_FG!$C$5:$C$367, 0)), " ")</f>
        <v>0</v>
      </c>
      <c r="O2166" s="129" t="str">
        <f>IF(E2166&lt;&gt;"", _xlfn.XLOOKUP(E2166, DATABASE_FG!C:C, DATABASE_FG!F:F), " ")</f>
        <v>Ghidaje</v>
      </c>
      <c r="P2166" s="36">
        <f>IFERROR(INDEX(DATABASE_FG!$G$5:$G$367, MATCH(E2166, DATABASE_FG!$C$5:$C$367, 0)), "Not Found")</f>
        <v>0</v>
      </c>
      <c r="Q2166" s="36"/>
      <c r="R2166" s="125" t="s">
        <v>678</v>
      </c>
      <c r="S2166" s="123">
        <f>IFERROR(INDEX(DATABASE_FG!$L$5:$L$367, MATCH(E2166, DATABASE_FG!$C$5:$C$367, 0)), " ")</f>
        <v>42</v>
      </c>
      <c r="T2166" s="36"/>
      <c r="U2166" s="36"/>
      <c r="V2166" s="36"/>
      <c r="W2166" s="129"/>
      <c r="X2166" s="36"/>
      <c r="Y2166" s="36"/>
      <c r="Z2166" s="36"/>
      <c r="AA2166" s="125" t="s">
        <v>121</v>
      </c>
      <c r="AB2166" s="172">
        <v>45442</v>
      </c>
      <c r="AC2166" s="119">
        <v>2024578</v>
      </c>
      <c r="AD2166" s="36">
        <f t="shared" si="246"/>
        <v>36635786</v>
      </c>
      <c r="AE2166" s="36" t="str">
        <f t="shared" si="247"/>
        <v>TK.KWVE20-B-A-L-0038-WW1</v>
      </c>
      <c r="AF2166" s="36">
        <v>14</v>
      </c>
      <c r="AG2166" s="120">
        <f t="shared" si="244"/>
        <v>80.08</v>
      </c>
      <c r="AH2166" s="36"/>
      <c r="AI2166" s="124"/>
      <c r="AJ2166" s="122" t="s">
        <v>1549</v>
      </c>
      <c r="AK2166" s="129" t="str">
        <f t="shared" ca="1" si="243"/>
        <v>Late</v>
      </c>
      <c r="AL2166" s="268" t="str">
        <f t="shared" si="248"/>
        <v>May</v>
      </c>
      <c r="AM2166" s="133">
        <f>YEAR(Table1[[#This Row],[ETA
As requested
dd.mm.yyyy]])</f>
        <v>2024</v>
      </c>
    </row>
    <row r="2167" spans="1:39" hidden="1">
      <c r="A2167" s="123" t="s">
        <v>83</v>
      </c>
      <c r="B2167" s="36" t="s">
        <v>1170</v>
      </c>
      <c r="C2167" s="117">
        <v>36635790</v>
      </c>
      <c r="D2167" s="165">
        <v>45400</v>
      </c>
      <c r="E2167" s="117" t="s">
        <v>100</v>
      </c>
      <c r="F2167" s="36" t="str">
        <f>IFERROR(VLOOKUP(Table1[[#This Row],[Part Number]],DATABASE_FG!$C$6:D12156,2,FALSE)," ")</f>
        <v>054830877-8011</v>
      </c>
      <c r="G2167" s="117" t="str">
        <f>IFERROR(_xlfn.XLOOKUP(Table1[[#This Row],[Part Number]],Table3[Part number],Table3[Drawing
 Revision]),"")</f>
        <v>AA</v>
      </c>
      <c r="H2167" s="118" cm="1">
        <f t="array" ref="H2167">IFERROR(INDEX(PDB!$C:$AT,MATCH(E2167,PDB!$B:$B,0),MATCH(YEAR(K2167),0+PDB!$C$1:$AT$1,0)),"")</f>
        <v>5.72</v>
      </c>
      <c r="I2167" s="36">
        <v>175</v>
      </c>
      <c r="J2167" s="125">
        <f>IFERROR(Table1[[#This Row],[Quantity]]*Table1[[#This Row],[Price/Unit
EUR]]," ")</f>
        <v>1001</v>
      </c>
      <c r="K2167" s="126">
        <v>45440</v>
      </c>
      <c r="L2167" s="36">
        <f>WEEKNUM(Table1[[#This Row],[ETA
As requested
dd.mm.yyyy]])</f>
        <v>22</v>
      </c>
      <c r="M2167" s="36">
        <f>YEAR(Table1[[#This Row],[ETA
As requested
dd.mm.yyyy]])</f>
        <v>2024</v>
      </c>
      <c r="N2167" s="36">
        <f>IFERROR(INDEX(DATABASE_FG!$H$5:$H$367, MATCH(E2167, DATABASE_FG!$C$5:$C$367, 0)), " ")</f>
        <v>0</v>
      </c>
      <c r="O2167" s="129" t="str">
        <f>IF(E2167&lt;&gt;"", _xlfn.XLOOKUP(E2167, DATABASE_FG!C:C, DATABASE_FG!F:F), " ")</f>
        <v>Ghidaje</v>
      </c>
      <c r="P2167" s="36">
        <f>IFERROR(INDEX(DATABASE_FG!$G$5:$G$367, MATCH(E2167, DATABASE_FG!$C$5:$C$367, 0)), "Not Found")</f>
        <v>0</v>
      </c>
      <c r="Q2167" s="36"/>
      <c r="R2167" s="125" t="s">
        <v>678</v>
      </c>
      <c r="S2167" s="123">
        <f>IFERROR(INDEX(DATABASE_FG!$L$5:$L$367, MATCH(E2167, DATABASE_FG!$C$5:$C$367, 0)), " ")</f>
        <v>42</v>
      </c>
      <c r="T2167" s="36" t="s">
        <v>679</v>
      </c>
      <c r="U2167" s="36"/>
      <c r="V2167" s="36"/>
      <c r="W2167" s="129"/>
      <c r="X2167" s="36"/>
      <c r="Y2167" s="36"/>
      <c r="Z2167" s="36">
        <v>242117</v>
      </c>
      <c r="AA2167" s="125" t="s">
        <v>121</v>
      </c>
      <c r="AB2167" s="173">
        <v>45442</v>
      </c>
      <c r="AC2167" s="119">
        <v>2024579</v>
      </c>
      <c r="AD2167" s="36">
        <f t="shared" si="246"/>
        <v>36635790</v>
      </c>
      <c r="AE2167" s="36" t="str">
        <f t="shared" si="247"/>
        <v>TK.KWVE20-B-A-L-0038-WW1</v>
      </c>
      <c r="AF2167" s="36">
        <v>97</v>
      </c>
      <c r="AG2167" s="120">
        <f t="shared" si="244"/>
        <v>554.84</v>
      </c>
      <c r="AH2167" s="36"/>
      <c r="AI2167" s="124"/>
      <c r="AJ2167" s="122" t="s">
        <v>1573</v>
      </c>
      <c r="AK2167" s="129" t="str">
        <f t="shared" ref="AK2167:AK2230" ca="1" si="249">IF(AB2167="", IF(K2167 &lt; TODAY(), "Late", ""), IF(AB2167 &lt;= K2167 + 2, "On Time", "Late"))</f>
        <v>On Time</v>
      </c>
      <c r="AL2167" s="268" t="str">
        <f t="shared" si="248"/>
        <v>May</v>
      </c>
      <c r="AM2167" s="133">
        <f>YEAR(Table1[[#This Row],[ETA
As requested
dd.mm.yyyy]])</f>
        <v>2024</v>
      </c>
    </row>
    <row r="2168" spans="1:39" hidden="1">
      <c r="A2168" s="123" t="s">
        <v>83</v>
      </c>
      <c r="B2168" s="36" t="s">
        <v>1170</v>
      </c>
      <c r="C2168" s="117">
        <v>36635790</v>
      </c>
      <c r="D2168" s="165">
        <v>45400</v>
      </c>
      <c r="E2168" s="117" t="s">
        <v>100</v>
      </c>
      <c r="F2168" s="36" t="str">
        <f>IFERROR(VLOOKUP(Table1[[#This Row],[Part Number]],DATABASE_FG!$C$6:D12157,2,FALSE)," ")</f>
        <v>054830877-8011</v>
      </c>
      <c r="G2168" s="117" t="str">
        <f>IFERROR(_xlfn.XLOOKUP(Table1[[#This Row],[Part Number]],Table3[Part number],Table3[Drawing
 Revision]),"")</f>
        <v>AA</v>
      </c>
      <c r="H2168" s="118" cm="1">
        <f t="array" ref="H2168">IFERROR(INDEX(PDB!$C:$AT,MATCH(E2168,PDB!$B:$B,0),MATCH(YEAR(K2168),0+PDB!$C$1:$AT$1,0)),"")</f>
        <v>5.72</v>
      </c>
      <c r="I2168" s="36"/>
      <c r="J2168" s="125">
        <f>IFERROR(Table1[[#This Row],[Quantity]]*Table1[[#This Row],[Price/Unit
EUR]]," ")</f>
        <v>0</v>
      </c>
      <c r="K2168" s="126">
        <v>45440</v>
      </c>
      <c r="L2168" s="36">
        <f>WEEKNUM(Table1[[#This Row],[ETA
As requested
dd.mm.yyyy]])</f>
        <v>22</v>
      </c>
      <c r="M2168" s="36">
        <f>YEAR(Table1[[#This Row],[ETA
As requested
dd.mm.yyyy]])</f>
        <v>2024</v>
      </c>
      <c r="N2168" s="36">
        <f>IFERROR(INDEX(DATABASE_FG!$H$5:$H$367, MATCH(E2168, DATABASE_FG!$C$5:$C$367, 0)), " ")</f>
        <v>0</v>
      </c>
      <c r="O2168" s="129" t="str">
        <f>IF(E2168&lt;&gt;"", _xlfn.XLOOKUP(E2168, DATABASE_FG!C:C, DATABASE_FG!F:F), " ")</f>
        <v>Ghidaje</v>
      </c>
      <c r="P2168" s="36">
        <f>IFERROR(INDEX(DATABASE_FG!$G$5:$G$367, MATCH(E2168, DATABASE_FG!$C$5:$C$367, 0)), "Not Found")</f>
        <v>0</v>
      </c>
      <c r="Q2168" s="36"/>
      <c r="R2168" s="125" t="s">
        <v>678</v>
      </c>
      <c r="S2168" s="123">
        <f>IFERROR(INDEX(DATABASE_FG!$L$5:$L$367, MATCH(E2168, DATABASE_FG!$C$5:$C$367, 0)), " ")</f>
        <v>42</v>
      </c>
      <c r="T2168" s="36"/>
      <c r="U2168" s="36"/>
      <c r="V2168" s="36"/>
      <c r="W2168" s="129"/>
      <c r="X2168" s="36"/>
      <c r="Y2168" s="36"/>
      <c r="Z2168" s="36"/>
      <c r="AA2168" s="125" t="s">
        <v>121</v>
      </c>
      <c r="AB2168" s="172">
        <v>45443</v>
      </c>
      <c r="AC2168" s="119">
        <v>2024585</v>
      </c>
      <c r="AD2168" s="36">
        <f t="shared" si="246"/>
        <v>36635790</v>
      </c>
      <c r="AE2168" s="36" t="str">
        <f t="shared" si="247"/>
        <v>TK.KWVE20-B-A-L-0038-WW1</v>
      </c>
      <c r="AF2168" s="36">
        <v>78</v>
      </c>
      <c r="AG2168" s="120">
        <f t="shared" si="244"/>
        <v>446.15999999999997</v>
      </c>
      <c r="AH2168" s="36"/>
      <c r="AI2168" s="124"/>
      <c r="AJ2168" s="122" t="s">
        <v>1575</v>
      </c>
      <c r="AK2168" s="129" t="str">
        <f t="shared" ca="1" si="249"/>
        <v>Late</v>
      </c>
      <c r="AL2168" s="268" t="str">
        <f t="shared" si="248"/>
        <v>May</v>
      </c>
      <c r="AM2168" s="133">
        <f>YEAR(Table1[[#This Row],[ETA
As requested
dd.mm.yyyy]])</f>
        <v>2024</v>
      </c>
    </row>
    <row r="2169" spans="1:39" hidden="1">
      <c r="A2169" s="123" t="s">
        <v>83</v>
      </c>
      <c r="B2169" s="36" t="s">
        <v>1170</v>
      </c>
      <c r="C2169" s="117">
        <v>36635794</v>
      </c>
      <c r="D2169" s="165">
        <v>45400</v>
      </c>
      <c r="E2169" s="117" t="s">
        <v>100</v>
      </c>
      <c r="F2169" s="36" t="str">
        <f>IFERROR(VLOOKUP(Table1[[#This Row],[Part Number]],DATABASE_FG!$C$6:D12158,2,FALSE)," ")</f>
        <v>054830877-8011</v>
      </c>
      <c r="G2169" s="117" t="str">
        <f>IFERROR(_xlfn.XLOOKUP(Table1[[#This Row],[Part Number]],Table3[Part number],Table3[Drawing
 Revision]),"")</f>
        <v>AA</v>
      </c>
      <c r="H2169" s="118" cm="1">
        <f t="array" ref="H2169">IFERROR(INDEX(PDB!$C:$AT,MATCH(E2169,PDB!$B:$B,0),MATCH(YEAR(K2169),0+PDB!$C$1:$AT$1,0)),"")</f>
        <v>5.72</v>
      </c>
      <c r="I2169" s="36">
        <v>175</v>
      </c>
      <c r="J2169" s="125">
        <f>IFERROR(Table1[[#This Row],[Quantity]]*Table1[[#This Row],[Price/Unit
EUR]]," ")</f>
        <v>1001</v>
      </c>
      <c r="K2169" s="126">
        <v>45442</v>
      </c>
      <c r="L2169" s="36">
        <f>WEEKNUM(Table1[[#This Row],[ETA
As requested
dd.mm.yyyy]])</f>
        <v>22</v>
      </c>
      <c r="M2169" s="36">
        <f>YEAR(Table1[[#This Row],[ETA
As requested
dd.mm.yyyy]])</f>
        <v>2024</v>
      </c>
      <c r="N2169" s="36">
        <f>IFERROR(INDEX(DATABASE_FG!$H$5:$H$367, MATCH(E2169, DATABASE_FG!$C$5:$C$367, 0)), " ")</f>
        <v>0</v>
      </c>
      <c r="O2169" s="129" t="str">
        <f>IF(E2169&lt;&gt;"", _xlfn.XLOOKUP(E2169, DATABASE_FG!C:C, DATABASE_FG!F:F), " ")</f>
        <v>Ghidaje</v>
      </c>
      <c r="P2169" s="36">
        <f>IFERROR(INDEX(DATABASE_FG!$G$5:$G$367, MATCH(E2169, DATABASE_FG!$C$5:$C$367, 0)), "Not Found")</f>
        <v>0</v>
      </c>
      <c r="Q2169" s="36"/>
      <c r="R2169" s="125" t="s">
        <v>678</v>
      </c>
      <c r="S2169" s="123">
        <f>IFERROR(INDEX(DATABASE_FG!$L$5:$L$367, MATCH(E2169, DATABASE_FG!$C$5:$C$367, 0)), " ")</f>
        <v>42</v>
      </c>
      <c r="T2169" s="36" t="s">
        <v>679</v>
      </c>
      <c r="U2169" s="36"/>
      <c r="V2169" s="36"/>
      <c r="W2169" s="129"/>
      <c r="X2169" s="36"/>
      <c r="Y2169" s="36"/>
      <c r="Z2169" s="36">
        <v>242117</v>
      </c>
      <c r="AA2169" s="125" t="s">
        <v>121</v>
      </c>
      <c r="AB2169" s="172">
        <v>45446</v>
      </c>
      <c r="AC2169" s="119">
        <v>2024590</v>
      </c>
      <c r="AD2169" s="36">
        <f t="shared" si="246"/>
        <v>36635794</v>
      </c>
      <c r="AE2169" s="36" t="str">
        <f t="shared" si="247"/>
        <v>TK.KWVE20-B-A-L-0038-WW1</v>
      </c>
      <c r="AF2169" s="36">
        <v>80</v>
      </c>
      <c r="AG2169" s="120">
        <f t="shared" si="244"/>
        <v>457.59999999999997</v>
      </c>
      <c r="AH2169" s="36"/>
      <c r="AI2169" s="124"/>
      <c r="AJ2169" s="122" t="s">
        <v>1584</v>
      </c>
      <c r="AK2169" s="129" t="str">
        <f t="shared" ca="1" si="249"/>
        <v>Late</v>
      </c>
      <c r="AL2169" s="268" t="str">
        <f t="shared" si="248"/>
        <v>May</v>
      </c>
      <c r="AM2169" s="133">
        <f>YEAR(Table1[[#This Row],[ETA
As requested
dd.mm.yyyy]])</f>
        <v>2024</v>
      </c>
    </row>
    <row r="2170" spans="1:39" hidden="1">
      <c r="A2170" s="123" t="s">
        <v>83</v>
      </c>
      <c r="B2170" s="36" t="s">
        <v>1170</v>
      </c>
      <c r="C2170" s="117">
        <v>36635794</v>
      </c>
      <c r="D2170" s="165">
        <v>45400</v>
      </c>
      <c r="E2170" s="117" t="s">
        <v>100</v>
      </c>
      <c r="F2170" s="36" t="str">
        <f>IFERROR(VLOOKUP(Table1[[#This Row],[Part Number]],DATABASE_FG!$C$6:D12159,2,FALSE)," ")</f>
        <v>054830877-8011</v>
      </c>
      <c r="G2170" s="117" t="str">
        <f>IFERROR(_xlfn.XLOOKUP(Table1[[#This Row],[Part Number]],Table3[Part number],Table3[Drawing
 Revision]),"")</f>
        <v>AA</v>
      </c>
      <c r="H2170" s="118" cm="1">
        <f t="array" ref="H2170">IFERROR(INDEX(PDB!$C:$AT,MATCH(E2170,PDB!$B:$B,0),MATCH(YEAR(K2170),0+PDB!$C$1:$AT$1,0)),"")</f>
        <v>5.72</v>
      </c>
      <c r="I2170" s="36"/>
      <c r="J2170" s="125">
        <f>IFERROR(Table1[[#This Row],[Quantity]]*Table1[[#This Row],[Price/Unit
EUR]]," ")</f>
        <v>0</v>
      </c>
      <c r="K2170" s="126">
        <v>45442</v>
      </c>
      <c r="L2170" s="36">
        <f>WEEKNUM(Table1[[#This Row],[ETA
As requested
dd.mm.yyyy]])</f>
        <v>22</v>
      </c>
      <c r="M2170" s="36">
        <f>YEAR(Table1[[#This Row],[ETA
As requested
dd.mm.yyyy]])</f>
        <v>2024</v>
      </c>
      <c r="N2170" s="36">
        <f>IFERROR(INDEX(DATABASE_FG!$H$5:$H$367, MATCH(E2170, DATABASE_FG!$C$5:$C$367, 0)), " ")</f>
        <v>0</v>
      </c>
      <c r="O2170" s="129" t="str">
        <f>IF(E2170&lt;&gt;"", _xlfn.XLOOKUP(E2170, DATABASE_FG!C:C, DATABASE_FG!F:F), " ")</f>
        <v>Ghidaje</v>
      </c>
      <c r="P2170" s="36">
        <f>IFERROR(INDEX(DATABASE_FG!$G$5:$G$367, MATCH(E2170, DATABASE_FG!$C$5:$C$367, 0)), "Not Found")</f>
        <v>0</v>
      </c>
      <c r="Q2170" s="36"/>
      <c r="R2170" s="125" t="s">
        <v>678</v>
      </c>
      <c r="S2170" s="123">
        <f>IFERROR(INDEX(DATABASE_FG!$L$5:$L$367, MATCH(E2170, DATABASE_FG!$C$5:$C$367, 0)), " ")</f>
        <v>42</v>
      </c>
      <c r="T2170" s="36"/>
      <c r="U2170" s="36"/>
      <c r="V2170" s="36"/>
      <c r="W2170" s="129"/>
      <c r="X2170" s="36"/>
      <c r="Y2170" s="36"/>
      <c r="Z2170" s="36"/>
      <c r="AA2170" s="125" t="s">
        <v>121</v>
      </c>
      <c r="AB2170" s="172">
        <v>45447</v>
      </c>
      <c r="AC2170" s="119">
        <v>2024598</v>
      </c>
      <c r="AD2170" s="36">
        <f t="shared" si="246"/>
        <v>36635794</v>
      </c>
      <c r="AE2170" s="36" t="str">
        <f t="shared" si="247"/>
        <v>TK.KWVE20-B-A-L-0038-WW1</v>
      </c>
      <c r="AF2170" s="36">
        <v>95</v>
      </c>
      <c r="AG2170" s="120">
        <f t="shared" si="244"/>
        <v>543.4</v>
      </c>
      <c r="AH2170" s="36"/>
      <c r="AI2170" s="124"/>
      <c r="AJ2170" s="122" t="s">
        <v>1585</v>
      </c>
      <c r="AK2170" s="129" t="str">
        <f t="shared" ca="1" si="249"/>
        <v>Late</v>
      </c>
      <c r="AL2170" s="268" t="str">
        <f t="shared" si="248"/>
        <v>May</v>
      </c>
      <c r="AM2170" s="133">
        <f>YEAR(Table1[[#This Row],[ETA
As requested
dd.mm.yyyy]])</f>
        <v>2024</v>
      </c>
    </row>
    <row r="2171" spans="1:39" hidden="1">
      <c r="A2171" s="123" t="s">
        <v>83</v>
      </c>
      <c r="B2171" s="36" t="s">
        <v>1170</v>
      </c>
      <c r="C2171" s="117">
        <v>36856400</v>
      </c>
      <c r="D2171" s="165">
        <v>45439</v>
      </c>
      <c r="E2171" s="117" t="s">
        <v>100</v>
      </c>
      <c r="F2171" s="36" t="str">
        <f>IFERROR(VLOOKUP(Table1[[#This Row],[Part Number]],DATABASE_FG!$C$6:D12160,2,FALSE)," ")</f>
        <v>054830877-8011</v>
      </c>
      <c r="G2171" s="117" t="str">
        <f>IFERROR(_xlfn.XLOOKUP(Table1[[#This Row],[Part Number]],Table3[Part number],Table3[Drawing
 Revision]),"")</f>
        <v>AA</v>
      </c>
      <c r="H2171" s="118" cm="1">
        <f t="array" ref="H2171">IFERROR(INDEX(PDB!$C:$AT,MATCH(E2171,PDB!$B:$B,0),MATCH(YEAR(K2171),0+PDB!$C$1:$AT$1,0)),"")</f>
        <v>5.72</v>
      </c>
      <c r="I2171" s="36">
        <v>100</v>
      </c>
      <c r="J2171" s="125">
        <f>IFERROR(Table1[[#This Row],[Quantity]]*Table1[[#This Row],[Price/Unit
EUR]]," ")</f>
        <v>572</v>
      </c>
      <c r="K2171" s="126">
        <v>45447</v>
      </c>
      <c r="L2171" s="36">
        <f>WEEKNUM(Table1[[#This Row],[ETA
As requested
dd.mm.yyyy]])</f>
        <v>23</v>
      </c>
      <c r="M2171" s="36">
        <f>YEAR(Table1[[#This Row],[ETA
As requested
dd.mm.yyyy]])</f>
        <v>2024</v>
      </c>
      <c r="N2171" s="36">
        <f>IFERROR(INDEX(DATABASE_FG!$H$5:$H$367, MATCH(E2171, DATABASE_FG!$C$5:$C$367, 0)), " ")</f>
        <v>0</v>
      </c>
      <c r="O2171" s="129" t="str">
        <f>IF(E2171&lt;&gt;"", _xlfn.XLOOKUP(E2171, DATABASE_FG!C:C, DATABASE_FG!F:F), " ")</f>
        <v>Ghidaje</v>
      </c>
      <c r="P2171" s="36">
        <f>IFERROR(INDEX(DATABASE_FG!$G$5:$G$367, MATCH(E2171, DATABASE_FG!$C$5:$C$367, 0)), "Not Found")</f>
        <v>0</v>
      </c>
      <c r="Q2171" s="36"/>
      <c r="R2171" s="125" t="s">
        <v>678</v>
      </c>
      <c r="S2171" s="123">
        <f>IFERROR(INDEX(DATABASE_FG!$L$5:$L$367, MATCH(E2171, DATABASE_FG!$C$5:$C$367, 0)), " ")</f>
        <v>42</v>
      </c>
      <c r="T2171" s="36" t="s">
        <v>679</v>
      </c>
      <c r="U2171" s="36"/>
      <c r="V2171" s="36"/>
      <c r="W2171" s="129"/>
      <c r="X2171" s="36"/>
      <c r="Y2171" s="36"/>
      <c r="Z2171" s="36">
        <v>242217</v>
      </c>
      <c r="AA2171" s="125" t="s">
        <v>121</v>
      </c>
      <c r="AB2171" s="172">
        <v>45448</v>
      </c>
      <c r="AC2171" s="119">
        <v>2024608</v>
      </c>
      <c r="AD2171" s="36">
        <f t="shared" si="246"/>
        <v>36856400</v>
      </c>
      <c r="AE2171" s="36" t="str">
        <f t="shared" si="247"/>
        <v>TK.KWVE20-B-A-L-0038-WW1</v>
      </c>
      <c r="AF2171" s="36">
        <v>100</v>
      </c>
      <c r="AG2171" s="120">
        <f t="shared" si="244"/>
        <v>572</v>
      </c>
      <c r="AH2171" s="36"/>
      <c r="AI2171" s="124"/>
      <c r="AJ2171" s="122" t="s">
        <v>1603</v>
      </c>
      <c r="AK2171" s="129" t="str">
        <f t="shared" ca="1" si="249"/>
        <v>On Time</v>
      </c>
      <c r="AL2171" s="268" t="str">
        <f t="shared" si="248"/>
        <v>June</v>
      </c>
      <c r="AM2171" s="133">
        <f>YEAR(Table1[[#This Row],[ETA
As requested
dd.mm.yyyy]])</f>
        <v>2024</v>
      </c>
    </row>
    <row r="2172" spans="1:39" hidden="1">
      <c r="A2172" s="123" t="s">
        <v>83</v>
      </c>
      <c r="B2172" s="36" t="s">
        <v>1170</v>
      </c>
      <c r="C2172" s="117">
        <v>36856400</v>
      </c>
      <c r="D2172" s="165">
        <v>45439</v>
      </c>
      <c r="E2172" s="117" t="s">
        <v>100</v>
      </c>
      <c r="F2172" s="36" t="str">
        <f>IFERROR(VLOOKUP(Table1[[#This Row],[Part Number]],DATABASE_FG!$C$6:D12161,2,FALSE)," ")</f>
        <v>054830877-8011</v>
      </c>
      <c r="G2172" s="117" t="str">
        <f>IFERROR(_xlfn.XLOOKUP(Table1[[#This Row],[Part Number]],Table3[Part number],Table3[Drawing
 Revision]),"")</f>
        <v>AA</v>
      </c>
      <c r="H2172" s="118" cm="1">
        <f t="array" ref="H2172">IFERROR(INDEX(PDB!$C:$AT,MATCH(E2172,PDB!$B:$B,0),MATCH(YEAR(K2172),0+PDB!$C$1:$AT$1,0)),"")</f>
        <v>5.72</v>
      </c>
      <c r="I2172" s="36">
        <v>100</v>
      </c>
      <c r="J2172" s="125">
        <f>IFERROR(Table1[[#This Row],[Quantity]]*Table1[[#This Row],[Price/Unit
EUR]]," ")</f>
        <v>572</v>
      </c>
      <c r="K2172" s="126">
        <v>45449</v>
      </c>
      <c r="L2172" s="36">
        <f>WEEKNUM(Table1[[#This Row],[ETA
As requested
dd.mm.yyyy]])</f>
        <v>23</v>
      </c>
      <c r="M2172" s="36">
        <f>YEAR(Table1[[#This Row],[ETA
As requested
dd.mm.yyyy]])</f>
        <v>2024</v>
      </c>
      <c r="N2172" s="36">
        <f>IFERROR(INDEX(DATABASE_FG!$H$5:$H$367, MATCH(E2172, DATABASE_FG!$C$5:$C$367, 0)), " ")</f>
        <v>0</v>
      </c>
      <c r="O2172" s="129" t="str">
        <f>IF(E2172&lt;&gt;"", _xlfn.XLOOKUP(E2172, DATABASE_FG!C:C, DATABASE_FG!F:F), " ")</f>
        <v>Ghidaje</v>
      </c>
      <c r="P2172" s="36">
        <f>IFERROR(INDEX(DATABASE_FG!$G$5:$G$367, MATCH(E2172, DATABASE_FG!$C$5:$C$367, 0)), "Not Found")</f>
        <v>0</v>
      </c>
      <c r="Q2172" s="36"/>
      <c r="R2172" s="125" t="s">
        <v>678</v>
      </c>
      <c r="S2172" s="123">
        <f>IFERROR(INDEX(DATABASE_FG!$L$5:$L$367, MATCH(E2172, DATABASE_FG!$C$5:$C$367, 0)), " ")</f>
        <v>42</v>
      </c>
      <c r="T2172" s="36" t="s">
        <v>679</v>
      </c>
      <c r="U2172" s="36"/>
      <c r="V2172" s="36"/>
      <c r="W2172" s="129"/>
      <c r="X2172" s="36"/>
      <c r="Y2172" s="36"/>
      <c r="Z2172" s="36">
        <v>242217</v>
      </c>
      <c r="AA2172" s="125" t="s">
        <v>121</v>
      </c>
      <c r="AB2172" s="172">
        <v>45449</v>
      </c>
      <c r="AC2172" s="119">
        <v>2024618</v>
      </c>
      <c r="AD2172" s="36">
        <f t="shared" si="246"/>
        <v>36856400</v>
      </c>
      <c r="AE2172" s="36" t="str">
        <f t="shared" si="247"/>
        <v>TK.KWVE20-B-A-L-0038-WW1</v>
      </c>
      <c r="AF2172" s="36">
        <v>100</v>
      </c>
      <c r="AG2172" s="120">
        <f t="shared" si="244"/>
        <v>572</v>
      </c>
      <c r="AH2172" s="36"/>
      <c r="AI2172" s="124"/>
      <c r="AJ2172" s="122" t="s">
        <v>1627</v>
      </c>
      <c r="AK2172" s="129" t="str">
        <f t="shared" ca="1" si="249"/>
        <v>On Time</v>
      </c>
      <c r="AL2172" s="268" t="str">
        <f t="shared" si="248"/>
        <v>June</v>
      </c>
      <c r="AM2172" s="133">
        <f>YEAR(Table1[[#This Row],[ETA
As requested
dd.mm.yyyy]])</f>
        <v>2024</v>
      </c>
    </row>
    <row r="2173" spans="1:39" hidden="1">
      <c r="A2173" s="123" t="s">
        <v>83</v>
      </c>
      <c r="B2173" s="36" t="s">
        <v>1170</v>
      </c>
      <c r="C2173" s="117">
        <v>36856413</v>
      </c>
      <c r="D2173" s="165">
        <v>45439</v>
      </c>
      <c r="E2173" s="117" t="s">
        <v>100</v>
      </c>
      <c r="F2173" s="36" t="str">
        <f>IFERROR(VLOOKUP(Table1[[#This Row],[Part Number]],DATABASE_FG!$C$6:D12162,2,FALSE)," ")</f>
        <v>054830877-8011</v>
      </c>
      <c r="G2173" s="117" t="str">
        <f>IFERROR(_xlfn.XLOOKUP(Table1[[#This Row],[Part Number]],Table3[Part number],Table3[Drawing
 Revision]),"")</f>
        <v>AA</v>
      </c>
      <c r="H2173" s="118" cm="1">
        <f t="array" ref="H2173">IFERROR(INDEX(PDB!$C:$AT,MATCH(E2173,PDB!$B:$B,0),MATCH(YEAR(K2173),0+PDB!$C$1:$AT$1,0)),"")</f>
        <v>5.72</v>
      </c>
      <c r="I2173" s="36">
        <v>100</v>
      </c>
      <c r="J2173" s="125">
        <f>IFERROR(Table1[[#This Row],[Quantity]]*Table1[[#This Row],[Price/Unit
EUR]]," ")</f>
        <v>572</v>
      </c>
      <c r="K2173" s="126">
        <v>45454</v>
      </c>
      <c r="L2173" s="36">
        <f>WEEKNUM(Table1[[#This Row],[ETA
As requested
dd.mm.yyyy]])</f>
        <v>24</v>
      </c>
      <c r="M2173" s="36">
        <f>YEAR(Table1[[#This Row],[ETA
As requested
dd.mm.yyyy]])</f>
        <v>2024</v>
      </c>
      <c r="N2173" s="36">
        <f>IFERROR(INDEX(DATABASE_FG!$H$5:$H$367, MATCH(E2173, DATABASE_FG!$C$5:$C$367, 0)), " ")</f>
        <v>0</v>
      </c>
      <c r="O2173" s="129" t="str">
        <f>IF(E2173&lt;&gt;"", _xlfn.XLOOKUP(E2173, DATABASE_FG!C:C, DATABASE_FG!F:F), " ")</f>
        <v>Ghidaje</v>
      </c>
      <c r="P2173" s="36">
        <f>IFERROR(INDEX(DATABASE_FG!$G$5:$G$367, MATCH(E2173, DATABASE_FG!$C$5:$C$367, 0)), "Not Found")</f>
        <v>0</v>
      </c>
      <c r="Q2173" s="36"/>
      <c r="R2173" s="125" t="s">
        <v>678</v>
      </c>
      <c r="S2173" s="123">
        <f>IFERROR(INDEX(DATABASE_FG!$L$5:$L$367, MATCH(E2173, DATABASE_FG!$C$5:$C$367, 0)), " ")</f>
        <v>42</v>
      </c>
      <c r="T2173" s="36" t="s">
        <v>679</v>
      </c>
      <c r="U2173" s="36"/>
      <c r="V2173" s="36"/>
      <c r="W2173" s="129"/>
      <c r="X2173" s="36"/>
      <c r="Y2173" s="36"/>
      <c r="Z2173" s="36">
        <v>242217</v>
      </c>
      <c r="AA2173" s="125" t="s">
        <v>121</v>
      </c>
      <c r="AB2173" s="172">
        <v>45450</v>
      </c>
      <c r="AC2173" s="119">
        <v>2024625</v>
      </c>
      <c r="AD2173" s="36">
        <f t="shared" si="246"/>
        <v>36856413</v>
      </c>
      <c r="AE2173" s="36" t="str">
        <f t="shared" si="247"/>
        <v>TK.KWVE20-B-A-L-0038-WW1</v>
      </c>
      <c r="AF2173" s="36">
        <v>100</v>
      </c>
      <c r="AG2173" s="120">
        <f t="shared" si="244"/>
        <v>572</v>
      </c>
      <c r="AH2173" s="36"/>
      <c r="AI2173" s="124"/>
      <c r="AJ2173" s="122" t="s">
        <v>1649</v>
      </c>
      <c r="AK2173" s="129" t="str">
        <f t="shared" ca="1" si="249"/>
        <v>On Time</v>
      </c>
      <c r="AL2173" s="268" t="str">
        <f t="shared" si="248"/>
        <v>June</v>
      </c>
      <c r="AM2173" s="133">
        <f>YEAR(Table1[[#This Row],[ETA
As requested
dd.mm.yyyy]])</f>
        <v>2024</v>
      </c>
    </row>
    <row r="2174" spans="1:39" hidden="1">
      <c r="A2174" s="123" t="s">
        <v>83</v>
      </c>
      <c r="B2174" s="36" t="s">
        <v>1170</v>
      </c>
      <c r="C2174" s="117">
        <v>36856413</v>
      </c>
      <c r="D2174" s="165">
        <v>45439</v>
      </c>
      <c r="E2174" s="117" t="s">
        <v>100</v>
      </c>
      <c r="F2174" s="36" t="str">
        <f>IFERROR(VLOOKUP(Table1[[#This Row],[Part Number]],DATABASE_FG!$C$6:D12163,2,FALSE)," ")</f>
        <v>054830877-8011</v>
      </c>
      <c r="G2174" s="117" t="str">
        <f>IFERROR(_xlfn.XLOOKUP(Table1[[#This Row],[Part Number]],Table3[Part number],Table3[Drawing
 Revision]),"")</f>
        <v>AA</v>
      </c>
      <c r="H2174" s="118" cm="1">
        <f t="array" ref="H2174">IFERROR(INDEX(PDB!$C:$AT,MATCH(E2174,PDB!$B:$B,0),MATCH(YEAR(K2174),0+PDB!$C$1:$AT$1,0)),"")</f>
        <v>5.72</v>
      </c>
      <c r="I2174" s="36">
        <v>100</v>
      </c>
      <c r="J2174" s="125">
        <f>IFERROR(Table1[[#This Row],[Quantity]]*Table1[[#This Row],[Price/Unit
EUR]]," ")</f>
        <v>572</v>
      </c>
      <c r="K2174" s="126">
        <v>45456</v>
      </c>
      <c r="L2174" s="36">
        <f>WEEKNUM(Table1[[#This Row],[ETA
As requested
dd.mm.yyyy]])</f>
        <v>24</v>
      </c>
      <c r="M2174" s="36">
        <f>YEAR(Table1[[#This Row],[ETA
As requested
dd.mm.yyyy]])</f>
        <v>2024</v>
      </c>
      <c r="N2174" s="36">
        <f>IFERROR(INDEX(DATABASE_FG!$H$5:$H$367, MATCH(E2174, DATABASE_FG!$C$5:$C$367, 0)), " ")</f>
        <v>0</v>
      </c>
      <c r="O2174" s="129" t="str">
        <f>IF(E2174&lt;&gt;"", _xlfn.XLOOKUP(E2174, DATABASE_FG!C:C, DATABASE_FG!F:F), " ")</f>
        <v>Ghidaje</v>
      </c>
      <c r="P2174" s="36">
        <f>IFERROR(INDEX(DATABASE_FG!$G$5:$G$367, MATCH(E2174, DATABASE_FG!$C$5:$C$367, 0)), "Not Found")</f>
        <v>0</v>
      </c>
      <c r="Q2174" s="36"/>
      <c r="R2174" s="125" t="s">
        <v>678</v>
      </c>
      <c r="S2174" s="123">
        <f>IFERROR(INDEX(DATABASE_FG!$L$5:$L$367, MATCH(E2174, DATABASE_FG!$C$5:$C$367, 0)), " ")</f>
        <v>42</v>
      </c>
      <c r="T2174" s="36" t="s">
        <v>679</v>
      </c>
      <c r="U2174" s="36"/>
      <c r="V2174" s="36"/>
      <c r="W2174" s="129"/>
      <c r="X2174" s="36"/>
      <c r="Y2174" s="36"/>
      <c r="Z2174" s="36">
        <v>242217</v>
      </c>
      <c r="AA2174" s="125" t="s">
        <v>121</v>
      </c>
      <c r="AB2174" s="173">
        <v>45453</v>
      </c>
      <c r="AC2174" s="119">
        <v>2024632</v>
      </c>
      <c r="AD2174" s="36">
        <f t="shared" si="246"/>
        <v>36856413</v>
      </c>
      <c r="AE2174" s="36" t="str">
        <f t="shared" si="247"/>
        <v>TK.KWVE20-B-A-L-0038-WW1</v>
      </c>
      <c r="AF2174" s="36">
        <v>94</v>
      </c>
      <c r="AG2174" s="120">
        <f t="shared" ref="AG2174:AG2237" si="250">AF2174*H2174</f>
        <v>537.67999999999995</v>
      </c>
      <c r="AH2174" s="36"/>
      <c r="AI2174" s="124"/>
      <c r="AJ2174" s="122" t="s">
        <v>1678</v>
      </c>
      <c r="AK2174" s="129" t="str">
        <f t="shared" ca="1" si="249"/>
        <v>On Time</v>
      </c>
      <c r="AL2174" s="268" t="str">
        <f t="shared" si="248"/>
        <v>June</v>
      </c>
      <c r="AM2174" s="133">
        <f>YEAR(Table1[[#This Row],[ETA
As requested
dd.mm.yyyy]])</f>
        <v>2024</v>
      </c>
    </row>
    <row r="2175" spans="1:39" hidden="1">
      <c r="A2175" s="123" t="s">
        <v>83</v>
      </c>
      <c r="B2175" s="36" t="s">
        <v>1170</v>
      </c>
      <c r="C2175" s="117">
        <v>36856413</v>
      </c>
      <c r="D2175" s="165">
        <v>45439</v>
      </c>
      <c r="E2175" s="117" t="s">
        <v>100</v>
      </c>
      <c r="F2175" s="36" t="str">
        <f>IFERROR(VLOOKUP(Table1[[#This Row],[Part Number]],DATABASE_FG!$C$6:D12164,2,FALSE)," ")</f>
        <v>054830877-8011</v>
      </c>
      <c r="G2175" s="117" t="str">
        <f>IFERROR(_xlfn.XLOOKUP(Table1[[#This Row],[Part Number]],Table3[Part number],Table3[Drawing
 Revision]),"")</f>
        <v>AA</v>
      </c>
      <c r="H2175" s="118" cm="1">
        <f t="array" ref="H2175">IFERROR(INDEX(PDB!$C:$AT,MATCH(E2175,PDB!$B:$B,0),MATCH(YEAR(K2175),0+PDB!$C$1:$AT$1,0)),"")</f>
        <v>5.72</v>
      </c>
      <c r="I2175" s="36"/>
      <c r="J2175" s="125">
        <f>IFERROR(Table1[[#This Row],[Quantity]]*Table1[[#This Row],[Price/Unit
EUR]]," ")</f>
        <v>0</v>
      </c>
      <c r="K2175" s="126">
        <v>45456</v>
      </c>
      <c r="L2175" s="36">
        <f>WEEKNUM(Table1[[#This Row],[ETA
As requested
dd.mm.yyyy]])</f>
        <v>24</v>
      </c>
      <c r="M2175" s="36">
        <f>YEAR(Table1[[#This Row],[ETA
As requested
dd.mm.yyyy]])</f>
        <v>2024</v>
      </c>
      <c r="N2175" s="36">
        <f>IFERROR(INDEX(DATABASE_FG!$H$5:$H$367, MATCH(E2175, DATABASE_FG!$C$5:$C$367, 0)), " ")</f>
        <v>0</v>
      </c>
      <c r="O2175" s="129" t="str">
        <f>IF(E2175&lt;&gt;"", _xlfn.XLOOKUP(E2175, DATABASE_FG!C:C, DATABASE_FG!F:F), " ")</f>
        <v>Ghidaje</v>
      </c>
      <c r="P2175" s="36">
        <f>IFERROR(INDEX(DATABASE_FG!$G$5:$G$367, MATCH(E2175, DATABASE_FG!$C$5:$C$367, 0)), "Not Found")</f>
        <v>0</v>
      </c>
      <c r="Q2175" s="36"/>
      <c r="R2175" s="125" t="s">
        <v>678</v>
      </c>
      <c r="S2175" s="123">
        <f>Table1[[#This Row],[Quantity]]/48</f>
        <v>0</v>
      </c>
      <c r="T2175" s="36"/>
      <c r="U2175" s="36"/>
      <c r="V2175" s="36"/>
      <c r="W2175" s="129"/>
      <c r="X2175" s="36"/>
      <c r="Y2175" s="36"/>
      <c r="Z2175" s="36"/>
      <c r="AA2175" s="125" t="s">
        <v>121</v>
      </c>
      <c r="AB2175" s="172">
        <v>45469</v>
      </c>
      <c r="AC2175" s="119">
        <v>20232172</v>
      </c>
      <c r="AD2175" s="36">
        <f t="shared" si="246"/>
        <v>36856413</v>
      </c>
      <c r="AE2175" s="36" t="str">
        <f t="shared" si="247"/>
        <v>TK.KWVE20-B-A-L-0038-WW1</v>
      </c>
      <c r="AF2175" s="36">
        <v>6</v>
      </c>
      <c r="AG2175" s="120">
        <f t="shared" si="250"/>
        <v>34.32</v>
      </c>
      <c r="AH2175" s="36"/>
      <c r="AI2175" s="124"/>
      <c r="AJ2175" s="122" t="s">
        <v>1686</v>
      </c>
      <c r="AK2175" s="129" t="str">
        <f t="shared" ca="1" si="249"/>
        <v>Late</v>
      </c>
      <c r="AL2175" s="268" t="str">
        <f t="shared" si="248"/>
        <v>June</v>
      </c>
      <c r="AM2175" s="133">
        <f>YEAR(Table1[[#This Row],[ETA
As requested
dd.mm.yyyy]])</f>
        <v>2024</v>
      </c>
    </row>
    <row r="2176" spans="1:39" hidden="1">
      <c r="A2176" s="123" t="s">
        <v>83</v>
      </c>
      <c r="B2176" s="36" t="s">
        <v>1170</v>
      </c>
      <c r="C2176" s="117">
        <v>36862944</v>
      </c>
      <c r="D2176" s="165">
        <v>45439</v>
      </c>
      <c r="E2176" s="117" t="s">
        <v>100</v>
      </c>
      <c r="F2176" s="36" t="str">
        <f>IFERROR(VLOOKUP(Table1[[#This Row],[Part Number]],DATABASE_FG!$C$6:D12165,2,FALSE)," ")</f>
        <v>054830877-8011</v>
      </c>
      <c r="G2176" s="117" t="str">
        <f>IFERROR(_xlfn.XLOOKUP(Table1[[#This Row],[Part Number]],Table3[Part number],Table3[Drawing
 Revision]),"")</f>
        <v>AA</v>
      </c>
      <c r="H2176" s="118" cm="1">
        <f t="array" ref="H2176">IFERROR(INDEX(PDB!$C:$AT,MATCH(E2176,PDB!$B:$B,0),MATCH(YEAR(K2176),0+PDB!$C$1:$AT$1,0)),"")</f>
        <v>5.72</v>
      </c>
      <c r="I2176" s="36">
        <v>100</v>
      </c>
      <c r="J2176" s="125">
        <f>IFERROR(Table1[[#This Row],[Quantity]]*Table1[[#This Row],[Price/Unit
EUR]]," ")</f>
        <v>572</v>
      </c>
      <c r="K2176" s="126">
        <v>45461</v>
      </c>
      <c r="L2176" s="36">
        <f>WEEKNUM(Table1[[#This Row],[ETA
As requested
dd.mm.yyyy]])</f>
        <v>25</v>
      </c>
      <c r="M2176" s="36">
        <f>YEAR(Table1[[#This Row],[ETA
As requested
dd.mm.yyyy]])</f>
        <v>2024</v>
      </c>
      <c r="N2176" s="36">
        <f>IFERROR(INDEX(DATABASE_FG!$H$5:$H$367, MATCH(E2176, DATABASE_FG!$C$5:$C$367, 0)), " ")</f>
        <v>0</v>
      </c>
      <c r="O2176" s="129" t="str">
        <f>IF(E2176&lt;&gt;"", _xlfn.XLOOKUP(E2176, DATABASE_FG!C:C, DATABASE_FG!F:F), " ")</f>
        <v>Ghidaje</v>
      </c>
      <c r="P2176" s="36">
        <f>IFERROR(INDEX(DATABASE_FG!$G$5:$G$367, MATCH(E2176, DATABASE_FG!$C$5:$C$367, 0)), "Not Found")</f>
        <v>0</v>
      </c>
      <c r="Q2176" s="36"/>
      <c r="R2176" s="125" t="s">
        <v>678</v>
      </c>
      <c r="S2176" s="123">
        <f>IFERROR(INDEX(DATABASE_FG!$L$5:$L$367, MATCH(E2176, DATABASE_FG!$C$5:$C$367, 0)), " ")</f>
        <v>42</v>
      </c>
      <c r="T2176" s="36" t="s">
        <v>679</v>
      </c>
      <c r="U2176" s="36"/>
      <c r="V2176" s="36"/>
      <c r="W2176" s="129"/>
      <c r="X2176" s="36"/>
      <c r="Y2176" s="36"/>
      <c r="Z2176" s="36">
        <v>242217</v>
      </c>
      <c r="AA2176" s="125" t="s">
        <v>121</v>
      </c>
      <c r="AB2176" s="172">
        <v>45469</v>
      </c>
      <c r="AC2176" s="119">
        <v>20232173</v>
      </c>
      <c r="AD2176" s="36">
        <f t="shared" si="246"/>
        <v>36862944</v>
      </c>
      <c r="AE2176" s="36" t="str">
        <f t="shared" si="247"/>
        <v>TK.KWVE20-B-A-L-0038-WW1</v>
      </c>
      <c r="AF2176" s="36">
        <v>24</v>
      </c>
      <c r="AG2176" s="120">
        <f t="shared" si="250"/>
        <v>137.28</v>
      </c>
      <c r="AH2176" s="36"/>
      <c r="AI2176" s="124"/>
      <c r="AJ2176" s="122" t="s">
        <v>1697</v>
      </c>
      <c r="AK2176" s="129" t="str">
        <f t="shared" ca="1" si="249"/>
        <v>Late</v>
      </c>
      <c r="AL2176" s="268" t="str">
        <f t="shared" si="248"/>
        <v>June</v>
      </c>
      <c r="AM2176" s="133">
        <f>YEAR(Table1[[#This Row],[ETA
As requested
dd.mm.yyyy]])</f>
        <v>2024</v>
      </c>
    </row>
    <row r="2177" spans="1:39" hidden="1">
      <c r="A2177" s="123" t="s">
        <v>83</v>
      </c>
      <c r="B2177" s="36" t="s">
        <v>1170</v>
      </c>
      <c r="C2177" s="117">
        <v>36862944</v>
      </c>
      <c r="D2177" s="165">
        <v>45439</v>
      </c>
      <c r="E2177" s="117" t="s">
        <v>100</v>
      </c>
      <c r="F2177" s="36" t="str">
        <f>IFERROR(VLOOKUP(Table1[[#This Row],[Part Number]],DATABASE_FG!$C$6:D12166,2,FALSE)," ")</f>
        <v>054830877-8011</v>
      </c>
      <c r="G2177" s="117" t="str">
        <f>IFERROR(_xlfn.XLOOKUP(Table1[[#This Row],[Part Number]],Table3[Part number],Table3[Drawing
 Revision]),"")</f>
        <v>AA</v>
      </c>
      <c r="H2177" s="118" cm="1">
        <f t="array" ref="H2177">IFERROR(INDEX(PDB!$C:$AT,MATCH(E2177,PDB!$B:$B,0),MATCH(YEAR(K2177),0+PDB!$C$1:$AT$1,0)),"")</f>
        <v>5.72</v>
      </c>
      <c r="I2177" s="36"/>
      <c r="J2177" s="125">
        <f>IFERROR(Table1[[#This Row],[Quantity]]*Table1[[#This Row],[Price/Unit
EUR]]," ")</f>
        <v>0</v>
      </c>
      <c r="K2177" s="126">
        <v>45461</v>
      </c>
      <c r="L2177" s="36">
        <f>WEEKNUM(Table1[[#This Row],[ETA
As requested
dd.mm.yyyy]])</f>
        <v>25</v>
      </c>
      <c r="M2177" s="36">
        <f>YEAR(Table1[[#This Row],[ETA
As requested
dd.mm.yyyy]])</f>
        <v>2024</v>
      </c>
      <c r="N2177" s="36">
        <f>IFERROR(INDEX(DATABASE_FG!$H$5:$H$367, MATCH(E2177, DATABASE_FG!$C$5:$C$367, 0)), " ")</f>
        <v>0</v>
      </c>
      <c r="O2177" s="129" t="str">
        <f>IF(E2177&lt;&gt;"", _xlfn.XLOOKUP(E2177, DATABASE_FG!C:C, DATABASE_FG!F:F), " ")</f>
        <v>Ghidaje</v>
      </c>
      <c r="P2177" s="36">
        <f>IFERROR(INDEX(DATABASE_FG!$G$5:$G$367, MATCH(E2177, DATABASE_FG!$C$5:$C$367, 0)), "Not Found")</f>
        <v>0</v>
      </c>
      <c r="Q2177" s="36"/>
      <c r="R2177" s="125" t="s">
        <v>678</v>
      </c>
      <c r="S2177" s="123">
        <f>Table1[[#This Row],[Quantity]]/48</f>
        <v>0</v>
      </c>
      <c r="T2177" s="36"/>
      <c r="U2177" s="36"/>
      <c r="V2177" s="36"/>
      <c r="W2177" s="129"/>
      <c r="X2177" s="36"/>
      <c r="Y2177" s="36"/>
      <c r="Z2177" s="36"/>
      <c r="AA2177" s="125" t="s">
        <v>121</v>
      </c>
      <c r="AB2177" s="172">
        <v>45470</v>
      </c>
      <c r="AC2177" s="119">
        <v>20232179</v>
      </c>
      <c r="AD2177" s="36">
        <f t="shared" si="246"/>
        <v>36862944</v>
      </c>
      <c r="AE2177" s="36" t="str">
        <f t="shared" si="247"/>
        <v>TK.KWVE20-B-A-L-0038-WW1</v>
      </c>
      <c r="AF2177" s="36">
        <v>72</v>
      </c>
      <c r="AG2177" s="120">
        <f t="shared" si="250"/>
        <v>411.84</v>
      </c>
      <c r="AH2177" s="36"/>
      <c r="AI2177" s="124"/>
      <c r="AJ2177" s="122" t="s">
        <v>1699</v>
      </c>
      <c r="AK2177" s="129" t="str">
        <f t="shared" ca="1" si="249"/>
        <v>Late</v>
      </c>
      <c r="AL2177" s="268" t="str">
        <f t="shared" si="248"/>
        <v>June</v>
      </c>
      <c r="AM2177" s="133">
        <f>YEAR(Table1[[#This Row],[ETA
As requested
dd.mm.yyyy]])</f>
        <v>2024</v>
      </c>
    </row>
    <row r="2178" spans="1:39" hidden="1">
      <c r="A2178" s="123" t="s">
        <v>83</v>
      </c>
      <c r="B2178" s="36" t="s">
        <v>1170</v>
      </c>
      <c r="C2178" s="117">
        <v>36862944</v>
      </c>
      <c r="D2178" s="165">
        <v>45439</v>
      </c>
      <c r="E2178" s="117" t="s">
        <v>100</v>
      </c>
      <c r="F2178" s="36" t="str">
        <f>IFERROR(VLOOKUP(Table1[[#This Row],[Part Number]],DATABASE_FG!$C$6:D12167,2,FALSE)," ")</f>
        <v>054830877-8011</v>
      </c>
      <c r="G2178" s="117" t="str">
        <f>IFERROR(_xlfn.XLOOKUP(Table1[[#This Row],[Part Number]],Table3[Part number],Table3[Drawing
 Revision]),"")</f>
        <v>AA</v>
      </c>
      <c r="H2178" s="118" cm="1">
        <f t="array" ref="H2178">IFERROR(INDEX(PDB!$C:$AT,MATCH(E2178,PDB!$B:$B,0),MATCH(YEAR(K2178),0+PDB!$C$1:$AT$1,0)),"")</f>
        <v>5.72</v>
      </c>
      <c r="I2178" s="36"/>
      <c r="J2178" s="125">
        <f>IFERROR(Table1[[#This Row],[Quantity]]*Table1[[#This Row],[Price/Unit
EUR]]," ")</f>
        <v>0</v>
      </c>
      <c r="K2178" s="126">
        <v>45461</v>
      </c>
      <c r="L2178" s="36">
        <f>WEEKNUM(Table1[[#This Row],[ETA
As requested
dd.mm.yyyy]])</f>
        <v>25</v>
      </c>
      <c r="M2178" s="36">
        <f>YEAR(Table1[[#This Row],[ETA
As requested
dd.mm.yyyy]])</f>
        <v>2024</v>
      </c>
      <c r="N2178" s="36">
        <f>IFERROR(INDEX(DATABASE_FG!$H$5:$H$367, MATCH(E2178, DATABASE_FG!$C$5:$C$367, 0)), " ")</f>
        <v>0</v>
      </c>
      <c r="O2178" s="129" t="str">
        <f>IF(E2178&lt;&gt;"", _xlfn.XLOOKUP(E2178, DATABASE_FG!C:C, DATABASE_FG!F:F), " ")</f>
        <v>Ghidaje</v>
      </c>
      <c r="P2178" s="36">
        <f>IFERROR(INDEX(DATABASE_FG!$G$5:$G$367, MATCH(E2178, DATABASE_FG!$C$5:$C$367, 0)), "Not Found")</f>
        <v>0</v>
      </c>
      <c r="Q2178" s="36"/>
      <c r="R2178" s="125" t="s">
        <v>678</v>
      </c>
      <c r="S2178" s="123">
        <f>Table1[[#This Row],[Quantity]]/48</f>
        <v>0</v>
      </c>
      <c r="T2178" s="36"/>
      <c r="U2178" s="36"/>
      <c r="V2178" s="36"/>
      <c r="W2178" s="129"/>
      <c r="X2178" s="36"/>
      <c r="Y2178" s="36"/>
      <c r="Z2178" s="36"/>
      <c r="AA2178" s="125" t="s">
        <v>121</v>
      </c>
      <c r="AB2178" s="172">
        <v>45471</v>
      </c>
      <c r="AC2178" s="119">
        <v>2024746</v>
      </c>
      <c r="AD2178" s="36">
        <f t="shared" si="246"/>
        <v>36862944</v>
      </c>
      <c r="AE2178" s="36" t="str">
        <f t="shared" si="247"/>
        <v>TK.KWVE20-B-A-L-0038-WW1</v>
      </c>
      <c r="AF2178" s="36">
        <v>4</v>
      </c>
      <c r="AG2178" s="120">
        <f t="shared" si="250"/>
        <v>22.88</v>
      </c>
      <c r="AH2178" s="36"/>
      <c r="AI2178" s="124"/>
      <c r="AJ2178" s="122" t="s">
        <v>1700</v>
      </c>
      <c r="AK2178" s="129" t="str">
        <f t="shared" ca="1" si="249"/>
        <v>Late</v>
      </c>
      <c r="AL2178" s="268" t="str">
        <f t="shared" si="248"/>
        <v>June</v>
      </c>
      <c r="AM2178" s="133">
        <f>YEAR(Table1[[#This Row],[ETA
As requested
dd.mm.yyyy]])</f>
        <v>2024</v>
      </c>
    </row>
    <row r="2179" spans="1:39" hidden="1">
      <c r="A2179" s="123" t="s">
        <v>83</v>
      </c>
      <c r="B2179" s="36" t="s">
        <v>1170</v>
      </c>
      <c r="C2179" s="117">
        <v>36862944</v>
      </c>
      <c r="D2179" s="165">
        <v>45440</v>
      </c>
      <c r="E2179" s="117" t="s">
        <v>100</v>
      </c>
      <c r="F2179" s="36" t="str">
        <f>IFERROR(VLOOKUP(Table1[[#This Row],[Part Number]],DATABASE_FG!$C$6:D12168,2,FALSE)," ")</f>
        <v>054830877-8011</v>
      </c>
      <c r="G2179" s="117" t="str">
        <f>IFERROR(_xlfn.XLOOKUP(Table1[[#This Row],[Part Number]],Table3[Part number],Table3[Drawing
 Revision]),"")</f>
        <v>AA</v>
      </c>
      <c r="H2179" s="118" cm="1">
        <f t="array" ref="H2179">IFERROR(INDEX(PDB!$C:$AT,MATCH(E2179,PDB!$B:$B,0),MATCH(YEAR(K2179),0+PDB!$C$1:$AT$1,0)),"")</f>
        <v>5.72</v>
      </c>
      <c r="I2179" s="36">
        <v>100</v>
      </c>
      <c r="J2179" s="125">
        <f>IFERROR(Table1[[#This Row],[Quantity]]*Table1[[#This Row],[Price/Unit
EUR]]," ")</f>
        <v>572</v>
      </c>
      <c r="K2179" s="126">
        <v>45463</v>
      </c>
      <c r="L2179" s="36">
        <f>WEEKNUM(Table1[[#This Row],[ETA
As requested
dd.mm.yyyy]])</f>
        <v>25</v>
      </c>
      <c r="M2179" s="36">
        <f>YEAR(Table1[[#This Row],[ETA
As requested
dd.mm.yyyy]])</f>
        <v>2024</v>
      </c>
      <c r="N2179" s="36">
        <f>IFERROR(INDEX(DATABASE_FG!$H$5:$H$367, MATCH(E2179, DATABASE_FG!$C$5:$C$367, 0)), " ")</f>
        <v>0</v>
      </c>
      <c r="O2179" s="129" t="str">
        <f>IF(E2179&lt;&gt;"", _xlfn.XLOOKUP(E2179, DATABASE_FG!C:C, DATABASE_FG!F:F), " ")</f>
        <v>Ghidaje</v>
      </c>
      <c r="P2179" s="36">
        <f>IFERROR(INDEX(DATABASE_FG!$G$5:$G$367, MATCH(E2179, DATABASE_FG!$C$5:$C$367, 0)), "Not Found")</f>
        <v>0</v>
      </c>
      <c r="Q2179" s="36"/>
      <c r="R2179" s="125" t="s">
        <v>678</v>
      </c>
      <c r="S2179" s="123">
        <f>IFERROR(INDEX(DATABASE_FG!$L$5:$L$367, MATCH(E2179, DATABASE_FG!$C$5:$C$367, 0)), " ")</f>
        <v>42</v>
      </c>
      <c r="T2179" s="36" t="s">
        <v>679</v>
      </c>
      <c r="U2179" s="36"/>
      <c r="V2179" s="36"/>
      <c r="W2179" s="129"/>
      <c r="X2179" s="36"/>
      <c r="Y2179" s="36"/>
      <c r="Z2179" s="36">
        <v>242217</v>
      </c>
      <c r="AA2179" s="125" t="s">
        <v>121</v>
      </c>
      <c r="AB2179" s="172">
        <v>45471</v>
      </c>
      <c r="AC2179" s="119">
        <v>2024746</v>
      </c>
      <c r="AD2179" s="36">
        <f t="shared" si="246"/>
        <v>36862944</v>
      </c>
      <c r="AE2179" s="36" t="str">
        <f t="shared" si="247"/>
        <v>TK.KWVE20-B-A-L-0038-WW1</v>
      </c>
      <c r="AF2179" s="36">
        <v>100</v>
      </c>
      <c r="AG2179" s="120">
        <f t="shared" si="250"/>
        <v>572</v>
      </c>
      <c r="AH2179" s="36"/>
      <c r="AI2179" s="124"/>
      <c r="AJ2179" s="122" t="s">
        <v>1700</v>
      </c>
      <c r="AK2179" s="129" t="str">
        <f t="shared" ca="1" si="249"/>
        <v>Late</v>
      </c>
      <c r="AL2179" s="268" t="str">
        <f t="shared" si="248"/>
        <v>June</v>
      </c>
      <c r="AM2179" s="133">
        <f>YEAR(Table1[[#This Row],[ETA
As requested
dd.mm.yyyy]])</f>
        <v>2024</v>
      </c>
    </row>
    <row r="2180" spans="1:39" hidden="1">
      <c r="A2180" s="123" t="s">
        <v>83</v>
      </c>
      <c r="B2180" s="36" t="s">
        <v>1170</v>
      </c>
      <c r="C2180" s="117">
        <v>36862973</v>
      </c>
      <c r="D2180" s="165">
        <v>45440</v>
      </c>
      <c r="E2180" s="117" t="s">
        <v>100</v>
      </c>
      <c r="F2180" s="36" t="str">
        <f>IFERROR(VLOOKUP(Table1[[#This Row],[Part Number]],DATABASE_FG!$C$6:D12169,2,FALSE)," ")</f>
        <v>054830877-8011</v>
      </c>
      <c r="G2180" s="117" t="str">
        <f>IFERROR(_xlfn.XLOOKUP(Table1[[#This Row],[Part Number]],Table3[Part number],Table3[Drawing
 Revision]),"")</f>
        <v>AA</v>
      </c>
      <c r="H2180" s="118" cm="1">
        <f t="array" ref="H2180">IFERROR(INDEX(PDB!$C:$AT,MATCH(E2180,PDB!$B:$B,0),MATCH(YEAR(K2180),0+PDB!$C$1:$AT$1,0)),"")</f>
        <v>5.72</v>
      </c>
      <c r="I2180" s="36">
        <v>100</v>
      </c>
      <c r="J2180" s="125">
        <f>IFERROR(Table1[[#This Row],[Quantity]]*Table1[[#This Row],[Price/Unit
EUR]]," ")</f>
        <v>572</v>
      </c>
      <c r="K2180" s="126">
        <v>45468</v>
      </c>
      <c r="L2180" s="36">
        <f>WEEKNUM(Table1[[#This Row],[ETA
As requested
dd.mm.yyyy]])</f>
        <v>26</v>
      </c>
      <c r="M2180" s="36">
        <f>YEAR(Table1[[#This Row],[ETA
As requested
dd.mm.yyyy]])</f>
        <v>2024</v>
      </c>
      <c r="N2180" s="36">
        <f>IFERROR(INDEX(DATABASE_FG!$H$5:$H$367, MATCH(E2180, DATABASE_FG!$C$5:$C$367, 0)), " ")</f>
        <v>0</v>
      </c>
      <c r="O2180" s="129" t="str">
        <f>IF(E2180&lt;&gt;"", _xlfn.XLOOKUP(E2180, DATABASE_FG!C:C, DATABASE_FG!F:F), " ")</f>
        <v>Ghidaje</v>
      </c>
      <c r="P2180" s="36">
        <f>IFERROR(INDEX(DATABASE_FG!$G$5:$G$367, MATCH(E2180, DATABASE_FG!$C$5:$C$367, 0)), "Not Found")</f>
        <v>0</v>
      </c>
      <c r="Q2180" s="36"/>
      <c r="R2180" s="125" t="s">
        <v>678</v>
      </c>
      <c r="S2180" s="123">
        <f>IFERROR(INDEX(DATABASE_FG!$L$5:$L$367, MATCH(E2180, DATABASE_FG!$C$5:$C$367, 0)), " ")</f>
        <v>42</v>
      </c>
      <c r="T2180" s="36" t="s">
        <v>679</v>
      </c>
      <c r="U2180" s="36"/>
      <c r="V2180" s="36"/>
      <c r="W2180" s="129"/>
      <c r="X2180" s="36"/>
      <c r="Y2180" s="36"/>
      <c r="Z2180" s="36" t="s">
        <v>1727</v>
      </c>
      <c r="AA2180" s="125" t="s">
        <v>121</v>
      </c>
      <c r="AB2180" s="173">
        <v>45471</v>
      </c>
      <c r="AC2180" s="119">
        <v>2024747</v>
      </c>
      <c r="AD2180" s="36">
        <f t="shared" si="246"/>
        <v>36862973</v>
      </c>
      <c r="AE2180" s="36" t="str">
        <f t="shared" si="247"/>
        <v>TK.KWVE20-B-A-L-0038-WW1</v>
      </c>
      <c r="AF2180" s="36">
        <v>25</v>
      </c>
      <c r="AG2180" s="120">
        <f t="shared" si="250"/>
        <v>143</v>
      </c>
      <c r="AH2180" s="36"/>
      <c r="AI2180" s="124"/>
      <c r="AJ2180" s="122" t="s">
        <v>1728</v>
      </c>
      <c r="AK2180" s="129" t="str">
        <f t="shared" ca="1" si="249"/>
        <v>Late</v>
      </c>
      <c r="AL2180" s="268" t="str">
        <f t="shared" si="248"/>
        <v>June</v>
      </c>
      <c r="AM2180" s="133">
        <f>YEAR(Table1[[#This Row],[ETA
As requested
dd.mm.yyyy]])</f>
        <v>2024</v>
      </c>
    </row>
    <row r="2181" spans="1:39" hidden="1">
      <c r="A2181" s="123" t="s">
        <v>83</v>
      </c>
      <c r="B2181" s="36" t="s">
        <v>1170</v>
      </c>
      <c r="C2181" s="117">
        <v>36862973</v>
      </c>
      <c r="D2181" s="165">
        <v>45440</v>
      </c>
      <c r="E2181" s="117" t="s">
        <v>100</v>
      </c>
      <c r="F2181" s="36" t="str">
        <f>IFERROR(VLOOKUP(Table1[[#This Row],[Part Number]],DATABASE_FG!$C$6:D12170,2,FALSE)," ")</f>
        <v>054830877-8011</v>
      </c>
      <c r="G2181" s="117" t="str">
        <f>IFERROR(_xlfn.XLOOKUP(Table1[[#This Row],[Part Number]],Table3[Part number],Table3[Drawing
 Revision]),"")</f>
        <v>AA</v>
      </c>
      <c r="H2181" s="118" cm="1">
        <f t="array" ref="H2181">IFERROR(INDEX(PDB!$C:$AT,MATCH(E2181,PDB!$B:$B,0),MATCH(YEAR(K2181),0+PDB!$C$1:$AT$1,0)),"")</f>
        <v>5.72</v>
      </c>
      <c r="I2181" s="36"/>
      <c r="J2181" s="125">
        <f>IFERROR(Table1[[#This Row],[Quantity]]*Table1[[#This Row],[Price/Unit
EUR]]," ")</f>
        <v>0</v>
      </c>
      <c r="K2181" s="126">
        <v>45468</v>
      </c>
      <c r="L2181" s="36">
        <f>WEEKNUM(Table1[[#This Row],[ETA
As requested
dd.mm.yyyy]])</f>
        <v>26</v>
      </c>
      <c r="M2181" s="36">
        <f>YEAR(Table1[[#This Row],[ETA
As requested
dd.mm.yyyy]])</f>
        <v>2024</v>
      </c>
      <c r="N2181" s="36">
        <f>IFERROR(INDEX(DATABASE_FG!$H$5:$H$367, MATCH(E2181, DATABASE_FG!$C$5:$C$367, 0)), " ")</f>
        <v>0</v>
      </c>
      <c r="O2181" s="129" t="str">
        <f>IF(E2181&lt;&gt;"", _xlfn.XLOOKUP(E2181, DATABASE_FG!C:C, DATABASE_FG!F:F), " ")</f>
        <v>Ghidaje</v>
      </c>
      <c r="P2181" s="36">
        <f>IFERROR(INDEX(DATABASE_FG!$G$5:$G$367, MATCH(E2181, DATABASE_FG!$C$5:$C$367, 0)), "Not Found")</f>
        <v>0</v>
      </c>
      <c r="Q2181" s="36"/>
      <c r="R2181" s="125" t="s">
        <v>678</v>
      </c>
      <c r="S2181" s="123">
        <f>Table1[[#This Row],[Quantity]]/48</f>
        <v>0</v>
      </c>
      <c r="T2181" s="36"/>
      <c r="U2181" s="36"/>
      <c r="V2181" s="36"/>
      <c r="W2181" s="129"/>
      <c r="X2181" s="36"/>
      <c r="Y2181" s="36"/>
      <c r="Z2181" s="36"/>
      <c r="AA2181" s="125" t="s">
        <v>121</v>
      </c>
      <c r="AB2181" s="172">
        <v>45475</v>
      </c>
      <c r="AC2181" s="119">
        <v>2024768</v>
      </c>
      <c r="AD2181" s="36">
        <f t="shared" si="246"/>
        <v>36862973</v>
      </c>
      <c r="AE2181" s="36" t="str">
        <f t="shared" si="247"/>
        <v>TK.KWVE20-B-A-L-0038-WW1</v>
      </c>
      <c r="AF2181" s="36">
        <v>75</v>
      </c>
      <c r="AG2181" s="120">
        <f t="shared" si="250"/>
        <v>429</v>
      </c>
      <c r="AH2181" s="36"/>
      <c r="AI2181" s="124"/>
      <c r="AJ2181" s="122" t="s">
        <v>1731</v>
      </c>
      <c r="AK2181" s="129" t="str">
        <f t="shared" ca="1" si="249"/>
        <v>Late</v>
      </c>
      <c r="AL2181" s="268" t="str">
        <f t="shared" si="248"/>
        <v>June</v>
      </c>
      <c r="AM2181" s="133">
        <f>YEAR(Table1[[#This Row],[ETA
As requested
dd.mm.yyyy]])</f>
        <v>2024</v>
      </c>
    </row>
    <row r="2182" spans="1:39" hidden="1">
      <c r="A2182" s="123" t="s">
        <v>83</v>
      </c>
      <c r="B2182" s="36" t="s">
        <v>1170</v>
      </c>
      <c r="C2182" s="117">
        <v>36862973</v>
      </c>
      <c r="D2182" s="165">
        <v>45441</v>
      </c>
      <c r="E2182" s="117" t="s">
        <v>100</v>
      </c>
      <c r="F2182" s="36" t="str">
        <f>IFERROR(VLOOKUP(Table1[[#This Row],[Part Number]],DATABASE_FG!$C$6:D12171,2,FALSE)," ")</f>
        <v>054830877-8011</v>
      </c>
      <c r="G2182" s="117" t="str">
        <f>IFERROR(_xlfn.XLOOKUP(Table1[[#This Row],[Part Number]],Table3[Part number],Table3[Drawing
 Revision]),"")</f>
        <v>AA</v>
      </c>
      <c r="H2182" s="118" cm="1">
        <f t="array" ref="H2182">IFERROR(INDEX(PDB!$C:$AT,MATCH(E2182,PDB!$B:$B,0),MATCH(YEAR(K2182),0+PDB!$C$1:$AT$1,0)),"")</f>
        <v>5.72</v>
      </c>
      <c r="I2182" s="36">
        <v>100</v>
      </c>
      <c r="J2182" s="125">
        <f>IFERROR(Table1[[#This Row],[Quantity]]*Table1[[#This Row],[Price/Unit
EUR]]," ")</f>
        <v>572</v>
      </c>
      <c r="K2182" s="126">
        <v>45468</v>
      </c>
      <c r="L2182" s="36">
        <f>WEEKNUM(Table1[[#This Row],[ETA
As requested
dd.mm.yyyy]])</f>
        <v>26</v>
      </c>
      <c r="M2182" s="36">
        <f>YEAR(Table1[[#This Row],[ETA
As requested
dd.mm.yyyy]])</f>
        <v>2024</v>
      </c>
      <c r="N2182" s="36">
        <f>IFERROR(INDEX(DATABASE_FG!$H$5:$H$367, MATCH(E2182, DATABASE_FG!$C$5:$C$367, 0)), " ")</f>
        <v>0</v>
      </c>
      <c r="O2182" s="129" t="str">
        <f>IF(E2182&lt;&gt;"", _xlfn.XLOOKUP(E2182, DATABASE_FG!C:C, DATABASE_FG!F:F), " ")</f>
        <v>Ghidaje</v>
      </c>
      <c r="P2182" s="36">
        <f>IFERROR(INDEX(DATABASE_FG!$G$5:$G$367, MATCH(E2182, DATABASE_FG!$C$5:$C$367, 0)), "Not Found")</f>
        <v>0</v>
      </c>
      <c r="Q2182" s="36"/>
      <c r="R2182" s="125" t="s">
        <v>678</v>
      </c>
      <c r="S2182" s="123">
        <f>IFERROR(INDEX(DATABASE_FG!$L$5:$L$367, MATCH(E2182, DATABASE_FG!$C$5:$C$367, 0)), " ")</f>
        <v>42</v>
      </c>
      <c r="T2182" s="36" t="s">
        <v>679</v>
      </c>
      <c r="U2182" s="36"/>
      <c r="V2182" s="36"/>
      <c r="W2182" s="129"/>
      <c r="X2182" s="36"/>
      <c r="Y2182" s="36"/>
      <c r="Z2182" s="36" t="s">
        <v>1727</v>
      </c>
      <c r="AA2182" s="125" t="s">
        <v>121</v>
      </c>
      <c r="AB2182" s="173">
        <v>45475</v>
      </c>
      <c r="AC2182" s="119">
        <v>2024768</v>
      </c>
      <c r="AD2182" s="36">
        <f t="shared" si="246"/>
        <v>36862973</v>
      </c>
      <c r="AE2182" s="36" t="str">
        <f t="shared" si="247"/>
        <v>TK.KWVE20-B-A-L-0038-WW1</v>
      </c>
      <c r="AF2182" s="36">
        <v>100</v>
      </c>
      <c r="AG2182" s="120">
        <f t="shared" si="250"/>
        <v>572</v>
      </c>
      <c r="AH2182" s="36"/>
      <c r="AI2182" s="124"/>
      <c r="AJ2182" s="122" t="s">
        <v>1731</v>
      </c>
      <c r="AK2182" s="129" t="str">
        <f t="shared" ca="1" si="249"/>
        <v>Late</v>
      </c>
      <c r="AL2182" s="268" t="str">
        <f t="shared" si="248"/>
        <v>June</v>
      </c>
      <c r="AM2182" s="133">
        <f>YEAR(Table1[[#This Row],[ETA
As requested
dd.mm.yyyy]])</f>
        <v>2024</v>
      </c>
    </row>
    <row r="2183" spans="1:39" hidden="1">
      <c r="A2183" s="123" t="s">
        <v>83</v>
      </c>
      <c r="B2183" s="36" t="s">
        <v>1170</v>
      </c>
      <c r="C2183" s="117">
        <v>37069550</v>
      </c>
      <c r="D2183" s="165">
        <v>45471</v>
      </c>
      <c r="E2183" s="117" t="s">
        <v>100</v>
      </c>
      <c r="F2183" s="36" t="str">
        <f>IFERROR(VLOOKUP(Table1[[#This Row],[Part Number]],DATABASE_FG!$C$6:D12172,2,FALSE)," ")</f>
        <v>054830877-8011</v>
      </c>
      <c r="G2183" s="117" t="str">
        <f>IFERROR(_xlfn.XLOOKUP(Table1[[#This Row],[Part Number]],Table3[Part number],Table3[Drawing
 Revision]),"")</f>
        <v>AA</v>
      </c>
      <c r="H2183" s="118" cm="1">
        <f t="array" ref="H2183">IFERROR(INDEX(PDB!$C:$AT,MATCH(E2183,PDB!$B:$B,0),MATCH(YEAR(K2183),0+PDB!$C$1:$AT$1,0)),"")</f>
        <v>5.72</v>
      </c>
      <c r="I2183" s="36">
        <v>100</v>
      </c>
      <c r="J2183" s="125">
        <f>IFERROR(Table1[[#This Row],[Quantity]]*Table1[[#This Row],[Price/Unit
EUR]]," ")</f>
        <v>572</v>
      </c>
      <c r="K2183" s="126">
        <v>45475</v>
      </c>
      <c r="L2183" s="36">
        <f>WEEKNUM(Table1[[#This Row],[ETA
As requested
dd.mm.yyyy]])</f>
        <v>27</v>
      </c>
      <c r="M2183" s="36">
        <f>YEAR(Table1[[#This Row],[ETA
As requested
dd.mm.yyyy]])</f>
        <v>2024</v>
      </c>
      <c r="N2183" s="36">
        <f>IFERROR(INDEX(DATABASE_FG!$H$5:$H$367, MATCH(E2183, DATABASE_FG!$C$5:$C$367, 0)), " ")</f>
        <v>0</v>
      </c>
      <c r="O2183" s="129" t="str">
        <f>IF(E2183&lt;&gt;"", _xlfn.XLOOKUP(E2183, DATABASE_FG!C:C, DATABASE_FG!F:F), " ")</f>
        <v>Ghidaje</v>
      </c>
      <c r="P2183" s="36">
        <f>IFERROR(INDEX(DATABASE_FG!$G$5:$G$367, MATCH(E2183, DATABASE_FG!$C$5:$C$367, 0)), "Not Found")</f>
        <v>0</v>
      </c>
      <c r="Q2183" s="36"/>
      <c r="R2183" s="125" t="s">
        <v>678</v>
      </c>
      <c r="S2183" s="123">
        <f>IFERROR(INDEX(DATABASE_FG!$L$5:$L$367, MATCH(E2183, DATABASE_FG!$C$5:$C$367, 0)), " ")</f>
        <v>42</v>
      </c>
      <c r="T2183" s="36" t="s">
        <v>679</v>
      </c>
      <c r="U2183" s="36"/>
      <c r="V2183" s="36"/>
      <c r="W2183" s="129"/>
      <c r="X2183" s="36"/>
      <c r="Y2183" s="36"/>
      <c r="Z2183" s="36">
        <v>242703</v>
      </c>
      <c r="AA2183" s="125" t="s">
        <v>121</v>
      </c>
      <c r="AB2183" s="173">
        <v>45476</v>
      </c>
      <c r="AC2183" s="119">
        <v>2024784</v>
      </c>
      <c r="AD2183" s="36">
        <f t="shared" si="246"/>
        <v>37069550</v>
      </c>
      <c r="AE2183" s="36" t="str">
        <f t="shared" si="247"/>
        <v>TK.KWVE20-B-A-L-0038-WW1</v>
      </c>
      <c r="AF2183" s="36">
        <v>100</v>
      </c>
      <c r="AG2183" s="120">
        <f t="shared" si="250"/>
        <v>572</v>
      </c>
      <c r="AH2183" s="36"/>
      <c r="AI2183" s="124"/>
      <c r="AJ2183" s="122" t="s">
        <v>1752</v>
      </c>
      <c r="AK2183" s="129" t="str">
        <f t="shared" ca="1" si="249"/>
        <v>On Time</v>
      </c>
      <c r="AL2183" s="268" t="str">
        <f t="shared" si="248"/>
        <v>July</v>
      </c>
      <c r="AM2183" s="133">
        <f>YEAR(Table1[[#This Row],[ETA
As requested
dd.mm.yyyy]])</f>
        <v>2024</v>
      </c>
    </row>
    <row r="2184" spans="1:39" hidden="1">
      <c r="A2184" s="123" t="s">
        <v>83</v>
      </c>
      <c r="B2184" s="36" t="s">
        <v>1170</v>
      </c>
      <c r="C2184" s="117">
        <v>37069550</v>
      </c>
      <c r="D2184" s="165">
        <v>45471</v>
      </c>
      <c r="E2184" s="117" t="s">
        <v>100</v>
      </c>
      <c r="F2184" s="36" t="str">
        <f>IFERROR(VLOOKUP(Table1[[#This Row],[Part Number]],DATABASE_FG!$C$6:D12173,2,FALSE)," ")</f>
        <v>054830877-8011</v>
      </c>
      <c r="G2184" s="117" t="str">
        <f>IFERROR(_xlfn.XLOOKUP(Table1[[#This Row],[Part Number]],Table3[Part number],Table3[Drawing
 Revision]),"")</f>
        <v>AA</v>
      </c>
      <c r="H2184" s="118" cm="1">
        <f t="array" ref="H2184">IFERROR(INDEX(PDB!$C:$AT,MATCH(E2184,PDB!$B:$B,0),MATCH(YEAR(K2184),0+PDB!$C$1:$AT$1,0)),"")</f>
        <v>5.72</v>
      </c>
      <c r="I2184" s="36">
        <v>100</v>
      </c>
      <c r="J2184" s="125">
        <f>IFERROR(Table1[[#This Row],[Quantity]]*Table1[[#This Row],[Price/Unit
EUR]]," ")</f>
        <v>572</v>
      </c>
      <c r="K2184" s="126">
        <v>45477</v>
      </c>
      <c r="L2184" s="36">
        <f>WEEKNUM(Table1[[#This Row],[ETA
As requested
dd.mm.yyyy]])</f>
        <v>27</v>
      </c>
      <c r="M2184" s="36">
        <f>YEAR(Table1[[#This Row],[ETA
As requested
dd.mm.yyyy]])</f>
        <v>2024</v>
      </c>
      <c r="N2184" s="36">
        <f>IFERROR(INDEX(DATABASE_FG!$H$5:$H$367, MATCH(E2184, DATABASE_FG!$C$5:$C$367, 0)), " ")</f>
        <v>0</v>
      </c>
      <c r="O2184" s="129" t="str">
        <f>IF(E2184&lt;&gt;"", _xlfn.XLOOKUP(E2184, DATABASE_FG!C:C, DATABASE_FG!F:F), " ")</f>
        <v>Ghidaje</v>
      </c>
      <c r="P2184" s="36">
        <f>IFERROR(INDEX(DATABASE_FG!$G$5:$G$367, MATCH(E2184, DATABASE_FG!$C$5:$C$367, 0)), "Not Found")</f>
        <v>0</v>
      </c>
      <c r="Q2184" s="36"/>
      <c r="R2184" s="125" t="s">
        <v>678</v>
      </c>
      <c r="S2184" s="123">
        <f>IFERROR(INDEX(DATABASE_FG!$L$5:$L$367, MATCH(E2184, DATABASE_FG!$C$5:$C$367, 0)), " ")</f>
        <v>42</v>
      </c>
      <c r="T2184" s="36" t="s">
        <v>679</v>
      </c>
      <c r="U2184" s="36"/>
      <c r="V2184" s="36"/>
      <c r="W2184" s="129"/>
      <c r="X2184" s="36"/>
      <c r="Y2184" s="36"/>
      <c r="Z2184" s="36">
        <v>242703</v>
      </c>
      <c r="AA2184" s="125" t="s">
        <v>121</v>
      </c>
      <c r="AB2184" s="173">
        <v>45476</v>
      </c>
      <c r="AC2184" s="119">
        <v>2024784</v>
      </c>
      <c r="AD2184" s="36">
        <f t="shared" si="246"/>
        <v>37069550</v>
      </c>
      <c r="AE2184" s="36" t="str">
        <f t="shared" si="247"/>
        <v>TK.KWVE20-B-A-L-0038-WW1</v>
      </c>
      <c r="AF2184" s="36">
        <v>100</v>
      </c>
      <c r="AG2184" s="120">
        <f t="shared" si="250"/>
        <v>572</v>
      </c>
      <c r="AH2184" s="36"/>
      <c r="AI2184" s="124"/>
      <c r="AJ2184" s="122" t="s">
        <v>1752</v>
      </c>
      <c r="AK2184" s="129" t="str">
        <f t="shared" ca="1" si="249"/>
        <v>On Time</v>
      </c>
      <c r="AL2184" s="268" t="str">
        <f t="shared" si="248"/>
        <v>July</v>
      </c>
      <c r="AM2184" s="133">
        <f>YEAR(Table1[[#This Row],[ETA
As requested
dd.mm.yyyy]])</f>
        <v>2024</v>
      </c>
    </row>
    <row r="2185" spans="1:39" hidden="1">
      <c r="A2185" s="123" t="s">
        <v>83</v>
      </c>
      <c r="B2185" s="36" t="s">
        <v>1170</v>
      </c>
      <c r="C2185" s="117">
        <v>37069552</v>
      </c>
      <c r="D2185" s="165">
        <v>45471</v>
      </c>
      <c r="E2185" s="117" t="s">
        <v>100</v>
      </c>
      <c r="F2185" s="36" t="str">
        <f>IFERROR(VLOOKUP(Table1[[#This Row],[Part Number]],DATABASE_FG!$C$6:D12174,2,FALSE)," ")</f>
        <v>054830877-8011</v>
      </c>
      <c r="G2185" s="117" t="str">
        <f>IFERROR(_xlfn.XLOOKUP(Table1[[#This Row],[Part Number]],Table3[Part number],Table3[Drawing
 Revision]),"")</f>
        <v>AA</v>
      </c>
      <c r="H2185" s="118" cm="1">
        <f t="array" ref="H2185">IFERROR(INDEX(PDB!$C:$AT,MATCH(E2185,PDB!$B:$B,0),MATCH(YEAR(K2185),0+PDB!$C$1:$AT$1,0)),"")</f>
        <v>5.72</v>
      </c>
      <c r="I2185" s="36">
        <v>100</v>
      </c>
      <c r="J2185" s="125">
        <f>IFERROR(Table1[[#This Row],[Quantity]]*Table1[[#This Row],[Price/Unit
EUR]]," ")</f>
        <v>572</v>
      </c>
      <c r="K2185" s="126">
        <v>45482</v>
      </c>
      <c r="L2185" s="36">
        <f>WEEKNUM(Table1[[#This Row],[ETA
As requested
dd.mm.yyyy]])</f>
        <v>28</v>
      </c>
      <c r="M2185" s="36">
        <f>YEAR(Table1[[#This Row],[ETA
As requested
dd.mm.yyyy]])</f>
        <v>2024</v>
      </c>
      <c r="N2185" s="36">
        <f>IFERROR(INDEX(DATABASE_FG!$H$5:$H$367, MATCH(E2185, DATABASE_FG!$C$5:$C$367, 0)), " ")</f>
        <v>0</v>
      </c>
      <c r="O2185" s="129" t="str">
        <f>IF(E2185&lt;&gt;"", _xlfn.XLOOKUP(E2185, DATABASE_FG!C:C, DATABASE_FG!F:F), " ")</f>
        <v>Ghidaje</v>
      </c>
      <c r="P2185" s="36">
        <f>IFERROR(INDEX(DATABASE_FG!$G$5:$G$367, MATCH(E2185, DATABASE_FG!$C$5:$C$367, 0)), "Not Found")</f>
        <v>0</v>
      </c>
      <c r="Q2185" s="36"/>
      <c r="R2185" s="125" t="s">
        <v>678</v>
      </c>
      <c r="S2185" s="123">
        <f>IFERROR(INDEX(DATABASE_FG!$L$5:$L$367, MATCH(E2185, DATABASE_FG!$C$5:$C$367, 0)), " ")</f>
        <v>42</v>
      </c>
      <c r="T2185" s="36" t="s">
        <v>679</v>
      </c>
      <c r="U2185" s="36"/>
      <c r="V2185" s="36"/>
      <c r="W2185" s="129"/>
      <c r="X2185" s="36"/>
      <c r="Y2185" s="36"/>
      <c r="Z2185" s="36">
        <v>242703</v>
      </c>
      <c r="AA2185" s="125" t="s">
        <v>121</v>
      </c>
      <c r="AB2185" s="173">
        <v>45476</v>
      </c>
      <c r="AC2185" s="119">
        <v>2024785</v>
      </c>
      <c r="AD2185" s="36">
        <f t="shared" si="246"/>
        <v>37069552</v>
      </c>
      <c r="AE2185" s="36" t="str">
        <f t="shared" si="247"/>
        <v>TK.KWVE20-B-A-L-0038-WW1</v>
      </c>
      <c r="AF2185" s="36">
        <v>8</v>
      </c>
      <c r="AG2185" s="120">
        <f t="shared" si="250"/>
        <v>45.76</v>
      </c>
      <c r="AH2185" s="36"/>
      <c r="AI2185" s="124"/>
      <c r="AJ2185" s="122" t="s">
        <v>1795</v>
      </c>
      <c r="AK2185" s="129" t="str">
        <f t="shared" ca="1" si="249"/>
        <v>On Time</v>
      </c>
      <c r="AL2185" s="268" t="str">
        <f t="shared" si="248"/>
        <v>July</v>
      </c>
      <c r="AM2185" s="133">
        <f>YEAR(Table1[[#This Row],[ETA
As requested
dd.mm.yyyy]])</f>
        <v>2024</v>
      </c>
    </row>
    <row r="2186" spans="1:39" hidden="1">
      <c r="A2186" s="123" t="s">
        <v>83</v>
      </c>
      <c r="B2186" s="36" t="s">
        <v>1170</v>
      </c>
      <c r="C2186" s="117">
        <v>37069552</v>
      </c>
      <c r="D2186" s="165">
        <v>45471</v>
      </c>
      <c r="E2186" s="117" t="s">
        <v>100</v>
      </c>
      <c r="F2186" s="36" t="str">
        <f>IFERROR(VLOOKUP(Table1[[#This Row],[Part Number]],DATABASE_FG!$C$6:D12175,2,FALSE)," ")</f>
        <v>054830877-8011</v>
      </c>
      <c r="G2186" s="117" t="str">
        <f>IFERROR(_xlfn.XLOOKUP(Table1[[#This Row],[Part Number]],Table3[Part number],Table3[Drawing
 Revision]),"")</f>
        <v>AA</v>
      </c>
      <c r="H2186" s="118" cm="1">
        <f t="array" ref="H2186">IFERROR(INDEX(PDB!$C:$AT,MATCH(E2186,PDB!$B:$B,0),MATCH(YEAR(K2186),0+PDB!$C$1:$AT$1,0)),"")</f>
        <v>5.72</v>
      </c>
      <c r="I2186" s="36"/>
      <c r="J2186" s="125">
        <f>IFERROR(Table1[[#This Row],[Quantity]]*Table1[[#This Row],[Price/Unit
EUR]]," ")</f>
        <v>0</v>
      </c>
      <c r="K2186" s="126">
        <v>45482</v>
      </c>
      <c r="L2186" s="36">
        <f>WEEKNUM(Table1[[#This Row],[ETA
As requested
dd.mm.yyyy]])</f>
        <v>28</v>
      </c>
      <c r="M2186" s="36">
        <f>YEAR(Table1[[#This Row],[ETA
As requested
dd.mm.yyyy]])</f>
        <v>2024</v>
      </c>
      <c r="N2186" s="36">
        <f>IFERROR(INDEX(DATABASE_FG!$H$5:$H$367, MATCH(E2186, DATABASE_FG!$C$5:$C$367, 0)), " ")</f>
        <v>0</v>
      </c>
      <c r="O2186" s="129" t="str">
        <f>IF(E2186&lt;&gt;"", _xlfn.XLOOKUP(E2186, DATABASE_FG!C:C, DATABASE_FG!F:F), " ")</f>
        <v>Ghidaje</v>
      </c>
      <c r="P2186" s="36">
        <f>IFERROR(INDEX(DATABASE_FG!$G$5:$G$367, MATCH(E2186, DATABASE_FG!$C$5:$C$367, 0)), "Not Found")</f>
        <v>0</v>
      </c>
      <c r="Q2186" s="36"/>
      <c r="R2186" s="125" t="s">
        <v>678</v>
      </c>
      <c r="S2186" s="123">
        <f>Table1[[#This Row],[Quantity]]/48</f>
        <v>0</v>
      </c>
      <c r="T2186" s="36"/>
      <c r="U2186" s="36"/>
      <c r="V2186" s="36"/>
      <c r="W2186" s="129"/>
      <c r="X2186" s="36"/>
      <c r="Y2186" s="36"/>
      <c r="Z2186" s="36"/>
      <c r="AA2186" s="125" t="s">
        <v>121</v>
      </c>
      <c r="AB2186" s="173">
        <v>45477</v>
      </c>
      <c r="AC2186" s="119">
        <v>2024794</v>
      </c>
      <c r="AD2186" s="36">
        <f t="shared" si="246"/>
        <v>37069552</v>
      </c>
      <c r="AE2186" s="36" t="str">
        <f t="shared" si="247"/>
        <v>TK.KWVE20-B-A-L-0038-WW1</v>
      </c>
      <c r="AF2186" s="36">
        <v>92</v>
      </c>
      <c r="AG2186" s="120">
        <f t="shared" si="250"/>
        <v>526.24</v>
      </c>
      <c r="AH2186" s="36"/>
      <c r="AI2186" s="124"/>
      <c r="AJ2186" s="122" t="s">
        <v>1796</v>
      </c>
      <c r="AK2186" s="129" t="str">
        <f t="shared" ca="1" si="249"/>
        <v>On Time</v>
      </c>
      <c r="AL2186" s="268" t="str">
        <f t="shared" si="248"/>
        <v>July</v>
      </c>
      <c r="AM2186" s="133">
        <f>YEAR(Table1[[#This Row],[ETA
As requested
dd.mm.yyyy]])</f>
        <v>2024</v>
      </c>
    </row>
    <row r="2187" spans="1:39" hidden="1">
      <c r="A2187" s="123" t="s">
        <v>83</v>
      </c>
      <c r="B2187" s="36" t="s">
        <v>1170</v>
      </c>
      <c r="C2187" s="117">
        <v>37069552</v>
      </c>
      <c r="D2187" s="165">
        <v>45471</v>
      </c>
      <c r="E2187" s="117" t="s">
        <v>100</v>
      </c>
      <c r="F2187" s="36" t="str">
        <f>IFERROR(VLOOKUP(Table1[[#This Row],[Part Number]],DATABASE_FG!$C$6:D12176,2,FALSE)," ")</f>
        <v>054830877-8011</v>
      </c>
      <c r="G2187" s="117" t="str">
        <f>IFERROR(_xlfn.XLOOKUP(Table1[[#This Row],[Part Number]],Table3[Part number],Table3[Drawing
 Revision]),"")</f>
        <v>AA</v>
      </c>
      <c r="H2187" s="118" cm="1">
        <f t="array" ref="H2187">IFERROR(INDEX(PDB!$C:$AT,MATCH(E2187,PDB!$B:$B,0),MATCH(YEAR(K2187),0+PDB!$C$1:$AT$1,0)),"")</f>
        <v>5.72</v>
      </c>
      <c r="I2187" s="36">
        <v>100</v>
      </c>
      <c r="J2187" s="125">
        <f>IFERROR(Table1[[#This Row],[Quantity]]*Table1[[#This Row],[Price/Unit
EUR]]," ")</f>
        <v>572</v>
      </c>
      <c r="K2187" s="126">
        <v>45484</v>
      </c>
      <c r="L2187" s="36">
        <f>WEEKNUM(Table1[[#This Row],[ETA
As requested
dd.mm.yyyy]])</f>
        <v>28</v>
      </c>
      <c r="M2187" s="36">
        <f>YEAR(Table1[[#This Row],[ETA
As requested
dd.mm.yyyy]])</f>
        <v>2024</v>
      </c>
      <c r="N2187" s="36">
        <f>IFERROR(INDEX(DATABASE_FG!$H$5:$H$367, MATCH(E2187, DATABASE_FG!$C$5:$C$367, 0)), " ")</f>
        <v>0</v>
      </c>
      <c r="O2187" s="129" t="str">
        <f>IF(E2187&lt;&gt;"", _xlfn.XLOOKUP(E2187, DATABASE_FG!C:C, DATABASE_FG!F:F), " ")</f>
        <v>Ghidaje</v>
      </c>
      <c r="P2187" s="36">
        <f>IFERROR(INDEX(DATABASE_FG!$G$5:$G$367, MATCH(E2187, DATABASE_FG!$C$5:$C$367, 0)), "Not Found")</f>
        <v>0</v>
      </c>
      <c r="Q2187" s="36"/>
      <c r="R2187" s="125" t="s">
        <v>678</v>
      </c>
      <c r="S2187" s="123">
        <f>IFERROR(INDEX(DATABASE_FG!$L$5:$L$367, MATCH(E2187, DATABASE_FG!$C$5:$C$367, 0)), " ")</f>
        <v>42</v>
      </c>
      <c r="T2187" s="36" t="s">
        <v>679</v>
      </c>
      <c r="U2187" s="36"/>
      <c r="V2187" s="36"/>
      <c r="W2187" s="129"/>
      <c r="X2187" s="36"/>
      <c r="Y2187" s="36"/>
      <c r="Z2187" s="36">
        <v>242703</v>
      </c>
      <c r="AA2187" s="125" t="s">
        <v>121</v>
      </c>
      <c r="AB2187" s="173">
        <v>45477</v>
      </c>
      <c r="AC2187" s="119">
        <v>2024794</v>
      </c>
      <c r="AD2187" s="36">
        <f t="shared" si="246"/>
        <v>37069552</v>
      </c>
      <c r="AE2187" s="36" t="str">
        <f t="shared" si="247"/>
        <v>TK.KWVE20-B-A-L-0038-WW1</v>
      </c>
      <c r="AF2187" s="36">
        <v>32</v>
      </c>
      <c r="AG2187" s="120">
        <f t="shared" si="250"/>
        <v>183.04</v>
      </c>
      <c r="AH2187" s="36"/>
      <c r="AI2187" s="124"/>
      <c r="AJ2187" s="122" t="s">
        <v>1796</v>
      </c>
      <c r="AK2187" s="129" t="str">
        <f t="shared" ca="1" si="249"/>
        <v>On Time</v>
      </c>
      <c r="AL2187" s="268" t="str">
        <f t="shared" si="248"/>
        <v>July</v>
      </c>
      <c r="AM2187" s="133">
        <f>YEAR(Table1[[#This Row],[ETA
As requested
dd.mm.yyyy]])</f>
        <v>2024</v>
      </c>
    </row>
    <row r="2188" spans="1:39" hidden="1">
      <c r="A2188" s="123" t="s">
        <v>83</v>
      </c>
      <c r="B2188" s="36" t="s">
        <v>1170</v>
      </c>
      <c r="C2188" s="117">
        <v>37069552</v>
      </c>
      <c r="D2188" s="165">
        <v>45471</v>
      </c>
      <c r="E2188" s="117" t="s">
        <v>100</v>
      </c>
      <c r="F2188" s="36" t="str">
        <f>IFERROR(VLOOKUP(Table1[[#This Row],[Part Number]],DATABASE_FG!$C$6:D12177,2,FALSE)," ")</f>
        <v>054830877-8011</v>
      </c>
      <c r="G2188" s="117" t="str">
        <f>IFERROR(_xlfn.XLOOKUP(Table1[[#This Row],[Part Number]],Table3[Part number],Table3[Drawing
 Revision]),"")</f>
        <v>AA</v>
      </c>
      <c r="H2188" s="118" cm="1">
        <f t="array" ref="H2188">IFERROR(INDEX(PDB!$C:$AT,MATCH(E2188,PDB!$B:$B,0),MATCH(YEAR(K2188),0+PDB!$C$1:$AT$1,0)),"")</f>
        <v>5.72</v>
      </c>
      <c r="I2188" s="36"/>
      <c r="J2188" s="125">
        <f>IFERROR(Table1[[#This Row],[Quantity]]*Table1[[#This Row],[Price/Unit
EUR]]," ")</f>
        <v>0</v>
      </c>
      <c r="K2188" s="126">
        <v>45484</v>
      </c>
      <c r="L2188" s="36">
        <f>WEEKNUM(Table1[[#This Row],[ETA
As requested
dd.mm.yyyy]])</f>
        <v>28</v>
      </c>
      <c r="M2188" s="36">
        <f>YEAR(Table1[[#This Row],[ETA
As requested
dd.mm.yyyy]])</f>
        <v>2024</v>
      </c>
      <c r="N2188" s="36">
        <f>IFERROR(INDEX(DATABASE_FG!$H$5:$H$367, MATCH(E2188, DATABASE_FG!$C$5:$C$367, 0)), " ")</f>
        <v>0</v>
      </c>
      <c r="O2188" s="129" t="str">
        <f>IF(E2188&lt;&gt;"", _xlfn.XLOOKUP(E2188, DATABASE_FG!C:C, DATABASE_FG!F:F), " ")</f>
        <v>Ghidaje</v>
      </c>
      <c r="P2188" s="36">
        <f>IFERROR(INDEX(DATABASE_FG!$G$5:$G$367, MATCH(E2188, DATABASE_FG!$C$5:$C$367, 0)), "Not Found")</f>
        <v>0</v>
      </c>
      <c r="Q2188" s="36"/>
      <c r="R2188" s="125" t="s">
        <v>678</v>
      </c>
      <c r="S2188" s="123">
        <f>Table1[[#This Row],[Quantity]]/48</f>
        <v>0</v>
      </c>
      <c r="T2188" s="36"/>
      <c r="U2188" s="36"/>
      <c r="V2188" s="36"/>
      <c r="W2188" s="129"/>
      <c r="X2188" s="36"/>
      <c r="Y2188" s="36"/>
      <c r="Z2188" s="36"/>
      <c r="AA2188" s="125" t="s">
        <v>121</v>
      </c>
      <c r="AB2188" s="173">
        <v>45478</v>
      </c>
      <c r="AC2188" s="119">
        <v>2024813</v>
      </c>
      <c r="AD2188" s="36">
        <f t="shared" si="246"/>
        <v>37069552</v>
      </c>
      <c r="AE2188" s="36" t="str">
        <f t="shared" si="247"/>
        <v>TK.KWVE20-B-A-L-0038-WW1</v>
      </c>
      <c r="AF2188" s="36">
        <v>68</v>
      </c>
      <c r="AG2188" s="120">
        <f t="shared" si="250"/>
        <v>388.96</v>
      </c>
      <c r="AH2188" s="36"/>
      <c r="AI2188" s="124"/>
      <c r="AJ2188" s="122" t="s">
        <v>1817</v>
      </c>
      <c r="AK2188" s="129" t="str">
        <f t="shared" ca="1" si="249"/>
        <v>On Time</v>
      </c>
      <c r="AL2188" s="268" t="str">
        <f t="shared" si="248"/>
        <v>July</v>
      </c>
      <c r="AM2188" s="133">
        <f>YEAR(Table1[[#This Row],[ETA
As requested
dd.mm.yyyy]])</f>
        <v>2024</v>
      </c>
    </row>
    <row r="2189" spans="1:39" hidden="1">
      <c r="A2189" s="123" t="s">
        <v>83</v>
      </c>
      <c r="B2189" s="36" t="s">
        <v>1170</v>
      </c>
      <c r="C2189" s="117">
        <v>37069557</v>
      </c>
      <c r="D2189" s="165">
        <v>45471</v>
      </c>
      <c r="E2189" s="117" t="s">
        <v>100</v>
      </c>
      <c r="F2189" s="36" t="str">
        <f>IFERROR(VLOOKUP(Table1[[#This Row],[Part Number]],DATABASE_FG!$C$6:D12178,2,FALSE)," ")</f>
        <v>054830877-8011</v>
      </c>
      <c r="G2189" s="117" t="str">
        <f>IFERROR(_xlfn.XLOOKUP(Table1[[#This Row],[Part Number]],Table3[Part number],Table3[Drawing
 Revision]),"")</f>
        <v>AA</v>
      </c>
      <c r="H2189" s="118" cm="1">
        <f t="array" ref="H2189">IFERROR(INDEX(PDB!$C:$AT,MATCH(E2189,PDB!$B:$B,0),MATCH(YEAR(K2189),0+PDB!$C$1:$AT$1,0)),"")</f>
        <v>5.72</v>
      </c>
      <c r="I2189" s="36">
        <v>100</v>
      </c>
      <c r="J2189" s="125">
        <f>IFERROR(Table1[[#This Row],[Quantity]]*Table1[[#This Row],[Price/Unit
EUR]]," ")</f>
        <v>572</v>
      </c>
      <c r="K2189" s="126">
        <v>45489</v>
      </c>
      <c r="L2189" s="36">
        <f>WEEKNUM(Table1[[#This Row],[ETA
As requested
dd.mm.yyyy]])</f>
        <v>29</v>
      </c>
      <c r="M2189" s="36">
        <f>YEAR(Table1[[#This Row],[ETA
As requested
dd.mm.yyyy]])</f>
        <v>2024</v>
      </c>
      <c r="N2189" s="36">
        <f>IFERROR(INDEX(DATABASE_FG!$H$5:$H$367, MATCH(E2189, DATABASE_FG!$C$5:$C$367, 0)), " ")</f>
        <v>0</v>
      </c>
      <c r="O2189" s="129" t="str">
        <f>IF(E2189&lt;&gt;"", _xlfn.XLOOKUP(E2189, DATABASE_FG!C:C, DATABASE_FG!F:F), " ")</f>
        <v>Ghidaje</v>
      </c>
      <c r="P2189" s="36">
        <f>IFERROR(INDEX(DATABASE_FG!$G$5:$G$367, MATCH(E2189, DATABASE_FG!$C$5:$C$367, 0)), "Not Found")</f>
        <v>0</v>
      </c>
      <c r="Q2189" s="36"/>
      <c r="R2189" s="125" t="s">
        <v>678</v>
      </c>
      <c r="S2189" s="123">
        <f>IFERROR(INDEX(DATABASE_FG!$L$5:$L$367, MATCH(E2189, DATABASE_FG!$C$5:$C$367, 0)), " ")</f>
        <v>42</v>
      </c>
      <c r="T2189" s="36" t="s">
        <v>679</v>
      </c>
      <c r="U2189" s="36"/>
      <c r="V2189" s="36"/>
      <c r="W2189" s="129"/>
      <c r="X2189" s="36"/>
      <c r="Y2189" s="36"/>
      <c r="Z2189" s="36">
        <v>242703</v>
      </c>
      <c r="AA2189" s="125" t="s">
        <v>121</v>
      </c>
      <c r="AB2189" s="173">
        <v>45478</v>
      </c>
      <c r="AC2189" s="119">
        <v>2024814</v>
      </c>
      <c r="AD2189" s="36">
        <f t="shared" ref="AD2189:AD2252" si="251">IF(NOT(ISBLANK(AC2189)), C2189, "")</f>
        <v>37069557</v>
      </c>
      <c r="AE2189" s="36" t="str">
        <f t="shared" ref="AE2189:AE2252" si="252">IF(NOT(ISBLANK(AC2189)), E2189, "")</f>
        <v>TK.KWVE20-B-A-L-0038-WW1</v>
      </c>
      <c r="AF2189" s="36">
        <v>41</v>
      </c>
      <c r="AG2189" s="120">
        <f t="shared" si="250"/>
        <v>234.51999999999998</v>
      </c>
      <c r="AH2189" s="36"/>
      <c r="AI2189" s="124"/>
      <c r="AJ2189" s="122" t="s">
        <v>1839</v>
      </c>
      <c r="AK2189" s="129" t="str">
        <f t="shared" ca="1" si="249"/>
        <v>On Time</v>
      </c>
      <c r="AL2189" s="268" t="str">
        <f t="shared" si="248"/>
        <v>July</v>
      </c>
      <c r="AM2189" s="133">
        <f>YEAR(Table1[[#This Row],[ETA
As requested
dd.mm.yyyy]])</f>
        <v>2024</v>
      </c>
    </row>
    <row r="2190" spans="1:39" hidden="1">
      <c r="A2190" s="123" t="s">
        <v>83</v>
      </c>
      <c r="B2190" s="36" t="s">
        <v>1170</v>
      </c>
      <c r="C2190" s="117">
        <v>37069557</v>
      </c>
      <c r="D2190" s="165">
        <v>45471</v>
      </c>
      <c r="E2190" s="117" t="s">
        <v>100</v>
      </c>
      <c r="F2190" s="36" t="str">
        <f>IFERROR(VLOOKUP(Table1[[#This Row],[Part Number]],DATABASE_FG!$C$6:D12179,2,FALSE)," ")</f>
        <v>054830877-8011</v>
      </c>
      <c r="G2190" s="117" t="str">
        <f>IFERROR(_xlfn.XLOOKUP(Table1[[#This Row],[Part Number]],Table3[Part number],Table3[Drawing
 Revision]),"")</f>
        <v>AA</v>
      </c>
      <c r="H2190" s="118" cm="1">
        <f t="array" ref="H2190">IFERROR(INDEX(PDB!$C:$AT,MATCH(E2190,PDB!$B:$B,0),MATCH(YEAR(K2190),0+PDB!$C$1:$AT$1,0)),"")</f>
        <v>5.72</v>
      </c>
      <c r="I2190" s="36"/>
      <c r="J2190" s="125">
        <f>IFERROR(Table1[[#This Row],[Quantity]]*Table1[[#This Row],[Price/Unit
EUR]]," ")</f>
        <v>0</v>
      </c>
      <c r="K2190" s="126">
        <v>45489</v>
      </c>
      <c r="L2190" s="36">
        <f>WEEKNUM(Table1[[#This Row],[ETA
As requested
dd.mm.yyyy]])</f>
        <v>29</v>
      </c>
      <c r="M2190" s="36">
        <f>YEAR(Table1[[#This Row],[ETA
As requested
dd.mm.yyyy]])</f>
        <v>2024</v>
      </c>
      <c r="N2190" s="36">
        <f>IFERROR(INDEX(DATABASE_FG!$H$5:$H$367, MATCH(E2190, DATABASE_FG!$C$5:$C$367, 0)), " ")</f>
        <v>0</v>
      </c>
      <c r="O2190" s="129" t="str">
        <f>IF(E2190&lt;&gt;"", _xlfn.XLOOKUP(E2190, DATABASE_FG!C:C, DATABASE_FG!F:F), " ")</f>
        <v>Ghidaje</v>
      </c>
      <c r="P2190" s="36">
        <f>IFERROR(INDEX(DATABASE_FG!$G$5:$G$367, MATCH(E2190, DATABASE_FG!$C$5:$C$367, 0)), "Not Found")</f>
        <v>0</v>
      </c>
      <c r="Q2190" s="36"/>
      <c r="R2190" s="125" t="s">
        <v>678</v>
      </c>
      <c r="S2190" s="123">
        <f>Table1[[#This Row],[Quantity]]/48</f>
        <v>0</v>
      </c>
      <c r="T2190" s="36"/>
      <c r="U2190" s="36"/>
      <c r="V2190" s="36"/>
      <c r="W2190" s="129"/>
      <c r="X2190" s="36"/>
      <c r="Y2190" s="36"/>
      <c r="Z2190" s="36"/>
      <c r="AA2190" s="125" t="s">
        <v>121</v>
      </c>
      <c r="AB2190" s="173">
        <v>45492</v>
      </c>
      <c r="AC2190" s="119">
        <v>2024886</v>
      </c>
      <c r="AD2190" s="36">
        <f t="shared" si="251"/>
        <v>37069557</v>
      </c>
      <c r="AE2190" s="36" t="str">
        <f t="shared" si="252"/>
        <v>TK.KWVE20-B-A-L-0038-WW1</v>
      </c>
      <c r="AF2190" s="36">
        <v>59</v>
      </c>
      <c r="AG2190" s="120">
        <f t="shared" si="250"/>
        <v>337.47999999999996</v>
      </c>
      <c r="AH2190" s="36"/>
      <c r="AI2190" s="124"/>
      <c r="AJ2190" s="122" t="s">
        <v>1844</v>
      </c>
      <c r="AK2190" s="129" t="str">
        <f t="shared" ca="1" si="249"/>
        <v>Late</v>
      </c>
      <c r="AL2190" s="268" t="str">
        <f t="shared" si="248"/>
        <v>July</v>
      </c>
      <c r="AM2190" s="133">
        <f>YEAR(Table1[[#This Row],[ETA
As requested
dd.mm.yyyy]])</f>
        <v>2024</v>
      </c>
    </row>
    <row r="2191" spans="1:39" hidden="1">
      <c r="A2191" s="123" t="s">
        <v>83</v>
      </c>
      <c r="B2191" s="36" t="s">
        <v>1170</v>
      </c>
      <c r="C2191" s="117">
        <v>37069557</v>
      </c>
      <c r="D2191" s="165">
        <v>45471</v>
      </c>
      <c r="E2191" s="117" t="s">
        <v>100</v>
      </c>
      <c r="F2191" s="36" t="str">
        <f>IFERROR(VLOOKUP(Table1[[#This Row],[Part Number]],DATABASE_FG!$C$6:D12180,2,FALSE)," ")</f>
        <v>054830877-8011</v>
      </c>
      <c r="G2191" s="117" t="str">
        <f>IFERROR(_xlfn.XLOOKUP(Table1[[#This Row],[Part Number]],Table3[Part number],Table3[Drawing
 Revision]),"")</f>
        <v>AA</v>
      </c>
      <c r="H2191" s="118" cm="1">
        <f t="array" ref="H2191">IFERROR(INDEX(PDB!$C:$AT,MATCH(E2191,PDB!$B:$B,0),MATCH(YEAR(K2191),0+PDB!$C$1:$AT$1,0)),"")</f>
        <v>5.72</v>
      </c>
      <c r="I2191" s="36">
        <v>100</v>
      </c>
      <c r="J2191" s="125">
        <f>IFERROR(Table1[[#This Row],[Quantity]]*Table1[[#This Row],[Price/Unit
EUR]]," ")</f>
        <v>572</v>
      </c>
      <c r="K2191" s="126">
        <v>45491</v>
      </c>
      <c r="L2191" s="36">
        <f>WEEKNUM(Table1[[#This Row],[ETA
As requested
dd.mm.yyyy]])</f>
        <v>29</v>
      </c>
      <c r="M2191" s="36">
        <f>YEAR(Table1[[#This Row],[ETA
As requested
dd.mm.yyyy]])</f>
        <v>2024</v>
      </c>
      <c r="N2191" s="36">
        <f>IFERROR(INDEX(DATABASE_FG!$H$5:$H$367, MATCH(E2191, DATABASE_FG!$C$5:$C$367, 0)), " ")</f>
        <v>0</v>
      </c>
      <c r="O2191" s="129" t="str">
        <f>IF(E2191&lt;&gt;"", _xlfn.XLOOKUP(E2191, DATABASE_FG!C:C, DATABASE_FG!F:F), " ")</f>
        <v>Ghidaje</v>
      </c>
      <c r="P2191" s="36">
        <f>IFERROR(INDEX(DATABASE_FG!$G$5:$G$367, MATCH(E2191, DATABASE_FG!$C$5:$C$367, 0)), "Not Found")</f>
        <v>0</v>
      </c>
      <c r="Q2191" s="36"/>
      <c r="R2191" s="125" t="s">
        <v>678</v>
      </c>
      <c r="S2191" s="123">
        <f>IFERROR(INDEX(DATABASE_FG!$L$5:$L$367, MATCH(E2191, DATABASE_FG!$C$5:$C$367, 0)), " ")</f>
        <v>42</v>
      </c>
      <c r="T2191" s="36" t="s">
        <v>679</v>
      </c>
      <c r="U2191" s="36"/>
      <c r="V2191" s="36"/>
      <c r="W2191" s="129"/>
      <c r="X2191" s="36"/>
      <c r="Y2191" s="36"/>
      <c r="Z2191" s="36">
        <v>242903</v>
      </c>
      <c r="AA2191" s="125" t="s">
        <v>121</v>
      </c>
      <c r="AB2191" s="173">
        <v>45492</v>
      </c>
      <c r="AC2191" s="119">
        <v>2024886</v>
      </c>
      <c r="AD2191" s="36">
        <f t="shared" si="251"/>
        <v>37069557</v>
      </c>
      <c r="AE2191" s="36" t="str">
        <f t="shared" si="252"/>
        <v>TK.KWVE20-B-A-L-0038-WW1</v>
      </c>
      <c r="AF2191" s="36">
        <v>100</v>
      </c>
      <c r="AG2191" s="120">
        <f t="shared" si="250"/>
        <v>572</v>
      </c>
      <c r="AH2191" s="36"/>
      <c r="AI2191" s="124"/>
      <c r="AJ2191" s="122" t="s">
        <v>1844</v>
      </c>
      <c r="AK2191" s="129" t="str">
        <f t="shared" ca="1" si="249"/>
        <v>On Time</v>
      </c>
      <c r="AL2191" s="268" t="str">
        <f t="shared" si="248"/>
        <v>July</v>
      </c>
      <c r="AM2191" s="133">
        <f>YEAR(Table1[[#This Row],[ETA
As requested
dd.mm.yyyy]])</f>
        <v>2024</v>
      </c>
    </row>
    <row r="2192" spans="1:39" hidden="1">
      <c r="A2192" s="123" t="s">
        <v>83</v>
      </c>
      <c r="B2192" s="36" t="s">
        <v>1170</v>
      </c>
      <c r="C2192" s="117">
        <v>37069574</v>
      </c>
      <c r="D2192" s="165">
        <v>45471</v>
      </c>
      <c r="E2192" s="117" t="s">
        <v>100</v>
      </c>
      <c r="F2192" s="36" t="str">
        <f>IFERROR(VLOOKUP(Table1[[#This Row],[Part Number]],DATABASE_FG!$C$6:D12181,2,FALSE)," ")</f>
        <v>054830877-8011</v>
      </c>
      <c r="G2192" s="117" t="str">
        <f>IFERROR(_xlfn.XLOOKUP(Table1[[#This Row],[Part Number]],Table3[Part number],Table3[Drawing
 Revision]),"")</f>
        <v>AA</v>
      </c>
      <c r="H2192" s="118" cm="1">
        <f t="array" ref="H2192">IFERROR(INDEX(PDB!$C:$AT,MATCH(E2192,PDB!$B:$B,0),MATCH(YEAR(K2192),0+PDB!$C$1:$AT$1,0)),"")</f>
        <v>5.72</v>
      </c>
      <c r="I2192" s="36">
        <v>100</v>
      </c>
      <c r="J2192" s="125">
        <f>IFERROR(Table1[[#This Row],[Quantity]]*Table1[[#This Row],[Price/Unit
EUR]]," ")</f>
        <v>572</v>
      </c>
      <c r="K2192" s="126">
        <v>45496</v>
      </c>
      <c r="L2192" s="36">
        <f>WEEKNUM(Table1[[#This Row],[ETA
As requested
dd.mm.yyyy]])</f>
        <v>30</v>
      </c>
      <c r="M2192" s="36">
        <f>YEAR(Table1[[#This Row],[ETA
As requested
dd.mm.yyyy]])</f>
        <v>2024</v>
      </c>
      <c r="N2192" s="36">
        <f>IFERROR(INDEX(DATABASE_FG!$H$5:$H$367, MATCH(E2192, DATABASE_FG!$C$5:$C$367, 0)), " ")</f>
        <v>0</v>
      </c>
      <c r="O2192" s="129" t="str">
        <f>IF(E2192&lt;&gt;"", _xlfn.XLOOKUP(E2192, DATABASE_FG!C:C, DATABASE_FG!F:F), " ")</f>
        <v>Ghidaje</v>
      </c>
      <c r="P2192" s="36">
        <f>IFERROR(INDEX(DATABASE_FG!$G$5:$G$367, MATCH(E2192, DATABASE_FG!$C$5:$C$367, 0)), "Not Found")</f>
        <v>0</v>
      </c>
      <c r="Q2192" s="36"/>
      <c r="R2192" s="125" t="s">
        <v>678</v>
      </c>
      <c r="S2192" s="123">
        <f>IFERROR(INDEX(DATABASE_FG!$L$5:$L$367, MATCH(E2192, DATABASE_FG!$C$5:$C$367, 0)), " ")</f>
        <v>42</v>
      </c>
      <c r="T2192" s="36" t="s">
        <v>679</v>
      </c>
      <c r="U2192" s="36"/>
      <c r="V2192" s="36"/>
      <c r="W2192" s="129"/>
      <c r="X2192" s="36"/>
      <c r="Y2192" s="36"/>
      <c r="Z2192" s="36">
        <v>242903</v>
      </c>
      <c r="AA2192" s="125" t="s">
        <v>121</v>
      </c>
      <c r="AB2192" s="173">
        <v>45492</v>
      </c>
      <c r="AC2192" s="119">
        <v>2024887</v>
      </c>
      <c r="AD2192" s="36">
        <f t="shared" si="251"/>
        <v>37069574</v>
      </c>
      <c r="AE2192" s="36" t="str">
        <f t="shared" si="252"/>
        <v>TK.KWVE20-B-A-L-0038-WW1</v>
      </c>
      <c r="AF2192" s="36">
        <v>33</v>
      </c>
      <c r="AG2192" s="120">
        <f t="shared" si="250"/>
        <v>188.76</v>
      </c>
      <c r="AH2192" s="36"/>
      <c r="AI2192" s="124"/>
      <c r="AJ2192" s="122" t="s">
        <v>1854</v>
      </c>
      <c r="AK2192" s="129" t="str">
        <f t="shared" ca="1" si="249"/>
        <v>On Time</v>
      </c>
      <c r="AL2192" s="268" t="str">
        <f t="shared" si="248"/>
        <v>July</v>
      </c>
      <c r="AM2192" s="133">
        <f>YEAR(Table1[[#This Row],[ETA
As requested
dd.mm.yyyy]])</f>
        <v>2024</v>
      </c>
    </row>
    <row r="2193" spans="1:39" hidden="1">
      <c r="A2193" s="123" t="s">
        <v>83</v>
      </c>
      <c r="B2193" s="36" t="s">
        <v>1170</v>
      </c>
      <c r="C2193" s="117">
        <v>37069574</v>
      </c>
      <c r="D2193" s="165">
        <v>45471</v>
      </c>
      <c r="E2193" s="117" t="s">
        <v>100</v>
      </c>
      <c r="F2193" s="36" t="str">
        <f>IFERROR(VLOOKUP(Table1[[#This Row],[Part Number]],DATABASE_FG!$C$6:D12182,2,FALSE)," ")</f>
        <v>054830877-8011</v>
      </c>
      <c r="G2193" s="117" t="str">
        <f>IFERROR(_xlfn.XLOOKUP(Table1[[#This Row],[Part Number]],Table3[Part number],Table3[Drawing
 Revision]),"")</f>
        <v>AA</v>
      </c>
      <c r="H2193" s="118" cm="1">
        <f t="array" ref="H2193">IFERROR(INDEX(PDB!$C:$AT,MATCH(E2193,PDB!$B:$B,0),MATCH(YEAR(K2193),0+PDB!$C$1:$AT$1,0)),"")</f>
        <v>5.72</v>
      </c>
      <c r="I2193" s="36"/>
      <c r="J2193" s="125">
        <f>IFERROR(Table1[[#This Row],[Quantity]]*Table1[[#This Row],[Price/Unit
EUR]]," ")</f>
        <v>0</v>
      </c>
      <c r="K2193" s="126">
        <v>45496</v>
      </c>
      <c r="L2193" s="36">
        <f>WEEKNUM(Table1[[#This Row],[ETA
As requested
dd.mm.yyyy]])</f>
        <v>30</v>
      </c>
      <c r="M2193" s="36">
        <f>YEAR(Table1[[#This Row],[ETA
As requested
dd.mm.yyyy]])</f>
        <v>2024</v>
      </c>
      <c r="N2193" s="36">
        <f>IFERROR(INDEX(DATABASE_FG!$H$5:$H$367, MATCH(E2193, DATABASE_FG!$C$5:$C$367, 0)), " ")</f>
        <v>0</v>
      </c>
      <c r="O2193" s="129" t="str">
        <f>IF(E2193&lt;&gt;"", _xlfn.XLOOKUP(E2193, DATABASE_FG!C:C, DATABASE_FG!F:F), " ")</f>
        <v>Ghidaje</v>
      </c>
      <c r="P2193" s="36">
        <f>IFERROR(INDEX(DATABASE_FG!$G$5:$G$367, MATCH(E2193, DATABASE_FG!$C$5:$C$367, 0)), "Not Found")</f>
        <v>0</v>
      </c>
      <c r="Q2193" s="36"/>
      <c r="R2193" s="125" t="s">
        <v>678</v>
      </c>
      <c r="S2193" s="123">
        <f>Table1[[#This Row],[Quantity]]/48</f>
        <v>0</v>
      </c>
      <c r="T2193" s="36"/>
      <c r="U2193" s="36"/>
      <c r="V2193" s="36"/>
      <c r="W2193" s="129"/>
      <c r="X2193" s="36"/>
      <c r="Y2193" s="36"/>
      <c r="Z2193" s="36"/>
      <c r="AA2193" s="125" t="s">
        <v>121</v>
      </c>
      <c r="AB2193" s="173">
        <v>45495</v>
      </c>
      <c r="AC2193" s="119">
        <v>2024892</v>
      </c>
      <c r="AD2193" s="36">
        <f t="shared" si="251"/>
        <v>37069574</v>
      </c>
      <c r="AE2193" s="36" t="str">
        <f t="shared" si="252"/>
        <v>TK.KWVE20-B-A-L-0038-WW1</v>
      </c>
      <c r="AF2193" s="36">
        <v>67</v>
      </c>
      <c r="AG2193" s="120">
        <f t="shared" si="250"/>
        <v>383.24</v>
      </c>
      <c r="AH2193" s="36"/>
      <c r="AI2193" s="124"/>
      <c r="AJ2193" s="122" t="s">
        <v>1855</v>
      </c>
      <c r="AK2193" s="129" t="str">
        <f t="shared" ca="1" si="249"/>
        <v>On Time</v>
      </c>
      <c r="AL2193" s="268" t="str">
        <f t="shared" si="248"/>
        <v>July</v>
      </c>
      <c r="AM2193" s="133">
        <f>YEAR(Table1[[#This Row],[ETA
As requested
dd.mm.yyyy]])</f>
        <v>2024</v>
      </c>
    </row>
    <row r="2194" spans="1:39" hidden="1">
      <c r="A2194" s="123" t="s">
        <v>83</v>
      </c>
      <c r="B2194" s="36" t="s">
        <v>1170</v>
      </c>
      <c r="C2194" s="117">
        <v>37069574</v>
      </c>
      <c r="D2194" s="165">
        <v>45471</v>
      </c>
      <c r="E2194" s="117" t="s">
        <v>100</v>
      </c>
      <c r="F2194" s="36" t="str">
        <f>IFERROR(VLOOKUP(Table1[[#This Row],[Part Number]],DATABASE_FG!$C$6:D12183,2,FALSE)," ")</f>
        <v>054830877-8011</v>
      </c>
      <c r="G2194" s="117" t="str">
        <f>IFERROR(_xlfn.XLOOKUP(Table1[[#This Row],[Part Number]],Table3[Part number],Table3[Drawing
 Revision]),"")</f>
        <v>AA</v>
      </c>
      <c r="H2194" s="118" cm="1">
        <f t="array" ref="H2194">IFERROR(INDEX(PDB!$C:$AT,MATCH(E2194,PDB!$B:$B,0),MATCH(YEAR(K2194),0+PDB!$C$1:$AT$1,0)),"")</f>
        <v>5.72</v>
      </c>
      <c r="I2194" s="36">
        <v>100</v>
      </c>
      <c r="J2194" s="125">
        <f>IFERROR(Table1[[#This Row],[Quantity]]*Table1[[#This Row],[Price/Unit
EUR]]," ")</f>
        <v>572</v>
      </c>
      <c r="K2194" s="126">
        <v>45498</v>
      </c>
      <c r="L2194" s="36">
        <f>WEEKNUM(Table1[[#This Row],[ETA
As requested
dd.mm.yyyy]])</f>
        <v>30</v>
      </c>
      <c r="M2194" s="36">
        <f>YEAR(Table1[[#This Row],[ETA
As requested
dd.mm.yyyy]])</f>
        <v>2024</v>
      </c>
      <c r="N2194" s="36">
        <f>IFERROR(INDEX(DATABASE_FG!$H$5:$H$367, MATCH(E2194, DATABASE_FG!$C$5:$C$367, 0)), " ")</f>
        <v>0</v>
      </c>
      <c r="O2194" s="129" t="str">
        <f>IF(E2194&lt;&gt;"", _xlfn.XLOOKUP(E2194, DATABASE_FG!C:C, DATABASE_FG!F:F), " ")</f>
        <v>Ghidaje</v>
      </c>
      <c r="P2194" s="36">
        <f>IFERROR(INDEX(DATABASE_FG!$G$5:$G$367, MATCH(E2194, DATABASE_FG!$C$5:$C$367, 0)), "Not Found")</f>
        <v>0</v>
      </c>
      <c r="Q2194" s="36"/>
      <c r="R2194" s="125" t="s">
        <v>678</v>
      </c>
      <c r="S2194" s="123">
        <f>IFERROR(INDEX(DATABASE_FG!$L$5:$L$367, MATCH(E2194, DATABASE_FG!$C$5:$C$367, 0)), " ")</f>
        <v>42</v>
      </c>
      <c r="T2194" s="36" t="s">
        <v>679</v>
      </c>
      <c r="U2194" s="36"/>
      <c r="V2194" s="36"/>
      <c r="W2194" s="129"/>
      <c r="X2194" s="36"/>
      <c r="Y2194" s="36"/>
      <c r="Z2194" s="36">
        <v>242903</v>
      </c>
      <c r="AA2194" s="125" t="s">
        <v>121</v>
      </c>
      <c r="AB2194" s="173">
        <v>45495</v>
      </c>
      <c r="AC2194" s="119">
        <v>2024892</v>
      </c>
      <c r="AD2194" s="36">
        <f t="shared" si="251"/>
        <v>37069574</v>
      </c>
      <c r="AE2194" s="36" t="str">
        <f t="shared" si="252"/>
        <v>TK.KWVE20-B-A-L-0038-WW1</v>
      </c>
      <c r="AF2194" s="36">
        <f>114-67</f>
        <v>47</v>
      </c>
      <c r="AG2194" s="120">
        <f t="shared" si="250"/>
        <v>268.83999999999997</v>
      </c>
      <c r="AH2194" s="36"/>
      <c r="AI2194" s="124"/>
      <c r="AJ2194" s="122" t="s">
        <v>1855</v>
      </c>
      <c r="AK2194" s="129" t="str">
        <f t="shared" ca="1" si="249"/>
        <v>On Time</v>
      </c>
      <c r="AL2194" s="268" t="str">
        <f t="shared" si="248"/>
        <v>July</v>
      </c>
      <c r="AM2194" s="133">
        <f>YEAR(Table1[[#This Row],[ETA
As requested
dd.mm.yyyy]])</f>
        <v>2024</v>
      </c>
    </row>
    <row r="2195" spans="1:39" hidden="1">
      <c r="A2195" s="123" t="s">
        <v>83</v>
      </c>
      <c r="B2195" s="36" t="s">
        <v>1170</v>
      </c>
      <c r="C2195" s="117">
        <v>37069574</v>
      </c>
      <c r="D2195" s="165">
        <v>45471</v>
      </c>
      <c r="E2195" s="117" t="s">
        <v>100</v>
      </c>
      <c r="F2195" s="36" t="str">
        <f>IFERROR(VLOOKUP(Table1[[#This Row],[Part Number]],DATABASE_FG!$C$6:D12184,2,FALSE)," ")</f>
        <v>054830877-8011</v>
      </c>
      <c r="G2195" s="117" t="str">
        <f>IFERROR(_xlfn.XLOOKUP(Table1[[#This Row],[Part Number]],Table3[Part number],Table3[Drawing
 Revision]),"")</f>
        <v>AA</v>
      </c>
      <c r="H2195" s="118" cm="1">
        <f t="array" ref="H2195">IFERROR(INDEX(PDB!$C:$AT,MATCH(E2195,PDB!$B:$B,0),MATCH(YEAR(K2195),0+PDB!$C$1:$AT$1,0)),"")</f>
        <v>5.72</v>
      </c>
      <c r="I2195" s="36"/>
      <c r="J2195" s="125">
        <f>IFERROR(Table1[[#This Row],[Quantity]]*Table1[[#This Row],[Price/Unit
EUR]]," ")</f>
        <v>0</v>
      </c>
      <c r="K2195" s="126">
        <v>45498</v>
      </c>
      <c r="L2195" s="36">
        <f>WEEKNUM(Table1[[#This Row],[ETA
As requested
dd.mm.yyyy]])</f>
        <v>30</v>
      </c>
      <c r="M2195" s="36">
        <f>YEAR(Table1[[#This Row],[ETA
As requested
dd.mm.yyyy]])</f>
        <v>2024</v>
      </c>
      <c r="N2195" s="36">
        <f>IFERROR(INDEX(DATABASE_FG!$H$5:$H$367, MATCH(E2195, DATABASE_FG!$C$5:$C$367, 0)), " ")</f>
        <v>0</v>
      </c>
      <c r="O2195" s="129" t="str">
        <f>IF(E2195&lt;&gt;"", _xlfn.XLOOKUP(E2195, DATABASE_FG!C:C, DATABASE_FG!F:F), " ")</f>
        <v>Ghidaje</v>
      </c>
      <c r="P2195" s="36">
        <f>IFERROR(INDEX(DATABASE_FG!$G$5:$G$367, MATCH(E2195, DATABASE_FG!$C$5:$C$367, 0)), "Not Found")</f>
        <v>0</v>
      </c>
      <c r="Q2195" s="36"/>
      <c r="R2195" s="125" t="s">
        <v>678</v>
      </c>
      <c r="S2195" s="123">
        <f>Table1[[#This Row],[Quantity]]/48</f>
        <v>0</v>
      </c>
      <c r="T2195" s="36"/>
      <c r="U2195" s="36"/>
      <c r="V2195" s="36"/>
      <c r="W2195" s="129"/>
      <c r="X2195" s="36"/>
      <c r="Y2195" s="36"/>
      <c r="Z2195" s="36"/>
      <c r="AA2195" s="125" t="s">
        <v>121</v>
      </c>
      <c r="AB2195" s="173">
        <v>45496</v>
      </c>
      <c r="AC2195" s="119">
        <v>2024901</v>
      </c>
      <c r="AD2195" s="36">
        <f t="shared" si="251"/>
        <v>37069574</v>
      </c>
      <c r="AE2195" s="36" t="str">
        <f t="shared" si="252"/>
        <v>TK.KWVE20-B-A-L-0038-WW1</v>
      </c>
      <c r="AF2195" s="36">
        <v>53</v>
      </c>
      <c r="AG2195" s="120">
        <f t="shared" si="250"/>
        <v>303.15999999999997</v>
      </c>
      <c r="AH2195" s="36"/>
      <c r="AI2195" s="124"/>
      <c r="AJ2195" s="122" t="s">
        <v>1865</v>
      </c>
      <c r="AK2195" s="129" t="str">
        <f t="shared" ca="1" si="249"/>
        <v>On Time</v>
      </c>
      <c r="AL2195" s="268" t="str">
        <f t="shared" si="248"/>
        <v>July</v>
      </c>
      <c r="AM2195" s="133">
        <f>YEAR(Table1[[#This Row],[ETA
As requested
dd.mm.yyyy]])</f>
        <v>2024</v>
      </c>
    </row>
    <row r="2196" spans="1:39" hidden="1">
      <c r="A2196" s="123" t="s">
        <v>83</v>
      </c>
      <c r="B2196" s="36" t="s">
        <v>1170</v>
      </c>
      <c r="C2196" s="117">
        <v>37069576</v>
      </c>
      <c r="D2196" s="165">
        <v>45471</v>
      </c>
      <c r="E2196" s="117" t="s">
        <v>100</v>
      </c>
      <c r="F2196" s="36" t="str">
        <f>IFERROR(VLOOKUP(Table1[[#This Row],[Part Number]],DATABASE_FG!$C$6:D12185,2,FALSE)," ")</f>
        <v>054830877-8011</v>
      </c>
      <c r="G2196" s="117" t="str">
        <f>IFERROR(_xlfn.XLOOKUP(Table1[[#This Row],[Part Number]],Table3[Part number],Table3[Drawing
 Revision]),"")</f>
        <v>AA</v>
      </c>
      <c r="H2196" s="118" cm="1">
        <f t="array" ref="H2196">IFERROR(INDEX(PDB!$C:$AT,MATCH(E2196,PDB!$B:$B,0),MATCH(YEAR(K2196),0+PDB!$C$1:$AT$1,0)),"")</f>
        <v>5.72</v>
      </c>
      <c r="I2196" s="36">
        <v>100</v>
      </c>
      <c r="J2196" s="125">
        <f>IFERROR(Table1[[#This Row],[Quantity]]*Table1[[#This Row],[Price/Unit
EUR]]," ")</f>
        <v>572</v>
      </c>
      <c r="K2196" s="126">
        <v>45503</v>
      </c>
      <c r="L2196" s="36">
        <f>WEEKNUM(Table1[[#This Row],[ETA
As requested
dd.mm.yyyy]])</f>
        <v>31</v>
      </c>
      <c r="M2196" s="36">
        <f>YEAR(Table1[[#This Row],[ETA
As requested
dd.mm.yyyy]])</f>
        <v>2024</v>
      </c>
      <c r="N2196" s="36">
        <f>IFERROR(INDEX(DATABASE_FG!$H$5:$H$367, MATCH(E2196, DATABASE_FG!$C$5:$C$367, 0)), " ")</f>
        <v>0</v>
      </c>
      <c r="O2196" s="129" t="str">
        <f>IF(E2196&lt;&gt;"", _xlfn.XLOOKUP(E2196, DATABASE_FG!C:C, DATABASE_FG!F:F), " ")</f>
        <v>Ghidaje</v>
      </c>
      <c r="P2196" s="36">
        <f>IFERROR(INDEX(DATABASE_FG!$G$5:$G$367, MATCH(E2196, DATABASE_FG!$C$5:$C$367, 0)), "Not Found")</f>
        <v>0</v>
      </c>
      <c r="Q2196" s="36"/>
      <c r="R2196" s="125" t="s">
        <v>678</v>
      </c>
      <c r="S2196" s="123">
        <f>IFERROR(INDEX(DATABASE_FG!$L$5:$L$367, MATCH(E2196, DATABASE_FG!$C$5:$C$367, 0)), " ")</f>
        <v>42</v>
      </c>
      <c r="T2196" s="36" t="s">
        <v>679</v>
      </c>
      <c r="U2196" s="36"/>
      <c r="V2196" s="36"/>
      <c r="W2196" s="129"/>
      <c r="X2196" s="36"/>
      <c r="Y2196" s="36"/>
      <c r="Z2196" s="36">
        <v>242903</v>
      </c>
      <c r="AA2196" s="125" t="s">
        <v>121</v>
      </c>
      <c r="AB2196" s="173">
        <v>45497</v>
      </c>
      <c r="AC2196" s="119">
        <v>2024913</v>
      </c>
      <c r="AD2196" s="36">
        <f t="shared" si="251"/>
        <v>37069576</v>
      </c>
      <c r="AE2196" s="36" t="str">
        <f t="shared" si="252"/>
        <v>TK.KWVE20-B-A-L-0038-WW1</v>
      </c>
      <c r="AF2196" s="36">
        <v>52</v>
      </c>
      <c r="AG2196" s="120">
        <f t="shared" si="250"/>
        <v>297.44</v>
      </c>
      <c r="AH2196" s="36"/>
      <c r="AI2196" s="124"/>
      <c r="AJ2196" s="122" t="s">
        <v>1885</v>
      </c>
      <c r="AK2196" s="129" t="str">
        <f t="shared" ca="1" si="249"/>
        <v>On Time</v>
      </c>
      <c r="AL2196" s="268" t="str">
        <f t="shared" si="248"/>
        <v>July</v>
      </c>
      <c r="AM2196" s="133">
        <f>YEAR(Table1[[#This Row],[ETA
As requested
dd.mm.yyyy]])</f>
        <v>2024</v>
      </c>
    </row>
    <row r="2197" spans="1:39" hidden="1">
      <c r="A2197" s="123" t="s">
        <v>83</v>
      </c>
      <c r="B2197" s="36" t="s">
        <v>1170</v>
      </c>
      <c r="C2197" s="117">
        <v>37069576</v>
      </c>
      <c r="D2197" s="165">
        <v>45471</v>
      </c>
      <c r="E2197" s="117" t="s">
        <v>100</v>
      </c>
      <c r="F2197" s="36" t="str">
        <f>IFERROR(VLOOKUP(Table1[[#This Row],[Part Number]],DATABASE_FG!$C$6:D12186,2,FALSE)," ")</f>
        <v>054830877-8011</v>
      </c>
      <c r="G2197" s="117" t="str">
        <f>IFERROR(_xlfn.XLOOKUP(Table1[[#This Row],[Part Number]],Table3[Part number],Table3[Drawing
 Revision]),"")</f>
        <v>AA</v>
      </c>
      <c r="H2197" s="118" cm="1">
        <f t="array" ref="H2197">IFERROR(INDEX(PDB!$C:$AT,MATCH(E2197,PDB!$B:$B,0),MATCH(YEAR(K2197),0+PDB!$C$1:$AT$1,0)),"")</f>
        <v>5.72</v>
      </c>
      <c r="I2197" s="36"/>
      <c r="J2197" s="125">
        <f>IFERROR(Table1[[#This Row],[Quantity]]*Table1[[#This Row],[Price/Unit
EUR]]," ")</f>
        <v>0</v>
      </c>
      <c r="K2197" s="126">
        <v>45503</v>
      </c>
      <c r="L2197" s="36">
        <f>WEEKNUM(Table1[[#This Row],[ETA
As requested
dd.mm.yyyy]])</f>
        <v>31</v>
      </c>
      <c r="M2197" s="36">
        <f>YEAR(Table1[[#This Row],[ETA
As requested
dd.mm.yyyy]])</f>
        <v>2024</v>
      </c>
      <c r="N2197" s="36">
        <f>IFERROR(INDEX(DATABASE_FG!$H$5:$H$367, MATCH(E2197, DATABASE_FG!$C$5:$C$367, 0)), " ")</f>
        <v>0</v>
      </c>
      <c r="O2197" s="129" t="str">
        <f>IF(E2197&lt;&gt;"", _xlfn.XLOOKUP(E2197, DATABASE_FG!C:C, DATABASE_FG!F:F), " ")</f>
        <v>Ghidaje</v>
      </c>
      <c r="P2197" s="36">
        <f>IFERROR(INDEX(DATABASE_FG!$G$5:$G$367, MATCH(E2197, DATABASE_FG!$C$5:$C$367, 0)), "Not Found")</f>
        <v>0</v>
      </c>
      <c r="Q2197" s="36"/>
      <c r="R2197" s="125" t="s">
        <v>678</v>
      </c>
      <c r="S2197" s="123">
        <f>Table1[[#This Row],[Quantity]]/48</f>
        <v>0</v>
      </c>
      <c r="T2197" s="36"/>
      <c r="U2197" s="36"/>
      <c r="V2197" s="36"/>
      <c r="W2197" s="129"/>
      <c r="X2197" s="36"/>
      <c r="Y2197" s="36"/>
      <c r="Z2197" s="36"/>
      <c r="AA2197" s="125" t="s">
        <v>121</v>
      </c>
      <c r="AB2197" s="173">
        <v>45498</v>
      </c>
      <c r="AC2197" s="119">
        <v>2024920</v>
      </c>
      <c r="AD2197" s="36">
        <f t="shared" si="251"/>
        <v>37069576</v>
      </c>
      <c r="AE2197" s="36" t="str">
        <f t="shared" si="252"/>
        <v>TK.KWVE20-B-A-L-0038-WW1</v>
      </c>
      <c r="AF2197" s="36">
        <v>46</v>
      </c>
      <c r="AG2197" s="120">
        <f t="shared" si="250"/>
        <v>263.12</v>
      </c>
      <c r="AH2197" s="36"/>
      <c r="AI2197" s="124"/>
      <c r="AJ2197" s="122" t="s">
        <v>1886</v>
      </c>
      <c r="AK2197" s="129" t="str">
        <f t="shared" ca="1" si="249"/>
        <v>On Time</v>
      </c>
      <c r="AL2197" s="268" t="str">
        <f t="shared" si="248"/>
        <v>July</v>
      </c>
      <c r="AM2197" s="133">
        <f>YEAR(Table1[[#This Row],[ETA
As requested
dd.mm.yyyy]])</f>
        <v>2024</v>
      </c>
    </row>
    <row r="2198" spans="1:39" hidden="1">
      <c r="A2198" s="123" t="s">
        <v>83</v>
      </c>
      <c r="B2198" s="36" t="s">
        <v>1170</v>
      </c>
      <c r="C2198" s="117">
        <v>37069576</v>
      </c>
      <c r="D2198" s="165">
        <v>45471</v>
      </c>
      <c r="E2198" s="117" t="s">
        <v>100</v>
      </c>
      <c r="F2198" s="36" t="str">
        <f>IFERROR(VLOOKUP(Table1[[#This Row],[Part Number]],DATABASE_FG!$C$6:D12187,2,FALSE)," ")</f>
        <v>054830877-8011</v>
      </c>
      <c r="G2198" s="117" t="str">
        <f>IFERROR(_xlfn.XLOOKUP(Table1[[#This Row],[Part Number]],Table3[Part number],Table3[Drawing
 Revision]),"")</f>
        <v>AA</v>
      </c>
      <c r="H2198" s="118" cm="1">
        <f t="array" ref="H2198">IFERROR(INDEX(PDB!$C:$AT,MATCH(E2198,PDB!$B:$B,0),MATCH(YEAR(K2198),0+PDB!$C$1:$AT$1,0)),"")</f>
        <v>5.72</v>
      </c>
      <c r="I2198" s="36"/>
      <c r="J2198" s="125">
        <f>IFERROR(Table1[[#This Row],[Quantity]]*Table1[[#This Row],[Price/Unit
EUR]]," ")</f>
        <v>0</v>
      </c>
      <c r="K2198" s="126">
        <v>45503</v>
      </c>
      <c r="L2198" s="36">
        <f>WEEKNUM(Table1[[#This Row],[ETA
As requested
dd.mm.yyyy]])</f>
        <v>31</v>
      </c>
      <c r="M2198" s="36">
        <f>YEAR(Table1[[#This Row],[ETA
As requested
dd.mm.yyyy]])</f>
        <v>2024</v>
      </c>
      <c r="N2198" s="36">
        <f>IFERROR(INDEX(DATABASE_FG!$H$5:$H$367, MATCH(E2198, DATABASE_FG!$C$5:$C$367, 0)), " ")</f>
        <v>0</v>
      </c>
      <c r="O2198" s="129" t="str">
        <f>IF(E2198&lt;&gt;"", _xlfn.XLOOKUP(E2198, DATABASE_FG!C:C, DATABASE_FG!F:F), " ")</f>
        <v>Ghidaje</v>
      </c>
      <c r="P2198" s="36">
        <f>IFERROR(INDEX(DATABASE_FG!$G$5:$G$367, MATCH(E2198, DATABASE_FG!$C$5:$C$367, 0)), "Not Found")</f>
        <v>0</v>
      </c>
      <c r="Q2198" s="36"/>
      <c r="R2198" s="125" t="s">
        <v>678</v>
      </c>
      <c r="S2198" s="123">
        <f>Table1[[#This Row],[Quantity]]/48</f>
        <v>0</v>
      </c>
      <c r="T2198" s="36"/>
      <c r="U2198" s="36"/>
      <c r="V2198" s="36"/>
      <c r="W2198" s="129"/>
      <c r="X2198" s="36"/>
      <c r="Y2198" s="36"/>
      <c r="Z2198" s="36"/>
      <c r="AA2198" s="125" t="s">
        <v>121</v>
      </c>
      <c r="AB2198" s="173">
        <v>45499</v>
      </c>
      <c r="AC2198" s="119">
        <v>2024930</v>
      </c>
      <c r="AD2198" s="36">
        <f t="shared" si="251"/>
        <v>37069576</v>
      </c>
      <c r="AE2198" s="36" t="str">
        <f t="shared" si="252"/>
        <v>TK.KWVE20-B-A-L-0038-WW1</v>
      </c>
      <c r="AF2198" s="36">
        <v>2</v>
      </c>
      <c r="AG2198" s="120">
        <f t="shared" si="250"/>
        <v>11.44</v>
      </c>
      <c r="AH2198" s="36"/>
      <c r="AI2198" s="124"/>
      <c r="AJ2198" s="122" t="s">
        <v>1887</v>
      </c>
      <c r="AK2198" s="129" t="str">
        <f t="shared" ca="1" si="249"/>
        <v>On Time</v>
      </c>
      <c r="AL2198" s="268" t="str">
        <f t="shared" si="248"/>
        <v>July</v>
      </c>
      <c r="AM2198" s="133">
        <f>YEAR(Table1[[#This Row],[ETA
As requested
dd.mm.yyyy]])</f>
        <v>2024</v>
      </c>
    </row>
    <row r="2199" spans="1:39" hidden="1">
      <c r="A2199" s="123" t="s">
        <v>83</v>
      </c>
      <c r="B2199" s="36" t="s">
        <v>1170</v>
      </c>
      <c r="C2199" s="117">
        <v>37069576</v>
      </c>
      <c r="D2199" s="165">
        <v>45471</v>
      </c>
      <c r="E2199" s="117" t="s">
        <v>100</v>
      </c>
      <c r="F2199" s="36" t="str">
        <f>IFERROR(VLOOKUP(Table1[[#This Row],[Part Number]],DATABASE_FG!$C$6:D12188,2,FALSE)," ")</f>
        <v>054830877-8011</v>
      </c>
      <c r="G2199" s="117" t="str">
        <f>IFERROR(_xlfn.XLOOKUP(Table1[[#This Row],[Part Number]],Table3[Part number],Table3[Drawing
 Revision]),"")</f>
        <v>AA</v>
      </c>
      <c r="H2199" s="118" cm="1">
        <f t="array" ref="H2199">IFERROR(INDEX(PDB!$C:$AT,MATCH(E2199,PDB!$B:$B,0),MATCH(YEAR(K2199),0+PDB!$C$1:$AT$1,0)),"")</f>
        <v>5.72</v>
      </c>
      <c r="I2199" s="36">
        <v>100</v>
      </c>
      <c r="J2199" s="125">
        <f>IFERROR(Table1[[#This Row],[Quantity]]*Table1[[#This Row],[Price/Unit
EUR]]," ")</f>
        <v>572</v>
      </c>
      <c r="K2199" s="126">
        <v>45504</v>
      </c>
      <c r="L2199" s="36">
        <f>WEEKNUM(Table1[[#This Row],[ETA
As requested
dd.mm.yyyy]])</f>
        <v>31</v>
      </c>
      <c r="M2199" s="36">
        <f>YEAR(Table1[[#This Row],[ETA
As requested
dd.mm.yyyy]])</f>
        <v>2024</v>
      </c>
      <c r="N2199" s="36">
        <f>IFERROR(INDEX(DATABASE_FG!$H$5:$H$367, MATCH(E2199, DATABASE_FG!$C$5:$C$367, 0)), " ")</f>
        <v>0</v>
      </c>
      <c r="O2199" s="129" t="str">
        <f>IF(E2199&lt;&gt;"", _xlfn.XLOOKUP(E2199, DATABASE_FG!C:C, DATABASE_FG!F:F), " ")</f>
        <v>Ghidaje</v>
      </c>
      <c r="P2199" s="36">
        <f>IFERROR(INDEX(DATABASE_FG!$G$5:$G$367, MATCH(E2199, DATABASE_FG!$C$5:$C$367, 0)), "Not Found")</f>
        <v>0</v>
      </c>
      <c r="Q2199" s="36"/>
      <c r="R2199" s="125" t="s">
        <v>678</v>
      </c>
      <c r="S2199" s="123">
        <f>IFERROR(INDEX(DATABASE_FG!$L$5:$L$367, MATCH(E2199, DATABASE_FG!$C$5:$C$367, 0)), " ")</f>
        <v>42</v>
      </c>
      <c r="T2199" s="36" t="s">
        <v>679</v>
      </c>
      <c r="U2199" s="36"/>
      <c r="V2199" s="36"/>
      <c r="W2199" s="129"/>
      <c r="X2199" s="36" t="s">
        <v>1893</v>
      </c>
      <c r="Y2199" s="36"/>
      <c r="Z2199" s="36">
        <v>242903</v>
      </c>
      <c r="AA2199" s="125" t="s">
        <v>121</v>
      </c>
      <c r="AB2199" s="173">
        <v>45499</v>
      </c>
      <c r="AC2199" s="119">
        <v>2024930</v>
      </c>
      <c r="AD2199" s="36">
        <f t="shared" si="251"/>
        <v>37069576</v>
      </c>
      <c r="AE2199" s="36" t="str">
        <f t="shared" si="252"/>
        <v>TK.KWVE20-B-A-L-0038-WW1</v>
      </c>
      <c r="AF2199" s="36">
        <v>50</v>
      </c>
      <c r="AG2199" s="120">
        <f t="shared" si="250"/>
        <v>286</v>
      </c>
      <c r="AH2199" s="36"/>
      <c r="AI2199" s="124"/>
      <c r="AJ2199" s="122" t="s">
        <v>1887</v>
      </c>
      <c r="AK2199" s="129" t="str">
        <f t="shared" ca="1" si="249"/>
        <v>On Time</v>
      </c>
      <c r="AL2199" s="268" t="str">
        <f t="shared" si="248"/>
        <v>July</v>
      </c>
      <c r="AM2199" s="133">
        <f>YEAR(Table1[[#This Row],[ETA
As requested
dd.mm.yyyy]])</f>
        <v>2024</v>
      </c>
    </row>
    <row r="2200" spans="1:39" hidden="1">
      <c r="A2200" s="123" t="s">
        <v>83</v>
      </c>
      <c r="B2200" s="36" t="s">
        <v>1170</v>
      </c>
      <c r="C2200" s="117">
        <v>37069576</v>
      </c>
      <c r="D2200" s="165">
        <v>45471</v>
      </c>
      <c r="E2200" s="117" t="s">
        <v>100</v>
      </c>
      <c r="F2200" s="36" t="str">
        <f>IFERROR(VLOOKUP(Table1[[#This Row],[Part Number]],DATABASE_FG!$C$6:D12189,2,FALSE)," ")</f>
        <v>054830877-8011</v>
      </c>
      <c r="G2200" s="117" t="str">
        <f>IFERROR(_xlfn.XLOOKUP(Table1[[#This Row],[Part Number]],Table3[Part number],Table3[Drawing
 Revision]),"")</f>
        <v>AA</v>
      </c>
      <c r="H2200" s="118" cm="1">
        <f t="array" ref="H2200">IFERROR(INDEX(PDB!$C:$AT,MATCH(E2200,PDB!$B:$B,0),MATCH(YEAR(K2200),0+PDB!$C$1:$AT$1,0)),"")</f>
        <v>5.72</v>
      </c>
      <c r="I2200" s="36"/>
      <c r="J2200" s="125">
        <f>IFERROR(Table1[[#This Row],[Quantity]]*Table1[[#This Row],[Price/Unit
EUR]]," ")</f>
        <v>0</v>
      </c>
      <c r="K2200" s="126">
        <v>45504</v>
      </c>
      <c r="L2200" s="36">
        <f>WEEKNUM(Table1[[#This Row],[ETA
As requested
dd.mm.yyyy]])</f>
        <v>31</v>
      </c>
      <c r="M2200" s="36">
        <f>YEAR(Table1[[#This Row],[ETA
As requested
dd.mm.yyyy]])</f>
        <v>2024</v>
      </c>
      <c r="N2200" s="36">
        <f>IFERROR(INDEX(DATABASE_FG!$H$5:$H$367, MATCH(E2200, DATABASE_FG!$C$5:$C$367, 0)), " ")</f>
        <v>0</v>
      </c>
      <c r="O2200" s="129" t="str">
        <f>IF(E2200&lt;&gt;"", _xlfn.XLOOKUP(E2200, DATABASE_FG!C:C, DATABASE_FG!F:F), " ")</f>
        <v>Ghidaje</v>
      </c>
      <c r="P2200" s="36">
        <f>IFERROR(INDEX(DATABASE_FG!$G$5:$G$367, MATCH(E2200, DATABASE_FG!$C$5:$C$367, 0)), "Not Found")</f>
        <v>0</v>
      </c>
      <c r="Q2200" s="36"/>
      <c r="R2200" s="125" t="s">
        <v>678</v>
      </c>
      <c r="S2200" s="123">
        <f>IFERROR(INDEX(DATABASE_FG!$L$5:$L$367, MATCH(E2200, DATABASE_FG!$C$5:$C$367, 0)), " ")</f>
        <v>42</v>
      </c>
      <c r="T2200" s="36"/>
      <c r="U2200" s="36"/>
      <c r="V2200" s="36"/>
      <c r="W2200" s="129"/>
      <c r="X2200" s="36"/>
      <c r="Y2200" s="36"/>
      <c r="Z2200" s="36"/>
      <c r="AA2200" s="125" t="s">
        <v>121</v>
      </c>
      <c r="AB2200" s="173">
        <v>45502</v>
      </c>
      <c r="AC2200" s="119">
        <v>2024935</v>
      </c>
      <c r="AD2200" s="36">
        <f t="shared" si="251"/>
        <v>37069576</v>
      </c>
      <c r="AE2200" s="36" t="str">
        <f t="shared" si="252"/>
        <v>TK.KWVE20-B-A-L-0038-WW1</v>
      </c>
      <c r="AF2200" s="36">
        <v>50</v>
      </c>
      <c r="AG2200" s="120">
        <f t="shared" si="250"/>
        <v>286</v>
      </c>
      <c r="AH2200" s="36"/>
      <c r="AI2200" s="124"/>
      <c r="AJ2200" s="122" t="s">
        <v>1894</v>
      </c>
      <c r="AK2200" s="129" t="str">
        <f t="shared" ca="1" si="249"/>
        <v>On Time</v>
      </c>
      <c r="AL2200" s="268" t="str">
        <f t="shared" si="248"/>
        <v>July</v>
      </c>
      <c r="AM2200" s="133">
        <f>YEAR(Table1[[#This Row],[ETA
As requested
dd.mm.yyyy]])</f>
        <v>2024</v>
      </c>
    </row>
    <row r="2201" spans="1:39" hidden="1">
      <c r="A2201" s="123" t="s">
        <v>83</v>
      </c>
      <c r="B2201" s="36" t="s">
        <v>1170</v>
      </c>
      <c r="C2201" s="117">
        <v>37521072</v>
      </c>
      <c r="D2201" s="165">
        <v>45527</v>
      </c>
      <c r="E2201" s="117" t="s">
        <v>100</v>
      </c>
      <c r="F2201" s="36" t="str">
        <f>IFERROR(VLOOKUP(Table1[[#This Row],[Part Number]],DATABASE_FG!$C$6:D12190,2,FALSE)," ")</f>
        <v>054830877-8011</v>
      </c>
      <c r="G2201" s="117" t="str">
        <f>IFERROR(_xlfn.XLOOKUP(Table1[[#This Row],[Part Number]],Table3[Part number],Table3[Drawing
 Revision]),"")</f>
        <v>AA</v>
      </c>
      <c r="H2201" s="118" cm="1">
        <f t="array" ref="H2201">IFERROR(INDEX(PDB!$C:$AT,MATCH(E2201,PDB!$B:$B,0),MATCH(YEAR(K2201),0+PDB!$C$1:$AT$1,0)),"")</f>
        <v>5.72</v>
      </c>
      <c r="I2201" s="36">
        <v>76</v>
      </c>
      <c r="J2201" s="125">
        <f>IFERROR(Table1[[#This Row],[Quantity]]*Table1[[#This Row],[Price/Unit
EUR]]," ")</f>
        <v>434.71999999999997</v>
      </c>
      <c r="K2201" s="126">
        <v>45563</v>
      </c>
      <c r="L2201" s="36">
        <f>WEEKNUM(Table1[[#This Row],[ETA
As requested
dd.mm.yyyy]])</f>
        <v>39</v>
      </c>
      <c r="M2201" s="36">
        <f>YEAR(Table1[[#This Row],[ETA
As requested
dd.mm.yyyy]])</f>
        <v>2024</v>
      </c>
      <c r="N2201" s="36">
        <f>IFERROR(INDEX(DATABASE_FG!$H$5:$H$367, MATCH(E2201, DATABASE_FG!$C$5:$C$367, 0)), " ")</f>
        <v>0</v>
      </c>
      <c r="O2201" s="129" t="str">
        <f>IF(E2201&lt;&gt;"", _xlfn.XLOOKUP(E2201, DATABASE_FG!C:C, DATABASE_FG!F:F), " ")</f>
        <v>Ghidaje</v>
      </c>
      <c r="P2201" s="36">
        <f>IFERROR(INDEX(DATABASE_FG!$G$5:$G$367, MATCH(E2201, DATABASE_FG!$C$5:$C$367, 0)), "Not Found")</f>
        <v>0</v>
      </c>
      <c r="Q2201" s="36"/>
      <c r="R2201" s="125" t="s">
        <v>678</v>
      </c>
      <c r="S2201" s="123">
        <f>IFERROR(INDEX(DATABASE_FG!$L$5:$L$367, MATCH(E2201, DATABASE_FG!$C$5:$C$367, 0)), " ")</f>
        <v>42</v>
      </c>
      <c r="T2201" s="36"/>
      <c r="U2201" s="36"/>
      <c r="V2201" s="36"/>
      <c r="W2201" s="129"/>
      <c r="X2201" s="36"/>
      <c r="Y2201" s="36"/>
      <c r="Z2201" s="36"/>
      <c r="AA2201" s="125" t="s">
        <v>121</v>
      </c>
      <c r="AB2201" s="173">
        <v>45538</v>
      </c>
      <c r="AC2201" s="119">
        <v>202401097</v>
      </c>
      <c r="AD2201" s="36">
        <f t="shared" si="251"/>
        <v>37521072</v>
      </c>
      <c r="AE2201" s="36" t="str">
        <f t="shared" si="252"/>
        <v>TK.KWVE20-B-A-L-0038-WW1</v>
      </c>
      <c r="AF2201" s="36">
        <v>76</v>
      </c>
      <c r="AG2201" s="120">
        <f t="shared" si="250"/>
        <v>434.71999999999997</v>
      </c>
      <c r="AH2201" s="36"/>
      <c r="AI2201" s="124"/>
      <c r="AJ2201" s="122" t="s">
        <v>2402</v>
      </c>
      <c r="AK2201" s="129" t="str">
        <f t="shared" ca="1" si="249"/>
        <v>On Time</v>
      </c>
      <c r="AL2201" s="268" t="str">
        <f t="shared" si="248"/>
        <v>September</v>
      </c>
      <c r="AM2201" s="133">
        <f>YEAR(Table1[[#This Row],[ETA
As requested
dd.mm.yyyy]])</f>
        <v>2024</v>
      </c>
    </row>
    <row r="2202" spans="1:39" hidden="1">
      <c r="A2202" s="123" t="s">
        <v>83</v>
      </c>
      <c r="B2202" s="36" t="s">
        <v>1170</v>
      </c>
      <c r="C2202" s="117">
        <v>37672575</v>
      </c>
      <c r="D2202" s="165">
        <v>45553</v>
      </c>
      <c r="E2202" s="117" t="s">
        <v>100</v>
      </c>
      <c r="F2202" s="36" t="str">
        <f>IFERROR(VLOOKUP(Table1[[#This Row],[Part Number]],DATABASE_FG!$C$6:D12191,2,FALSE)," ")</f>
        <v>054830877-8011</v>
      </c>
      <c r="G2202" s="117" t="str">
        <f>IFERROR(_xlfn.XLOOKUP(Table1[[#This Row],[Part Number]],Table3[Part number],Table3[Drawing
 Revision]),"")</f>
        <v>AA</v>
      </c>
      <c r="H2202" s="118" cm="1">
        <f t="array" ref="H2202">IFERROR(INDEX(PDB!$C:$AT,MATCH(E2202,PDB!$B:$B,0),MATCH(YEAR(K2202),0+PDB!$C$1:$AT$1,0)),"")</f>
        <v>5.72</v>
      </c>
      <c r="I2202" s="36">
        <v>150</v>
      </c>
      <c r="J2202" s="125">
        <f>IFERROR(Table1[[#This Row],[Quantity]]*Table1[[#This Row],[Price/Unit
EUR]]," ")</f>
        <v>858</v>
      </c>
      <c r="K2202" s="126">
        <v>45566</v>
      </c>
      <c r="L2202" s="36">
        <f>WEEKNUM(Table1[[#This Row],[ETA
As requested
dd.mm.yyyy]])</f>
        <v>40</v>
      </c>
      <c r="M2202" s="36">
        <f>YEAR(Table1[[#This Row],[ETA
As requested
dd.mm.yyyy]])</f>
        <v>2024</v>
      </c>
      <c r="N2202" s="36">
        <f>IFERROR(INDEX(DATABASE_FG!$H$5:$H$367, MATCH(E2202, DATABASE_FG!$C$5:$C$367, 0)), " ")</f>
        <v>0</v>
      </c>
      <c r="O2202" s="129" t="str">
        <f>IF(E2202&lt;&gt;"", _xlfn.XLOOKUP(E2202, DATABASE_FG!C:C, DATABASE_FG!F:F), " ")</f>
        <v>Ghidaje</v>
      </c>
      <c r="P2202" s="36">
        <f>IFERROR(INDEX(DATABASE_FG!$G$5:$G$367, MATCH(E2202, DATABASE_FG!$C$5:$C$367, 0)), "Not Found")</f>
        <v>0</v>
      </c>
      <c r="Q2202" s="36"/>
      <c r="R2202" s="125" t="s">
        <v>678</v>
      </c>
      <c r="S2202" s="123">
        <f>IFERROR(INDEX(DATABASE_FG!$L$5:$L$367, MATCH(E2202, DATABASE_FG!$C$5:$C$367, 0)), " ")</f>
        <v>42</v>
      </c>
      <c r="T2202" s="36"/>
      <c r="U2202" s="36"/>
      <c r="V2202" s="36"/>
      <c r="W2202" s="129"/>
      <c r="X2202" s="36"/>
      <c r="Y2202" s="36"/>
      <c r="Z2202" s="36"/>
      <c r="AA2202" s="125" t="s">
        <v>121</v>
      </c>
      <c r="AB2202" s="173">
        <v>45566</v>
      </c>
      <c r="AC2202" s="119">
        <v>202401189</v>
      </c>
      <c r="AD2202" s="36">
        <f t="shared" si="251"/>
        <v>37672575</v>
      </c>
      <c r="AE2202" s="36" t="str">
        <f t="shared" si="252"/>
        <v>TK.KWVE20-B-A-L-0038-WW1</v>
      </c>
      <c r="AF2202" s="36">
        <v>150</v>
      </c>
      <c r="AG2202" s="120">
        <f t="shared" si="250"/>
        <v>858</v>
      </c>
      <c r="AH2202" s="36"/>
      <c r="AI2202" s="124"/>
      <c r="AJ2202" s="122" t="s">
        <v>2412</v>
      </c>
      <c r="AK2202" s="129" t="str">
        <f t="shared" ca="1" si="249"/>
        <v>On Time</v>
      </c>
      <c r="AL2202" s="268" t="str">
        <f t="shared" si="248"/>
        <v>October</v>
      </c>
      <c r="AM2202" s="133">
        <f>YEAR(Table1[[#This Row],[ETA
As requested
dd.mm.yyyy]])</f>
        <v>2024</v>
      </c>
    </row>
    <row r="2203" spans="1:39" hidden="1">
      <c r="A2203" s="123" t="s">
        <v>83</v>
      </c>
      <c r="B2203" s="36" t="s">
        <v>1170</v>
      </c>
      <c r="C2203" s="117">
        <v>37672576</v>
      </c>
      <c r="D2203" s="165">
        <v>45553</v>
      </c>
      <c r="E2203" s="117" t="s">
        <v>100</v>
      </c>
      <c r="F2203" s="36" t="str">
        <f>IFERROR(VLOOKUP(Table1[[#This Row],[Part Number]],DATABASE_FG!$C$6:D12192,2,FALSE)," ")</f>
        <v>054830877-8011</v>
      </c>
      <c r="G2203" s="117" t="str">
        <f>IFERROR(_xlfn.XLOOKUP(Table1[[#This Row],[Part Number]],Table3[Part number],Table3[Drawing
 Revision]),"")</f>
        <v>AA</v>
      </c>
      <c r="H2203" s="118" cm="1">
        <f t="array" ref="H2203">IFERROR(INDEX(PDB!$C:$AT,MATCH(E2203,PDB!$B:$B,0),MATCH(YEAR(K2203),0+PDB!$C$1:$AT$1,0)),"")</f>
        <v>5.72</v>
      </c>
      <c r="I2203" s="36">
        <v>150</v>
      </c>
      <c r="J2203" s="125">
        <f>IFERROR(Table1[[#This Row],[Quantity]]*Table1[[#This Row],[Price/Unit
EUR]]," ")</f>
        <v>858</v>
      </c>
      <c r="K2203" s="126">
        <v>45573</v>
      </c>
      <c r="L2203" s="36">
        <f>WEEKNUM(Table1[[#This Row],[ETA
As requested
dd.mm.yyyy]])</f>
        <v>41</v>
      </c>
      <c r="M2203" s="36">
        <f>YEAR(Table1[[#This Row],[ETA
As requested
dd.mm.yyyy]])</f>
        <v>2024</v>
      </c>
      <c r="N2203" s="36">
        <f>IFERROR(INDEX(DATABASE_FG!$H$5:$H$367, MATCH(E2203, DATABASE_FG!$C$5:$C$367, 0)), " ")</f>
        <v>0</v>
      </c>
      <c r="O2203" s="129" t="str">
        <f>IF(E2203&lt;&gt;"", _xlfn.XLOOKUP(E2203, DATABASE_FG!C:C, DATABASE_FG!F:F), " ")</f>
        <v>Ghidaje</v>
      </c>
      <c r="P2203" s="36">
        <f>IFERROR(INDEX(DATABASE_FG!$G$5:$G$367, MATCH(E2203, DATABASE_FG!$C$5:$C$367, 0)), "Not Found")</f>
        <v>0</v>
      </c>
      <c r="Q2203" s="36"/>
      <c r="R2203" s="125" t="s">
        <v>678</v>
      </c>
      <c r="S2203" s="123">
        <f>IFERROR(INDEX(DATABASE_FG!$L$5:$L$367, MATCH(E2203, DATABASE_FG!$C$5:$C$367, 0)), " ")</f>
        <v>42</v>
      </c>
      <c r="T2203" s="36"/>
      <c r="U2203" s="36"/>
      <c r="V2203" s="36"/>
      <c r="W2203" s="129"/>
      <c r="X2203" s="36"/>
      <c r="Y2203" s="36"/>
      <c r="Z2203" s="36"/>
      <c r="AA2203" s="125" t="s">
        <v>121</v>
      </c>
      <c r="AB2203" s="173">
        <v>45566</v>
      </c>
      <c r="AC2203" s="119">
        <v>202401190</v>
      </c>
      <c r="AD2203" s="36">
        <f t="shared" si="251"/>
        <v>37672576</v>
      </c>
      <c r="AE2203" s="36" t="str">
        <f t="shared" si="252"/>
        <v>TK.KWVE20-B-A-L-0038-WW1</v>
      </c>
      <c r="AF2203" s="36">
        <v>57</v>
      </c>
      <c r="AG2203" s="120">
        <f t="shared" si="250"/>
        <v>326.03999999999996</v>
      </c>
      <c r="AH2203" s="36"/>
      <c r="AI2203" s="124"/>
      <c r="AJ2203" s="122" t="s">
        <v>2443</v>
      </c>
      <c r="AK2203" s="129" t="str">
        <f t="shared" ca="1" si="249"/>
        <v>On Time</v>
      </c>
      <c r="AL2203" s="268" t="str">
        <f t="shared" si="248"/>
        <v>October</v>
      </c>
      <c r="AM2203" s="133">
        <f>YEAR(Table1[[#This Row],[ETA
As requested
dd.mm.yyyy]])</f>
        <v>2024</v>
      </c>
    </row>
    <row r="2204" spans="1:39" hidden="1">
      <c r="A2204" s="123" t="s">
        <v>83</v>
      </c>
      <c r="B2204" s="36" t="s">
        <v>1170</v>
      </c>
      <c r="C2204" s="117">
        <v>37672576</v>
      </c>
      <c r="D2204" s="165">
        <v>45553</v>
      </c>
      <c r="E2204" s="117" t="s">
        <v>100</v>
      </c>
      <c r="F2204" s="36" t="str">
        <f>IFERROR(VLOOKUP(Table1[[#This Row],[Part Number]],DATABASE_FG!$C$6:D12193,2,FALSE)," ")</f>
        <v>054830877-8011</v>
      </c>
      <c r="G2204" s="117" t="str">
        <f>IFERROR(_xlfn.XLOOKUP(Table1[[#This Row],[Part Number]],Table3[Part number],Table3[Drawing
 Revision]),"")</f>
        <v>AA</v>
      </c>
      <c r="H2204" s="118" cm="1">
        <f t="array" ref="H2204">IFERROR(INDEX(PDB!$C:$AT,MATCH(E2204,PDB!$B:$B,0),MATCH(YEAR(K2204),0+PDB!$C$1:$AT$1,0)),"")</f>
        <v>5.72</v>
      </c>
      <c r="I2204" s="36">
        <v>0</v>
      </c>
      <c r="J2204" s="125">
        <f>IFERROR(Table1[[#This Row],[Quantity]]*Table1[[#This Row],[Price/Unit
EUR]]," ")</f>
        <v>0</v>
      </c>
      <c r="K2204" s="126">
        <v>45573</v>
      </c>
      <c r="L2204" s="36">
        <f>WEEKNUM(Table1[[#This Row],[ETA
As requested
dd.mm.yyyy]])</f>
        <v>41</v>
      </c>
      <c r="M2204" s="36">
        <f>YEAR(Table1[[#This Row],[ETA
As requested
dd.mm.yyyy]])</f>
        <v>2024</v>
      </c>
      <c r="N2204" s="36">
        <f>IFERROR(INDEX(DATABASE_FG!$H$5:$H$367, MATCH(E2204, DATABASE_FG!$C$5:$C$367, 0)), " ")</f>
        <v>0</v>
      </c>
      <c r="O2204" s="129" t="str">
        <f>IF(E2204&lt;&gt;"", _xlfn.XLOOKUP(E2204, DATABASE_FG!C:C, DATABASE_FG!F:F), " ")</f>
        <v>Ghidaje</v>
      </c>
      <c r="P2204" s="36">
        <f>IFERROR(INDEX(DATABASE_FG!$G$5:$G$367, MATCH(E2204, DATABASE_FG!$C$5:$C$367, 0)), "Not Found")</f>
        <v>0</v>
      </c>
      <c r="Q2204" s="36"/>
      <c r="R2204" s="125" t="s">
        <v>678</v>
      </c>
      <c r="S2204" s="123">
        <f>Table1[[#This Row],[Quantity]]/48</f>
        <v>0</v>
      </c>
      <c r="T2204" s="36"/>
      <c r="U2204" s="36"/>
      <c r="V2204" s="36"/>
      <c r="W2204" s="129"/>
      <c r="X2204" s="36"/>
      <c r="Y2204" s="36"/>
      <c r="Z2204" s="36"/>
      <c r="AA2204" s="125" t="s">
        <v>121</v>
      </c>
      <c r="AB2204" s="173">
        <v>45573</v>
      </c>
      <c r="AC2204" s="119">
        <v>202401223</v>
      </c>
      <c r="AD2204" s="36">
        <f t="shared" si="251"/>
        <v>37672576</v>
      </c>
      <c r="AE2204" s="36" t="str">
        <f t="shared" si="252"/>
        <v>TK.KWVE20-B-A-L-0038-WW1</v>
      </c>
      <c r="AF2204" s="36">
        <v>93</v>
      </c>
      <c r="AG2204" s="120">
        <f t="shared" si="250"/>
        <v>531.95999999999992</v>
      </c>
      <c r="AH2204" s="36"/>
      <c r="AI2204" s="124"/>
      <c r="AJ2204" s="122" t="s">
        <v>2449</v>
      </c>
      <c r="AK2204" s="129" t="str">
        <f t="shared" ca="1" si="249"/>
        <v>On Time</v>
      </c>
      <c r="AL2204" s="268" t="str">
        <f t="shared" si="248"/>
        <v>October</v>
      </c>
      <c r="AM2204" s="133">
        <f>YEAR(Table1[[#This Row],[ETA
As requested
dd.mm.yyyy]])</f>
        <v>2024</v>
      </c>
    </row>
    <row r="2205" spans="1:39" hidden="1">
      <c r="A2205" s="123" t="s">
        <v>83</v>
      </c>
      <c r="B2205" s="36" t="s">
        <v>1170</v>
      </c>
      <c r="C2205" s="117">
        <v>37672577</v>
      </c>
      <c r="D2205" s="165">
        <v>45553</v>
      </c>
      <c r="E2205" s="117" t="s">
        <v>100</v>
      </c>
      <c r="F2205" s="36" t="str">
        <f>IFERROR(VLOOKUP(Table1[[#This Row],[Part Number]],DATABASE_FG!$C$6:D12194,2,FALSE)," ")</f>
        <v>054830877-8011</v>
      </c>
      <c r="G2205" s="117" t="str">
        <f>IFERROR(_xlfn.XLOOKUP(Table1[[#This Row],[Part Number]],Table3[Part number],Table3[Drawing
 Revision]),"")</f>
        <v>AA</v>
      </c>
      <c r="H2205" s="118" cm="1">
        <f t="array" ref="H2205">IFERROR(INDEX(PDB!$C:$AT,MATCH(E2205,PDB!$B:$B,0),MATCH(YEAR(K2205),0+PDB!$C$1:$AT$1,0)),"")</f>
        <v>5.72</v>
      </c>
      <c r="I2205" s="36">
        <v>50</v>
      </c>
      <c r="J2205" s="125">
        <f>IFERROR(Table1[[#This Row],[Quantity]]*Table1[[#This Row],[Price/Unit
EUR]]," ")</f>
        <v>286</v>
      </c>
      <c r="K2205" s="126">
        <v>45580</v>
      </c>
      <c r="L2205" s="36">
        <f>WEEKNUM(Table1[[#This Row],[ETA
As requested
dd.mm.yyyy]])</f>
        <v>42</v>
      </c>
      <c r="M2205" s="36">
        <f>YEAR(Table1[[#This Row],[ETA
As requested
dd.mm.yyyy]])</f>
        <v>2024</v>
      </c>
      <c r="N2205" s="36">
        <f>IFERROR(INDEX(DATABASE_FG!$H$5:$H$367, MATCH(E2205, DATABASE_FG!$C$5:$C$367, 0)), " ")</f>
        <v>0</v>
      </c>
      <c r="O2205" s="129" t="str">
        <f>IF(E2205&lt;&gt;"", _xlfn.XLOOKUP(E2205, DATABASE_FG!C:C, DATABASE_FG!F:F), " ")</f>
        <v>Ghidaje</v>
      </c>
      <c r="P2205" s="36">
        <f>IFERROR(INDEX(DATABASE_FG!$G$5:$G$367, MATCH(E2205, DATABASE_FG!$C$5:$C$367, 0)), "Not Found")</f>
        <v>0</v>
      </c>
      <c r="Q2205" s="36"/>
      <c r="R2205" s="125" t="s">
        <v>678</v>
      </c>
      <c r="S2205" s="123">
        <f>IFERROR(INDEX(DATABASE_FG!$L$5:$L$367, MATCH(E2205, DATABASE_FG!$C$5:$C$367, 0)), " ")</f>
        <v>42</v>
      </c>
      <c r="T2205" s="36"/>
      <c r="U2205" s="36"/>
      <c r="V2205" s="36"/>
      <c r="W2205" s="129"/>
      <c r="X2205" s="36"/>
      <c r="Y2205" s="36"/>
      <c r="Z2205" s="36"/>
      <c r="AA2205" s="125" t="s">
        <v>121</v>
      </c>
      <c r="AB2205" s="173">
        <v>45573</v>
      </c>
      <c r="AC2205" s="119">
        <v>202401224</v>
      </c>
      <c r="AD2205" s="36">
        <f t="shared" si="251"/>
        <v>37672577</v>
      </c>
      <c r="AE2205" s="36" t="str">
        <f t="shared" si="252"/>
        <v>TK.KWVE20-B-A-L-0038-WW1</v>
      </c>
      <c r="AF2205" s="36">
        <v>50</v>
      </c>
      <c r="AG2205" s="120">
        <f t="shared" si="250"/>
        <v>286</v>
      </c>
      <c r="AH2205" s="36"/>
      <c r="AI2205" s="124"/>
      <c r="AJ2205" s="122" t="s">
        <v>2465</v>
      </c>
      <c r="AK2205" s="129" t="str">
        <f t="shared" ca="1" si="249"/>
        <v>On Time</v>
      </c>
      <c r="AL2205" s="268" t="str">
        <f t="shared" si="248"/>
        <v>October</v>
      </c>
      <c r="AM2205" s="133">
        <f>YEAR(Table1[[#This Row],[ETA
As requested
dd.mm.yyyy]])</f>
        <v>2024</v>
      </c>
    </row>
    <row r="2206" spans="1:39" hidden="1">
      <c r="A2206" s="123" t="s">
        <v>83</v>
      </c>
      <c r="B2206" s="36" t="s">
        <v>1170</v>
      </c>
      <c r="C2206" s="117">
        <v>37672578</v>
      </c>
      <c r="D2206" s="165">
        <v>45553</v>
      </c>
      <c r="E2206" s="117" t="s">
        <v>100</v>
      </c>
      <c r="F2206" s="36" t="str">
        <f>IFERROR(VLOOKUP(Table1[[#This Row],[Part Number]],DATABASE_FG!$C$6:D12195,2,FALSE)," ")</f>
        <v>054830877-8011</v>
      </c>
      <c r="G2206" s="117" t="str">
        <f>IFERROR(_xlfn.XLOOKUP(Table1[[#This Row],[Part Number]],Table3[Part number],Table3[Drawing
 Revision]),"")</f>
        <v>AA</v>
      </c>
      <c r="H2206" s="118" cm="1">
        <f t="array" ref="H2206">IFERROR(INDEX(PDB!$C:$AT,MATCH(E2206,PDB!$B:$B,0),MATCH(YEAR(K2206),0+PDB!$C$1:$AT$1,0)),"")</f>
        <v>5.72</v>
      </c>
      <c r="I2206" s="36">
        <v>51</v>
      </c>
      <c r="J2206" s="125">
        <f>IFERROR(Table1[[#This Row],[Quantity]]*Table1[[#This Row],[Price/Unit
EUR]]," ")</f>
        <v>291.71999999999997</v>
      </c>
      <c r="K2206" s="126">
        <v>45587</v>
      </c>
      <c r="L2206" s="36">
        <f>WEEKNUM(Table1[[#This Row],[ETA
As requested
dd.mm.yyyy]])</f>
        <v>43</v>
      </c>
      <c r="M2206" s="36">
        <f>YEAR(Table1[[#This Row],[ETA
As requested
dd.mm.yyyy]])</f>
        <v>2024</v>
      </c>
      <c r="N2206" s="36">
        <f>IFERROR(INDEX(DATABASE_FG!$H$5:$H$367, MATCH(E2206, DATABASE_FG!$C$5:$C$367, 0)), " ")</f>
        <v>0</v>
      </c>
      <c r="O2206" s="129" t="str">
        <f>IF(E2206&lt;&gt;"", _xlfn.XLOOKUP(E2206, DATABASE_FG!C:C, DATABASE_FG!F:F), " ")</f>
        <v>Ghidaje</v>
      </c>
      <c r="P2206" s="36">
        <f>IFERROR(INDEX(DATABASE_FG!$G$5:$G$367, MATCH(E2206, DATABASE_FG!$C$5:$C$367, 0)), "Not Found")</f>
        <v>0</v>
      </c>
      <c r="Q2206" s="36"/>
      <c r="R2206" s="125" t="s">
        <v>678</v>
      </c>
      <c r="S2206" s="123">
        <f>IFERROR(INDEX(DATABASE_FG!$L$5:$L$367, MATCH(E2206, DATABASE_FG!$C$5:$C$367, 0)), " ")</f>
        <v>42</v>
      </c>
      <c r="T2206" s="36"/>
      <c r="U2206" s="36"/>
      <c r="V2206" s="36"/>
      <c r="W2206" s="129"/>
      <c r="X2206" s="36"/>
      <c r="Y2206" s="36"/>
      <c r="Z2206" s="36"/>
      <c r="AA2206" s="125" t="s">
        <v>121</v>
      </c>
      <c r="AB2206" s="172">
        <v>45573</v>
      </c>
      <c r="AC2206" s="119">
        <v>202401225</v>
      </c>
      <c r="AD2206" s="36">
        <f t="shared" si="251"/>
        <v>37672578</v>
      </c>
      <c r="AE2206" s="36" t="str">
        <f t="shared" si="252"/>
        <v>TK.KWVE20-B-A-L-0038-WW1</v>
      </c>
      <c r="AF2206" s="36">
        <v>51</v>
      </c>
      <c r="AG2206" s="120">
        <f t="shared" si="250"/>
        <v>291.71999999999997</v>
      </c>
      <c r="AH2206" s="36"/>
      <c r="AI2206" s="124"/>
      <c r="AJ2206" s="122" t="s">
        <v>2501</v>
      </c>
      <c r="AK2206" s="129" t="str">
        <f t="shared" ca="1" si="249"/>
        <v>On Time</v>
      </c>
      <c r="AL2206" s="268" t="str">
        <f t="shared" si="248"/>
        <v>October</v>
      </c>
      <c r="AM2206" s="133">
        <f>YEAR(Table1[[#This Row],[ETA
As requested
dd.mm.yyyy]])</f>
        <v>2024</v>
      </c>
    </row>
    <row r="2207" spans="1:39" hidden="1">
      <c r="A2207" s="123" t="s">
        <v>83</v>
      </c>
      <c r="B2207" s="36" t="s">
        <v>1170</v>
      </c>
      <c r="C2207" s="117">
        <v>37672578</v>
      </c>
      <c r="D2207" s="165">
        <v>45553</v>
      </c>
      <c r="E2207" s="117" t="s">
        <v>100</v>
      </c>
      <c r="F2207" s="36" t="str">
        <f>IFERROR(VLOOKUP(Table1[[#This Row],[Part Number]],DATABASE_FG!$C$6:D12196,2,FALSE)," ")</f>
        <v>054830877-8011</v>
      </c>
      <c r="G2207" s="117" t="str">
        <f>IFERROR(_xlfn.XLOOKUP(Table1[[#This Row],[Part Number]],Table3[Part number],Table3[Drawing
 Revision]),"")</f>
        <v>AA</v>
      </c>
      <c r="H2207" s="118" cm="1">
        <f t="array" ref="H2207">IFERROR(INDEX(PDB!$C:$AT,MATCH(E2207,PDB!$B:$B,0),MATCH(YEAR(K2207),0+PDB!$C$1:$AT$1,0)),"")</f>
        <v>5.72</v>
      </c>
      <c r="I2207" s="36">
        <v>195</v>
      </c>
      <c r="J2207" s="125">
        <f>IFERROR(Table1[[#This Row],[Quantity]]*Table1[[#This Row],[Price/Unit
EUR]]," ")</f>
        <v>1115.3999999999999</v>
      </c>
      <c r="K2207" s="126">
        <v>45587</v>
      </c>
      <c r="L2207" s="36">
        <f>WEEKNUM(Table1[[#This Row],[ETA
As requested
dd.mm.yyyy]])</f>
        <v>43</v>
      </c>
      <c r="M2207" s="36">
        <f>YEAR(Table1[[#This Row],[ETA
As requested
dd.mm.yyyy]])</f>
        <v>2024</v>
      </c>
      <c r="N2207" s="36">
        <f>IFERROR(INDEX(DATABASE_FG!$H$5:$H$367, MATCH(E2207, DATABASE_FG!$C$5:$C$367, 0)), " ")</f>
        <v>0</v>
      </c>
      <c r="O2207" s="129" t="str">
        <f>IF(E2207&lt;&gt;"", _xlfn.XLOOKUP(E2207, DATABASE_FG!C:C, DATABASE_FG!F:F), " ")</f>
        <v>Ghidaje</v>
      </c>
      <c r="P2207" s="36">
        <f>IFERROR(INDEX(DATABASE_FG!$G$5:$G$367, MATCH(E2207, DATABASE_FG!$C$5:$C$367, 0)), "Not Found")</f>
        <v>0</v>
      </c>
      <c r="Q2207" s="36"/>
      <c r="R2207" s="125" t="s">
        <v>678</v>
      </c>
      <c r="S2207" s="123">
        <f>IFERROR(INDEX(DATABASE_FG!$L$5:$L$367, MATCH(E2207, DATABASE_FG!$C$5:$C$367, 0)), " ")</f>
        <v>42</v>
      </c>
      <c r="T2207" s="36"/>
      <c r="U2207" s="36"/>
      <c r="V2207" s="36"/>
      <c r="W2207" s="129"/>
      <c r="X2207" s="36"/>
      <c r="Y2207" s="36"/>
      <c r="Z2207" s="36"/>
      <c r="AA2207" s="125" t="s">
        <v>121</v>
      </c>
      <c r="AB2207" s="173">
        <v>45594</v>
      </c>
      <c r="AC2207" s="119">
        <v>202401300</v>
      </c>
      <c r="AD2207" s="36">
        <f t="shared" si="251"/>
        <v>37672578</v>
      </c>
      <c r="AE2207" s="36" t="str">
        <f t="shared" si="252"/>
        <v>TK.KWVE20-B-A-L-0038-WW1</v>
      </c>
      <c r="AF2207" s="36">
        <v>195</v>
      </c>
      <c r="AG2207" s="120">
        <f t="shared" si="250"/>
        <v>1115.3999999999999</v>
      </c>
      <c r="AH2207" s="36"/>
      <c r="AI2207" s="124"/>
      <c r="AJ2207" s="122" t="s">
        <v>2510</v>
      </c>
      <c r="AK2207" s="129" t="str">
        <f t="shared" ca="1" si="249"/>
        <v>Late</v>
      </c>
      <c r="AL2207" s="268" t="str">
        <f t="shared" si="248"/>
        <v>October</v>
      </c>
      <c r="AM2207" s="133">
        <f>YEAR(Table1[[#This Row],[ETA
As requested
dd.mm.yyyy]])</f>
        <v>2024</v>
      </c>
    </row>
    <row r="2208" spans="1:39" hidden="1">
      <c r="A2208" s="123" t="s">
        <v>83</v>
      </c>
      <c r="B2208" s="36" t="s">
        <v>1170</v>
      </c>
      <c r="C2208" s="117">
        <v>37871634</v>
      </c>
      <c r="D2208" s="165">
        <v>45587</v>
      </c>
      <c r="E2208" s="117" t="s">
        <v>100</v>
      </c>
      <c r="F2208" s="36" t="str">
        <f>IFERROR(VLOOKUP(Table1[[#This Row],[Part Number]],DATABASE_FG!$C$6:D12197,2,FALSE)," ")</f>
        <v>054830877-8011</v>
      </c>
      <c r="G2208" s="117" t="str">
        <f>IFERROR(_xlfn.XLOOKUP(Table1[[#This Row],[Part Number]],Table3[Part number],Table3[Drawing
 Revision]),"")</f>
        <v>AA</v>
      </c>
      <c r="H2208" s="118" cm="1">
        <f t="array" ref="H2208">IFERROR(INDEX(PDB!$C:$AT,MATCH(E2208,PDB!$B:$B,0),MATCH(YEAR(K2208),0+PDB!$C$1:$AT$1,0)),"")</f>
        <v>5.72</v>
      </c>
      <c r="I2208" s="36">
        <v>234</v>
      </c>
      <c r="J2208" s="125">
        <f>IFERROR(Table1[[#This Row],[Quantity]]*Table1[[#This Row],[Price/Unit
EUR]]," ")</f>
        <v>1338.48</v>
      </c>
      <c r="K2208" s="126">
        <v>45603</v>
      </c>
      <c r="L2208" s="36">
        <f>WEEKNUM(Table1[[#This Row],[ETA
As requested
dd.mm.yyyy]])</f>
        <v>45</v>
      </c>
      <c r="M2208" s="36">
        <f>YEAR(Table1[[#This Row],[ETA
As requested
dd.mm.yyyy]])</f>
        <v>2024</v>
      </c>
      <c r="N2208" s="36">
        <f>IFERROR(INDEX(DATABASE_FG!$H$5:$H$367, MATCH(E2208, DATABASE_FG!$C$5:$C$367, 0)), " ")</f>
        <v>0</v>
      </c>
      <c r="O2208" s="129" t="str">
        <f>IF(E2208&lt;&gt;"", _xlfn.XLOOKUP(E2208, DATABASE_FG!C:C, DATABASE_FG!F:F), " ")</f>
        <v>Ghidaje</v>
      </c>
      <c r="P2208" s="36">
        <f>IFERROR(INDEX(DATABASE_FG!$G$5:$G$367, MATCH(E2208, DATABASE_FG!$C$5:$C$367, 0)), "Not Found")</f>
        <v>0</v>
      </c>
      <c r="Q2208" s="36"/>
      <c r="R2208" s="125" t="s">
        <v>678</v>
      </c>
      <c r="S2208" s="123">
        <f>IFERROR(INDEX(DATABASE_FG!$L$5:$L$367, MATCH(E2208, DATABASE_FG!$C$5:$C$367, 0)), " ")</f>
        <v>42</v>
      </c>
      <c r="T2208" s="36" t="s">
        <v>679</v>
      </c>
      <c r="U2208" s="36"/>
      <c r="V2208" s="36"/>
      <c r="W2208" s="129"/>
      <c r="X2208" s="36"/>
      <c r="Y2208" s="36"/>
      <c r="Z2208" s="36"/>
      <c r="AA2208" s="125" t="s">
        <v>121</v>
      </c>
      <c r="AB2208" s="173">
        <v>45597</v>
      </c>
      <c r="AC2208" s="119">
        <v>202401314</v>
      </c>
      <c r="AD2208" s="36">
        <f t="shared" si="251"/>
        <v>37871634</v>
      </c>
      <c r="AE2208" s="36" t="str">
        <f t="shared" si="252"/>
        <v>TK.KWVE20-B-A-L-0038-WW1</v>
      </c>
      <c r="AF2208" s="36">
        <v>234</v>
      </c>
      <c r="AG2208" s="120">
        <f t="shared" si="250"/>
        <v>1338.48</v>
      </c>
      <c r="AH2208" s="36"/>
      <c r="AI2208" s="124"/>
      <c r="AJ2208" s="122" t="s">
        <v>2563</v>
      </c>
      <c r="AK2208" s="129" t="str">
        <f t="shared" ca="1" si="249"/>
        <v>On Time</v>
      </c>
      <c r="AL2208" s="268" t="str">
        <f t="shared" si="248"/>
        <v>November</v>
      </c>
      <c r="AM2208" s="133">
        <f>YEAR(Table1[[#This Row],[ETA
As requested
dd.mm.yyyy]])</f>
        <v>2024</v>
      </c>
    </row>
    <row r="2209" spans="1:39" hidden="1">
      <c r="A2209" s="123" t="s">
        <v>83</v>
      </c>
      <c r="B2209" s="36" t="s">
        <v>1170</v>
      </c>
      <c r="C2209" s="117">
        <v>37871634</v>
      </c>
      <c r="D2209" s="165">
        <v>45587</v>
      </c>
      <c r="E2209" s="117" t="s">
        <v>100</v>
      </c>
      <c r="F2209" s="36" t="str">
        <f>IFERROR(VLOOKUP(Table1[[#This Row],[Part Number]],DATABASE_FG!$C$6:D12198,2,FALSE)," ")</f>
        <v>054830877-8011</v>
      </c>
      <c r="G2209" s="117" t="str">
        <f>IFERROR(_xlfn.XLOOKUP(Table1[[#This Row],[Part Number]],Table3[Part number],Table3[Drawing
 Revision]),"")</f>
        <v>AA</v>
      </c>
      <c r="H2209" s="118" cm="1">
        <f t="array" ref="H2209">IFERROR(INDEX(PDB!$C:$AT,MATCH(E2209,PDB!$B:$B,0),MATCH(YEAR(K2209),0+PDB!$C$1:$AT$1,0)),"")</f>
        <v>5.72</v>
      </c>
      <c r="I2209" s="36">
        <f>404-234</f>
        <v>170</v>
      </c>
      <c r="J2209" s="125">
        <f>IFERROR(Table1[[#This Row],[Quantity]]*Table1[[#This Row],[Price/Unit
EUR]]," ")</f>
        <v>972.4</v>
      </c>
      <c r="K2209" s="126">
        <v>45603</v>
      </c>
      <c r="L2209" s="36">
        <f>WEEKNUM(Table1[[#This Row],[ETA
As requested
dd.mm.yyyy]])</f>
        <v>45</v>
      </c>
      <c r="M2209" s="36">
        <f>YEAR(Table1[[#This Row],[ETA
As requested
dd.mm.yyyy]])</f>
        <v>2024</v>
      </c>
      <c r="N2209" s="36">
        <f>IFERROR(INDEX(DATABASE_FG!$H$5:$H$367, MATCH(E2209, DATABASE_FG!$C$5:$C$367, 0)), " ")</f>
        <v>0</v>
      </c>
      <c r="O2209" s="129" t="str">
        <f>IF(E2209&lt;&gt;"", _xlfn.XLOOKUP(E2209, DATABASE_FG!C:C, DATABASE_FG!F:F), " ")</f>
        <v>Ghidaje</v>
      </c>
      <c r="P2209" s="36">
        <f>IFERROR(INDEX(DATABASE_FG!$G$5:$G$367, MATCH(E2209, DATABASE_FG!$C$5:$C$367, 0)), "Not Found")</f>
        <v>0</v>
      </c>
      <c r="Q2209" s="36"/>
      <c r="R2209" s="125" t="s">
        <v>678</v>
      </c>
      <c r="S2209" s="123">
        <f>IFERROR(INDEX(DATABASE_FG!$L$5:$L$367, MATCH(E2209, DATABASE_FG!$C$5:$C$367, 0)), " ")</f>
        <v>42</v>
      </c>
      <c r="T2209" s="36" t="s">
        <v>679</v>
      </c>
      <c r="U2209" s="36"/>
      <c r="V2209" s="36"/>
      <c r="W2209" s="129"/>
      <c r="X2209" s="36"/>
      <c r="Y2209" s="36"/>
      <c r="Z2209" s="36"/>
      <c r="AA2209" s="125" t="s">
        <v>121</v>
      </c>
      <c r="AB2209" s="173">
        <v>45604</v>
      </c>
      <c r="AC2209" s="119">
        <v>202401360</v>
      </c>
      <c r="AD2209" s="36">
        <f t="shared" si="251"/>
        <v>37871634</v>
      </c>
      <c r="AE2209" s="36" t="str">
        <f t="shared" si="252"/>
        <v>TK.KWVE20-B-A-L-0038-WW1</v>
      </c>
      <c r="AF2209" s="36">
        <v>170</v>
      </c>
      <c r="AG2209" s="120">
        <f t="shared" si="250"/>
        <v>972.4</v>
      </c>
      <c r="AH2209" s="36"/>
      <c r="AI2209" s="124"/>
      <c r="AJ2209" s="122" t="s">
        <v>2565</v>
      </c>
      <c r="AK2209" s="129" t="str">
        <f t="shared" ca="1" si="249"/>
        <v>On Time</v>
      </c>
      <c r="AL2209" s="268" t="str">
        <f t="shared" si="248"/>
        <v>November</v>
      </c>
      <c r="AM2209" s="133">
        <f>YEAR(Table1[[#This Row],[ETA
As requested
dd.mm.yyyy]])</f>
        <v>2024</v>
      </c>
    </row>
    <row r="2210" spans="1:39" hidden="1">
      <c r="A2210" s="123" t="s">
        <v>83</v>
      </c>
      <c r="B2210" s="36" t="s">
        <v>1170</v>
      </c>
      <c r="C2210" s="117">
        <v>37871634</v>
      </c>
      <c r="D2210" s="165">
        <v>45587</v>
      </c>
      <c r="E2210" s="117" t="s">
        <v>100</v>
      </c>
      <c r="F2210" s="36" t="str">
        <f>IFERROR(VLOOKUP(Table1[[#This Row],[Part Number]],DATABASE_FG!$C$6:D12199,2,FALSE)," ")</f>
        <v>054830877-8011</v>
      </c>
      <c r="G2210" s="117" t="str">
        <f>IFERROR(_xlfn.XLOOKUP(Table1[[#This Row],[Part Number]],Table3[Part number],Table3[Drawing
 Revision]),"")</f>
        <v>AA</v>
      </c>
      <c r="H2210" s="118" cm="1">
        <f t="array" ref="H2210">IFERROR(INDEX(PDB!$C:$AT,MATCH(E2210,PDB!$B:$B,0),MATCH(YEAR(K2210),0+PDB!$C$1:$AT$1,0)),"")</f>
        <v>5.72</v>
      </c>
      <c r="I2210" s="36">
        <v>146</v>
      </c>
      <c r="J2210" s="125">
        <f>IFERROR(Table1[[#This Row],[Quantity]]*Table1[[#This Row],[Price/Unit
EUR]]," ")</f>
        <v>835.12</v>
      </c>
      <c r="K2210" s="126">
        <v>45610</v>
      </c>
      <c r="L2210" s="36">
        <f>WEEKNUM(Table1[[#This Row],[ETA
As requested
dd.mm.yyyy]])</f>
        <v>46</v>
      </c>
      <c r="M2210" s="36">
        <f>YEAR(Table1[[#This Row],[ETA
As requested
dd.mm.yyyy]])</f>
        <v>2024</v>
      </c>
      <c r="N2210" s="36">
        <f>IFERROR(INDEX(DATABASE_FG!$H$5:$H$367, MATCH(E2210, DATABASE_FG!$C$5:$C$367, 0)), " ")</f>
        <v>0</v>
      </c>
      <c r="O2210" s="129" t="str">
        <f>IF(E2210&lt;&gt;"", _xlfn.XLOOKUP(E2210, DATABASE_FG!C:C, DATABASE_FG!F:F), " ")</f>
        <v>Ghidaje</v>
      </c>
      <c r="P2210" s="36">
        <f>IFERROR(INDEX(DATABASE_FG!$G$5:$G$367, MATCH(E2210, DATABASE_FG!$C$5:$C$367, 0)), "Not Found")</f>
        <v>0</v>
      </c>
      <c r="Q2210" s="36"/>
      <c r="R2210" s="125" t="s">
        <v>678</v>
      </c>
      <c r="S2210" s="123">
        <f>IFERROR(INDEX(DATABASE_FG!$L$5:$L$367, MATCH(E2210, DATABASE_FG!$C$5:$C$367, 0)), " ")</f>
        <v>42</v>
      </c>
      <c r="T2210" s="36" t="s">
        <v>679</v>
      </c>
      <c r="U2210" s="36"/>
      <c r="V2210" s="36"/>
      <c r="W2210" s="129"/>
      <c r="X2210" s="36"/>
      <c r="Y2210" s="36"/>
      <c r="Z2210" s="36"/>
      <c r="AA2210" s="125" t="s">
        <v>121</v>
      </c>
      <c r="AB2210" s="173">
        <v>45604</v>
      </c>
      <c r="AC2210" s="119">
        <v>202401360</v>
      </c>
      <c r="AD2210" s="36">
        <f t="shared" si="251"/>
        <v>37871634</v>
      </c>
      <c r="AE2210" s="36" t="str">
        <f t="shared" si="252"/>
        <v>TK.KWVE20-B-A-L-0038-WW1</v>
      </c>
      <c r="AF2210" s="36">
        <v>146</v>
      </c>
      <c r="AG2210" s="120">
        <f t="shared" si="250"/>
        <v>835.12</v>
      </c>
      <c r="AH2210" s="36"/>
      <c r="AI2210" s="124"/>
      <c r="AJ2210" s="122" t="s">
        <v>2565</v>
      </c>
      <c r="AK2210" s="129" t="str">
        <f t="shared" ca="1" si="249"/>
        <v>On Time</v>
      </c>
      <c r="AL2210" s="268" t="str">
        <f t="shared" si="248"/>
        <v>November</v>
      </c>
      <c r="AM2210" s="133">
        <f>YEAR(Table1[[#This Row],[ETA
As requested
dd.mm.yyyy]])</f>
        <v>2024</v>
      </c>
    </row>
    <row r="2211" spans="1:39" hidden="1">
      <c r="A2211" s="123" t="s">
        <v>83</v>
      </c>
      <c r="B2211" s="36" t="s">
        <v>1170</v>
      </c>
      <c r="C2211" s="117">
        <v>37871634</v>
      </c>
      <c r="D2211" s="165">
        <v>45587</v>
      </c>
      <c r="E2211" s="117" t="s">
        <v>100</v>
      </c>
      <c r="F2211" s="36" t="str">
        <f>IFERROR(VLOOKUP(Table1[[#This Row],[Part Number]],DATABASE_FG!$C$6:D12200,2,FALSE)," ")</f>
        <v>054830877-8011</v>
      </c>
      <c r="G2211" s="117" t="str">
        <f>IFERROR(_xlfn.XLOOKUP(Table1[[#This Row],[Part Number]],Table3[Part number],Table3[Drawing
 Revision]),"")</f>
        <v>AA</v>
      </c>
      <c r="H2211" s="118" cm="1">
        <f t="array" ref="H2211">IFERROR(INDEX(PDB!$C:$AT,MATCH(E2211,PDB!$B:$B,0),MATCH(YEAR(K2211),0+PDB!$C$1:$AT$1,0)),"")</f>
        <v>5.72</v>
      </c>
      <c r="I2211" s="36">
        <v>52</v>
      </c>
      <c r="J2211" s="125">
        <f>IFERROR(Table1[[#This Row],[Quantity]]*Table1[[#This Row],[Price/Unit
EUR]]," ")</f>
        <v>297.44</v>
      </c>
      <c r="K2211" s="126">
        <v>45610</v>
      </c>
      <c r="L2211" s="36">
        <f>WEEKNUM(Table1[[#This Row],[ETA
As requested
dd.mm.yyyy]])</f>
        <v>46</v>
      </c>
      <c r="M2211" s="36">
        <f>YEAR(Table1[[#This Row],[ETA
As requested
dd.mm.yyyy]])</f>
        <v>2024</v>
      </c>
      <c r="N2211" s="36">
        <f>IFERROR(INDEX(DATABASE_FG!$H$5:$H$367, MATCH(E2211, DATABASE_FG!$C$5:$C$367, 0)), " ")</f>
        <v>0</v>
      </c>
      <c r="O2211" s="129" t="str">
        <f>IF(E2211&lt;&gt;"", _xlfn.XLOOKUP(E2211, DATABASE_FG!C:C, DATABASE_FG!F:F), " ")</f>
        <v>Ghidaje</v>
      </c>
      <c r="P2211" s="36">
        <f>IFERROR(INDEX(DATABASE_FG!$G$5:$G$367, MATCH(E2211, DATABASE_FG!$C$5:$C$367, 0)), "Not Found")</f>
        <v>0</v>
      </c>
      <c r="Q2211" s="36"/>
      <c r="R2211" s="125" t="s">
        <v>678</v>
      </c>
      <c r="S2211" s="123">
        <f>IFERROR(INDEX(DATABASE_FG!$L$5:$L$367, MATCH(E2211, DATABASE_FG!$C$5:$C$367, 0)), " ")</f>
        <v>42</v>
      </c>
      <c r="T2211" s="36" t="s">
        <v>679</v>
      </c>
      <c r="U2211" s="36"/>
      <c r="V2211" s="36"/>
      <c r="W2211" s="129"/>
      <c r="X2211" s="36"/>
      <c r="Y2211" s="36"/>
      <c r="Z2211" s="36"/>
      <c r="AA2211" s="125" t="s">
        <v>121</v>
      </c>
      <c r="AB2211" s="173">
        <v>45617</v>
      </c>
      <c r="AC2211" s="119">
        <v>20242013</v>
      </c>
      <c r="AD2211" s="36">
        <f t="shared" si="251"/>
        <v>37871634</v>
      </c>
      <c r="AE2211" s="36" t="str">
        <f t="shared" si="252"/>
        <v>TK.KWVE20-B-A-L-0038-WW1</v>
      </c>
      <c r="AF2211" s="36">
        <v>52</v>
      </c>
      <c r="AG2211" s="120">
        <f t="shared" si="250"/>
        <v>297.44</v>
      </c>
      <c r="AH2211" s="36"/>
      <c r="AI2211" s="124"/>
      <c r="AJ2211" s="122" t="s">
        <v>2593</v>
      </c>
      <c r="AK2211" s="129" t="str">
        <f t="shared" ca="1" si="249"/>
        <v>Late</v>
      </c>
      <c r="AL2211" s="268" t="str">
        <f t="shared" si="248"/>
        <v>November</v>
      </c>
      <c r="AM2211" s="133">
        <f>YEAR(Table1[[#This Row],[ETA
As requested
dd.mm.yyyy]])</f>
        <v>2024</v>
      </c>
    </row>
    <row r="2212" spans="1:39" hidden="1">
      <c r="A2212" s="123" t="s">
        <v>83</v>
      </c>
      <c r="B2212" s="36" t="s">
        <v>1170</v>
      </c>
      <c r="C2212" s="117">
        <v>37871634</v>
      </c>
      <c r="D2212" s="165">
        <v>45587</v>
      </c>
      <c r="E2212" s="117" t="s">
        <v>100</v>
      </c>
      <c r="F2212" s="36" t="str">
        <f>IFERROR(VLOOKUP(Table1[[#This Row],[Part Number]],DATABASE_FG!$C$6:D12201,2,FALSE)," ")</f>
        <v>054830877-8011</v>
      </c>
      <c r="G2212" s="117" t="str">
        <f>IFERROR(_xlfn.XLOOKUP(Table1[[#This Row],[Part Number]],Table3[Part number],Table3[Drawing
 Revision]),"")</f>
        <v>AA</v>
      </c>
      <c r="H2212" s="118" cm="1">
        <f t="array" ref="H2212">IFERROR(INDEX(PDB!$C:$AT,MATCH(E2212,PDB!$B:$B,0),MATCH(YEAR(K2212),0+PDB!$C$1:$AT$1,0)),"")</f>
        <v>5.72</v>
      </c>
      <c r="I2212" s="36">
        <f>204-52</f>
        <v>152</v>
      </c>
      <c r="J2212" s="125">
        <f>IFERROR(Table1[[#This Row],[Quantity]]*Table1[[#This Row],[Price/Unit
EUR]]," ")</f>
        <v>869.43999999999994</v>
      </c>
      <c r="K2212" s="126">
        <v>45610</v>
      </c>
      <c r="L2212" s="36">
        <f>WEEKNUM(Table1[[#This Row],[ETA
As requested
dd.mm.yyyy]])</f>
        <v>46</v>
      </c>
      <c r="M2212" s="36">
        <f>YEAR(Table1[[#This Row],[ETA
As requested
dd.mm.yyyy]])</f>
        <v>2024</v>
      </c>
      <c r="N2212" s="36">
        <f>IFERROR(INDEX(DATABASE_FG!$H$5:$H$367, MATCH(E2212, DATABASE_FG!$C$5:$C$367, 0)), " ")</f>
        <v>0</v>
      </c>
      <c r="O2212" s="129" t="str">
        <f>IF(E2212&lt;&gt;"", _xlfn.XLOOKUP(E2212, DATABASE_FG!C:C, DATABASE_FG!F:F), " ")</f>
        <v>Ghidaje</v>
      </c>
      <c r="P2212" s="36">
        <f>IFERROR(INDEX(DATABASE_FG!$G$5:$G$367, MATCH(E2212, DATABASE_FG!$C$5:$C$367, 0)), "Not Found")</f>
        <v>0</v>
      </c>
      <c r="Q2212" s="36"/>
      <c r="R2212" s="125" t="s">
        <v>678</v>
      </c>
      <c r="S2212" s="123">
        <f>IFERROR(INDEX(DATABASE_FG!$L$5:$L$367, MATCH(E2212, DATABASE_FG!$C$5:$C$367, 0)), " ")</f>
        <v>42</v>
      </c>
      <c r="T2212" s="36" t="s">
        <v>679</v>
      </c>
      <c r="U2212" s="36"/>
      <c r="V2212" s="36"/>
      <c r="W2212" s="129"/>
      <c r="X2212" s="36"/>
      <c r="Y2212" s="36"/>
      <c r="Z2212" s="36"/>
      <c r="AA2212" s="125" t="s">
        <v>121</v>
      </c>
      <c r="AB2212" s="173">
        <v>45617</v>
      </c>
      <c r="AC2212" s="119">
        <v>20242009</v>
      </c>
      <c r="AD2212" s="36">
        <f t="shared" si="251"/>
        <v>37871634</v>
      </c>
      <c r="AE2212" s="36" t="str">
        <f t="shared" si="252"/>
        <v>TK.KWVE20-B-A-L-0038-WW1</v>
      </c>
      <c r="AF2212" s="36">
        <v>152</v>
      </c>
      <c r="AG2212" s="120">
        <f t="shared" si="250"/>
        <v>869.43999999999994</v>
      </c>
      <c r="AH2212" s="36"/>
      <c r="AI2212" s="124"/>
      <c r="AJ2212" s="122" t="s">
        <v>2594</v>
      </c>
      <c r="AK2212" s="129" t="str">
        <f t="shared" ca="1" si="249"/>
        <v>Late</v>
      </c>
      <c r="AL2212" s="268" t="str">
        <f t="shared" si="248"/>
        <v>November</v>
      </c>
      <c r="AM2212" s="133">
        <f>YEAR(Table1[[#This Row],[ETA
As requested
dd.mm.yyyy]])</f>
        <v>2024</v>
      </c>
    </row>
    <row r="2213" spans="1:39" hidden="1">
      <c r="A2213" s="123" t="s">
        <v>83</v>
      </c>
      <c r="B2213" s="36" t="s">
        <v>1170</v>
      </c>
      <c r="C2213" s="117">
        <v>37871634</v>
      </c>
      <c r="D2213" s="165">
        <v>45587</v>
      </c>
      <c r="E2213" s="117" t="s">
        <v>100</v>
      </c>
      <c r="F2213" s="36" t="str">
        <f>IFERROR(VLOOKUP(Table1[[#This Row],[Part Number]],DATABASE_FG!$C$6:D12202,2,FALSE)," ")</f>
        <v>054830877-8011</v>
      </c>
      <c r="G2213" s="117" t="str">
        <f>IFERROR(_xlfn.XLOOKUP(Table1[[#This Row],[Part Number]],Table3[Part number],Table3[Drawing
 Revision]),"")</f>
        <v>AA</v>
      </c>
      <c r="H2213" s="118" cm="1">
        <f t="array" ref="H2213">IFERROR(INDEX(PDB!$C:$AT,MATCH(E2213,PDB!$B:$B,0),MATCH(YEAR(K2213),0+PDB!$C$1:$AT$1,0)),"")</f>
        <v>5.72</v>
      </c>
      <c r="I2213" s="36">
        <f>283-152</f>
        <v>131</v>
      </c>
      <c r="J2213" s="125">
        <f>IFERROR(Table1[[#This Row],[Quantity]]*Table1[[#This Row],[Price/Unit
EUR]]," ")</f>
        <v>749.31999999999994</v>
      </c>
      <c r="K2213" s="126">
        <v>45610</v>
      </c>
      <c r="L2213" s="36">
        <f>WEEKNUM(Table1[[#This Row],[ETA
As requested
dd.mm.yyyy]])</f>
        <v>46</v>
      </c>
      <c r="M2213" s="36">
        <f>YEAR(Table1[[#This Row],[ETA
As requested
dd.mm.yyyy]])</f>
        <v>2024</v>
      </c>
      <c r="N2213" s="36">
        <f>IFERROR(INDEX(DATABASE_FG!$H$5:$H$367, MATCH(E2213, DATABASE_FG!$C$5:$C$367, 0)), " ")</f>
        <v>0</v>
      </c>
      <c r="O2213" s="129" t="str">
        <f>IF(E2213&lt;&gt;"", _xlfn.XLOOKUP(E2213, DATABASE_FG!C:C, DATABASE_FG!F:F), " ")</f>
        <v>Ghidaje</v>
      </c>
      <c r="P2213" s="36">
        <f>IFERROR(INDEX(DATABASE_FG!$G$5:$G$367, MATCH(E2213, DATABASE_FG!$C$5:$C$367, 0)), "Not Found")</f>
        <v>0</v>
      </c>
      <c r="Q2213" s="36"/>
      <c r="R2213" s="125" t="s">
        <v>678</v>
      </c>
      <c r="S2213" s="123">
        <f>IFERROR(INDEX(DATABASE_FG!$L$5:$L$367, MATCH(E2213, DATABASE_FG!$C$5:$C$367, 0)), " ")</f>
        <v>42</v>
      </c>
      <c r="T2213" s="36" t="s">
        <v>679</v>
      </c>
      <c r="U2213" s="36"/>
      <c r="V2213" s="36"/>
      <c r="W2213" s="129"/>
      <c r="X2213" s="36"/>
      <c r="Y2213" s="36"/>
      <c r="Z2213" s="36"/>
      <c r="AA2213" s="125" t="s">
        <v>121</v>
      </c>
      <c r="AB2213" s="173">
        <v>45617</v>
      </c>
      <c r="AC2213" s="119">
        <v>20242009</v>
      </c>
      <c r="AD2213" s="36">
        <f t="shared" si="251"/>
        <v>37871634</v>
      </c>
      <c r="AE2213" s="36" t="str">
        <f t="shared" si="252"/>
        <v>TK.KWVE20-B-A-L-0038-WW1</v>
      </c>
      <c r="AF2213" s="36">
        <v>131</v>
      </c>
      <c r="AG2213" s="120">
        <f t="shared" si="250"/>
        <v>749.31999999999994</v>
      </c>
      <c r="AH2213" s="36"/>
      <c r="AI2213" s="124"/>
      <c r="AJ2213" s="122" t="s">
        <v>2594</v>
      </c>
      <c r="AK2213" s="129" t="str">
        <f t="shared" ca="1" si="249"/>
        <v>Late</v>
      </c>
      <c r="AL2213" s="268" t="str">
        <f t="shared" si="248"/>
        <v>November</v>
      </c>
      <c r="AM2213" s="133">
        <f>YEAR(Table1[[#This Row],[ETA
As requested
dd.mm.yyyy]])</f>
        <v>2024</v>
      </c>
    </row>
    <row r="2214" spans="1:39" hidden="1">
      <c r="A2214" s="123" t="s">
        <v>83</v>
      </c>
      <c r="B2214" s="36" t="s">
        <v>1170</v>
      </c>
      <c r="C2214" s="117">
        <v>37871634</v>
      </c>
      <c r="D2214" s="165">
        <v>45587</v>
      </c>
      <c r="E2214" s="117" t="s">
        <v>100</v>
      </c>
      <c r="F2214" s="36" t="str">
        <f>IFERROR(VLOOKUP(Table1[[#This Row],[Part Number]],DATABASE_FG!$C$6:D12203,2,FALSE)," ")</f>
        <v>054830877-8011</v>
      </c>
      <c r="G2214" s="117" t="str">
        <f>IFERROR(_xlfn.XLOOKUP(Table1[[#This Row],[Part Number]],Table3[Part number],Table3[Drawing
 Revision]),"")</f>
        <v>AA</v>
      </c>
      <c r="H2214" s="118" cm="1">
        <f t="array" ref="H2214">IFERROR(INDEX(PDB!$C:$AT,MATCH(E2214,PDB!$B:$B,0),MATCH(YEAR(K2214),0+PDB!$C$1:$AT$1,0)),"")</f>
        <v>5.72</v>
      </c>
      <c r="I2214" s="36">
        <f>350-131</f>
        <v>219</v>
      </c>
      <c r="J2214" s="125">
        <f>IFERROR(Table1[[#This Row],[Quantity]]*Table1[[#This Row],[Price/Unit
EUR]]," ")</f>
        <v>1252.6799999999998</v>
      </c>
      <c r="K2214" s="126">
        <v>45617</v>
      </c>
      <c r="L2214" s="36">
        <f>WEEKNUM(Table1[[#This Row],[ETA
As requested
dd.mm.yyyy]])</f>
        <v>47</v>
      </c>
      <c r="M2214" s="36">
        <f>YEAR(Table1[[#This Row],[ETA
As requested
dd.mm.yyyy]])</f>
        <v>2024</v>
      </c>
      <c r="N2214" s="36">
        <f>IFERROR(INDEX(DATABASE_FG!$H$5:$H$367, MATCH(E2214, DATABASE_FG!$C$5:$C$367, 0)), " ")</f>
        <v>0</v>
      </c>
      <c r="O2214" s="129" t="str">
        <f>IF(E2214&lt;&gt;"", _xlfn.XLOOKUP(E2214, DATABASE_FG!C:C, DATABASE_FG!F:F), " ")</f>
        <v>Ghidaje</v>
      </c>
      <c r="P2214" s="36">
        <f>IFERROR(INDEX(DATABASE_FG!$G$5:$G$367, MATCH(E2214, DATABASE_FG!$C$5:$C$367, 0)), "Not Found")</f>
        <v>0</v>
      </c>
      <c r="Q2214" s="36"/>
      <c r="R2214" s="125" t="s">
        <v>678</v>
      </c>
      <c r="S2214" s="123">
        <f>IFERROR(INDEX(DATABASE_FG!$L$5:$L$367, MATCH(E2214, DATABASE_FG!$C$5:$C$367, 0)), " ")</f>
        <v>42</v>
      </c>
      <c r="T2214" s="36" t="s">
        <v>679</v>
      </c>
      <c r="U2214" s="36"/>
      <c r="V2214" s="36"/>
      <c r="W2214" s="129"/>
      <c r="X2214" s="36"/>
      <c r="Y2214" s="36"/>
      <c r="Z2214" s="36"/>
      <c r="AA2214" s="125" t="s">
        <v>121</v>
      </c>
      <c r="AB2214" s="173">
        <v>45623</v>
      </c>
      <c r="AC2214" s="119">
        <v>202401428</v>
      </c>
      <c r="AD2214" s="36">
        <f t="shared" si="251"/>
        <v>37871634</v>
      </c>
      <c r="AE2214" s="36" t="str">
        <f t="shared" si="252"/>
        <v>TK.KWVE20-B-A-L-0038-WW1</v>
      </c>
      <c r="AF2214" s="36">
        <v>219</v>
      </c>
      <c r="AG2214" s="120">
        <f t="shared" si="250"/>
        <v>1252.6799999999998</v>
      </c>
      <c r="AH2214" s="36"/>
      <c r="AI2214" s="124"/>
      <c r="AJ2214" s="122" t="s">
        <v>2621</v>
      </c>
      <c r="AK2214" s="129" t="str">
        <f t="shared" ca="1" si="249"/>
        <v>Late</v>
      </c>
      <c r="AL2214" s="268" t="str">
        <f t="shared" si="248"/>
        <v>November</v>
      </c>
      <c r="AM2214" s="133">
        <f>YEAR(Table1[[#This Row],[ETA
As requested
dd.mm.yyyy]])</f>
        <v>2024</v>
      </c>
    </row>
    <row r="2215" spans="1:39" hidden="1">
      <c r="A2215" s="123" t="s">
        <v>83</v>
      </c>
      <c r="B2215" s="36" t="s">
        <v>1170</v>
      </c>
      <c r="C2215" s="117">
        <v>37871634</v>
      </c>
      <c r="D2215" s="165">
        <v>45587</v>
      </c>
      <c r="E2215" s="117" t="s">
        <v>100</v>
      </c>
      <c r="F2215" s="36" t="str">
        <f>IFERROR(VLOOKUP(Table1[[#This Row],[Part Number]],DATABASE_FG!$C$6:D12204,2,FALSE)," ")</f>
        <v>054830877-8011</v>
      </c>
      <c r="G2215" s="117" t="str">
        <f>IFERROR(_xlfn.XLOOKUP(Table1[[#This Row],[Part Number]],Table3[Part number],Table3[Drawing
 Revision]),"")</f>
        <v>AA</v>
      </c>
      <c r="H2215" s="118" cm="1">
        <f t="array" ref="H2215">IFERROR(INDEX(PDB!$C:$AT,MATCH(E2215,PDB!$B:$B,0),MATCH(YEAR(K2215),0+PDB!$C$1:$AT$1,0)),"")</f>
        <v>5.72</v>
      </c>
      <c r="I2215" s="36">
        <v>100</v>
      </c>
      <c r="J2215" s="125">
        <f>IFERROR(Table1[[#This Row],[Quantity]]*Table1[[#This Row],[Price/Unit
EUR]]," ")</f>
        <v>572</v>
      </c>
      <c r="K2215" s="126">
        <v>45617</v>
      </c>
      <c r="L2215" s="36">
        <f>WEEKNUM(Table1[[#This Row],[ETA
As requested
dd.mm.yyyy]])</f>
        <v>47</v>
      </c>
      <c r="M2215" s="36">
        <f>YEAR(Table1[[#This Row],[ETA
As requested
dd.mm.yyyy]])</f>
        <v>2024</v>
      </c>
      <c r="N2215" s="36">
        <f>IFERROR(INDEX(DATABASE_FG!$H$5:$H$367, MATCH(E2215, DATABASE_FG!$C$5:$C$367, 0)), " ")</f>
        <v>0</v>
      </c>
      <c r="O2215" s="129" t="str">
        <f>IF(E2215&lt;&gt;"", _xlfn.XLOOKUP(E2215, DATABASE_FG!C:C, DATABASE_FG!F:F), " ")</f>
        <v>Ghidaje</v>
      </c>
      <c r="P2215" s="36">
        <f>IFERROR(INDEX(DATABASE_FG!$G$5:$G$367, MATCH(E2215, DATABASE_FG!$C$5:$C$367, 0)), "Not Found")</f>
        <v>0</v>
      </c>
      <c r="Q2215" s="36"/>
      <c r="R2215" s="125" t="s">
        <v>678</v>
      </c>
      <c r="S2215" s="123">
        <f>IFERROR(INDEX(DATABASE_FG!$L$5:$L$367, MATCH(E2215, DATABASE_FG!$C$5:$C$367, 0)), " ")</f>
        <v>42</v>
      </c>
      <c r="T2215" s="36"/>
      <c r="U2215" s="36"/>
      <c r="V2215" s="36"/>
      <c r="W2215" s="129"/>
      <c r="X2215" s="36"/>
      <c r="Y2215" s="36"/>
      <c r="Z2215" s="36"/>
      <c r="AA2215" s="125" t="s">
        <v>121</v>
      </c>
      <c r="AB2215" s="173">
        <v>45623</v>
      </c>
      <c r="AC2215" s="119">
        <v>202401428</v>
      </c>
      <c r="AD2215" s="36">
        <f t="shared" si="251"/>
        <v>37871634</v>
      </c>
      <c r="AE2215" s="36" t="str">
        <f t="shared" si="252"/>
        <v>TK.KWVE20-B-A-L-0038-WW1</v>
      </c>
      <c r="AF2215" s="36">
        <v>100</v>
      </c>
      <c r="AG2215" s="120">
        <f t="shared" si="250"/>
        <v>572</v>
      </c>
      <c r="AH2215" s="36"/>
      <c r="AI2215" s="124"/>
      <c r="AJ2215" s="122" t="s">
        <v>2621</v>
      </c>
      <c r="AK2215" s="129" t="str">
        <f t="shared" ca="1" si="249"/>
        <v>Late</v>
      </c>
      <c r="AL2215" s="268" t="str">
        <f t="shared" si="248"/>
        <v>November</v>
      </c>
      <c r="AM2215" s="133">
        <f>YEAR(Table1[[#This Row],[ETA
As requested
dd.mm.yyyy]])</f>
        <v>2024</v>
      </c>
    </row>
    <row r="2216" spans="1:39" hidden="1">
      <c r="A2216" s="123" t="s">
        <v>83</v>
      </c>
      <c r="B2216" s="36" t="s">
        <v>1170</v>
      </c>
      <c r="C2216" s="117">
        <v>37871634</v>
      </c>
      <c r="D2216" s="165">
        <v>45587</v>
      </c>
      <c r="E2216" s="117" t="s">
        <v>100</v>
      </c>
      <c r="F2216" s="36" t="str">
        <f>IFERROR(VLOOKUP(Table1[[#This Row],[Part Number]],DATABASE_FG!$C$6:D12205,2,FALSE)," ")</f>
        <v>054830877-8011</v>
      </c>
      <c r="G2216" s="117" t="str">
        <f>IFERROR(_xlfn.XLOOKUP(Table1[[#This Row],[Part Number]],Table3[Part number],Table3[Drawing
 Revision]),"")</f>
        <v>AA</v>
      </c>
      <c r="H2216" s="118" cm="1">
        <f t="array" ref="H2216">IFERROR(INDEX(PDB!$C:$AT,MATCH(E2216,PDB!$B:$B,0),MATCH(YEAR(K2216),0+PDB!$C$1:$AT$1,0)),"")</f>
        <v>5.72</v>
      </c>
      <c r="I2216" s="36">
        <v>36</v>
      </c>
      <c r="J2216" s="125">
        <f>IFERROR(Table1[[#This Row],[Quantity]]*Table1[[#This Row],[Price/Unit
EUR]]," ")</f>
        <v>205.92</v>
      </c>
      <c r="K2216" s="126">
        <v>45624</v>
      </c>
      <c r="L2216" s="36">
        <f>WEEKNUM(Table1[[#This Row],[ETA
As requested
dd.mm.yyyy]])</f>
        <v>48</v>
      </c>
      <c r="M2216" s="36">
        <f>YEAR(Table1[[#This Row],[ETA
As requested
dd.mm.yyyy]])</f>
        <v>2024</v>
      </c>
      <c r="N2216" s="36">
        <f>IFERROR(INDEX(DATABASE_FG!$H$5:$H$367, MATCH(E2216, DATABASE_FG!$C$5:$C$367, 0)), " ")</f>
        <v>0</v>
      </c>
      <c r="O2216" s="129" t="str">
        <f>IF(E2216&lt;&gt;"", _xlfn.XLOOKUP(E2216, DATABASE_FG!C:C, DATABASE_FG!F:F), " ")</f>
        <v>Ghidaje</v>
      </c>
      <c r="P2216" s="36">
        <f>IFERROR(INDEX(DATABASE_FG!$G$5:$G$367, MATCH(E2216, DATABASE_FG!$C$5:$C$367, 0)), "Not Found")</f>
        <v>0</v>
      </c>
      <c r="Q2216" s="36"/>
      <c r="R2216" s="125" t="s">
        <v>678</v>
      </c>
      <c r="S2216" s="123">
        <f>IFERROR(INDEX(DATABASE_FG!$L$5:$L$367, MATCH(E2216, DATABASE_FG!$C$5:$C$367, 0)), " ")</f>
        <v>42</v>
      </c>
      <c r="T2216" s="36" t="s">
        <v>679</v>
      </c>
      <c r="U2216" s="36"/>
      <c r="V2216" s="36"/>
      <c r="W2216" s="129"/>
      <c r="X2216" s="36"/>
      <c r="Y2216" s="36"/>
      <c r="Z2216" s="36"/>
      <c r="AA2216" s="125" t="s">
        <v>121</v>
      </c>
      <c r="AB2216" s="173">
        <v>45629</v>
      </c>
      <c r="AC2216" s="119">
        <v>202401455</v>
      </c>
      <c r="AD2216" s="36">
        <f t="shared" si="251"/>
        <v>37871634</v>
      </c>
      <c r="AE2216" s="36" t="str">
        <f t="shared" si="252"/>
        <v>TK.KWVE20-B-A-L-0038-WW1</v>
      </c>
      <c r="AF2216" s="36">
        <v>36</v>
      </c>
      <c r="AG2216" s="120">
        <f t="shared" si="250"/>
        <v>205.92</v>
      </c>
      <c r="AH2216" s="36"/>
      <c r="AI2216" s="124"/>
      <c r="AJ2216" s="122" t="s">
        <v>2633</v>
      </c>
      <c r="AK2216" s="129" t="str">
        <f t="shared" ca="1" si="249"/>
        <v>Late</v>
      </c>
      <c r="AL2216" s="268" t="str">
        <f t="shared" si="248"/>
        <v>November</v>
      </c>
      <c r="AM2216" s="133">
        <f>YEAR(Table1[[#This Row],[ETA
As requested
dd.mm.yyyy]])</f>
        <v>2024</v>
      </c>
    </row>
    <row r="2217" spans="1:39" hidden="1">
      <c r="A2217" s="123" t="s">
        <v>83</v>
      </c>
      <c r="B2217" s="36" t="s">
        <v>1170</v>
      </c>
      <c r="C2217" s="117">
        <v>38036644</v>
      </c>
      <c r="D2217" s="165">
        <v>45614</v>
      </c>
      <c r="E2217" s="117" t="s">
        <v>100</v>
      </c>
      <c r="F2217" s="36" t="str">
        <f>IFERROR(VLOOKUP(Table1[[#This Row],[Part Number]],DATABASE_FG!$C$6:D12206,2,FALSE)," ")</f>
        <v>054830877-8011</v>
      </c>
      <c r="G2217" s="117" t="str">
        <f>IFERROR(_xlfn.XLOOKUP(Table1[[#This Row],[Part Number]],Table3[Part number],Table3[Drawing
 Revision]),"")</f>
        <v>AA</v>
      </c>
      <c r="H2217" s="118" cm="1">
        <f t="array" ref="H2217">IFERROR(INDEX(PDB!$C:$AT,MATCH(E2217,PDB!$B:$B,0),MATCH(YEAR(K2217),0+PDB!$C$1:$AT$1,0)),"")</f>
        <v>5.72</v>
      </c>
      <c r="I2217" s="36">
        <v>41</v>
      </c>
      <c r="J2217" s="125">
        <f>IFERROR(Table1[[#This Row],[Quantity]]*Table1[[#This Row],[Price/Unit
EUR]]," ")</f>
        <v>234.51999999999998</v>
      </c>
      <c r="K2217" s="126">
        <v>45629</v>
      </c>
      <c r="L2217" s="36">
        <f>WEEKNUM(Table1[[#This Row],[ETA
As requested
dd.mm.yyyy]])</f>
        <v>49</v>
      </c>
      <c r="M2217" s="36">
        <f>YEAR(Table1[[#This Row],[ETA
As requested
dd.mm.yyyy]])</f>
        <v>2024</v>
      </c>
      <c r="N2217" s="36">
        <f>IFERROR(INDEX(DATABASE_FG!$H$5:$H$367, MATCH(E2217, DATABASE_FG!$C$5:$C$367, 0)), " ")</f>
        <v>0</v>
      </c>
      <c r="O2217" s="129" t="str">
        <f>IF(E2217&lt;&gt;"", _xlfn.XLOOKUP(E2217, DATABASE_FG!C:C, DATABASE_FG!F:F), " ")</f>
        <v>Ghidaje</v>
      </c>
      <c r="P2217" s="36">
        <f>IFERROR(INDEX(DATABASE_FG!$G$5:$G$367, MATCH(E2217, DATABASE_FG!$C$5:$C$367, 0)), "Not Found")</f>
        <v>0</v>
      </c>
      <c r="Q2217" s="36"/>
      <c r="R2217" s="125" t="s">
        <v>678</v>
      </c>
      <c r="S2217" s="123">
        <f>IFERROR(INDEX(DATABASE_FG!$L$5:$L$367, MATCH(E2217, DATABASE_FG!$C$5:$C$367, 0)), " ")</f>
        <v>42</v>
      </c>
      <c r="T2217" s="36" t="s">
        <v>679</v>
      </c>
      <c r="U2217" s="36"/>
      <c r="V2217" s="36"/>
      <c r="W2217" s="129"/>
      <c r="X2217" s="36"/>
      <c r="Y2217" s="36"/>
      <c r="Z2217" s="36"/>
      <c r="AA2217" s="125" t="s">
        <v>121</v>
      </c>
      <c r="AB2217" s="173">
        <v>45629</v>
      </c>
      <c r="AC2217" s="119">
        <v>202401456</v>
      </c>
      <c r="AD2217" s="36">
        <f t="shared" si="251"/>
        <v>38036644</v>
      </c>
      <c r="AE2217" s="36" t="str">
        <f t="shared" si="252"/>
        <v>TK.KWVE20-B-A-L-0038-WW1</v>
      </c>
      <c r="AF2217" s="36">
        <v>41</v>
      </c>
      <c r="AG2217" s="120">
        <f t="shared" si="250"/>
        <v>234.51999999999998</v>
      </c>
      <c r="AH2217" s="36"/>
      <c r="AI2217" s="124"/>
      <c r="AJ2217" s="122" t="s">
        <v>2639</v>
      </c>
      <c r="AK2217" s="129" t="str">
        <f t="shared" ca="1" si="249"/>
        <v>On Time</v>
      </c>
      <c r="AL2217" s="268" t="str">
        <f t="shared" si="248"/>
        <v>December</v>
      </c>
      <c r="AM2217" s="133">
        <f>YEAR(Table1[[#This Row],[ETA
As requested
dd.mm.yyyy]])</f>
        <v>2024</v>
      </c>
    </row>
    <row r="2218" spans="1:39" hidden="1">
      <c r="A2218" s="123" t="s">
        <v>83</v>
      </c>
      <c r="B2218" s="36" t="s">
        <v>1170</v>
      </c>
      <c r="C2218" s="117">
        <v>38036644</v>
      </c>
      <c r="D2218" s="165">
        <v>45614</v>
      </c>
      <c r="E2218" s="117" t="s">
        <v>100</v>
      </c>
      <c r="F2218" s="36" t="str">
        <f>IFERROR(VLOOKUP(Table1[[#This Row],[Part Number]],DATABASE_FG!$C$6:D12207,2,FALSE)," ")</f>
        <v>054830877-8011</v>
      </c>
      <c r="G2218" s="117" t="str">
        <f>IFERROR(_xlfn.XLOOKUP(Table1[[#This Row],[Part Number]],Table3[Part number],Table3[Drawing
 Revision]),"")</f>
        <v>AA</v>
      </c>
      <c r="H2218" s="118" cm="1">
        <f t="array" ref="H2218">IFERROR(INDEX(PDB!$C:$AT,MATCH(E2218,PDB!$B:$B,0),MATCH(YEAR(K2218),0+PDB!$C$1:$AT$1,0)),"")</f>
        <v>5.72</v>
      </c>
      <c r="I2218" s="36">
        <f>250-41</f>
        <v>209</v>
      </c>
      <c r="J2218" s="125">
        <f>IFERROR(Table1[[#This Row],[Quantity]]*Table1[[#This Row],[Price/Unit
EUR]]," ")</f>
        <v>1195.48</v>
      </c>
      <c r="K2218" s="126">
        <v>45629</v>
      </c>
      <c r="L2218" s="36">
        <f>WEEKNUM(Table1[[#This Row],[ETA
As requested
dd.mm.yyyy]])</f>
        <v>49</v>
      </c>
      <c r="M2218" s="36">
        <f>YEAR(Table1[[#This Row],[ETA
As requested
dd.mm.yyyy]])</f>
        <v>2024</v>
      </c>
      <c r="N2218" s="36">
        <f>IFERROR(INDEX(DATABASE_FG!$H$5:$H$367, MATCH(E2218, DATABASE_FG!$C$5:$C$367, 0)), " ")</f>
        <v>0</v>
      </c>
      <c r="O2218" s="129" t="str">
        <f>IF(E2218&lt;&gt;"", _xlfn.XLOOKUP(E2218, DATABASE_FG!C:C, DATABASE_FG!F:F), " ")</f>
        <v>Ghidaje</v>
      </c>
      <c r="P2218" s="36">
        <f>IFERROR(INDEX(DATABASE_FG!$G$5:$G$367, MATCH(E2218, DATABASE_FG!$C$5:$C$367, 0)), "Not Found")</f>
        <v>0</v>
      </c>
      <c r="Q2218" s="36"/>
      <c r="R2218" s="125" t="s">
        <v>678</v>
      </c>
      <c r="S2218" s="123">
        <f>IFERROR(INDEX(DATABASE_FG!$L$5:$L$367, MATCH(E2218, DATABASE_FG!$C$5:$C$367, 0)), " ")</f>
        <v>42</v>
      </c>
      <c r="T2218" s="36" t="s">
        <v>679</v>
      </c>
      <c r="U2218" s="36"/>
      <c r="V2218" s="36"/>
      <c r="W2218" s="129"/>
      <c r="X2218" s="36"/>
      <c r="Y2218" s="36"/>
      <c r="Z2218" s="36"/>
      <c r="AA2218" s="125" t="s">
        <v>121</v>
      </c>
      <c r="AB2218" s="173">
        <v>45636</v>
      </c>
      <c r="AC2218" s="119">
        <v>202401512</v>
      </c>
      <c r="AD2218" s="36">
        <f t="shared" si="251"/>
        <v>38036644</v>
      </c>
      <c r="AE2218" s="36" t="str">
        <f t="shared" si="252"/>
        <v>TK.KWVE20-B-A-L-0038-WW1</v>
      </c>
      <c r="AF2218" s="36">
        <v>209</v>
      </c>
      <c r="AG2218" s="120">
        <f t="shared" si="250"/>
        <v>1195.48</v>
      </c>
      <c r="AH2218" s="36"/>
      <c r="AI2218" s="124"/>
      <c r="AJ2218" s="122" t="s">
        <v>2642</v>
      </c>
      <c r="AK2218" s="129" t="str">
        <f t="shared" ca="1" si="249"/>
        <v>Late</v>
      </c>
      <c r="AL2218" s="268" t="str">
        <f t="shared" si="248"/>
        <v>December</v>
      </c>
      <c r="AM2218" s="133">
        <f>YEAR(Table1[[#This Row],[ETA
As requested
dd.mm.yyyy]])</f>
        <v>2024</v>
      </c>
    </row>
    <row r="2219" spans="1:39" hidden="1">
      <c r="A2219" s="123" t="s">
        <v>83</v>
      </c>
      <c r="B2219" s="36" t="s">
        <v>1170</v>
      </c>
      <c r="C2219" s="117">
        <v>38036644</v>
      </c>
      <c r="D2219" s="165">
        <v>45614</v>
      </c>
      <c r="E2219" s="117" t="s">
        <v>100</v>
      </c>
      <c r="F2219" s="36" t="str">
        <f>IFERROR(VLOOKUP(Table1[[#This Row],[Part Number]],DATABASE_FG!$C$6:D12208,2,FALSE)," ")</f>
        <v>054830877-8011</v>
      </c>
      <c r="G2219" s="117" t="str">
        <f>IFERROR(_xlfn.XLOOKUP(Table1[[#This Row],[Part Number]],Table3[Part number],Table3[Drawing
 Revision]),"")</f>
        <v>AA</v>
      </c>
      <c r="H2219" s="118" cm="1">
        <f t="array" ref="H2219">IFERROR(INDEX(PDB!$C:$AT,MATCH(E2219,PDB!$B:$B,0),MATCH(YEAR(K2219),0+PDB!$C$1:$AT$1,0)),"")</f>
        <v>5.72</v>
      </c>
      <c r="I2219" s="36">
        <f>310-209</f>
        <v>101</v>
      </c>
      <c r="J2219" s="125">
        <f>IFERROR(Table1[[#This Row],[Quantity]]*Table1[[#This Row],[Price/Unit
EUR]]," ")</f>
        <v>577.72</v>
      </c>
      <c r="K2219" s="126">
        <v>45636</v>
      </c>
      <c r="L2219" s="36">
        <f>WEEKNUM(Table1[[#This Row],[ETA
As requested
dd.mm.yyyy]])</f>
        <v>50</v>
      </c>
      <c r="M2219" s="36">
        <f>YEAR(Table1[[#This Row],[ETA
As requested
dd.mm.yyyy]])</f>
        <v>2024</v>
      </c>
      <c r="N2219" s="36">
        <f>IFERROR(INDEX(DATABASE_FG!$H$5:$H$367, MATCH(E2219, DATABASE_FG!$C$5:$C$367, 0)), " ")</f>
        <v>0</v>
      </c>
      <c r="O2219" s="129" t="str">
        <f>IF(E2219&lt;&gt;"", _xlfn.XLOOKUP(E2219, DATABASE_FG!C:C, DATABASE_FG!F:F), " ")</f>
        <v>Ghidaje</v>
      </c>
      <c r="P2219" s="36">
        <f>IFERROR(INDEX(DATABASE_FG!$G$5:$G$367, MATCH(E2219, DATABASE_FG!$C$5:$C$367, 0)), "Not Found")</f>
        <v>0</v>
      </c>
      <c r="Q2219" s="36"/>
      <c r="R2219" s="125" t="s">
        <v>678</v>
      </c>
      <c r="S2219" s="123">
        <f>IFERROR(INDEX(DATABASE_FG!$L$5:$L$367, MATCH(E2219, DATABASE_FG!$C$5:$C$367, 0)), " ")</f>
        <v>42</v>
      </c>
      <c r="T2219" s="36" t="s">
        <v>679</v>
      </c>
      <c r="U2219" s="36"/>
      <c r="V2219" s="36"/>
      <c r="W2219" s="129"/>
      <c r="X2219" s="36"/>
      <c r="Y2219" s="36"/>
      <c r="Z2219" s="36"/>
      <c r="AA2219" s="125" t="s">
        <v>121</v>
      </c>
      <c r="AB2219" s="173">
        <v>45636</v>
      </c>
      <c r="AC2219" s="119">
        <v>202401512</v>
      </c>
      <c r="AD2219" s="36">
        <f t="shared" si="251"/>
        <v>38036644</v>
      </c>
      <c r="AE2219" s="36" t="str">
        <f t="shared" si="252"/>
        <v>TK.KWVE20-B-A-L-0038-WW1</v>
      </c>
      <c r="AF2219" s="36">
        <v>101</v>
      </c>
      <c r="AG2219" s="120">
        <f t="shared" si="250"/>
        <v>577.72</v>
      </c>
      <c r="AH2219" s="36"/>
      <c r="AI2219" s="124"/>
      <c r="AJ2219" s="122" t="s">
        <v>2642</v>
      </c>
      <c r="AK2219" s="129" t="str">
        <f t="shared" ca="1" si="249"/>
        <v>On Time</v>
      </c>
      <c r="AL2219" s="268" t="str">
        <f t="shared" si="248"/>
        <v>December</v>
      </c>
      <c r="AM2219" s="133">
        <f>YEAR(Table1[[#This Row],[ETA
As requested
dd.mm.yyyy]])</f>
        <v>2024</v>
      </c>
    </row>
    <row r="2220" spans="1:39" hidden="1">
      <c r="A2220" s="123" t="s">
        <v>83</v>
      </c>
      <c r="B2220" s="36" t="s">
        <v>1170</v>
      </c>
      <c r="C2220" s="117">
        <v>38036644</v>
      </c>
      <c r="D2220" s="165">
        <v>45614</v>
      </c>
      <c r="E2220" s="117" t="s">
        <v>100</v>
      </c>
      <c r="F2220" s="36" t="str">
        <f>IFERROR(VLOOKUP(Table1[[#This Row],[Part Number]],DATABASE_FG!$C$6:D12209,2,FALSE)," ")</f>
        <v>054830877-8011</v>
      </c>
      <c r="G2220" s="117" t="str">
        <f>IFERROR(_xlfn.XLOOKUP(Table1[[#This Row],[Part Number]],Table3[Part number],Table3[Drawing
 Revision]),"")</f>
        <v>AA</v>
      </c>
      <c r="H2220" s="118" cm="1">
        <f t="array" ref="H2220">IFERROR(INDEX(PDB!$C:$AT,MATCH(E2220,PDB!$B:$B,0),MATCH(YEAR(K2220),0+PDB!$C$1:$AT$1,0)),"")</f>
        <v>5.72</v>
      </c>
      <c r="I2220" s="36">
        <f>250-101</f>
        <v>149</v>
      </c>
      <c r="J2220" s="125">
        <f>IFERROR(Table1[[#This Row],[Quantity]]*Table1[[#This Row],[Price/Unit
EUR]]," ")</f>
        <v>852.28</v>
      </c>
      <c r="K2220" s="126">
        <v>45636</v>
      </c>
      <c r="L2220" s="36">
        <f>WEEKNUM(Table1[[#This Row],[ETA
As requested
dd.mm.yyyy]])</f>
        <v>50</v>
      </c>
      <c r="M2220" s="36">
        <f>YEAR(Table1[[#This Row],[ETA
As requested
dd.mm.yyyy]])</f>
        <v>2024</v>
      </c>
      <c r="N2220" s="36">
        <f>IFERROR(INDEX(DATABASE_FG!$H$5:$H$367, MATCH(E2220, DATABASE_FG!$C$5:$C$367, 0)), " ")</f>
        <v>0</v>
      </c>
      <c r="O2220" s="129" t="str">
        <f>IF(E2220&lt;&gt;"", _xlfn.XLOOKUP(E2220, DATABASE_FG!C:C, DATABASE_FG!F:F), " ")</f>
        <v>Ghidaje</v>
      </c>
      <c r="P2220" s="36">
        <f>IFERROR(INDEX(DATABASE_FG!$G$5:$G$367, MATCH(E2220, DATABASE_FG!$C$5:$C$367, 0)), "Not Found")</f>
        <v>0</v>
      </c>
      <c r="Q2220" s="36"/>
      <c r="R2220" s="125" t="s">
        <v>678</v>
      </c>
      <c r="S2220" s="123">
        <f>IFERROR(INDEX(DATABASE_FG!$L$5:$L$367, MATCH(E2220, DATABASE_FG!$C$5:$C$367, 0)), " ")</f>
        <v>42</v>
      </c>
      <c r="T2220" s="36" t="s">
        <v>679</v>
      </c>
      <c r="U2220" s="36"/>
      <c r="V2220" s="36"/>
      <c r="W2220" s="129"/>
      <c r="X2220" s="36"/>
      <c r="Y2220" s="36"/>
      <c r="Z2220" s="36"/>
      <c r="AA2220" s="125" t="s">
        <v>121</v>
      </c>
      <c r="AB2220" s="173">
        <v>45643</v>
      </c>
      <c r="AC2220" s="119">
        <v>202401561</v>
      </c>
      <c r="AD2220" s="36">
        <f t="shared" si="251"/>
        <v>38036644</v>
      </c>
      <c r="AE2220" s="36" t="str">
        <f t="shared" si="252"/>
        <v>TK.KWVE20-B-A-L-0038-WW1</v>
      </c>
      <c r="AF2220" s="36">
        <v>149</v>
      </c>
      <c r="AG2220" s="120">
        <f t="shared" si="250"/>
        <v>852.28</v>
      </c>
      <c r="AH2220" s="36"/>
      <c r="AI2220" s="124"/>
      <c r="AJ2220" s="122" t="s">
        <v>2653</v>
      </c>
      <c r="AK2220" s="129" t="str">
        <f t="shared" ca="1" si="249"/>
        <v>Late</v>
      </c>
      <c r="AL2220" s="268" t="str">
        <f t="shared" si="248"/>
        <v>December</v>
      </c>
      <c r="AM2220" s="133">
        <f>YEAR(Table1[[#This Row],[ETA
As requested
dd.mm.yyyy]])</f>
        <v>2024</v>
      </c>
    </row>
    <row r="2221" spans="1:39" hidden="1">
      <c r="A2221" s="123" t="s">
        <v>83</v>
      </c>
      <c r="B2221" s="36" t="s">
        <v>1170</v>
      </c>
      <c r="C2221" s="117">
        <v>38215967</v>
      </c>
      <c r="D2221" s="165">
        <v>45635</v>
      </c>
      <c r="E2221" s="117" t="s">
        <v>100</v>
      </c>
      <c r="F2221" s="36" t="str">
        <f>IFERROR(VLOOKUP(Table1[[#This Row],[Part Number]],DATABASE_FG!$C$6:D12210,2,FALSE)," ")</f>
        <v>054830877-8011</v>
      </c>
      <c r="G2221" s="117" t="str">
        <f>IFERROR(_xlfn.XLOOKUP(Table1[[#This Row],[Part Number]],Table3[Part number],Table3[Drawing
 Revision]),"")</f>
        <v>AA</v>
      </c>
      <c r="H2221" s="118" cm="1">
        <f t="array" ref="H2221">IFERROR(INDEX(PDB!$C:$AT,MATCH(E2221,PDB!$B:$B,0),MATCH(YEAR(K2221),0+PDB!$C$1:$AT$1,0)),"")</f>
        <v>5.72</v>
      </c>
      <c r="I2221" s="36">
        <v>191</v>
      </c>
      <c r="J2221" s="125">
        <f>IFERROR(Table1[[#This Row],[Quantity]]*Table1[[#This Row],[Price/Unit
EUR]]," ")</f>
        <v>1092.52</v>
      </c>
      <c r="K2221" s="126">
        <v>45666</v>
      </c>
      <c r="L2221" s="36">
        <f>WEEKNUM(Table1[[#This Row],[ETA
As requested
dd.mm.yyyy]])</f>
        <v>2</v>
      </c>
      <c r="M2221" s="36">
        <f>YEAR(Table1[[#This Row],[ETA
As requested
dd.mm.yyyy]])</f>
        <v>2025</v>
      </c>
      <c r="N2221" s="36">
        <f>IFERROR(INDEX(DATABASE_FG!$H$5:$H$367, MATCH(E2221, DATABASE_FG!$C$5:$C$367, 0)), " ")</f>
        <v>0</v>
      </c>
      <c r="O2221" s="129" t="str">
        <f>IF(E2221&lt;&gt;"", _xlfn.XLOOKUP(E2221, DATABASE_FG!C:C, DATABASE_FG!F:F), " ")</f>
        <v>Ghidaje</v>
      </c>
      <c r="P2221" s="36">
        <f>IFERROR(INDEX(DATABASE_FG!$G$5:$G$367, MATCH(E2221, DATABASE_FG!$C$5:$C$367, 0)), "Not Found")</f>
        <v>0</v>
      </c>
      <c r="Q2221" s="36"/>
      <c r="R2221" s="125" t="s">
        <v>678</v>
      </c>
      <c r="S2221" s="123">
        <f>IFERROR(INDEX(DATABASE_FG!$L$5:$L$367, MATCH(E2221, DATABASE_FG!$C$5:$C$367, 0)), " ")</f>
        <v>42</v>
      </c>
      <c r="T2221" s="36" t="s">
        <v>679</v>
      </c>
      <c r="U2221" s="36"/>
      <c r="V2221" s="36"/>
      <c r="W2221" s="129"/>
      <c r="X2221" s="36"/>
      <c r="Y2221" s="36"/>
      <c r="Z2221" s="36"/>
      <c r="AA2221" s="125" t="s">
        <v>121</v>
      </c>
      <c r="AB2221" s="173">
        <v>45666</v>
      </c>
      <c r="AC2221" s="119">
        <v>202502507</v>
      </c>
      <c r="AD2221" s="36">
        <f t="shared" si="251"/>
        <v>38215967</v>
      </c>
      <c r="AE2221" s="36" t="str">
        <f t="shared" si="252"/>
        <v>TK.KWVE20-B-A-L-0038-WW1</v>
      </c>
      <c r="AF2221" s="36">
        <v>191</v>
      </c>
      <c r="AG2221" s="120">
        <f t="shared" si="250"/>
        <v>1092.52</v>
      </c>
      <c r="AH2221" s="36"/>
      <c r="AI2221" s="124"/>
      <c r="AJ2221" s="122" t="s">
        <v>2686</v>
      </c>
      <c r="AK2221" s="129" t="str">
        <f t="shared" ca="1" si="249"/>
        <v>On Time</v>
      </c>
      <c r="AL2221" s="268" t="str">
        <f t="shared" si="248"/>
        <v>January</v>
      </c>
      <c r="AM2221" s="133">
        <f>YEAR(Table1[[#This Row],[ETA
As requested
dd.mm.yyyy]])</f>
        <v>2025</v>
      </c>
    </row>
    <row r="2222" spans="1:39" hidden="1">
      <c r="A2222" s="123" t="s">
        <v>83</v>
      </c>
      <c r="B2222" s="36" t="s">
        <v>1170</v>
      </c>
      <c r="C2222" s="117">
        <v>38215967</v>
      </c>
      <c r="D2222" s="165">
        <v>45635</v>
      </c>
      <c r="E2222" s="117" t="s">
        <v>100</v>
      </c>
      <c r="F2222" s="36" t="str">
        <f>IFERROR(VLOOKUP(Table1[[#This Row],[Part Number]],DATABASE_FG!$C$6:D12211,2,FALSE)," ")</f>
        <v>054830877-8011</v>
      </c>
      <c r="G2222" s="117" t="str">
        <f>IFERROR(_xlfn.XLOOKUP(Table1[[#This Row],[Part Number]],Table3[Part number],Table3[Drawing
 Revision]),"")</f>
        <v>AA</v>
      </c>
      <c r="H2222" s="118" cm="1">
        <f t="array" ref="H2222">IFERROR(INDEX(PDB!$C:$AT,MATCH(E2222,PDB!$B:$B,0),MATCH(YEAR(K2222),0+PDB!$C$1:$AT$1,0)),"")</f>
        <v>5.72</v>
      </c>
      <c r="I2222" s="36">
        <f>200-191</f>
        <v>9</v>
      </c>
      <c r="J2222" s="125">
        <f>IFERROR(Table1[[#This Row],[Quantity]]*Table1[[#This Row],[Price/Unit
EUR]]," ")</f>
        <v>51.48</v>
      </c>
      <c r="K2222" s="126">
        <v>45666</v>
      </c>
      <c r="L2222" s="36">
        <f>WEEKNUM(Table1[[#This Row],[ETA
As requested
dd.mm.yyyy]])</f>
        <v>2</v>
      </c>
      <c r="M2222" s="36">
        <f>YEAR(Table1[[#This Row],[ETA
As requested
dd.mm.yyyy]])</f>
        <v>2025</v>
      </c>
      <c r="N2222" s="36">
        <f>IFERROR(INDEX(DATABASE_FG!$H$5:$H$367, MATCH(E2222, DATABASE_FG!$C$5:$C$367, 0)), " ")</f>
        <v>0</v>
      </c>
      <c r="O2222" s="129" t="str">
        <f>IF(E2222&lt;&gt;"", _xlfn.XLOOKUP(E2222, DATABASE_FG!C:C, DATABASE_FG!F:F), " ")</f>
        <v>Ghidaje</v>
      </c>
      <c r="P2222" s="36">
        <f>IFERROR(INDEX(DATABASE_FG!$G$5:$G$367, MATCH(E2222, DATABASE_FG!$C$5:$C$367, 0)), "Not Found")</f>
        <v>0</v>
      </c>
      <c r="Q2222" s="36"/>
      <c r="R2222" s="125" t="s">
        <v>678</v>
      </c>
      <c r="S2222" s="123">
        <f>IFERROR(INDEX(DATABASE_FG!$L$5:$L$367, MATCH(E2222, DATABASE_FG!$C$5:$C$367, 0)), " ")</f>
        <v>42</v>
      </c>
      <c r="T2222" s="36" t="s">
        <v>679</v>
      </c>
      <c r="U2222" s="36"/>
      <c r="V2222" s="36"/>
      <c r="W2222" s="129"/>
      <c r="X2222" s="36"/>
      <c r="Y2222" s="36"/>
      <c r="Z2222" s="36"/>
      <c r="AA2222" s="125" t="s">
        <v>121</v>
      </c>
      <c r="AB2222" s="173">
        <v>45667</v>
      </c>
      <c r="AC2222" s="119" t="s">
        <v>2689</v>
      </c>
      <c r="AD2222" s="36">
        <f t="shared" si="251"/>
        <v>38215967</v>
      </c>
      <c r="AE2222" s="36" t="str">
        <f t="shared" si="252"/>
        <v>TK.KWVE20-B-A-L-0038-WW1</v>
      </c>
      <c r="AF2222" s="36">
        <v>9</v>
      </c>
      <c r="AG2222" s="120">
        <f t="shared" si="250"/>
        <v>51.48</v>
      </c>
      <c r="AH2222" s="36"/>
      <c r="AI2222" s="124"/>
      <c r="AJ2222" s="122" t="s">
        <v>2690</v>
      </c>
      <c r="AK2222" s="129" t="str">
        <f t="shared" ca="1" si="249"/>
        <v>On Time</v>
      </c>
      <c r="AL2222" s="268" t="str">
        <f t="shared" si="248"/>
        <v>January</v>
      </c>
      <c r="AM2222" s="133">
        <f>YEAR(Table1[[#This Row],[ETA
As requested
dd.mm.yyyy]])</f>
        <v>2025</v>
      </c>
    </row>
    <row r="2223" spans="1:39" hidden="1">
      <c r="A2223" s="123" t="s">
        <v>83</v>
      </c>
      <c r="B2223" s="36" t="s">
        <v>1170</v>
      </c>
      <c r="C2223" s="117">
        <v>38215967</v>
      </c>
      <c r="D2223" s="165">
        <v>45635</v>
      </c>
      <c r="E2223" s="117" t="s">
        <v>100</v>
      </c>
      <c r="F2223" s="36" t="str">
        <f>IFERROR(VLOOKUP(Table1[[#This Row],[Part Number]],DATABASE_FG!$C$6:D12212,2,FALSE)," ")</f>
        <v>054830877-8011</v>
      </c>
      <c r="G2223" s="117" t="str">
        <f>IFERROR(_xlfn.XLOOKUP(Table1[[#This Row],[Part Number]],Table3[Part number],Table3[Drawing
 Revision]),"")</f>
        <v>AA</v>
      </c>
      <c r="H2223" s="118" cm="1">
        <f t="array" ref="H2223">IFERROR(INDEX(PDB!$C:$AT,MATCH(E2223,PDB!$B:$B,0),MATCH(YEAR(K2223),0+PDB!$C$1:$AT$1,0)),"")</f>
        <v>5.72</v>
      </c>
      <c r="I2223" s="36">
        <f>134-9</f>
        <v>125</v>
      </c>
      <c r="J2223" s="125">
        <f>IFERROR(Table1[[#This Row],[Quantity]]*Table1[[#This Row],[Price/Unit
EUR]]," ")</f>
        <v>715</v>
      </c>
      <c r="K2223" s="126">
        <v>45673</v>
      </c>
      <c r="L2223" s="36">
        <f>WEEKNUM(Table1[[#This Row],[ETA
As requested
dd.mm.yyyy]])</f>
        <v>3</v>
      </c>
      <c r="M2223" s="36">
        <f>YEAR(Table1[[#This Row],[ETA
As requested
dd.mm.yyyy]])</f>
        <v>2025</v>
      </c>
      <c r="N2223" s="36">
        <f>IFERROR(INDEX(DATABASE_FG!$H$5:$H$367, MATCH(E2223, DATABASE_FG!$C$5:$C$367, 0)), " ")</f>
        <v>0</v>
      </c>
      <c r="O2223" s="129" t="str">
        <f>IF(E2223&lt;&gt;"", _xlfn.XLOOKUP(E2223, DATABASE_FG!C:C, DATABASE_FG!F:F), " ")</f>
        <v>Ghidaje</v>
      </c>
      <c r="P2223" s="36">
        <f>IFERROR(INDEX(DATABASE_FG!$G$5:$G$367, MATCH(E2223, DATABASE_FG!$C$5:$C$367, 0)), "Not Found")</f>
        <v>0</v>
      </c>
      <c r="Q2223" s="36"/>
      <c r="R2223" s="125" t="s">
        <v>678</v>
      </c>
      <c r="S2223" s="123">
        <f>IFERROR(INDEX(DATABASE_FG!$L$5:$L$367, MATCH(E2223, DATABASE_FG!$C$5:$C$367, 0)), " ")</f>
        <v>42</v>
      </c>
      <c r="T2223" s="36" t="s">
        <v>679</v>
      </c>
      <c r="U2223" s="36"/>
      <c r="V2223" s="36"/>
      <c r="W2223" s="129"/>
      <c r="X2223" s="36"/>
      <c r="Y2223" s="36"/>
      <c r="Z2223" s="36"/>
      <c r="AA2223" s="125" t="s">
        <v>121</v>
      </c>
      <c r="AB2223" s="173">
        <v>45667</v>
      </c>
      <c r="AC2223" s="119" t="s">
        <v>2689</v>
      </c>
      <c r="AD2223" s="36">
        <f t="shared" si="251"/>
        <v>38215967</v>
      </c>
      <c r="AE2223" s="36" t="str">
        <f t="shared" si="252"/>
        <v>TK.KWVE20-B-A-L-0038-WW1</v>
      </c>
      <c r="AF2223" s="36">
        <v>125</v>
      </c>
      <c r="AG2223" s="120">
        <f t="shared" si="250"/>
        <v>715</v>
      </c>
      <c r="AH2223" s="36"/>
      <c r="AI2223" s="124"/>
      <c r="AJ2223" s="122" t="s">
        <v>2690</v>
      </c>
      <c r="AK2223" s="129" t="str">
        <f t="shared" ca="1" si="249"/>
        <v>On Time</v>
      </c>
      <c r="AL2223" s="268" t="str">
        <f t="shared" si="248"/>
        <v>January</v>
      </c>
      <c r="AM2223" s="133">
        <f>YEAR(Table1[[#This Row],[ETA
As requested
dd.mm.yyyy]])</f>
        <v>2025</v>
      </c>
    </row>
    <row r="2224" spans="1:39" hidden="1">
      <c r="A2224" s="123" t="s">
        <v>83</v>
      </c>
      <c r="B2224" s="36" t="s">
        <v>1170</v>
      </c>
      <c r="C2224" s="117">
        <v>38215967</v>
      </c>
      <c r="D2224" s="165">
        <v>45635</v>
      </c>
      <c r="E2224" s="117" t="s">
        <v>100</v>
      </c>
      <c r="F2224" s="36" t="str">
        <f>IFERROR(VLOOKUP(Table1[[#This Row],[Part Number]],DATABASE_FG!$C$6:D12213,2,FALSE)," ")</f>
        <v>054830877-8011</v>
      </c>
      <c r="G2224" s="117" t="str">
        <f>IFERROR(_xlfn.XLOOKUP(Table1[[#This Row],[Part Number]],Table3[Part number],Table3[Drawing
 Revision]),"")</f>
        <v>AA</v>
      </c>
      <c r="H2224" s="118" cm="1">
        <f t="array" ref="H2224">IFERROR(INDEX(PDB!$C:$AT,MATCH(E2224,PDB!$B:$B,0),MATCH(YEAR(K2224),0+PDB!$C$1:$AT$1,0)),"")</f>
        <v>5.72</v>
      </c>
      <c r="I2224" s="36">
        <f>200-125</f>
        <v>75</v>
      </c>
      <c r="J2224" s="125">
        <f>IFERROR(Table1[[#This Row],[Quantity]]*Table1[[#This Row],[Price/Unit
EUR]]," ")</f>
        <v>429</v>
      </c>
      <c r="K2224" s="126">
        <v>45673</v>
      </c>
      <c r="L2224" s="36">
        <f>WEEKNUM(Table1[[#This Row],[ETA
As requested
dd.mm.yyyy]])</f>
        <v>3</v>
      </c>
      <c r="M2224" s="36">
        <f>YEAR(Table1[[#This Row],[ETA
As requested
dd.mm.yyyy]])</f>
        <v>2025</v>
      </c>
      <c r="N2224" s="36">
        <f>IFERROR(INDEX(DATABASE_FG!$H$5:$H$367, MATCH(E2224, DATABASE_FG!$C$5:$C$367, 0)), " ")</f>
        <v>0</v>
      </c>
      <c r="O2224" s="129" t="str">
        <f>IF(E2224&lt;&gt;"", _xlfn.XLOOKUP(E2224, DATABASE_FG!C:C, DATABASE_FG!F:F), " ")</f>
        <v>Ghidaje</v>
      </c>
      <c r="P2224" s="36">
        <f>IFERROR(INDEX(DATABASE_FG!$G$5:$G$367, MATCH(E2224, DATABASE_FG!$C$5:$C$367, 0)), "Not Found")</f>
        <v>0</v>
      </c>
      <c r="Q2224" s="36"/>
      <c r="R2224" s="125" t="s">
        <v>678</v>
      </c>
      <c r="S2224" s="123">
        <f>IFERROR(INDEX(DATABASE_FG!$L$5:$L$367, MATCH(E2224, DATABASE_FG!$C$5:$C$367, 0)), " ")</f>
        <v>42</v>
      </c>
      <c r="T2224" s="36" t="s">
        <v>679</v>
      </c>
      <c r="U2224" s="36"/>
      <c r="V2224" s="36"/>
      <c r="W2224" s="129"/>
      <c r="X2224" s="36"/>
      <c r="Y2224" s="36"/>
      <c r="Z2224" s="36"/>
      <c r="AA2224" s="125" t="s">
        <v>121</v>
      </c>
      <c r="AB2224" s="173">
        <v>45671</v>
      </c>
      <c r="AC2224" s="119" t="s">
        <v>2714</v>
      </c>
      <c r="AD2224" s="36">
        <f t="shared" si="251"/>
        <v>38215967</v>
      </c>
      <c r="AE2224" s="36" t="str">
        <f t="shared" si="252"/>
        <v>TK.KWVE20-B-A-L-0038-WW1</v>
      </c>
      <c r="AF2224" s="36">
        <v>75</v>
      </c>
      <c r="AG2224" s="120">
        <f t="shared" si="250"/>
        <v>429</v>
      </c>
      <c r="AH2224" s="36"/>
      <c r="AI2224" s="124"/>
      <c r="AJ2224" s="122" t="s">
        <v>2715</v>
      </c>
      <c r="AK2224" s="129" t="str">
        <f t="shared" ca="1" si="249"/>
        <v>On Time</v>
      </c>
      <c r="AL2224" s="268" t="str">
        <f t="shared" si="248"/>
        <v>January</v>
      </c>
      <c r="AM2224" s="133">
        <f>YEAR(Table1[[#This Row],[ETA
As requested
dd.mm.yyyy]])</f>
        <v>2025</v>
      </c>
    </row>
    <row r="2225" spans="1:39" hidden="1">
      <c r="A2225" s="123" t="s">
        <v>83</v>
      </c>
      <c r="B2225" s="36" t="s">
        <v>1170</v>
      </c>
      <c r="C2225" s="117">
        <v>38215967</v>
      </c>
      <c r="D2225" s="165">
        <v>45635</v>
      </c>
      <c r="E2225" s="117" t="s">
        <v>100</v>
      </c>
      <c r="F2225" s="36" t="str">
        <f>IFERROR(VLOOKUP(Table1[[#This Row],[Part Number]],DATABASE_FG!$C$6:D12214,2,FALSE)," ")</f>
        <v>054830877-8011</v>
      </c>
      <c r="G2225" s="117" t="str">
        <f>IFERROR(_xlfn.XLOOKUP(Table1[[#This Row],[Part Number]],Table3[Part number],Table3[Drawing
 Revision]),"")</f>
        <v>AA</v>
      </c>
      <c r="H2225" s="118" cm="1">
        <f t="array" ref="H2225">IFERROR(INDEX(PDB!$C:$AT,MATCH(E2225,PDB!$B:$B,0),MATCH(YEAR(K2225),0+PDB!$C$1:$AT$1,0)),"")</f>
        <v>5.72</v>
      </c>
      <c r="I2225" s="36">
        <v>100</v>
      </c>
      <c r="J2225" s="125">
        <f>IFERROR(Table1[[#This Row],[Quantity]]*Table1[[#This Row],[Price/Unit
EUR]]," ")</f>
        <v>572</v>
      </c>
      <c r="K2225" s="126">
        <v>45680</v>
      </c>
      <c r="L2225" s="36">
        <f>WEEKNUM(Table1[[#This Row],[ETA
As requested
dd.mm.yyyy]])</f>
        <v>4</v>
      </c>
      <c r="M2225" s="36">
        <f>YEAR(Table1[[#This Row],[ETA
As requested
dd.mm.yyyy]])</f>
        <v>2025</v>
      </c>
      <c r="N2225" s="36">
        <f>IFERROR(INDEX(DATABASE_FG!$H$5:$H$367, MATCH(E2225, DATABASE_FG!$C$5:$C$367, 0)), " ")</f>
        <v>0</v>
      </c>
      <c r="O2225" s="129" t="str">
        <f>IF(E2225&lt;&gt;"", _xlfn.XLOOKUP(E2225, DATABASE_FG!C:C, DATABASE_FG!F:F), " ")</f>
        <v>Ghidaje</v>
      </c>
      <c r="P2225" s="36">
        <f>IFERROR(INDEX(DATABASE_FG!$G$5:$G$367, MATCH(E2225, DATABASE_FG!$C$5:$C$367, 0)), "Not Found")</f>
        <v>0</v>
      </c>
      <c r="Q2225" s="36"/>
      <c r="R2225" s="125" t="s">
        <v>678</v>
      </c>
      <c r="S2225" s="123">
        <f>IFERROR(INDEX(DATABASE_FG!$L$5:$L$367, MATCH(E2225, DATABASE_FG!$C$5:$C$367, 0)), " ")</f>
        <v>42</v>
      </c>
      <c r="T2225" s="36" t="s">
        <v>679</v>
      </c>
      <c r="U2225" s="36"/>
      <c r="V2225" s="36"/>
      <c r="W2225" s="129"/>
      <c r="X2225" s="36"/>
      <c r="Y2225" s="36"/>
      <c r="Z2225" s="36"/>
      <c r="AA2225" s="125" t="s">
        <v>121</v>
      </c>
      <c r="AB2225" s="173">
        <v>45671</v>
      </c>
      <c r="AC2225" s="119" t="s">
        <v>2714</v>
      </c>
      <c r="AD2225" s="36">
        <f t="shared" si="251"/>
        <v>38215967</v>
      </c>
      <c r="AE2225" s="36" t="str">
        <f t="shared" si="252"/>
        <v>TK.KWVE20-B-A-L-0038-WW1</v>
      </c>
      <c r="AF2225" s="36">
        <v>100</v>
      </c>
      <c r="AG2225" s="120">
        <f t="shared" si="250"/>
        <v>572</v>
      </c>
      <c r="AH2225" s="36"/>
      <c r="AI2225" s="124"/>
      <c r="AJ2225" s="122" t="s">
        <v>2715</v>
      </c>
      <c r="AK2225" s="129" t="str">
        <f t="shared" ca="1" si="249"/>
        <v>On Time</v>
      </c>
      <c r="AL2225" s="268" t="str">
        <f t="shared" si="248"/>
        <v>January</v>
      </c>
      <c r="AM2225" s="133">
        <f>YEAR(Table1[[#This Row],[ETA
As requested
dd.mm.yyyy]])</f>
        <v>2025</v>
      </c>
    </row>
    <row r="2226" spans="1:39" ht="15.75" hidden="1">
      <c r="A2226" s="123" t="s">
        <v>83</v>
      </c>
      <c r="B2226" s="36" t="s">
        <v>1170</v>
      </c>
      <c r="C2226" s="117">
        <v>38215967</v>
      </c>
      <c r="D2226" s="165">
        <v>45670</v>
      </c>
      <c r="E2226" s="117" t="s">
        <v>100</v>
      </c>
      <c r="F2226" s="36" t="str">
        <f>IFERROR(VLOOKUP(Table1[[#This Row],[Part Number]],DATABASE_FG!$C$6:D12215,2,FALSE)," ")</f>
        <v>054830877-8011</v>
      </c>
      <c r="G2226" s="117" t="str">
        <f>IFERROR(_xlfn.XLOOKUP(Table1[[#This Row],[Part Number]],Table3[Part number],Table3[Drawing
 Revision]),"")</f>
        <v>AA</v>
      </c>
      <c r="H2226" s="118" cm="1">
        <f t="array" ref="H2226">IFERROR(INDEX(PDB!$C:$AT,MATCH(E2226,PDB!$B:$B,0),MATCH(YEAR(K2226),0+PDB!$C$1:$AT$1,0)),"")</f>
        <v>5.72</v>
      </c>
      <c r="I2226" s="36">
        <v>250</v>
      </c>
      <c r="J2226" s="125">
        <f>IFERROR(Table1[[#This Row],[Quantity]]*Table1[[#This Row],[Price/Unit
EUR]]," ")</f>
        <v>1430</v>
      </c>
      <c r="K2226" s="126">
        <v>45680</v>
      </c>
      <c r="L2226" s="36">
        <f>WEEKNUM(Table1[[#This Row],[ETA
As requested
dd.mm.yyyy]])</f>
        <v>4</v>
      </c>
      <c r="M2226" s="36">
        <f>YEAR(Table1[[#This Row],[ETA
As requested
dd.mm.yyyy]])</f>
        <v>2025</v>
      </c>
      <c r="N2226" s="36">
        <f>IFERROR(INDEX(DATABASE_FG!$H$5:$H$367, MATCH(E2226, DATABASE_FG!$C$5:$C$367, 0)), " ")</f>
        <v>0</v>
      </c>
      <c r="O2226" s="129" t="str">
        <f>IF(E2226&lt;&gt;"", _xlfn.XLOOKUP(E2226, DATABASE_FG!C:C, DATABASE_FG!F:F), " ")</f>
        <v>Ghidaje</v>
      </c>
      <c r="P2226" s="36">
        <f>IFERROR(INDEX(DATABASE_FG!$G$5:$G$367, MATCH(E2226, DATABASE_FG!$C$5:$C$367, 0)), "Not Found")</f>
        <v>0</v>
      </c>
      <c r="Q2226" s="36"/>
      <c r="R2226" s="125" t="s">
        <v>678</v>
      </c>
      <c r="S2226" s="123">
        <f>IFERROR(INDEX(DATABASE_FG!$L$5:$L$367, MATCH(E2226, DATABASE_FG!$C$5:$C$367, 0)), " ")</f>
        <v>42</v>
      </c>
      <c r="T2226" s="36" t="s">
        <v>679</v>
      </c>
      <c r="U2226" s="36"/>
      <c r="V2226" s="36"/>
      <c r="W2226" s="129"/>
      <c r="X2226" s="36"/>
      <c r="Y2226" s="36"/>
      <c r="Z2226" s="36"/>
      <c r="AA2226" s="125" t="s">
        <v>121</v>
      </c>
      <c r="AB2226" s="173">
        <v>45671</v>
      </c>
      <c r="AC2226" s="119" t="s">
        <v>2743</v>
      </c>
      <c r="AD2226" s="36">
        <f t="shared" si="251"/>
        <v>38215967</v>
      </c>
      <c r="AE2226" s="36" t="str">
        <f t="shared" si="252"/>
        <v>TK.KWVE20-B-A-L-0038-WW1</v>
      </c>
      <c r="AF2226" s="36">
        <v>214</v>
      </c>
      <c r="AG2226" s="120">
        <f t="shared" si="250"/>
        <v>1224.08</v>
      </c>
      <c r="AH2226" s="36">
        <v>36</v>
      </c>
      <c r="AI2226" s="124" t="s">
        <v>2744</v>
      </c>
      <c r="AJ2226" s="122" t="s">
        <v>2745</v>
      </c>
      <c r="AK2226" s="129" t="str">
        <f t="shared" ca="1" si="249"/>
        <v>On Time</v>
      </c>
      <c r="AL2226" s="268" t="str">
        <f t="shared" si="248"/>
        <v>January</v>
      </c>
      <c r="AM2226" s="133">
        <f>YEAR(Table1[[#This Row],[ETA
As requested
dd.mm.yyyy]])</f>
        <v>2025</v>
      </c>
    </row>
    <row r="2227" spans="1:39" hidden="1">
      <c r="A2227" s="123" t="s">
        <v>83</v>
      </c>
      <c r="B2227" s="36" t="s">
        <v>1170</v>
      </c>
      <c r="C2227" s="117">
        <v>38474480</v>
      </c>
      <c r="D2227" s="165">
        <v>45679</v>
      </c>
      <c r="E2227" s="117" t="s">
        <v>100</v>
      </c>
      <c r="F2227" s="36" t="str">
        <f>IFERROR(VLOOKUP(Table1[[#This Row],[Part Number]],DATABASE_FG!$C$6:D12216,2,FALSE)," ")</f>
        <v>054830877-8011</v>
      </c>
      <c r="G2227" s="117" t="str">
        <f>IFERROR(_xlfn.XLOOKUP(Table1[[#This Row],[Part Number]],Table3[Part number],Table3[Drawing
 Revision]),"")</f>
        <v>AA</v>
      </c>
      <c r="H2227" s="118" cm="1">
        <f t="array" ref="H2227">IFERROR(INDEX(PDB!$C:$AT,MATCH(E2227,PDB!$B:$B,0),MATCH(YEAR(K2227),0+PDB!$C$1:$AT$1,0)),"")</f>
        <v>5.72</v>
      </c>
      <c r="I2227" s="36">
        <v>184</v>
      </c>
      <c r="J2227" s="125">
        <f>IFERROR(Table1[[#This Row],[Quantity]]*Table1[[#This Row],[Price/Unit
EUR]]," ")</f>
        <v>1052.48</v>
      </c>
      <c r="K2227" s="126">
        <v>45694</v>
      </c>
      <c r="L2227" s="36">
        <f>WEEKNUM(Table1[[#This Row],[ETA
As requested
dd.mm.yyyy]])</f>
        <v>6</v>
      </c>
      <c r="M2227" s="36">
        <f>YEAR(Table1[[#This Row],[ETA
As requested
dd.mm.yyyy]])</f>
        <v>2025</v>
      </c>
      <c r="N2227" s="36">
        <f>IFERROR(INDEX(DATABASE_FG!$H$5:$H$367, MATCH(E2227, DATABASE_FG!$C$5:$C$367, 0)), " ")</f>
        <v>0</v>
      </c>
      <c r="O2227" s="129" t="str">
        <f>IF(E2227&lt;&gt;"", _xlfn.XLOOKUP(E2227, DATABASE_FG!C:C, DATABASE_FG!F:F), " ")</f>
        <v>Ghidaje</v>
      </c>
      <c r="P2227" s="36">
        <f>IFERROR(INDEX(DATABASE_FG!$G$5:$G$367, MATCH(E2227, DATABASE_FG!$C$5:$C$367, 0)), "Not Found")</f>
        <v>0</v>
      </c>
      <c r="Q2227" s="36"/>
      <c r="R2227" s="125" t="s">
        <v>678</v>
      </c>
      <c r="S2227" s="123">
        <f>IFERROR(INDEX(DATABASE_FG!$L$5:$L$367, MATCH(E2227, DATABASE_FG!$C$5:$C$367, 0)), " ")</f>
        <v>42</v>
      </c>
      <c r="T2227" s="36" t="s">
        <v>679</v>
      </c>
      <c r="U2227" s="36"/>
      <c r="V2227" s="36"/>
      <c r="W2227" s="129"/>
      <c r="X2227" s="36"/>
      <c r="Y2227" s="36" t="s">
        <v>121</v>
      </c>
      <c r="Z2227" s="36"/>
      <c r="AA2227" s="125" t="s">
        <v>121</v>
      </c>
      <c r="AB2227" s="173">
        <v>45695</v>
      </c>
      <c r="AC2227" s="119">
        <v>25172</v>
      </c>
      <c r="AD2227" s="36">
        <f t="shared" si="251"/>
        <v>38474480</v>
      </c>
      <c r="AE2227" s="36" t="str">
        <f t="shared" si="252"/>
        <v>TK.KWVE20-B-A-L-0038-WW1</v>
      </c>
      <c r="AF2227" s="36">
        <v>184</v>
      </c>
      <c r="AG2227" s="120">
        <f t="shared" si="250"/>
        <v>1052.48</v>
      </c>
      <c r="AH2227" s="36"/>
      <c r="AI2227" s="124"/>
      <c r="AJ2227" s="122" t="s">
        <v>2775</v>
      </c>
      <c r="AK2227" s="129" t="str">
        <f t="shared" ca="1" si="249"/>
        <v>On Time</v>
      </c>
      <c r="AL2227" s="268" t="str">
        <f t="shared" si="248"/>
        <v>February</v>
      </c>
      <c r="AM2227" s="133">
        <f>YEAR(Table1[[#This Row],[ETA
As requested
dd.mm.yyyy]])</f>
        <v>2025</v>
      </c>
    </row>
    <row r="2228" spans="1:39" hidden="1">
      <c r="A2228" s="123" t="s">
        <v>83</v>
      </c>
      <c r="B2228" s="36" t="s">
        <v>1170</v>
      </c>
      <c r="C2228" s="117">
        <v>38474480</v>
      </c>
      <c r="D2228" s="165">
        <v>45679</v>
      </c>
      <c r="E2228" s="117" t="s">
        <v>100</v>
      </c>
      <c r="F2228" s="36" t="str">
        <f>IFERROR(VLOOKUP(Table1[[#This Row],[Part Number]],DATABASE_FG!$C$6:D12217,2,FALSE)," ")</f>
        <v>054830877-8011</v>
      </c>
      <c r="G2228" s="117" t="str">
        <f>IFERROR(_xlfn.XLOOKUP(Table1[[#This Row],[Part Number]],Table3[Part number],Table3[Drawing
 Revision]),"")</f>
        <v>AA</v>
      </c>
      <c r="H2228" s="118" cm="1">
        <f t="array" ref="H2228">IFERROR(INDEX(PDB!$C:$AT,MATCH(E2228,PDB!$B:$B,0),MATCH(YEAR(K2228),0+PDB!$C$1:$AT$1,0)),"")</f>
        <v>5.72</v>
      </c>
      <c r="I2228" s="36">
        <f>300-184</f>
        <v>116</v>
      </c>
      <c r="J2228" s="125">
        <f>IFERROR(Table1[[#This Row],[Quantity]]*Table1[[#This Row],[Price/Unit
EUR]]," ")</f>
        <v>663.52</v>
      </c>
      <c r="K2228" s="126">
        <v>45694</v>
      </c>
      <c r="L2228" s="36">
        <f>WEEKNUM(Table1[[#This Row],[ETA
As requested
dd.mm.yyyy]])</f>
        <v>6</v>
      </c>
      <c r="M2228" s="36">
        <f>YEAR(Table1[[#This Row],[ETA
As requested
dd.mm.yyyy]])</f>
        <v>2025</v>
      </c>
      <c r="N2228" s="36">
        <f>IFERROR(INDEX(DATABASE_FG!$H$5:$H$367, MATCH(E2228, DATABASE_FG!$C$5:$C$367, 0)), " ")</f>
        <v>0</v>
      </c>
      <c r="O2228" s="129" t="str">
        <f>IF(E2228&lt;&gt;"", _xlfn.XLOOKUP(E2228, DATABASE_FG!C:C, DATABASE_FG!F:F), " ")</f>
        <v>Ghidaje</v>
      </c>
      <c r="P2228" s="36">
        <f>IFERROR(INDEX(DATABASE_FG!$G$5:$G$367, MATCH(E2228, DATABASE_FG!$C$5:$C$367, 0)), "Not Found")</f>
        <v>0</v>
      </c>
      <c r="Q2228" s="36"/>
      <c r="R2228" s="125" t="s">
        <v>678</v>
      </c>
      <c r="S2228" s="123">
        <f>IFERROR(INDEX(DATABASE_FG!$L$5:$L$367, MATCH(E2228, DATABASE_FG!$C$5:$C$367, 0)), " ")</f>
        <v>42</v>
      </c>
      <c r="T2228" s="36" t="s">
        <v>679</v>
      </c>
      <c r="U2228" s="36"/>
      <c r="V2228" s="36"/>
      <c r="W2228" s="129"/>
      <c r="X2228" s="36"/>
      <c r="Y2228" s="36" t="s">
        <v>121</v>
      </c>
      <c r="Z2228" s="36"/>
      <c r="AA2228" s="125" t="s">
        <v>121</v>
      </c>
      <c r="AB2228" s="173">
        <v>45699</v>
      </c>
      <c r="AC2228" s="119">
        <v>25187</v>
      </c>
      <c r="AD2228" s="36">
        <f t="shared" si="251"/>
        <v>38474480</v>
      </c>
      <c r="AE2228" s="36" t="str">
        <f t="shared" si="252"/>
        <v>TK.KWVE20-B-A-L-0038-WW1</v>
      </c>
      <c r="AF2228" s="36">
        <v>116</v>
      </c>
      <c r="AG2228" s="120">
        <f t="shared" si="250"/>
        <v>663.52</v>
      </c>
      <c r="AH2228" s="36"/>
      <c r="AI2228" s="124"/>
      <c r="AJ2228" s="122" t="s">
        <v>2778</v>
      </c>
      <c r="AK2228" s="129" t="str">
        <f t="shared" ca="1" si="249"/>
        <v>Late</v>
      </c>
      <c r="AL2228" s="268" t="str">
        <f t="shared" si="248"/>
        <v>February</v>
      </c>
      <c r="AM2228" s="133">
        <f>YEAR(Table1[[#This Row],[ETA
As requested
dd.mm.yyyy]])</f>
        <v>2025</v>
      </c>
    </row>
    <row r="2229" spans="1:39" hidden="1">
      <c r="A2229" s="123" t="s">
        <v>83</v>
      </c>
      <c r="B2229" s="36" t="s">
        <v>1170</v>
      </c>
      <c r="C2229" s="117">
        <v>38474480</v>
      </c>
      <c r="D2229" s="165">
        <v>45679</v>
      </c>
      <c r="E2229" s="117" t="s">
        <v>100</v>
      </c>
      <c r="F2229" s="36" t="str">
        <f>IFERROR(VLOOKUP(Table1[[#This Row],[Part Number]],DATABASE_FG!$C$6:D12218,2,FALSE)," ")</f>
        <v>054830877-8011</v>
      </c>
      <c r="G2229" s="117" t="str">
        <f>IFERROR(_xlfn.XLOOKUP(Table1[[#This Row],[Part Number]],Table3[Part number],Table3[Drawing
 Revision]),"")</f>
        <v>AA</v>
      </c>
      <c r="H2229" s="118" cm="1">
        <f t="array" ref="H2229">IFERROR(INDEX(PDB!$C:$AT,MATCH(E2229,PDB!$B:$B,0),MATCH(YEAR(K2229),0+PDB!$C$1:$AT$1,0)),"")</f>
        <v>5.72</v>
      </c>
      <c r="I2229" s="36">
        <v>89</v>
      </c>
      <c r="J2229" s="125">
        <f>IFERROR(Table1[[#This Row],[Quantity]]*Table1[[#This Row],[Price/Unit
EUR]]," ")</f>
        <v>509.08</v>
      </c>
      <c r="K2229" s="126">
        <v>45701</v>
      </c>
      <c r="L2229" s="36">
        <f>WEEKNUM(Table1[[#This Row],[ETA
As requested
dd.mm.yyyy]])</f>
        <v>7</v>
      </c>
      <c r="M2229" s="36">
        <f>YEAR(Table1[[#This Row],[ETA
As requested
dd.mm.yyyy]])</f>
        <v>2025</v>
      </c>
      <c r="N2229" s="36">
        <f>IFERROR(INDEX(DATABASE_FG!$H$5:$H$367, MATCH(E2229, DATABASE_FG!$C$5:$C$367, 0)), " ")</f>
        <v>0</v>
      </c>
      <c r="O2229" s="129" t="str">
        <f>IF(E2229&lt;&gt;"", _xlfn.XLOOKUP(E2229, DATABASE_FG!C:C, DATABASE_FG!F:F), " ")</f>
        <v>Ghidaje</v>
      </c>
      <c r="P2229" s="36">
        <f>IFERROR(INDEX(DATABASE_FG!$G$5:$G$367, MATCH(E2229, DATABASE_FG!$C$5:$C$367, 0)), "Not Found")</f>
        <v>0</v>
      </c>
      <c r="Q2229" s="36"/>
      <c r="R2229" s="125" t="s">
        <v>678</v>
      </c>
      <c r="S2229" s="123">
        <f>IFERROR(INDEX(DATABASE_FG!$L$5:$L$367, MATCH(E2229, DATABASE_FG!$C$5:$C$367, 0)), " ")</f>
        <v>42</v>
      </c>
      <c r="T2229" s="36" t="s">
        <v>679</v>
      </c>
      <c r="U2229" s="36"/>
      <c r="V2229" s="36"/>
      <c r="W2229" s="129"/>
      <c r="X2229" s="36"/>
      <c r="Y2229" s="36" t="s">
        <v>121</v>
      </c>
      <c r="Z2229" s="36"/>
      <c r="AA2229" s="125" t="s">
        <v>121</v>
      </c>
      <c r="AB2229" s="173">
        <v>45699</v>
      </c>
      <c r="AC2229" s="119">
        <v>25187</v>
      </c>
      <c r="AD2229" s="36">
        <f t="shared" si="251"/>
        <v>38474480</v>
      </c>
      <c r="AE2229" s="36" t="str">
        <f t="shared" si="252"/>
        <v>TK.KWVE20-B-A-L-0038-WW1</v>
      </c>
      <c r="AF2229" s="36">
        <v>89</v>
      </c>
      <c r="AG2229" s="120">
        <f t="shared" si="250"/>
        <v>509.08</v>
      </c>
      <c r="AH2229" s="36"/>
      <c r="AI2229" s="124"/>
      <c r="AJ2229" s="122" t="s">
        <v>2778</v>
      </c>
      <c r="AK2229" s="129" t="str">
        <f t="shared" ca="1" si="249"/>
        <v>On Time</v>
      </c>
      <c r="AL2229" s="268" t="str">
        <f t="shared" ref="AL2229:AL2288" si="253">TEXT(K2229,"mmmm")</f>
        <v>February</v>
      </c>
      <c r="AM2229" s="133">
        <f>YEAR(Table1[[#This Row],[ETA
As requested
dd.mm.yyyy]])</f>
        <v>2025</v>
      </c>
    </row>
    <row r="2230" spans="1:39" hidden="1">
      <c r="A2230" s="123" t="s">
        <v>83</v>
      </c>
      <c r="B2230" s="36" t="s">
        <v>1170</v>
      </c>
      <c r="C2230" s="117">
        <v>38474480</v>
      </c>
      <c r="D2230" s="165">
        <v>45679</v>
      </c>
      <c r="E2230" s="117" t="s">
        <v>100</v>
      </c>
      <c r="F2230" s="36" t="str">
        <f>IFERROR(VLOOKUP(Table1[[#This Row],[Part Number]],DATABASE_FG!$C$6:D12219,2,FALSE)," ")</f>
        <v>054830877-8011</v>
      </c>
      <c r="G2230" s="117" t="str">
        <f>IFERROR(_xlfn.XLOOKUP(Table1[[#This Row],[Part Number]],Table3[Part number],Table3[Drawing
 Revision]),"")</f>
        <v>AA</v>
      </c>
      <c r="H2230" s="118" cm="1">
        <f t="array" ref="H2230">IFERROR(INDEX(PDB!$C:$AT,MATCH(E2230,PDB!$B:$B,0),MATCH(YEAR(K2230),0+PDB!$C$1:$AT$1,0)),"")</f>
        <v>5.72</v>
      </c>
      <c r="I2230" s="36">
        <v>144</v>
      </c>
      <c r="J2230" s="125">
        <f>IFERROR(Table1[[#This Row],[Quantity]]*Table1[[#This Row],[Price/Unit
EUR]]," ")</f>
        <v>823.68</v>
      </c>
      <c r="K2230" s="126">
        <v>45701</v>
      </c>
      <c r="L2230" s="36">
        <f>WEEKNUM(Table1[[#This Row],[ETA
As requested
dd.mm.yyyy]])</f>
        <v>7</v>
      </c>
      <c r="M2230" s="36">
        <f>YEAR(Table1[[#This Row],[ETA
As requested
dd.mm.yyyy]])</f>
        <v>2025</v>
      </c>
      <c r="N2230" s="36">
        <f>IFERROR(INDEX(DATABASE_FG!$H$5:$H$367, MATCH(E2230, DATABASE_FG!$C$5:$C$367, 0)), " ")</f>
        <v>0</v>
      </c>
      <c r="O2230" s="129" t="str">
        <f>IF(E2230&lt;&gt;"", _xlfn.XLOOKUP(E2230, DATABASE_FG!C:C, DATABASE_FG!F:F), " ")</f>
        <v>Ghidaje</v>
      </c>
      <c r="P2230" s="36">
        <f>IFERROR(INDEX(DATABASE_FG!$G$5:$G$367, MATCH(E2230, DATABASE_FG!$C$5:$C$367, 0)), "Not Found")</f>
        <v>0</v>
      </c>
      <c r="Q2230" s="36"/>
      <c r="R2230" s="125" t="s">
        <v>678</v>
      </c>
      <c r="S2230" s="123">
        <f>IFERROR(INDEX(DATABASE_FG!$L$5:$L$367, MATCH(E2230, DATABASE_FG!$C$5:$C$367, 0)), " ")</f>
        <v>42</v>
      </c>
      <c r="T2230" s="36" t="s">
        <v>679</v>
      </c>
      <c r="U2230" s="36"/>
      <c r="V2230" s="36"/>
      <c r="W2230" s="129"/>
      <c r="X2230" s="36"/>
      <c r="Y2230" s="36" t="s">
        <v>121</v>
      </c>
      <c r="Z2230" s="36"/>
      <c r="AA2230" s="125" t="s">
        <v>121</v>
      </c>
      <c r="AB2230" s="173">
        <v>45700</v>
      </c>
      <c r="AC2230" s="119">
        <v>25192</v>
      </c>
      <c r="AD2230" s="36">
        <f t="shared" si="251"/>
        <v>38474480</v>
      </c>
      <c r="AE2230" s="36" t="str">
        <f t="shared" si="252"/>
        <v>TK.KWVE20-B-A-L-0038-WW1</v>
      </c>
      <c r="AF2230" s="36">
        <v>144</v>
      </c>
      <c r="AG2230" s="120">
        <f t="shared" si="250"/>
        <v>823.68</v>
      </c>
      <c r="AH2230" s="36"/>
      <c r="AI2230" s="124"/>
      <c r="AJ2230" s="122" t="s">
        <v>2796</v>
      </c>
      <c r="AK2230" s="129" t="str">
        <f t="shared" ca="1" si="249"/>
        <v>On Time</v>
      </c>
      <c r="AL2230" s="268" t="str">
        <f t="shared" si="253"/>
        <v>February</v>
      </c>
      <c r="AM2230" s="133">
        <f>YEAR(Table1[[#This Row],[ETA
As requested
dd.mm.yyyy]])</f>
        <v>2025</v>
      </c>
    </row>
    <row r="2231" spans="1:39" hidden="1">
      <c r="A2231" s="123" t="s">
        <v>83</v>
      </c>
      <c r="B2231" s="36" t="s">
        <v>1170</v>
      </c>
      <c r="C2231" s="117">
        <v>38474480</v>
      </c>
      <c r="D2231" s="165">
        <v>45679</v>
      </c>
      <c r="E2231" s="117" t="s">
        <v>100</v>
      </c>
      <c r="F2231" s="36" t="str">
        <f>IFERROR(VLOOKUP(Table1[[#This Row],[Part Number]],DATABASE_FG!$C$6:D12220,2,FALSE)," ")</f>
        <v>054830877-8011</v>
      </c>
      <c r="G2231" s="117" t="str">
        <f>IFERROR(_xlfn.XLOOKUP(Table1[[#This Row],[Part Number]],Table3[Part number],Table3[Drawing
 Revision]),"")</f>
        <v>AA</v>
      </c>
      <c r="H2231" s="118" cm="1">
        <f t="array" ref="H2231">IFERROR(INDEX(PDB!$C:$AT,MATCH(E2231,PDB!$B:$B,0),MATCH(YEAR(K2231),0+PDB!$C$1:$AT$1,0)),"")</f>
        <v>5.72</v>
      </c>
      <c r="I2231" s="36">
        <f>300-89-144</f>
        <v>67</v>
      </c>
      <c r="J2231" s="125">
        <f>IFERROR(Table1[[#This Row],[Quantity]]*Table1[[#This Row],[Price/Unit
EUR]]," ")</f>
        <v>383.24</v>
      </c>
      <c r="K2231" s="126">
        <v>45701</v>
      </c>
      <c r="L2231" s="36">
        <f>WEEKNUM(Table1[[#This Row],[ETA
As requested
dd.mm.yyyy]])</f>
        <v>7</v>
      </c>
      <c r="M2231" s="36">
        <f>YEAR(Table1[[#This Row],[ETA
As requested
dd.mm.yyyy]])</f>
        <v>2025</v>
      </c>
      <c r="N2231" s="36">
        <f>IFERROR(INDEX(DATABASE_FG!$H$5:$H$367, MATCH(E2231, DATABASE_FG!$C$5:$C$367, 0)), " ")</f>
        <v>0</v>
      </c>
      <c r="O2231" s="129" t="str">
        <f>IF(E2231&lt;&gt;"", _xlfn.XLOOKUP(E2231, DATABASE_FG!C:C, DATABASE_FG!F:F), " ")</f>
        <v>Ghidaje</v>
      </c>
      <c r="P2231" s="36">
        <f>IFERROR(INDEX(DATABASE_FG!$G$5:$G$367, MATCH(E2231, DATABASE_FG!$C$5:$C$367, 0)), "Not Found")</f>
        <v>0</v>
      </c>
      <c r="Q2231" s="36"/>
      <c r="R2231" s="125" t="s">
        <v>678</v>
      </c>
      <c r="S2231" s="123">
        <f>IFERROR(INDEX(DATABASE_FG!$L$5:$L$367, MATCH(E2231, DATABASE_FG!$C$5:$C$367, 0)), " ")</f>
        <v>42</v>
      </c>
      <c r="T2231" s="36" t="s">
        <v>679</v>
      </c>
      <c r="U2231" s="36"/>
      <c r="V2231" s="36"/>
      <c r="W2231" s="129"/>
      <c r="X2231" s="36"/>
      <c r="Y2231" s="36" t="s">
        <v>121</v>
      </c>
      <c r="Z2231" s="36"/>
      <c r="AA2231" s="125" t="s">
        <v>121</v>
      </c>
      <c r="AB2231" s="173">
        <v>45701</v>
      </c>
      <c r="AC2231" s="119">
        <v>25195</v>
      </c>
      <c r="AD2231" s="36">
        <f t="shared" si="251"/>
        <v>38474480</v>
      </c>
      <c r="AE2231" s="36" t="str">
        <f t="shared" si="252"/>
        <v>TK.KWVE20-B-A-L-0038-WW1</v>
      </c>
      <c r="AF2231" s="36">
        <v>67</v>
      </c>
      <c r="AG2231" s="120">
        <f t="shared" si="250"/>
        <v>383.24</v>
      </c>
      <c r="AH2231" s="36"/>
      <c r="AI2231" s="124"/>
      <c r="AJ2231" s="122" t="s">
        <v>2798</v>
      </c>
      <c r="AK2231" s="129" t="str">
        <f t="shared" ref="AK2231:AK2294" ca="1" si="254">IF(AB2231="", IF(K2231 &lt; TODAY(), "Late", ""), IF(AB2231 &lt;= K2231 + 2, "On Time", "Late"))</f>
        <v>On Time</v>
      </c>
      <c r="AL2231" s="268" t="str">
        <f t="shared" si="253"/>
        <v>February</v>
      </c>
      <c r="AM2231" s="133">
        <f>YEAR(Table1[[#This Row],[ETA
As requested
dd.mm.yyyy]])</f>
        <v>2025</v>
      </c>
    </row>
    <row r="2232" spans="1:39" hidden="1">
      <c r="A2232" s="123" t="s">
        <v>83</v>
      </c>
      <c r="B2232" s="36" t="s">
        <v>1170</v>
      </c>
      <c r="C2232" s="117">
        <v>38474480</v>
      </c>
      <c r="D2232" s="165">
        <v>45679</v>
      </c>
      <c r="E2232" s="117" t="s">
        <v>100</v>
      </c>
      <c r="F2232" s="36" t="str">
        <f>IFERROR(VLOOKUP(Table1[[#This Row],[Part Number]],DATABASE_FG!$C$6:D12221,2,FALSE)," ")</f>
        <v>054830877-8011</v>
      </c>
      <c r="G2232" s="117" t="str">
        <f>IFERROR(_xlfn.XLOOKUP(Table1[[#This Row],[Part Number]],Table3[Part number],Table3[Drawing
 Revision]),"")</f>
        <v>AA</v>
      </c>
      <c r="H2232" s="118" cm="1">
        <f t="array" ref="H2232">IFERROR(INDEX(PDB!$C:$AT,MATCH(E2232,PDB!$B:$B,0),MATCH(YEAR(K2232),0+PDB!$C$1:$AT$1,0)),"")</f>
        <v>5.72</v>
      </c>
      <c r="I2232" s="36">
        <v>56</v>
      </c>
      <c r="J2232" s="125">
        <f>IFERROR(Table1[[#This Row],[Quantity]]*Table1[[#This Row],[Price/Unit
EUR]]," ")</f>
        <v>320.32</v>
      </c>
      <c r="K2232" s="126">
        <v>45708</v>
      </c>
      <c r="L2232" s="36">
        <f>WEEKNUM(Table1[[#This Row],[ETA
As requested
dd.mm.yyyy]])</f>
        <v>8</v>
      </c>
      <c r="M2232" s="36">
        <f>YEAR(Table1[[#This Row],[ETA
As requested
dd.mm.yyyy]])</f>
        <v>2025</v>
      </c>
      <c r="N2232" s="36">
        <f>IFERROR(INDEX(DATABASE_FG!$H$5:$H$367, MATCH(E2232, DATABASE_FG!$C$5:$C$367, 0)), " ")</f>
        <v>0</v>
      </c>
      <c r="O2232" s="129" t="str">
        <f>IF(E2232&lt;&gt;"", _xlfn.XLOOKUP(E2232, DATABASE_FG!C:C, DATABASE_FG!F:F), " ")</f>
        <v>Ghidaje</v>
      </c>
      <c r="P2232" s="36">
        <f>IFERROR(INDEX(DATABASE_FG!$G$5:$G$367, MATCH(E2232, DATABASE_FG!$C$5:$C$367, 0)), "Not Found")</f>
        <v>0</v>
      </c>
      <c r="Q2232" s="36"/>
      <c r="R2232" s="125" t="s">
        <v>678</v>
      </c>
      <c r="S2232" s="123">
        <f>IFERROR(INDEX(DATABASE_FG!$L$5:$L$367, MATCH(E2232, DATABASE_FG!$C$5:$C$367, 0)), " ")</f>
        <v>42</v>
      </c>
      <c r="T2232" s="36" t="s">
        <v>679</v>
      </c>
      <c r="U2232" s="36"/>
      <c r="V2232" s="36"/>
      <c r="W2232" s="129"/>
      <c r="X2232" s="36"/>
      <c r="Y2232" s="36" t="s">
        <v>121</v>
      </c>
      <c r="Z2232" s="36"/>
      <c r="AA2232" s="125" t="s">
        <v>121</v>
      </c>
      <c r="AB2232" s="173">
        <v>45701</v>
      </c>
      <c r="AC2232" s="119">
        <v>25195</v>
      </c>
      <c r="AD2232" s="36">
        <f t="shared" si="251"/>
        <v>38474480</v>
      </c>
      <c r="AE2232" s="36" t="str">
        <f t="shared" si="252"/>
        <v>TK.KWVE20-B-A-L-0038-WW1</v>
      </c>
      <c r="AF2232" s="36">
        <v>56</v>
      </c>
      <c r="AG2232" s="120">
        <f t="shared" si="250"/>
        <v>320.32</v>
      </c>
      <c r="AH2232" s="36"/>
      <c r="AI2232" s="124"/>
      <c r="AJ2232" s="122" t="s">
        <v>2798</v>
      </c>
      <c r="AK2232" s="129" t="str">
        <f t="shared" ca="1" si="254"/>
        <v>On Time</v>
      </c>
      <c r="AL2232" s="268" t="str">
        <f t="shared" si="253"/>
        <v>February</v>
      </c>
      <c r="AM2232" s="133">
        <f>YEAR(Table1[[#This Row],[ETA
As requested
dd.mm.yyyy]])</f>
        <v>2025</v>
      </c>
    </row>
    <row r="2233" spans="1:39" hidden="1">
      <c r="A2233" s="123" t="s">
        <v>83</v>
      </c>
      <c r="B2233" s="36" t="s">
        <v>1170</v>
      </c>
      <c r="C2233" s="117">
        <v>38474480</v>
      </c>
      <c r="D2233" s="165">
        <v>45679</v>
      </c>
      <c r="E2233" s="117" t="s">
        <v>100</v>
      </c>
      <c r="F2233" s="36" t="str">
        <f>IFERROR(VLOOKUP(Table1[[#This Row],[Part Number]],DATABASE_FG!$C$6:D12222,2,FALSE)," ")</f>
        <v>054830877-8011</v>
      </c>
      <c r="G2233" s="117" t="str">
        <f>IFERROR(_xlfn.XLOOKUP(Table1[[#This Row],[Part Number]],Table3[Part number],Table3[Drawing
 Revision]),"")</f>
        <v>AA</v>
      </c>
      <c r="H2233" s="118" cm="1">
        <f t="array" ref="H2233">IFERROR(INDEX(PDB!$C:$AT,MATCH(E2233,PDB!$B:$B,0),MATCH(YEAR(K2233),0+PDB!$C$1:$AT$1,0)),"")</f>
        <v>5.72</v>
      </c>
      <c r="I2233" s="36">
        <v>47</v>
      </c>
      <c r="J2233" s="125">
        <f>IFERROR(Table1[[#This Row],[Quantity]]*Table1[[#This Row],[Price/Unit
EUR]]," ")</f>
        <v>268.83999999999997</v>
      </c>
      <c r="K2233" s="126">
        <v>45708</v>
      </c>
      <c r="L2233" s="36">
        <f>WEEKNUM(Table1[[#This Row],[ETA
As requested
dd.mm.yyyy]])</f>
        <v>8</v>
      </c>
      <c r="M2233" s="36">
        <f>YEAR(Table1[[#This Row],[ETA
As requested
dd.mm.yyyy]])</f>
        <v>2025</v>
      </c>
      <c r="N2233" s="36">
        <f>IFERROR(INDEX(DATABASE_FG!$H$5:$H$367, MATCH(E2233, DATABASE_FG!$C$5:$C$367, 0)), " ")</f>
        <v>0</v>
      </c>
      <c r="O2233" s="129" t="str">
        <f>IF(E2233&lt;&gt;"", _xlfn.XLOOKUP(E2233, DATABASE_FG!C:C, DATABASE_FG!F:F), " ")</f>
        <v>Ghidaje</v>
      </c>
      <c r="P2233" s="36">
        <f>IFERROR(INDEX(DATABASE_FG!$G$5:$G$367, MATCH(E2233, DATABASE_FG!$C$5:$C$367, 0)), "Not Found")</f>
        <v>0</v>
      </c>
      <c r="Q2233" s="36"/>
      <c r="R2233" s="125" t="s">
        <v>678</v>
      </c>
      <c r="S2233" s="123">
        <f>IFERROR(INDEX(DATABASE_FG!$L$5:$L$367, MATCH(E2233, DATABASE_FG!$C$5:$C$367, 0)), " ")</f>
        <v>42</v>
      </c>
      <c r="T2233" s="36" t="s">
        <v>679</v>
      </c>
      <c r="U2233" s="36"/>
      <c r="V2233" s="36"/>
      <c r="W2233" s="129"/>
      <c r="X2233" s="36"/>
      <c r="Y2233" s="36" t="s">
        <v>121</v>
      </c>
      <c r="Z2233" s="36"/>
      <c r="AA2233" s="125" t="s">
        <v>121</v>
      </c>
      <c r="AB2233" s="173">
        <v>45705</v>
      </c>
      <c r="AC2233" s="119">
        <v>25214</v>
      </c>
      <c r="AD2233" s="36">
        <f t="shared" si="251"/>
        <v>38474480</v>
      </c>
      <c r="AE2233" s="36" t="str">
        <f t="shared" si="252"/>
        <v>TK.KWVE20-B-A-L-0038-WW1</v>
      </c>
      <c r="AF2233" s="36">
        <v>47</v>
      </c>
      <c r="AG2233" s="120">
        <f t="shared" si="250"/>
        <v>268.83999999999997</v>
      </c>
      <c r="AH2233" s="36"/>
      <c r="AI2233" s="124"/>
      <c r="AJ2233" s="122" t="s">
        <v>2844</v>
      </c>
      <c r="AK2233" s="129" t="str">
        <f t="shared" ca="1" si="254"/>
        <v>On Time</v>
      </c>
      <c r="AL2233" s="268" t="str">
        <f t="shared" si="253"/>
        <v>February</v>
      </c>
      <c r="AM2233" s="133">
        <f>YEAR(Table1[[#This Row],[ETA
As requested
dd.mm.yyyy]])</f>
        <v>2025</v>
      </c>
    </row>
    <row r="2234" spans="1:39" hidden="1">
      <c r="A2234" s="123" t="s">
        <v>83</v>
      </c>
      <c r="B2234" s="36" t="s">
        <v>1170</v>
      </c>
      <c r="C2234" s="117">
        <v>38474480</v>
      </c>
      <c r="D2234" s="165">
        <v>45679</v>
      </c>
      <c r="E2234" s="117" t="s">
        <v>100</v>
      </c>
      <c r="F2234" s="36" t="str">
        <f>IFERROR(VLOOKUP(Table1[[#This Row],[Part Number]],DATABASE_FG!$C$6:D12223,2,FALSE)," ")</f>
        <v>054830877-8011</v>
      </c>
      <c r="G2234" s="117" t="str">
        <f>IFERROR(_xlfn.XLOOKUP(Table1[[#This Row],[Part Number]],Table3[Part number],Table3[Drawing
 Revision]),"")</f>
        <v>AA</v>
      </c>
      <c r="H2234" s="118" cm="1">
        <f t="array" ref="H2234">IFERROR(INDEX(PDB!$C:$AT,MATCH(E2234,PDB!$B:$B,0),MATCH(YEAR(K2234),0+PDB!$C$1:$AT$1,0)),"")</f>
        <v>5.72</v>
      </c>
      <c r="I2234" s="36">
        <v>128</v>
      </c>
      <c r="J2234" s="125">
        <f>IFERROR(Table1[[#This Row],[Quantity]]*Table1[[#This Row],[Price/Unit
EUR]]," ")</f>
        <v>732.16</v>
      </c>
      <c r="K2234" s="126">
        <v>45708</v>
      </c>
      <c r="L2234" s="36">
        <f>WEEKNUM(Table1[[#This Row],[ETA
As requested
dd.mm.yyyy]])</f>
        <v>8</v>
      </c>
      <c r="M2234" s="36">
        <f>YEAR(Table1[[#This Row],[ETA
As requested
dd.mm.yyyy]])</f>
        <v>2025</v>
      </c>
      <c r="N2234" s="36">
        <f>IFERROR(INDEX(DATABASE_FG!$H$5:$H$367, MATCH(E2234, DATABASE_FG!$C$5:$C$367, 0)), " ")</f>
        <v>0</v>
      </c>
      <c r="O2234" s="129" t="str">
        <f>IF(E2234&lt;&gt;"", _xlfn.XLOOKUP(E2234, DATABASE_FG!C:C, DATABASE_FG!F:F), " ")</f>
        <v>Ghidaje</v>
      </c>
      <c r="P2234" s="36">
        <f>IFERROR(INDEX(DATABASE_FG!$G$5:$G$367, MATCH(E2234, DATABASE_FG!$C$5:$C$367, 0)), "Not Found")</f>
        <v>0</v>
      </c>
      <c r="Q2234" s="36"/>
      <c r="R2234" s="125" t="s">
        <v>678</v>
      </c>
      <c r="S2234" s="123">
        <f>IFERROR(INDEX(DATABASE_FG!$L$5:$L$367, MATCH(E2234, DATABASE_FG!$C$5:$C$367, 0)), " ")</f>
        <v>42</v>
      </c>
      <c r="T2234" s="36"/>
      <c r="U2234" s="36"/>
      <c r="V2234" s="36"/>
      <c r="W2234" s="129"/>
      <c r="X2234" s="36"/>
      <c r="Y2234" s="36"/>
      <c r="Z2234" s="36"/>
      <c r="AA2234" s="125" t="s">
        <v>121</v>
      </c>
      <c r="AB2234" s="173">
        <v>45715</v>
      </c>
      <c r="AC2234" s="119">
        <v>25274</v>
      </c>
      <c r="AD2234" s="36">
        <f t="shared" si="251"/>
        <v>38474480</v>
      </c>
      <c r="AE2234" s="36" t="str">
        <f t="shared" si="252"/>
        <v>TK.KWVE20-B-A-L-0038-WW1</v>
      </c>
      <c r="AF2234" s="36">
        <v>128</v>
      </c>
      <c r="AG2234" s="120">
        <f t="shared" si="250"/>
        <v>732.16</v>
      </c>
      <c r="AH2234" s="36"/>
      <c r="AI2234" s="124"/>
      <c r="AJ2234" s="122" t="s">
        <v>2851</v>
      </c>
      <c r="AK2234" s="129" t="str">
        <f t="shared" ca="1" si="254"/>
        <v>Late</v>
      </c>
      <c r="AL2234" s="268" t="str">
        <f t="shared" si="253"/>
        <v>February</v>
      </c>
      <c r="AM2234" s="133">
        <f>YEAR(Table1[[#This Row],[ETA
As requested
dd.mm.yyyy]])</f>
        <v>2025</v>
      </c>
    </row>
    <row r="2235" spans="1:39" hidden="1">
      <c r="A2235" s="123" t="s">
        <v>83</v>
      </c>
      <c r="B2235" s="36" t="s">
        <v>1170</v>
      </c>
      <c r="C2235" s="117">
        <v>38474480</v>
      </c>
      <c r="D2235" s="165">
        <v>45679</v>
      </c>
      <c r="E2235" s="117" t="s">
        <v>100</v>
      </c>
      <c r="F2235" s="36" t="str">
        <f>IFERROR(VLOOKUP(Table1[[#This Row],[Part Number]],DATABASE_FG!$C$6:D12224,2,FALSE)," ")</f>
        <v>054830877-8011</v>
      </c>
      <c r="G2235" s="117" t="str">
        <f>IFERROR(_xlfn.XLOOKUP(Table1[[#This Row],[Part Number]],Table3[Part number],Table3[Drawing
 Revision]),"")</f>
        <v>AA</v>
      </c>
      <c r="H2235" s="118" cm="1">
        <f t="array" ref="H2235">IFERROR(INDEX(PDB!$C:$AT,MATCH(E2235,PDB!$B:$B,0),MATCH(YEAR(K2235),0+PDB!$C$1:$AT$1,0)),"")</f>
        <v>5.72</v>
      </c>
      <c r="I2235" s="36">
        <f>300-56-47-128</f>
        <v>69</v>
      </c>
      <c r="J2235" s="125">
        <f>IFERROR(Table1[[#This Row],[Quantity]]*Table1[[#This Row],[Price/Unit
EUR]]," ")</f>
        <v>394.68</v>
      </c>
      <c r="K2235" s="126">
        <v>45708</v>
      </c>
      <c r="L2235" s="36">
        <f>WEEKNUM(Table1[[#This Row],[ETA
As requested
dd.mm.yyyy]])</f>
        <v>8</v>
      </c>
      <c r="M2235" s="36">
        <f>YEAR(Table1[[#This Row],[ETA
As requested
dd.mm.yyyy]])</f>
        <v>2025</v>
      </c>
      <c r="N2235" s="36">
        <f>IFERROR(INDEX(DATABASE_FG!$H$5:$H$367, MATCH(E2235, DATABASE_FG!$C$5:$C$367, 0)), " ")</f>
        <v>0</v>
      </c>
      <c r="O2235" s="129" t="str">
        <f>IF(E2235&lt;&gt;"", _xlfn.XLOOKUP(E2235, DATABASE_FG!C:C, DATABASE_FG!F:F), " ")</f>
        <v>Ghidaje</v>
      </c>
      <c r="P2235" s="36">
        <f>IFERROR(INDEX(DATABASE_FG!$G$5:$G$367, MATCH(E2235, DATABASE_FG!$C$5:$C$367, 0)), "Not Found")</f>
        <v>0</v>
      </c>
      <c r="Q2235" s="36"/>
      <c r="R2235" s="125" t="s">
        <v>678</v>
      </c>
      <c r="S2235" s="123">
        <f>IFERROR(INDEX(DATABASE_FG!$L$5:$L$367, MATCH(E2235, DATABASE_FG!$C$5:$C$367, 0)), " ")</f>
        <v>42</v>
      </c>
      <c r="T2235" s="36" t="s">
        <v>679</v>
      </c>
      <c r="U2235" s="36"/>
      <c r="V2235" s="36"/>
      <c r="W2235" s="129"/>
      <c r="X2235" s="36"/>
      <c r="Y2235" s="36" t="s">
        <v>121</v>
      </c>
      <c r="Z2235" s="36"/>
      <c r="AA2235" s="125" t="s">
        <v>121</v>
      </c>
      <c r="AB2235" s="173">
        <v>45720</v>
      </c>
      <c r="AC2235" s="119">
        <v>25305</v>
      </c>
      <c r="AD2235" s="36">
        <f t="shared" si="251"/>
        <v>38474480</v>
      </c>
      <c r="AE2235" s="36" t="str">
        <f t="shared" si="252"/>
        <v>TK.KWVE20-B-A-L-0038-WW1</v>
      </c>
      <c r="AF2235" s="36">
        <v>69</v>
      </c>
      <c r="AG2235" s="120">
        <f t="shared" si="250"/>
        <v>394.68</v>
      </c>
      <c r="AH2235" s="36"/>
      <c r="AI2235" s="124"/>
      <c r="AJ2235" s="122" t="s">
        <v>2853</v>
      </c>
      <c r="AK2235" s="129" t="str">
        <f t="shared" ca="1" si="254"/>
        <v>Late</v>
      </c>
      <c r="AL2235" s="268" t="str">
        <f t="shared" si="253"/>
        <v>February</v>
      </c>
      <c r="AM2235" s="133">
        <f>YEAR(Table1[[#This Row],[ETA
As requested
dd.mm.yyyy]])</f>
        <v>2025</v>
      </c>
    </row>
    <row r="2236" spans="1:39" hidden="1">
      <c r="A2236" s="123" t="s">
        <v>83</v>
      </c>
      <c r="B2236" s="36" t="s">
        <v>1170</v>
      </c>
      <c r="C2236" s="117">
        <v>38676312</v>
      </c>
      <c r="D2236" s="165">
        <v>45709</v>
      </c>
      <c r="E2236" s="117" t="s">
        <v>100</v>
      </c>
      <c r="F2236" s="36" t="str">
        <f>IFERROR(VLOOKUP(Table1[[#This Row],[Part Number]],DATABASE_FG!$C$6:D12225,2,FALSE)," ")</f>
        <v>054830877-8011</v>
      </c>
      <c r="G2236" s="117" t="str">
        <f>IFERROR(_xlfn.XLOOKUP(Table1[[#This Row],[Part Number]],Table3[Part number],Table3[Drawing
 Revision]),"")</f>
        <v>AA</v>
      </c>
      <c r="H2236" s="118" cm="1">
        <f t="array" ref="H2236">IFERROR(INDEX(PDB!$C:$AT,MATCH(E2236,PDB!$B:$B,0),MATCH(YEAR(K2236),0+PDB!$C$1:$AT$1,0)),"")</f>
        <v>5.72</v>
      </c>
      <c r="I2236" s="36">
        <v>187</v>
      </c>
      <c r="J2236" s="125">
        <f>IFERROR(Table1[[#This Row],[Quantity]]*Table1[[#This Row],[Price/Unit
EUR]]," ")</f>
        <v>1069.6399999999999</v>
      </c>
      <c r="K2236" s="126">
        <v>45720</v>
      </c>
      <c r="L2236" s="36">
        <f>WEEKNUM(Table1[[#This Row],[ETA
As requested
dd.mm.yyyy]])</f>
        <v>10</v>
      </c>
      <c r="M2236" s="36">
        <f>YEAR(Table1[[#This Row],[ETA
As requested
dd.mm.yyyy]])</f>
        <v>2025</v>
      </c>
      <c r="N2236" s="36">
        <f>IFERROR(INDEX(DATABASE_FG!$H$5:$H$367, MATCH(E2236, DATABASE_FG!$C$5:$C$367, 0)), " ")</f>
        <v>0</v>
      </c>
      <c r="O2236" s="129" t="str">
        <f>IF(E2236&lt;&gt;"", _xlfn.XLOOKUP(E2236, DATABASE_FG!C:C, DATABASE_FG!F:F), " ")</f>
        <v>Ghidaje</v>
      </c>
      <c r="P2236" s="36">
        <f>IFERROR(INDEX(DATABASE_FG!$G$5:$G$367, MATCH(E2236, DATABASE_FG!$C$5:$C$367, 0)), "Not Found")</f>
        <v>0</v>
      </c>
      <c r="Q2236" s="36"/>
      <c r="R2236" s="125" t="s">
        <v>678</v>
      </c>
      <c r="S2236" s="123">
        <f>IFERROR(INDEX(DATABASE_FG!$L$5:$L$367, MATCH(E2236, DATABASE_FG!$C$5:$C$367, 0)), " ")</f>
        <v>42</v>
      </c>
      <c r="T2236" s="36" t="s">
        <v>679</v>
      </c>
      <c r="U2236" s="36"/>
      <c r="V2236" s="36"/>
      <c r="W2236" s="129"/>
      <c r="X2236" s="36"/>
      <c r="Y2236" s="36"/>
      <c r="Z2236" s="36"/>
      <c r="AA2236" s="125" t="s">
        <v>121</v>
      </c>
      <c r="AB2236" s="173">
        <v>45720</v>
      </c>
      <c r="AC2236" s="119">
        <v>25309</v>
      </c>
      <c r="AD2236" s="36">
        <f t="shared" si="251"/>
        <v>38676312</v>
      </c>
      <c r="AE2236" s="36" t="str">
        <f t="shared" si="252"/>
        <v>TK.KWVE20-B-A-L-0038-WW1</v>
      </c>
      <c r="AF2236" s="36">
        <v>187</v>
      </c>
      <c r="AG2236" s="120">
        <f t="shared" si="250"/>
        <v>1069.6399999999999</v>
      </c>
      <c r="AH2236" s="36"/>
      <c r="AI2236" s="124"/>
      <c r="AJ2236" s="122" t="s">
        <v>2913</v>
      </c>
      <c r="AK2236" s="129" t="str">
        <f t="shared" ca="1" si="254"/>
        <v>On Time</v>
      </c>
      <c r="AL2236" s="268" t="str">
        <f t="shared" si="253"/>
        <v>March</v>
      </c>
      <c r="AM2236" s="133">
        <f>YEAR(Table1[[#This Row],[ETA
As requested
dd.mm.yyyy]])</f>
        <v>2025</v>
      </c>
    </row>
    <row r="2237" spans="1:39" hidden="1">
      <c r="A2237" s="123" t="s">
        <v>83</v>
      </c>
      <c r="B2237" s="36" t="s">
        <v>1170</v>
      </c>
      <c r="C2237" s="117">
        <v>38676312</v>
      </c>
      <c r="D2237" s="165">
        <v>45709</v>
      </c>
      <c r="E2237" s="117" t="s">
        <v>100</v>
      </c>
      <c r="F2237" s="36" t="str">
        <f>IFERROR(VLOOKUP(Table1[[#This Row],[Part Number]],DATABASE_FG!$C$6:D12226,2,FALSE)," ")</f>
        <v>054830877-8011</v>
      </c>
      <c r="G2237" s="117" t="str">
        <f>IFERROR(_xlfn.XLOOKUP(Table1[[#This Row],[Part Number]],Table3[Part number],Table3[Drawing
 Revision]),"")</f>
        <v>AA</v>
      </c>
      <c r="H2237" s="118" cm="1">
        <f t="array" ref="H2237">IFERROR(INDEX(PDB!$C:$AT,MATCH(E2237,PDB!$B:$B,0),MATCH(YEAR(K2237),0+PDB!$C$1:$AT$1,0)),"")</f>
        <v>5.72</v>
      </c>
      <c r="I2237" s="36">
        <f>250-187</f>
        <v>63</v>
      </c>
      <c r="J2237" s="125">
        <f>IFERROR(Table1[[#This Row],[Quantity]]*Table1[[#This Row],[Price/Unit
EUR]]," ")</f>
        <v>360.35999999999996</v>
      </c>
      <c r="K2237" s="126">
        <v>45720</v>
      </c>
      <c r="L2237" s="36">
        <f>WEEKNUM(Table1[[#This Row],[ETA
As requested
dd.mm.yyyy]])</f>
        <v>10</v>
      </c>
      <c r="M2237" s="36">
        <f>YEAR(Table1[[#This Row],[ETA
As requested
dd.mm.yyyy]])</f>
        <v>2025</v>
      </c>
      <c r="N2237" s="36">
        <f>IFERROR(INDEX(DATABASE_FG!$H$5:$H$367, MATCH(E2237, DATABASE_FG!$C$5:$C$367, 0)), " ")</f>
        <v>0</v>
      </c>
      <c r="O2237" s="129" t="str">
        <f>IF(E2237&lt;&gt;"", _xlfn.XLOOKUP(E2237, DATABASE_FG!C:C, DATABASE_FG!F:F), " ")</f>
        <v>Ghidaje</v>
      </c>
      <c r="P2237" s="36">
        <f>IFERROR(INDEX(DATABASE_FG!$G$5:$G$367, MATCH(E2237, DATABASE_FG!$C$5:$C$367, 0)), "Not Found")</f>
        <v>0</v>
      </c>
      <c r="Q2237" s="36"/>
      <c r="R2237" s="125" t="s">
        <v>678</v>
      </c>
      <c r="S2237" s="123">
        <f>IFERROR(INDEX(DATABASE_FG!$L$5:$L$367, MATCH(E2237, DATABASE_FG!$C$5:$C$367, 0)), " ")</f>
        <v>42</v>
      </c>
      <c r="T2237" s="36" t="s">
        <v>679</v>
      </c>
      <c r="U2237" s="36"/>
      <c r="V2237" s="36"/>
      <c r="W2237" s="129"/>
      <c r="X2237" s="36"/>
      <c r="Y2237" s="36"/>
      <c r="Z2237" s="36"/>
      <c r="AA2237" s="125" t="s">
        <v>121</v>
      </c>
      <c r="AB2237" s="173">
        <v>45727</v>
      </c>
      <c r="AC2237" s="119">
        <v>25355</v>
      </c>
      <c r="AD2237" s="36">
        <f t="shared" si="251"/>
        <v>38676312</v>
      </c>
      <c r="AE2237" s="36" t="str">
        <f t="shared" si="252"/>
        <v>TK.KWVE20-B-A-L-0038-WW1</v>
      </c>
      <c r="AF2237" s="36">
        <v>63</v>
      </c>
      <c r="AG2237" s="120">
        <f t="shared" si="250"/>
        <v>360.35999999999996</v>
      </c>
      <c r="AH2237" s="36"/>
      <c r="AI2237" s="124"/>
      <c r="AJ2237" s="122" t="s">
        <v>2923</v>
      </c>
      <c r="AK2237" s="129" t="str">
        <f t="shared" ca="1" si="254"/>
        <v>Late</v>
      </c>
      <c r="AL2237" s="268" t="str">
        <f t="shared" si="253"/>
        <v>March</v>
      </c>
      <c r="AM2237" s="133">
        <f>YEAR(Table1[[#This Row],[ETA
As requested
dd.mm.yyyy]])</f>
        <v>2025</v>
      </c>
    </row>
    <row r="2238" spans="1:39" hidden="1">
      <c r="A2238" s="123" t="s">
        <v>83</v>
      </c>
      <c r="B2238" s="36" t="s">
        <v>1170</v>
      </c>
      <c r="C2238" s="117">
        <v>38676312</v>
      </c>
      <c r="D2238" s="165">
        <v>45709</v>
      </c>
      <c r="E2238" s="117" t="s">
        <v>100</v>
      </c>
      <c r="F2238" s="36" t="str">
        <f>IFERROR(VLOOKUP(Table1[[#This Row],[Part Number]],DATABASE_FG!$C$6:D12227,2,FALSE)," ")</f>
        <v>054830877-8011</v>
      </c>
      <c r="G2238" s="117" t="str">
        <f>IFERROR(_xlfn.XLOOKUP(Table1[[#This Row],[Part Number]],Table3[Part number],Table3[Drawing
 Revision]),"")</f>
        <v>AA</v>
      </c>
      <c r="H2238" s="118" cm="1">
        <f t="array" ref="H2238">IFERROR(INDEX(PDB!$C:$AT,MATCH(E2238,PDB!$B:$B,0),MATCH(YEAR(K2238),0+PDB!$C$1:$AT$1,0)),"")</f>
        <v>5.72</v>
      </c>
      <c r="I2238" s="36">
        <v>250</v>
      </c>
      <c r="J2238" s="125">
        <f>IFERROR(Table1[[#This Row],[Quantity]]*Table1[[#This Row],[Price/Unit
EUR]]," ")</f>
        <v>1430</v>
      </c>
      <c r="K2238" s="126">
        <v>45727</v>
      </c>
      <c r="L2238" s="36">
        <f>WEEKNUM(Table1[[#This Row],[ETA
As requested
dd.mm.yyyy]])</f>
        <v>11</v>
      </c>
      <c r="M2238" s="36">
        <f>YEAR(Table1[[#This Row],[ETA
As requested
dd.mm.yyyy]])</f>
        <v>2025</v>
      </c>
      <c r="N2238" s="36">
        <f>IFERROR(INDEX(DATABASE_FG!$H$5:$H$367, MATCH(E2238, DATABASE_FG!$C$5:$C$367, 0)), " ")</f>
        <v>0</v>
      </c>
      <c r="O2238" s="129" t="str">
        <f>IF(E2238&lt;&gt;"", _xlfn.XLOOKUP(E2238, DATABASE_FG!C:C, DATABASE_FG!F:F), " ")</f>
        <v>Ghidaje</v>
      </c>
      <c r="P2238" s="36">
        <f>IFERROR(INDEX(DATABASE_FG!$G$5:$G$367, MATCH(E2238, DATABASE_FG!$C$5:$C$367, 0)), "Not Found")</f>
        <v>0</v>
      </c>
      <c r="Q2238" s="36"/>
      <c r="R2238" s="125" t="s">
        <v>678</v>
      </c>
      <c r="S2238" s="123">
        <f>IFERROR(INDEX(DATABASE_FG!$L$5:$L$367, MATCH(E2238, DATABASE_FG!$C$5:$C$367, 0)), " ")</f>
        <v>42</v>
      </c>
      <c r="T2238" s="36" t="s">
        <v>679</v>
      </c>
      <c r="U2238" s="36"/>
      <c r="V2238" s="36"/>
      <c r="W2238" s="129"/>
      <c r="X2238" s="36"/>
      <c r="Y2238" s="36"/>
      <c r="Z2238" s="36"/>
      <c r="AA2238" s="125" t="s">
        <v>121</v>
      </c>
      <c r="AB2238" s="173">
        <v>45729</v>
      </c>
      <c r="AC2238" s="119">
        <v>25369</v>
      </c>
      <c r="AD2238" s="36">
        <f t="shared" si="251"/>
        <v>38676312</v>
      </c>
      <c r="AE2238" s="36" t="str">
        <f t="shared" si="252"/>
        <v>TK.KWVE20-B-A-L-0038-WW1</v>
      </c>
      <c r="AF2238" s="36">
        <v>250</v>
      </c>
      <c r="AG2238" s="120">
        <f t="shared" ref="AG2238:AG2302" si="255">AF2238*H2238</f>
        <v>1430</v>
      </c>
      <c r="AH2238" s="36"/>
      <c r="AI2238" s="124"/>
      <c r="AJ2238" s="122" t="s">
        <v>2944</v>
      </c>
      <c r="AK2238" s="129" t="str">
        <f t="shared" ca="1" si="254"/>
        <v>On Time</v>
      </c>
      <c r="AL2238" s="268" t="str">
        <f t="shared" si="253"/>
        <v>March</v>
      </c>
      <c r="AM2238" s="133">
        <f>YEAR(Table1[[#This Row],[ETA
As requested
dd.mm.yyyy]])</f>
        <v>2025</v>
      </c>
    </row>
    <row r="2239" spans="1:39" hidden="1">
      <c r="A2239" s="123" t="s">
        <v>83</v>
      </c>
      <c r="B2239" s="36" t="s">
        <v>1170</v>
      </c>
      <c r="C2239" s="117">
        <v>38676312</v>
      </c>
      <c r="D2239" s="165">
        <v>45709</v>
      </c>
      <c r="E2239" s="117" t="s">
        <v>100</v>
      </c>
      <c r="F2239" s="36" t="str">
        <f>IFERROR(VLOOKUP(Table1[[#This Row],[Part Number]],DATABASE_FG!$C$6:D12228,2,FALSE)," ")</f>
        <v>054830877-8011</v>
      </c>
      <c r="G2239" s="117" t="str">
        <f>IFERROR(_xlfn.XLOOKUP(Table1[[#This Row],[Part Number]],Table3[Part number],Table3[Drawing
 Revision]),"")</f>
        <v>AA</v>
      </c>
      <c r="H2239" s="118" cm="1">
        <f t="array" ref="H2239">IFERROR(INDEX(PDB!$C:$AT,MATCH(E2239,PDB!$B:$B,0),MATCH(YEAR(K2239),0+PDB!$C$1:$AT$1,0)),"")</f>
        <v>5.72</v>
      </c>
      <c r="I2239" s="36">
        <v>250</v>
      </c>
      <c r="J2239" s="125">
        <f>IFERROR(Table1[[#This Row],[Quantity]]*Table1[[#This Row],[Price/Unit
EUR]]," ")</f>
        <v>1430</v>
      </c>
      <c r="K2239" s="126">
        <v>45734</v>
      </c>
      <c r="L2239" s="36">
        <f>WEEKNUM(Table1[[#This Row],[ETA
As requested
dd.mm.yyyy]])</f>
        <v>12</v>
      </c>
      <c r="M2239" s="36">
        <f>YEAR(Table1[[#This Row],[ETA
As requested
dd.mm.yyyy]])</f>
        <v>2025</v>
      </c>
      <c r="N2239" s="36">
        <f>IFERROR(INDEX(DATABASE_FG!$H$5:$H$367, MATCH(E2239, DATABASE_FG!$C$5:$C$367, 0)), " ")</f>
        <v>0</v>
      </c>
      <c r="O2239" s="129" t="str">
        <f>IF(E2239&lt;&gt;"", _xlfn.XLOOKUP(E2239, DATABASE_FG!C:C, DATABASE_FG!F:F), " ")</f>
        <v>Ghidaje</v>
      </c>
      <c r="P2239" s="36">
        <f>IFERROR(INDEX(DATABASE_FG!$G$5:$G$367, MATCH(E2239, DATABASE_FG!$C$5:$C$367, 0)), "Not Found")</f>
        <v>0</v>
      </c>
      <c r="Q2239" s="36"/>
      <c r="R2239" s="125" t="s">
        <v>678</v>
      </c>
      <c r="S2239" s="123">
        <f>IFERROR(INDEX(DATABASE_FG!$L$5:$L$367, MATCH(E2239, DATABASE_FG!$C$5:$C$367, 0)), " ")</f>
        <v>42</v>
      </c>
      <c r="T2239" s="36" t="s">
        <v>679</v>
      </c>
      <c r="U2239" s="36"/>
      <c r="V2239" s="36"/>
      <c r="W2239" s="129"/>
      <c r="X2239" s="36"/>
      <c r="Y2239" s="36"/>
      <c r="Z2239" s="36"/>
      <c r="AA2239" s="125" t="s">
        <v>121</v>
      </c>
      <c r="AB2239" s="173">
        <v>45734</v>
      </c>
      <c r="AC2239" s="119">
        <v>25398</v>
      </c>
      <c r="AD2239" s="36">
        <f t="shared" si="251"/>
        <v>38676312</v>
      </c>
      <c r="AE2239" s="36" t="str">
        <f t="shared" si="252"/>
        <v>TK.KWVE20-B-A-L-0038-WW1</v>
      </c>
      <c r="AF2239" s="36">
        <v>250</v>
      </c>
      <c r="AG2239" s="120">
        <f t="shared" si="255"/>
        <v>1430</v>
      </c>
      <c r="AH2239" s="36"/>
      <c r="AI2239" s="124"/>
      <c r="AJ2239" s="122" t="s">
        <v>2968</v>
      </c>
      <c r="AK2239" s="129" t="str">
        <f t="shared" ca="1" si="254"/>
        <v>On Time</v>
      </c>
      <c r="AL2239" s="268" t="str">
        <f t="shared" si="253"/>
        <v>March</v>
      </c>
      <c r="AM2239" s="133">
        <f>YEAR(Table1[[#This Row],[ETA
As requested
dd.mm.yyyy]])</f>
        <v>2025</v>
      </c>
    </row>
    <row r="2240" spans="1:39" hidden="1">
      <c r="A2240" s="123" t="s">
        <v>83</v>
      </c>
      <c r="B2240" s="36" t="s">
        <v>1170</v>
      </c>
      <c r="C2240" s="117">
        <v>38676312</v>
      </c>
      <c r="D2240" s="165">
        <v>45709</v>
      </c>
      <c r="E2240" s="117" t="s">
        <v>100</v>
      </c>
      <c r="F2240" s="36" t="str">
        <f>IFERROR(VLOOKUP(Table1[[#This Row],[Part Number]],DATABASE_FG!$C$6:D12229,2,FALSE)," ")</f>
        <v>054830877-8011</v>
      </c>
      <c r="G2240" s="117" t="str">
        <f>IFERROR(_xlfn.XLOOKUP(Table1[[#This Row],[Part Number]],Table3[Part number],Table3[Drawing
 Revision]),"")</f>
        <v>AA</v>
      </c>
      <c r="H2240" s="118" cm="1">
        <f t="array" ref="H2240">IFERROR(INDEX(PDB!$C:$AT,MATCH(E2240,PDB!$B:$B,0),MATCH(YEAR(K2240),0+PDB!$C$1:$AT$1,0)),"")</f>
        <v>5.72</v>
      </c>
      <c r="I2240" s="36">
        <v>100</v>
      </c>
      <c r="J2240" s="125">
        <f>IFERROR(Table1[[#This Row],[Quantity]]*Table1[[#This Row],[Price/Unit
EUR]]," ")</f>
        <v>572</v>
      </c>
      <c r="K2240" s="126">
        <v>45741</v>
      </c>
      <c r="L2240" s="36">
        <f>WEEKNUM(Table1[[#This Row],[ETA
As requested
dd.mm.yyyy]])</f>
        <v>13</v>
      </c>
      <c r="M2240" s="36">
        <f>YEAR(Table1[[#This Row],[ETA
As requested
dd.mm.yyyy]])</f>
        <v>2025</v>
      </c>
      <c r="N2240" s="36">
        <f>IFERROR(INDEX(DATABASE_FG!$H$5:$H$367, MATCH(E2240, DATABASE_FG!$C$5:$C$367, 0)), " ")</f>
        <v>0</v>
      </c>
      <c r="O2240" s="129" t="str">
        <f>IF(E2240&lt;&gt;"", _xlfn.XLOOKUP(E2240, DATABASE_FG!C:C, DATABASE_FG!F:F), " ")</f>
        <v>Ghidaje</v>
      </c>
      <c r="P2240" s="36">
        <f>IFERROR(INDEX(DATABASE_FG!$G$5:$G$367, MATCH(E2240, DATABASE_FG!$C$5:$C$367, 0)), "Not Found")</f>
        <v>0</v>
      </c>
      <c r="Q2240" s="36"/>
      <c r="R2240" s="125" t="s">
        <v>678</v>
      </c>
      <c r="S2240" s="123">
        <f>IFERROR(INDEX(DATABASE_FG!$L$5:$L$367, MATCH(E2240, DATABASE_FG!$C$5:$C$367, 0)), " ")</f>
        <v>42</v>
      </c>
      <c r="T2240" s="36" t="s">
        <v>679</v>
      </c>
      <c r="U2240" s="36"/>
      <c r="V2240" s="36"/>
      <c r="W2240" s="129"/>
      <c r="X2240" s="36"/>
      <c r="Y2240" s="36"/>
      <c r="Z2240" s="36"/>
      <c r="AA2240" s="125" t="s">
        <v>121</v>
      </c>
      <c r="AB2240" s="173">
        <v>45734</v>
      </c>
      <c r="AC2240" s="119">
        <v>25398</v>
      </c>
      <c r="AD2240" s="36">
        <f t="shared" si="251"/>
        <v>38676312</v>
      </c>
      <c r="AE2240" s="36" t="str">
        <f t="shared" si="252"/>
        <v>TK.KWVE20-B-A-L-0038-WW1</v>
      </c>
      <c r="AF2240" s="36">
        <v>100</v>
      </c>
      <c r="AG2240" s="120">
        <f t="shared" si="255"/>
        <v>572</v>
      </c>
      <c r="AH2240" s="36"/>
      <c r="AI2240" s="124"/>
      <c r="AJ2240" s="122" t="s">
        <v>2968</v>
      </c>
      <c r="AK2240" s="129" t="str">
        <f t="shared" ca="1" si="254"/>
        <v>On Time</v>
      </c>
      <c r="AL2240" s="268" t="str">
        <f t="shared" si="253"/>
        <v>March</v>
      </c>
      <c r="AM2240" s="133">
        <f>YEAR(Table1[[#This Row],[ETA
As requested
dd.mm.yyyy]])</f>
        <v>2025</v>
      </c>
    </row>
    <row r="2241" spans="1:40" hidden="1">
      <c r="A2241" s="123" t="s">
        <v>83</v>
      </c>
      <c r="B2241" s="36" t="s">
        <v>1170</v>
      </c>
      <c r="C2241" s="117">
        <v>38676312</v>
      </c>
      <c r="D2241" s="165">
        <v>45709</v>
      </c>
      <c r="E2241" s="117" t="s">
        <v>100</v>
      </c>
      <c r="F2241" s="36" t="str">
        <f>IFERROR(VLOOKUP(Table1[[#This Row],[Part Number]],DATABASE_FG!$C$6:D12230,2,FALSE)," ")</f>
        <v>054830877-8011</v>
      </c>
      <c r="G2241" s="117" t="str">
        <f>IFERROR(_xlfn.XLOOKUP(Table1[[#This Row],[Part Number]],Table3[Part number],Table3[Drawing
 Revision]),"")</f>
        <v>AA</v>
      </c>
      <c r="H2241" s="118" cm="1">
        <f t="array" ref="H2241">IFERROR(INDEX(PDB!$C:$AT,MATCH(E2241,PDB!$B:$B,0),MATCH(YEAR(K2241),0+PDB!$C$1:$AT$1,0)),"")</f>
        <v>5.72</v>
      </c>
      <c r="I2241" s="36">
        <v>100</v>
      </c>
      <c r="J2241" s="125">
        <f>IFERROR(Table1[[#This Row],[Quantity]]*Table1[[#This Row],[Price/Unit
EUR]]," ")</f>
        <v>572</v>
      </c>
      <c r="K2241" s="126">
        <v>45748</v>
      </c>
      <c r="L2241" s="36">
        <f>WEEKNUM(Table1[[#This Row],[ETA
As requested
dd.mm.yyyy]])</f>
        <v>14</v>
      </c>
      <c r="M2241" s="36">
        <f>YEAR(Table1[[#This Row],[ETA
As requested
dd.mm.yyyy]])</f>
        <v>2025</v>
      </c>
      <c r="N2241" s="36">
        <f>IFERROR(INDEX(DATABASE_FG!$H$5:$H$367, MATCH(E2241, DATABASE_FG!$C$5:$C$367, 0)), " ")</f>
        <v>0</v>
      </c>
      <c r="O2241" s="129" t="str">
        <f>IF(E2241&lt;&gt;"", _xlfn.XLOOKUP(E2241, DATABASE_FG!C:C, DATABASE_FG!F:F), " ")</f>
        <v>Ghidaje</v>
      </c>
      <c r="P2241" s="36">
        <f>IFERROR(INDEX(DATABASE_FG!$G$5:$G$367, MATCH(E2241, DATABASE_FG!$C$5:$C$367, 0)), "Not Found")</f>
        <v>0</v>
      </c>
      <c r="Q2241" s="36"/>
      <c r="R2241" s="125" t="s">
        <v>678</v>
      </c>
      <c r="S2241" s="123">
        <f>IFERROR(INDEX(DATABASE_FG!$L$5:$L$367, MATCH(E2241, DATABASE_FG!$C$5:$C$367, 0)), " ")</f>
        <v>42</v>
      </c>
      <c r="T2241" s="36" t="s">
        <v>679</v>
      </c>
      <c r="U2241" s="36"/>
      <c r="V2241" s="36"/>
      <c r="W2241" s="129"/>
      <c r="X2241" s="36"/>
      <c r="Y2241" s="36"/>
      <c r="Z2241" s="36"/>
      <c r="AA2241" s="125" t="s">
        <v>121</v>
      </c>
      <c r="AB2241" s="173">
        <v>45748</v>
      </c>
      <c r="AC2241" s="119" t="s">
        <v>3027</v>
      </c>
      <c r="AD2241" s="36">
        <f t="shared" si="251"/>
        <v>38676312</v>
      </c>
      <c r="AE2241" s="36" t="str">
        <f t="shared" si="252"/>
        <v>TK.KWVE20-B-A-L-0038-WW1</v>
      </c>
      <c r="AF2241" s="36">
        <v>100</v>
      </c>
      <c r="AG2241" s="120">
        <f t="shared" si="255"/>
        <v>572</v>
      </c>
      <c r="AH2241" s="36"/>
      <c r="AI2241" s="124"/>
      <c r="AJ2241" s="122" t="s">
        <v>3028</v>
      </c>
      <c r="AK2241" s="129" t="str">
        <f t="shared" ca="1" si="254"/>
        <v>On Time</v>
      </c>
      <c r="AL2241" s="268" t="str">
        <f t="shared" si="253"/>
        <v>April</v>
      </c>
      <c r="AM2241" s="133">
        <f>YEAR(Table1[[#This Row],[ETA
As requested
dd.mm.yyyy]])</f>
        <v>2025</v>
      </c>
    </row>
    <row r="2242" spans="1:40" hidden="1">
      <c r="A2242" s="123" t="s">
        <v>83</v>
      </c>
      <c r="B2242" s="36" t="s">
        <v>1170</v>
      </c>
      <c r="C2242" s="117">
        <v>5410524</v>
      </c>
      <c r="D2242" s="165">
        <v>45734</v>
      </c>
      <c r="E2242" s="117" t="s">
        <v>100</v>
      </c>
      <c r="F2242" s="36" t="str">
        <f>IFERROR(VLOOKUP(Table1[[#This Row],[Part Number]],DATABASE_FG!$C$6:D12231,2,FALSE)," ")</f>
        <v>054830877-8011</v>
      </c>
      <c r="G2242" s="117" t="str">
        <f>IFERROR(_xlfn.XLOOKUP(Table1[[#This Row],[Part Number]],Table3[Part number],Table3[Drawing
 Revision]),"")</f>
        <v>AA</v>
      </c>
      <c r="H2242" s="118" cm="1">
        <f t="array" ref="H2242">IFERROR(INDEX(PDB!$C:$AT,MATCH(E2242,PDB!$B:$B,0),MATCH(YEAR(K2242),0+PDB!$C$1:$AT$1,0)),"")</f>
        <v>5.72</v>
      </c>
      <c r="I2242" s="36">
        <v>53</v>
      </c>
      <c r="J2242" s="125">
        <f>IFERROR(Table1[[#This Row],[Quantity]]*Table1[[#This Row],[Price/Unit
EUR]]," ")</f>
        <v>303.15999999999997</v>
      </c>
      <c r="K2242" s="126">
        <v>45755</v>
      </c>
      <c r="L2242" s="36">
        <f>WEEKNUM(Table1[[#This Row],[ETA
As requested
dd.mm.yyyy]])</f>
        <v>15</v>
      </c>
      <c r="M2242" s="36">
        <f>YEAR(Table1[[#This Row],[ETA
As requested
dd.mm.yyyy]])</f>
        <v>2025</v>
      </c>
      <c r="N2242" s="36">
        <f>IFERROR(INDEX(DATABASE_FG!$H$5:$H$367, MATCH(E2242, DATABASE_FG!$C$5:$C$367, 0)), " ")</f>
        <v>0</v>
      </c>
      <c r="O2242" s="129" t="str">
        <f>IF(E2242&lt;&gt;"", _xlfn.XLOOKUP(E2242, DATABASE_FG!C:C, DATABASE_FG!F:F), " ")</f>
        <v>Ghidaje</v>
      </c>
      <c r="P2242" s="36">
        <f>IFERROR(INDEX(DATABASE_FG!$G$5:$G$367, MATCH(E2242, DATABASE_FG!$C$5:$C$367, 0)), "Not Found")</f>
        <v>0</v>
      </c>
      <c r="Q2242" s="36"/>
      <c r="R2242" s="125" t="s">
        <v>678</v>
      </c>
      <c r="S2242" s="123">
        <f>IFERROR(INDEX(DATABASE_FG!$L$5:$L$367, MATCH(E2242, DATABASE_FG!$C$5:$C$367, 0)), " ")</f>
        <v>42</v>
      </c>
      <c r="T2242" s="36" t="s">
        <v>679</v>
      </c>
      <c r="U2242" s="36"/>
      <c r="V2242" s="36"/>
      <c r="W2242" s="129"/>
      <c r="X2242" s="36"/>
      <c r="Y2242" s="36"/>
      <c r="Z2242" s="36"/>
      <c r="AA2242" s="125" t="s">
        <v>121</v>
      </c>
      <c r="AB2242" s="173">
        <v>45748</v>
      </c>
      <c r="AC2242" s="119" t="s">
        <v>3053</v>
      </c>
      <c r="AD2242" s="36">
        <f t="shared" si="251"/>
        <v>5410524</v>
      </c>
      <c r="AE2242" s="36" t="str">
        <f t="shared" si="252"/>
        <v>TK.KWVE20-B-A-L-0038-WW1</v>
      </c>
      <c r="AF2242" s="36">
        <v>53</v>
      </c>
      <c r="AG2242" s="120">
        <f t="shared" si="255"/>
        <v>303.15999999999997</v>
      </c>
      <c r="AH2242" s="36"/>
      <c r="AI2242" s="124"/>
      <c r="AJ2242" s="122" t="s">
        <v>3054</v>
      </c>
      <c r="AK2242" s="129" t="str">
        <f t="shared" ca="1" si="254"/>
        <v>On Time</v>
      </c>
      <c r="AL2242" s="268" t="str">
        <f t="shared" si="253"/>
        <v>April</v>
      </c>
      <c r="AM2242" s="133">
        <f>YEAR(Table1[[#This Row],[ETA
As requested
dd.mm.yyyy]])</f>
        <v>2025</v>
      </c>
    </row>
    <row r="2243" spans="1:40" hidden="1">
      <c r="A2243" s="123" t="s">
        <v>83</v>
      </c>
      <c r="B2243" s="36" t="s">
        <v>1170</v>
      </c>
      <c r="C2243" s="117">
        <v>5410524</v>
      </c>
      <c r="D2243" s="165">
        <v>45734</v>
      </c>
      <c r="E2243" s="117" t="s">
        <v>100</v>
      </c>
      <c r="F2243" s="36" t="str">
        <f>IFERROR(VLOOKUP(Table1[[#This Row],[Part Number]],DATABASE_FG!$C$6:D12232,2,FALSE)," ")</f>
        <v>054830877-8011</v>
      </c>
      <c r="G2243" s="117" t="str">
        <f>IFERROR(_xlfn.XLOOKUP(Table1[[#This Row],[Part Number]],Table3[Part number],Table3[Drawing
 Revision]),"")</f>
        <v>AA</v>
      </c>
      <c r="H2243" s="118" cm="1">
        <f t="array" ref="H2243">IFERROR(INDEX(PDB!$C:$AT,MATCH(E2243,PDB!$B:$B,0),MATCH(YEAR(K2243),0+PDB!$C$1:$AT$1,0)),"")</f>
        <v>5.72</v>
      </c>
      <c r="I2243" s="36">
        <v>80</v>
      </c>
      <c r="J2243" s="125">
        <f>IFERROR(Table1[[#This Row],[Quantity]]*Table1[[#This Row],[Price/Unit
EUR]]," ")</f>
        <v>457.59999999999997</v>
      </c>
      <c r="K2243" s="126">
        <v>45755</v>
      </c>
      <c r="L2243" s="36">
        <f>WEEKNUM(Table1[[#This Row],[ETA
As requested
dd.mm.yyyy]])</f>
        <v>15</v>
      </c>
      <c r="M2243" s="36">
        <f>YEAR(Table1[[#This Row],[ETA
As requested
dd.mm.yyyy]])</f>
        <v>2025</v>
      </c>
      <c r="N2243" s="36">
        <f>IFERROR(INDEX(DATABASE_FG!$H$5:$H$367, MATCH(E2243, DATABASE_FG!$C$5:$C$367, 0)), " ")</f>
        <v>0</v>
      </c>
      <c r="O2243" s="129" t="str">
        <f>IF(E2243&lt;&gt;"", _xlfn.XLOOKUP(E2243, DATABASE_FG!C:C, DATABASE_FG!F:F), " ")</f>
        <v>Ghidaje</v>
      </c>
      <c r="P2243" s="36">
        <f>IFERROR(INDEX(DATABASE_FG!$G$5:$G$367, MATCH(E2243, DATABASE_FG!$C$5:$C$367, 0)), "Not Found")</f>
        <v>0</v>
      </c>
      <c r="Q2243" s="36"/>
      <c r="R2243" s="125" t="s">
        <v>678</v>
      </c>
      <c r="S2243" s="123">
        <f>IFERROR(INDEX(DATABASE_FG!$L$5:$L$367, MATCH(E2243, DATABASE_FG!$C$5:$C$367, 0)), " ")</f>
        <v>42</v>
      </c>
      <c r="T2243" s="36" t="s">
        <v>679</v>
      </c>
      <c r="U2243" s="36"/>
      <c r="V2243" s="36"/>
      <c r="W2243" s="129"/>
      <c r="X2243" s="36"/>
      <c r="Y2243" s="36"/>
      <c r="Z2243" s="36"/>
      <c r="AA2243" s="125" t="s">
        <v>121</v>
      </c>
      <c r="AB2243" s="173">
        <v>45750</v>
      </c>
      <c r="AC2243" s="119">
        <v>25531</v>
      </c>
      <c r="AD2243" s="36">
        <f t="shared" si="251"/>
        <v>5410524</v>
      </c>
      <c r="AE2243" s="36" t="str">
        <f t="shared" si="252"/>
        <v>TK.KWVE20-B-A-L-0038-WW1</v>
      </c>
      <c r="AF2243" s="36">
        <v>80</v>
      </c>
      <c r="AG2243" s="120">
        <f t="shared" si="255"/>
        <v>457.59999999999997</v>
      </c>
      <c r="AH2243" s="36"/>
      <c r="AI2243" s="124"/>
      <c r="AJ2243" s="122" t="s">
        <v>3059</v>
      </c>
      <c r="AK2243" s="129" t="str">
        <f t="shared" ca="1" si="254"/>
        <v>On Time</v>
      </c>
      <c r="AL2243" s="268" t="str">
        <f t="shared" si="253"/>
        <v>April</v>
      </c>
      <c r="AM2243" s="133">
        <f>YEAR(Table1[[#This Row],[ETA
As requested
dd.mm.yyyy]])</f>
        <v>2025</v>
      </c>
    </row>
    <row r="2244" spans="1:40" hidden="1">
      <c r="A2244" s="123" t="s">
        <v>83</v>
      </c>
      <c r="B2244" s="36" t="s">
        <v>1170</v>
      </c>
      <c r="C2244" s="117">
        <v>5410524</v>
      </c>
      <c r="D2244" s="165">
        <v>45734</v>
      </c>
      <c r="E2244" s="117" t="s">
        <v>100</v>
      </c>
      <c r="F2244" s="36" t="str">
        <f>IFERROR(VLOOKUP(Table1[[#This Row],[Part Number]],DATABASE_FG!$C$6:D12233,2,FALSE)," ")</f>
        <v>054830877-8011</v>
      </c>
      <c r="G2244" s="117" t="str">
        <f>IFERROR(_xlfn.XLOOKUP(Table1[[#This Row],[Part Number]],Table3[Part number],Table3[Drawing
 Revision]),"")</f>
        <v>AA</v>
      </c>
      <c r="H2244" s="118" cm="1">
        <f t="array" ref="H2244">IFERROR(INDEX(PDB!$C:$AT,MATCH(E2244,PDB!$B:$B,0),MATCH(YEAR(K2244),0+PDB!$C$1:$AT$1,0)),"")</f>
        <v>5.72</v>
      </c>
      <c r="I2244" s="36">
        <f>200-53-80</f>
        <v>67</v>
      </c>
      <c r="J2244" s="125">
        <f>IFERROR(Table1[[#This Row],[Quantity]]*Table1[[#This Row],[Price/Unit
EUR]]," ")</f>
        <v>383.24</v>
      </c>
      <c r="K2244" s="126">
        <v>45755</v>
      </c>
      <c r="L2244" s="36">
        <f>WEEKNUM(Table1[[#This Row],[ETA
As requested
dd.mm.yyyy]])</f>
        <v>15</v>
      </c>
      <c r="M2244" s="36">
        <f>YEAR(Table1[[#This Row],[ETA
As requested
dd.mm.yyyy]])</f>
        <v>2025</v>
      </c>
      <c r="N2244" s="36">
        <f>IFERROR(INDEX(DATABASE_FG!$H$5:$H$367, MATCH(E2244, DATABASE_FG!$C$5:$C$367, 0)), " ")</f>
        <v>0</v>
      </c>
      <c r="O2244" s="129" t="str">
        <f>IF(E2244&lt;&gt;"", _xlfn.XLOOKUP(E2244, DATABASE_FG!C:C, DATABASE_FG!F:F), " ")</f>
        <v>Ghidaje</v>
      </c>
      <c r="P2244" s="36">
        <f>IFERROR(INDEX(DATABASE_FG!$G$5:$G$367, MATCH(E2244, DATABASE_FG!$C$5:$C$367, 0)), "Not Found")</f>
        <v>0</v>
      </c>
      <c r="Q2244" s="36"/>
      <c r="R2244" s="125" t="s">
        <v>678</v>
      </c>
      <c r="S2244" s="123">
        <f>IFERROR(INDEX(DATABASE_FG!$L$5:$L$367, MATCH(E2244, DATABASE_FG!$C$5:$C$367, 0)), " ")</f>
        <v>42</v>
      </c>
      <c r="T2244" s="36" t="s">
        <v>679</v>
      </c>
      <c r="U2244" s="36"/>
      <c r="V2244" s="36"/>
      <c r="W2244" s="129"/>
      <c r="X2244" s="36"/>
      <c r="Y2244" s="36"/>
      <c r="Z2244" s="36"/>
      <c r="AA2244" s="125" t="s">
        <v>121</v>
      </c>
      <c r="AB2244" s="173">
        <v>45755</v>
      </c>
      <c r="AC2244" s="119">
        <v>25567</v>
      </c>
      <c r="AD2244" s="36">
        <f t="shared" si="251"/>
        <v>5410524</v>
      </c>
      <c r="AE2244" s="36" t="str">
        <f t="shared" si="252"/>
        <v>TK.KWVE20-B-A-L-0038-WW1</v>
      </c>
      <c r="AF2244" s="36">
        <v>67</v>
      </c>
      <c r="AG2244" s="120">
        <f t="shared" si="255"/>
        <v>383.24</v>
      </c>
      <c r="AH2244" s="36"/>
      <c r="AI2244" s="124"/>
      <c r="AJ2244" s="122" t="s">
        <v>3060</v>
      </c>
      <c r="AK2244" s="129" t="str">
        <f t="shared" ca="1" si="254"/>
        <v>On Time</v>
      </c>
      <c r="AL2244" s="268" t="str">
        <f t="shared" si="253"/>
        <v>April</v>
      </c>
      <c r="AM2244" s="133">
        <f>YEAR(Table1[[#This Row],[ETA
As requested
dd.mm.yyyy]])</f>
        <v>2025</v>
      </c>
    </row>
    <row r="2245" spans="1:40" hidden="1">
      <c r="A2245" s="123" t="s">
        <v>83</v>
      </c>
      <c r="B2245" s="36" t="s">
        <v>1170</v>
      </c>
      <c r="C2245" s="117">
        <v>5410524</v>
      </c>
      <c r="D2245" s="165">
        <v>45734</v>
      </c>
      <c r="E2245" s="117" t="s">
        <v>100</v>
      </c>
      <c r="F2245" s="36" t="str">
        <f>IFERROR(VLOOKUP(Table1[[#This Row],[Part Number]],DATABASE_FG!$C$6:D12234,2,FALSE)," ")</f>
        <v>054830877-8011</v>
      </c>
      <c r="G2245" s="117" t="str">
        <f>IFERROR(_xlfn.XLOOKUP(Table1[[#This Row],[Part Number]],Table3[Part number],Table3[Drawing
 Revision]),"")</f>
        <v>AA</v>
      </c>
      <c r="H2245" s="118" cm="1">
        <f t="array" ref="H2245">IFERROR(INDEX(PDB!$C:$AT,MATCH(E2245,PDB!$B:$B,0),MATCH(YEAR(K2245),0+PDB!$C$1:$AT$1,0)),"")</f>
        <v>5.72</v>
      </c>
      <c r="I2245" s="36">
        <v>200</v>
      </c>
      <c r="J2245" s="125">
        <f>IFERROR(Table1[[#This Row],[Quantity]]*Table1[[#This Row],[Price/Unit
EUR]]," ")</f>
        <v>1144</v>
      </c>
      <c r="K2245" s="126">
        <v>45762</v>
      </c>
      <c r="L2245" s="36">
        <f>WEEKNUM(Table1[[#This Row],[ETA
As requested
dd.mm.yyyy]])</f>
        <v>16</v>
      </c>
      <c r="M2245" s="36">
        <f>YEAR(Table1[[#This Row],[ETA
As requested
dd.mm.yyyy]])</f>
        <v>2025</v>
      </c>
      <c r="N2245" s="36">
        <f>IFERROR(INDEX(DATABASE_FG!$H$5:$H$367, MATCH(E2245, DATABASE_FG!$C$5:$C$367, 0)), " ")</f>
        <v>0</v>
      </c>
      <c r="O2245" s="129" t="str">
        <f>IF(E2245&lt;&gt;"", _xlfn.XLOOKUP(E2245, DATABASE_FG!C:C, DATABASE_FG!F:F), " ")</f>
        <v>Ghidaje</v>
      </c>
      <c r="P2245" s="36">
        <f>IFERROR(INDEX(DATABASE_FG!$G$5:$G$367, MATCH(E2245, DATABASE_FG!$C$5:$C$367, 0)), "Not Found")</f>
        <v>0</v>
      </c>
      <c r="Q2245" s="36"/>
      <c r="R2245" s="125" t="s">
        <v>678</v>
      </c>
      <c r="S2245" s="123">
        <f>IFERROR(INDEX(DATABASE_FG!$L$5:$L$367, MATCH(E2245, DATABASE_FG!$C$5:$C$367, 0)), " ")</f>
        <v>42</v>
      </c>
      <c r="T2245" s="36" t="s">
        <v>679</v>
      </c>
      <c r="U2245" s="36"/>
      <c r="V2245" s="36"/>
      <c r="W2245" s="129"/>
      <c r="X2245" s="36"/>
      <c r="Y2245" s="36"/>
      <c r="Z2245" s="36"/>
      <c r="AA2245" s="125" t="s">
        <v>121</v>
      </c>
      <c r="AB2245" s="173">
        <v>45755</v>
      </c>
      <c r="AC2245" s="119">
        <v>25567</v>
      </c>
      <c r="AD2245" s="36">
        <f t="shared" si="251"/>
        <v>5410524</v>
      </c>
      <c r="AE2245" s="36" t="str">
        <f t="shared" si="252"/>
        <v>TK.KWVE20-B-A-L-0038-WW1</v>
      </c>
      <c r="AF2245" s="36">
        <v>200</v>
      </c>
      <c r="AG2245" s="120">
        <f t="shared" si="255"/>
        <v>1144</v>
      </c>
      <c r="AH2245" s="36"/>
      <c r="AI2245" s="124"/>
      <c r="AJ2245" s="122" t="s">
        <v>3060</v>
      </c>
      <c r="AK2245" s="129" t="str">
        <f t="shared" ca="1" si="254"/>
        <v>On Time</v>
      </c>
      <c r="AL2245" s="268" t="str">
        <f t="shared" si="253"/>
        <v>April</v>
      </c>
      <c r="AM2245" s="133">
        <f>YEAR(Table1[[#This Row],[ETA
As requested
dd.mm.yyyy]])</f>
        <v>2025</v>
      </c>
    </row>
    <row r="2246" spans="1:40" hidden="1">
      <c r="A2246" s="123" t="s">
        <v>83</v>
      </c>
      <c r="B2246" s="36" t="s">
        <v>1170</v>
      </c>
      <c r="C2246" s="117">
        <v>5410524</v>
      </c>
      <c r="D2246" s="165">
        <v>45734</v>
      </c>
      <c r="E2246" s="117" t="s">
        <v>100</v>
      </c>
      <c r="F2246" s="36" t="str">
        <f>IFERROR(VLOOKUP(Table1[[#This Row],[Part Number]],DATABASE_FG!$C$6:D12235,2,FALSE)," ")</f>
        <v>054830877-8011</v>
      </c>
      <c r="G2246" s="117" t="str">
        <f>IFERROR(_xlfn.XLOOKUP(Table1[[#This Row],[Part Number]],Table3[Part number],Table3[Drawing
 Revision]),"")</f>
        <v>AA</v>
      </c>
      <c r="H2246" s="118" cm="1">
        <f t="array" ref="H2246">IFERROR(INDEX(PDB!$C:$AT,MATCH(E2246,PDB!$B:$B,0),MATCH(YEAR(K2246),0+PDB!$C$1:$AT$1,0)),"")</f>
        <v>5.72</v>
      </c>
      <c r="I2246" s="36">
        <v>36</v>
      </c>
      <c r="J2246" s="125">
        <f>IFERROR(Table1[[#This Row],[Quantity]]*Table1[[#This Row],[Price/Unit
EUR]]," ")</f>
        <v>205.92</v>
      </c>
      <c r="K2246" s="126">
        <v>45769</v>
      </c>
      <c r="L2246" s="36">
        <f>WEEKNUM(Table1[[#This Row],[ETA
As requested
dd.mm.yyyy]])</f>
        <v>17</v>
      </c>
      <c r="M2246" s="36">
        <f>YEAR(Table1[[#This Row],[ETA
As requested
dd.mm.yyyy]])</f>
        <v>2025</v>
      </c>
      <c r="N2246" s="36">
        <f>IFERROR(INDEX(DATABASE_FG!$H$5:$H$367, MATCH(E2246, DATABASE_FG!$C$5:$C$367, 0)), " ")</f>
        <v>0</v>
      </c>
      <c r="O2246" s="129" t="str">
        <f>IF(E2246&lt;&gt;"", _xlfn.XLOOKUP(E2246, DATABASE_FG!C:C, DATABASE_FG!F:F), " ")</f>
        <v>Ghidaje</v>
      </c>
      <c r="P2246" s="36">
        <f>IFERROR(INDEX(DATABASE_FG!$G$5:$G$367, MATCH(E2246, DATABASE_FG!$C$5:$C$367, 0)), "Not Found")</f>
        <v>0</v>
      </c>
      <c r="Q2246" s="36"/>
      <c r="R2246" s="125" t="s">
        <v>678</v>
      </c>
      <c r="S2246" s="123">
        <f>IFERROR(INDEX(DATABASE_FG!$L$5:$L$367, MATCH(E2246, DATABASE_FG!$C$5:$C$367, 0)), " ")</f>
        <v>42</v>
      </c>
      <c r="T2246" s="36" t="s">
        <v>679</v>
      </c>
      <c r="U2246" s="36"/>
      <c r="V2246" s="36"/>
      <c r="W2246" s="129"/>
      <c r="X2246" s="36"/>
      <c r="Y2246" s="36"/>
      <c r="Z2246" s="36"/>
      <c r="AA2246" s="125" t="s">
        <v>121</v>
      </c>
      <c r="AB2246" s="173">
        <v>45755</v>
      </c>
      <c r="AC2246" s="119">
        <v>25567</v>
      </c>
      <c r="AD2246" s="36">
        <f t="shared" si="251"/>
        <v>5410524</v>
      </c>
      <c r="AE2246" s="36" t="str">
        <f t="shared" si="252"/>
        <v>TK.KWVE20-B-A-L-0038-WW1</v>
      </c>
      <c r="AF2246" s="36">
        <v>36</v>
      </c>
      <c r="AG2246" s="120">
        <f t="shared" si="255"/>
        <v>205.92</v>
      </c>
      <c r="AH2246" s="36"/>
      <c r="AI2246" s="124"/>
      <c r="AJ2246" s="122" t="s">
        <v>3060</v>
      </c>
      <c r="AK2246" s="129" t="str">
        <f t="shared" ca="1" si="254"/>
        <v>On Time</v>
      </c>
      <c r="AL2246" s="268" t="str">
        <f t="shared" si="253"/>
        <v>April</v>
      </c>
      <c r="AM2246" s="133">
        <f>YEAR(Table1[[#This Row],[ETA
As requested
dd.mm.yyyy]])</f>
        <v>2025</v>
      </c>
    </row>
    <row r="2247" spans="1:40" s="233" customFormat="1" hidden="1">
      <c r="A2247" s="123" t="s">
        <v>83</v>
      </c>
      <c r="B2247" s="36" t="s">
        <v>1170</v>
      </c>
      <c r="C2247" s="117">
        <v>5410524</v>
      </c>
      <c r="D2247" s="165">
        <v>45734</v>
      </c>
      <c r="E2247" s="117" t="s">
        <v>100</v>
      </c>
      <c r="F2247" s="36" t="str">
        <f>IFERROR(VLOOKUP(Table1[[#This Row],[Part Number]],DATABASE_FG!$C$6:D12236,2,FALSE)," ")</f>
        <v>054830877-8011</v>
      </c>
      <c r="G2247" s="117" t="str">
        <f>IFERROR(_xlfn.XLOOKUP(Table1[[#This Row],[Part Number]],Table3[Part number],Table3[Drawing
 Revision]),"")</f>
        <v>AA</v>
      </c>
      <c r="H2247" s="118" cm="1">
        <f t="array" ref="H2247">IFERROR(INDEX(PDB!$C:$AT,MATCH(E2247,PDB!$B:$B,0),MATCH(YEAR(K2247),0+PDB!$C$1:$AT$1,0)),"")</f>
        <v>5.72</v>
      </c>
      <c r="I2247" s="36">
        <v>154</v>
      </c>
      <c r="J2247" s="125">
        <f>IFERROR(Table1[[#This Row],[Quantity]]*Table1[[#This Row],[Price/Unit
EUR]]," ")</f>
        <v>880.88</v>
      </c>
      <c r="K2247" s="126">
        <v>45769</v>
      </c>
      <c r="L2247" s="36">
        <f>WEEKNUM(Table1[[#This Row],[ETA
As requested
dd.mm.yyyy]])</f>
        <v>17</v>
      </c>
      <c r="M2247" s="36">
        <f>YEAR(Table1[[#This Row],[ETA
As requested
dd.mm.yyyy]])</f>
        <v>2025</v>
      </c>
      <c r="N2247" s="36">
        <f>IFERROR(INDEX(DATABASE_FG!$H$5:$H$367, MATCH(E2247, DATABASE_FG!$C$5:$C$367, 0)), " ")</f>
        <v>0</v>
      </c>
      <c r="O2247" s="129" t="str">
        <f>IF(E2247&lt;&gt;"", _xlfn.XLOOKUP(E2247, DATABASE_FG!C:C, DATABASE_FG!F:F), " ")</f>
        <v>Ghidaje</v>
      </c>
      <c r="P2247" s="36">
        <f>IFERROR(INDEX(DATABASE_FG!$G$5:$G$367, MATCH(E2247, DATABASE_FG!$C$5:$C$367, 0)), "Not Found")</f>
        <v>0</v>
      </c>
      <c r="Q2247" s="36"/>
      <c r="R2247" s="125" t="s">
        <v>678</v>
      </c>
      <c r="S2247" s="123">
        <f>IFERROR(INDEX(DATABASE_FG!$L$5:$L$367, MATCH(E2247, DATABASE_FG!$C$5:$C$367, 0)), " ")</f>
        <v>42</v>
      </c>
      <c r="T2247" s="36" t="s">
        <v>679</v>
      </c>
      <c r="U2247" s="36"/>
      <c r="V2247" s="36"/>
      <c r="W2247" s="129"/>
      <c r="X2247" s="36"/>
      <c r="Y2247" s="36"/>
      <c r="Z2247" s="36"/>
      <c r="AA2247" s="125" t="s">
        <v>121</v>
      </c>
      <c r="AB2247" s="173">
        <v>45762</v>
      </c>
      <c r="AC2247" s="119">
        <v>25607</v>
      </c>
      <c r="AD2247" s="36">
        <f t="shared" si="251"/>
        <v>5410524</v>
      </c>
      <c r="AE2247" s="36" t="str">
        <f t="shared" si="252"/>
        <v>TK.KWVE20-B-A-L-0038-WW1</v>
      </c>
      <c r="AF2247" s="36">
        <v>154</v>
      </c>
      <c r="AG2247" s="120">
        <f t="shared" si="255"/>
        <v>880.88</v>
      </c>
      <c r="AH2247" s="36"/>
      <c r="AI2247" s="124"/>
      <c r="AJ2247" t="s">
        <v>3103</v>
      </c>
      <c r="AK2247" s="129" t="str">
        <f t="shared" ca="1" si="254"/>
        <v>On Time</v>
      </c>
      <c r="AL2247" s="268" t="str">
        <f t="shared" si="253"/>
        <v>April</v>
      </c>
      <c r="AM2247" s="133">
        <f>YEAR(Table1[[#This Row],[ETA
As requested
dd.mm.yyyy]])</f>
        <v>2025</v>
      </c>
      <c r="AN2247"/>
    </row>
    <row r="2248" spans="1:40" hidden="1">
      <c r="A2248" s="123" t="s">
        <v>83</v>
      </c>
      <c r="B2248" s="36" t="s">
        <v>1170</v>
      </c>
      <c r="C2248" s="117">
        <v>5410524</v>
      </c>
      <c r="D2248" s="165">
        <v>45777</v>
      </c>
      <c r="E2248" s="117" t="s">
        <v>100</v>
      </c>
      <c r="F2248" s="36" t="str">
        <f>IFERROR(VLOOKUP(Table1[[#This Row],[Part Number]],DATABASE_FG!$C$6:D12237,2,FALSE)," ")</f>
        <v>054830877-8011</v>
      </c>
      <c r="G2248" s="117" t="str">
        <f>IFERROR(_xlfn.XLOOKUP(Table1[[#This Row],[Part Number]],Table3[Part number],Table3[Drawing
 Revision]),"")</f>
        <v>AA</v>
      </c>
      <c r="H2248" s="118" cm="1">
        <f t="array" ref="H2248">IFERROR(INDEX(PDB!$C:$AT,MATCH(E2248,PDB!$B:$B,0),MATCH(YEAR(K2248),0+PDB!$C$1:$AT$1,0)),"")</f>
        <v>5.72</v>
      </c>
      <c r="I2248" s="36">
        <v>300</v>
      </c>
      <c r="J2248" s="125">
        <f>IFERROR(Table1[[#This Row],[Quantity]]*Table1[[#This Row],[Price/Unit
EUR]]," ")</f>
        <v>1716</v>
      </c>
      <c r="K2248" s="126">
        <v>45782</v>
      </c>
      <c r="L2248" s="36">
        <f>WEEKNUM(Table1[[#This Row],[ETA
As requested
dd.mm.yyyy]])</f>
        <v>19</v>
      </c>
      <c r="M2248" s="36">
        <f>YEAR(Table1[[#This Row],[ETA
As requested
dd.mm.yyyy]])</f>
        <v>2025</v>
      </c>
      <c r="N2248" s="36">
        <f>IFERROR(INDEX(DATABASE_FG!$H$5:$H$367, MATCH(E2248, DATABASE_FG!$C$5:$C$367, 0)), " ")</f>
        <v>0</v>
      </c>
      <c r="O2248" s="129" t="str">
        <f>IF(E2248&lt;&gt;"", _xlfn.XLOOKUP(E2248, DATABASE_FG!C:C, DATABASE_FG!F:F), " ")</f>
        <v>Ghidaje</v>
      </c>
      <c r="P2248" s="36">
        <f>IFERROR(INDEX(DATABASE_FG!$G$5:$G$367, MATCH(E2248, DATABASE_FG!$C$5:$C$367, 0)), "Not Found")</f>
        <v>0</v>
      </c>
      <c r="Q2248" s="36"/>
      <c r="R2248" s="125" t="s">
        <v>678</v>
      </c>
      <c r="S2248" s="123">
        <f>IFERROR(INDEX(DATABASE_FG!$L$5:$L$367, MATCH(E2248, DATABASE_FG!$C$5:$C$367, 0)), " ")</f>
        <v>42</v>
      </c>
      <c r="T2248" s="36" t="s">
        <v>679</v>
      </c>
      <c r="U2248" s="36"/>
      <c r="V2248" s="36"/>
      <c r="W2248" s="129"/>
      <c r="X2248" s="36"/>
      <c r="Y2248" s="36"/>
      <c r="Z2248" s="36"/>
      <c r="AA2248" s="125" t="s">
        <v>121</v>
      </c>
      <c r="AB2248" s="173">
        <v>45783</v>
      </c>
      <c r="AC2248" s="119">
        <v>25727</v>
      </c>
      <c r="AD2248" s="36">
        <f t="shared" si="251"/>
        <v>5410524</v>
      </c>
      <c r="AE2248" s="36" t="str">
        <f t="shared" si="252"/>
        <v>TK.KWVE20-B-A-L-0038-WW1</v>
      </c>
      <c r="AF2248" s="36">
        <v>300</v>
      </c>
      <c r="AG2248" s="120">
        <f t="shared" si="255"/>
        <v>1716</v>
      </c>
      <c r="AH2248" s="36"/>
      <c r="AI2248" s="124"/>
      <c r="AJ2248" s="122" t="s">
        <v>3143</v>
      </c>
      <c r="AK2248" s="129" t="str">
        <f t="shared" ca="1" si="254"/>
        <v>On Time</v>
      </c>
      <c r="AL2248" s="268" t="str">
        <f t="shared" si="253"/>
        <v>May</v>
      </c>
      <c r="AM2248" s="133">
        <f>YEAR(Table1[[#This Row],[ETA
As requested
dd.mm.yyyy]])</f>
        <v>2025</v>
      </c>
    </row>
    <row r="2249" spans="1:40" hidden="1">
      <c r="A2249" s="123" t="s">
        <v>83</v>
      </c>
      <c r="B2249" s="36" t="s">
        <v>1170</v>
      </c>
      <c r="C2249" s="117">
        <v>5410524</v>
      </c>
      <c r="D2249" s="165">
        <v>45777</v>
      </c>
      <c r="E2249" s="117" t="s">
        <v>100</v>
      </c>
      <c r="F2249" s="36" t="str">
        <f>IFERROR(VLOOKUP(Table1[[#This Row],[Part Number]],DATABASE_FG!$C$6:D12238,2,FALSE)," ")</f>
        <v>054830877-8011</v>
      </c>
      <c r="G2249" s="117" t="str">
        <f>IFERROR(_xlfn.XLOOKUP(Table1[[#This Row],[Part Number]],Table3[Part number],Table3[Drawing
 Revision]),"")</f>
        <v>AA</v>
      </c>
      <c r="H2249" s="118" cm="1">
        <f t="array" ref="H2249">IFERROR(INDEX(PDB!$C:$AT,MATCH(E2249,PDB!$B:$B,0),MATCH(YEAR(K2249),0+PDB!$C$1:$AT$1,0)),"")</f>
        <v>5.72</v>
      </c>
      <c r="I2249" s="36">
        <v>240</v>
      </c>
      <c r="J2249" s="125">
        <f>IFERROR(Table1[[#This Row],[Quantity]]*Table1[[#This Row],[Price/Unit
EUR]]," ")</f>
        <v>1372.8</v>
      </c>
      <c r="K2249" s="126">
        <v>45789</v>
      </c>
      <c r="L2249" s="36">
        <f>WEEKNUM(Table1[[#This Row],[ETA
As requested
dd.mm.yyyy]])</f>
        <v>20</v>
      </c>
      <c r="M2249" s="36">
        <f>YEAR(Table1[[#This Row],[ETA
As requested
dd.mm.yyyy]])</f>
        <v>2025</v>
      </c>
      <c r="N2249" s="36">
        <f>IFERROR(INDEX(DATABASE_FG!$H$5:$H$367, MATCH(E2249, DATABASE_FG!$C$5:$C$367, 0)), " ")</f>
        <v>0</v>
      </c>
      <c r="O2249" s="129" t="str">
        <f>IF(E2249&lt;&gt;"", _xlfn.XLOOKUP(E2249, DATABASE_FG!C:C, DATABASE_FG!F:F), " ")</f>
        <v>Ghidaje</v>
      </c>
      <c r="P2249" s="36">
        <f>IFERROR(INDEX(DATABASE_FG!$G$5:$G$367, MATCH(E2249, DATABASE_FG!$C$5:$C$367, 0)), "Not Found")</f>
        <v>0</v>
      </c>
      <c r="Q2249" s="36"/>
      <c r="R2249" s="125" t="s">
        <v>678</v>
      </c>
      <c r="S2249" s="123">
        <f>IFERROR(INDEX(DATABASE_FG!$L$5:$L$367, MATCH(E2249, DATABASE_FG!$C$5:$C$367, 0)), " ")</f>
        <v>42</v>
      </c>
      <c r="T2249" s="36" t="s">
        <v>679</v>
      </c>
      <c r="U2249" s="36"/>
      <c r="V2249" s="36"/>
      <c r="W2249" s="129"/>
      <c r="X2249" s="36"/>
      <c r="Y2249" s="36"/>
      <c r="Z2249" s="36"/>
      <c r="AA2249" s="125" t="s">
        <v>121</v>
      </c>
      <c r="AB2249" s="172">
        <v>45783</v>
      </c>
      <c r="AC2249" s="119">
        <v>25727</v>
      </c>
      <c r="AD2249" s="36">
        <f t="shared" si="251"/>
        <v>5410524</v>
      </c>
      <c r="AE2249" s="36" t="str">
        <f t="shared" si="252"/>
        <v>TK.KWVE20-B-A-L-0038-WW1</v>
      </c>
      <c r="AF2249" s="36">
        <v>240</v>
      </c>
      <c r="AG2249" s="120">
        <f t="shared" si="255"/>
        <v>1372.8</v>
      </c>
      <c r="AH2249" s="36"/>
      <c r="AI2249" s="124"/>
      <c r="AJ2249" s="122" t="s">
        <v>3143</v>
      </c>
      <c r="AK2249" s="129" t="str">
        <f t="shared" ca="1" si="254"/>
        <v>On Time</v>
      </c>
      <c r="AL2249" s="268" t="str">
        <f t="shared" si="253"/>
        <v>May</v>
      </c>
      <c r="AM2249" s="133">
        <f>YEAR(Table1[[#This Row],[ETA
As requested
dd.mm.yyyy]])</f>
        <v>2025</v>
      </c>
    </row>
    <row r="2250" spans="1:40" hidden="1">
      <c r="A2250" s="123" t="s">
        <v>83</v>
      </c>
      <c r="B2250" s="36" t="s">
        <v>1170</v>
      </c>
      <c r="C2250" s="117">
        <v>5410524</v>
      </c>
      <c r="D2250" s="165">
        <v>45777</v>
      </c>
      <c r="E2250" s="117" t="s">
        <v>100</v>
      </c>
      <c r="F2250" s="36" t="str">
        <f>IFERROR(VLOOKUP(Table1[[#This Row],[Part Number]],DATABASE_FG!$C$6:D12239,2,FALSE)," ")</f>
        <v>054830877-8011</v>
      </c>
      <c r="G2250" s="117" t="str">
        <f>IFERROR(_xlfn.XLOOKUP(Table1[[#This Row],[Part Number]],Table3[Part number],Table3[Drawing
 Revision]),"")</f>
        <v>AA</v>
      </c>
      <c r="H2250" s="118" cm="1">
        <f t="array" ref="H2250">IFERROR(INDEX(PDB!$C:$AT,MATCH(E2250,PDB!$B:$B,0),MATCH(YEAR(K2250),0+PDB!$C$1:$AT$1,0)),"")</f>
        <v>5.72</v>
      </c>
      <c r="I2250" s="36">
        <v>64</v>
      </c>
      <c r="J2250" s="125">
        <f>IFERROR(Table1[[#This Row],[Quantity]]*Table1[[#This Row],[Price/Unit
EUR]]," ")</f>
        <v>366.08</v>
      </c>
      <c r="K2250" s="126">
        <v>45789</v>
      </c>
      <c r="L2250" s="36">
        <f>WEEKNUM(Table1[[#This Row],[ETA
As requested
dd.mm.yyyy]])</f>
        <v>20</v>
      </c>
      <c r="M2250" s="36">
        <f>YEAR(Table1[[#This Row],[ETA
As requested
dd.mm.yyyy]])</f>
        <v>2025</v>
      </c>
      <c r="N2250" s="36">
        <f>IFERROR(INDEX(DATABASE_FG!$H$5:$H$367, MATCH(E2250, DATABASE_FG!$C$5:$C$367, 0)), " ")</f>
        <v>0</v>
      </c>
      <c r="O2250" s="129" t="str">
        <f>IF(E2250&lt;&gt;"", _xlfn.XLOOKUP(E2250, DATABASE_FG!C:C, DATABASE_FG!F:F), " ")</f>
        <v>Ghidaje</v>
      </c>
      <c r="P2250" s="36">
        <f>IFERROR(INDEX(DATABASE_FG!$G$5:$G$367, MATCH(E2250, DATABASE_FG!$C$5:$C$367, 0)), "Not Found")</f>
        <v>0</v>
      </c>
      <c r="Q2250" s="36"/>
      <c r="R2250" s="125" t="s">
        <v>678</v>
      </c>
      <c r="S2250" s="123">
        <f>IFERROR(INDEX(DATABASE_FG!$L$5:$L$367, MATCH(E2250, DATABASE_FG!$C$5:$C$367, 0)), " ")</f>
        <v>42</v>
      </c>
      <c r="T2250" s="36" t="s">
        <v>679</v>
      </c>
      <c r="U2250" s="36"/>
      <c r="V2250" s="36"/>
      <c r="W2250" s="129"/>
      <c r="X2250" s="36"/>
      <c r="Y2250" s="36"/>
      <c r="Z2250" s="36"/>
      <c r="AA2250" s="125" t="s">
        <v>121</v>
      </c>
      <c r="AB2250" s="173">
        <v>45825</v>
      </c>
      <c r="AC2250" s="119">
        <v>25943</v>
      </c>
      <c r="AD2250" s="36">
        <f t="shared" si="251"/>
        <v>5410524</v>
      </c>
      <c r="AE2250" s="36" t="str">
        <f t="shared" si="252"/>
        <v>TK.KWVE20-B-A-L-0038-WW1</v>
      </c>
      <c r="AF2250" s="36">
        <v>64</v>
      </c>
      <c r="AG2250" s="120">
        <f t="shared" si="255"/>
        <v>366.08</v>
      </c>
      <c r="AH2250" s="36"/>
      <c r="AI2250" s="124"/>
      <c r="AJ2250" s="122" t="s">
        <v>3187</v>
      </c>
      <c r="AK2250" s="129" t="str">
        <f t="shared" ca="1" si="254"/>
        <v>Late</v>
      </c>
      <c r="AL2250" s="268" t="str">
        <f t="shared" si="253"/>
        <v>May</v>
      </c>
      <c r="AM2250" s="133">
        <f>YEAR(Table1[[#This Row],[ETA
As requested
dd.mm.yyyy]])</f>
        <v>2025</v>
      </c>
    </row>
    <row r="2251" spans="1:40" hidden="1">
      <c r="A2251" s="123" t="s">
        <v>83</v>
      </c>
      <c r="B2251" s="36" t="s">
        <v>1170</v>
      </c>
      <c r="C2251" s="117">
        <v>5410524</v>
      </c>
      <c r="D2251" s="165">
        <v>45777</v>
      </c>
      <c r="E2251" s="117" t="s">
        <v>100</v>
      </c>
      <c r="F2251" s="36" t="str">
        <f>IFERROR(VLOOKUP(Table1[[#This Row],[Part Number]],DATABASE_FG!$C$6:D12240,2,FALSE)," ")</f>
        <v>054830877-8011</v>
      </c>
      <c r="G2251" s="117" t="str">
        <f>IFERROR(_xlfn.XLOOKUP(Table1[[#This Row],[Part Number]],Table3[Part number],Table3[Drawing
 Revision]),"")</f>
        <v>AA</v>
      </c>
      <c r="H2251" s="118" cm="1">
        <f t="array" ref="H2251">IFERROR(INDEX(PDB!$C:$AT,MATCH(E2251,PDB!$B:$B,0),MATCH(YEAR(K2251),0+PDB!$C$1:$AT$1,0)),"")</f>
        <v>5.72</v>
      </c>
      <c r="I2251" s="36">
        <v>80</v>
      </c>
      <c r="J2251" s="125">
        <f>IFERROR(Table1[[#This Row],[Quantity]]*Table1[[#This Row],[Price/Unit
EUR]]," ")</f>
        <v>457.59999999999997</v>
      </c>
      <c r="K2251" s="126">
        <v>45789</v>
      </c>
      <c r="L2251" s="36">
        <f>WEEKNUM(Table1[[#This Row],[ETA
As requested
dd.mm.yyyy]])</f>
        <v>20</v>
      </c>
      <c r="M2251" s="36">
        <f>YEAR(Table1[[#This Row],[ETA
As requested
dd.mm.yyyy]])</f>
        <v>2025</v>
      </c>
      <c r="N2251" s="36">
        <f>IFERROR(INDEX(DATABASE_FG!$H$5:$H$367, MATCH(E2251, DATABASE_FG!$C$5:$C$367, 0)), " ")</f>
        <v>0</v>
      </c>
      <c r="O2251" s="129" t="str">
        <f>IF(E2251&lt;&gt;"", _xlfn.XLOOKUP(E2251, DATABASE_FG!C:C, DATABASE_FG!F:F), " ")</f>
        <v>Ghidaje</v>
      </c>
      <c r="P2251" s="36">
        <f>IFERROR(INDEX(DATABASE_FG!$G$5:$G$367, MATCH(E2251, DATABASE_FG!$C$5:$C$367, 0)), "Not Found")</f>
        <v>0</v>
      </c>
      <c r="Q2251" s="36"/>
      <c r="R2251" s="125" t="s">
        <v>678</v>
      </c>
      <c r="S2251" s="123">
        <f>IFERROR(INDEX(DATABASE_FG!$L$5:$L$367, MATCH(E2251, DATABASE_FG!$C$5:$C$367, 0)), " ")</f>
        <v>42</v>
      </c>
      <c r="T2251" s="36" t="s">
        <v>679</v>
      </c>
      <c r="U2251" s="36"/>
      <c r="V2251" s="36"/>
      <c r="W2251" s="129"/>
      <c r="X2251" s="36"/>
      <c r="Y2251" s="36"/>
      <c r="Z2251" s="36"/>
      <c r="AA2251" s="125" t="s">
        <v>121</v>
      </c>
      <c r="AB2251" s="173">
        <v>45827</v>
      </c>
      <c r="AC2251" s="119">
        <v>25952</v>
      </c>
      <c r="AD2251" s="36">
        <f t="shared" si="251"/>
        <v>5410524</v>
      </c>
      <c r="AE2251" s="36" t="str">
        <f t="shared" si="252"/>
        <v>TK.KWVE20-B-A-L-0038-WW1</v>
      </c>
      <c r="AF2251" s="36">
        <v>80</v>
      </c>
      <c r="AG2251" s="120">
        <f t="shared" si="255"/>
        <v>457.59999999999997</v>
      </c>
      <c r="AH2251" s="36"/>
      <c r="AI2251" s="124"/>
      <c r="AJ2251" s="122" t="s">
        <v>3189</v>
      </c>
      <c r="AK2251" s="129" t="str">
        <f t="shared" ca="1" si="254"/>
        <v>Late</v>
      </c>
      <c r="AL2251" s="268" t="str">
        <f t="shared" si="253"/>
        <v>May</v>
      </c>
      <c r="AM2251" s="133">
        <f>YEAR(Table1[[#This Row],[ETA
As requested
dd.mm.yyyy]])</f>
        <v>2025</v>
      </c>
    </row>
    <row r="2252" spans="1:40" hidden="1">
      <c r="A2252" s="123" t="s">
        <v>83</v>
      </c>
      <c r="B2252" s="36" t="s">
        <v>1170</v>
      </c>
      <c r="C2252" s="117">
        <v>5410524</v>
      </c>
      <c r="D2252" s="165">
        <v>45777</v>
      </c>
      <c r="E2252" s="117" t="s">
        <v>100</v>
      </c>
      <c r="F2252" s="36" t="str">
        <f>IFERROR(VLOOKUP(Table1[[#This Row],[Part Number]],DATABASE_FG!$C$6:D12241,2,FALSE)," ")</f>
        <v>054830877-8011</v>
      </c>
      <c r="G2252" s="117" t="str">
        <f>IFERROR(_xlfn.XLOOKUP(Table1[[#This Row],[Part Number]],Table3[Part number],Table3[Drawing
 Revision]),"")</f>
        <v>AA</v>
      </c>
      <c r="H2252" s="118" cm="1">
        <f t="array" ref="H2252">IFERROR(INDEX(PDB!$C:$AT,MATCH(E2252,PDB!$B:$B,0),MATCH(YEAR(K2252),0+PDB!$C$1:$AT$1,0)),"")</f>
        <v>5.72</v>
      </c>
      <c r="I2252" s="36">
        <v>97</v>
      </c>
      <c r="J2252" s="125">
        <f>IFERROR(Table1[[#This Row],[Quantity]]*Table1[[#This Row],[Price/Unit
EUR]]," ")</f>
        <v>554.84</v>
      </c>
      <c r="K2252" s="126">
        <v>45789</v>
      </c>
      <c r="L2252" s="36">
        <f>WEEKNUM(Table1[[#This Row],[ETA
As requested
dd.mm.yyyy]])</f>
        <v>20</v>
      </c>
      <c r="M2252" s="36">
        <f>YEAR(Table1[[#This Row],[ETA
As requested
dd.mm.yyyy]])</f>
        <v>2025</v>
      </c>
      <c r="N2252" s="36">
        <f>IFERROR(INDEX(DATABASE_FG!$H$5:$H$367, MATCH(E2252, DATABASE_FG!$C$5:$C$367, 0)), " ")</f>
        <v>0</v>
      </c>
      <c r="O2252" s="129" t="str">
        <f>IF(E2252&lt;&gt;"", _xlfn.XLOOKUP(E2252, DATABASE_FG!C:C, DATABASE_FG!F:F), " ")</f>
        <v>Ghidaje</v>
      </c>
      <c r="P2252" s="36">
        <f>IFERROR(INDEX(DATABASE_FG!$G$5:$G$367, MATCH(E2252, DATABASE_FG!$C$5:$C$367, 0)), "Not Found")</f>
        <v>0</v>
      </c>
      <c r="Q2252" s="36"/>
      <c r="R2252" s="125" t="s">
        <v>678</v>
      </c>
      <c r="S2252" s="123">
        <f>IFERROR(INDEX(DATABASE_FG!$L$5:$L$367, MATCH(E2252, DATABASE_FG!$C$5:$C$367, 0)), " ")</f>
        <v>42</v>
      </c>
      <c r="T2252" s="36" t="s">
        <v>679</v>
      </c>
      <c r="U2252" s="36"/>
      <c r="V2252" s="36"/>
      <c r="W2252" s="129"/>
      <c r="X2252" s="36"/>
      <c r="Y2252" s="36"/>
      <c r="Z2252" s="36"/>
      <c r="AA2252" s="125" t="s">
        <v>121</v>
      </c>
      <c r="AB2252" s="173">
        <v>45828</v>
      </c>
      <c r="AC2252" s="119">
        <v>25958</v>
      </c>
      <c r="AD2252" s="36">
        <f t="shared" si="251"/>
        <v>5410524</v>
      </c>
      <c r="AE2252" s="36" t="str">
        <f t="shared" si="252"/>
        <v>TK.KWVE20-B-A-L-0038-WW1</v>
      </c>
      <c r="AF2252" s="36">
        <v>96</v>
      </c>
      <c r="AG2252" s="120">
        <f t="shared" si="255"/>
        <v>549.12</v>
      </c>
      <c r="AH2252" s="36"/>
      <c r="AI2252" s="124"/>
      <c r="AJ2252" s="122" t="s">
        <v>3191</v>
      </c>
      <c r="AK2252" s="129" t="str">
        <f t="shared" ca="1" si="254"/>
        <v>Late</v>
      </c>
      <c r="AL2252" s="268" t="str">
        <f t="shared" si="253"/>
        <v>May</v>
      </c>
      <c r="AM2252" s="133">
        <f>YEAR(Table1[[#This Row],[ETA
As requested
dd.mm.yyyy]])</f>
        <v>2025</v>
      </c>
    </row>
    <row r="2253" spans="1:40" hidden="1">
      <c r="A2253" s="123" t="s">
        <v>83</v>
      </c>
      <c r="B2253" s="36" t="s">
        <v>1170</v>
      </c>
      <c r="C2253" s="117">
        <v>5410524</v>
      </c>
      <c r="D2253" s="165">
        <v>45777</v>
      </c>
      <c r="E2253" s="117" t="s">
        <v>100</v>
      </c>
      <c r="F2253" s="36" t="str">
        <f>IFERROR(VLOOKUP(Table1[[#This Row],[Part Number]],DATABASE_FG!$C$6:D12242,2,FALSE)," ")</f>
        <v>054830877-8011</v>
      </c>
      <c r="G2253" s="117" t="str">
        <f>IFERROR(_xlfn.XLOOKUP(Table1[[#This Row],[Part Number]],Table3[Part number],Table3[Drawing
 Revision]),"")</f>
        <v>AA</v>
      </c>
      <c r="H2253" s="118" cm="1">
        <f t="array" ref="H2253">IFERROR(INDEX(PDB!$C:$AT,MATCH(E2253,PDB!$B:$B,0),MATCH(YEAR(K2253),0+PDB!$C$1:$AT$1,0)),"")</f>
        <v>5.72</v>
      </c>
      <c r="I2253" s="36">
        <f>360-64-97</f>
        <v>199</v>
      </c>
      <c r="J2253" s="125">
        <f>IFERROR(Table1[[#This Row],[Quantity]]*Table1[[#This Row],[Price/Unit
EUR]]," ")</f>
        <v>1138.28</v>
      </c>
      <c r="K2253" s="126">
        <v>45796</v>
      </c>
      <c r="L2253" s="36">
        <f>WEEKNUM(Table1[[#This Row],[ETA
As requested
dd.mm.yyyy]])</f>
        <v>21</v>
      </c>
      <c r="M2253" s="36">
        <f>YEAR(Table1[[#This Row],[ETA
As requested
dd.mm.yyyy]])</f>
        <v>2025</v>
      </c>
      <c r="N2253" s="36">
        <f>IFERROR(INDEX(DATABASE_FG!$H$5:$H$367, MATCH(E2253, DATABASE_FG!$C$5:$C$367, 0)), " ")</f>
        <v>0</v>
      </c>
      <c r="O2253" s="129" t="str">
        <f>IF(E2253&lt;&gt;"", _xlfn.XLOOKUP(E2253, DATABASE_FG!C:C, DATABASE_FG!F:F), " ")</f>
        <v>Ghidaje</v>
      </c>
      <c r="P2253" s="36">
        <f>IFERROR(INDEX(DATABASE_FG!$G$5:$G$367, MATCH(E2253, DATABASE_FG!$C$5:$C$367, 0)), "Not Found")</f>
        <v>0</v>
      </c>
      <c r="Q2253" s="36"/>
      <c r="R2253" s="125" t="s">
        <v>678</v>
      </c>
      <c r="S2253" s="123">
        <f>IFERROR(INDEX(DATABASE_FG!$L$5:$L$367, MATCH(E2253, DATABASE_FG!$C$5:$C$367, 0)), " ")</f>
        <v>42</v>
      </c>
      <c r="T2253" s="36" t="s">
        <v>679</v>
      </c>
      <c r="U2253" s="36"/>
      <c r="V2253" s="36"/>
      <c r="W2253" s="129"/>
      <c r="X2253" s="36"/>
      <c r="Y2253" s="36"/>
      <c r="Z2253" s="36"/>
      <c r="AA2253" s="125" t="s">
        <v>121</v>
      </c>
      <c r="AB2253" s="173">
        <v>45832</v>
      </c>
      <c r="AC2253" s="119">
        <v>25980</v>
      </c>
      <c r="AD2253" s="36">
        <f t="shared" ref="AD2253:AD2317" si="256">IF(NOT(ISBLANK(AC2253)), C2253, "")</f>
        <v>5410524</v>
      </c>
      <c r="AE2253" s="36" t="str">
        <f t="shared" ref="AE2253:AE2317" si="257">IF(NOT(ISBLANK(AC2253)), E2253, "")</f>
        <v>TK.KWVE20-B-A-L-0038-WW1</v>
      </c>
      <c r="AF2253" s="36">
        <v>199</v>
      </c>
      <c r="AG2253" s="120">
        <f t="shared" si="255"/>
        <v>1138.28</v>
      </c>
      <c r="AH2253" s="36"/>
      <c r="AI2253" s="124"/>
      <c r="AJ2253" s="122" t="s">
        <v>3198</v>
      </c>
      <c r="AK2253" s="129" t="str">
        <f t="shared" ca="1" si="254"/>
        <v>Late</v>
      </c>
      <c r="AL2253" s="268" t="str">
        <f t="shared" si="253"/>
        <v>May</v>
      </c>
      <c r="AM2253" s="133">
        <f>YEAR(Table1[[#This Row],[ETA
As requested
dd.mm.yyyy]])</f>
        <v>2025</v>
      </c>
    </row>
    <row r="2254" spans="1:40" hidden="1">
      <c r="A2254" s="123" t="s">
        <v>83</v>
      </c>
      <c r="B2254" s="36" t="s">
        <v>1170</v>
      </c>
      <c r="C2254" s="117">
        <v>5410524</v>
      </c>
      <c r="D2254" s="165">
        <v>45777</v>
      </c>
      <c r="E2254" s="117" t="s">
        <v>100</v>
      </c>
      <c r="F2254" s="36" t="str">
        <f>IFERROR(VLOOKUP(Table1[[#This Row],[Part Number]],DATABASE_FG!$C$6:D12243,2,FALSE)," ")</f>
        <v>054830877-8011</v>
      </c>
      <c r="G2254" s="117" t="str">
        <f>IFERROR(_xlfn.XLOOKUP(Table1[[#This Row],[Part Number]],Table3[Part number],Table3[Drawing
 Revision]),"")</f>
        <v>AA</v>
      </c>
      <c r="H2254" s="118" cm="1">
        <f t="array" ref="H2254">IFERROR(INDEX(PDB!$C:$AT,MATCH(E2254,PDB!$B:$B,0),MATCH(YEAR(K2254),0+PDB!$C$1:$AT$1,0)),"")</f>
        <v>5.72</v>
      </c>
      <c r="I2254" s="36">
        <v>64</v>
      </c>
      <c r="J2254" s="125">
        <f>IFERROR(Table1[[#This Row],[Quantity]]*Table1[[#This Row],[Price/Unit
EUR]]," ")</f>
        <v>366.08</v>
      </c>
      <c r="K2254" s="126">
        <v>45810</v>
      </c>
      <c r="L2254" s="36">
        <f>WEEKNUM(Table1[[#This Row],[ETA
As requested
dd.mm.yyyy]])</f>
        <v>23</v>
      </c>
      <c r="M2254" s="36">
        <f>YEAR(Table1[[#This Row],[ETA
As requested
dd.mm.yyyy]])</f>
        <v>2025</v>
      </c>
      <c r="N2254" s="36">
        <f>IFERROR(INDEX(DATABASE_FG!$H$5:$H$367, MATCH(E2254, DATABASE_FG!$C$5:$C$367, 0)), " ")</f>
        <v>0</v>
      </c>
      <c r="O2254" s="129" t="str">
        <f>IF(E2254&lt;&gt;"", _xlfn.XLOOKUP(E2254, DATABASE_FG!C:C, DATABASE_FG!F:F), " ")</f>
        <v>Ghidaje</v>
      </c>
      <c r="P2254" s="36">
        <f>IFERROR(INDEX(DATABASE_FG!$G$5:$G$367, MATCH(E2254, DATABASE_FG!$C$5:$C$367, 0)), "Not Found")</f>
        <v>0</v>
      </c>
      <c r="Q2254" s="36"/>
      <c r="R2254" s="125" t="s">
        <v>678</v>
      </c>
      <c r="S2254" s="123">
        <f>Table1[[#This Row],[Quantity]]/48</f>
        <v>1.3333333333333333</v>
      </c>
      <c r="T2254" s="36"/>
      <c r="U2254" s="36"/>
      <c r="V2254" s="36"/>
      <c r="W2254" s="129"/>
      <c r="X2254" s="36"/>
      <c r="Y2254" s="36"/>
      <c r="Z2254" s="36"/>
      <c r="AA2254" s="125" t="s">
        <v>121</v>
      </c>
      <c r="AB2254" s="172">
        <v>45832</v>
      </c>
      <c r="AC2254" s="119">
        <v>25980</v>
      </c>
      <c r="AD2254" s="36">
        <f t="shared" si="256"/>
        <v>5410524</v>
      </c>
      <c r="AE2254" s="36" t="str">
        <f t="shared" si="257"/>
        <v>TK.KWVE20-B-A-L-0038-WW1</v>
      </c>
      <c r="AF2254" s="36">
        <v>64</v>
      </c>
      <c r="AG2254" s="120">
        <f t="shared" si="255"/>
        <v>366.08</v>
      </c>
      <c r="AH2254" s="36"/>
      <c r="AI2254" s="124"/>
      <c r="AJ2254" s="122" t="s">
        <v>3198</v>
      </c>
      <c r="AK2254" s="129" t="str">
        <f t="shared" ca="1" si="254"/>
        <v>Late</v>
      </c>
      <c r="AL2254" s="268" t="str">
        <f t="shared" si="253"/>
        <v>June</v>
      </c>
      <c r="AM2254" s="133">
        <f>YEAR(Table1[[#This Row],[ETA
As requested
dd.mm.yyyy]])</f>
        <v>2025</v>
      </c>
    </row>
    <row r="2255" spans="1:40" hidden="1">
      <c r="A2255" s="123" t="s">
        <v>83</v>
      </c>
      <c r="B2255" s="36" t="s">
        <v>1170</v>
      </c>
      <c r="C2255" s="117">
        <v>5410524</v>
      </c>
      <c r="D2255" s="165">
        <v>45777</v>
      </c>
      <c r="E2255" s="117" t="s">
        <v>100</v>
      </c>
      <c r="F2255" s="36" t="str">
        <f>IFERROR(VLOOKUP(Table1[[#This Row],[Part Number]],DATABASE_FG!$C$6:D12244,2,FALSE)," ")</f>
        <v>054830877-8011</v>
      </c>
      <c r="G2255" s="117" t="str">
        <f>IFERROR(_xlfn.XLOOKUP(Table1[[#This Row],[Part Number]],Table3[Part number],Table3[Drawing
 Revision]),"")</f>
        <v>AA</v>
      </c>
      <c r="H2255" s="118" cm="1">
        <f t="array" ref="H2255">IFERROR(INDEX(PDB!$C:$AT,MATCH(E2255,PDB!$B:$B,0),MATCH(YEAR(K2255),0+PDB!$C$1:$AT$1,0)),"")</f>
        <v>5.72</v>
      </c>
      <c r="I2255" s="36">
        <v>9</v>
      </c>
      <c r="J2255" s="125">
        <f>IFERROR(Table1[[#This Row],[Quantity]]*Table1[[#This Row],[Price/Unit
EUR]]," ")</f>
        <v>51.48</v>
      </c>
      <c r="K2255" s="126">
        <v>45810</v>
      </c>
      <c r="L2255" s="36">
        <f>WEEKNUM(Table1[[#This Row],[ETA
As requested
dd.mm.yyyy]])</f>
        <v>23</v>
      </c>
      <c r="M2255" s="36">
        <f>YEAR(Table1[[#This Row],[ETA
As requested
dd.mm.yyyy]])</f>
        <v>2025</v>
      </c>
      <c r="N2255" s="36">
        <f>IFERROR(INDEX(DATABASE_FG!$H$5:$H$367, MATCH(E2255, DATABASE_FG!$C$5:$C$367, 0)), " ")</f>
        <v>0</v>
      </c>
      <c r="O2255" s="129" t="str">
        <f>IF(E2255&lt;&gt;"", _xlfn.XLOOKUP(E2255, DATABASE_FG!C:C, DATABASE_FG!F:F), " ")</f>
        <v>Ghidaje</v>
      </c>
      <c r="P2255" s="36">
        <f>IFERROR(INDEX(DATABASE_FG!$G$5:$G$367, MATCH(E2255, DATABASE_FG!$C$5:$C$367, 0)), "Not Found")</f>
        <v>0</v>
      </c>
      <c r="Q2255" s="36"/>
      <c r="R2255" s="125" t="s">
        <v>678</v>
      </c>
      <c r="S2255" s="123">
        <f>Table1[[#This Row],[Quantity]]/48</f>
        <v>0.1875</v>
      </c>
      <c r="T2255" s="36"/>
      <c r="U2255" s="36"/>
      <c r="V2255" s="36"/>
      <c r="W2255" s="129"/>
      <c r="X2255" s="36"/>
      <c r="Y2255" s="36"/>
      <c r="Z2255" s="36"/>
      <c r="AA2255" s="125" t="s">
        <v>121</v>
      </c>
      <c r="AB2255" s="172">
        <v>45832</v>
      </c>
      <c r="AC2255" s="119">
        <v>25980</v>
      </c>
      <c r="AD2255" s="36">
        <f t="shared" si="256"/>
        <v>5410524</v>
      </c>
      <c r="AE2255" s="36" t="str">
        <f t="shared" si="257"/>
        <v>TK.KWVE20-B-A-L-0038-WW1</v>
      </c>
      <c r="AF2255" s="36">
        <v>9</v>
      </c>
      <c r="AG2255" s="120">
        <f t="shared" si="255"/>
        <v>51.48</v>
      </c>
      <c r="AH2255" s="36"/>
      <c r="AI2255" s="124"/>
      <c r="AJ2255" s="122" t="s">
        <v>3198</v>
      </c>
      <c r="AK2255" s="129" t="str">
        <f t="shared" ca="1" si="254"/>
        <v>Late</v>
      </c>
      <c r="AL2255" s="268" t="str">
        <f t="shared" si="253"/>
        <v>June</v>
      </c>
      <c r="AM2255" s="133">
        <f>YEAR(Table1[[#This Row],[ETA
As requested
dd.mm.yyyy]])</f>
        <v>2025</v>
      </c>
    </row>
    <row r="2256" spans="1:40" hidden="1">
      <c r="A2256" s="123" t="s">
        <v>83</v>
      </c>
      <c r="B2256" s="36" t="s">
        <v>1170</v>
      </c>
      <c r="C2256" s="117">
        <v>5410524</v>
      </c>
      <c r="D2256" s="165">
        <v>45777</v>
      </c>
      <c r="E2256" s="117" t="s">
        <v>100</v>
      </c>
      <c r="F2256" s="36" t="str">
        <f>IFERROR(VLOOKUP(Table1[[#This Row],[Part Number]],DATABASE_FG!$C$6:D12245,2,FALSE)," ")</f>
        <v>054830877-8011</v>
      </c>
      <c r="G2256" s="117" t="str">
        <f>IFERROR(_xlfn.XLOOKUP(Table1[[#This Row],[Part Number]],Table3[Part number],Table3[Drawing
 Revision]),"")</f>
        <v>AA</v>
      </c>
      <c r="H2256" s="118" cm="1">
        <f t="array" ref="H2256">IFERROR(INDEX(PDB!$C:$AT,MATCH(E2256,PDB!$B:$B,0),MATCH(YEAR(K2256),0+PDB!$C$1:$AT$1,0)),"")</f>
        <v>5.72</v>
      </c>
      <c r="I2256" s="36">
        <f>150+150-64-9</f>
        <v>227</v>
      </c>
      <c r="J2256" s="125">
        <f>IFERROR(Table1[[#This Row],[Quantity]]*Table1[[#This Row],[Price/Unit
EUR]]," ")</f>
        <v>1298.44</v>
      </c>
      <c r="K2256" s="126">
        <v>45825</v>
      </c>
      <c r="L2256" s="36">
        <f>WEEKNUM(Table1[[#This Row],[ETA
As requested
dd.mm.yyyy]])</f>
        <v>25</v>
      </c>
      <c r="M2256" s="36">
        <f>YEAR(Table1[[#This Row],[ETA
As requested
dd.mm.yyyy]])</f>
        <v>2025</v>
      </c>
      <c r="N2256" s="36">
        <f>IFERROR(INDEX(DATABASE_FG!$H$5:$H$367, MATCH(E2256, DATABASE_FG!$C$5:$C$367, 0)), " ")</f>
        <v>0</v>
      </c>
      <c r="O2256" s="129" t="str">
        <f>IF(E2256&lt;&gt;"", _xlfn.XLOOKUP(E2256, DATABASE_FG!C:C, DATABASE_FG!F:F), " ")</f>
        <v>Ghidaje</v>
      </c>
      <c r="P2256" s="36">
        <f>IFERROR(INDEX(DATABASE_FG!$G$5:$G$367, MATCH(E2256, DATABASE_FG!$C$5:$C$367, 0)), "Not Found")</f>
        <v>0</v>
      </c>
      <c r="Q2256" s="36"/>
      <c r="R2256" s="125" t="s">
        <v>678</v>
      </c>
      <c r="S2256" s="123">
        <f>Table1[[#This Row],[Quantity]]/48</f>
        <v>4.729166666666667</v>
      </c>
      <c r="T2256" s="36"/>
      <c r="U2256" s="36"/>
      <c r="V2256" s="36"/>
      <c r="W2256" s="129"/>
      <c r="X2256" s="36"/>
      <c r="Y2256" s="36"/>
      <c r="Z2256" s="36"/>
      <c r="AA2256" s="125" t="s">
        <v>121</v>
      </c>
      <c r="AB2256" s="172">
        <v>45834</v>
      </c>
      <c r="AC2256" s="119">
        <v>25992</v>
      </c>
      <c r="AD2256" s="36">
        <f t="shared" si="256"/>
        <v>5410524</v>
      </c>
      <c r="AE2256" s="36" t="str">
        <f t="shared" si="257"/>
        <v>TK.KWVE20-B-A-L-0038-WW1</v>
      </c>
      <c r="AF2256" s="36">
        <v>227</v>
      </c>
      <c r="AG2256" s="120">
        <f t="shared" si="255"/>
        <v>1298.44</v>
      </c>
      <c r="AH2256" s="36"/>
      <c r="AI2256" s="124"/>
      <c r="AJ2256" s="122" t="s">
        <v>3289</v>
      </c>
      <c r="AK2256" s="129" t="str">
        <f t="shared" ca="1" si="254"/>
        <v>Late</v>
      </c>
      <c r="AL2256" s="268" t="str">
        <f t="shared" si="253"/>
        <v>June</v>
      </c>
      <c r="AM2256" s="133">
        <f>YEAR(Table1[[#This Row],[ETA
As requested
dd.mm.yyyy]])</f>
        <v>2025</v>
      </c>
    </row>
    <row r="2257" spans="1:39" hidden="1">
      <c r="A2257" s="123" t="s">
        <v>83</v>
      </c>
      <c r="B2257" s="36" t="s">
        <v>1170</v>
      </c>
      <c r="C2257" s="117">
        <v>5410524</v>
      </c>
      <c r="D2257" s="165">
        <v>45777</v>
      </c>
      <c r="E2257" s="117" t="s">
        <v>100</v>
      </c>
      <c r="F2257" s="36" t="str">
        <f>IFERROR(VLOOKUP(Table1[[#This Row],[Part Number]],DATABASE_FG!$C$6:D12246,2,FALSE)," ")</f>
        <v>054830877-8011</v>
      </c>
      <c r="G2257" s="117" t="str">
        <f>IFERROR(_xlfn.XLOOKUP(Table1[[#This Row],[Part Number]],Table3[Part number],Table3[Drawing
 Revision]),"")</f>
        <v>AA</v>
      </c>
      <c r="H2257" s="118" cm="1">
        <f t="array" ref="H2257">IFERROR(INDEX(PDB!$C:$AT,MATCH(E2257,PDB!$B:$B,0),MATCH(YEAR(K2257),0+PDB!$C$1:$AT$1,0)),"")</f>
        <v>5.72</v>
      </c>
      <c r="I2257" s="36">
        <v>29</v>
      </c>
      <c r="J2257" s="125">
        <f>IFERROR(Table1[[#This Row],[Quantity]]*Table1[[#This Row],[Price/Unit
EUR]]," ")</f>
        <v>165.88</v>
      </c>
      <c r="K2257" s="126">
        <v>45825</v>
      </c>
      <c r="L2257" s="36">
        <f>WEEKNUM(Table1[[#This Row],[ETA
As requested
dd.mm.yyyy]])</f>
        <v>25</v>
      </c>
      <c r="M2257" s="36">
        <f>YEAR(Table1[[#This Row],[ETA
As requested
dd.mm.yyyy]])</f>
        <v>2025</v>
      </c>
      <c r="N2257" s="36">
        <f>IFERROR(INDEX(DATABASE_FG!$H$5:$H$367, MATCH(E2257, DATABASE_FG!$C$5:$C$367, 0)), " ")</f>
        <v>0</v>
      </c>
      <c r="O2257" s="129" t="str">
        <f>IF(E2257&lt;&gt;"", _xlfn.XLOOKUP(E2257, DATABASE_FG!C:C, DATABASE_FG!F:F), " ")</f>
        <v>Ghidaje</v>
      </c>
      <c r="P2257" s="36">
        <f>IFERROR(INDEX(DATABASE_FG!$G$5:$G$367, MATCH(E2257, DATABASE_FG!$C$5:$C$367, 0)), "Not Found")</f>
        <v>0</v>
      </c>
      <c r="Q2257" s="36"/>
      <c r="R2257" s="125" t="s">
        <v>678</v>
      </c>
      <c r="S2257" s="123">
        <f>Table1[[#This Row],[Quantity]]/48</f>
        <v>0.60416666666666663</v>
      </c>
      <c r="T2257" s="36"/>
      <c r="U2257" s="36"/>
      <c r="V2257" s="36"/>
      <c r="W2257" s="129"/>
      <c r="X2257" s="36"/>
      <c r="Y2257" s="36"/>
      <c r="Z2257" s="36"/>
      <c r="AA2257" s="125" t="s">
        <v>121</v>
      </c>
      <c r="AB2257" s="172">
        <v>45834</v>
      </c>
      <c r="AC2257" s="119">
        <v>25992</v>
      </c>
      <c r="AD2257" s="36">
        <f t="shared" si="256"/>
        <v>5410524</v>
      </c>
      <c r="AE2257" s="36" t="str">
        <f t="shared" si="257"/>
        <v>TK.KWVE20-B-A-L-0038-WW1</v>
      </c>
      <c r="AF2257" s="36">
        <v>29</v>
      </c>
      <c r="AG2257" s="120">
        <f t="shared" si="255"/>
        <v>165.88</v>
      </c>
      <c r="AH2257" s="36"/>
      <c r="AI2257" s="124"/>
      <c r="AJ2257" s="122" t="s">
        <v>3289</v>
      </c>
      <c r="AK2257" s="129" t="str">
        <f t="shared" ca="1" si="254"/>
        <v>Late</v>
      </c>
      <c r="AL2257" s="268" t="str">
        <f t="shared" si="253"/>
        <v>June</v>
      </c>
      <c r="AM2257" s="133">
        <f>YEAR(Table1[[#This Row],[ETA
As requested
dd.mm.yyyy]])</f>
        <v>2025</v>
      </c>
    </row>
    <row r="2258" spans="1:39" hidden="1">
      <c r="A2258" s="123" t="s">
        <v>83</v>
      </c>
      <c r="B2258" s="36" t="s">
        <v>1170</v>
      </c>
      <c r="C2258" s="117">
        <v>5410524</v>
      </c>
      <c r="D2258" s="165">
        <v>45777</v>
      </c>
      <c r="E2258" s="117" t="s">
        <v>100</v>
      </c>
      <c r="F2258" s="36" t="str">
        <f>IFERROR(VLOOKUP(Table1[[#This Row],[Part Number]],DATABASE_FG!$C$6:D12247,2,FALSE)," ")</f>
        <v>054830877-8011</v>
      </c>
      <c r="G2258" s="117" t="str">
        <f>IFERROR(_xlfn.XLOOKUP(Table1[[#This Row],[Part Number]],Table3[Part number],Table3[Drawing
 Revision]),"")</f>
        <v>AA</v>
      </c>
      <c r="H2258" s="118" cm="1">
        <f t="array" ref="H2258">IFERROR(INDEX(PDB!$C:$AT,MATCH(E2258,PDB!$B:$B,0),MATCH(YEAR(K2258),0+PDB!$C$1:$AT$1,0)),"")</f>
        <v>5.72</v>
      </c>
      <c r="I2258" s="36">
        <v>94</v>
      </c>
      <c r="J2258" s="125">
        <f>IFERROR(Table1[[#This Row],[Quantity]]*Table1[[#This Row],[Price/Unit
EUR]]," ")</f>
        <v>537.67999999999995</v>
      </c>
      <c r="K2258" s="126">
        <v>45825</v>
      </c>
      <c r="L2258" s="36">
        <f>WEEKNUM(Table1[[#This Row],[ETA
As requested
dd.mm.yyyy]])</f>
        <v>25</v>
      </c>
      <c r="M2258" s="36">
        <f>YEAR(Table1[[#This Row],[ETA
As requested
dd.mm.yyyy]])</f>
        <v>2025</v>
      </c>
      <c r="N2258" s="36">
        <f>IFERROR(INDEX(DATABASE_FG!$H$5:$H$367, MATCH(E2258, DATABASE_FG!$C$5:$C$367, 0)), " ")</f>
        <v>0</v>
      </c>
      <c r="O2258" s="129" t="str">
        <f>IF(E2258&lt;&gt;"", _xlfn.XLOOKUP(E2258, DATABASE_FG!C:C, DATABASE_FG!F:F), " ")</f>
        <v>Ghidaje</v>
      </c>
      <c r="P2258" s="36">
        <f>IFERROR(INDEX(DATABASE_FG!$G$5:$G$367, MATCH(E2258, DATABASE_FG!$C$5:$C$367, 0)), "Not Found")</f>
        <v>0</v>
      </c>
      <c r="Q2258" s="36"/>
      <c r="R2258" s="125" t="s">
        <v>678</v>
      </c>
      <c r="S2258" s="123">
        <f>Table1[[#This Row],[Quantity]]/48</f>
        <v>1.9583333333333333</v>
      </c>
      <c r="T2258" s="36"/>
      <c r="U2258" s="36"/>
      <c r="V2258" s="36"/>
      <c r="W2258" s="129"/>
      <c r="X2258" s="36"/>
      <c r="Y2258" s="36"/>
      <c r="Z2258" s="36"/>
      <c r="AA2258" s="125" t="s">
        <v>121</v>
      </c>
      <c r="AB2258" s="172">
        <v>45835</v>
      </c>
      <c r="AC2258" s="119">
        <v>25998</v>
      </c>
      <c r="AD2258" s="36">
        <f t="shared" si="256"/>
        <v>5410524</v>
      </c>
      <c r="AE2258" s="36" t="str">
        <f t="shared" si="257"/>
        <v>TK.KWVE20-B-A-L-0038-WW1</v>
      </c>
      <c r="AF2258" s="36">
        <v>94</v>
      </c>
      <c r="AG2258" s="120">
        <f t="shared" si="255"/>
        <v>537.67999999999995</v>
      </c>
      <c r="AH2258" s="36"/>
      <c r="AI2258" s="124"/>
      <c r="AJ2258" s="122" t="s">
        <v>3290</v>
      </c>
      <c r="AK2258" s="129" t="str">
        <f t="shared" ca="1" si="254"/>
        <v>Late</v>
      </c>
      <c r="AL2258" s="268" t="str">
        <f t="shared" si="253"/>
        <v>June</v>
      </c>
      <c r="AM2258" s="133">
        <f>YEAR(Table1[[#This Row],[ETA
As requested
dd.mm.yyyy]])</f>
        <v>2025</v>
      </c>
    </row>
    <row r="2259" spans="1:39" hidden="1">
      <c r="A2259" s="123" t="s">
        <v>83</v>
      </c>
      <c r="B2259" s="36" t="s">
        <v>1170</v>
      </c>
      <c r="C2259" s="117">
        <v>5410524</v>
      </c>
      <c r="D2259" s="165">
        <v>45777</v>
      </c>
      <c r="E2259" s="117" t="s">
        <v>100</v>
      </c>
      <c r="F2259" s="36" t="str">
        <f>IFERROR(VLOOKUP(Table1[[#This Row],[Part Number]],DATABASE_FG!$C$6:D12248,2,FALSE)," ")</f>
        <v>054830877-8011</v>
      </c>
      <c r="G2259" s="117" t="str">
        <f>IFERROR(_xlfn.XLOOKUP(Table1[[#This Row],[Part Number]],Table3[Part number],Table3[Drawing
 Revision]),"")</f>
        <v>AA</v>
      </c>
      <c r="H2259" s="118" cm="1">
        <f t="array" ref="H2259">IFERROR(INDEX(PDB!$C:$AT,MATCH(E2259,PDB!$B:$B,0),MATCH(YEAR(K2259),0+PDB!$C$1:$AT$1,0)),"")</f>
        <v>5.72</v>
      </c>
      <c r="I2259" s="36">
        <f>131</f>
        <v>131</v>
      </c>
      <c r="J2259" s="125">
        <f>IFERROR(Table1[[#This Row],[Quantity]]*Table1[[#This Row],[Price/Unit
EUR]]," ")</f>
        <v>749.31999999999994</v>
      </c>
      <c r="K2259" s="126">
        <v>45825</v>
      </c>
      <c r="L2259" s="36">
        <f>WEEKNUM(Table1[[#This Row],[ETA
As requested
dd.mm.yyyy]])</f>
        <v>25</v>
      </c>
      <c r="M2259" s="36">
        <f>YEAR(Table1[[#This Row],[ETA
As requested
dd.mm.yyyy]])</f>
        <v>2025</v>
      </c>
      <c r="N2259" s="36">
        <f>IFERROR(INDEX(DATABASE_FG!$H$5:$H$367, MATCH(E2259, DATABASE_FG!$C$5:$C$367, 0)), " ")</f>
        <v>0</v>
      </c>
      <c r="O2259" s="129" t="str">
        <f>IF(E2259&lt;&gt;"", _xlfn.XLOOKUP(E2259, DATABASE_FG!C:C, DATABASE_FG!F:F), " ")</f>
        <v>Ghidaje</v>
      </c>
      <c r="P2259" s="36">
        <f>IFERROR(INDEX(DATABASE_FG!$G$5:$G$367, MATCH(E2259, DATABASE_FG!$C$5:$C$367, 0)), "Not Found")</f>
        <v>0</v>
      </c>
      <c r="Q2259" s="36"/>
      <c r="R2259" s="125" t="s">
        <v>678</v>
      </c>
      <c r="S2259" s="123">
        <f>Table1[[#This Row],[Quantity]]/48</f>
        <v>2.7291666666666665</v>
      </c>
      <c r="T2259" s="36"/>
      <c r="U2259" s="36"/>
      <c r="V2259" s="36"/>
      <c r="W2259" s="129"/>
      <c r="X2259" s="36"/>
      <c r="Y2259" s="36"/>
      <c r="Z2259" s="36"/>
      <c r="AA2259" s="125" t="s">
        <v>121</v>
      </c>
      <c r="AB2259" s="172">
        <v>45845</v>
      </c>
      <c r="AC2259" s="119">
        <v>251037</v>
      </c>
      <c r="AD2259" s="36">
        <f t="shared" si="256"/>
        <v>5410524</v>
      </c>
      <c r="AE2259" s="36" t="str">
        <f t="shared" si="257"/>
        <v>TK.KWVE20-B-A-L-0038-WW1</v>
      </c>
      <c r="AF2259" s="36">
        <v>0</v>
      </c>
      <c r="AG2259" s="120">
        <f t="shared" si="255"/>
        <v>0</v>
      </c>
      <c r="AH2259" s="36"/>
      <c r="AI2259" s="188" t="s">
        <v>3291</v>
      </c>
      <c r="AJ2259" s="122" t="s">
        <v>3292</v>
      </c>
      <c r="AK2259" s="129" t="str">
        <f t="shared" ca="1" si="254"/>
        <v>Late</v>
      </c>
      <c r="AL2259" s="268" t="str">
        <f t="shared" si="253"/>
        <v>June</v>
      </c>
      <c r="AM2259" s="133">
        <f>YEAR(Table1[[#This Row],[ETA
As requested
dd.mm.yyyy]])</f>
        <v>2025</v>
      </c>
    </row>
    <row r="2260" spans="1:39" hidden="1">
      <c r="A2260" s="123" t="s">
        <v>83</v>
      </c>
      <c r="B2260" s="36" t="s">
        <v>1170</v>
      </c>
      <c r="C2260" s="117">
        <v>5410524</v>
      </c>
      <c r="D2260" s="165">
        <v>45777</v>
      </c>
      <c r="E2260" s="117" t="s">
        <v>100</v>
      </c>
      <c r="F2260" s="36" t="str">
        <f>IFERROR(VLOOKUP(Table1[[#This Row],[Part Number]],DATABASE_FG!$C$6:D12249,2,FALSE)," ")</f>
        <v>054830877-8011</v>
      </c>
      <c r="G2260" s="117" t="str">
        <f>IFERROR(_xlfn.XLOOKUP(Table1[[#This Row],[Part Number]],Table3[Part number],Table3[Drawing
 Revision]),"")</f>
        <v>AA</v>
      </c>
      <c r="H2260" s="118" cm="1">
        <f t="array" ref="H2260">IFERROR(INDEX(PDB!$C:$AT,MATCH(E2260,PDB!$B:$B,0),MATCH(YEAR(K2260),0+PDB!$C$1:$AT$1,0)),"")</f>
        <v>5.72</v>
      </c>
      <c r="I2260" s="36">
        <f>300-29-94-131+16</f>
        <v>62</v>
      </c>
      <c r="J2260" s="125">
        <f>IFERROR(Table1[[#This Row],[Quantity]]*Table1[[#This Row],[Price/Unit
EUR]]," ")</f>
        <v>354.64</v>
      </c>
      <c r="K2260" s="126">
        <v>45834</v>
      </c>
      <c r="L2260" s="36">
        <f>WEEKNUM(Table1[[#This Row],[ETA
As requested
dd.mm.yyyy]])</f>
        <v>26</v>
      </c>
      <c r="M2260" s="36">
        <f>YEAR(Table1[[#This Row],[ETA
As requested
dd.mm.yyyy]])</f>
        <v>2025</v>
      </c>
      <c r="N2260" s="36">
        <f>IFERROR(INDEX(DATABASE_FG!$H$5:$H$367, MATCH(E2260, DATABASE_FG!$C$5:$C$367, 0)), " ")</f>
        <v>0</v>
      </c>
      <c r="O2260" s="129" t="str">
        <f>IF(E2260&lt;&gt;"", _xlfn.XLOOKUP(E2260, DATABASE_FG!C:C, DATABASE_FG!F:F), " ")</f>
        <v>Ghidaje</v>
      </c>
      <c r="P2260" s="36">
        <f>IFERROR(INDEX(DATABASE_FG!$G$5:$G$367, MATCH(E2260, DATABASE_FG!$C$5:$C$367, 0)), "Not Found")</f>
        <v>0</v>
      </c>
      <c r="Q2260" s="36"/>
      <c r="R2260" s="125" t="s">
        <v>678</v>
      </c>
      <c r="S2260" s="123">
        <f>Table1[[#This Row],[Quantity]]/48</f>
        <v>1.2916666666666667</v>
      </c>
      <c r="T2260" s="36"/>
      <c r="U2260" s="36"/>
      <c r="V2260" s="36"/>
      <c r="W2260" s="129"/>
      <c r="X2260" s="36"/>
      <c r="Y2260" s="36"/>
      <c r="Z2260" s="36"/>
      <c r="AA2260" s="125" t="s">
        <v>121</v>
      </c>
      <c r="AB2260" s="172">
        <v>45866</v>
      </c>
      <c r="AC2260" s="119" t="s">
        <v>3324</v>
      </c>
      <c r="AD2260" s="36">
        <f t="shared" si="256"/>
        <v>5410524</v>
      </c>
      <c r="AE2260" s="36" t="str">
        <f t="shared" si="257"/>
        <v>TK.KWVE20-B-A-L-0038-WW1</v>
      </c>
      <c r="AF2260" s="36">
        <v>62</v>
      </c>
      <c r="AG2260" s="120">
        <f t="shared" si="255"/>
        <v>354.64</v>
      </c>
      <c r="AH2260" s="36"/>
      <c r="AI2260" s="124"/>
      <c r="AJ2260" s="122" t="s">
        <v>3325</v>
      </c>
      <c r="AK2260" s="129" t="str">
        <f t="shared" ca="1" si="254"/>
        <v>Late</v>
      </c>
      <c r="AL2260" s="268" t="str">
        <f t="shared" si="253"/>
        <v>June</v>
      </c>
      <c r="AM2260" s="133">
        <f>YEAR(Table1[[#This Row],[ETA
As requested
dd.mm.yyyy]])</f>
        <v>2025</v>
      </c>
    </row>
    <row r="2261" spans="1:39" hidden="1">
      <c r="A2261" s="123" t="s">
        <v>83</v>
      </c>
      <c r="B2261" s="36" t="s">
        <v>1170</v>
      </c>
      <c r="C2261" s="117">
        <v>5410524</v>
      </c>
      <c r="D2261" s="165">
        <v>45777</v>
      </c>
      <c r="E2261" s="117" t="s">
        <v>100</v>
      </c>
      <c r="F2261" s="36" t="str">
        <f>IFERROR(VLOOKUP(Table1[[#This Row],[Part Number]],DATABASE_FG!$C$6:D12250,2,FALSE)," ")</f>
        <v>054830877-8011</v>
      </c>
      <c r="G2261" s="117" t="str">
        <f>IFERROR(_xlfn.XLOOKUP(Table1[[#This Row],[Part Number]],Table3[Part number],Table3[Drawing
 Revision]),"")</f>
        <v>AA</v>
      </c>
      <c r="H2261" s="118" cm="1">
        <f t="array" ref="H2261">IFERROR(INDEX(PDB!$C:$AT,MATCH(E2261,PDB!$B:$B,0),MATCH(YEAR(K2261),0+PDB!$C$1:$AT$1,0)),"")</f>
        <v>5.72</v>
      </c>
      <c r="I2261" s="36">
        <v>92</v>
      </c>
      <c r="J2261" s="125">
        <f>IFERROR(Table1[[#This Row],[Quantity]]*Table1[[#This Row],[Price/Unit
EUR]]," ")</f>
        <v>526.24</v>
      </c>
      <c r="K2261" s="126">
        <v>45834</v>
      </c>
      <c r="L2261" s="36">
        <f>WEEKNUM(Table1[[#This Row],[ETA
As requested
dd.mm.yyyy]])</f>
        <v>26</v>
      </c>
      <c r="M2261" s="36">
        <f>YEAR(Table1[[#This Row],[ETA
As requested
dd.mm.yyyy]])</f>
        <v>2025</v>
      </c>
      <c r="N2261" s="36">
        <f>IFERROR(INDEX(DATABASE_FG!$H$5:$H$367, MATCH(E2261, DATABASE_FG!$C$5:$C$367, 0)), " ")</f>
        <v>0</v>
      </c>
      <c r="O2261" s="129" t="str">
        <f>IF(E2261&lt;&gt;"", _xlfn.XLOOKUP(E2261, DATABASE_FG!C:C, DATABASE_FG!F:F), " ")</f>
        <v>Ghidaje</v>
      </c>
      <c r="P2261" s="36">
        <f>IFERROR(INDEX(DATABASE_FG!$G$5:$G$367, MATCH(E2261, DATABASE_FG!$C$5:$C$367, 0)), "Not Found")</f>
        <v>0</v>
      </c>
      <c r="Q2261" s="36"/>
      <c r="R2261" s="125" t="s">
        <v>678</v>
      </c>
      <c r="S2261" s="123">
        <f>Table1[[#This Row],[Quantity]]/48</f>
        <v>1.9166666666666667</v>
      </c>
      <c r="T2261" s="36"/>
      <c r="U2261" s="36"/>
      <c r="V2261" s="36"/>
      <c r="W2261" s="129"/>
      <c r="X2261" s="36"/>
      <c r="Y2261" s="36"/>
      <c r="Z2261" s="36"/>
      <c r="AA2261" s="125" t="s">
        <v>121</v>
      </c>
      <c r="AB2261" s="172">
        <v>45867</v>
      </c>
      <c r="AC2261" s="119" t="s">
        <v>3326</v>
      </c>
      <c r="AD2261" s="36">
        <f t="shared" si="256"/>
        <v>5410524</v>
      </c>
      <c r="AE2261" s="36" t="str">
        <f t="shared" si="257"/>
        <v>TK.KWVE20-B-A-L-0038-WW1</v>
      </c>
      <c r="AF2261" s="36">
        <v>92</v>
      </c>
      <c r="AG2261" s="120">
        <f t="shared" si="255"/>
        <v>526.24</v>
      </c>
      <c r="AH2261" s="36"/>
      <c r="AI2261" s="124"/>
      <c r="AJ2261" s="122" t="s">
        <v>3327</v>
      </c>
      <c r="AK2261" s="129" t="str">
        <f t="shared" ca="1" si="254"/>
        <v>Late</v>
      </c>
      <c r="AL2261" s="268" t="str">
        <f t="shared" si="253"/>
        <v>June</v>
      </c>
      <c r="AM2261" s="133">
        <f>YEAR(Table1[[#This Row],[ETA
As requested
dd.mm.yyyy]])</f>
        <v>2025</v>
      </c>
    </row>
    <row r="2262" spans="1:39" hidden="1">
      <c r="A2262" s="123" t="s">
        <v>83</v>
      </c>
      <c r="B2262" s="36" t="s">
        <v>1170</v>
      </c>
      <c r="C2262" s="117">
        <v>5410524</v>
      </c>
      <c r="D2262" s="165">
        <v>45777</v>
      </c>
      <c r="E2262" s="117" t="s">
        <v>100</v>
      </c>
      <c r="F2262" s="36" t="str">
        <f>IFERROR(VLOOKUP(Table1[[#This Row],[Part Number]],DATABASE_FG!$C$6:D12251,2,FALSE)," ")</f>
        <v>054830877-8011</v>
      </c>
      <c r="G2262" s="117" t="str">
        <f>IFERROR(_xlfn.XLOOKUP(Table1[[#This Row],[Part Number]],Table3[Part number],Table3[Drawing
 Revision]),"")</f>
        <v>AA</v>
      </c>
      <c r="H2262" s="118" cm="1">
        <f t="array" ref="H2262">IFERROR(INDEX(PDB!$C:$AT,MATCH(E2262,PDB!$B:$B,0),MATCH(YEAR(K2262),0+PDB!$C$1:$AT$1,0)),"")</f>
        <v>5.72</v>
      </c>
      <c r="I2262" s="36">
        <v>111</v>
      </c>
      <c r="J2262" s="125">
        <f>IFERROR(Table1[[#This Row],[Quantity]]*Table1[[#This Row],[Price/Unit
EUR]]," ")</f>
        <v>634.91999999999996</v>
      </c>
      <c r="K2262" s="126">
        <v>45834</v>
      </c>
      <c r="L2262" s="36">
        <f>WEEKNUM(Table1[[#This Row],[ETA
As requested
dd.mm.yyyy]])</f>
        <v>26</v>
      </c>
      <c r="M2262" s="36">
        <f>YEAR(Table1[[#This Row],[ETA
As requested
dd.mm.yyyy]])</f>
        <v>2025</v>
      </c>
      <c r="N2262" s="36">
        <f>IFERROR(INDEX(DATABASE_FG!$H$5:$H$367, MATCH(E2262, DATABASE_FG!$C$5:$C$367, 0)), " ")</f>
        <v>0</v>
      </c>
      <c r="O2262" s="129" t="str">
        <f>IF(E2262&lt;&gt;"", _xlfn.XLOOKUP(E2262, DATABASE_FG!C:C, DATABASE_FG!F:F), " ")</f>
        <v>Ghidaje</v>
      </c>
      <c r="P2262" s="36">
        <f>IFERROR(INDEX(DATABASE_FG!$G$5:$G$367, MATCH(E2262, DATABASE_FG!$C$5:$C$367, 0)), "Not Found")</f>
        <v>0</v>
      </c>
      <c r="Q2262" s="36"/>
      <c r="R2262" s="125" t="s">
        <v>678</v>
      </c>
      <c r="S2262" s="123">
        <f>Table1[[#This Row],[Quantity]]/48</f>
        <v>2.3125</v>
      </c>
      <c r="T2262" s="36"/>
      <c r="U2262" s="36"/>
      <c r="V2262" s="36"/>
      <c r="W2262" s="129"/>
      <c r="X2262" s="36"/>
      <c r="Y2262" s="36"/>
      <c r="Z2262" s="36"/>
      <c r="AA2262" s="125" t="s">
        <v>121</v>
      </c>
      <c r="AB2262" s="172">
        <v>45868</v>
      </c>
      <c r="AC2262" s="119" t="s">
        <v>3328</v>
      </c>
      <c r="AD2262" s="36">
        <f t="shared" si="256"/>
        <v>5410524</v>
      </c>
      <c r="AE2262" s="36" t="str">
        <f t="shared" si="257"/>
        <v>TK.KWVE20-B-A-L-0038-WW1</v>
      </c>
      <c r="AF2262" s="36">
        <v>111</v>
      </c>
      <c r="AG2262" s="120">
        <f t="shared" si="255"/>
        <v>634.91999999999996</v>
      </c>
      <c r="AH2262" s="36"/>
      <c r="AI2262" s="124"/>
      <c r="AJ2262" s="122" t="s">
        <v>3329</v>
      </c>
      <c r="AK2262" s="129" t="str">
        <f t="shared" ca="1" si="254"/>
        <v>Late</v>
      </c>
      <c r="AL2262" s="268" t="str">
        <f t="shared" si="253"/>
        <v>June</v>
      </c>
      <c r="AM2262" s="133">
        <f>YEAR(Table1[[#This Row],[ETA
As requested
dd.mm.yyyy]])</f>
        <v>2025</v>
      </c>
    </row>
    <row r="2263" spans="1:39" hidden="1">
      <c r="A2263" s="123" t="s">
        <v>83</v>
      </c>
      <c r="B2263" s="36" t="s">
        <v>1170</v>
      </c>
      <c r="C2263" s="117">
        <v>5410524</v>
      </c>
      <c r="D2263" s="165">
        <v>45777</v>
      </c>
      <c r="E2263" s="117" t="s">
        <v>100</v>
      </c>
      <c r="F2263" s="36" t="str">
        <f>IFERROR(VLOOKUP(Table1[[#This Row],[Part Number]],DATABASE_FG!$C$6:D12252,2,FALSE)," ")</f>
        <v>054830877-8011</v>
      </c>
      <c r="G2263" s="117" t="str">
        <f>IFERROR(_xlfn.XLOOKUP(Table1[[#This Row],[Part Number]],Table3[Part number],Table3[Drawing
 Revision]),"")</f>
        <v>AA</v>
      </c>
      <c r="H2263" s="118" cm="1">
        <f t="array" ref="H2263">IFERROR(INDEX(PDB!$C:$AT,MATCH(E2263,PDB!$B:$B,0),MATCH(YEAR(K2263),0+PDB!$C$1:$AT$1,0)),"")</f>
        <v>5.72</v>
      </c>
      <c r="I2263" s="36">
        <v>80</v>
      </c>
      <c r="J2263" s="125">
        <f>IFERROR(Table1[[#This Row],[Quantity]]*Table1[[#This Row],[Price/Unit
EUR]]," ")</f>
        <v>457.59999999999997</v>
      </c>
      <c r="K2263" s="126">
        <v>45834</v>
      </c>
      <c r="L2263" s="36">
        <f>WEEKNUM(Table1[[#This Row],[ETA
As requested
dd.mm.yyyy]])</f>
        <v>26</v>
      </c>
      <c r="M2263" s="36">
        <f>YEAR(Table1[[#This Row],[ETA
As requested
dd.mm.yyyy]])</f>
        <v>2025</v>
      </c>
      <c r="N2263" s="36">
        <f>IFERROR(INDEX(DATABASE_FG!$H$5:$H$367, MATCH(E2263, DATABASE_FG!$C$5:$C$367, 0)), " ")</f>
        <v>0</v>
      </c>
      <c r="O2263" s="129" t="str">
        <f>IF(E2263&lt;&gt;"", _xlfn.XLOOKUP(E2263, DATABASE_FG!C:C, DATABASE_FG!F:F), " ")</f>
        <v>Ghidaje</v>
      </c>
      <c r="P2263" s="36">
        <f>IFERROR(INDEX(DATABASE_FG!$G$5:$G$367, MATCH(E2263, DATABASE_FG!$C$5:$C$367, 0)), "Not Found")</f>
        <v>0</v>
      </c>
      <c r="Q2263" s="36"/>
      <c r="R2263" s="125" t="s">
        <v>678</v>
      </c>
      <c r="S2263" s="123">
        <f>Table1[[#This Row],[Quantity]]/48</f>
        <v>1.6666666666666667</v>
      </c>
      <c r="T2263" s="36"/>
      <c r="U2263" s="36"/>
      <c r="V2263" s="36"/>
      <c r="W2263" s="129"/>
      <c r="X2263" s="36"/>
      <c r="Y2263" s="36"/>
      <c r="Z2263" s="36"/>
      <c r="AA2263" s="125" t="s">
        <v>121</v>
      </c>
      <c r="AB2263" s="172">
        <v>45869</v>
      </c>
      <c r="AC2263" s="119" t="s">
        <v>3330</v>
      </c>
      <c r="AD2263" s="36">
        <f t="shared" si="256"/>
        <v>5410524</v>
      </c>
      <c r="AE2263" s="36" t="str">
        <f t="shared" si="257"/>
        <v>TK.KWVE20-B-A-L-0038-WW1</v>
      </c>
      <c r="AF2263" s="36">
        <v>80</v>
      </c>
      <c r="AG2263" s="120">
        <f t="shared" si="255"/>
        <v>457.59999999999997</v>
      </c>
      <c r="AH2263" s="36"/>
      <c r="AI2263" s="124"/>
      <c r="AJ2263" s="122" t="s">
        <v>3331</v>
      </c>
      <c r="AK2263" s="129" t="str">
        <f t="shared" ca="1" si="254"/>
        <v>Late</v>
      </c>
      <c r="AL2263" s="268" t="str">
        <f t="shared" si="253"/>
        <v>June</v>
      </c>
      <c r="AM2263" s="133">
        <f>YEAR(Table1[[#This Row],[ETA
As requested
dd.mm.yyyy]])</f>
        <v>2025</v>
      </c>
    </row>
    <row r="2264" spans="1:39" hidden="1">
      <c r="A2264" s="123" t="s">
        <v>83</v>
      </c>
      <c r="B2264" s="36" t="s">
        <v>1170</v>
      </c>
      <c r="C2264" s="117">
        <v>5410524</v>
      </c>
      <c r="D2264" s="165">
        <v>45777</v>
      </c>
      <c r="E2264" s="117" t="s">
        <v>100</v>
      </c>
      <c r="F2264" s="36" t="str">
        <f>IFERROR(VLOOKUP(Table1[[#This Row],[Part Number]],DATABASE_FG!$C$6:D12253,2,FALSE)," ")</f>
        <v>054830877-8011</v>
      </c>
      <c r="G2264" s="117" t="str">
        <f>IFERROR(_xlfn.XLOOKUP(Table1[[#This Row],[Part Number]],Table3[Part number],Table3[Drawing
 Revision]),"")</f>
        <v>AA</v>
      </c>
      <c r="H2264" s="118" cm="1">
        <f t="array" ref="H2264">IFERROR(INDEX(PDB!$C:$AT,MATCH(E2264,PDB!$B:$B,0),MATCH(YEAR(K2264),0+PDB!$C$1:$AT$1,0)),"")</f>
        <v>5.72</v>
      </c>
      <c r="I2264" s="36">
        <v>32</v>
      </c>
      <c r="J2264" s="125">
        <f>IFERROR(Table1[[#This Row],[Quantity]]*Table1[[#This Row],[Price/Unit
EUR]]," ")</f>
        <v>183.04</v>
      </c>
      <c r="K2264" s="126">
        <v>45839</v>
      </c>
      <c r="L2264" s="36">
        <f>WEEKNUM(Table1[[#This Row],[ETA
As requested
dd.mm.yyyy]])</f>
        <v>27</v>
      </c>
      <c r="M2264" s="36">
        <f>YEAR(Table1[[#This Row],[ETA
As requested
dd.mm.yyyy]])</f>
        <v>2025</v>
      </c>
      <c r="N2264" s="36">
        <f>IFERROR(INDEX(DATABASE_FG!$H$5:$H$367, MATCH(E2264, DATABASE_FG!$C$5:$C$367, 0)), " ")</f>
        <v>0</v>
      </c>
      <c r="O2264" s="129" t="str">
        <f>IF(E2264&lt;&gt;"", _xlfn.XLOOKUP(E2264, DATABASE_FG!C:C, DATABASE_FG!F:F), " ")</f>
        <v>Ghidaje</v>
      </c>
      <c r="P2264" s="36">
        <f>IFERROR(INDEX(DATABASE_FG!$G$5:$G$367, MATCH(E2264, DATABASE_FG!$C$5:$C$367, 0)), "Not Found")</f>
        <v>0</v>
      </c>
      <c r="Q2264" s="36"/>
      <c r="R2264" s="125" t="s">
        <v>678</v>
      </c>
      <c r="S2264" s="123">
        <f>Table1[[#This Row],[Quantity]]/48</f>
        <v>0.66666666666666663</v>
      </c>
      <c r="T2264" s="36"/>
      <c r="U2264" s="36"/>
      <c r="V2264" s="36"/>
      <c r="W2264" s="129"/>
      <c r="X2264" s="36"/>
      <c r="Y2264" s="36"/>
      <c r="Z2264" s="36"/>
      <c r="AA2264" s="125" t="s">
        <v>121</v>
      </c>
      <c r="AB2264" s="172">
        <v>45874</v>
      </c>
      <c r="AC2264" s="119" t="s">
        <v>3389</v>
      </c>
      <c r="AD2264" s="36">
        <f t="shared" si="256"/>
        <v>5410524</v>
      </c>
      <c r="AE2264" s="36" t="str">
        <f t="shared" si="257"/>
        <v>TK.KWVE20-B-A-L-0038-WW1</v>
      </c>
      <c r="AF2264" s="36">
        <v>32</v>
      </c>
      <c r="AG2264" s="120">
        <f t="shared" si="255"/>
        <v>183.04</v>
      </c>
      <c r="AH2264" s="36"/>
      <c r="AI2264" s="124"/>
      <c r="AJ2264" s="122" t="s">
        <v>3390</v>
      </c>
      <c r="AK2264" s="129" t="str">
        <f t="shared" ca="1" si="254"/>
        <v>Late</v>
      </c>
      <c r="AL2264" s="268" t="str">
        <f t="shared" si="253"/>
        <v>July</v>
      </c>
      <c r="AM2264" s="133">
        <f>YEAR(Table1[[#This Row],[ETA
As requested
dd.mm.yyyy]])</f>
        <v>2025</v>
      </c>
    </row>
    <row r="2265" spans="1:39" hidden="1">
      <c r="A2265" s="123" t="s">
        <v>83</v>
      </c>
      <c r="B2265" s="36" t="s">
        <v>1170</v>
      </c>
      <c r="C2265" s="117">
        <v>5410524</v>
      </c>
      <c r="D2265" s="165">
        <v>45777</v>
      </c>
      <c r="E2265" s="117" t="s">
        <v>100</v>
      </c>
      <c r="F2265" s="36" t="str">
        <f>IFERROR(VLOOKUP(Table1[[#This Row],[Part Number]],DATABASE_FG!$C$6:D12254,2,FALSE)," ")</f>
        <v>054830877-8011</v>
      </c>
      <c r="G2265" s="117" t="str">
        <f>IFERROR(_xlfn.XLOOKUP(Table1[[#This Row],[Part Number]],Table3[Part number],Table3[Drawing
 Revision]),"")</f>
        <v>AA</v>
      </c>
      <c r="H2265" s="118" cm="1">
        <f t="array" ref="H2265">IFERROR(INDEX(PDB!$C:$AT,MATCH(E2265,PDB!$B:$B,0),MATCH(YEAR(K2265),0+PDB!$C$1:$AT$1,0)),"")</f>
        <v>5.72</v>
      </c>
      <c r="I2265" s="36">
        <f>352-16-92-111-80-32</f>
        <v>21</v>
      </c>
      <c r="J2265" s="125">
        <f>IFERROR(Table1[[#This Row],[Quantity]]*Table1[[#This Row],[Price/Unit
EUR]]," ")</f>
        <v>120.11999999999999</v>
      </c>
      <c r="K2265" s="126">
        <v>45839</v>
      </c>
      <c r="L2265" s="36">
        <f>WEEKNUM(Table1[[#This Row],[ETA
As requested
dd.mm.yyyy]])</f>
        <v>27</v>
      </c>
      <c r="M2265" s="36">
        <f>YEAR(Table1[[#This Row],[ETA
As requested
dd.mm.yyyy]])</f>
        <v>2025</v>
      </c>
      <c r="N2265" s="36">
        <f>IFERROR(INDEX(DATABASE_FG!$H$5:$H$367, MATCH(E2265, DATABASE_FG!$C$5:$C$367, 0)), " ")</f>
        <v>0</v>
      </c>
      <c r="O2265" s="129" t="str">
        <f>IF(E2265&lt;&gt;"", _xlfn.XLOOKUP(E2265, DATABASE_FG!C:C, DATABASE_FG!F:F), " ")</f>
        <v>Ghidaje</v>
      </c>
      <c r="P2265" s="36">
        <f>IFERROR(INDEX(DATABASE_FG!$G$5:$G$367, MATCH(E2265, DATABASE_FG!$C$5:$C$367, 0)), "Not Found")</f>
        <v>0</v>
      </c>
      <c r="Q2265" s="36"/>
      <c r="R2265" s="125" t="s">
        <v>678</v>
      </c>
      <c r="S2265" s="123">
        <f>Table1[[#This Row],[Quantity]]/48</f>
        <v>0.4375</v>
      </c>
      <c r="T2265" s="36"/>
      <c r="U2265" s="36"/>
      <c r="V2265" s="36"/>
      <c r="W2265" s="129"/>
      <c r="X2265" s="36"/>
      <c r="Y2265" s="36"/>
      <c r="Z2265" s="36"/>
      <c r="AA2265" s="125" t="s">
        <v>121</v>
      </c>
      <c r="AB2265" s="172">
        <v>45876</v>
      </c>
      <c r="AC2265" s="119" t="s">
        <v>3391</v>
      </c>
      <c r="AD2265" s="36">
        <f t="shared" si="256"/>
        <v>5410524</v>
      </c>
      <c r="AE2265" s="36" t="str">
        <f t="shared" si="257"/>
        <v>TK.KWVE20-B-A-L-0038-WW1</v>
      </c>
      <c r="AF2265" s="36">
        <v>21</v>
      </c>
      <c r="AG2265" s="120">
        <f t="shared" si="255"/>
        <v>120.11999999999999</v>
      </c>
      <c r="AH2265" s="36"/>
      <c r="AI2265" s="124"/>
      <c r="AJ2265" s="122" t="s">
        <v>3392</v>
      </c>
      <c r="AK2265" s="129" t="str">
        <f t="shared" ca="1" si="254"/>
        <v>Late</v>
      </c>
      <c r="AL2265" s="268" t="str">
        <f t="shared" si="253"/>
        <v>July</v>
      </c>
      <c r="AM2265" s="133">
        <f>YEAR(Table1[[#This Row],[ETA
As requested
dd.mm.yyyy]])</f>
        <v>2025</v>
      </c>
    </row>
    <row r="2266" spans="1:39" hidden="1">
      <c r="A2266" s="123" t="s">
        <v>83</v>
      </c>
      <c r="B2266" s="36" t="s">
        <v>1170</v>
      </c>
      <c r="C2266" s="117">
        <v>5410524</v>
      </c>
      <c r="D2266" s="165">
        <v>45777</v>
      </c>
      <c r="E2266" s="117" t="s">
        <v>100</v>
      </c>
      <c r="F2266" s="36" t="str">
        <f>IFERROR(VLOOKUP(Table1[[#This Row],[Part Number]],DATABASE_FG!$C$6:D12255,2,FALSE)," ")</f>
        <v>054830877-8011</v>
      </c>
      <c r="G2266" s="117" t="str">
        <f>IFERROR(_xlfn.XLOOKUP(Table1[[#This Row],[Part Number]],Table3[Part number],Table3[Drawing
 Revision]),"")</f>
        <v>AA</v>
      </c>
      <c r="H2266" s="118" cm="1">
        <f t="array" ref="H2266">IFERROR(INDEX(PDB!$C:$AT,MATCH(E2266,PDB!$B:$B,0),MATCH(YEAR(K2266),0+PDB!$C$1:$AT$1,0)),"")</f>
        <v>5.72</v>
      </c>
      <c r="I2266" s="36">
        <v>7</v>
      </c>
      <c r="J2266" s="125">
        <f>IFERROR(Table1[[#This Row],[Quantity]]*Table1[[#This Row],[Price/Unit
EUR]]," ")</f>
        <v>40.04</v>
      </c>
      <c r="K2266" s="126">
        <v>45881</v>
      </c>
      <c r="L2266" s="36">
        <f>WEEKNUM(Table1[[#This Row],[ETA
As requested
dd.mm.yyyy]])</f>
        <v>33</v>
      </c>
      <c r="M2266" s="36">
        <f>YEAR(Table1[[#This Row],[ETA
As requested
dd.mm.yyyy]])</f>
        <v>2025</v>
      </c>
      <c r="N2266" s="36">
        <f>IFERROR(INDEX(DATABASE_FG!$H$5:$H$367, MATCH(E2266, DATABASE_FG!$C$5:$C$367, 0)), " ")</f>
        <v>0</v>
      </c>
      <c r="O2266" s="129" t="str">
        <f>IF(E2266&lt;&gt;"", _xlfn.XLOOKUP(E2266, DATABASE_FG!C:C, DATABASE_FG!F:F), " ")</f>
        <v>Ghidaje</v>
      </c>
      <c r="P2266" s="36">
        <f>IFERROR(INDEX(DATABASE_FG!$G$5:$G$367, MATCH(E2266, DATABASE_FG!$C$5:$C$367, 0)), "Not Found")</f>
        <v>0</v>
      </c>
      <c r="Q2266" s="36"/>
      <c r="R2266" s="125" t="s">
        <v>678</v>
      </c>
      <c r="S2266" s="123">
        <f>Table1[[#This Row],[Quantity]]/48</f>
        <v>0.14583333333333334</v>
      </c>
      <c r="T2266" s="36"/>
      <c r="U2266" s="36"/>
      <c r="V2266" s="36"/>
      <c r="W2266" s="129"/>
      <c r="X2266" s="36"/>
      <c r="Y2266" s="36"/>
      <c r="Z2266" s="36"/>
      <c r="AA2266" s="125" t="s">
        <v>121</v>
      </c>
      <c r="AB2266" s="173">
        <v>45876</v>
      </c>
      <c r="AC2266" s="119" t="s">
        <v>3391</v>
      </c>
      <c r="AD2266" s="36">
        <f t="shared" si="256"/>
        <v>5410524</v>
      </c>
      <c r="AE2266" s="36" t="str">
        <f t="shared" si="257"/>
        <v>TK.KWVE20-B-A-L-0038-WW1</v>
      </c>
      <c r="AF2266" s="36">
        <v>7</v>
      </c>
      <c r="AG2266" s="120">
        <f t="shared" si="255"/>
        <v>40.04</v>
      </c>
      <c r="AH2266" s="36"/>
      <c r="AI2266" s="124"/>
      <c r="AJ2266" s="122" t="s">
        <v>3392</v>
      </c>
      <c r="AK2266" s="129" t="str">
        <f t="shared" ca="1" si="254"/>
        <v>On Time</v>
      </c>
      <c r="AL2266" s="268" t="str">
        <f t="shared" si="253"/>
        <v>August</v>
      </c>
      <c r="AM2266" s="133">
        <f>YEAR(Table1[[#This Row],[ETA
As requested
dd.mm.yyyy]])</f>
        <v>2025</v>
      </c>
    </row>
    <row r="2267" spans="1:39" hidden="1">
      <c r="A2267" s="123" t="s">
        <v>83</v>
      </c>
      <c r="B2267" s="36" t="s">
        <v>1170</v>
      </c>
      <c r="C2267" s="117">
        <v>5410524</v>
      </c>
      <c r="D2267" s="165">
        <v>45777</v>
      </c>
      <c r="E2267" s="117" t="s">
        <v>100</v>
      </c>
      <c r="F2267" s="36" t="str">
        <f>IFERROR(VLOOKUP(Table1[[#This Row],[Part Number]],DATABASE_FG!$C$6:D12256,2,FALSE)," ")</f>
        <v>054830877-8011</v>
      </c>
      <c r="G2267" s="117" t="str">
        <f>IFERROR(_xlfn.XLOOKUP(Table1[[#This Row],[Part Number]],Table3[Part number],Table3[Drawing
 Revision]),"")</f>
        <v>AA</v>
      </c>
      <c r="H2267" s="118" cm="1">
        <f t="array" ref="H2267">IFERROR(INDEX(PDB!$C:$AT,MATCH(E2267,PDB!$B:$B,0),MATCH(YEAR(K2267),0+PDB!$C$1:$AT$1,0)),"")</f>
        <v>5.72</v>
      </c>
      <c r="I2267" s="36">
        <v>64</v>
      </c>
      <c r="J2267" s="125">
        <f>IFERROR(Table1[[#This Row],[Quantity]]*Table1[[#This Row],[Price/Unit
EUR]]," ")</f>
        <v>366.08</v>
      </c>
      <c r="K2267" s="126">
        <v>45881</v>
      </c>
      <c r="L2267" s="36">
        <f>WEEKNUM(Table1[[#This Row],[ETA
As requested
dd.mm.yyyy]])</f>
        <v>33</v>
      </c>
      <c r="M2267" s="36">
        <f>YEAR(Table1[[#This Row],[ETA
As requested
dd.mm.yyyy]])</f>
        <v>2025</v>
      </c>
      <c r="N2267" s="36">
        <f>IFERROR(INDEX(DATABASE_FG!$H$5:$H$367, MATCH(E2267, DATABASE_FG!$C$5:$C$367, 0)), " ")</f>
        <v>0</v>
      </c>
      <c r="O2267" s="129" t="str">
        <f>IF(E2267&lt;&gt;"", _xlfn.XLOOKUP(E2267, DATABASE_FG!C:C, DATABASE_FG!F:F), " ")</f>
        <v>Ghidaje</v>
      </c>
      <c r="P2267" s="36">
        <f>IFERROR(INDEX(DATABASE_FG!$G$5:$G$367, MATCH(E2267, DATABASE_FG!$C$5:$C$367, 0)), "Not Found")</f>
        <v>0</v>
      </c>
      <c r="Q2267" s="36"/>
      <c r="R2267" s="125" t="s">
        <v>678</v>
      </c>
      <c r="S2267" s="123">
        <f>Table1[[#This Row],[Quantity]]/48</f>
        <v>1.3333333333333333</v>
      </c>
      <c r="T2267" s="36"/>
      <c r="U2267" s="36"/>
      <c r="V2267" s="36"/>
      <c r="W2267" s="129"/>
      <c r="X2267" s="36"/>
      <c r="Y2267" s="36"/>
      <c r="Z2267" s="36"/>
      <c r="AA2267" s="125" t="s">
        <v>121</v>
      </c>
      <c r="AB2267" s="172">
        <v>45877</v>
      </c>
      <c r="AC2267" s="119" t="s">
        <v>3532</v>
      </c>
      <c r="AD2267" s="36">
        <f t="shared" si="256"/>
        <v>5410524</v>
      </c>
      <c r="AE2267" s="36" t="str">
        <f t="shared" si="257"/>
        <v>TK.KWVE20-B-A-L-0038-WW1</v>
      </c>
      <c r="AF2267" s="36">
        <v>64</v>
      </c>
      <c r="AG2267" s="120">
        <f t="shared" si="255"/>
        <v>366.08</v>
      </c>
      <c r="AH2267" s="36"/>
      <c r="AI2267" s="124"/>
      <c r="AJ2267" s="122" t="s">
        <v>3533</v>
      </c>
      <c r="AK2267" s="129" t="str">
        <f t="shared" ca="1" si="254"/>
        <v>On Time</v>
      </c>
      <c r="AL2267" s="268" t="str">
        <f t="shared" si="253"/>
        <v>August</v>
      </c>
      <c r="AM2267" s="133">
        <f>YEAR(Table1[[#This Row],[ETA
As requested
dd.mm.yyyy]])</f>
        <v>2025</v>
      </c>
    </row>
    <row r="2268" spans="1:39" hidden="1">
      <c r="A2268" s="123" t="s">
        <v>83</v>
      </c>
      <c r="B2268" s="36" t="s">
        <v>1170</v>
      </c>
      <c r="C2268" s="117">
        <v>5410524</v>
      </c>
      <c r="D2268" s="165">
        <v>45777</v>
      </c>
      <c r="E2268" s="117" t="s">
        <v>100</v>
      </c>
      <c r="F2268" s="36" t="str">
        <f>IFERROR(VLOOKUP(Table1[[#This Row],[Part Number]],DATABASE_FG!$C$6:D12257,2,FALSE)," ")</f>
        <v>054830877-8011</v>
      </c>
      <c r="G2268" s="117" t="str">
        <f>IFERROR(_xlfn.XLOOKUP(Table1[[#This Row],[Part Number]],Table3[Part number],Table3[Drawing
 Revision]),"")</f>
        <v>AA</v>
      </c>
      <c r="H2268" s="118" cm="1">
        <f t="array" ref="H2268">IFERROR(INDEX(PDB!$C:$AT,MATCH(E2268,PDB!$B:$B,0),MATCH(YEAR(K2268),0+PDB!$C$1:$AT$1,0)),"")</f>
        <v>5.72</v>
      </c>
      <c r="I2268" s="36">
        <v>64</v>
      </c>
      <c r="J2268" s="125">
        <f>IFERROR(Table1[[#This Row],[Quantity]]*Table1[[#This Row],[Price/Unit
EUR]]," ")</f>
        <v>366.08</v>
      </c>
      <c r="K2268" s="126">
        <v>45881</v>
      </c>
      <c r="L2268" s="36">
        <f>WEEKNUM(Table1[[#This Row],[ETA
As requested
dd.mm.yyyy]])</f>
        <v>33</v>
      </c>
      <c r="M2268" s="36">
        <f>YEAR(Table1[[#This Row],[ETA
As requested
dd.mm.yyyy]])</f>
        <v>2025</v>
      </c>
      <c r="N2268" s="36">
        <f>IFERROR(INDEX(DATABASE_FG!$H$5:$H$367, MATCH(E2268, DATABASE_FG!$C$5:$C$367, 0)), " ")</f>
        <v>0</v>
      </c>
      <c r="O2268" s="129" t="str">
        <f>IF(E2268&lt;&gt;"", _xlfn.XLOOKUP(E2268, DATABASE_FG!C:C, DATABASE_FG!F:F), " ")</f>
        <v>Ghidaje</v>
      </c>
      <c r="P2268" s="36">
        <f>IFERROR(INDEX(DATABASE_FG!$G$5:$G$367, MATCH(E2268, DATABASE_FG!$C$5:$C$367, 0)), "Not Found")</f>
        <v>0</v>
      </c>
      <c r="Q2268" s="36"/>
      <c r="R2268" s="125" t="s">
        <v>678</v>
      </c>
      <c r="S2268" s="123">
        <f>Table1[[#This Row],[Quantity]]/48</f>
        <v>1.3333333333333333</v>
      </c>
      <c r="T2268" s="36"/>
      <c r="U2268" s="36"/>
      <c r="V2268" s="36"/>
      <c r="W2268" s="129"/>
      <c r="X2268" s="36"/>
      <c r="Y2268" s="36"/>
      <c r="Z2268" s="36"/>
      <c r="AA2268" s="125" t="s">
        <v>121</v>
      </c>
      <c r="AB2268" s="172">
        <v>45880</v>
      </c>
      <c r="AC2268" s="119">
        <v>202597</v>
      </c>
      <c r="AD2268" s="36">
        <f t="shared" si="256"/>
        <v>5410524</v>
      </c>
      <c r="AE2268" s="36" t="str">
        <f t="shared" si="257"/>
        <v>TK.KWVE20-B-A-L-0038-WW1</v>
      </c>
      <c r="AF2268" s="36">
        <v>64</v>
      </c>
      <c r="AG2268" s="120">
        <f t="shared" si="255"/>
        <v>366.08</v>
      </c>
      <c r="AH2268" s="36"/>
      <c r="AI2268" s="124"/>
      <c r="AJ2268" s="122" t="s">
        <v>3534</v>
      </c>
      <c r="AK2268" s="129" t="str">
        <f t="shared" ca="1" si="254"/>
        <v>On Time</v>
      </c>
      <c r="AL2268" s="268" t="str">
        <f t="shared" si="253"/>
        <v>August</v>
      </c>
      <c r="AM2268" s="133">
        <f>YEAR(Table1[[#This Row],[ETA
As requested
dd.mm.yyyy]])</f>
        <v>2025</v>
      </c>
    </row>
    <row r="2269" spans="1:39" hidden="1">
      <c r="A2269" s="157" t="s">
        <v>83</v>
      </c>
      <c r="B2269" s="158" t="s">
        <v>1170</v>
      </c>
      <c r="C2269" s="159">
        <v>5410524</v>
      </c>
      <c r="D2269" s="166">
        <v>45777</v>
      </c>
      <c r="E2269" s="159" t="s">
        <v>100</v>
      </c>
      <c r="F2269" s="36" t="str">
        <f>IFERROR(VLOOKUP(Table1[[#This Row],[Part Number]],DATABASE_FG!$C$6:D12258,2,FALSE)," ")</f>
        <v>054830877-8011</v>
      </c>
      <c r="G2269" s="117" t="str">
        <f>IFERROR(_xlfn.XLOOKUP(Table1[[#This Row],[Part Number]],Table3[Part number],Table3[Drawing
 Revision]),"")</f>
        <v>AA</v>
      </c>
      <c r="H2269" s="118" cm="1">
        <f t="array" ref="H2269">IFERROR(INDEX(PDB!$C:$AT,MATCH(E2269,PDB!$B:$B,0),MATCH(YEAR(K2269),0+PDB!$C$1:$AT$1,0)),"")</f>
        <v>5.72</v>
      </c>
      <c r="I2269" s="158">
        <v>80</v>
      </c>
      <c r="J2269" s="160">
        <f>IFERROR(Table1[[#This Row],[Quantity]]*Table1[[#This Row],[Price/Unit
EUR]]," ")</f>
        <v>457.59999999999997</v>
      </c>
      <c r="K2269" s="126">
        <v>45881</v>
      </c>
      <c r="L2269" s="36">
        <f>WEEKNUM(Table1[[#This Row],[ETA
As requested
dd.mm.yyyy]])</f>
        <v>33</v>
      </c>
      <c r="M2269" s="36">
        <f>YEAR(Table1[[#This Row],[ETA
As requested
dd.mm.yyyy]])</f>
        <v>2025</v>
      </c>
      <c r="N2269" s="36">
        <f>IFERROR(INDEX(DATABASE_FG!$H$5:$H$367, MATCH(E2269, DATABASE_FG!$C$5:$C$367, 0)), " ")</f>
        <v>0</v>
      </c>
      <c r="O2269" s="129" t="str">
        <f>IF(E2269&lt;&gt;"", _xlfn.XLOOKUP(E2269, DATABASE_FG!C:C, DATABASE_FG!F:F), " ")</f>
        <v>Ghidaje</v>
      </c>
      <c r="P2269" s="36">
        <f>IFERROR(INDEX(DATABASE_FG!$G$5:$G$367, MATCH(E2269, DATABASE_FG!$C$5:$C$367, 0)), "Not Found")</f>
        <v>0</v>
      </c>
      <c r="Q2269" s="36"/>
      <c r="R2269" s="125" t="s">
        <v>678</v>
      </c>
      <c r="S2269" s="123">
        <f>Table1[[#This Row],[Quantity]]/48</f>
        <v>1.6666666666666667</v>
      </c>
      <c r="T2269" s="36"/>
      <c r="U2269" s="36"/>
      <c r="V2269" s="36"/>
      <c r="W2269" s="129"/>
      <c r="X2269" s="36"/>
      <c r="Y2269" s="36"/>
      <c r="Z2269" s="36"/>
      <c r="AA2269" s="125" t="s">
        <v>121</v>
      </c>
      <c r="AB2269" s="173">
        <v>45882</v>
      </c>
      <c r="AC2269" s="119" t="s">
        <v>3535</v>
      </c>
      <c r="AD2269" s="36">
        <f t="shared" si="256"/>
        <v>5410524</v>
      </c>
      <c r="AE2269" s="36" t="str">
        <f t="shared" si="257"/>
        <v>TK.KWVE20-B-A-L-0038-WW1</v>
      </c>
      <c r="AF2269" s="36">
        <v>80</v>
      </c>
      <c r="AG2269" s="120">
        <f t="shared" si="255"/>
        <v>457.59999999999997</v>
      </c>
      <c r="AH2269" s="36"/>
      <c r="AI2269" s="124"/>
      <c r="AJ2269" s="122" t="s">
        <v>3536</v>
      </c>
      <c r="AK2269" s="129" t="str">
        <f t="shared" ca="1" si="254"/>
        <v>On Time</v>
      </c>
      <c r="AL2269" s="268" t="str">
        <f t="shared" si="253"/>
        <v>August</v>
      </c>
      <c r="AM2269" s="133">
        <f>YEAR(Table1[[#This Row],[ETA
As requested
dd.mm.yyyy]])</f>
        <v>2025</v>
      </c>
    </row>
    <row r="2270" spans="1:39" hidden="1">
      <c r="A2270" s="155" t="s">
        <v>83</v>
      </c>
      <c r="B2270" s="155" t="s">
        <v>1170</v>
      </c>
      <c r="C2270" s="156">
        <v>5410524</v>
      </c>
      <c r="D2270" s="167">
        <v>45777</v>
      </c>
      <c r="E2270" s="156" t="s">
        <v>100</v>
      </c>
      <c r="F2270" s="36" t="str">
        <f>IFERROR(VLOOKUP(Table1[[#This Row],[Part Number]],DATABASE_FG!$C$6:D12259,2,FALSE)," ")</f>
        <v>054830877-8011</v>
      </c>
      <c r="G2270" s="117" t="str">
        <f>IFERROR(_xlfn.XLOOKUP(Table1[[#This Row],[Part Number]],Table3[Part number],Table3[Drawing
 Revision]),"")</f>
        <v>AA</v>
      </c>
      <c r="H2270" s="118" cm="1">
        <f t="array" ref="H2270">IFERROR(INDEX(PDB!$C:$AT,MATCH(E2270,PDB!$B:$B,0),MATCH(YEAR(K2270),0+PDB!$C$1:$AT$1,0)),"")</f>
        <v>5.72</v>
      </c>
      <c r="I2270" s="155">
        <v>30</v>
      </c>
      <c r="J2270" s="155">
        <f>IFERROR(Table1[[#This Row],[Quantity]]*Table1[[#This Row],[Price/Unit
EUR]]," ")</f>
        <v>171.6</v>
      </c>
      <c r="K2270" s="121">
        <v>45881</v>
      </c>
      <c r="L2270" s="36">
        <f>WEEKNUM(Table1[[#This Row],[ETA
As requested
dd.mm.yyyy]])</f>
        <v>33</v>
      </c>
      <c r="M2270" s="36">
        <f>YEAR(Table1[[#This Row],[ETA
As requested
dd.mm.yyyy]])</f>
        <v>2025</v>
      </c>
      <c r="N2270" s="36">
        <f>IFERROR(INDEX(DATABASE_FG!$H$5:$H$367, MATCH(E2270, DATABASE_FG!$C$5:$C$367, 0)), " ")</f>
        <v>0</v>
      </c>
      <c r="O2270" s="129" t="str">
        <f>IF(E2270&lt;&gt;"", _xlfn.XLOOKUP(E2270, DATABASE_FG!C:C, DATABASE_FG!F:F), " ")</f>
        <v>Ghidaje</v>
      </c>
      <c r="P2270" s="36">
        <f>IFERROR(INDEX(DATABASE_FG!$G$5:$G$367, MATCH(E2270, DATABASE_FG!$C$5:$C$367, 0)), "Not Found")</f>
        <v>0</v>
      </c>
      <c r="Q2270" s="36"/>
      <c r="R2270" s="125" t="s">
        <v>678</v>
      </c>
      <c r="S2270" s="123">
        <f>Table1[[#This Row],[Quantity]]/48</f>
        <v>0.625</v>
      </c>
      <c r="T2270" s="36"/>
      <c r="U2270" s="36"/>
      <c r="V2270" s="36"/>
      <c r="W2270" s="129"/>
      <c r="X2270" s="36"/>
      <c r="Y2270" s="36"/>
      <c r="Z2270" s="36"/>
      <c r="AA2270" s="125" t="s">
        <v>121</v>
      </c>
      <c r="AB2270" s="173">
        <v>45889</v>
      </c>
      <c r="AC2270" s="119" t="s">
        <v>3542</v>
      </c>
      <c r="AD2270" s="36">
        <f t="shared" si="256"/>
        <v>5410524</v>
      </c>
      <c r="AE2270" s="36" t="str">
        <f t="shared" si="257"/>
        <v>TK.KWVE20-B-A-L-0038-WW1</v>
      </c>
      <c r="AF2270" s="36">
        <v>30</v>
      </c>
      <c r="AG2270" s="120">
        <f t="shared" si="255"/>
        <v>171.6</v>
      </c>
      <c r="AH2270" s="36"/>
      <c r="AI2270" s="124"/>
      <c r="AJ2270" s="122" t="s">
        <v>3543</v>
      </c>
      <c r="AK2270" s="129" t="str">
        <f t="shared" ca="1" si="254"/>
        <v>Late</v>
      </c>
      <c r="AL2270" s="268" t="str">
        <f t="shared" si="253"/>
        <v>August</v>
      </c>
      <c r="AM2270" s="133">
        <f>YEAR(Table1[[#This Row],[ETA
As requested
dd.mm.yyyy]])</f>
        <v>2025</v>
      </c>
    </row>
    <row r="2271" spans="1:39" hidden="1">
      <c r="A2271" s="155" t="s">
        <v>83</v>
      </c>
      <c r="B2271" s="155" t="s">
        <v>1170</v>
      </c>
      <c r="C2271" s="156">
        <v>5410524</v>
      </c>
      <c r="D2271" s="167">
        <v>45777</v>
      </c>
      <c r="E2271" s="156" t="s">
        <v>100</v>
      </c>
      <c r="F2271" s="36" t="str">
        <f>IFERROR(VLOOKUP(Table1[[#This Row],[Part Number]],DATABASE_FG!$C$6:D12260,2,FALSE)," ")</f>
        <v>054830877-8011</v>
      </c>
      <c r="G2271" s="117" t="str">
        <f>IFERROR(_xlfn.XLOOKUP(Table1[[#This Row],[Part Number]],Table3[Part number],Table3[Drawing
 Revision]),"")</f>
        <v>AA</v>
      </c>
      <c r="H2271" s="118" cm="1">
        <f t="array" ref="H2271">IFERROR(INDEX(PDB!$C:$AT,MATCH(E2271,PDB!$B:$B,0),MATCH(YEAR(K2271),0+PDB!$C$1:$AT$1,0)),"")</f>
        <v>5.72</v>
      </c>
      <c r="I2271" s="155">
        <f>300-7-64-64-80-30</f>
        <v>55</v>
      </c>
      <c r="J2271" s="155">
        <f>IFERROR(Table1[[#This Row],[Quantity]]*Table1[[#This Row],[Price/Unit
EUR]]," ")</f>
        <v>314.59999999999997</v>
      </c>
      <c r="K2271" s="121">
        <v>45881</v>
      </c>
      <c r="L2271" s="36">
        <f>WEEKNUM(Table1[[#This Row],[ETA
As requested
dd.mm.yyyy]])</f>
        <v>33</v>
      </c>
      <c r="M2271" s="36">
        <f>YEAR(Table1[[#This Row],[ETA
As requested
dd.mm.yyyy]])</f>
        <v>2025</v>
      </c>
      <c r="N2271" s="36">
        <f>IFERROR(INDEX(DATABASE_FG!$H$5:$H$367, MATCH(E2271, DATABASE_FG!$C$5:$C$367, 0)), " ")</f>
        <v>0</v>
      </c>
      <c r="O2271" s="129" t="str">
        <f>IF(E2271&lt;&gt;"", _xlfn.XLOOKUP(E2271, DATABASE_FG!C:C, DATABASE_FG!F:F), " ")</f>
        <v>Ghidaje</v>
      </c>
      <c r="P2271" s="36">
        <f>IFERROR(INDEX(DATABASE_FG!$G$5:$G$367, MATCH(E2271, DATABASE_FG!$C$5:$C$367, 0)), "Not Found")</f>
        <v>0</v>
      </c>
      <c r="Q2271" s="36"/>
      <c r="R2271" s="125" t="s">
        <v>678</v>
      </c>
      <c r="S2271" s="123">
        <f>Table1[[#This Row],[Quantity]]/48</f>
        <v>1.1458333333333333</v>
      </c>
      <c r="T2271" s="36"/>
      <c r="U2271" s="36"/>
      <c r="V2271" s="36"/>
      <c r="W2271" s="129"/>
      <c r="X2271" s="36"/>
      <c r="Y2271" s="36"/>
      <c r="Z2271" s="36"/>
      <c r="AA2271" s="125" t="s">
        <v>121</v>
      </c>
      <c r="AB2271" s="173">
        <v>45891</v>
      </c>
      <c r="AC2271" s="119" t="s">
        <v>3544</v>
      </c>
      <c r="AD2271" s="36">
        <f t="shared" si="256"/>
        <v>5410524</v>
      </c>
      <c r="AE2271" s="36" t="str">
        <f t="shared" si="257"/>
        <v>TK.KWVE20-B-A-L-0038-WW1</v>
      </c>
      <c r="AF2271" s="36">
        <v>55</v>
      </c>
      <c r="AG2271" s="120">
        <f t="shared" si="255"/>
        <v>314.59999999999997</v>
      </c>
      <c r="AH2271" s="36"/>
      <c r="AI2271" s="124"/>
      <c r="AJ2271" s="122" t="s">
        <v>3545</v>
      </c>
      <c r="AK2271" s="129" t="str">
        <f t="shared" ca="1" si="254"/>
        <v>Late</v>
      </c>
      <c r="AL2271" s="268" t="str">
        <f t="shared" si="253"/>
        <v>August</v>
      </c>
      <c r="AM2271" s="133">
        <f>YEAR(Table1[[#This Row],[ETA
As requested
dd.mm.yyyy]])</f>
        <v>2025</v>
      </c>
    </row>
    <row r="2272" spans="1:39" hidden="1">
      <c r="A2272" s="155" t="s">
        <v>83</v>
      </c>
      <c r="B2272" s="155" t="s">
        <v>1170</v>
      </c>
      <c r="C2272" s="156">
        <v>5410524</v>
      </c>
      <c r="D2272" s="167">
        <v>45777</v>
      </c>
      <c r="E2272" s="156" t="s">
        <v>100</v>
      </c>
      <c r="F2272" s="36" t="str">
        <f>IFERROR(VLOOKUP(Table1[[#This Row],[Part Number]],DATABASE_FG!$C$6:D12261,2,FALSE)," ")</f>
        <v>054830877-8011</v>
      </c>
      <c r="G2272" s="117" t="str">
        <f>IFERROR(_xlfn.XLOOKUP(Table1[[#This Row],[Part Number]],Table3[Part number],Table3[Drawing
 Revision]),"")</f>
        <v>AA</v>
      </c>
      <c r="H2272" s="118" cm="1">
        <f t="array" ref="H2272">IFERROR(INDEX(PDB!$C:$AT,MATCH(E2272,PDB!$B:$B,0),MATCH(YEAR(K2272),0+PDB!$C$1:$AT$1,0)),"")</f>
        <v>5.72</v>
      </c>
      <c r="I2272" s="155">
        <v>300</v>
      </c>
      <c r="J2272" s="155">
        <f>IFERROR(Table1[[#This Row],[Quantity]]*Table1[[#This Row],[Price/Unit
EUR]]," ")</f>
        <v>1716</v>
      </c>
      <c r="K2272" s="121">
        <v>45888</v>
      </c>
      <c r="L2272" s="36">
        <f>WEEKNUM(Table1[[#This Row],[ETA
As requested
dd.mm.yyyy]])</f>
        <v>34</v>
      </c>
      <c r="M2272" s="36">
        <f>YEAR(Table1[[#This Row],[ETA
As requested
dd.mm.yyyy]])</f>
        <v>2025</v>
      </c>
      <c r="N2272" s="36">
        <f>IFERROR(INDEX(DATABASE_FG!$H$5:$H$367, MATCH(E2272, DATABASE_FG!$C$5:$C$367, 0)), " ")</f>
        <v>0</v>
      </c>
      <c r="O2272" s="129" t="str">
        <f>IF(E2272&lt;&gt;"", _xlfn.XLOOKUP(E2272, DATABASE_FG!C:C, DATABASE_FG!F:F), " ")</f>
        <v>Ghidaje</v>
      </c>
      <c r="P2272" s="36">
        <f>IFERROR(INDEX(DATABASE_FG!$G$5:$G$367, MATCH(E2272, DATABASE_FG!$C$5:$C$367, 0)), "Not Found")</f>
        <v>0</v>
      </c>
      <c r="Q2272" s="36"/>
      <c r="R2272" s="125" t="s">
        <v>678</v>
      </c>
      <c r="S2272" s="123">
        <f>Table1[[#This Row],[Quantity]]/48</f>
        <v>6.25</v>
      </c>
      <c r="T2272" s="36"/>
      <c r="U2272" s="36"/>
      <c r="V2272" s="36"/>
      <c r="W2272" s="129"/>
      <c r="X2272" s="36"/>
      <c r="Y2272" s="36"/>
      <c r="Z2272" s="36"/>
      <c r="AA2272" s="125" t="s">
        <v>121</v>
      </c>
      <c r="AB2272" s="173">
        <v>45891</v>
      </c>
      <c r="AC2272" s="119" t="s">
        <v>3544</v>
      </c>
      <c r="AD2272" s="36">
        <f t="shared" si="256"/>
        <v>5410524</v>
      </c>
      <c r="AE2272" s="36" t="str">
        <f t="shared" si="257"/>
        <v>TK.KWVE20-B-A-L-0038-WW1</v>
      </c>
      <c r="AF2272" s="36">
        <v>300</v>
      </c>
      <c r="AG2272" s="120">
        <f t="shared" si="255"/>
        <v>1716</v>
      </c>
      <c r="AH2272" s="36"/>
      <c r="AI2272" s="124"/>
      <c r="AJ2272" s="122" t="s">
        <v>3545</v>
      </c>
      <c r="AK2272" s="129" t="str">
        <f t="shared" ca="1" si="254"/>
        <v>Late</v>
      </c>
      <c r="AL2272" s="268" t="str">
        <f t="shared" si="253"/>
        <v>August</v>
      </c>
      <c r="AM2272" s="133">
        <f>YEAR(Table1[[#This Row],[ETA
As requested
dd.mm.yyyy]])</f>
        <v>2025</v>
      </c>
    </row>
    <row r="2273" spans="1:40" hidden="1">
      <c r="A2273" s="155" t="s">
        <v>83</v>
      </c>
      <c r="B2273" s="155" t="s">
        <v>1170</v>
      </c>
      <c r="C2273" s="156">
        <v>5410524</v>
      </c>
      <c r="D2273" s="167">
        <v>45777</v>
      </c>
      <c r="E2273" s="156" t="s">
        <v>100</v>
      </c>
      <c r="F2273" s="36" t="str">
        <f>IFERROR(VLOOKUP(Table1[[#This Row],[Part Number]],DATABASE_FG!$C$6:D12262,2,FALSE)," ")</f>
        <v>054830877-8011</v>
      </c>
      <c r="G2273" s="117" t="str">
        <f>IFERROR(_xlfn.XLOOKUP(Table1[[#This Row],[Part Number]],Table3[Part number],Table3[Drawing
 Revision]),"")</f>
        <v>AA</v>
      </c>
      <c r="H2273" s="118" cm="1">
        <f t="array" ref="H2273">IFERROR(INDEX(PDB!$C:$AT,MATCH(E2273,PDB!$B:$B,0),MATCH(YEAR(K2273),0+PDB!$C$1:$AT$1,0)),"")</f>
        <v>5.72</v>
      </c>
      <c r="I2273" s="155">
        <v>88</v>
      </c>
      <c r="J2273" s="155">
        <f>IFERROR(Table1[[#This Row],[Quantity]]*Table1[[#This Row],[Price/Unit
EUR]]," ")</f>
        <v>503.35999999999996</v>
      </c>
      <c r="K2273" s="121">
        <v>45895</v>
      </c>
      <c r="L2273" s="36">
        <f>WEEKNUM(Table1[[#This Row],[ETA
As requested
dd.mm.yyyy]])</f>
        <v>35</v>
      </c>
      <c r="M2273" s="36">
        <f>YEAR(Table1[[#This Row],[ETA
As requested
dd.mm.yyyy]])</f>
        <v>2025</v>
      </c>
      <c r="N2273" s="36">
        <f>IFERROR(INDEX(DATABASE_FG!$H$5:$H$367, MATCH(E2273, DATABASE_FG!$C$5:$C$367, 0)), " ")</f>
        <v>0</v>
      </c>
      <c r="O2273" s="129" t="str">
        <f>IF(E2273&lt;&gt;"", _xlfn.XLOOKUP(E2273, DATABASE_FG!C:C, DATABASE_FG!F:F), " ")</f>
        <v>Ghidaje</v>
      </c>
      <c r="P2273" s="36">
        <f>IFERROR(INDEX(DATABASE_FG!$G$5:$G$367, MATCH(E2273, DATABASE_FG!$C$5:$C$367, 0)), "Not Found")</f>
        <v>0</v>
      </c>
      <c r="Q2273" s="36"/>
      <c r="R2273" s="125" t="s">
        <v>678</v>
      </c>
      <c r="S2273" s="123">
        <f>Table1[[#This Row],[Quantity]]/48</f>
        <v>1.8333333333333333</v>
      </c>
      <c r="T2273" s="36"/>
      <c r="U2273" s="36"/>
      <c r="V2273" s="36"/>
      <c r="W2273" s="129"/>
      <c r="X2273" s="36"/>
      <c r="Y2273" s="36"/>
      <c r="Z2273" s="36"/>
      <c r="AA2273" s="125" t="s">
        <v>121</v>
      </c>
      <c r="AB2273" s="173">
        <v>45891</v>
      </c>
      <c r="AC2273" s="119" t="s">
        <v>3544</v>
      </c>
      <c r="AD2273" s="36">
        <f t="shared" si="256"/>
        <v>5410524</v>
      </c>
      <c r="AE2273" s="36" t="str">
        <f t="shared" si="257"/>
        <v>TK.KWVE20-B-A-L-0038-WW1</v>
      </c>
      <c r="AF2273" s="36">
        <v>88</v>
      </c>
      <c r="AG2273" s="120">
        <f t="shared" si="255"/>
        <v>503.35999999999996</v>
      </c>
      <c r="AH2273" s="36"/>
      <c r="AI2273" s="124"/>
      <c r="AJ2273" s="122" t="s">
        <v>3545</v>
      </c>
      <c r="AK2273" s="129" t="str">
        <f t="shared" ca="1" si="254"/>
        <v>On Time</v>
      </c>
      <c r="AL2273" s="268" t="str">
        <f t="shared" si="253"/>
        <v>August</v>
      </c>
      <c r="AM2273" s="133">
        <f>YEAR(Table1[[#This Row],[ETA
As requested
dd.mm.yyyy]])</f>
        <v>2025</v>
      </c>
    </row>
    <row r="2274" spans="1:40" hidden="1">
      <c r="A2274" s="155" t="s">
        <v>83</v>
      </c>
      <c r="B2274" s="155" t="s">
        <v>1170</v>
      </c>
      <c r="C2274" s="156">
        <v>5410524</v>
      </c>
      <c r="D2274" s="167">
        <v>45777</v>
      </c>
      <c r="E2274" s="156" t="s">
        <v>100</v>
      </c>
      <c r="F2274" s="36" t="str">
        <f>IFERROR(VLOOKUP(Table1[[#This Row],[Part Number]],DATABASE_FG!$C$6:D12263,2,FALSE)," ")</f>
        <v>054830877-8011</v>
      </c>
      <c r="G2274" s="117" t="str">
        <f>IFERROR(_xlfn.XLOOKUP(Table1[[#This Row],[Part Number]],Table3[Part number],Table3[Drawing
 Revision]),"")</f>
        <v>AA</v>
      </c>
      <c r="H2274" s="118" cm="1">
        <f t="array" ref="H2274">IFERROR(INDEX(PDB!$C:$AT,MATCH(E2274,PDB!$B:$B,0),MATCH(YEAR(K2274),0+PDB!$C$1:$AT$1,0)),"")</f>
        <v>5.72</v>
      </c>
      <c r="I2274" s="155">
        <v>96</v>
      </c>
      <c r="J2274" s="155">
        <f>IFERROR(Table1[[#This Row],[Quantity]]*Table1[[#This Row],[Price/Unit
EUR]]," ")</f>
        <v>549.12</v>
      </c>
      <c r="K2274" s="121">
        <v>45895</v>
      </c>
      <c r="L2274" s="36">
        <f>WEEKNUM(Table1[[#This Row],[ETA
As requested
dd.mm.yyyy]])</f>
        <v>35</v>
      </c>
      <c r="M2274" s="36">
        <f>YEAR(Table1[[#This Row],[ETA
As requested
dd.mm.yyyy]])</f>
        <v>2025</v>
      </c>
      <c r="N2274" s="36">
        <f>IFERROR(INDEX(DATABASE_FG!$H$5:$H$367, MATCH(E2274, DATABASE_FG!$C$5:$C$367, 0)), " ")</f>
        <v>0</v>
      </c>
      <c r="O2274" s="129" t="str">
        <f>IF(E2274&lt;&gt;"", _xlfn.XLOOKUP(E2274, DATABASE_FG!C:C, DATABASE_FG!F:F), " ")</f>
        <v>Ghidaje</v>
      </c>
      <c r="P2274" s="36">
        <f>IFERROR(INDEX(DATABASE_FG!$G$5:$G$367, MATCH(E2274, DATABASE_FG!$C$5:$C$367, 0)), "Not Found")</f>
        <v>0</v>
      </c>
      <c r="Q2274" s="36"/>
      <c r="R2274" s="125" t="s">
        <v>678</v>
      </c>
      <c r="S2274" s="123">
        <f>Table1[[#This Row],[Quantity]]/48</f>
        <v>2</v>
      </c>
      <c r="T2274" s="36"/>
      <c r="U2274" s="36"/>
      <c r="V2274" s="36"/>
      <c r="W2274" s="129"/>
      <c r="X2274" s="36"/>
      <c r="Y2274" s="36"/>
      <c r="Z2274" s="36"/>
      <c r="AA2274" s="125" t="s">
        <v>121</v>
      </c>
      <c r="AB2274" s="173">
        <v>45894</v>
      </c>
      <c r="AC2274" s="119" t="s">
        <v>3614</v>
      </c>
      <c r="AD2274" s="36">
        <f t="shared" si="256"/>
        <v>5410524</v>
      </c>
      <c r="AE2274" s="36" t="str">
        <f t="shared" si="257"/>
        <v>TK.KWVE20-B-A-L-0038-WW1</v>
      </c>
      <c r="AF2274" s="36">
        <v>96</v>
      </c>
      <c r="AG2274" s="120">
        <f t="shared" si="255"/>
        <v>549.12</v>
      </c>
      <c r="AH2274" s="36"/>
      <c r="AI2274" s="124"/>
      <c r="AJ2274" s="122" t="s">
        <v>3615</v>
      </c>
      <c r="AK2274" s="129" t="str">
        <f t="shared" ca="1" si="254"/>
        <v>On Time</v>
      </c>
      <c r="AL2274" s="268" t="str">
        <f t="shared" si="253"/>
        <v>August</v>
      </c>
      <c r="AM2274" s="133">
        <f>YEAR(Table1[[#This Row],[ETA
As requested
dd.mm.yyyy]])</f>
        <v>2025</v>
      </c>
    </row>
    <row r="2275" spans="1:40" hidden="1">
      <c r="A2275" s="155" t="s">
        <v>83</v>
      </c>
      <c r="B2275" s="155" t="s">
        <v>1170</v>
      </c>
      <c r="C2275" s="156">
        <v>5410524</v>
      </c>
      <c r="D2275" s="167">
        <v>45777</v>
      </c>
      <c r="E2275" s="156" t="s">
        <v>100</v>
      </c>
      <c r="F2275" s="36" t="str">
        <f>IFERROR(VLOOKUP(Table1[[#This Row],[Part Number]],DATABASE_FG!$C$6:D12264,2,FALSE)," ")</f>
        <v>054830877-8011</v>
      </c>
      <c r="G2275" s="117" t="str">
        <f>IFERROR(_xlfn.XLOOKUP(Table1[[#This Row],[Part Number]],Table3[Part number],Table3[Drawing
 Revision]),"")</f>
        <v>AA</v>
      </c>
      <c r="H2275" s="118" cm="1">
        <f t="array" ref="H2275">IFERROR(INDEX(PDB!$C:$AT,MATCH(E2275,PDB!$B:$B,0),MATCH(YEAR(K2275),0+PDB!$C$1:$AT$1,0)),"")</f>
        <v>5.72</v>
      </c>
      <c r="I2275" s="155">
        <v>96</v>
      </c>
      <c r="J2275" s="155">
        <f>IFERROR(Table1[[#This Row],[Quantity]]*Table1[[#This Row],[Price/Unit
EUR]]," ")</f>
        <v>549.12</v>
      </c>
      <c r="K2275" s="121">
        <v>45895</v>
      </c>
      <c r="L2275" s="36">
        <f>WEEKNUM(Table1[[#This Row],[ETA
As requested
dd.mm.yyyy]])</f>
        <v>35</v>
      </c>
      <c r="M2275" s="36">
        <f>YEAR(Table1[[#This Row],[ETA
As requested
dd.mm.yyyy]])</f>
        <v>2025</v>
      </c>
      <c r="N2275" s="36">
        <f>IFERROR(INDEX(DATABASE_FG!$H$5:$H$367, MATCH(E2275, DATABASE_FG!$C$5:$C$367, 0)), " ")</f>
        <v>0</v>
      </c>
      <c r="O2275" s="129" t="str">
        <f>IF(E2275&lt;&gt;"", _xlfn.XLOOKUP(E2275, DATABASE_FG!C:C, DATABASE_FG!F:F), " ")</f>
        <v>Ghidaje</v>
      </c>
      <c r="P2275" s="36">
        <f>IFERROR(INDEX(DATABASE_FG!$G$5:$G$367, MATCH(E2275, DATABASE_FG!$C$5:$C$367, 0)), "Not Found")</f>
        <v>0</v>
      </c>
      <c r="Q2275" s="36"/>
      <c r="R2275" s="125" t="s">
        <v>678</v>
      </c>
      <c r="S2275" s="123">
        <f>Table1[[#This Row],[Quantity]]/48</f>
        <v>2</v>
      </c>
      <c r="T2275" s="36"/>
      <c r="U2275" s="36"/>
      <c r="V2275" s="36"/>
      <c r="W2275" s="129"/>
      <c r="X2275" s="36"/>
      <c r="Y2275" s="36"/>
      <c r="Z2275" s="36"/>
      <c r="AA2275" s="125" t="s">
        <v>121</v>
      </c>
      <c r="AB2275" s="173">
        <v>45895</v>
      </c>
      <c r="AC2275" s="119" t="s">
        <v>3616</v>
      </c>
      <c r="AD2275" s="36">
        <f t="shared" si="256"/>
        <v>5410524</v>
      </c>
      <c r="AE2275" s="36" t="str">
        <f t="shared" si="257"/>
        <v>TK.KWVE20-B-A-L-0038-WW1</v>
      </c>
      <c r="AF2275" s="36">
        <v>96</v>
      </c>
      <c r="AG2275" s="120">
        <f t="shared" si="255"/>
        <v>549.12</v>
      </c>
      <c r="AH2275" s="36"/>
      <c r="AI2275" s="124"/>
      <c r="AJ2275" s="122" t="s">
        <v>3617</v>
      </c>
      <c r="AK2275" s="129" t="str">
        <f t="shared" ca="1" si="254"/>
        <v>On Time</v>
      </c>
      <c r="AL2275" s="268" t="str">
        <f t="shared" si="253"/>
        <v>August</v>
      </c>
      <c r="AM2275" s="133">
        <f>YEAR(Table1[[#This Row],[ETA
As requested
dd.mm.yyyy]])</f>
        <v>2025</v>
      </c>
    </row>
    <row r="2276" spans="1:40" hidden="1">
      <c r="A2276" s="155" t="s">
        <v>83</v>
      </c>
      <c r="B2276" s="155" t="s">
        <v>1170</v>
      </c>
      <c r="C2276" s="156">
        <v>5410524</v>
      </c>
      <c r="D2276" s="167">
        <v>45777</v>
      </c>
      <c r="E2276" s="156" t="s">
        <v>100</v>
      </c>
      <c r="F2276" s="36" t="str">
        <f>IFERROR(VLOOKUP(Table1[[#This Row],[Part Number]],DATABASE_FG!$C$6:D12265,2,FALSE)," ")</f>
        <v>054830877-8011</v>
      </c>
      <c r="G2276" s="117" t="str">
        <f>IFERROR(_xlfn.XLOOKUP(Table1[[#This Row],[Part Number]],Table3[Part number],Table3[Drawing
 Revision]),"")</f>
        <v>AA</v>
      </c>
      <c r="H2276" s="118" cm="1">
        <f t="array" ref="H2276">IFERROR(INDEX(PDB!$C:$AT,MATCH(E2276,PDB!$B:$B,0),MATCH(YEAR(K2276),0+PDB!$C$1:$AT$1,0)),"")</f>
        <v>5.72</v>
      </c>
      <c r="I2276" s="155">
        <f>300-88-96-96</f>
        <v>20</v>
      </c>
      <c r="J2276" s="155">
        <f>IFERROR(Table1[[#This Row],[Quantity]]*Table1[[#This Row],[Price/Unit
EUR]]," ")</f>
        <v>114.39999999999999</v>
      </c>
      <c r="K2276" s="121">
        <v>45895</v>
      </c>
      <c r="L2276" s="36">
        <f>WEEKNUM(Table1[[#This Row],[ETA
As requested
dd.mm.yyyy]])</f>
        <v>35</v>
      </c>
      <c r="M2276" s="36">
        <f>YEAR(Table1[[#This Row],[ETA
As requested
dd.mm.yyyy]])</f>
        <v>2025</v>
      </c>
      <c r="N2276" s="36">
        <f>IFERROR(INDEX(DATABASE_FG!$H$5:$H$367, MATCH(E2276, DATABASE_FG!$C$5:$C$367, 0)), " ")</f>
        <v>0</v>
      </c>
      <c r="O2276" s="129" t="str">
        <f>IF(E2276&lt;&gt;"", _xlfn.XLOOKUP(E2276, DATABASE_FG!C:C, DATABASE_FG!F:F), " ")</f>
        <v>Ghidaje</v>
      </c>
      <c r="P2276" s="36">
        <f>IFERROR(INDEX(DATABASE_FG!$G$5:$G$367, MATCH(E2276, DATABASE_FG!$C$5:$C$367, 0)), "Not Found")</f>
        <v>0</v>
      </c>
      <c r="Q2276" s="36"/>
      <c r="R2276" s="125" t="s">
        <v>678</v>
      </c>
      <c r="S2276" s="123">
        <f>Table1[[#This Row],[Quantity]]/48</f>
        <v>0.41666666666666669</v>
      </c>
      <c r="T2276" s="36"/>
      <c r="U2276" s="36"/>
      <c r="V2276" s="36"/>
      <c r="W2276" s="129"/>
      <c r="X2276" s="36"/>
      <c r="Y2276" s="36"/>
      <c r="Z2276" s="36"/>
      <c r="AA2276" s="125" t="s">
        <v>121</v>
      </c>
      <c r="AB2276" s="173">
        <v>45897</v>
      </c>
      <c r="AC2276" s="119" t="s">
        <v>3618</v>
      </c>
      <c r="AD2276" s="36">
        <f t="shared" si="256"/>
        <v>5410524</v>
      </c>
      <c r="AE2276" s="36" t="str">
        <f t="shared" si="257"/>
        <v>TK.KWVE20-B-A-L-0038-WW1</v>
      </c>
      <c r="AF2276" s="36">
        <v>20</v>
      </c>
      <c r="AG2276" s="120">
        <f t="shared" si="255"/>
        <v>114.39999999999999</v>
      </c>
      <c r="AH2276" s="36"/>
      <c r="AI2276" s="124"/>
      <c r="AJ2276" s="122" t="s">
        <v>3619</v>
      </c>
      <c r="AK2276" s="129" t="str">
        <f t="shared" ca="1" si="254"/>
        <v>On Time</v>
      </c>
      <c r="AL2276" s="268" t="str">
        <f t="shared" si="253"/>
        <v>August</v>
      </c>
      <c r="AM2276" s="133">
        <f>YEAR(Table1[[#This Row],[ETA
As requested
dd.mm.yyyy]])</f>
        <v>2025</v>
      </c>
    </row>
    <row r="2277" spans="1:40" hidden="1">
      <c r="A2277" s="155" t="s">
        <v>83</v>
      </c>
      <c r="B2277" s="155" t="s">
        <v>1170</v>
      </c>
      <c r="C2277" s="156">
        <v>5410524</v>
      </c>
      <c r="D2277" s="167">
        <v>45777</v>
      </c>
      <c r="E2277" s="156" t="s">
        <v>100</v>
      </c>
      <c r="F2277" s="36" t="str">
        <f>IFERROR(VLOOKUP(Table1[[#This Row],[Part Number]],DATABASE_FG!$C$6:D12266,2,FALSE)," ")</f>
        <v>054830877-8011</v>
      </c>
      <c r="G2277" s="117" t="str">
        <f>IFERROR(_xlfn.XLOOKUP(Table1[[#This Row],[Part Number]],Table3[Part number],Table3[Drawing
 Revision]),"")</f>
        <v>AA</v>
      </c>
      <c r="H2277" s="118" cm="1">
        <f t="array" ref="H2277">IFERROR(INDEX(PDB!$C:$AT,MATCH(E2277,PDB!$B:$B,0),MATCH(YEAR(K2277),0+PDB!$C$1:$AT$1,0)),"")</f>
        <v>5.72</v>
      </c>
      <c r="I2277" s="155">
        <v>50</v>
      </c>
      <c r="J2277" s="155">
        <f>IFERROR(Table1[[#This Row],[Quantity]]*Table1[[#This Row],[Price/Unit
EUR]]," ")</f>
        <v>286</v>
      </c>
      <c r="K2277" s="121">
        <v>45902</v>
      </c>
      <c r="L2277" s="36">
        <f>WEEKNUM(Table1[[#This Row],[ETA
As requested
dd.mm.yyyy]])</f>
        <v>36</v>
      </c>
      <c r="M2277" s="36">
        <f>YEAR(Table1[[#This Row],[ETA
As requested
dd.mm.yyyy]])</f>
        <v>2025</v>
      </c>
      <c r="N2277" s="36">
        <f>IFERROR(INDEX(DATABASE_FG!$H$5:$H$367, MATCH(E2277, DATABASE_FG!$C$5:$C$367, 0)), " ")</f>
        <v>0</v>
      </c>
      <c r="O2277" s="129" t="str">
        <f>IF(E2277&lt;&gt;"", _xlfn.XLOOKUP(E2277, DATABASE_FG!C:C, DATABASE_FG!F:F), " ")</f>
        <v>Ghidaje</v>
      </c>
      <c r="P2277" s="36">
        <f>IFERROR(INDEX(DATABASE_FG!$G$5:$G$367, MATCH(E2277, DATABASE_FG!$C$5:$C$367, 0)), "Not Found")</f>
        <v>0</v>
      </c>
      <c r="Q2277" s="36"/>
      <c r="R2277" s="125" t="s">
        <v>678</v>
      </c>
      <c r="S2277" s="123">
        <f>Table1[[#This Row],[Quantity]]/48</f>
        <v>1.0416666666666667</v>
      </c>
      <c r="T2277" s="36"/>
      <c r="U2277" s="36"/>
      <c r="V2277" s="36"/>
      <c r="W2277" s="129"/>
      <c r="X2277" s="36"/>
      <c r="Y2277" s="36"/>
      <c r="Z2277" s="36"/>
      <c r="AA2277" s="125" t="s">
        <v>121</v>
      </c>
      <c r="AB2277" s="173">
        <v>45897</v>
      </c>
      <c r="AC2277" s="119" t="s">
        <v>3618</v>
      </c>
      <c r="AD2277" s="36">
        <f t="shared" si="256"/>
        <v>5410524</v>
      </c>
      <c r="AE2277" s="36" t="str">
        <f t="shared" si="257"/>
        <v>TK.KWVE20-B-A-L-0038-WW1</v>
      </c>
      <c r="AF2277" s="36">
        <v>50</v>
      </c>
      <c r="AG2277" s="120">
        <f t="shared" si="255"/>
        <v>286</v>
      </c>
      <c r="AH2277" s="36"/>
      <c r="AI2277" s="124"/>
      <c r="AJ2277" s="122" t="s">
        <v>3619</v>
      </c>
      <c r="AK2277" s="129" t="str">
        <f t="shared" ca="1" si="254"/>
        <v>On Time</v>
      </c>
      <c r="AL2277" s="268" t="str">
        <f t="shared" si="253"/>
        <v>September</v>
      </c>
      <c r="AM2277" s="133">
        <f>YEAR(Table1[[#This Row],[ETA
As requested
dd.mm.yyyy]])</f>
        <v>2025</v>
      </c>
    </row>
    <row r="2278" spans="1:40" hidden="1">
      <c r="A2278" s="155" t="s">
        <v>83</v>
      </c>
      <c r="B2278" s="155" t="s">
        <v>1170</v>
      </c>
      <c r="C2278" s="156">
        <v>5410524</v>
      </c>
      <c r="D2278" s="167">
        <v>45777</v>
      </c>
      <c r="E2278" s="156" t="s">
        <v>100</v>
      </c>
      <c r="F2278" s="36" t="str">
        <f>IFERROR(VLOOKUP(Table1[[#This Row],[Part Number]],DATABASE_FG!$C$6:D12267,2,FALSE)," ")</f>
        <v>054830877-8011</v>
      </c>
      <c r="G2278" s="117" t="str">
        <f>IFERROR(_xlfn.XLOOKUP(Table1[[#This Row],[Part Number]],Table3[Part number],Table3[Drawing
 Revision]),"")</f>
        <v>AA</v>
      </c>
      <c r="H2278" s="118" cm="1">
        <f t="array" ref="H2278">IFERROR(INDEX(PDB!$C:$AT,MATCH(E2278,PDB!$B:$B,0),MATCH(YEAR(K2278),0+PDB!$C$1:$AT$1,0)),"")</f>
        <v>5.72</v>
      </c>
      <c r="I2278" s="155">
        <v>24</v>
      </c>
      <c r="J2278" s="155">
        <f>IFERROR(Table1[[#This Row],[Quantity]]*Table1[[#This Row],[Price/Unit
EUR]]," ")</f>
        <v>137.28</v>
      </c>
      <c r="K2278" s="121">
        <v>45916</v>
      </c>
      <c r="L2278" s="36">
        <f>WEEKNUM(Table1[[#This Row],[ETA
As requested
dd.mm.yyyy]])</f>
        <v>38</v>
      </c>
      <c r="M2278" s="36">
        <f>YEAR(Table1[[#This Row],[ETA
As requested
dd.mm.yyyy]])</f>
        <v>2025</v>
      </c>
      <c r="N2278" s="36">
        <f>IFERROR(INDEX(DATABASE_FG!$H$5:$H$367, MATCH(E2278, DATABASE_FG!$C$5:$C$367, 0)), " ")</f>
        <v>0</v>
      </c>
      <c r="O2278" s="129" t="str">
        <f>IF(E2278&lt;&gt;"", _xlfn.XLOOKUP(E2278, DATABASE_FG!C:C, DATABASE_FG!F:F), " ")</f>
        <v>Ghidaje</v>
      </c>
      <c r="P2278" s="36">
        <f>IFERROR(INDEX(DATABASE_FG!$G$5:$G$367, MATCH(E2278, DATABASE_FG!$C$5:$C$367, 0)), "Not Found")</f>
        <v>0</v>
      </c>
      <c r="Q2278" s="36"/>
      <c r="R2278" s="125" t="s">
        <v>678</v>
      </c>
      <c r="S2278" s="123">
        <f>Table1[[#This Row],[Quantity]]/48</f>
        <v>0.5</v>
      </c>
      <c r="T2278" s="36"/>
      <c r="U2278" s="36"/>
      <c r="V2278" s="36"/>
      <c r="W2278" s="129"/>
      <c r="X2278" s="36"/>
      <c r="Y2278" s="36"/>
      <c r="Z2278" s="36"/>
      <c r="AA2278" s="125" t="s">
        <v>121</v>
      </c>
      <c r="AB2278" s="173">
        <v>45897</v>
      </c>
      <c r="AC2278" s="119" t="s">
        <v>3618</v>
      </c>
      <c r="AD2278" s="36">
        <f t="shared" si="256"/>
        <v>5410524</v>
      </c>
      <c r="AE2278" s="36" t="str">
        <f t="shared" si="257"/>
        <v>TK.KWVE20-B-A-L-0038-WW1</v>
      </c>
      <c r="AF2278" s="36">
        <v>24</v>
      </c>
      <c r="AG2278" s="120">
        <f t="shared" si="255"/>
        <v>137.28</v>
      </c>
      <c r="AH2278" s="36"/>
      <c r="AI2278" s="124"/>
      <c r="AJ2278" s="122" t="s">
        <v>3619</v>
      </c>
      <c r="AK2278" s="129" t="str">
        <f t="shared" ca="1" si="254"/>
        <v>On Time</v>
      </c>
      <c r="AL2278" s="268" t="str">
        <f t="shared" si="253"/>
        <v>September</v>
      </c>
      <c r="AM2278" s="133">
        <f>YEAR(Table1[[#This Row],[ETA
As requested
dd.mm.yyyy]])</f>
        <v>2025</v>
      </c>
    </row>
    <row r="2279" spans="1:40" hidden="1">
      <c r="A2279" s="155" t="s">
        <v>83</v>
      </c>
      <c r="B2279" s="155" t="s">
        <v>1170</v>
      </c>
      <c r="C2279" s="156">
        <v>5410524</v>
      </c>
      <c r="D2279" s="167">
        <v>45777</v>
      </c>
      <c r="E2279" s="156" t="s">
        <v>100</v>
      </c>
      <c r="F2279" s="36" t="str">
        <f>IFERROR(VLOOKUP(Table1[[#This Row],[Part Number]],DATABASE_FG!$C$6:D12268,2,FALSE)," ")</f>
        <v>054830877-8011</v>
      </c>
      <c r="G2279" s="117" t="str">
        <f>IFERROR(_xlfn.XLOOKUP(Table1[[#This Row],[Part Number]],Table3[Part number],Table3[Drawing
 Revision]),"")</f>
        <v>AA</v>
      </c>
      <c r="H2279" s="118" cm="1">
        <f t="array" ref="H2279">IFERROR(INDEX(PDB!$C:$AT,MATCH(E2279,PDB!$B:$B,0),MATCH(YEAR(K2279),0+PDB!$C$1:$AT$1,0)),"")</f>
        <v>5.72</v>
      </c>
      <c r="I2279" s="155">
        <v>79</v>
      </c>
      <c r="J2279" s="155">
        <f>IFERROR(Table1[[#This Row],[Quantity]]*Table1[[#This Row],[Price/Unit
EUR]]," ")</f>
        <v>451.88</v>
      </c>
      <c r="K2279" s="121">
        <v>45916</v>
      </c>
      <c r="L2279" s="36">
        <f>WEEKNUM(Table1[[#This Row],[ETA
As requested
dd.mm.yyyy]])</f>
        <v>38</v>
      </c>
      <c r="M2279" s="36">
        <f>YEAR(Table1[[#This Row],[ETA
As requested
dd.mm.yyyy]])</f>
        <v>2025</v>
      </c>
      <c r="N2279" s="36">
        <f>IFERROR(INDEX(DATABASE_FG!$H$5:$H$367, MATCH(E2279, DATABASE_FG!$C$5:$C$367, 0)), " ")</f>
        <v>0</v>
      </c>
      <c r="O2279" s="129" t="str">
        <f>IF(E2279&lt;&gt;"", _xlfn.XLOOKUP(E2279, DATABASE_FG!C:C, DATABASE_FG!F:F), " ")</f>
        <v>Ghidaje</v>
      </c>
      <c r="P2279" s="36">
        <f>IFERROR(INDEX(DATABASE_FG!$G$5:$G$367, MATCH(E2279, DATABASE_FG!$C$5:$C$367, 0)), "Not Found")</f>
        <v>0</v>
      </c>
      <c r="Q2279" s="36"/>
      <c r="R2279" s="125" t="s">
        <v>678</v>
      </c>
      <c r="S2279" s="123">
        <f>Table1[[#This Row],[Quantity]]/48</f>
        <v>1.6458333333333333</v>
      </c>
      <c r="T2279" s="36"/>
      <c r="U2279" s="36"/>
      <c r="V2279" s="36"/>
      <c r="W2279" s="129"/>
      <c r="X2279" s="36"/>
      <c r="Y2279" s="36"/>
      <c r="Z2279" s="36"/>
      <c r="AA2279" s="125" t="s">
        <v>121</v>
      </c>
      <c r="AB2279" s="173">
        <v>45899</v>
      </c>
      <c r="AC2279" s="119" t="s">
        <v>3691</v>
      </c>
      <c r="AD2279" s="36">
        <f t="shared" si="256"/>
        <v>5410524</v>
      </c>
      <c r="AE2279" s="36" t="str">
        <f t="shared" si="257"/>
        <v>TK.KWVE20-B-A-L-0038-WW1</v>
      </c>
      <c r="AF2279" s="36">
        <v>79</v>
      </c>
      <c r="AG2279" s="120">
        <f t="shared" si="255"/>
        <v>451.88</v>
      </c>
      <c r="AH2279" s="36"/>
      <c r="AI2279" s="124"/>
      <c r="AJ2279" s="122" t="s">
        <v>3692</v>
      </c>
      <c r="AK2279" s="129" t="str">
        <f t="shared" ca="1" si="254"/>
        <v>On Time</v>
      </c>
      <c r="AL2279" s="268" t="str">
        <f t="shared" si="253"/>
        <v>September</v>
      </c>
      <c r="AM2279" s="133">
        <f>YEAR(Table1[[#This Row],[ETA
As requested
dd.mm.yyyy]])</f>
        <v>2025</v>
      </c>
    </row>
    <row r="2280" spans="1:40" hidden="1">
      <c r="A2280" s="155" t="s">
        <v>83</v>
      </c>
      <c r="B2280" s="155" t="s">
        <v>1170</v>
      </c>
      <c r="C2280" s="156">
        <v>5410524</v>
      </c>
      <c r="D2280" s="167">
        <v>45777</v>
      </c>
      <c r="E2280" s="156" t="s">
        <v>100</v>
      </c>
      <c r="F2280" s="36" t="str">
        <f>IFERROR(VLOOKUP(Table1[[#This Row],[Part Number]],DATABASE_FG!$C$6:D12269,2,FALSE)," ")</f>
        <v>054830877-8011</v>
      </c>
      <c r="G2280" s="117" t="str">
        <f>IFERROR(_xlfn.XLOOKUP(Table1[[#This Row],[Part Number]],Table3[Part number],Table3[Drawing
 Revision]),"")</f>
        <v>AA</v>
      </c>
      <c r="H2280" s="118" cm="1">
        <f t="array" ref="H2280">IFERROR(INDEX(PDB!$C:$AT,MATCH(E2280,PDB!$B:$B,0),MATCH(YEAR(K2280),0+PDB!$C$1:$AT$1,0)),"")</f>
        <v>5.72</v>
      </c>
      <c r="I2280" s="155">
        <f>150-79+7</f>
        <v>78</v>
      </c>
      <c r="J2280" s="155">
        <f>IFERROR(Table1[[#This Row],[Quantity]]*Table1[[#This Row],[Price/Unit
EUR]]," ")</f>
        <v>446.15999999999997</v>
      </c>
      <c r="K2280" s="121">
        <v>45916</v>
      </c>
      <c r="L2280" s="36">
        <f>WEEKNUM(Table1[[#This Row],[ETA
As requested
dd.mm.yyyy]])</f>
        <v>38</v>
      </c>
      <c r="M2280" s="36">
        <f>YEAR(Table1[[#This Row],[ETA
As requested
dd.mm.yyyy]])</f>
        <v>2025</v>
      </c>
      <c r="N2280" s="36">
        <f>IFERROR(INDEX(DATABASE_FG!$H$5:$H$367, MATCH(E2280, DATABASE_FG!$C$5:$C$367, 0)), " ")</f>
        <v>0</v>
      </c>
      <c r="O2280" s="129" t="str">
        <f>IF(E2280&lt;&gt;"", _xlfn.XLOOKUP(E2280, DATABASE_FG!C:C, DATABASE_FG!F:F), " ")</f>
        <v>Ghidaje</v>
      </c>
      <c r="P2280" s="36">
        <f>IFERROR(INDEX(DATABASE_FG!$G$5:$G$367, MATCH(E2280, DATABASE_FG!$C$5:$C$367, 0)), "Not Found")</f>
        <v>0</v>
      </c>
      <c r="Q2280" s="36"/>
      <c r="R2280" s="125" t="s">
        <v>678</v>
      </c>
      <c r="S2280" s="123">
        <f>Table1[[#This Row],[Quantity]]/48</f>
        <v>1.625</v>
      </c>
      <c r="T2280" s="36"/>
      <c r="U2280" s="36"/>
      <c r="V2280" s="36"/>
      <c r="W2280" s="129"/>
      <c r="X2280" s="36"/>
      <c r="Y2280" s="36"/>
      <c r="Z2280" s="36"/>
      <c r="AA2280" s="125" t="s">
        <v>121</v>
      </c>
      <c r="AB2280" s="173">
        <v>45904</v>
      </c>
      <c r="AC2280" s="119" t="s">
        <v>3693</v>
      </c>
      <c r="AD2280" s="36">
        <f t="shared" si="256"/>
        <v>5410524</v>
      </c>
      <c r="AE2280" s="36" t="str">
        <f t="shared" si="257"/>
        <v>TK.KWVE20-B-A-L-0038-WW1</v>
      </c>
      <c r="AF2280" s="36">
        <v>78</v>
      </c>
      <c r="AG2280" s="120">
        <f t="shared" si="255"/>
        <v>446.15999999999997</v>
      </c>
      <c r="AH2280" s="36"/>
      <c r="AI2280" s="124"/>
      <c r="AJ2280" s="122" t="s">
        <v>3694</v>
      </c>
      <c r="AK2280" s="129" t="str">
        <f t="shared" ca="1" si="254"/>
        <v>On Time</v>
      </c>
      <c r="AL2280" s="268" t="str">
        <f t="shared" si="253"/>
        <v>September</v>
      </c>
      <c r="AM2280" s="133">
        <f>YEAR(Table1[[#This Row],[ETA
As requested
dd.mm.yyyy]])</f>
        <v>2025</v>
      </c>
    </row>
    <row r="2281" spans="1:40" hidden="1">
      <c r="A2281" s="155" t="s">
        <v>83</v>
      </c>
      <c r="B2281" s="155" t="s">
        <v>1170</v>
      </c>
      <c r="C2281" s="156">
        <v>5410524</v>
      </c>
      <c r="D2281" s="167">
        <v>45777</v>
      </c>
      <c r="E2281" s="156" t="s">
        <v>100</v>
      </c>
      <c r="F2281" s="36" t="str">
        <f>IFERROR(VLOOKUP(Table1[[#This Row],[Part Number]],DATABASE_FG!$C$6:D12270,2,FALSE)," ")</f>
        <v>054830877-8011</v>
      </c>
      <c r="G2281" s="117" t="str">
        <f>IFERROR(_xlfn.XLOOKUP(Table1[[#This Row],[Part Number]],Table3[Part number],Table3[Drawing
 Revision]),"")</f>
        <v>AA</v>
      </c>
      <c r="H2281" s="118" cm="1">
        <f t="array" ref="H2281">IFERROR(INDEX(PDB!$C:$AT,MATCH(E2281,PDB!$B:$B,0),MATCH(YEAR(K2281),0+PDB!$C$1:$AT$1,0)),"")</f>
        <v>5.72</v>
      </c>
      <c r="I2281" s="155">
        <f>150-7+1</f>
        <v>144</v>
      </c>
      <c r="J2281" s="155">
        <f>IFERROR(Table1[[#This Row],[Quantity]]*Table1[[#This Row],[Price/Unit
EUR]]," ")</f>
        <v>823.68</v>
      </c>
      <c r="K2281" s="121">
        <v>45923</v>
      </c>
      <c r="L2281" s="36">
        <f>WEEKNUM(Table1[[#This Row],[ETA
As requested
dd.mm.yyyy]])</f>
        <v>39</v>
      </c>
      <c r="M2281" s="36">
        <f>YEAR(Table1[[#This Row],[ETA
As requested
dd.mm.yyyy]])</f>
        <v>2025</v>
      </c>
      <c r="N2281" s="36">
        <f>IFERROR(INDEX(DATABASE_FG!$H$5:$H$367, MATCH(E2281, DATABASE_FG!$C$5:$C$367, 0)), " ")</f>
        <v>0</v>
      </c>
      <c r="O2281" s="129" t="str">
        <f>IF(E2281&lt;&gt;"", _xlfn.XLOOKUP(E2281, DATABASE_FG!C:C, DATABASE_FG!F:F), " ")</f>
        <v>Ghidaje</v>
      </c>
      <c r="P2281" s="36">
        <f>IFERROR(INDEX(DATABASE_FG!$G$5:$G$367, MATCH(E2281, DATABASE_FG!$C$5:$C$367, 0)), "Not Found")</f>
        <v>0</v>
      </c>
      <c r="Q2281" s="36"/>
      <c r="R2281" s="125" t="s">
        <v>678</v>
      </c>
      <c r="S2281" s="123">
        <f>Table1[[#This Row],[Quantity]]/48</f>
        <v>3</v>
      </c>
      <c r="T2281" s="36"/>
      <c r="U2281" s="36"/>
      <c r="V2281" s="36"/>
      <c r="W2281" s="129"/>
      <c r="X2281" s="36"/>
      <c r="Y2281" s="36"/>
      <c r="Z2281" s="36"/>
      <c r="AA2281" s="125" t="s">
        <v>121</v>
      </c>
      <c r="AB2281" s="173">
        <v>45910</v>
      </c>
      <c r="AC2281" s="119" t="s">
        <v>3706</v>
      </c>
      <c r="AD2281" s="36">
        <f t="shared" si="256"/>
        <v>5410524</v>
      </c>
      <c r="AE2281" s="36" t="str">
        <f t="shared" si="257"/>
        <v>TK.KWVE20-B-A-L-0038-WW1</v>
      </c>
      <c r="AF2281" s="36">
        <v>144</v>
      </c>
      <c r="AG2281" s="120">
        <f t="shared" si="255"/>
        <v>823.68</v>
      </c>
      <c r="AH2281" s="36"/>
      <c r="AI2281" s="124"/>
      <c r="AJ2281" s="122" t="s">
        <v>3707</v>
      </c>
      <c r="AK2281" s="129" t="str">
        <f t="shared" ca="1" si="254"/>
        <v>On Time</v>
      </c>
      <c r="AL2281" s="268" t="str">
        <f t="shared" si="253"/>
        <v>September</v>
      </c>
      <c r="AM2281" s="133">
        <f>YEAR(Table1[[#This Row],[ETA
As requested
dd.mm.yyyy]])</f>
        <v>2025</v>
      </c>
    </row>
    <row r="2282" spans="1:40" hidden="1">
      <c r="A2282" s="155" t="s">
        <v>83</v>
      </c>
      <c r="B2282" s="155" t="s">
        <v>1170</v>
      </c>
      <c r="C2282" s="156">
        <v>5410524</v>
      </c>
      <c r="D2282" s="167">
        <v>45777</v>
      </c>
      <c r="E2282" s="156" t="s">
        <v>100</v>
      </c>
      <c r="F2282" s="36" t="str">
        <f>IFERROR(VLOOKUP(Table1[[#This Row],[Part Number]],DATABASE_FG!$C$6:D12271,2,FALSE)," ")</f>
        <v>054830877-8011</v>
      </c>
      <c r="G2282" s="117" t="str">
        <f>IFERROR(_xlfn.XLOOKUP(Table1[[#This Row],[Part Number]],Table3[Part number],Table3[Drawing
 Revision]),"")</f>
        <v>AA</v>
      </c>
      <c r="H2282" s="118" cm="1">
        <f t="array" ref="H2282">IFERROR(INDEX(PDB!$C:$AT,MATCH(E2282,PDB!$B:$B,0),MATCH(YEAR(K2282),0+PDB!$C$1:$AT$1,0)),"")</f>
        <v>5.72</v>
      </c>
      <c r="I2282" s="155">
        <v>96</v>
      </c>
      <c r="J2282" s="155">
        <f>IFERROR(Table1[[#This Row],[Quantity]]*Table1[[#This Row],[Price/Unit
EUR]]," ")</f>
        <v>549.12</v>
      </c>
      <c r="K2282" s="121">
        <v>45923</v>
      </c>
      <c r="L2282" s="36">
        <f>WEEKNUM(Table1[[#This Row],[ETA
As requested
dd.mm.yyyy]])</f>
        <v>39</v>
      </c>
      <c r="M2282" s="36">
        <f>YEAR(Table1[[#This Row],[ETA
As requested
dd.mm.yyyy]])</f>
        <v>2025</v>
      </c>
      <c r="N2282" s="36">
        <f>IFERROR(INDEX(DATABASE_FG!$H$5:$H$367, MATCH(E2282, DATABASE_FG!$C$5:$C$367, 0)), " ")</f>
        <v>0</v>
      </c>
      <c r="O2282" s="129" t="str">
        <f>IF(E2282&lt;&gt;"", _xlfn.XLOOKUP(E2282, DATABASE_FG!C:C, DATABASE_FG!F:F), " ")</f>
        <v>Ghidaje</v>
      </c>
      <c r="P2282" s="36">
        <f>IFERROR(INDEX(DATABASE_FG!$G$5:$G$367, MATCH(E2282, DATABASE_FG!$C$5:$C$367, 0)), "Not Found")</f>
        <v>0</v>
      </c>
      <c r="Q2282" s="36"/>
      <c r="R2282" s="125" t="s">
        <v>678</v>
      </c>
      <c r="S2282" s="123">
        <f>Table1[[#This Row],[Quantity]]/48</f>
        <v>2</v>
      </c>
      <c r="T2282" s="36"/>
      <c r="U2282" s="36"/>
      <c r="V2282" s="36"/>
      <c r="W2282" s="129"/>
      <c r="X2282" s="36"/>
      <c r="Y2282" s="36"/>
      <c r="Z2282" s="36"/>
      <c r="AA2282" s="125" t="s">
        <v>121</v>
      </c>
      <c r="AB2282" s="173">
        <v>45912</v>
      </c>
      <c r="AC2282" s="119" t="s">
        <v>3708</v>
      </c>
      <c r="AD2282" s="36">
        <f t="shared" si="256"/>
        <v>5410524</v>
      </c>
      <c r="AE2282" s="36" t="str">
        <f t="shared" si="257"/>
        <v>TK.KWVE20-B-A-L-0038-WW1</v>
      </c>
      <c r="AF2282" s="36">
        <v>96</v>
      </c>
      <c r="AG2282" s="120">
        <f t="shared" si="255"/>
        <v>549.12</v>
      </c>
      <c r="AH2282" s="36"/>
      <c r="AI2282" s="124"/>
      <c r="AJ2282" s="122" t="s">
        <v>3709</v>
      </c>
      <c r="AK2282" s="129" t="str">
        <f t="shared" ca="1" si="254"/>
        <v>On Time</v>
      </c>
      <c r="AL2282" s="268" t="str">
        <f t="shared" si="253"/>
        <v>September</v>
      </c>
      <c r="AM2282" s="133">
        <f>YEAR(Table1[[#This Row],[ETA
As requested
dd.mm.yyyy]])</f>
        <v>2025</v>
      </c>
    </row>
    <row r="2283" spans="1:40" hidden="1">
      <c r="A2283" s="123" t="s">
        <v>83</v>
      </c>
      <c r="B2283" s="36" t="s">
        <v>1170</v>
      </c>
      <c r="C2283" s="117">
        <v>5410524</v>
      </c>
      <c r="D2283" s="165">
        <v>45777</v>
      </c>
      <c r="E2283" s="117" t="s">
        <v>100</v>
      </c>
      <c r="F2283" s="36" t="str">
        <f>IFERROR(VLOOKUP(Table1[[#This Row],[Part Number]],DATABASE_FG!$C$6:D12272,2,FALSE)," ")</f>
        <v>054830877-8011</v>
      </c>
      <c r="G2283" s="117" t="str">
        <f>IFERROR(_xlfn.XLOOKUP(Table1[[#This Row],[Part Number]],Table3[Part number],Table3[Drawing
 Revision]),"")</f>
        <v>AA</v>
      </c>
      <c r="H2283" s="118" cm="1">
        <f t="array" ref="H2283">IFERROR(INDEX(PDB!$C:$AT,MATCH(E2283,PDB!$B:$B,0),MATCH(YEAR(K2283),0+PDB!$C$1:$AT$1,0)),"")</f>
        <v>5.72</v>
      </c>
      <c r="I2283" s="36">
        <v>144</v>
      </c>
      <c r="J2283" s="125">
        <f>IFERROR(Table1[[#This Row],[Quantity]]*Table1[[#This Row],[Price/Unit
EUR]]," ")</f>
        <v>823.68</v>
      </c>
      <c r="K2283" s="126">
        <v>45923</v>
      </c>
      <c r="L2283" s="36">
        <f>WEEKNUM(Table1[[#This Row],[ETA
As requested
dd.mm.yyyy]])</f>
        <v>39</v>
      </c>
      <c r="M2283" s="36">
        <f>YEAR(Table1[[#This Row],[ETA
As requested
dd.mm.yyyy]])</f>
        <v>2025</v>
      </c>
      <c r="N2283" s="36">
        <f>IFERROR(INDEX(DATABASE_FG!$H$5:$H$367, MATCH(E2283, DATABASE_FG!$C$5:$C$367, 0)), " ")</f>
        <v>0</v>
      </c>
      <c r="O2283" s="129" t="str">
        <f>IF(E2283&lt;&gt;"", _xlfn.XLOOKUP(E2283, DATABASE_FG!C:C, DATABASE_FG!F:F), " ")</f>
        <v>Ghidaje</v>
      </c>
      <c r="P2283" s="36">
        <f>IFERROR(INDEX(DATABASE_FG!$G$5:$G$367, MATCH(E2283, DATABASE_FG!$C$5:$C$367, 0)), "Not Found")</f>
        <v>0</v>
      </c>
      <c r="Q2283" s="36"/>
      <c r="R2283" s="125" t="s">
        <v>678</v>
      </c>
      <c r="S2283" s="123">
        <f>Table1[[#This Row],[Quantity]]/48</f>
        <v>3</v>
      </c>
      <c r="T2283" s="36"/>
      <c r="U2283" s="36"/>
      <c r="V2283" s="36"/>
      <c r="W2283" s="129"/>
      <c r="X2283" s="36"/>
      <c r="Y2283" s="36"/>
      <c r="Z2283" s="36"/>
      <c r="AA2283" s="125" t="s">
        <v>121</v>
      </c>
      <c r="AB2283" s="173">
        <v>45918</v>
      </c>
      <c r="AC2283" s="119" t="s">
        <v>3712</v>
      </c>
      <c r="AD2283" s="36">
        <f t="shared" si="256"/>
        <v>5410524</v>
      </c>
      <c r="AE2283" s="36" t="str">
        <f t="shared" si="257"/>
        <v>TK.KWVE20-B-A-L-0038-WW1</v>
      </c>
      <c r="AF2283" s="36">
        <v>144</v>
      </c>
      <c r="AG2283" s="120">
        <f t="shared" si="255"/>
        <v>823.68</v>
      </c>
      <c r="AH2283" s="36"/>
      <c r="AI2283" s="124"/>
      <c r="AJ2283" s="122" t="s">
        <v>3713</v>
      </c>
      <c r="AK2283" s="129" t="str">
        <f t="shared" ca="1" si="254"/>
        <v>On Time</v>
      </c>
      <c r="AL2283" s="268" t="str">
        <f t="shared" si="253"/>
        <v>September</v>
      </c>
      <c r="AM2283" s="133">
        <f>YEAR(Table1[[#This Row],[ETA
As requested
dd.mm.yyyy]])</f>
        <v>2025</v>
      </c>
      <c r="AN2283" s="191"/>
    </row>
    <row r="2284" spans="1:40" hidden="1">
      <c r="A2284" s="155" t="s">
        <v>83</v>
      </c>
      <c r="B2284" s="155" t="s">
        <v>1170</v>
      </c>
      <c r="C2284" s="156">
        <v>5410524</v>
      </c>
      <c r="D2284" s="167">
        <v>45777</v>
      </c>
      <c r="E2284" s="156" t="s">
        <v>100</v>
      </c>
      <c r="F2284" s="36" t="str">
        <f>IFERROR(VLOOKUP(Table1[[#This Row],[Part Number]],DATABASE_FG!$C$6:D12273,2,FALSE)," ")</f>
        <v>054830877-8011</v>
      </c>
      <c r="G2284" s="117" t="str">
        <f>IFERROR(_xlfn.XLOOKUP(Table1[[#This Row],[Part Number]],Table3[Part number],Table3[Drawing
 Revision]),"")</f>
        <v>AA</v>
      </c>
      <c r="H2284" s="118" cm="1">
        <f t="array" ref="H2284">IFERROR(INDEX(PDB!$C:$AT,MATCH(E2284,PDB!$B:$B,0),MATCH(YEAR(K2284),0+PDB!$C$1:$AT$1,0)),"")</f>
        <v>5.72</v>
      </c>
      <c r="I2284" s="155">
        <v>96</v>
      </c>
      <c r="J2284" s="155">
        <f>IFERROR(Table1[[#This Row],[Quantity]]*Table1[[#This Row],[Price/Unit
EUR]]," ")</f>
        <v>549.12</v>
      </c>
      <c r="K2284" s="121">
        <v>45923</v>
      </c>
      <c r="L2284" s="36">
        <f>WEEKNUM(Table1[[#This Row],[ETA
As requested
dd.mm.yyyy]])</f>
        <v>39</v>
      </c>
      <c r="M2284" s="36">
        <f>YEAR(Table1[[#This Row],[ETA
As requested
dd.mm.yyyy]])</f>
        <v>2025</v>
      </c>
      <c r="N2284" s="36">
        <f>IFERROR(INDEX(DATABASE_FG!$H$5:$H$367, MATCH(E2284, DATABASE_FG!$C$5:$C$367, 0)), " ")</f>
        <v>0</v>
      </c>
      <c r="O2284" s="129" t="str">
        <f>IF(E2284&lt;&gt;"", _xlfn.XLOOKUP(E2284, DATABASE_FG!C:C, DATABASE_FG!F:F), " ")</f>
        <v>Ghidaje</v>
      </c>
      <c r="P2284" s="36">
        <f>IFERROR(INDEX(DATABASE_FG!$G$5:$G$367, MATCH(E2284, DATABASE_FG!$C$5:$C$367, 0)), "Not Found")</f>
        <v>0</v>
      </c>
      <c r="Q2284" s="36"/>
      <c r="R2284" s="125" t="s">
        <v>678</v>
      </c>
      <c r="S2284" s="123">
        <f>Table1[[#This Row],[Quantity]]/48</f>
        <v>2</v>
      </c>
      <c r="T2284" s="36"/>
      <c r="U2284" s="36"/>
      <c r="V2284" s="36"/>
      <c r="W2284" s="129"/>
      <c r="X2284" s="36"/>
      <c r="Y2284" s="36"/>
      <c r="Z2284" s="36"/>
      <c r="AA2284" s="125" t="s">
        <v>121</v>
      </c>
      <c r="AB2284" s="173">
        <v>45919</v>
      </c>
      <c r="AC2284" s="119" t="s">
        <v>3714</v>
      </c>
      <c r="AD2284" s="36">
        <f t="shared" si="256"/>
        <v>5410524</v>
      </c>
      <c r="AE2284" s="36" t="str">
        <f t="shared" si="257"/>
        <v>TK.KWVE20-B-A-L-0038-WW1</v>
      </c>
      <c r="AF2284" s="36">
        <v>96</v>
      </c>
      <c r="AG2284" s="120">
        <f t="shared" si="255"/>
        <v>549.12</v>
      </c>
      <c r="AH2284" s="36"/>
      <c r="AI2284" s="124"/>
      <c r="AJ2284" s="122" t="s">
        <v>3715</v>
      </c>
      <c r="AK2284" s="129" t="str">
        <f t="shared" ca="1" si="254"/>
        <v>On Time</v>
      </c>
      <c r="AL2284" s="268" t="str">
        <f t="shared" si="253"/>
        <v>September</v>
      </c>
      <c r="AM2284" s="133">
        <f>YEAR(Table1[[#This Row],[ETA
As requested
dd.mm.yyyy]])</f>
        <v>2025</v>
      </c>
      <c r="AN2284" s="191"/>
    </row>
    <row r="2285" spans="1:40" hidden="1">
      <c r="A2285" s="155" t="s">
        <v>83</v>
      </c>
      <c r="B2285" s="155" t="s">
        <v>1170</v>
      </c>
      <c r="C2285" s="156">
        <v>5410524</v>
      </c>
      <c r="D2285" s="167">
        <v>45777</v>
      </c>
      <c r="E2285" s="156" t="s">
        <v>100</v>
      </c>
      <c r="F2285" s="36" t="str">
        <f>IFERROR(VLOOKUP(Table1[[#This Row],[Part Number]],DATABASE_FG!$C$6:D12274,2,FALSE)," ")</f>
        <v>054830877-8011</v>
      </c>
      <c r="G2285" s="117" t="str">
        <f>IFERROR(_xlfn.XLOOKUP(Table1[[#This Row],[Part Number]],Table3[Part number],Table3[Drawing
 Revision]),"")</f>
        <v>AA</v>
      </c>
      <c r="H2285" s="118" cm="1">
        <f t="array" ref="H2285">IFERROR(INDEX(PDB!$C:$AT,MATCH(E2285,PDB!$B:$B,0),MATCH(YEAR(K2285),0+PDB!$C$1:$AT$1,0)),"")</f>
        <v>5.72</v>
      </c>
      <c r="I2285" s="155">
        <v>84</v>
      </c>
      <c r="J2285" s="155">
        <f>IFERROR(Table1[[#This Row],[Quantity]]*Table1[[#This Row],[Price/Unit
EUR]]," ")</f>
        <v>480.47999999999996</v>
      </c>
      <c r="K2285" s="121">
        <v>45923</v>
      </c>
      <c r="L2285" s="36">
        <f>WEEKNUM(Table1[[#This Row],[ETA
As requested
dd.mm.yyyy]])</f>
        <v>39</v>
      </c>
      <c r="M2285" s="36">
        <f>YEAR(Table1[[#This Row],[ETA
As requested
dd.mm.yyyy]])</f>
        <v>2025</v>
      </c>
      <c r="N2285" s="36">
        <f>IFERROR(INDEX(DATABASE_FG!$H$5:$H$367, MATCH(E2285, DATABASE_FG!$C$5:$C$367, 0)), " ")</f>
        <v>0</v>
      </c>
      <c r="O2285" s="129" t="str">
        <f>IF(E2285&lt;&gt;"", _xlfn.XLOOKUP(E2285, DATABASE_FG!C:C, DATABASE_FG!F:F), " ")</f>
        <v>Ghidaje</v>
      </c>
      <c r="P2285" s="36">
        <f>IFERROR(INDEX(DATABASE_FG!$G$5:$G$367, MATCH(E2285, DATABASE_FG!$C$5:$C$367, 0)), "Not Found")</f>
        <v>0</v>
      </c>
      <c r="Q2285" s="36"/>
      <c r="R2285" s="125" t="s">
        <v>678</v>
      </c>
      <c r="S2285" s="123">
        <f>Table1[[#This Row],[Quantity]]/48</f>
        <v>1.75</v>
      </c>
      <c r="T2285" s="36"/>
      <c r="U2285" s="36"/>
      <c r="V2285" s="36"/>
      <c r="W2285" s="129"/>
      <c r="X2285" s="36"/>
      <c r="Y2285" s="36"/>
      <c r="Z2285" s="36"/>
      <c r="AA2285" s="125" t="s">
        <v>121</v>
      </c>
      <c r="AB2285" s="172">
        <v>45922</v>
      </c>
      <c r="AC2285" s="119">
        <v>2025187</v>
      </c>
      <c r="AD2285" s="36">
        <f t="shared" si="256"/>
        <v>5410524</v>
      </c>
      <c r="AE2285" s="36" t="str">
        <f t="shared" si="257"/>
        <v>TK.KWVE20-B-A-L-0038-WW1</v>
      </c>
      <c r="AF2285" s="36">
        <v>84</v>
      </c>
      <c r="AG2285" s="120">
        <f t="shared" si="255"/>
        <v>480.47999999999996</v>
      </c>
      <c r="AH2285" s="36"/>
      <c r="AI2285" s="124"/>
      <c r="AJ2285" s="122" t="s">
        <v>3716</v>
      </c>
      <c r="AK2285" s="129" t="str">
        <f t="shared" ca="1" si="254"/>
        <v>On Time</v>
      </c>
      <c r="AL2285" s="268" t="str">
        <f t="shared" si="253"/>
        <v>September</v>
      </c>
      <c r="AM2285" s="133">
        <f>YEAR(Table1[[#This Row],[ETA
As requested
dd.mm.yyyy]])</f>
        <v>2025</v>
      </c>
      <c r="AN2285" s="191"/>
    </row>
    <row r="2286" spans="1:40" hidden="1">
      <c r="A2286" s="155" t="s">
        <v>83</v>
      </c>
      <c r="B2286" s="155" t="s">
        <v>1170</v>
      </c>
      <c r="C2286" s="156">
        <v>5410524</v>
      </c>
      <c r="D2286" s="167">
        <v>45777</v>
      </c>
      <c r="E2286" s="156" t="s">
        <v>100</v>
      </c>
      <c r="F2286" s="36" t="str">
        <f>IFERROR(VLOOKUP(Table1[[#This Row],[Part Number]],DATABASE_FG!$C$6:D12275,2,FALSE)," ")</f>
        <v>054830877-8011</v>
      </c>
      <c r="G2286" s="117" t="str">
        <f>IFERROR(_xlfn.XLOOKUP(Table1[[#This Row],[Part Number]],Table3[Part number],Table3[Drawing
 Revision]),"")</f>
        <v>AA</v>
      </c>
      <c r="H2286" s="118" cm="1">
        <f t="array" ref="H2286">IFERROR(INDEX(PDB!$C:$AT,MATCH(E2286,PDB!$B:$B,0),MATCH(YEAR(K2286),0+PDB!$C$1:$AT$1,0)),"")</f>
        <v>5.72</v>
      </c>
      <c r="I2286" s="155">
        <v>235</v>
      </c>
      <c r="J2286" s="155">
        <f>IFERROR(Table1[[#This Row],[Quantity]]*Table1[[#This Row],[Price/Unit
EUR]]," ")</f>
        <v>1344.2</v>
      </c>
      <c r="K2286" s="121">
        <v>45937</v>
      </c>
      <c r="L2286" s="36">
        <f>WEEKNUM(Table1[[#This Row],[ETA
As requested
dd.mm.yyyy]])</f>
        <v>41</v>
      </c>
      <c r="M2286" s="36">
        <f>YEAR(Table1[[#This Row],[ETA
As requested
dd.mm.yyyy]])</f>
        <v>2025</v>
      </c>
      <c r="N2286" s="36">
        <f>IFERROR(INDEX(DATABASE_FG!$H$5:$H$367, MATCH(E2286, DATABASE_FG!$C$5:$C$367, 0)), " ")</f>
        <v>0</v>
      </c>
      <c r="O2286" s="129" t="str">
        <f>IF(E2286&lt;&gt;"", _xlfn.XLOOKUP(E2286, DATABASE_FG!C:C, DATABASE_FG!F:F), " ")</f>
        <v>Ghidaje</v>
      </c>
      <c r="P2286" s="36">
        <f>IFERROR(INDEX(DATABASE_FG!$G$5:$G$367, MATCH(E2286, DATABASE_FG!$C$5:$C$367, 0)), "Not Found")</f>
        <v>0</v>
      </c>
      <c r="Q2286" s="36"/>
      <c r="R2286" s="125" t="s">
        <v>678</v>
      </c>
      <c r="S2286" s="123">
        <f>Table1[[#This Row],[Quantity]]/48</f>
        <v>4.895833333333333</v>
      </c>
      <c r="T2286" s="36"/>
      <c r="U2286" s="36"/>
      <c r="V2286" s="36"/>
      <c r="W2286" s="129"/>
      <c r="X2286" s="36"/>
      <c r="Y2286" s="36"/>
      <c r="Z2286" s="36"/>
      <c r="AA2286" s="125" t="s">
        <v>121</v>
      </c>
      <c r="AB2286" s="173">
        <v>45932</v>
      </c>
      <c r="AC2286" s="119" t="s">
        <v>3790</v>
      </c>
      <c r="AD2286" s="36">
        <f t="shared" si="256"/>
        <v>5410524</v>
      </c>
      <c r="AE2286" s="36" t="str">
        <f t="shared" si="257"/>
        <v>TK.KWVE20-B-A-L-0038-WW1</v>
      </c>
      <c r="AF2286" s="36">
        <v>235</v>
      </c>
      <c r="AG2286" s="120">
        <f t="shared" si="255"/>
        <v>1344.2</v>
      </c>
      <c r="AH2286" s="36"/>
      <c r="AI2286" s="124"/>
      <c r="AJ2286" s="122" t="s">
        <v>3791</v>
      </c>
      <c r="AK2286" s="129" t="str">
        <f t="shared" ca="1" si="254"/>
        <v>On Time</v>
      </c>
      <c r="AL2286" s="268" t="str">
        <f t="shared" si="253"/>
        <v>October</v>
      </c>
      <c r="AM2286" s="133">
        <f>YEAR(Table1[[#This Row],[ETA
As requested
dd.mm.yyyy]])</f>
        <v>2025</v>
      </c>
    </row>
    <row r="2287" spans="1:40" hidden="1">
      <c r="A2287" s="155" t="s">
        <v>83</v>
      </c>
      <c r="B2287" s="155" t="s">
        <v>1170</v>
      </c>
      <c r="C2287" s="156">
        <v>5410524</v>
      </c>
      <c r="D2287" s="167">
        <v>45777</v>
      </c>
      <c r="E2287" s="156" t="s">
        <v>100</v>
      </c>
      <c r="F2287" s="36" t="str">
        <f>IFERROR(VLOOKUP(Table1[[#This Row],[Part Number]],DATABASE_FG!$C$6:D12276,2,FALSE)," ")</f>
        <v>054830877-8011</v>
      </c>
      <c r="G2287" s="117" t="str">
        <f>IFERROR(_xlfn.XLOOKUP(Table1[[#This Row],[Part Number]],Table3[Part number],Table3[Drawing
 Revision]),"")</f>
        <v>AA</v>
      </c>
      <c r="H2287" s="118" cm="1">
        <f t="array" ref="H2287">IFERROR(INDEX(PDB!$C:$AT,MATCH(E2287,PDB!$B:$B,0),MATCH(YEAR(K2287),0+PDB!$C$1:$AT$1,0)),"")</f>
        <v>5.72</v>
      </c>
      <c r="I2287" s="155">
        <v>300</v>
      </c>
      <c r="J2287" s="155">
        <f>IFERROR(Table1[[#This Row],[Quantity]]*Table1[[#This Row],[Price/Unit
EUR]]," ")</f>
        <v>1716</v>
      </c>
      <c r="K2287" s="121">
        <v>45939</v>
      </c>
      <c r="L2287" s="36">
        <f>WEEKNUM(Table1[[#This Row],[ETA
As requested
dd.mm.yyyy]])</f>
        <v>41</v>
      </c>
      <c r="M2287" s="36">
        <f>YEAR(Table1[[#This Row],[ETA
As requested
dd.mm.yyyy]])</f>
        <v>2025</v>
      </c>
      <c r="N2287" s="36">
        <f>IFERROR(INDEX(DATABASE_FG!$H$5:$H$367, MATCH(E2287, DATABASE_FG!$C$5:$C$367, 0)), " ")</f>
        <v>0</v>
      </c>
      <c r="O2287" s="129" t="str">
        <f>IF(E2287&lt;&gt;"", _xlfn.XLOOKUP(E2287, DATABASE_FG!C:C, DATABASE_FG!F:F), " ")</f>
        <v>Ghidaje</v>
      </c>
      <c r="P2287" s="36">
        <f>IFERROR(INDEX(DATABASE_FG!$G$5:$G$367, MATCH(E2287, DATABASE_FG!$C$5:$C$367, 0)), "Not Found")</f>
        <v>0</v>
      </c>
      <c r="Q2287" s="36"/>
      <c r="R2287" s="125" t="s">
        <v>678</v>
      </c>
      <c r="S2287" s="123">
        <f>Table1[[#This Row],[Quantity]]/48</f>
        <v>6.25</v>
      </c>
      <c r="T2287" s="36"/>
      <c r="U2287" s="36"/>
      <c r="V2287" s="36"/>
      <c r="W2287" s="129"/>
      <c r="X2287" s="36"/>
      <c r="Y2287" s="36"/>
      <c r="Z2287" s="36"/>
      <c r="AA2287" s="125" t="s">
        <v>121</v>
      </c>
      <c r="AB2287" s="173">
        <v>45932</v>
      </c>
      <c r="AC2287" s="119" t="s">
        <v>3790</v>
      </c>
      <c r="AD2287" s="36">
        <f t="shared" si="256"/>
        <v>5410524</v>
      </c>
      <c r="AE2287" s="36" t="str">
        <f t="shared" si="257"/>
        <v>TK.KWVE20-B-A-L-0038-WW1</v>
      </c>
      <c r="AF2287" s="36">
        <v>300</v>
      </c>
      <c r="AG2287" s="120">
        <f t="shared" si="255"/>
        <v>1716</v>
      </c>
      <c r="AH2287" s="36"/>
      <c r="AI2287" s="124"/>
      <c r="AJ2287" s="122" t="s">
        <v>3791</v>
      </c>
      <c r="AK2287" s="129" t="str">
        <f t="shared" ca="1" si="254"/>
        <v>On Time</v>
      </c>
      <c r="AL2287" s="268" t="str">
        <f t="shared" si="253"/>
        <v>October</v>
      </c>
      <c r="AM2287" s="133">
        <f>YEAR(Table1[[#This Row],[ETA
As requested
dd.mm.yyyy]])</f>
        <v>2025</v>
      </c>
    </row>
    <row r="2288" spans="1:40" hidden="1">
      <c r="A2288" s="155" t="s">
        <v>83</v>
      </c>
      <c r="B2288" s="155" t="s">
        <v>1170</v>
      </c>
      <c r="C2288" s="156">
        <v>5410524</v>
      </c>
      <c r="D2288" s="167">
        <v>45777</v>
      </c>
      <c r="E2288" s="156" t="s">
        <v>100</v>
      </c>
      <c r="F2288" s="36" t="str">
        <f>IFERROR(VLOOKUP(Table1[[#This Row],[Part Number]],DATABASE_FG!$C$6:D12277,2,FALSE)," ")</f>
        <v>054830877-8011</v>
      </c>
      <c r="G2288" s="117" t="str">
        <f>IFERROR(_xlfn.XLOOKUP(Table1[[#This Row],[Part Number]],Table3[Part number],Table3[Drawing
 Revision]),"")</f>
        <v>AA</v>
      </c>
      <c r="H2288" s="118" cm="1">
        <f t="array" ref="H2288">IFERROR(INDEX(PDB!$C:$AT,MATCH(E2288,PDB!$B:$B,0),MATCH(YEAR(K2288),0+PDB!$C$1:$AT$1,0)),"")</f>
        <v>5.72</v>
      </c>
      <c r="I2288" s="155">
        <v>27</v>
      </c>
      <c r="J2288" s="155">
        <f>IFERROR(Table1[[#This Row],[Quantity]]*Table1[[#This Row],[Price/Unit
EUR]]," ")</f>
        <v>154.44</v>
      </c>
      <c r="K2288" s="121">
        <v>45939</v>
      </c>
      <c r="L2288" s="36">
        <f>WEEKNUM(Table1[[#This Row],[ETA
As requested
dd.mm.yyyy]])</f>
        <v>41</v>
      </c>
      <c r="M2288" s="36">
        <f>YEAR(Table1[[#This Row],[ETA
As requested
dd.mm.yyyy]])</f>
        <v>2025</v>
      </c>
      <c r="N2288" s="36">
        <f>IFERROR(INDEX(DATABASE_FG!$H$5:$H$367, MATCH(E2288, DATABASE_FG!$C$5:$C$367, 0)), " ")</f>
        <v>0</v>
      </c>
      <c r="O2288" s="129" t="str">
        <f>IF(E2288&lt;&gt;"", _xlfn.XLOOKUP(E2288, DATABASE_FG!C:C, DATABASE_FG!F:F), " ")</f>
        <v>Ghidaje</v>
      </c>
      <c r="P2288" s="36">
        <f>IFERROR(INDEX(DATABASE_FG!$G$5:$G$367, MATCH(E2288, DATABASE_FG!$C$5:$C$367, 0)), "Not Found")</f>
        <v>0</v>
      </c>
      <c r="Q2288" s="36"/>
      <c r="R2288" s="125" t="s">
        <v>678</v>
      </c>
      <c r="S2288" s="123">
        <f>Table1[[#This Row],[Quantity]]/48</f>
        <v>0.5625</v>
      </c>
      <c r="T2288" s="36"/>
      <c r="U2288" s="36"/>
      <c r="V2288" s="36"/>
      <c r="W2288" s="129"/>
      <c r="X2288" s="36"/>
      <c r="Y2288" s="36"/>
      <c r="Z2288" s="36"/>
      <c r="AA2288" s="125" t="s">
        <v>121</v>
      </c>
      <c r="AB2288" s="173">
        <v>45932</v>
      </c>
      <c r="AC2288" s="119" t="s">
        <v>3790</v>
      </c>
      <c r="AD2288" s="36">
        <f t="shared" si="256"/>
        <v>5410524</v>
      </c>
      <c r="AE2288" s="36" t="str">
        <f t="shared" si="257"/>
        <v>TK.KWVE20-B-A-L-0038-WW1</v>
      </c>
      <c r="AF2288" s="36">
        <v>27</v>
      </c>
      <c r="AG2288" s="120">
        <f t="shared" si="255"/>
        <v>154.44</v>
      </c>
      <c r="AH2288" s="36"/>
      <c r="AI2288" s="124"/>
      <c r="AJ2288" s="122" t="s">
        <v>3791</v>
      </c>
      <c r="AK2288" s="129" t="str">
        <f t="shared" ca="1" si="254"/>
        <v>On Time</v>
      </c>
      <c r="AL2288" s="268" t="str">
        <f t="shared" si="253"/>
        <v>October</v>
      </c>
      <c r="AM2288" s="133">
        <f>YEAR(Table1[[#This Row],[ETA
As requested
dd.mm.yyyy]])</f>
        <v>2025</v>
      </c>
      <c r="AN2288" s="191"/>
    </row>
    <row r="2289" spans="1:40" hidden="1">
      <c r="A2289" s="155" t="s">
        <v>83</v>
      </c>
      <c r="B2289" s="155" t="s">
        <v>1170</v>
      </c>
      <c r="C2289" s="156">
        <v>5410524</v>
      </c>
      <c r="D2289" s="167">
        <v>45777</v>
      </c>
      <c r="E2289" s="156" t="s">
        <v>100</v>
      </c>
      <c r="F2289" s="36" t="str">
        <f>IFERROR(VLOOKUP(Table1[[#This Row],[Part Number]],DATABASE_FG!$C$6:D12278,2,FALSE)," ")</f>
        <v>054830877-8011</v>
      </c>
      <c r="G2289" s="117" t="str">
        <f>IFERROR(_xlfn.XLOOKUP(Table1[[#This Row],[Part Number]],Table3[Part number],Table3[Drawing
 Revision]),"")</f>
        <v>AA</v>
      </c>
      <c r="H2289" s="118" cm="1">
        <f t="array" ref="H2289">IFERROR(INDEX(PDB!$C:$AT,MATCH(E2289,PDB!$B:$B,0),MATCH(YEAR(K2289),0+PDB!$C$1:$AT$1,0)),"")</f>
        <v>5.72</v>
      </c>
      <c r="I2289" s="155">
        <v>192</v>
      </c>
      <c r="J2289" s="155">
        <f>IFERROR(Table1[[#This Row],[Quantity]]*Table1[[#This Row],[Price/Unit
EUR]]," ")</f>
        <v>1098.24</v>
      </c>
      <c r="K2289" s="121">
        <v>45951</v>
      </c>
      <c r="L2289" s="36">
        <f>WEEKNUM(Table1[[#This Row],[ETA
As requested
dd.mm.yyyy]])</f>
        <v>43</v>
      </c>
      <c r="M2289" s="36">
        <f>YEAR(Table1[[#This Row],[ETA
As requested
dd.mm.yyyy]])</f>
        <v>2025</v>
      </c>
      <c r="N2289" s="36">
        <f>IFERROR(INDEX(DATABASE_FG!$H$5:$H$367, MATCH(E2289, DATABASE_FG!$C$5:$C$367, 0)), " ")</f>
        <v>0</v>
      </c>
      <c r="O2289" s="129" t="str">
        <f>IF(E2289&lt;&gt;"", _xlfn.XLOOKUP(E2289, DATABASE_FG!C:C, DATABASE_FG!F:F), " ")</f>
        <v>Ghidaje</v>
      </c>
      <c r="P2289" s="36">
        <f>IFERROR(INDEX(DATABASE_FG!$G$5:$G$367, MATCH(E2289, DATABASE_FG!$C$5:$C$367, 0)), "Not Found")</f>
        <v>0</v>
      </c>
      <c r="Q2289" s="36"/>
      <c r="R2289" s="125" t="s">
        <v>678</v>
      </c>
      <c r="S2289" s="123">
        <f>Table1[[#This Row],[Quantity]]/48</f>
        <v>4</v>
      </c>
      <c r="T2289" s="36"/>
      <c r="U2289" s="36"/>
      <c r="V2289" s="36"/>
      <c r="W2289" s="129"/>
      <c r="X2289" s="36"/>
      <c r="Y2289" s="36"/>
      <c r="Z2289" s="36"/>
      <c r="AA2289" s="125" t="s">
        <v>121</v>
      </c>
      <c r="AB2289" s="173">
        <v>45933</v>
      </c>
      <c r="AC2289" s="119" t="s">
        <v>3815</v>
      </c>
      <c r="AD2289" s="36">
        <f t="shared" si="256"/>
        <v>5410524</v>
      </c>
      <c r="AE2289" s="36" t="str">
        <f t="shared" si="257"/>
        <v>TK.KWVE20-B-A-L-0038-WW1</v>
      </c>
      <c r="AF2289" s="36">
        <v>192</v>
      </c>
      <c r="AG2289" s="120">
        <f t="shared" si="255"/>
        <v>1098.24</v>
      </c>
      <c r="AH2289" s="36"/>
      <c r="AI2289" s="124"/>
      <c r="AJ2289" s="122" t="s">
        <v>3816</v>
      </c>
      <c r="AK2289" s="129" t="str">
        <f t="shared" ca="1" si="254"/>
        <v>On Time</v>
      </c>
      <c r="AL2289" s="268" t="str">
        <f t="shared" ref="AL2289" si="258">TEXT(K2289,"mmmm")</f>
        <v>October</v>
      </c>
      <c r="AM2289" s="133">
        <f>YEAR(Table1[[#This Row],[ETA
As requested
dd.mm.yyyy]])</f>
        <v>2025</v>
      </c>
      <c r="AN2289" s="191"/>
    </row>
    <row r="2290" spans="1:40" hidden="1">
      <c r="A2290" s="155" t="s">
        <v>83</v>
      </c>
      <c r="B2290" s="155" t="s">
        <v>1170</v>
      </c>
      <c r="C2290" s="156">
        <v>5410524</v>
      </c>
      <c r="D2290" s="167">
        <v>45777</v>
      </c>
      <c r="E2290" s="156" t="s">
        <v>100</v>
      </c>
      <c r="F2290" s="36" t="str">
        <f>IFERROR(VLOOKUP(Table1[[#This Row],[Part Number]],DATABASE_FG!$C$6:D12279,2,FALSE)," ")</f>
        <v>054830877-8011</v>
      </c>
      <c r="G2290" s="117" t="str">
        <f>IFERROR(_xlfn.XLOOKUP(Table1[[#This Row],[Part Number]],Table3[Part number],Table3[Drawing
 Revision]),"")</f>
        <v>AA</v>
      </c>
      <c r="H2290" s="118" cm="1">
        <f t="array" ref="H2290">IFERROR(INDEX(PDB!$C:$AT,MATCH(E2290,PDB!$B:$B,0),MATCH(YEAR(K2290),0+PDB!$C$1:$AT$1,0)),"")</f>
        <v>5.72</v>
      </c>
      <c r="I2290" s="155">
        <f>300-192</f>
        <v>108</v>
      </c>
      <c r="J2290" s="155">
        <f>IFERROR(Table1[[#This Row],[Quantity]]*Table1[[#This Row],[Price/Unit
EUR]]," ")</f>
        <v>617.76</v>
      </c>
      <c r="K2290" s="121">
        <v>45951</v>
      </c>
      <c r="L2290" s="36">
        <f>WEEKNUM(Table1[[#This Row],[ETA
As requested
dd.mm.yyyy]])</f>
        <v>43</v>
      </c>
      <c r="M2290" s="36">
        <f>YEAR(Table1[[#This Row],[ETA
As requested
dd.mm.yyyy]])</f>
        <v>2025</v>
      </c>
      <c r="N2290" s="36">
        <f>IFERROR(INDEX(DATABASE_FG!$H$5:$H$367, MATCH(E2290, DATABASE_FG!$C$5:$C$367, 0)), " ")</f>
        <v>0</v>
      </c>
      <c r="O2290" s="129" t="str">
        <f>IF(E2290&lt;&gt;"", _xlfn.XLOOKUP(E2290, DATABASE_FG!C:C, DATABASE_FG!F:F), " ")</f>
        <v>Ghidaje</v>
      </c>
      <c r="P2290" s="36">
        <f>IFERROR(INDEX(DATABASE_FG!$G$5:$G$367, MATCH(E2290, DATABASE_FG!$C$5:$C$367, 0)), "Not Found")</f>
        <v>0</v>
      </c>
      <c r="Q2290" s="36"/>
      <c r="R2290" s="125" t="s">
        <v>678</v>
      </c>
      <c r="S2290" s="123">
        <f>Table1[[#This Row],[Quantity]]/48</f>
        <v>2.25</v>
      </c>
      <c r="T2290" s="36"/>
      <c r="U2290" s="36"/>
      <c r="V2290" s="36"/>
      <c r="W2290" s="129"/>
      <c r="X2290" s="36"/>
      <c r="Y2290" s="36"/>
      <c r="Z2290" s="36"/>
      <c r="AA2290" s="125" t="s">
        <v>121</v>
      </c>
      <c r="AB2290" s="173">
        <v>45937</v>
      </c>
      <c r="AC2290" s="119">
        <v>2025227</v>
      </c>
      <c r="AD2290" s="36">
        <f t="shared" si="256"/>
        <v>5410524</v>
      </c>
      <c r="AE2290" s="36" t="str">
        <f t="shared" si="257"/>
        <v>TK.KWVE20-B-A-L-0038-WW1</v>
      </c>
      <c r="AF2290" s="36">
        <v>108</v>
      </c>
      <c r="AG2290" s="120">
        <f t="shared" si="255"/>
        <v>617.76</v>
      </c>
      <c r="AH2290" s="36"/>
      <c r="AI2290" s="124"/>
      <c r="AJ2290" s="122" t="s">
        <v>3817</v>
      </c>
      <c r="AK2290" s="129" t="str">
        <f t="shared" ca="1" si="254"/>
        <v>On Time</v>
      </c>
      <c r="AL2290" s="268" t="str">
        <f>TEXT(K2290,"mmmm")</f>
        <v>October</v>
      </c>
      <c r="AM2290" s="133">
        <f>YEAR(Table1[[#This Row],[ETA
As requested
dd.mm.yyyy]])</f>
        <v>2025</v>
      </c>
    </row>
    <row r="2291" spans="1:40" hidden="1">
      <c r="A2291" s="132" t="s">
        <v>83</v>
      </c>
      <c r="B2291" s="129" t="s">
        <v>1170</v>
      </c>
      <c r="C2291" s="154">
        <v>5410524</v>
      </c>
      <c r="D2291" s="168">
        <v>45777</v>
      </c>
      <c r="E2291" s="154" t="s">
        <v>100</v>
      </c>
      <c r="F2291" s="36" t="str">
        <f>IFERROR(VLOOKUP(Table1[[#This Row],[Part Number]],DATABASE_FG!$C$6:D12280,2,FALSE)," ")</f>
        <v>054830877-8011</v>
      </c>
      <c r="G2291" s="117" t="str">
        <f>IFERROR(_xlfn.XLOOKUP(Table1[[#This Row],[Part Number]],Table3[Part number],Table3[Drawing
 Revision]),"")</f>
        <v>AA</v>
      </c>
      <c r="H2291" s="118" cm="1">
        <f t="array" ref="H2291">IFERROR(INDEX(PDB!$C:$AT,MATCH(E2291,PDB!$B:$B,0),MATCH(YEAR(K2291),0+PDB!$C$1:$AT$1,0)),"")</f>
        <v>5.72</v>
      </c>
      <c r="I2291" s="129">
        <v>36</v>
      </c>
      <c r="J2291" s="131">
        <f>IFERROR(Table1[[#This Row],[Quantity]]*Table1[[#This Row],[Price/Unit
EUR]]," ")</f>
        <v>205.92</v>
      </c>
      <c r="K2291" s="126">
        <v>45958</v>
      </c>
      <c r="L2291" s="36">
        <f>WEEKNUM(Table1[[#This Row],[ETA
As requested
dd.mm.yyyy]])</f>
        <v>44</v>
      </c>
      <c r="M2291" s="36">
        <f>YEAR(Table1[[#This Row],[ETA
As requested
dd.mm.yyyy]])</f>
        <v>2025</v>
      </c>
      <c r="N2291" s="36">
        <f>IFERROR(INDEX(DATABASE_FG!$H$5:$H$367, MATCH(E2291, DATABASE_FG!$C$5:$C$367, 0)), " ")</f>
        <v>0</v>
      </c>
      <c r="O2291" s="129" t="str">
        <f>IF(E2291&lt;&gt;"", _xlfn.XLOOKUP(E2291, DATABASE_FG!C:C, DATABASE_FG!F:F), " ")</f>
        <v>Ghidaje</v>
      </c>
      <c r="P2291" s="36">
        <f>IFERROR(INDEX(DATABASE_FG!$G$5:$G$367, MATCH(E2291, DATABASE_FG!$C$5:$C$367, 0)), "Not Found")</f>
        <v>0</v>
      </c>
      <c r="Q2291" s="36"/>
      <c r="R2291" s="125" t="s">
        <v>678</v>
      </c>
      <c r="S2291" s="123">
        <f>Table1[[#This Row],[Quantity]]/48</f>
        <v>0.75</v>
      </c>
      <c r="T2291" s="36"/>
      <c r="U2291" s="36"/>
      <c r="V2291" s="36"/>
      <c r="W2291" s="129"/>
      <c r="X2291" s="36"/>
      <c r="Y2291" s="36"/>
      <c r="Z2291" s="36"/>
      <c r="AA2291" s="125" t="s">
        <v>121</v>
      </c>
      <c r="AB2291" s="173">
        <v>45937</v>
      </c>
      <c r="AC2291" s="119">
        <v>2025227</v>
      </c>
      <c r="AD2291" s="36">
        <f t="shared" si="256"/>
        <v>5410524</v>
      </c>
      <c r="AE2291" s="36" t="str">
        <f t="shared" si="257"/>
        <v>TK.KWVE20-B-A-L-0038-WW1</v>
      </c>
      <c r="AF2291" s="36">
        <v>36</v>
      </c>
      <c r="AG2291" s="120">
        <f t="shared" si="255"/>
        <v>205.92</v>
      </c>
      <c r="AH2291" s="36"/>
      <c r="AI2291" s="124"/>
      <c r="AJ2291" s="122" t="s">
        <v>3823</v>
      </c>
      <c r="AK2291" s="129" t="str">
        <f t="shared" ca="1" si="254"/>
        <v>On Time</v>
      </c>
      <c r="AL2291" s="268" t="str">
        <f t="shared" ref="AL2291" si="259">TEXT(K2291,"mmmm")</f>
        <v>October</v>
      </c>
      <c r="AM2291" s="133">
        <f>YEAR(Table1[[#This Row],[ETA
As requested
dd.mm.yyyy]])</f>
        <v>2025</v>
      </c>
      <c r="AN2291" s="191"/>
    </row>
    <row r="2292" spans="1:40" hidden="1">
      <c r="A2292" s="123" t="s">
        <v>83</v>
      </c>
      <c r="B2292" s="36" t="s">
        <v>1170</v>
      </c>
      <c r="C2292" s="117">
        <v>5410524</v>
      </c>
      <c r="D2292" s="165">
        <v>45777</v>
      </c>
      <c r="E2292" s="117" t="s">
        <v>100</v>
      </c>
      <c r="F2292" s="36" t="str">
        <f>IFERROR(VLOOKUP(Table1[[#This Row],[Part Number]],DATABASE_FG!$C$6:D12281,2,FALSE)," ")</f>
        <v>054830877-8011</v>
      </c>
      <c r="G2292" s="117" t="str">
        <f>IFERROR(_xlfn.XLOOKUP(Table1[[#This Row],[Part Number]],Table3[Part number],Table3[Drawing
 Revision]),"")</f>
        <v>AA</v>
      </c>
      <c r="H2292" s="118" cm="1">
        <f t="array" ref="H2292">IFERROR(INDEX(PDB!$C:$AT,MATCH(E2292,PDB!$B:$B,0),MATCH(YEAR(K2292),0+PDB!$C$1:$AT$1,0)),"")</f>
        <v>5.72</v>
      </c>
      <c r="I2292" s="36">
        <f>100-36</f>
        <v>64</v>
      </c>
      <c r="J2292" s="125">
        <f>IFERROR(Table1[[#This Row],[Quantity]]*Table1[[#This Row],[Price/Unit
EUR]]," ")</f>
        <v>366.08</v>
      </c>
      <c r="K2292" s="126">
        <v>45958</v>
      </c>
      <c r="L2292" s="36">
        <f>WEEKNUM(Table1[[#This Row],[ETA
As requested
dd.mm.yyyy]])</f>
        <v>44</v>
      </c>
      <c r="M2292" s="36">
        <f>YEAR(Table1[[#This Row],[ETA
As requested
dd.mm.yyyy]])</f>
        <v>2025</v>
      </c>
      <c r="N2292" s="36">
        <f>IFERROR(INDEX(DATABASE_FG!$H$5:$H$367, MATCH(E2292, DATABASE_FG!$C$5:$C$367, 0)), " ")</f>
        <v>0</v>
      </c>
      <c r="O2292" s="129" t="str">
        <f>IF(E2292&lt;&gt;"", _xlfn.XLOOKUP(E2292, DATABASE_FG!C:C, DATABASE_FG!F:F), " ")</f>
        <v>Ghidaje</v>
      </c>
      <c r="P2292" s="36">
        <f>IFERROR(INDEX(DATABASE_FG!$G$5:$G$367, MATCH(E2292, DATABASE_FG!$C$5:$C$367, 0)), "Not Found")</f>
        <v>0</v>
      </c>
      <c r="Q2292" s="36"/>
      <c r="R2292" s="125" t="s">
        <v>678</v>
      </c>
      <c r="S2292" s="123">
        <f>Table1[[#This Row],[Quantity]]/48</f>
        <v>1.3333333333333333</v>
      </c>
      <c r="T2292" s="36"/>
      <c r="U2292" s="36"/>
      <c r="V2292" s="36"/>
      <c r="W2292" s="129"/>
      <c r="X2292" s="36"/>
      <c r="Y2292" s="36"/>
      <c r="Z2292" s="36"/>
      <c r="AA2292" s="125" t="s">
        <v>121</v>
      </c>
      <c r="AB2292" s="172">
        <v>45939</v>
      </c>
      <c r="AC2292" s="119" t="s">
        <v>3824</v>
      </c>
      <c r="AD2292" s="36">
        <f t="shared" si="256"/>
        <v>5410524</v>
      </c>
      <c r="AE2292" s="36" t="str">
        <f t="shared" si="257"/>
        <v>TK.KWVE20-B-A-L-0038-WW1</v>
      </c>
      <c r="AF2292" s="36">
        <v>64</v>
      </c>
      <c r="AG2292" s="120">
        <f t="shared" si="255"/>
        <v>366.08</v>
      </c>
      <c r="AH2292" s="36"/>
      <c r="AI2292" s="124"/>
      <c r="AJ2292" s="122" t="s">
        <v>3825</v>
      </c>
      <c r="AK2292" s="129" t="str">
        <f t="shared" ca="1" si="254"/>
        <v>On Time</v>
      </c>
      <c r="AL2292" s="268" t="str">
        <f t="shared" ref="AL2292:AL2356" si="260">TEXT(K2292,"mmmm")</f>
        <v>October</v>
      </c>
      <c r="AM2292" s="133">
        <f>YEAR(Table1[[#This Row],[ETA
As requested
dd.mm.yyyy]])</f>
        <v>2025</v>
      </c>
    </row>
    <row r="2293" spans="1:40" hidden="1">
      <c r="A2293" s="123" t="s">
        <v>83</v>
      </c>
      <c r="B2293" s="36" t="s">
        <v>1170</v>
      </c>
      <c r="C2293" s="117">
        <v>5410524</v>
      </c>
      <c r="D2293" s="165">
        <v>45777</v>
      </c>
      <c r="E2293" s="117" t="s">
        <v>100</v>
      </c>
      <c r="F2293" s="36" t="str">
        <f>IFERROR(VLOOKUP(Table1[[#This Row],[Part Number]],DATABASE_FG!$C$6:D12282,2,FALSE)," ")</f>
        <v>054830877-8011</v>
      </c>
      <c r="G2293" s="117" t="str">
        <f>IFERROR(_xlfn.XLOOKUP(Table1[[#This Row],[Part Number]],Table3[Part number],Table3[Drawing
 Revision]),"")</f>
        <v>AA</v>
      </c>
      <c r="H2293" s="118" cm="1">
        <f t="array" ref="H2293">IFERROR(INDEX(PDB!$C:$AT,MATCH(E2293,PDB!$B:$B,0),MATCH(YEAR(K2293),0+PDB!$C$1:$AT$1,0)),"")</f>
        <v>5.72</v>
      </c>
      <c r="I2293" s="36">
        <v>100</v>
      </c>
      <c r="J2293" s="125">
        <f>IFERROR(Table1[[#This Row],[Quantity]]*Table1[[#This Row],[Price/Unit
EUR]]," ")</f>
        <v>572</v>
      </c>
      <c r="K2293" s="126">
        <v>45965</v>
      </c>
      <c r="L2293" s="36">
        <f>WEEKNUM(Table1[[#This Row],[ETA
As requested
dd.mm.yyyy]])</f>
        <v>45</v>
      </c>
      <c r="M2293" s="36">
        <f>YEAR(Table1[[#This Row],[ETA
As requested
dd.mm.yyyy]])</f>
        <v>2025</v>
      </c>
      <c r="N2293" s="36">
        <f>IFERROR(INDEX(DATABASE_FG!$H$5:$H$367, MATCH(E2293, DATABASE_FG!$C$5:$C$367, 0)), " ")</f>
        <v>0</v>
      </c>
      <c r="O2293" s="129" t="str">
        <f>IF(E2293&lt;&gt;"", _xlfn.XLOOKUP(E2293, DATABASE_FG!C:C, DATABASE_FG!F:F), " ")</f>
        <v>Ghidaje</v>
      </c>
      <c r="P2293" s="36">
        <f>IFERROR(INDEX(DATABASE_FG!$G$5:$G$367, MATCH(E2293, DATABASE_FG!$C$5:$C$367, 0)), "Not Found")</f>
        <v>0</v>
      </c>
      <c r="Q2293" s="36"/>
      <c r="R2293" s="125" t="s">
        <v>678</v>
      </c>
      <c r="S2293" s="123">
        <f>Table1[[#This Row],[Quantity]]/48</f>
        <v>2.0833333333333335</v>
      </c>
      <c r="T2293" s="36"/>
      <c r="U2293" s="36"/>
      <c r="V2293" s="36"/>
      <c r="W2293" s="129"/>
      <c r="X2293" s="36"/>
      <c r="Y2293" s="36"/>
      <c r="Z2293" s="36"/>
      <c r="AA2293" s="125" t="s">
        <v>121</v>
      </c>
      <c r="AB2293" s="173">
        <v>45939</v>
      </c>
      <c r="AC2293" s="119" t="s">
        <v>3824</v>
      </c>
      <c r="AD2293" s="36">
        <f t="shared" si="256"/>
        <v>5410524</v>
      </c>
      <c r="AE2293" s="36" t="str">
        <f t="shared" si="257"/>
        <v>TK.KWVE20-B-A-L-0038-WW1</v>
      </c>
      <c r="AF2293" s="36">
        <v>100</v>
      </c>
      <c r="AG2293" s="120">
        <f t="shared" si="255"/>
        <v>572</v>
      </c>
      <c r="AH2293" s="36"/>
      <c r="AI2293" s="124"/>
      <c r="AJ2293" s="122" t="s">
        <v>3825</v>
      </c>
      <c r="AK2293" s="129" t="str">
        <f t="shared" ca="1" si="254"/>
        <v>On Time</v>
      </c>
      <c r="AL2293" s="268" t="str">
        <f t="shared" si="260"/>
        <v>November</v>
      </c>
      <c r="AM2293" s="133">
        <f>YEAR(Table1[[#This Row],[ETA
As requested
dd.mm.yyyy]])</f>
        <v>2025</v>
      </c>
    </row>
    <row r="2294" spans="1:40" hidden="1">
      <c r="A2294" s="123" t="s">
        <v>83</v>
      </c>
      <c r="B2294" s="36" t="s">
        <v>1170</v>
      </c>
      <c r="C2294" s="117">
        <v>5410524</v>
      </c>
      <c r="D2294" s="165">
        <v>45777</v>
      </c>
      <c r="E2294" s="117" t="s">
        <v>100</v>
      </c>
      <c r="F2294" s="36" t="str">
        <f>IFERROR(VLOOKUP(Table1[[#This Row],[Part Number]],DATABASE_FG!$C$6:D12283,2,FALSE)," ")</f>
        <v>054830877-8011</v>
      </c>
      <c r="G2294" s="117" t="str">
        <f>IFERROR(_xlfn.XLOOKUP(Table1[[#This Row],[Part Number]],Table3[Part number],Table3[Drawing
 Revision]),"")</f>
        <v>AA</v>
      </c>
      <c r="H2294" s="118" cm="1">
        <f t="array" ref="H2294">IFERROR(INDEX(PDB!$C:$AT,MATCH(E2294,PDB!$B:$B,0),MATCH(YEAR(K2294),0+PDB!$C$1:$AT$1,0)),"")</f>
        <v>5.72</v>
      </c>
      <c r="I2294" s="36">
        <v>28</v>
      </c>
      <c r="J2294" s="125">
        <f>IFERROR(Table1[[#This Row],[Quantity]]*Table1[[#This Row],[Price/Unit
EUR]]," ")</f>
        <v>160.16</v>
      </c>
      <c r="K2294" s="126">
        <v>45971</v>
      </c>
      <c r="L2294" s="36">
        <f>WEEKNUM(Table1[[#This Row],[ETA
As requested
dd.mm.yyyy]])</f>
        <v>46</v>
      </c>
      <c r="M2294" s="36">
        <f>YEAR(Table1[[#This Row],[ETA
As requested
dd.mm.yyyy]])</f>
        <v>2025</v>
      </c>
      <c r="N2294" s="36">
        <f>IFERROR(INDEX(DATABASE_FG!$H$5:$H$367, MATCH(E2294, DATABASE_FG!$C$5:$C$367, 0)), " ")</f>
        <v>0</v>
      </c>
      <c r="O2294" s="129" t="str">
        <f>IF(E2294&lt;&gt;"", _xlfn.XLOOKUP(E2294, DATABASE_FG!C:C, DATABASE_FG!F:F), " ")</f>
        <v>Ghidaje</v>
      </c>
      <c r="P2294" s="36">
        <f>IFERROR(INDEX(DATABASE_FG!$G$5:$G$367, MATCH(E2294, DATABASE_FG!$C$5:$C$367, 0)), "Not Found")</f>
        <v>0</v>
      </c>
      <c r="Q2294" s="36"/>
      <c r="R2294" s="125" t="s">
        <v>678</v>
      </c>
      <c r="S2294" s="123">
        <f>Table1[[#This Row],[Quantity]]/48</f>
        <v>0.58333333333333337</v>
      </c>
      <c r="T2294" s="36"/>
      <c r="U2294" s="36"/>
      <c r="V2294" s="36"/>
      <c r="W2294" s="129"/>
      <c r="X2294" s="36"/>
      <c r="Y2294" s="36"/>
      <c r="Z2294" s="36"/>
      <c r="AA2294" s="125" t="s">
        <v>121</v>
      </c>
      <c r="AB2294" s="173">
        <v>45939</v>
      </c>
      <c r="AC2294" s="119" t="s">
        <v>3824</v>
      </c>
      <c r="AD2294" s="36">
        <f t="shared" si="256"/>
        <v>5410524</v>
      </c>
      <c r="AE2294" s="36" t="str">
        <f t="shared" si="257"/>
        <v>TK.KWVE20-B-A-L-0038-WW1</v>
      </c>
      <c r="AF2294" s="36">
        <v>28</v>
      </c>
      <c r="AG2294" s="120">
        <f t="shared" si="255"/>
        <v>160.16</v>
      </c>
      <c r="AH2294" s="36"/>
      <c r="AI2294" s="124"/>
      <c r="AJ2294" s="122"/>
      <c r="AK2294" s="129" t="str">
        <f t="shared" ca="1" si="254"/>
        <v>On Time</v>
      </c>
      <c r="AL2294" s="268" t="str">
        <f t="shared" si="260"/>
        <v>November</v>
      </c>
      <c r="AM2294" s="133">
        <f>YEAR(Table1[[#This Row],[ETA
As requested
dd.mm.yyyy]])</f>
        <v>2025</v>
      </c>
      <c r="AN2294" s="191"/>
    </row>
    <row r="2295" spans="1:40" hidden="1">
      <c r="A2295" s="123" t="s">
        <v>83</v>
      </c>
      <c r="B2295" s="36" t="s">
        <v>1170</v>
      </c>
      <c r="C2295" s="117">
        <v>5410524</v>
      </c>
      <c r="D2295" s="165">
        <v>45951</v>
      </c>
      <c r="E2295" s="117" t="s">
        <v>100</v>
      </c>
      <c r="F2295" s="36" t="str">
        <f>IFERROR(VLOOKUP(Table1[[#This Row],[Part Number]],DATABASE_FG!$C$6:D12284,2,FALSE)," ")</f>
        <v>054830877-8011</v>
      </c>
      <c r="G2295" s="117" t="str">
        <f>IFERROR(_xlfn.XLOOKUP(Table1[[#This Row],[Part Number]],Table3[Part number],Table3[Drawing
 Revision]),"")</f>
        <v>AA</v>
      </c>
      <c r="H2295" s="118" cm="1">
        <f t="array" ref="H2295">IFERROR(INDEX(PDB!$C:$AT,MATCH(E2295,PDB!$B:$B,0),MATCH(YEAR(K2295),0+PDB!$C$1:$AT$1,0)),"")</f>
        <v>5.72</v>
      </c>
      <c r="I2295" s="36">
        <v>308</v>
      </c>
      <c r="J2295" s="125">
        <f>IFERROR(Table1[[#This Row],[Quantity]]*Table1[[#This Row],[Price/Unit
EUR]]," ")</f>
        <v>1761.76</v>
      </c>
      <c r="K2295" s="126">
        <v>45971</v>
      </c>
      <c r="L2295" s="36">
        <f>WEEKNUM(Table1[[#This Row],[ETA
As requested
dd.mm.yyyy]])</f>
        <v>46</v>
      </c>
      <c r="M2295" s="36">
        <f>YEAR(Table1[[#This Row],[ETA
As requested
dd.mm.yyyy]])</f>
        <v>2025</v>
      </c>
      <c r="N2295" s="36">
        <f>IFERROR(INDEX(DATABASE_FG!$H$5:$H$367, MATCH(E2295, DATABASE_FG!$C$5:$C$367, 0)), " ")</f>
        <v>0</v>
      </c>
      <c r="O2295" s="129" t="str">
        <f>IF(E2295&lt;&gt;"", _xlfn.XLOOKUP(E2295, DATABASE_FG!C:C, DATABASE_FG!F:F), " ")</f>
        <v>Ghidaje</v>
      </c>
      <c r="P2295" s="36">
        <f>IFERROR(INDEX(DATABASE_FG!$G$5:$G$367, MATCH(E2295, DATABASE_FG!$C$5:$C$367, 0)), "Not Found")</f>
        <v>0</v>
      </c>
      <c r="Q2295" s="36"/>
      <c r="R2295" s="125" t="s">
        <v>678</v>
      </c>
      <c r="S2295" s="123">
        <f>Table1[[#This Row],[Quantity]]/48</f>
        <v>6.416666666666667</v>
      </c>
      <c r="T2295" s="36"/>
      <c r="U2295" s="36"/>
      <c r="V2295" s="36"/>
      <c r="W2295" s="129"/>
      <c r="X2295" s="36"/>
      <c r="Y2295" s="36"/>
      <c r="Z2295" s="36"/>
      <c r="AA2295" s="125" t="s">
        <v>121</v>
      </c>
      <c r="AB2295" s="173">
        <v>45965</v>
      </c>
      <c r="AC2295" s="119" t="s">
        <v>4457</v>
      </c>
      <c r="AD2295" s="36">
        <f>IF(NOT(ISBLANK(AC2295)), C2295, "")</f>
        <v>5410524</v>
      </c>
      <c r="AE2295" s="36" t="str">
        <f>IF(NOT(ISBLANK(AC2295)), E2295, "")</f>
        <v>TK.KWVE20-B-A-L-0038-WW1</v>
      </c>
      <c r="AF2295" s="36">
        <v>308</v>
      </c>
      <c r="AG2295" s="120">
        <f>AF2295*H2295</f>
        <v>1761.76</v>
      </c>
      <c r="AH2295" s="36"/>
      <c r="AI2295" s="124"/>
      <c r="AJ2295" s="122" t="s">
        <v>4474</v>
      </c>
      <c r="AK2295" s="129" t="str">
        <f ca="1">IF(AB2295="", IF(K2295 &lt; TODAY(), "Late", ""), IF(AB2295 &lt;= K2295 + 2, "On Time", "Late"))</f>
        <v>On Time</v>
      </c>
      <c r="AL2295" s="268" t="str">
        <f>TEXT(K2295,"mmmm")</f>
        <v>November</v>
      </c>
      <c r="AM2295" s="133">
        <f>YEAR(Table1[[#This Row],[ETA
As requested
dd.mm.yyyy]])</f>
        <v>2025</v>
      </c>
      <c r="AN2295" s="191"/>
    </row>
    <row r="2296" spans="1:40" hidden="1">
      <c r="A2296" s="123" t="s">
        <v>83</v>
      </c>
      <c r="B2296" s="36" t="s">
        <v>1170</v>
      </c>
      <c r="C2296" s="117">
        <v>5410524</v>
      </c>
      <c r="D2296" s="165">
        <v>45951</v>
      </c>
      <c r="E2296" s="117" t="s">
        <v>100</v>
      </c>
      <c r="F2296" s="36" t="str">
        <f>IFERROR(VLOOKUP(Table1[[#This Row],[Part Number]],DATABASE_FG!$C$6:D12285,2,FALSE)," ")</f>
        <v>054830877-8011</v>
      </c>
      <c r="G2296" s="117" t="str">
        <f>IFERROR(_xlfn.XLOOKUP(Table1[[#This Row],[Part Number]],Table3[Part number],Table3[Drawing
 Revision]),"")</f>
        <v>AA</v>
      </c>
      <c r="H2296" s="118" cm="1">
        <f t="array" ref="H2296">IFERROR(INDEX(PDB!$C:$AT,MATCH(E2296,PDB!$B:$B,0),MATCH(YEAR(K2296),0+PDB!$C$1:$AT$1,0)),"")</f>
        <v>5.72</v>
      </c>
      <c r="I2296" s="36">
        <f>1000-308</f>
        <v>692</v>
      </c>
      <c r="J2296" s="125">
        <f>IFERROR(Table1[[#This Row],[Quantity]]*Table1[[#This Row],[Price/Unit
EUR]]," ")</f>
        <v>3958.24</v>
      </c>
      <c r="K2296" s="126">
        <v>45971</v>
      </c>
      <c r="L2296" s="36">
        <f>WEEKNUM(Table1[[#This Row],[ETA
As requested
dd.mm.yyyy]])</f>
        <v>46</v>
      </c>
      <c r="M2296" s="36">
        <f>YEAR(Table1[[#This Row],[ETA
As requested
dd.mm.yyyy]])</f>
        <v>2025</v>
      </c>
      <c r="N2296" s="36">
        <f>IFERROR(INDEX(DATABASE_FG!$H$5:$H$367, MATCH(E2296, DATABASE_FG!$C$5:$C$367, 0)), " ")</f>
        <v>0</v>
      </c>
      <c r="O2296" s="129" t="str">
        <f>IF(E2296&lt;&gt;"", _xlfn.XLOOKUP(E2296, DATABASE_FG!C:C, DATABASE_FG!F:F), " ")</f>
        <v>Ghidaje</v>
      </c>
      <c r="P2296" s="36">
        <f>IFERROR(INDEX(DATABASE_FG!$G$5:$G$367, MATCH(E2296, DATABASE_FG!$C$5:$C$367, 0)), "Not Found")</f>
        <v>0</v>
      </c>
      <c r="Q2296" s="36"/>
      <c r="R2296" s="125" t="s">
        <v>678</v>
      </c>
      <c r="S2296" s="123">
        <f>Table1[[#This Row],[Quantity]]/48</f>
        <v>14.416666666666666</v>
      </c>
      <c r="T2296" s="36"/>
      <c r="U2296" s="36"/>
      <c r="V2296" s="36"/>
      <c r="W2296" s="129"/>
      <c r="X2296" s="36"/>
      <c r="Y2296" s="36"/>
      <c r="Z2296" s="36"/>
      <c r="AA2296" s="125" t="s">
        <v>3</v>
      </c>
      <c r="AB2296" s="173"/>
      <c r="AC2296" s="119"/>
      <c r="AD2296" s="36" t="str">
        <f t="shared" si="256"/>
        <v/>
      </c>
      <c r="AE2296" s="36" t="str">
        <f t="shared" si="257"/>
        <v/>
      </c>
      <c r="AF2296" s="36"/>
      <c r="AG2296" s="120">
        <f t="shared" si="255"/>
        <v>0</v>
      </c>
      <c r="AH2296" s="36"/>
      <c r="AI2296" s="124"/>
      <c r="AJ2296" s="122"/>
      <c r="AK2296" s="129" t="str">
        <f t="shared" ref="AK2296:AK2359" ca="1" si="261">IF(AB2296="", IF(K2296 &lt; TODAY(), "Late", ""), IF(AB2296 &lt;= K2296 + 2, "On Time", "Late"))</f>
        <v/>
      </c>
      <c r="AL2296" s="268" t="str">
        <f t="shared" si="260"/>
        <v>November</v>
      </c>
      <c r="AM2296" s="133">
        <f>YEAR(Table1[[#This Row],[ETA
As requested
dd.mm.yyyy]])</f>
        <v>2025</v>
      </c>
    </row>
    <row r="2297" spans="1:40" hidden="1">
      <c r="A2297" s="123" t="s">
        <v>83</v>
      </c>
      <c r="B2297" s="36" t="s">
        <v>1170</v>
      </c>
      <c r="C2297" s="117">
        <v>5410524</v>
      </c>
      <c r="D2297" s="165">
        <v>45951</v>
      </c>
      <c r="E2297" s="117" t="s">
        <v>100</v>
      </c>
      <c r="F2297" s="36" t="str">
        <f>IFERROR(VLOOKUP(Table1[[#This Row],[Part Number]],DATABASE_FG!$C$6:D12286,2,FALSE)," ")</f>
        <v>054830877-8011</v>
      </c>
      <c r="G2297" s="117" t="str">
        <f>IFERROR(_xlfn.XLOOKUP(Table1[[#This Row],[Part Number]],Table3[Part number],Table3[Drawing
 Revision]),"")</f>
        <v>AA</v>
      </c>
      <c r="H2297" s="118" cm="1">
        <f t="array" ref="H2297">IFERROR(INDEX(PDB!$C:$AT,MATCH(E2297,PDB!$B:$B,0),MATCH(YEAR(K2297),0+PDB!$C$1:$AT$1,0)),"")</f>
        <v>5.72</v>
      </c>
      <c r="I2297" s="36">
        <v>500</v>
      </c>
      <c r="J2297" s="125">
        <f>IFERROR(Table1[[#This Row],[Quantity]]*Table1[[#This Row],[Price/Unit
EUR]]," ")</f>
        <v>2860</v>
      </c>
      <c r="K2297" s="126">
        <v>45974</v>
      </c>
      <c r="L2297" s="36">
        <f>WEEKNUM(Table1[[#This Row],[ETA
As requested
dd.mm.yyyy]])</f>
        <v>46</v>
      </c>
      <c r="M2297" s="36">
        <f>YEAR(Table1[[#This Row],[ETA
As requested
dd.mm.yyyy]])</f>
        <v>2025</v>
      </c>
      <c r="N2297" s="36">
        <f>IFERROR(INDEX(DATABASE_FG!$H$5:$H$367, MATCH(E2297, DATABASE_FG!$C$5:$C$367, 0)), " ")</f>
        <v>0</v>
      </c>
      <c r="O2297" s="129" t="str">
        <f>IF(E2297&lt;&gt;"", _xlfn.XLOOKUP(E2297, DATABASE_FG!C:C, DATABASE_FG!F:F), " ")</f>
        <v>Ghidaje</v>
      </c>
      <c r="P2297" s="36">
        <f>IFERROR(INDEX(DATABASE_FG!$G$5:$G$367, MATCH(E2297, DATABASE_FG!$C$5:$C$367, 0)), "Not Found")</f>
        <v>0</v>
      </c>
      <c r="Q2297" s="36"/>
      <c r="R2297" s="125" t="s">
        <v>678</v>
      </c>
      <c r="S2297" s="123">
        <f>Table1[[#This Row],[Quantity]]/48</f>
        <v>10.416666666666666</v>
      </c>
      <c r="T2297" s="36"/>
      <c r="U2297" s="36"/>
      <c r="V2297" s="36"/>
      <c r="W2297" s="129"/>
      <c r="X2297" s="36"/>
      <c r="Y2297" s="36"/>
      <c r="Z2297" s="36"/>
      <c r="AA2297" s="125" t="s">
        <v>3</v>
      </c>
      <c r="AB2297" s="173"/>
      <c r="AC2297" s="119"/>
      <c r="AD2297" s="36" t="str">
        <f t="shared" si="256"/>
        <v/>
      </c>
      <c r="AE2297" s="36" t="str">
        <f t="shared" si="257"/>
        <v/>
      </c>
      <c r="AF2297" s="36"/>
      <c r="AG2297" s="120">
        <f t="shared" si="255"/>
        <v>0</v>
      </c>
      <c r="AH2297" s="36"/>
      <c r="AI2297" s="124"/>
      <c r="AJ2297" s="122"/>
      <c r="AK2297" s="129" t="str">
        <f t="shared" ca="1" si="261"/>
        <v/>
      </c>
      <c r="AL2297" s="268" t="str">
        <f t="shared" si="260"/>
        <v>November</v>
      </c>
      <c r="AM2297" s="133">
        <f>YEAR(Table1[[#This Row],[ETA
As requested
dd.mm.yyyy]])</f>
        <v>2025</v>
      </c>
    </row>
    <row r="2298" spans="1:40" hidden="1">
      <c r="A2298" s="123" t="s">
        <v>83</v>
      </c>
      <c r="B2298" s="36" t="s">
        <v>2464</v>
      </c>
      <c r="C2298" s="117">
        <v>5410524</v>
      </c>
      <c r="D2298" s="165">
        <v>45777</v>
      </c>
      <c r="E2298" s="117" t="s">
        <v>100</v>
      </c>
      <c r="F2298" s="36" t="str">
        <f>IFERROR(VLOOKUP(Table1[[#This Row],[Part Number]],DATABASE_FG!$C$6:D12287,2,FALSE)," ")</f>
        <v>054830877-8011</v>
      </c>
      <c r="G2298" s="117" t="str">
        <f>IFERROR(_xlfn.XLOOKUP(Table1[[#This Row],[Part Number]],Table3[Part number],Table3[Drawing
 Revision]),"")</f>
        <v>AA</v>
      </c>
      <c r="H2298" s="118" cm="1">
        <f t="array" ref="H2298">IFERROR(INDEX(PDB!$C:$AT,MATCH(E2298,PDB!$B:$B,0),MATCH(YEAR(K2298),0+PDB!$C$1:$AT$1,0)),"")</f>
        <v>5.72</v>
      </c>
      <c r="I2298" s="36">
        <v>550</v>
      </c>
      <c r="J2298" s="125">
        <f>IFERROR(Table1[[#This Row],[Quantity]]*Table1[[#This Row],[Price/Unit
EUR]]," ")</f>
        <v>3146</v>
      </c>
      <c r="K2298" s="126">
        <v>46011</v>
      </c>
      <c r="L2298" s="36">
        <f>WEEKNUM(Table1[[#This Row],[ETA
As requested
dd.mm.yyyy]])</f>
        <v>51</v>
      </c>
      <c r="M2298" s="36">
        <f>YEAR(Table1[[#This Row],[ETA
As requested
dd.mm.yyyy]])</f>
        <v>2025</v>
      </c>
      <c r="N2298" s="36">
        <f>IFERROR(INDEX(DATABASE_FG!$H$5:$H$367, MATCH(E2298, DATABASE_FG!$C$5:$C$367, 0)), " ")</f>
        <v>0</v>
      </c>
      <c r="O2298" s="129" t="str">
        <f>IF(E2298&lt;&gt;"", _xlfn.XLOOKUP(E2298, DATABASE_FG!C:C, DATABASE_FG!F:F), " ")</f>
        <v>Ghidaje</v>
      </c>
      <c r="P2298" s="36">
        <f>IFERROR(INDEX(DATABASE_FG!$G$5:$G$367, MATCH(E2298, DATABASE_FG!$C$5:$C$367, 0)), "Not Found")</f>
        <v>0</v>
      </c>
      <c r="Q2298" s="36"/>
      <c r="R2298" s="125" t="s">
        <v>678</v>
      </c>
      <c r="S2298" s="123">
        <f>Table1[[#This Row],[Quantity]]/48</f>
        <v>11.458333333333334</v>
      </c>
      <c r="T2298" s="36"/>
      <c r="U2298" s="36"/>
      <c r="V2298" s="36"/>
      <c r="W2298" s="129"/>
      <c r="X2298" s="36"/>
      <c r="Y2298" s="36"/>
      <c r="Z2298" s="36"/>
      <c r="AA2298" s="125" t="s">
        <v>3</v>
      </c>
      <c r="AB2298" s="173"/>
      <c r="AC2298" s="119"/>
      <c r="AD2298" s="36" t="str">
        <f t="shared" si="256"/>
        <v/>
      </c>
      <c r="AE2298" s="36" t="str">
        <f t="shared" si="257"/>
        <v/>
      </c>
      <c r="AF2298" s="36"/>
      <c r="AG2298" s="120">
        <f t="shared" si="255"/>
        <v>0</v>
      </c>
      <c r="AH2298" s="36"/>
      <c r="AI2298" s="124"/>
      <c r="AJ2298" s="122"/>
      <c r="AK2298" s="129" t="str">
        <f t="shared" ca="1" si="261"/>
        <v/>
      </c>
      <c r="AL2298" s="268" t="str">
        <f t="shared" si="260"/>
        <v>December</v>
      </c>
      <c r="AM2298" s="133">
        <f>YEAR(Table1[[#This Row],[ETA
As requested
dd.mm.yyyy]])</f>
        <v>2025</v>
      </c>
    </row>
    <row r="2299" spans="1:40" hidden="1">
      <c r="A2299" s="123" t="s">
        <v>83</v>
      </c>
      <c r="B2299" s="36" t="s">
        <v>1170</v>
      </c>
      <c r="C2299" s="117">
        <v>36508678</v>
      </c>
      <c r="D2299" s="165">
        <v>45378</v>
      </c>
      <c r="E2299" s="117" t="s">
        <v>101</v>
      </c>
      <c r="F2299" s="36" t="str">
        <f>IFERROR(VLOOKUP(Table1[[#This Row],[Part Number]],DATABASE_FG!$C$6:D12288,2,FALSE)," ")</f>
        <v>059018879-8011</v>
      </c>
      <c r="G2299" s="117">
        <f>IFERROR(_xlfn.XLOOKUP(Table1[[#This Row],[Part Number]],Table3[Part number],Table3[Drawing
 Revision]),"")</f>
        <v>0</v>
      </c>
      <c r="H2299" s="118" cm="1">
        <f t="array" ref="H2299">IFERROR(INDEX(PDB!$C:$AT,MATCH(E2299,PDB!$B:$B,0),MATCH(YEAR(K2299),0+PDB!$C$1:$AT$1,0)),"")</f>
        <v>4.51</v>
      </c>
      <c r="I2299" s="36">
        <v>50</v>
      </c>
      <c r="J2299" s="125">
        <f>IFERROR(Table1[[#This Row],[Quantity]]*Table1[[#This Row],[Price/Unit
EUR]]," ")</f>
        <v>225.5</v>
      </c>
      <c r="K2299" s="126">
        <v>45398</v>
      </c>
      <c r="L2299" s="36">
        <f>WEEKNUM(Table1[[#This Row],[ETA
As requested
dd.mm.yyyy]])</f>
        <v>16</v>
      </c>
      <c r="M2299" s="36">
        <f>YEAR(Table1[[#This Row],[ETA
As requested
dd.mm.yyyy]])</f>
        <v>2024</v>
      </c>
      <c r="N2299" s="36">
        <f>IFERROR(INDEX(DATABASE_FG!$H$5:$H$367, MATCH(E2299, DATABASE_FG!$C$5:$C$367, 0)), " ")</f>
        <v>0</v>
      </c>
      <c r="O2299" s="129" t="str">
        <f>IF(E2299&lt;&gt;"", _xlfn.XLOOKUP(E2299, DATABASE_FG!C:C, DATABASE_FG!F:F), " ")</f>
        <v>Ghidaje</v>
      </c>
      <c r="P2299" s="36">
        <f>IFERROR(INDEX(DATABASE_FG!$G$5:$G$367, MATCH(E2299, DATABASE_FG!$C$5:$C$367, 0)), "Not Found")</f>
        <v>0</v>
      </c>
      <c r="Q2299" s="36"/>
      <c r="R2299" s="125" t="s">
        <v>678</v>
      </c>
      <c r="S2299" s="123">
        <f>IFERROR(INDEX(DATABASE_FG!$L$5:$L$367, MATCH(E2299, DATABASE_FG!$C$5:$C$367, 0)), " ")</f>
        <v>42</v>
      </c>
      <c r="T2299" s="36" t="s">
        <v>679</v>
      </c>
      <c r="U2299" s="36"/>
      <c r="V2299" s="36"/>
      <c r="W2299" s="129"/>
      <c r="X2299" s="36"/>
      <c r="Y2299" s="36"/>
      <c r="Z2299" s="36" t="s">
        <v>1353</v>
      </c>
      <c r="AA2299" s="125" t="s">
        <v>121</v>
      </c>
      <c r="AB2299" s="173">
        <v>45394</v>
      </c>
      <c r="AC2299" s="119">
        <v>2024340</v>
      </c>
      <c r="AD2299" s="36">
        <f t="shared" si="256"/>
        <v>36508678</v>
      </c>
      <c r="AE2299" s="36" t="str">
        <f t="shared" si="257"/>
        <v>TK.KWVE30-B-A-H-0038-WW1</v>
      </c>
      <c r="AF2299" s="36">
        <v>50</v>
      </c>
      <c r="AG2299" s="120">
        <f t="shared" si="255"/>
        <v>225.5</v>
      </c>
      <c r="AH2299" s="36"/>
      <c r="AI2299" s="124"/>
      <c r="AJ2299" s="122" t="s">
        <v>1354</v>
      </c>
      <c r="AK2299" s="129" t="str">
        <f t="shared" ca="1" si="261"/>
        <v>On Time</v>
      </c>
      <c r="AL2299" s="268" t="str">
        <f t="shared" si="260"/>
        <v>April</v>
      </c>
      <c r="AM2299" s="133">
        <f>YEAR(Table1[[#This Row],[ETA
As requested
dd.mm.yyyy]])</f>
        <v>2024</v>
      </c>
    </row>
    <row r="2300" spans="1:40" hidden="1">
      <c r="A2300" s="123" t="s">
        <v>83</v>
      </c>
      <c r="B2300" s="36" t="s">
        <v>1170</v>
      </c>
      <c r="C2300" s="117">
        <v>36508682</v>
      </c>
      <c r="D2300" s="165">
        <v>45378</v>
      </c>
      <c r="E2300" s="117" t="s">
        <v>101</v>
      </c>
      <c r="F2300" s="36" t="str">
        <f>IFERROR(VLOOKUP(Table1[[#This Row],[Part Number]],DATABASE_FG!$C$6:D12289,2,FALSE)," ")</f>
        <v>059018879-8011</v>
      </c>
      <c r="G2300" s="117">
        <f>IFERROR(_xlfn.XLOOKUP(Table1[[#This Row],[Part Number]],Table3[Part number],Table3[Drawing
 Revision]),"")</f>
        <v>0</v>
      </c>
      <c r="H2300" s="118" cm="1">
        <f t="array" ref="H2300">IFERROR(INDEX(PDB!$C:$AT,MATCH(E2300,PDB!$B:$B,0),MATCH(YEAR(K2300),0+PDB!$C$1:$AT$1,0)),"")</f>
        <v>4.51</v>
      </c>
      <c r="I2300" s="36">
        <v>50</v>
      </c>
      <c r="J2300" s="125">
        <f>IFERROR(Table1[[#This Row],[Quantity]]*Table1[[#This Row],[Price/Unit
EUR]]," ")</f>
        <v>225.5</v>
      </c>
      <c r="K2300" s="126">
        <v>45405</v>
      </c>
      <c r="L2300" s="36">
        <f>WEEKNUM(Table1[[#This Row],[ETA
As requested
dd.mm.yyyy]])</f>
        <v>17</v>
      </c>
      <c r="M2300" s="36">
        <f>YEAR(Table1[[#This Row],[ETA
As requested
dd.mm.yyyy]])</f>
        <v>2024</v>
      </c>
      <c r="N2300" s="36">
        <f>IFERROR(INDEX(DATABASE_FG!$H$5:$H$367, MATCH(E2300, DATABASE_FG!$C$5:$C$367, 0)), " ")</f>
        <v>0</v>
      </c>
      <c r="O2300" s="129" t="str">
        <f>IF(E2300&lt;&gt;"", _xlfn.XLOOKUP(E2300, DATABASE_FG!C:C, DATABASE_FG!F:F), " ")</f>
        <v>Ghidaje</v>
      </c>
      <c r="P2300" s="36">
        <f>IFERROR(INDEX(DATABASE_FG!$G$5:$G$367, MATCH(E2300, DATABASE_FG!$C$5:$C$367, 0)), "Not Found")</f>
        <v>0</v>
      </c>
      <c r="Q2300" s="36"/>
      <c r="R2300" s="125" t="s">
        <v>678</v>
      </c>
      <c r="S2300" s="123">
        <f>IFERROR(INDEX(DATABASE_FG!$L$5:$L$367, MATCH(E2300, DATABASE_FG!$C$5:$C$367, 0)), " ")</f>
        <v>42</v>
      </c>
      <c r="T2300" s="36" t="s">
        <v>679</v>
      </c>
      <c r="U2300" s="36"/>
      <c r="V2300" s="36"/>
      <c r="W2300" s="129"/>
      <c r="X2300" s="36"/>
      <c r="Y2300" s="36"/>
      <c r="Z2300" s="36" t="s">
        <v>1353</v>
      </c>
      <c r="AA2300" s="125" t="s">
        <v>121</v>
      </c>
      <c r="AB2300" s="172">
        <v>45394</v>
      </c>
      <c r="AC2300" s="119">
        <v>2024341</v>
      </c>
      <c r="AD2300" s="36">
        <f t="shared" si="256"/>
        <v>36508682</v>
      </c>
      <c r="AE2300" s="36" t="str">
        <f t="shared" si="257"/>
        <v>TK.KWVE30-B-A-H-0038-WW1</v>
      </c>
      <c r="AF2300" s="36">
        <v>45</v>
      </c>
      <c r="AG2300" s="120">
        <f t="shared" si="255"/>
        <v>202.95</v>
      </c>
      <c r="AH2300" s="36"/>
      <c r="AI2300" s="124"/>
      <c r="AJ2300" s="122" t="s">
        <v>1389</v>
      </c>
      <c r="AK2300" s="129" t="str">
        <f t="shared" ca="1" si="261"/>
        <v>On Time</v>
      </c>
      <c r="AL2300" s="268" t="str">
        <f t="shared" si="260"/>
        <v>April</v>
      </c>
      <c r="AM2300" s="133">
        <f>YEAR(Table1[[#This Row],[ETA
As requested
dd.mm.yyyy]])</f>
        <v>2024</v>
      </c>
    </row>
    <row r="2301" spans="1:40" hidden="1">
      <c r="A2301" s="123" t="s">
        <v>83</v>
      </c>
      <c r="B2301" s="36" t="s">
        <v>1170</v>
      </c>
      <c r="C2301" s="117">
        <v>36508682</v>
      </c>
      <c r="D2301" s="165">
        <v>45378</v>
      </c>
      <c r="E2301" s="117" t="s">
        <v>101</v>
      </c>
      <c r="F2301" s="36" t="str">
        <f>IFERROR(VLOOKUP(Table1[[#This Row],[Part Number]],DATABASE_FG!$C$6:D12290,2,FALSE)," ")</f>
        <v>059018879-8011</v>
      </c>
      <c r="G2301" s="117">
        <f>IFERROR(_xlfn.XLOOKUP(Table1[[#This Row],[Part Number]],Table3[Part number],Table3[Drawing
 Revision]),"")</f>
        <v>0</v>
      </c>
      <c r="H2301" s="118" cm="1">
        <f t="array" ref="H2301">IFERROR(INDEX(PDB!$C:$AT,MATCH(E2301,PDB!$B:$B,0),MATCH(YEAR(K2301),0+PDB!$C$1:$AT$1,0)),"")</f>
        <v>4.51</v>
      </c>
      <c r="I2301" s="36">
        <v>5</v>
      </c>
      <c r="J2301" s="125">
        <f>IFERROR(Table1[[#This Row],[Quantity]]*Table1[[#This Row],[Price/Unit
EUR]]," ")</f>
        <v>22.549999999999997</v>
      </c>
      <c r="K2301" s="126">
        <v>45405</v>
      </c>
      <c r="L2301" s="36">
        <f>WEEKNUM(Table1[[#This Row],[ETA
As requested
dd.mm.yyyy]])</f>
        <v>17</v>
      </c>
      <c r="M2301" s="36">
        <f>YEAR(Table1[[#This Row],[ETA
As requested
dd.mm.yyyy]])</f>
        <v>2024</v>
      </c>
      <c r="N2301" s="36">
        <f>IFERROR(INDEX(DATABASE_FG!$H$5:$H$367, MATCH(E2301, DATABASE_FG!$C$5:$C$367, 0)), " ")</f>
        <v>0</v>
      </c>
      <c r="O2301" s="129" t="str">
        <f>IF(E2301&lt;&gt;"", _xlfn.XLOOKUP(E2301, DATABASE_FG!C:C, DATABASE_FG!F:F), " ")</f>
        <v>Ghidaje</v>
      </c>
      <c r="P2301" s="36">
        <f>IFERROR(INDEX(DATABASE_FG!$G$5:$G$367, MATCH(E2301, DATABASE_FG!$C$5:$C$367, 0)), "Not Found")</f>
        <v>0</v>
      </c>
      <c r="Q2301" s="36"/>
      <c r="R2301" s="125" t="s">
        <v>678</v>
      </c>
      <c r="S2301" s="123">
        <f>IFERROR(INDEX(DATABASE_FG!$L$5:$L$367, MATCH(E2301, DATABASE_FG!$C$5:$C$367, 0)), " ")</f>
        <v>42</v>
      </c>
      <c r="T2301" s="36"/>
      <c r="U2301" s="36"/>
      <c r="V2301" s="36"/>
      <c r="W2301" s="129"/>
      <c r="X2301" s="36"/>
      <c r="Y2301" s="36"/>
      <c r="Z2301" s="36"/>
      <c r="AA2301" s="125" t="s">
        <v>121</v>
      </c>
      <c r="AB2301" s="172">
        <v>45398</v>
      </c>
      <c r="AC2301" s="119">
        <v>2024362</v>
      </c>
      <c r="AD2301" s="36">
        <f t="shared" si="256"/>
        <v>36508682</v>
      </c>
      <c r="AE2301" s="36" t="str">
        <f t="shared" si="257"/>
        <v>TK.KWVE30-B-A-H-0038-WW1</v>
      </c>
      <c r="AF2301" s="36">
        <v>5</v>
      </c>
      <c r="AG2301" s="120">
        <f t="shared" si="255"/>
        <v>22.549999999999997</v>
      </c>
      <c r="AH2301" s="36"/>
      <c r="AI2301" s="124"/>
      <c r="AJ2301" s="122" t="s">
        <v>1390</v>
      </c>
      <c r="AK2301" s="129" t="str">
        <f t="shared" ca="1" si="261"/>
        <v>On Time</v>
      </c>
      <c r="AL2301" s="268" t="str">
        <f t="shared" si="260"/>
        <v>April</v>
      </c>
      <c r="AM2301" s="133">
        <f>YEAR(Table1[[#This Row],[ETA
As requested
dd.mm.yyyy]])</f>
        <v>2024</v>
      </c>
    </row>
    <row r="2302" spans="1:40" hidden="1">
      <c r="A2302" s="123" t="s">
        <v>83</v>
      </c>
      <c r="B2302" s="36" t="s">
        <v>1170</v>
      </c>
      <c r="C2302" s="117">
        <v>36635662</v>
      </c>
      <c r="D2302" s="165">
        <v>45400</v>
      </c>
      <c r="E2302" s="117" t="s">
        <v>101</v>
      </c>
      <c r="F2302" s="36" t="str">
        <f>IFERROR(VLOOKUP(Table1[[#This Row],[Part Number]],DATABASE_FG!$C$6:D12291,2,FALSE)," ")</f>
        <v>059018879-8011</v>
      </c>
      <c r="G2302" s="117">
        <f>IFERROR(_xlfn.XLOOKUP(Table1[[#This Row],[Part Number]],Table3[Part number],Table3[Drawing
 Revision]),"")</f>
        <v>0</v>
      </c>
      <c r="H2302" s="118" cm="1">
        <f t="array" ref="H2302">IFERROR(INDEX(PDB!$C:$AT,MATCH(E2302,PDB!$B:$B,0),MATCH(YEAR(K2302),0+PDB!$C$1:$AT$1,0)),"")</f>
        <v>4.51</v>
      </c>
      <c r="I2302" s="36">
        <v>50</v>
      </c>
      <c r="J2302" s="125">
        <f>IFERROR(Table1[[#This Row],[Quantity]]*Table1[[#This Row],[Price/Unit
EUR]]," ")</f>
        <v>225.5</v>
      </c>
      <c r="K2302" s="126">
        <v>45419</v>
      </c>
      <c r="L2302" s="36">
        <f>WEEKNUM(Table1[[#This Row],[ETA
As requested
dd.mm.yyyy]])</f>
        <v>19</v>
      </c>
      <c r="M2302" s="36">
        <f>YEAR(Table1[[#This Row],[ETA
As requested
dd.mm.yyyy]])</f>
        <v>2024</v>
      </c>
      <c r="N2302" s="36">
        <f>IFERROR(INDEX(DATABASE_FG!$H$5:$H$367, MATCH(E2302, DATABASE_FG!$C$5:$C$367, 0)), " ")</f>
        <v>0</v>
      </c>
      <c r="O2302" s="129" t="str">
        <f>IF(E2302&lt;&gt;"", _xlfn.XLOOKUP(E2302, DATABASE_FG!C:C, DATABASE_FG!F:F), " ")</f>
        <v>Ghidaje</v>
      </c>
      <c r="P2302" s="36">
        <f>IFERROR(INDEX(DATABASE_FG!$G$5:$G$367, MATCH(E2302, DATABASE_FG!$C$5:$C$367, 0)), "Not Found")</f>
        <v>0</v>
      </c>
      <c r="Q2302" s="36"/>
      <c r="R2302" s="125" t="s">
        <v>678</v>
      </c>
      <c r="S2302" s="123">
        <f>IFERROR(INDEX(DATABASE_FG!$L$5:$L$367, MATCH(E2302, DATABASE_FG!$C$5:$C$367, 0)), " ")</f>
        <v>42</v>
      </c>
      <c r="T2302" s="36" t="s">
        <v>679</v>
      </c>
      <c r="U2302" s="36"/>
      <c r="V2302" s="36"/>
      <c r="W2302" s="129"/>
      <c r="X2302" s="36"/>
      <c r="Y2302" s="36"/>
      <c r="Z2302" s="36">
        <v>241701</v>
      </c>
      <c r="AA2302" s="125" t="s">
        <v>121</v>
      </c>
      <c r="AB2302" s="172">
        <v>45419</v>
      </c>
      <c r="AC2302" s="119">
        <v>2024431</v>
      </c>
      <c r="AD2302" s="36">
        <f t="shared" si="256"/>
        <v>36635662</v>
      </c>
      <c r="AE2302" s="36" t="str">
        <f t="shared" si="257"/>
        <v>TK.KWVE30-B-A-H-0038-WW1</v>
      </c>
      <c r="AF2302" s="36">
        <v>50</v>
      </c>
      <c r="AG2302" s="120">
        <f t="shared" si="255"/>
        <v>225.5</v>
      </c>
      <c r="AH2302" s="36"/>
      <c r="AI2302" s="124"/>
      <c r="AJ2302" s="122" t="s">
        <v>1454</v>
      </c>
      <c r="AK2302" s="129" t="str">
        <f t="shared" ca="1" si="261"/>
        <v>On Time</v>
      </c>
      <c r="AL2302" s="268" t="str">
        <f t="shared" si="260"/>
        <v>May</v>
      </c>
      <c r="AM2302" s="133">
        <f>YEAR(Table1[[#This Row],[ETA
As requested
dd.mm.yyyy]])</f>
        <v>2024</v>
      </c>
    </row>
    <row r="2303" spans="1:40" hidden="1">
      <c r="A2303" s="123" t="s">
        <v>83</v>
      </c>
      <c r="B2303" s="36" t="s">
        <v>1170</v>
      </c>
      <c r="C2303" s="117">
        <v>36635667</v>
      </c>
      <c r="D2303" s="165">
        <v>45400</v>
      </c>
      <c r="E2303" s="117" t="s">
        <v>101</v>
      </c>
      <c r="F2303" s="36" t="str">
        <f>IFERROR(VLOOKUP(Table1[[#This Row],[Part Number]],DATABASE_FG!$C$6:D12292,2,FALSE)," ")</f>
        <v>059018879-8011</v>
      </c>
      <c r="G2303" s="117">
        <f>IFERROR(_xlfn.XLOOKUP(Table1[[#This Row],[Part Number]],Table3[Part number],Table3[Drawing
 Revision]),"")</f>
        <v>0</v>
      </c>
      <c r="H2303" s="118" cm="1">
        <f t="array" ref="H2303">IFERROR(INDEX(PDB!$C:$AT,MATCH(E2303,PDB!$B:$B,0),MATCH(YEAR(K2303),0+PDB!$C$1:$AT$1,0)),"")</f>
        <v>4.51</v>
      </c>
      <c r="I2303" s="36">
        <v>50</v>
      </c>
      <c r="J2303" s="125">
        <f>IFERROR(Table1[[#This Row],[Quantity]]*Table1[[#This Row],[Price/Unit
EUR]]," ")</f>
        <v>225.5</v>
      </c>
      <c r="K2303" s="126">
        <v>45421</v>
      </c>
      <c r="L2303" s="36">
        <f>WEEKNUM(Table1[[#This Row],[ETA
As requested
dd.mm.yyyy]])</f>
        <v>19</v>
      </c>
      <c r="M2303" s="36">
        <f>YEAR(Table1[[#This Row],[ETA
As requested
dd.mm.yyyy]])</f>
        <v>2024</v>
      </c>
      <c r="N2303" s="36">
        <f>IFERROR(INDEX(DATABASE_FG!$H$5:$H$367, MATCH(E2303, DATABASE_FG!$C$5:$C$367, 0)), " ")</f>
        <v>0</v>
      </c>
      <c r="O2303" s="129" t="str">
        <f>IF(E2303&lt;&gt;"", _xlfn.XLOOKUP(E2303, DATABASE_FG!C:C, DATABASE_FG!F:F), " ")</f>
        <v>Ghidaje</v>
      </c>
      <c r="P2303" s="36">
        <f>IFERROR(INDEX(DATABASE_FG!$G$5:$G$367, MATCH(E2303, DATABASE_FG!$C$5:$C$367, 0)), "Not Found")</f>
        <v>0</v>
      </c>
      <c r="Q2303" s="36"/>
      <c r="R2303" s="125" t="s">
        <v>678</v>
      </c>
      <c r="S2303" s="123">
        <f>IFERROR(INDEX(DATABASE_FG!$L$5:$L$367, MATCH(E2303, DATABASE_FG!$C$5:$C$367, 0)), " ")</f>
        <v>42</v>
      </c>
      <c r="T2303" s="36" t="s">
        <v>679</v>
      </c>
      <c r="U2303" s="36"/>
      <c r="V2303" s="36"/>
      <c r="W2303" s="129"/>
      <c r="X2303" s="36"/>
      <c r="Y2303" s="36"/>
      <c r="Z2303" s="36">
        <v>241701</v>
      </c>
      <c r="AA2303" s="125" t="s">
        <v>121</v>
      </c>
      <c r="AB2303" s="172">
        <v>45421</v>
      </c>
      <c r="AC2303" s="119">
        <v>2024452</v>
      </c>
      <c r="AD2303" s="36">
        <f t="shared" si="256"/>
        <v>36635667</v>
      </c>
      <c r="AE2303" s="36" t="str">
        <f t="shared" si="257"/>
        <v>TK.KWVE30-B-A-H-0038-WW1</v>
      </c>
      <c r="AF2303" s="36">
        <v>50</v>
      </c>
      <c r="AG2303" s="120">
        <f t="shared" ref="AG2303:AG2366" si="262">AF2303*H2303</f>
        <v>225.5</v>
      </c>
      <c r="AH2303" s="36"/>
      <c r="AI2303" s="124"/>
      <c r="AJ2303" s="122" t="s">
        <v>1489</v>
      </c>
      <c r="AK2303" s="129" t="str">
        <f t="shared" ca="1" si="261"/>
        <v>On Time</v>
      </c>
      <c r="AL2303" s="268" t="str">
        <f t="shared" si="260"/>
        <v>May</v>
      </c>
      <c r="AM2303" s="133">
        <f>YEAR(Table1[[#This Row],[ETA
As requested
dd.mm.yyyy]])</f>
        <v>2024</v>
      </c>
    </row>
    <row r="2304" spans="1:40" hidden="1">
      <c r="A2304" s="123" t="s">
        <v>83</v>
      </c>
      <c r="B2304" s="36" t="s">
        <v>1170</v>
      </c>
      <c r="C2304" s="117">
        <v>36635674</v>
      </c>
      <c r="D2304" s="165">
        <v>45400</v>
      </c>
      <c r="E2304" s="117" t="s">
        <v>101</v>
      </c>
      <c r="F2304" s="36" t="str">
        <f>IFERROR(VLOOKUP(Table1[[#This Row],[Part Number]],DATABASE_FG!$C$6:D12293,2,FALSE)," ")</f>
        <v>059018879-8011</v>
      </c>
      <c r="G2304" s="117">
        <f>IFERROR(_xlfn.XLOOKUP(Table1[[#This Row],[Part Number]],Table3[Part number],Table3[Drawing
 Revision]),"")</f>
        <v>0</v>
      </c>
      <c r="H2304" s="118" cm="1">
        <f t="array" ref="H2304">IFERROR(INDEX(PDB!$C:$AT,MATCH(E2304,PDB!$B:$B,0),MATCH(YEAR(K2304),0+PDB!$C$1:$AT$1,0)),"")</f>
        <v>4.51</v>
      </c>
      <c r="I2304" s="36">
        <v>50</v>
      </c>
      <c r="J2304" s="125">
        <f>IFERROR(Table1[[#This Row],[Quantity]]*Table1[[#This Row],[Price/Unit
EUR]]," ")</f>
        <v>225.5</v>
      </c>
      <c r="K2304" s="126">
        <v>45426</v>
      </c>
      <c r="L2304" s="36">
        <f>WEEKNUM(Table1[[#This Row],[ETA
As requested
dd.mm.yyyy]])</f>
        <v>20</v>
      </c>
      <c r="M2304" s="36">
        <f>YEAR(Table1[[#This Row],[ETA
As requested
dd.mm.yyyy]])</f>
        <v>2024</v>
      </c>
      <c r="N2304" s="36">
        <f>IFERROR(INDEX(DATABASE_FG!$H$5:$H$367, MATCH(E2304, DATABASE_FG!$C$5:$C$367, 0)), " ")</f>
        <v>0</v>
      </c>
      <c r="O2304" s="129" t="str">
        <f>IF(E2304&lt;&gt;"", _xlfn.XLOOKUP(E2304, DATABASE_FG!C:C, DATABASE_FG!F:F), " ")</f>
        <v>Ghidaje</v>
      </c>
      <c r="P2304" s="36">
        <f>IFERROR(INDEX(DATABASE_FG!$G$5:$G$367, MATCH(E2304, DATABASE_FG!$C$5:$C$367, 0)), "Not Found")</f>
        <v>0</v>
      </c>
      <c r="Q2304" s="36"/>
      <c r="R2304" s="125" t="s">
        <v>678</v>
      </c>
      <c r="S2304" s="123">
        <f>IFERROR(INDEX(DATABASE_FG!$L$5:$L$367, MATCH(E2304, DATABASE_FG!$C$5:$C$367, 0)), " ")</f>
        <v>42</v>
      </c>
      <c r="T2304" s="36" t="s">
        <v>679</v>
      </c>
      <c r="U2304" s="36"/>
      <c r="V2304" s="36"/>
      <c r="W2304" s="129"/>
      <c r="X2304" s="36"/>
      <c r="Y2304" s="36"/>
      <c r="Z2304" s="36">
        <v>241701</v>
      </c>
      <c r="AA2304" s="125" t="s">
        <v>121</v>
      </c>
      <c r="AB2304" s="172">
        <v>45421</v>
      </c>
      <c r="AC2304" s="119">
        <v>2024453</v>
      </c>
      <c r="AD2304" s="36">
        <f t="shared" si="256"/>
        <v>36635674</v>
      </c>
      <c r="AE2304" s="36" t="str">
        <f t="shared" si="257"/>
        <v>TK.KWVE30-B-A-H-0038-WW1</v>
      </c>
      <c r="AF2304" s="36">
        <v>50</v>
      </c>
      <c r="AG2304" s="120">
        <f t="shared" si="262"/>
        <v>225.5</v>
      </c>
      <c r="AH2304" s="36"/>
      <c r="AI2304" s="124"/>
      <c r="AJ2304" s="122" t="s">
        <v>1501</v>
      </c>
      <c r="AK2304" s="129" t="str">
        <f t="shared" ca="1" si="261"/>
        <v>On Time</v>
      </c>
      <c r="AL2304" s="268" t="str">
        <f t="shared" si="260"/>
        <v>May</v>
      </c>
      <c r="AM2304" s="133">
        <f>YEAR(Table1[[#This Row],[ETA
As requested
dd.mm.yyyy]])</f>
        <v>2024</v>
      </c>
    </row>
    <row r="2305" spans="1:39" hidden="1">
      <c r="A2305" s="123" t="s">
        <v>83</v>
      </c>
      <c r="B2305" s="36" t="s">
        <v>1170</v>
      </c>
      <c r="C2305" s="117">
        <v>36635676</v>
      </c>
      <c r="D2305" s="165">
        <v>45400</v>
      </c>
      <c r="E2305" s="117" t="s">
        <v>101</v>
      </c>
      <c r="F2305" s="36" t="str">
        <f>IFERROR(VLOOKUP(Table1[[#This Row],[Part Number]],DATABASE_FG!$C$6:D12294,2,FALSE)," ")</f>
        <v>059018879-8011</v>
      </c>
      <c r="G2305" s="117">
        <f>IFERROR(_xlfn.XLOOKUP(Table1[[#This Row],[Part Number]],Table3[Part number],Table3[Drawing
 Revision]),"")</f>
        <v>0</v>
      </c>
      <c r="H2305" s="118" cm="1">
        <f t="array" ref="H2305">IFERROR(INDEX(PDB!$C:$AT,MATCH(E2305,PDB!$B:$B,0),MATCH(YEAR(K2305),0+PDB!$C$1:$AT$1,0)),"")</f>
        <v>4.51</v>
      </c>
      <c r="I2305" s="36">
        <v>50</v>
      </c>
      <c r="J2305" s="125">
        <f>IFERROR(Table1[[#This Row],[Quantity]]*Table1[[#This Row],[Price/Unit
EUR]]," ")</f>
        <v>225.5</v>
      </c>
      <c r="K2305" s="126">
        <v>45428</v>
      </c>
      <c r="L2305" s="36">
        <f>WEEKNUM(Table1[[#This Row],[ETA
As requested
dd.mm.yyyy]])</f>
        <v>20</v>
      </c>
      <c r="M2305" s="36">
        <f>YEAR(Table1[[#This Row],[ETA
As requested
dd.mm.yyyy]])</f>
        <v>2024</v>
      </c>
      <c r="N2305" s="36">
        <f>IFERROR(INDEX(DATABASE_FG!$H$5:$H$367, MATCH(E2305, DATABASE_FG!$C$5:$C$367, 0)), " ")</f>
        <v>0</v>
      </c>
      <c r="O2305" s="129" t="str">
        <f>IF(E2305&lt;&gt;"", _xlfn.XLOOKUP(E2305, DATABASE_FG!C:C, DATABASE_FG!F:F), " ")</f>
        <v>Ghidaje</v>
      </c>
      <c r="P2305" s="36">
        <f>IFERROR(INDEX(DATABASE_FG!$G$5:$G$367, MATCH(E2305, DATABASE_FG!$C$5:$C$367, 0)), "Not Found")</f>
        <v>0</v>
      </c>
      <c r="Q2305" s="36"/>
      <c r="R2305" s="125" t="s">
        <v>678</v>
      </c>
      <c r="S2305" s="123">
        <f>IFERROR(INDEX(DATABASE_FG!$L$5:$L$367, MATCH(E2305, DATABASE_FG!$C$5:$C$367, 0)), " ")</f>
        <v>42</v>
      </c>
      <c r="T2305" s="36" t="s">
        <v>679</v>
      </c>
      <c r="U2305" s="36"/>
      <c r="V2305" s="36"/>
      <c r="W2305" s="129"/>
      <c r="X2305" s="36"/>
      <c r="Y2305" s="36"/>
      <c r="Z2305" s="36">
        <v>241701</v>
      </c>
      <c r="AA2305" s="125" t="s">
        <v>121</v>
      </c>
      <c r="AB2305" s="172">
        <v>45421</v>
      </c>
      <c r="AC2305" s="119">
        <v>2024454</v>
      </c>
      <c r="AD2305" s="36">
        <f t="shared" si="256"/>
        <v>36635676</v>
      </c>
      <c r="AE2305" s="36" t="str">
        <f t="shared" si="257"/>
        <v>TK.KWVE30-B-A-H-0038-WW1</v>
      </c>
      <c r="AF2305" s="36">
        <v>50</v>
      </c>
      <c r="AG2305" s="120">
        <f t="shared" si="262"/>
        <v>225.5</v>
      </c>
      <c r="AH2305" s="36"/>
      <c r="AI2305" s="124"/>
      <c r="AJ2305" s="122" t="s">
        <v>1511</v>
      </c>
      <c r="AK2305" s="129" t="str">
        <f t="shared" ca="1" si="261"/>
        <v>On Time</v>
      </c>
      <c r="AL2305" s="268" t="str">
        <f t="shared" si="260"/>
        <v>May</v>
      </c>
      <c r="AM2305" s="133">
        <f>YEAR(Table1[[#This Row],[ETA
As requested
dd.mm.yyyy]])</f>
        <v>2024</v>
      </c>
    </row>
    <row r="2306" spans="1:39" hidden="1">
      <c r="A2306" s="123" t="s">
        <v>83</v>
      </c>
      <c r="B2306" s="36" t="s">
        <v>1170</v>
      </c>
      <c r="C2306" s="117">
        <v>36642257</v>
      </c>
      <c r="D2306" s="165">
        <v>45401</v>
      </c>
      <c r="E2306" s="117" t="s">
        <v>101</v>
      </c>
      <c r="F2306" s="36" t="str">
        <f>IFERROR(VLOOKUP(Table1[[#This Row],[Part Number]],DATABASE_FG!$C$6:D12295,2,FALSE)," ")</f>
        <v>059018879-8011</v>
      </c>
      <c r="G2306" s="117">
        <f>IFERROR(_xlfn.XLOOKUP(Table1[[#This Row],[Part Number]],Table3[Part number],Table3[Drawing
 Revision]),"")</f>
        <v>0</v>
      </c>
      <c r="H2306" s="118" cm="1">
        <f t="array" ref="H2306">IFERROR(INDEX(PDB!$C:$AT,MATCH(E2306,PDB!$B:$B,0),MATCH(YEAR(K2306),0+PDB!$C$1:$AT$1,0)),"")</f>
        <v>4.51</v>
      </c>
      <c r="I2306" s="36">
        <v>50</v>
      </c>
      <c r="J2306" s="125">
        <f>IFERROR(Table1[[#This Row],[Quantity]]*Table1[[#This Row],[Price/Unit
EUR]]," ")</f>
        <v>225.5</v>
      </c>
      <c r="K2306" s="126">
        <v>45433</v>
      </c>
      <c r="L2306" s="36">
        <f>WEEKNUM(Table1[[#This Row],[ETA
As requested
dd.mm.yyyy]])</f>
        <v>21</v>
      </c>
      <c r="M2306" s="36">
        <f>YEAR(Table1[[#This Row],[ETA
As requested
dd.mm.yyyy]])</f>
        <v>2024</v>
      </c>
      <c r="N2306" s="36">
        <f>IFERROR(INDEX(DATABASE_FG!$H$5:$H$367, MATCH(E2306, DATABASE_FG!$C$5:$C$367, 0)), " ")</f>
        <v>0</v>
      </c>
      <c r="O2306" s="129" t="str">
        <f>IF(E2306&lt;&gt;"", _xlfn.XLOOKUP(E2306, DATABASE_FG!C:C, DATABASE_FG!F:F), " ")</f>
        <v>Ghidaje</v>
      </c>
      <c r="P2306" s="36">
        <f>IFERROR(INDEX(DATABASE_FG!$G$5:$G$367, MATCH(E2306, DATABASE_FG!$C$5:$C$367, 0)), "Not Found")</f>
        <v>0</v>
      </c>
      <c r="Q2306" s="36"/>
      <c r="R2306" s="125" t="s">
        <v>678</v>
      </c>
      <c r="S2306" s="123">
        <f>IFERROR(INDEX(DATABASE_FG!$L$5:$L$367, MATCH(E2306, DATABASE_FG!$C$5:$C$367, 0)), " ")</f>
        <v>42</v>
      </c>
      <c r="T2306" s="36" t="s">
        <v>679</v>
      </c>
      <c r="U2306" s="36"/>
      <c r="V2306" s="36"/>
      <c r="W2306" s="129"/>
      <c r="X2306" s="36"/>
      <c r="Y2306" s="36"/>
      <c r="Z2306" s="36">
        <v>241807</v>
      </c>
      <c r="AA2306" s="125" t="s">
        <v>121</v>
      </c>
      <c r="AB2306" s="172">
        <v>45422</v>
      </c>
      <c r="AC2306" s="119">
        <v>2024475</v>
      </c>
      <c r="AD2306" s="36">
        <f t="shared" si="256"/>
        <v>36642257</v>
      </c>
      <c r="AE2306" s="36" t="str">
        <f t="shared" si="257"/>
        <v>TK.KWVE30-B-A-H-0038-WW1</v>
      </c>
      <c r="AF2306" s="36">
        <v>50</v>
      </c>
      <c r="AG2306" s="120">
        <f t="shared" si="262"/>
        <v>225.5</v>
      </c>
      <c r="AH2306" s="36"/>
      <c r="AI2306" s="124"/>
      <c r="AJ2306" s="122" t="s">
        <v>1527</v>
      </c>
      <c r="AK2306" s="129" t="str">
        <f t="shared" ca="1" si="261"/>
        <v>On Time</v>
      </c>
      <c r="AL2306" s="268" t="str">
        <f t="shared" si="260"/>
        <v>May</v>
      </c>
      <c r="AM2306" s="133">
        <f>YEAR(Table1[[#This Row],[ETA
As requested
dd.mm.yyyy]])</f>
        <v>2024</v>
      </c>
    </row>
    <row r="2307" spans="1:39" hidden="1">
      <c r="A2307" s="123" t="s">
        <v>83</v>
      </c>
      <c r="B2307" s="36" t="s">
        <v>1170</v>
      </c>
      <c r="C2307" s="117">
        <v>36635679</v>
      </c>
      <c r="D2307" s="165">
        <v>45400</v>
      </c>
      <c r="E2307" s="117" t="s">
        <v>101</v>
      </c>
      <c r="F2307" s="36" t="str">
        <f>IFERROR(VLOOKUP(Table1[[#This Row],[Part Number]],DATABASE_FG!$C$6:D12296,2,FALSE)," ")</f>
        <v>059018879-8011</v>
      </c>
      <c r="G2307" s="117">
        <f>IFERROR(_xlfn.XLOOKUP(Table1[[#This Row],[Part Number]],Table3[Part number],Table3[Drawing
 Revision]),"")</f>
        <v>0</v>
      </c>
      <c r="H2307" s="118" cm="1">
        <f t="array" ref="H2307">IFERROR(INDEX(PDB!$C:$AT,MATCH(E2307,PDB!$B:$B,0),MATCH(YEAR(K2307),0+PDB!$C$1:$AT$1,0)),"")</f>
        <v>4.51</v>
      </c>
      <c r="I2307" s="36">
        <v>50</v>
      </c>
      <c r="J2307" s="125">
        <f>IFERROR(Table1[[#This Row],[Quantity]]*Table1[[#This Row],[Price/Unit
EUR]]," ")</f>
        <v>225.5</v>
      </c>
      <c r="K2307" s="126">
        <v>45435</v>
      </c>
      <c r="L2307" s="36">
        <f>WEEKNUM(Table1[[#This Row],[ETA
As requested
dd.mm.yyyy]])</f>
        <v>21</v>
      </c>
      <c r="M2307" s="36">
        <f>YEAR(Table1[[#This Row],[ETA
As requested
dd.mm.yyyy]])</f>
        <v>2024</v>
      </c>
      <c r="N2307" s="36">
        <f>IFERROR(INDEX(DATABASE_FG!$H$5:$H$367, MATCH(E2307, DATABASE_FG!$C$5:$C$367, 0)), " ")</f>
        <v>0</v>
      </c>
      <c r="O2307" s="129" t="str">
        <f>IF(E2307&lt;&gt;"", _xlfn.XLOOKUP(E2307, DATABASE_FG!C:C, DATABASE_FG!F:F), " ")</f>
        <v>Ghidaje</v>
      </c>
      <c r="P2307" s="36">
        <f>IFERROR(INDEX(DATABASE_FG!$G$5:$G$367, MATCH(E2307, DATABASE_FG!$C$5:$C$367, 0)), "Not Found")</f>
        <v>0</v>
      </c>
      <c r="Q2307" s="36"/>
      <c r="R2307" s="125" t="s">
        <v>678</v>
      </c>
      <c r="S2307" s="123">
        <f>IFERROR(INDEX(DATABASE_FG!$L$5:$L$367, MATCH(E2307, DATABASE_FG!$C$5:$C$367, 0)), " ")</f>
        <v>42</v>
      </c>
      <c r="T2307" s="36" t="s">
        <v>679</v>
      </c>
      <c r="U2307" s="36"/>
      <c r="V2307" s="36"/>
      <c r="W2307" s="129"/>
      <c r="X2307" s="36"/>
      <c r="Y2307" s="36"/>
      <c r="Z2307" s="36">
        <v>241807</v>
      </c>
      <c r="AA2307" s="125" t="s">
        <v>121</v>
      </c>
      <c r="AB2307" s="172">
        <v>45422</v>
      </c>
      <c r="AC2307" s="119">
        <v>2024476</v>
      </c>
      <c r="AD2307" s="36">
        <f t="shared" si="256"/>
        <v>36635679</v>
      </c>
      <c r="AE2307" s="36" t="str">
        <f t="shared" si="257"/>
        <v>TK.KWVE30-B-A-H-0038-WW1</v>
      </c>
      <c r="AF2307" s="36">
        <v>50</v>
      </c>
      <c r="AG2307" s="120">
        <f t="shared" si="262"/>
        <v>225.5</v>
      </c>
      <c r="AH2307" s="36"/>
      <c r="AI2307" s="124"/>
      <c r="AJ2307" s="122" t="s">
        <v>1542</v>
      </c>
      <c r="AK2307" s="129" t="str">
        <f t="shared" ca="1" si="261"/>
        <v>On Time</v>
      </c>
      <c r="AL2307" s="268" t="str">
        <f t="shared" si="260"/>
        <v>May</v>
      </c>
      <c r="AM2307" s="133">
        <f>YEAR(Table1[[#This Row],[ETA
As requested
dd.mm.yyyy]])</f>
        <v>2024</v>
      </c>
    </row>
    <row r="2308" spans="1:39" hidden="1">
      <c r="A2308" s="123" t="s">
        <v>83</v>
      </c>
      <c r="B2308" s="36" t="s">
        <v>1170</v>
      </c>
      <c r="C2308" s="117">
        <v>36635684</v>
      </c>
      <c r="D2308" s="165">
        <v>45400</v>
      </c>
      <c r="E2308" s="117" t="s">
        <v>101</v>
      </c>
      <c r="F2308" s="36" t="str">
        <f>IFERROR(VLOOKUP(Table1[[#This Row],[Part Number]],DATABASE_FG!$C$6:D12297,2,FALSE)," ")</f>
        <v>059018879-8011</v>
      </c>
      <c r="G2308" s="117">
        <f>IFERROR(_xlfn.XLOOKUP(Table1[[#This Row],[Part Number]],Table3[Part number],Table3[Drawing
 Revision]),"")</f>
        <v>0</v>
      </c>
      <c r="H2308" s="118" cm="1">
        <f t="array" ref="H2308">IFERROR(INDEX(PDB!$C:$AT,MATCH(E2308,PDB!$B:$B,0),MATCH(YEAR(K2308),0+PDB!$C$1:$AT$1,0)),"")</f>
        <v>4.51</v>
      </c>
      <c r="I2308" s="36">
        <v>50</v>
      </c>
      <c r="J2308" s="125">
        <f>IFERROR(Table1[[#This Row],[Quantity]]*Table1[[#This Row],[Price/Unit
EUR]]," ")</f>
        <v>225.5</v>
      </c>
      <c r="K2308" s="126">
        <v>45440</v>
      </c>
      <c r="L2308" s="36">
        <f>WEEKNUM(Table1[[#This Row],[ETA
As requested
dd.mm.yyyy]])</f>
        <v>22</v>
      </c>
      <c r="M2308" s="36">
        <f>YEAR(Table1[[#This Row],[ETA
As requested
dd.mm.yyyy]])</f>
        <v>2024</v>
      </c>
      <c r="N2308" s="36">
        <f>IFERROR(INDEX(DATABASE_FG!$H$5:$H$367, MATCH(E2308, DATABASE_FG!$C$5:$C$367, 0)), " ")</f>
        <v>0</v>
      </c>
      <c r="O2308" s="129" t="str">
        <f>IF(E2308&lt;&gt;"", _xlfn.XLOOKUP(E2308, DATABASE_FG!C:C, DATABASE_FG!F:F), " ")</f>
        <v>Ghidaje</v>
      </c>
      <c r="P2308" s="36">
        <f>IFERROR(INDEX(DATABASE_FG!$G$5:$G$367, MATCH(E2308, DATABASE_FG!$C$5:$C$367, 0)), "Not Found")</f>
        <v>0</v>
      </c>
      <c r="Q2308" s="36"/>
      <c r="R2308" s="125" t="s">
        <v>678</v>
      </c>
      <c r="S2308" s="123">
        <f>IFERROR(INDEX(DATABASE_FG!$L$5:$L$367, MATCH(E2308, DATABASE_FG!$C$5:$C$367, 0)), " ")</f>
        <v>42</v>
      </c>
      <c r="T2308" s="36" t="s">
        <v>679</v>
      </c>
      <c r="U2308" s="36"/>
      <c r="V2308" s="36"/>
      <c r="W2308" s="129"/>
      <c r="X2308" s="36"/>
      <c r="Y2308" s="36"/>
      <c r="Z2308" s="36">
        <v>241807</v>
      </c>
      <c r="AA2308" s="125" t="s">
        <v>121</v>
      </c>
      <c r="AB2308" s="172">
        <v>45422</v>
      </c>
      <c r="AC2308" s="119">
        <v>2024477</v>
      </c>
      <c r="AD2308" s="36">
        <f t="shared" si="256"/>
        <v>36635684</v>
      </c>
      <c r="AE2308" s="36" t="str">
        <f t="shared" si="257"/>
        <v>TK.KWVE30-B-A-H-0038-WW1</v>
      </c>
      <c r="AF2308" s="36">
        <v>50</v>
      </c>
      <c r="AG2308" s="120">
        <f t="shared" si="262"/>
        <v>225.5</v>
      </c>
      <c r="AH2308" s="36"/>
      <c r="AI2308" s="124"/>
      <c r="AJ2308" s="122" t="s">
        <v>1569</v>
      </c>
      <c r="AK2308" s="129" t="str">
        <f t="shared" ca="1" si="261"/>
        <v>On Time</v>
      </c>
      <c r="AL2308" s="268" t="str">
        <f t="shared" si="260"/>
        <v>May</v>
      </c>
      <c r="AM2308" s="133">
        <f>YEAR(Table1[[#This Row],[ETA
As requested
dd.mm.yyyy]])</f>
        <v>2024</v>
      </c>
    </row>
    <row r="2309" spans="1:39" hidden="1">
      <c r="A2309" s="123" t="s">
        <v>83</v>
      </c>
      <c r="B2309" s="36" t="s">
        <v>1170</v>
      </c>
      <c r="C2309" s="117">
        <v>36635691</v>
      </c>
      <c r="D2309" s="165">
        <v>45400</v>
      </c>
      <c r="E2309" s="117" t="s">
        <v>101</v>
      </c>
      <c r="F2309" s="36" t="str">
        <f>IFERROR(VLOOKUP(Table1[[#This Row],[Part Number]],DATABASE_FG!$C$6:D12298,2,FALSE)," ")</f>
        <v>059018879-8011</v>
      </c>
      <c r="G2309" s="117">
        <f>IFERROR(_xlfn.XLOOKUP(Table1[[#This Row],[Part Number]],Table3[Part number],Table3[Drawing
 Revision]),"")</f>
        <v>0</v>
      </c>
      <c r="H2309" s="118" cm="1">
        <f t="array" ref="H2309">IFERROR(INDEX(PDB!$C:$AT,MATCH(E2309,PDB!$B:$B,0),MATCH(YEAR(K2309),0+PDB!$C$1:$AT$1,0)),"")</f>
        <v>4.51</v>
      </c>
      <c r="I2309" s="36">
        <v>50</v>
      </c>
      <c r="J2309" s="125">
        <f>IFERROR(Table1[[#This Row],[Quantity]]*Table1[[#This Row],[Price/Unit
EUR]]," ")</f>
        <v>225.5</v>
      </c>
      <c r="K2309" s="126">
        <v>45442</v>
      </c>
      <c r="L2309" s="36">
        <f>WEEKNUM(Table1[[#This Row],[ETA
As requested
dd.mm.yyyy]])</f>
        <v>22</v>
      </c>
      <c r="M2309" s="36">
        <f>YEAR(Table1[[#This Row],[ETA
As requested
dd.mm.yyyy]])</f>
        <v>2024</v>
      </c>
      <c r="N2309" s="36">
        <f>IFERROR(INDEX(DATABASE_FG!$H$5:$H$367, MATCH(E2309, DATABASE_FG!$C$5:$C$367, 0)), " ")</f>
        <v>0</v>
      </c>
      <c r="O2309" s="129" t="str">
        <f>IF(E2309&lt;&gt;"", _xlfn.XLOOKUP(E2309, DATABASE_FG!C:C, DATABASE_FG!F:F), " ")</f>
        <v>Ghidaje</v>
      </c>
      <c r="P2309" s="36">
        <f>IFERROR(INDEX(DATABASE_FG!$G$5:$G$367, MATCH(E2309, DATABASE_FG!$C$5:$C$367, 0)), "Not Found")</f>
        <v>0</v>
      </c>
      <c r="Q2309" s="36"/>
      <c r="R2309" s="125" t="s">
        <v>678</v>
      </c>
      <c r="S2309" s="123">
        <f>IFERROR(INDEX(DATABASE_FG!$L$5:$L$367, MATCH(E2309, DATABASE_FG!$C$5:$C$367, 0)), " ")</f>
        <v>42</v>
      </c>
      <c r="T2309" s="36" t="s">
        <v>679</v>
      </c>
      <c r="U2309" s="36"/>
      <c r="V2309" s="36"/>
      <c r="W2309" s="129"/>
      <c r="X2309" s="36"/>
      <c r="Y2309" s="36"/>
      <c r="Z2309" s="36">
        <v>242106</v>
      </c>
      <c r="AA2309" s="125" t="s">
        <v>121</v>
      </c>
      <c r="AB2309" s="172">
        <v>45450</v>
      </c>
      <c r="AC2309" s="119">
        <v>2024624</v>
      </c>
      <c r="AD2309" s="36">
        <f t="shared" si="256"/>
        <v>36635691</v>
      </c>
      <c r="AE2309" s="36" t="str">
        <f t="shared" si="257"/>
        <v>TK.KWVE30-B-A-H-0038-WW1</v>
      </c>
      <c r="AF2309" s="36">
        <v>50</v>
      </c>
      <c r="AG2309" s="120">
        <f t="shared" si="262"/>
        <v>225.5</v>
      </c>
      <c r="AH2309" s="36"/>
      <c r="AI2309" s="124"/>
      <c r="AJ2309" s="122" t="s">
        <v>1587</v>
      </c>
      <c r="AK2309" s="129" t="str">
        <f t="shared" ca="1" si="261"/>
        <v>Late</v>
      </c>
      <c r="AL2309" s="268" t="str">
        <f t="shared" si="260"/>
        <v>May</v>
      </c>
      <c r="AM2309" s="133">
        <f>YEAR(Table1[[#This Row],[ETA
As requested
dd.mm.yyyy]])</f>
        <v>2024</v>
      </c>
    </row>
    <row r="2310" spans="1:39" hidden="1">
      <c r="A2310" s="123" t="s">
        <v>83</v>
      </c>
      <c r="B2310" s="36" t="s">
        <v>1170</v>
      </c>
      <c r="C2310" s="117">
        <v>37064281</v>
      </c>
      <c r="D2310" s="165">
        <v>45470</v>
      </c>
      <c r="E2310" s="117" t="s">
        <v>101</v>
      </c>
      <c r="F2310" s="36" t="str">
        <f>IFERROR(VLOOKUP(Table1[[#This Row],[Part Number]],DATABASE_FG!$C$6:D12299,2,FALSE)," ")</f>
        <v>059018879-8011</v>
      </c>
      <c r="G2310" s="117">
        <f>IFERROR(_xlfn.XLOOKUP(Table1[[#This Row],[Part Number]],Table3[Part number],Table3[Drawing
 Revision]),"")</f>
        <v>0</v>
      </c>
      <c r="H2310" s="118" cm="1">
        <f t="array" ref="H2310">IFERROR(INDEX(PDB!$C:$AT,MATCH(E2310,PDB!$B:$B,0),MATCH(YEAR(K2310),0+PDB!$C$1:$AT$1,0)),"")</f>
        <v>4.51</v>
      </c>
      <c r="I2310" s="36">
        <v>150</v>
      </c>
      <c r="J2310" s="125">
        <f>IFERROR(Table1[[#This Row],[Quantity]]*Table1[[#This Row],[Price/Unit
EUR]]," ")</f>
        <v>676.5</v>
      </c>
      <c r="K2310" s="126">
        <v>45475</v>
      </c>
      <c r="L2310" s="36">
        <f>WEEKNUM(Table1[[#This Row],[ETA
As requested
dd.mm.yyyy]])</f>
        <v>27</v>
      </c>
      <c r="M2310" s="36">
        <f>YEAR(Table1[[#This Row],[ETA
As requested
dd.mm.yyyy]])</f>
        <v>2024</v>
      </c>
      <c r="N2310" s="36">
        <f>IFERROR(INDEX(DATABASE_FG!$H$5:$H$367, MATCH(E2310, DATABASE_FG!$C$5:$C$367, 0)), " ")</f>
        <v>0</v>
      </c>
      <c r="O2310" s="129" t="str">
        <f>IF(E2310&lt;&gt;"", _xlfn.XLOOKUP(E2310, DATABASE_FG!C:C, DATABASE_FG!F:F), " ")</f>
        <v>Ghidaje</v>
      </c>
      <c r="P2310" s="36">
        <f>IFERROR(INDEX(DATABASE_FG!$G$5:$G$367, MATCH(E2310, DATABASE_FG!$C$5:$C$367, 0)), "Not Found")</f>
        <v>0</v>
      </c>
      <c r="Q2310" s="36"/>
      <c r="R2310" s="125" t="s">
        <v>678</v>
      </c>
      <c r="S2310" s="123">
        <f>IFERROR(INDEX(DATABASE_FG!$L$5:$L$367, MATCH(E2310, DATABASE_FG!$C$5:$C$367, 0)), " ")</f>
        <v>42</v>
      </c>
      <c r="T2310" s="36" t="s">
        <v>679</v>
      </c>
      <c r="U2310" s="36"/>
      <c r="V2310" s="36"/>
      <c r="W2310" s="129"/>
      <c r="X2310" s="36"/>
      <c r="Y2310" s="36"/>
      <c r="Z2310" s="36">
        <v>242807</v>
      </c>
      <c r="AA2310" s="125" t="s">
        <v>121</v>
      </c>
      <c r="AB2310" s="172">
        <v>45484</v>
      </c>
      <c r="AC2310" s="119">
        <v>2024839</v>
      </c>
      <c r="AD2310" s="36">
        <f t="shared" si="256"/>
        <v>37064281</v>
      </c>
      <c r="AE2310" s="36" t="str">
        <f t="shared" si="257"/>
        <v>TK.KWVE30-B-A-H-0038-WW1</v>
      </c>
      <c r="AF2310" s="36">
        <v>26</v>
      </c>
      <c r="AG2310" s="120">
        <f t="shared" si="262"/>
        <v>117.25999999999999</v>
      </c>
      <c r="AH2310" s="36"/>
      <c r="AI2310" s="124"/>
      <c r="AJ2310" s="122" t="s">
        <v>1757</v>
      </c>
      <c r="AK2310" s="129" t="str">
        <f t="shared" ca="1" si="261"/>
        <v>Late</v>
      </c>
      <c r="AL2310" s="268" t="str">
        <f t="shared" si="260"/>
        <v>July</v>
      </c>
      <c r="AM2310" s="133">
        <f>YEAR(Table1[[#This Row],[ETA
As requested
dd.mm.yyyy]])</f>
        <v>2024</v>
      </c>
    </row>
    <row r="2311" spans="1:39" hidden="1">
      <c r="A2311" s="123" t="s">
        <v>83</v>
      </c>
      <c r="B2311" s="36" t="s">
        <v>1170</v>
      </c>
      <c r="C2311" s="117">
        <v>37064281</v>
      </c>
      <c r="D2311" s="165">
        <v>45470</v>
      </c>
      <c r="E2311" s="117" t="s">
        <v>101</v>
      </c>
      <c r="F2311" s="36" t="str">
        <f>IFERROR(VLOOKUP(Table1[[#This Row],[Part Number]],DATABASE_FG!$C$6:D12300,2,FALSE)," ")</f>
        <v>059018879-8011</v>
      </c>
      <c r="G2311" s="117">
        <f>IFERROR(_xlfn.XLOOKUP(Table1[[#This Row],[Part Number]],Table3[Part number],Table3[Drawing
 Revision]),"")</f>
        <v>0</v>
      </c>
      <c r="H2311" s="118" cm="1">
        <f t="array" ref="H2311">IFERROR(INDEX(PDB!$C:$AT,MATCH(E2311,PDB!$B:$B,0),MATCH(YEAR(K2311),0+PDB!$C$1:$AT$1,0)),"")</f>
        <v>4.51</v>
      </c>
      <c r="I2311" s="36">
        <v>73</v>
      </c>
      <c r="J2311" s="125">
        <f>IFERROR(Table1[[#This Row],[Quantity]]*Table1[[#This Row],[Price/Unit
EUR]]," ")</f>
        <v>329.22999999999996</v>
      </c>
      <c r="K2311" s="126">
        <v>45475</v>
      </c>
      <c r="L2311" s="36">
        <f>WEEKNUM(Table1[[#This Row],[ETA
As requested
dd.mm.yyyy]])</f>
        <v>27</v>
      </c>
      <c r="M2311" s="36">
        <f>YEAR(Table1[[#This Row],[ETA
As requested
dd.mm.yyyy]])</f>
        <v>2024</v>
      </c>
      <c r="N2311" s="36">
        <f>IFERROR(INDEX(DATABASE_FG!$H$5:$H$367, MATCH(E2311, DATABASE_FG!$C$5:$C$367, 0)), " ")</f>
        <v>0</v>
      </c>
      <c r="O2311" s="129" t="str">
        <f>IF(E2311&lt;&gt;"", _xlfn.XLOOKUP(E2311, DATABASE_FG!C:C, DATABASE_FG!F:F), " ")</f>
        <v>Ghidaje</v>
      </c>
      <c r="P2311" s="36">
        <f>IFERROR(INDEX(DATABASE_FG!$G$5:$G$367, MATCH(E2311, DATABASE_FG!$C$5:$C$367, 0)), "Not Found")</f>
        <v>0</v>
      </c>
      <c r="Q2311" s="36"/>
      <c r="R2311" s="125" t="s">
        <v>678</v>
      </c>
      <c r="S2311" s="123">
        <f>Table1[[#This Row],[Quantity]]/48</f>
        <v>1.5208333333333333</v>
      </c>
      <c r="T2311" s="36"/>
      <c r="U2311" s="36"/>
      <c r="V2311" s="36"/>
      <c r="W2311" s="129"/>
      <c r="X2311" s="36"/>
      <c r="Y2311" s="36"/>
      <c r="Z2311" s="36"/>
      <c r="AA2311" s="125" t="s">
        <v>121</v>
      </c>
      <c r="AB2311" s="173">
        <v>45488</v>
      </c>
      <c r="AC2311" s="119">
        <v>2024850</v>
      </c>
      <c r="AD2311" s="36">
        <f t="shared" si="256"/>
        <v>37064281</v>
      </c>
      <c r="AE2311" s="36" t="str">
        <f t="shared" si="257"/>
        <v>TK.KWVE30-B-A-H-0038-WW1</v>
      </c>
      <c r="AF2311" s="36">
        <v>73</v>
      </c>
      <c r="AG2311" s="120">
        <f t="shared" si="262"/>
        <v>329.22999999999996</v>
      </c>
      <c r="AH2311" s="36"/>
      <c r="AI2311" s="124"/>
      <c r="AJ2311" s="122" t="s">
        <v>1758</v>
      </c>
      <c r="AK2311" s="129" t="str">
        <f t="shared" ca="1" si="261"/>
        <v>Late</v>
      </c>
      <c r="AL2311" s="268" t="str">
        <f t="shared" si="260"/>
        <v>July</v>
      </c>
      <c r="AM2311" s="133">
        <f>YEAR(Table1[[#This Row],[ETA
As requested
dd.mm.yyyy]])</f>
        <v>2024</v>
      </c>
    </row>
    <row r="2312" spans="1:39" hidden="1">
      <c r="A2312" s="123" t="s">
        <v>83</v>
      </c>
      <c r="B2312" s="36" t="s">
        <v>1170</v>
      </c>
      <c r="C2312" s="117">
        <v>37064281</v>
      </c>
      <c r="D2312" s="165">
        <v>45470</v>
      </c>
      <c r="E2312" s="117" t="s">
        <v>101</v>
      </c>
      <c r="F2312" s="36" t="str">
        <f>IFERROR(VLOOKUP(Table1[[#This Row],[Part Number]],DATABASE_FG!$C$6:D12301,2,FALSE)," ")</f>
        <v>059018879-8011</v>
      </c>
      <c r="G2312" s="117">
        <f>IFERROR(_xlfn.XLOOKUP(Table1[[#This Row],[Part Number]],Table3[Part number],Table3[Drawing
 Revision]),"")</f>
        <v>0</v>
      </c>
      <c r="H2312" s="118" cm="1">
        <f t="array" ref="H2312">IFERROR(INDEX(PDB!$C:$AT,MATCH(E2312,PDB!$B:$B,0),MATCH(YEAR(K2312),0+PDB!$C$1:$AT$1,0)),"")</f>
        <v>4.51</v>
      </c>
      <c r="I2312" s="36">
        <v>51</v>
      </c>
      <c r="J2312" s="125">
        <f>IFERROR(Table1[[#This Row],[Quantity]]*Table1[[#This Row],[Price/Unit
EUR]]," ")</f>
        <v>230.01</v>
      </c>
      <c r="K2312" s="126">
        <v>45475</v>
      </c>
      <c r="L2312" s="36">
        <f>WEEKNUM(Table1[[#This Row],[ETA
As requested
dd.mm.yyyy]])</f>
        <v>27</v>
      </c>
      <c r="M2312" s="36">
        <f>YEAR(Table1[[#This Row],[ETA
As requested
dd.mm.yyyy]])</f>
        <v>2024</v>
      </c>
      <c r="N2312" s="36">
        <f>IFERROR(INDEX(DATABASE_FG!$H$5:$H$367, MATCH(E2312, DATABASE_FG!$C$5:$C$367, 0)), " ")</f>
        <v>0</v>
      </c>
      <c r="O2312" s="129" t="str">
        <f>IF(E2312&lt;&gt;"", _xlfn.XLOOKUP(E2312, DATABASE_FG!C:C, DATABASE_FG!F:F), " ")</f>
        <v>Ghidaje</v>
      </c>
      <c r="P2312" s="36">
        <f>IFERROR(INDEX(DATABASE_FG!$G$5:$G$367, MATCH(E2312, DATABASE_FG!$C$5:$C$367, 0)), "Not Found")</f>
        <v>0</v>
      </c>
      <c r="Q2312" s="36"/>
      <c r="R2312" s="125" t="s">
        <v>678</v>
      </c>
      <c r="S2312" s="123">
        <f>Table1[[#This Row],[Quantity]]/48</f>
        <v>1.0625</v>
      </c>
      <c r="T2312" s="36"/>
      <c r="U2312" s="36"/>
      <c r="V2312" s="36"/>
      <c r="W2312" s="129"/>
      <c r="X2312" s="36"/>
      <c r="Y2312" s="36"/>
      <c r="Z2312" s="36"/>
      <c r="AA2312" s="125" t="s">
        <v>121</v>
      </c>
      <c r="AB2312" s="172">
        <v>45492</v>
      </c>
      <c r="AC2312" s="119">
        <v>2024885</v>
      </c>
      <c r="AD2312" s="36">
        <f t="shared" si="256"/>
        <v>37064281</v>
      </c>
      <c r="AE2312" s="36" t="str">
        <f t="shared" si="257"/>
        <v>TK.KWVE30-B-A-H-0038-WW1</v>
      </c>
      <c r="AF2312" s="36">
        <v>51</v>
      </c>
      <c r="AG2312" s="120">
        <f t="shared" si="262"/>
        <v>230.01</v>
      </c>
      <c r="AH2312" s="36"/>
      <c r="AI2312" s="124"/>
      <c r="AJ2312" s="122" t="s">
        <v>1760</v>
      </c>
      <c r="AK2312" s="129" t="str">
        <f t="shared" ca="1" si="261"/>
        <v>Late</v>
      </c>
      <c r="AL2312" s="268" t="str">
        <f t="shared" si="260"/>
        <v>July</v>
      </c>
      <c r="AM2312" s="133">
        <f>YEAR(Table1[[#This Row],[ETA
As requested
dd.mm.yyyy]])</f>
        <v>2024</v>
      </c>
    </row>
    <row r="2313" spans="1:39" hidden="1">
      <c r="A2313" s="123" t="s">
        <v>83</v>
      </c>
      <c r="B2313" s="36" t="s">
        <v>1170</v>
      </c>
      <c r="C2313" s="117">
        <v>37064281</v>
      </c>
      <c r="D2313" s="165">
        <v>45470</v>
      </c>
      <c r="E2313" s="117" t="s">
        <v>101</v>
      </c>
      <c r="F2313" s="36" t="str">
        <f>IFERROR(VLOOKUP(Table1[[#This Row],[Part Number]],DATABASE_FG!$C$6:D12302,2,FALSE)," ")</f>
        <v>059018879-8011</v>
      </c>
      <c r="G2313" s="117">
        <f>IFERROR(_xlfn.XLOOKUP(Table1[[#This Row],[Part Number]],Table3[Part number],Table3[Drawing
 Revision]),"")</f>
        <v>0</v>
      </c>
      <c r="H2313" s="118" cm="1">
        <f t="array" ref="H2313">IFERROR(INDEX(PDB!$C:$AT,MATCH(E2313,PDB!$B:$B,0),MATCH(YEAR(K2313),0+PDB!$C$1:$AT$1,0)),"")</f>
        <v>4.51</v>
      </c>
      <c r="I2313" s="36">
        <v>21</v>
      </c>
      <c r="J2313" s="125">
        <f>IFERROR(Table1[[#This Row],[Quantity]]*Table1[[#This Row],[Price/Unit
EUR]]," ")</f>
        <v>94.71</v>
      </c>
      <c r="K2313" s="126">
        <v>45477</v>
      </c>
      <c r="L2313" s="36">
        <f>WEEKNUM(Table1[[#This Row],[ETA
As requested
dd.mm.yyyy]])</f>
        <v>27</v>
      </c>
      <c r="M2313" s="36">
        <f>YEAR(Table1[[#This Row],[ETA
As requested
dd.mm.yyyy]])</f>
        <v>2024</v>
      </c>
      <c r="N2313" s="36">
        <f>IFERROR(INDEX(DATABASE_FG!$H$5:$H$367, MATCH(E2313, DATABASE_FG!$C$5:$C$367, 0)), " ")</f>
        <v>0</v>
      </c>
      <c r="O2313" s="129" t="str">
        <f>IF(E2313&lt;&gt;"", _xlfn.XLOOKUP(E2313, DATABASE_FG!C:C, DATABASE_FG!F:F), " ")</f>
        <v>Ghidaje</v>
      </c>
      <c r="P2313" s="36">
        <f>IFERROR(INDEX(DATABASE_FG!$G$5:$G$367, MATCH(E2313, DATABASE_FG!$C$5:$C$367, 0)), "Not Found")</f>
        <v>0</v>
      </c>
      <c r="Q2313" s="36"/>
      <c r="R2313" s="125" t="s">
        <v>678</v>
      </c>
      <c r="S2313" s="123">
        <f>IFERROR(INDEX(DATABASE_FG!$L$5:$L$367, MATCH(E2313, DATABASE_FG!$C$5:$C$367, 0)), " ")</f>
        <v>42</v>
      </c>
      <c r="T2313" s="36" t="s">
        <v>679</v>
      </c>
      <c r="U2313" s="36"/>
      <c r="V2313" s="36"/>
      <c r="W2313" s="129"/>
      <c r="X2313" s="36"/>
      <c r="Y2313" s="36"/>
      <c r="Z2313" s="36">
        <v>242807</v>
      </c>
      <c r="AA2313" s="125" t="s">
        <v>121</v>
      </c>
      <c r="AB2313" s="172">
        <v>45492</v>
      </c>
      <c r="AC2313" s="119">
        <v>2024885</v>
      </c>
      <c r="AD2313" s="36">
        <f t="shared" si="256"/>
        <v>37064281</v>
      </c>
      <c r="AE2313" s="36" t="str">
        <f t="shared" si="257"/>
        <v>TK.KWVE30-B-A-H-0038-WW1</v>
      </c>
      <c r="AF2313" s="36">
        <v>21</v>
      </c>
      <c r="AG2313" s="120">
        <f t="shared" si="262"/>
        <v>94.71</v>
      </c>
      <c r="AH2313" s="36"/>
      <c r="AI2313" s="124"/>
      <c r="AJ2313" s="122" t="s">
        <v>1760</v>
      </c>
      <c r="AK2313" s="129" t="str">
        <f t="shared" ca="1" si="261"/>
        <v>Late</v>
      </c>
      <c r="AL2313" s="268" t="str">
        <f t="shared" si="260"/>
        <v>July</v>
      </c>
      <c r="AM2313" s="133">
        <f>YEAR(Table1[[#This Row],[ETA
As requested
dd.mm.yyyy]])</f>
        <v>2024</v>
      </c>
    </row>
    <row r="2314" spans="1:39" hidden="1">
      <c r="A2314" s="123" t="s">
        <v>83</v>
      </c>
      <c r="B2314" s="36" t="s">
        <v>1170</v>
      </c>
      <c r="C2314" s="117">
        <v>37064281</v>
      </c>
      <c r="D2314" s="165">
        <v>45470</v>
      </c>
      <c r="E2314" s="117" t="s">
        <v>101</v>
      </c>
      <c r="F2314" s="36" t="str">
        <f>IFERROR(VLOOKUP(Table1[[#This Row],[Part Number]],DATABASE_FG!$C$6:D12303,2,FALSE)," ")</f>
        <v>059018879-8011</v>
      </c>
      <c r="G2314" s="117">
        <f>IFERROR(_xlfn.XLOOKUP(Table1[[#This Row],[Part Number]],Table3[Part number],Table3[Drawing
 Revision]),"")</f>
        <v>0</v>
      </c>
      <c r="H2314" s="118" cm="1">
        <f t="array" ref="H2314">IFERROR(INDEX(PDB!$C:$AT,MATCH(E2314,PDB!$B:$B,0),MATCH(YEAR(K2314),0+PDB!$C$1:$AT$1,0)),"")</f>
        <v>4.51</v>
      </c>
      <c r="I2314" s="36">
        <v>32</v>
      </c>
      <c r="J2314" s="125">
        <f>IFERROR(Table1[[#This Row],[Quantity]]*Table1[[#This Row],[Price/Unit
EUR]]," ")</f>
        <v>144.32</v>
      </c>
      <c r="K2314" s="126">
        <v>45477</v>
      </c>
      <c r="L2314" s="36">
        <f>WEEKNUM(Table1[[#This Row],[ETA
As requested
dd.mm.yyyy]])</f>
        <v>27</v>
      </c>
      <c r="M2314" s="36">
        <f>YEAR(Table1[[#This Row],[ETA
As requested
dd.mm.yyyy]])</f>
        <v>2024</v>
      </c>
      <c r="N2314" s="36">
        <f>IFERROR(INDEX(DATABASE_FG!$H$5:$H$367, MATCH(E2314, DATABASE_FG!$C$5:$C$367, 0)), " ")</f>
        <v>0</v>
      </c>
      <c r="O2314" s="129" t="str">
        <f>IF(E2314&lt;&gt;"", _xlfn.XLOOKUP(E2314, DATABASE_FG!C:C, DATABASE_FG!F:F), " ")</f>
        <v>Ghidaje</v>
      </c>
      <c r="P2314" s="36">
        <f>IFERROR(INDEX(DATABASE_FG!$G$5:$G$367, MATCH(E2314, DATABASE_FG!$C$5:$C$367, 0)), "Not Found")</f>
        <v>0</v>
      </c>
      <c r="Q2314" s="36"/>
      <c r="R2314" s="125" t="s">
        <v>678</v>
      </c>
      <c r="S2314" s="123">
        <f>Table1[[#This Row],[Quantity]]/48</f>
        <v>0.66666666666666663</v>
      </c>
      <c r="T2314" s="36"/>
      <c r="U2314" s="36"/>
      <c r="V2314" s="36"/>
      <c r="W2314" s="129"/>
      <c r="X2314" s="36"/>
      <c r="Y2314" s="36"/>
      <c r="Z2314" s="36"/>
      <c r="AA2314" s="125" t="s">
        <v>121</v>
      </c>
      <c r="AB2314" s="172">
        <v>45495</v>
      </c>
      <c r="AC2314" s="119">
        <v>2024893</v>
      </c>
      <c r="AD2314" s="36">
        <f t="shared" si="256"/>
        <v>37064281</v>
      </c>
      <c r="AE2314" s="36" t="str">
        <f t="shared" si="257"/>
        <v>TK.KWVE30-B-A-H-0038-WW1</v>
      </c>
      <c r="AF2314" s="36">
        <v>32</v>
      </c>
      <c r="AG2314" s="120">
        <f t="shared" si="262"/>
        <v>144.32</v>
      </c>
      <c r="AH2314" s="36"/>
      <c r="AI2314" s="124"/>
      <c r="AJ2314" s="122" t="s">
        <v>1783</v>
      </c>
      <c r="AK2314" s="129" t="str">
        <f t="shared" ca="1" si="261"/>
        <v>Late</v>
      </c>
      <c r="AL2314" s="268" t="str">
        <f t="shared" si="260"/>
        <v>July</v>
      </c>
      <c r="AM2314" s="133">
        <f>YEAR(Table1[[#This Row],[ETA
As requested
dd.mm.yyyy]])</f>
        <v>2024</v>
      </c>
    </row>
    <row r="2315" spans="1:39" hidden="1">
      <c r="A2315" s="123" t="s">
        <v>83</v>
      </c>
      <c r="B2315" s="36" t="s">
        <v>1170</v>
      </c>
      <c r="C2315" s="117">
        <v>37064281</v>
      </c>
      <c r="D2315" s="165">
        <v>45470</v>
      </c>
      <c r="E2315" s="117" t="s">
        <v>101</v>
      </c>
      <c r="F2315" s="36" t="str">
        <f>IFERROR(VLOOKUP(Table1[[#This Row],[Part Number]],DATABASE_FG!$C$6:D12304,2,FALSE)," ")</f>
        <v>059018879-8011</v>
      </c>
      <c r="G2315" s="117">
        <f>IFERROR(_xlfn.XLOOKUP(Table1[[#This Row],[Part Number]],Table3[Part number],Table3[Drawing
 Revision]),"")</f>
        <v>0</v>
      </c>
      <c r="H2315" s="118" cm="1">
        <f t="array" ref="H2315">IFERROR(INDEX(PDB!$C:$AT,MATCH(E2315,PDB!$B:$B,0),MATCH(YEAR(K2315),0+PDB!$C$1:$AT$1,0)),"")</f>
        <v>4.51</v>
      </c>
      <c r="I2315" s="36">
        <v>97</v>
      </c>
      <c r="J2315" s="125">
        <f>IFERROR(Table1[[#This Row],[Quantity]]*Table1[[#This Row],[Price/Unit
EUR]]," ")</f>
        <v>437.46999999999997</v>
      </c>
      <c r="K2315" s="126">
        <v>45477</v>
      </c>
      <c r="L2315" s="36">
        <f>WEEKNUM(Table1[[#This Row],[ETA
As requested
dd.mm.yyyy]])</f>
        <v>27</v>
      </c>
      <c r="M2315" s="36">
        <f>YEAR(Table1[[#This Row],[ETA
As requested
dd.mm.yyyy]])</f>
        <v>2024</v>
      </c>
      <c r="N2315" s="36">
        <f>IFERROR(INDEX(DATABASE_FG!$H$5:$H$367, MATCH(E2315, DATABASE_FG!$C$5:$C$367, 0)), " ")</f>
        <v>0</v>
      </c>
      <c r="O2315" s="129" t="str">
        <f>IF(E2315&lt;&gt;"", _xlfn.XLOOKUP(E2315, DATABASE_FG!C:C, DATABASE_FG!F:F), " ")</f>
        <v>Ghidaje</v>
      </c>
      <c r="P2315" s="36">
        <f>IFERROR(INDEX(DATABASE_FG!$G$5:$G$367, MATCH(E2315, DATABASE_FG!$C$5:$C$367, 0)), "Not Found")</f>
        <v>0</v>
      </c>
      <c r="Q2315" s="36"/>
      <c r="R2315" s="125" t="s">
        <v>678</v>
      </c>
      <c r="S2315" s="123">
        <f>Table1[[#This Row],[Quantity]]/48</f>
        <v>2.0208333333333335</v>
      </c>
      <c r="T2315" s="36"/>
      <c r="U2315" s="36"/>
      <c r="V2315" s="36"/>
      <c r="W2315" s="129"/>
      <c r="X2315" s="36"/>
      <c r="Y2315" s="36"/>
      <c r="Z2315" s="36"/>
      <c r="AA2315" s="125" t="s">
        <v>121</v>
      </c>
      <c r="AB2315" s="172">
        <v>45496</v>
      </c>
      <c r="AC2315" s="119">
        <v>2024900</v>
      </c>
      <c r="AD2315" s="36">
        <f t="shared" si="256"/>
        <v>37064281</v>
      </c>
      <c r="AE2315" s="36" t="str">
        <f t="shared" si="257"/>
        <v>TK.KWVE30-B-A-H-0038-WW1</v>
      </c>
      <c r="AF2315" s="36">
        <v>97</v>
      </c>
      <c r="AG2315" s="120">
        <f t="shared" si="262"/>
        <v>437.46999999999997</v>
      </c>
      <c r="AH2315" s="36"/>
      <c r="AI2315" s="124"/>
      <c r="AJ2315" s="122" t="s">
        <v>1785</v>
      </c>
      <c r="AK2315" s="129" t="str">
        <f t="shared" ca="1" si="261"/>
        <v>Late</v>
      </c>
      <c r="AL2315" s="268" t="str">
        <f t="shared" si="260"/>
        <v>July</v>
      </c>
      <c r="AM2315" s="133">
        <f>YEAR(Table1[[#This Row],[ETA
As requested
dd.mm.yyyy]])</f>
        <v>2024</v>
      </c>
    </row>
    <row r="2316" spans="1:39" hidden="1">
      <c r="A2316" s="123" t="s">
        <v>83</v>
      </c>
      <c r="B2316" s="36" t="s">
        <v>1170</v>
      </c>
      <c r="C2316" s="117">
        <v>37064287</v>
      </c>
      <c r="D2316" s="165">
        <v>45470</v>
      </c>
      <c r="E2316" s="117" t="s">
        <v>101</v>
      </c>
      <c r="F2316" s="36" t="str">
        <f>IFERROR(VLOOKUP(Table1[[#This Row],[Part Number]],DATABASE_FG!$C$6:D12305,2,FALSE)," ")</f>
        <v>059018879-8011</v>
      </c>
      <c r="G2316" s="117">
        <f>IFERROR(_xlfn.XLOOKUP(Table1[[#This Row],[Part Number]],Table3[Part number],Table3[Drawing
 Revision]),"")</f>
        <v>0</v>
      </c>
      <c r="H2316" s="118" cm="1">
        <f t="array" ref="H2316">IFERROR(INDEX(PDB!$C:$AT,MATCH(E2316,PDB!$B:$B,0),MATCH(YEAR(K2316),0+PDB!$C$1:$AT$1,0)),"")</f>
        <v>4.51</v>
      </c>
      <c r="I2316" s="36">
        <v>90</v>
      </c>
      <c r="J2316" s="125">
        <f>IFERROR(Table1[[#This Row],[Quantity]]*Table1[[#This Row],[Price/Unit
EUR]]," ")</f>
        <v>405.9</v>
      </c>
      <c r="K2316" s="126">
        <v>45482</v>
      </c>
      <c r="L2316" s="36">
        <f>WEEKNUM(Table1[[#This Row],[ETA
As requested
dd.mm.yyyy]])</f>
        <v>28</v>
      </c>
      <c r="M2316" s="36">
        <f>YEAR(Table1[[#This Row],[ETA
As requested
dd.mm.yyyy]])</f>
        <v>2024</v>
      </c>
      <c r="N2316" s="36">
        <f>IFERROR(INDEX(DATABASE_FG!$H$5:$H$367, MATCH(E2316, DATABASE_FG!$C$5:$C$367, 0)), " ")</f>
        <v>0</v>
      </c>
      <c r="O2316" s="129" t="str">
        <f>IF(E2316&lt;&gt;"", _xlfn.XLOOKUP(E2316, DATABASE_FG!C:C, DATABASE_FG!F:F), " ")</f>
        <v>Ghidaje</v>
      </c>
      <c r="P2316" s="36">
        <f>IFERROR(INDEX(DATABASE_FG!$G$5:$G$367, MATCH(E2316, DATABASE_FG!$C$5:$C$367, 0)), "Not Found")</f>
        <v>0</v>
      </c>
      <c r="Q2316" s="36"/>
      <c r="R2316" s="125" t="s">
        <v>678</v>
      </c>
      <c r="S2316" s="123">
        <f>IFERROR(INDEX(DATABASE_FG!$L$5:$L$367, MATCH(E2316, DATABASE_FG!$C$5:$C$367, 0)), " ")</f>
        <v>42</v>
      </c>
      <c r="T2316" s="36" t="s">
        <v>679</v>
      </c>
      <c r="U2316" s="36"/>
      <c r="V2316" s="36"/>
      <c r="W2316" s="129"/>
      <c r="X2316" s="36"/>
      <c r="Y2316" s="36"/>
      <c r="Z2316" s="36"/>
      <c r="AA2316" s="125" t="s">
        <v>121</v>
      </c>
      <c r="AB2316" s="173">
        <v>45497</v>
      </c>
      <c r="AC2316" s="119">
        <v>2024914</v>
      </c>
      <c r="AD2316" s="36">
        <f t="shared" si="256"/>
        <v>37064287</v>
      </c>
      <c r="AE2316" s="36" t="str">
        <f t="shared" si="257"/>
        <v>TK.KWVE30-B-A-H-0038-WW1</v>
      </c>
      <c r="AF2316" s="36">
        <v>90</v>
      </c>
      <c r="AG2316" s="120">
        <f t="shared" si="262"/>
        <v>405.9</v>
      </c>
      <c r="AH2316" s="36"/>
      <c r="AI2316" s="124"/>
      <c r="AJ2316" s="122" t="s">
        <v>1807</v>
      </c>
      <c r="AK2316" s="129" t="str">
        <f t="shared" ca="1" si="261"/>
        <v>Late</v>
      </c>
      <c r="AL2316" s="268" t="str">
        <f t="shared" si="260"/>
        <v>July</v>
      </c>
      <c r="AM2316" s="133">
        <f>YEAR(Table1[[#This Row],[ETA
As requested
dd.mm.yyyy]])</f>
        <v>2024</v>
      </c>
    </row>
    <row r="2317" spans="1:39" hidden="1">
      <c r="A2317" s="123" t="s">
        <v>83</v>
      </c>
      <c r="B2317" s="36" t="s">
        <v>1170</v>
      </c>
      <c r="C2317" s="117">
        <v>37064287</v>
      </c>
      <c r="D2317" s="165">
        <v>45470</v>
      </c>
      <c r="E2317" s="117" t="s">
        <v>101</v>
      </c>
      <c r="F2317" s="36" t="str">
        <f>IFERROR(VLOOKUP(Table1[[#This Row],[Part Number]],DATABASE_FG!$C$6:D12306,2,FALSE)," ")</f>
        <v>059018879-8011</v>
      </c>
      <c r="G2317" s="117">
        <f>IFERROR(_xlfn.XLOOKUP(Table1[[#This Row],[Part Number]],Table3[Part number],Table3[Drawing
 Revision]),"")</f>
        <v>0</v>
      </c>
      <c r="H2317" s="118" cm="1">
        <f t="array" ref="H2317">IFERROR(INDEX(PDB!$C:$AT,MATCH(E2317,PDB!$B:$B,0),MATCH(YEAR(K2317),0+PDB!$C$1:$AT$1,0)),"")</f>
        <v>4.51</v>
      </c>
      <c r="I2317" s="36">
        <v>10</v>
      </c>
      <c r="J2317" s="125">
        <f>IFERROR(Table1[[#This Row],[Quantity]]*Table1[[#This Row],[Price/Unit
EUR]]," ")</f>
        <v>45.099999999999994</v>
      </c>
      <c r="K2317" s="126">
        <v>45482</v>
      </c>
      <c r="L2317" s="36">
        <f>WEEKNUM(Table1[[#This Row],[ETA
As requested
dd.mm.yyyy]])</f>
        <v>28</v>
      </c>
      <c r="M2317" s="36">
        <f>YEAR(Table1[[#This Row],[ETA
As requested
dd.mm.yyyy]])</f>
        <v>2024</v>
      </c>
      <c r="N2317" s="36">
        <f>IFERROR(INDEX(DATABASE_FG!$H$5:$H$367, MATCH(E2317, DATABASE_FG!$C$5:$C$367, 0)), " ")</f>
        <v>0</v>
      </c>
      <c r="O2317" s="129" t="str">
        <f>IF(E2317&lt;&gt;"", _xlfn.XLOOKUP(E2317, DATABASE_FG!C:C, DATABASE_FG!F:F), " ")</f>
        <v>Ghidaje</v>
      </c>
      <c r="P2317" s="36">
        <f>IFERROR(INDEX(DATABASE_FG!$G$5:$G$367, MATCH(E2317, DATABASE_FG!$C$5:$C$367, 0)), "Not Found")</f>
        <v>0</v>
      </c>
      <c r="Q2317" s="36"/>
      <c r="R2317" s="125" t="s">
        <v>678</v>
      </c>
      <c r="S2317" s="123">
        <f>Table1[[#This Row],[Quantity]]/48</f>
        <v>0.20833333333333334</v>
      </c>
      <c r="T2317" s="36"/>
      <c r="U2317" s="36"/>
      <c r="V2317" s="36"/>
      <c r="W2317" s="129"/>
      <c r="X2317" s="36"/>
      <c r="Y2317" s="36"/>
      <c r="Z2317" s="36"/>
      <c r="AA2317" s="125" t="s">
        <v>121</v>
      </c>
      <c r="AB2317" s="172">
        <v>45498</v>
      </c>
      <c r="AC2317" s="119">
        <v>2024919</v>
      </c>
      <c r="AD2317" s="36">
        <f t="shared" si="256"/>
        <v>37064287</v>
      </c>
      <c r="AE2317" s="36" t="str">
        <f t="shared" si="257"/>
        <v>TK.KWVE30-B-A-H-0038-WW1</v>
      </c>
      <c r="AF2317" s="36">
        <v>10</v>
      </c>
      <c r="AG2317" s="120">
        <f t="shared" si="262"/>
        <v>45.099999999999994</v>
      </c>
      <c r="AH2317" s="36"/>
      <c r="AI2317" s="124"/>
      <c r="AJ2317" s="122" t="s">
        <v>1809</v>
      </c>
      <c r="AK2317" s="129" t="str">
        <f t="shared" ca="1" si="261"/>
        <v>Late</v>
      </c>
      <c r="AL2317" s="268" t="str">
        <f t="shared" si="260"/>
        <v>July</v>
      </c>
      <c r="AM2317" s="133">
        <f>YEAR(Table1[[#This Row],[ETA
As requested
dd.mm.yyyy]])</f>
        <v>2024</v>
      </c>
    </row>
    <row r="2318" spans="1:39" hidden="1">
      <c r="A2318" s="123" t="s">
        <v>83</v>
      </c>
      <c r="B2318" s="36" t="s">
        <v>1170</v>
      </c>
      <c r="C2318" s="117">
        <v>37064287</v>
      </c>
      <c r="D2318" s="165">
        <v>45470</v>
      </c>
      <c r="E2318" s="117" t="s">
        <v>101</v>
      </c>
      <c r="F2318" s="36" t="str">
        <f>IFERROR(VLOOKUP(Table1[[#This Row],[Part Number]],DATABASE_FG!$C$6:D12307,2,FALSE)," ")</f>
        <v>059018879-8011</v>
      </c>
      <c r="G2318" s="117">
        <f>IFERROR(_xlfn.XLOOKUP(Table1[[#This Row],[Part Number]],Table3[Part number],Table3[Drawing
 Revision]),"")</f>
        <v>0</v>
      </c>
      <c r="H2318" s="118" cm="1">
        <f t="array" ref="H2318">IFERROR(INDEX(PDB!$C:$AT,MATCH(E2318,PDB!$B:$B,0),MATCH(YEAR(K2318),0+PDB!$C$1:$AT$1,0)),"")</f>
        <v>4.51</v>
      </c>
      <c r="I2318" s="36">
        <v>50</v>
      </c>
      <c r="J2318" s="125">
        <f>IFERROR(Table1[[#This Row],[Quantity]]*Table1[[#This Row],[Price/Unit
EUR]]," ")</f>
        <v>225.5</v>
      </c>
      <c r="K2318" s="126">
        <v>45482</v>
      </c>
      <c r="L2318" s="36">
        <f>WEEKNUM(Table1[[#This Row],[ETA
As requested
dd.mm.yyyy]])</f>
        <v>28</v>
      </c>
      <c r="M2318" s="36">
        <f>YEAR(Table1[[#This Row],[ETA
As requested
dd.mm.yyyy]])</f>
        <v>2024</v>
      </c>
      <c r="N2318" s="36">
        <f>IFERROR(INDEX(DATABASE_FG!$H$5:$H$367, MATCH(E2318, DATABASE_FG!$C$5:$C$367, 0)), " ")</f>
        <v>0</v>
      </c>
      <c r="O2318" s="129" t="str">
        <f>IF(E2318&lt;&gt;"", _xlfn.XLOOKUP(E2318, DATABASE_FG!C:C, DATABASE_FG!F:F), " ")</f>
        <v>Ghidaje</v>
      </c>
      <c r="P2318" s="36">
        <f>IFERROR(INDEX(DATABASE_FG!$G$5:$G$367, MATCH(E2318, DATABASE_FG!$C$5:$C$367, 0)), "Not Found")</f>
        <v>0</v>
      </c>
      <c r="Q2318" s="36"/>
      <c r="R2318" s="125" t="s">
        <v>678</v>
      </c>
      <c r="S2318" s="123">
        <f>Table1[[#This Row],[Quantity]]/48</f>
        <v>1.0416666666666667</v>
      </c>
      <c r="T2318" s="36"/>
      <c r="U2318" s="36"/>
      <c r="V2318" s="36"/>
      <c r="W2318" s="129"/>
      <c r="X2318" s="36"/>
      <c r="Y2318" s="36"/>
      <c r="Z2318" s="36"/>
      <c r="AA2318" s="125" t="s">
        <v>121</v>
      </c>
      <c r="AB2318" s="172">
        <v>45512</v>
      </c>
      <c r="AC2318" s="119">
        <v>20241002</v>
      </c>
      <c r="AD2318" s="36">
        <f t="shared" ref="AD2318:AD2381" si="263">IF(NOT(ISBLANK(AC2318)), C2318, "")</f>
        <v>37064287</v>
      </c>
      <c r="AE2318" s="36" t="str">
        <f t="shared" ref="AE2318:AE2381" si="264">IF(NOT(ISBLANK(AC2318)), E2318, "")</f>
        <v>TK.KWVE30-B-A-H-0038-WW1</v>
      </c>
      <c r="AF2318" s="36">
        <v>50</v>
      </c>
      <c r="AG2318" s="120">
        <f t="shared" si="262"/>
        <v>225.5</v>
      </c>
      <c r="AH2318" s="36"/>
      <c r="AI2318" s="124"/>
      <c r="AJ2318" s="122" t="s">
        <v>1816</v>
      </c>
      <c r="AK2318" s="129" t="str">
        <f t="shared" ca="1" si="261"/>
        <v>Late</v>
      </c>
      <c r="AL2318" s="268" t="str">
        <f t="shared" si="260"/>
        <v>July</v>
      </c>
      <c r="AM2318" s="133">
        <f>YEAR(Table1[[#This Row],[ETA
As requested
dd.mm.yyyy]])</f>
        <v>2024</v>
      </c>
    </row>
    <row r="2319" spans="1:39" hidden="1">
      <c r="A2319" s="123" t="s">
        <v>83</v>
      </c>
      <c r="B2319" s="36" t="s">
        <v>1170</v>
      </c>
      <c r="C2319" s="117">
        <v>37064287</v>
      </c>
      <c r="D2319" s="165">
        <v>45470</v>
      </c>
      <c r="E2319" s="117" t="s">
        <v>101</v>
      </c>
      <c r="F2319" s="36" t="str">
        <f>IFERROR(VLOOKUP(Table1[[#This Row],[Part Number]],DATABASE_FG!$C$6:D12308,2,FALSE)," ")</f>
        <v>059018879-8011</v>
      </c>
      <c r="G2319" s="117">
        <f>IFERROR(_xlfn.XLOOKUP(Table1[[#This Row],[Part Number]],Table3[Part number],Table3[Drawing
 Revision]),"")</f>
        <v>0</v>
      </c>
      <c r="H2319" s="118" cm="1">
        <f t="array" ref="H2319">IFERROR(INDEX(PDB!$C:$AT,MATCH(E2319,PDB!$B:$B,0),MATCH(YEAR(K2319),0+PDB!$C$1:$AT$1,0)),"")</f>
        <v>4.51</v>
      </c>
      <c r="I2319" s="36">
        <v>54</v>
      </c>
      <c r="J2319" s="125">
        <f>IFERROR(Table1[[#This Row],[Quantity]]*Table1[[#This Row],[Price/Unit
EUR]]," ")</f>
        <v>243.54</v>
      </c>
      <c r="K2319" s="126">
        <v>45484</v>
      </c>
      <c r="L2319" s="36">
        <f>WEEKNUM(Table1[[#This Row],[ETA
As requested
dd.mm.yyyy]])</f>
        <v>28</v>
      </c>
      <c r="M2319" s="36">
        <f>YEAR(Table1[[#This Row],[ETA
As requested
dd.mm.yyyy]])</f>
        <v>2024</v>
      </c>
      <c r="N2319" s="36">
        <f>IFERROR(INDEX(DATABASE_FG!$H$5:$H$367, MATCH(E2319, DATABASE_FG!$C$5:$C$367, 0)), " ")</f>
        <v>0</v>
      </c>
      <c r="O2319" s="129" t="str">
        <f>IF(E2319&lt;&gt;"", _xlfn.XLOOKUP(E2319, DATABASE_FG!C:C, DATABASE_FG!F:F), " ")</f>
        <v>Ghidaje</v>
      </c>
      <c r="P2319" s="36">
        <f>IFERROR(INDEX(DATABASE_FG!$G$5:$G$367, MATCH(E2319, DATABASE_FG!$C$5:$C$367, 0)), "Not Found")</f>
        <v>0</v>
      </c>
      <c r="Q2319" s="36"/>
      <c r="R2319" s="125" t="s">
        <v>678</v>
      </c>
      <c r="S2319" s="123">
        <f>IFERROR(INDEX(DATABASE_FG!$L$5:$L$367, MATCH(E2319, DATABASE_FG!$C$5:$C$367, 0)), " ")</f>
        <v>42</v>
      </c>
      <c r="T2319" s="36" t="s">
        <v>679</v>
      </c>
      <c r="U2319" s="36"/>
      <c r="V2319" s="36"/>
      <c r="W2319" s="129"/>
      <c r="X2319" s="36"/>
      <c r="Y2319" s="36"/>
      <c r="Z2319" s="36"/>
      <c r="AA2319" s="125" t="s">
        <v>121</v>
      </c>
      <c r="AB2319" s="172">
        <v>45498</v>
      </c>
      <c r="AC2319" s="119">
        <v>2024919</v>
      </c>
      <c r="AD2319" s="36">
        <f t="shared" si="263"/>
        <v>37064287</v>
      </c>
      <c r="AE2319" s="36" t="str">
        <f t="shared" si="264"/>
        <v>TK.KWVE30-B-A-H-0038-WW1</v>
      </c>
      <c r="AF2319" s="36">
        <v>54</v>
      </c>
      <c r="AG2319" s="120">
        <f t="shared" si="262"/>
        <v>243.54</v>
      </c>
      <c r="AH2319" s="36"/>
      <c r="AI2319" s="124"/>
      <c r="AJ2319" s="122" t="s">
        <v>1809</v>
      </c>
      <c r="AK2319" s="129" t="str">
        <f t="shared" ca="1" si="261"/>
        <v>Late</v>
      </c>
      <c r="AL2319" s="268" t="str">
        <f t="shared" si="260"/>
        <v>July</v>
      </c>
      <c r="AM2319" s="133">
        <f>YEAR(Table1[[#This Row],[ETA
As requested
dd.mm.yyyy]])</f>
        <v>2024</v>
      </c>
    </row>
    <row r="2320" spans="1:39" hidden="1">
      <c r="A2320" s="123" t="s">
        <v>83</v>
      </c>
      <c r="B2320" s="36" t="s">
        <v>1170</v>
      </c>
      <c r="C2320" s="117">
        <v>37064287</v>
      </c>
      <c r="D2320" s="165">
        <v>45470</v>
      </c>
      <c r="E2320" s="117" t="s">
        <v>101</v>
      </c>
      <c r="F2320" s="36" t="str">
        <f>IFERROR(VLOOKUP(Table1[[#This Row],[Part Number]],DATABASE_FG!$C$6:D12309,2,FALSE)," ")</f>
        <v>059018879-8011</v>
      </c>
      <c r="G2320" s="117">
        <f>IFERROR(_xlfn.XLOOKUP(Table1[[#This Row],[Part Number]],Table3[Part number],Table3[Drawing
 Revision]),"")</f>
        <v>0</v>
      </c>
      <c r="H2320" s="118" cm="1">
        <f t="array" ref="H2320">IFERROR(INDEX(PDB!$C:$AT,MATCH(E2320,PDB!$B:$B,0),MATCH(YEAR(K2320),0+PDB!$C$1:$AT$1,0)),"")</f>
        <v>4.51</v>
      </c>
      <c r="I2320" s="36">
        <v>96</v>
      </c>
      <c r="J2320" s="125">
        <f>IFERROR(Table1[[#This Row],[Quantity]]*Table1[[#This Row],[Price/Unit
EUR]]," ")</f>
        <v>432.96</v>
      </c>
      <c r="K2320" s="126">
        <v>45484</v>
      </c>
      <c r="L2320" s="36">
        <f>WEEKNUM(Table1[[#This Row],[ETA
As requested
dd.mm.yyyy]])</f>
        <v>28</v>
      </c>
      <c r="M2320" s="36">
        <f>YEAR(Table1[[#This Row],[ETA
As requested
dd.mm.yyyy]])</f>
        <v>2024</v>
      </c>
      <c r="N2320" s="36">
        <f>IFERROR(INDEX(DATABASE_FG!$H$5:$H$367, MATCH(E2320, DATABASE_FG!$C$5:$C$367, 0)), " ")</f>
        <v>0</v>
      </c>
      <c r="O2320" s="129" t="str">
        <f>IF(E2320&lt;&gt;"", _xlfn.XLOOKUP(E2320, DATABASE_FG!C:C, DATABASE_FG!F:F), " ")</f>
        <v>Ghidaje</v>
      </c>
      <c r="P2320" s="36">
        <f>IFERROR(INDEX(DATABASE_FG!$G$5:$G$367, MATCH(E2320, DATABASE_FG!$C$5:$C$367, 0)), "Not Found")</f>
        <v>0</v>
      </c>
      <c r="Q2320" s="36"/>
      <c r="R2320" s="125" t="s">
        <v>678</v>
      </c>
      <c r="S2320" s="123">
        <f>Table1[[#This Row],[Quantity]]/48</f>
        <v>2</v>
      </c>
      <c r="T2320" s="36"/>
      <c r="U2320" s="36"/>
      <c r="V2320" s="36"/>
      <c r="W2320" s="129"/>
      <c r="X2320" s="36"/>
      <c r="Y2320" s="36"/>
      <c r="Z2320" s="36"/>
      <c r="AA2320" s="125" t="s">
        <v>121</v>
      </c>
      <c r="AB2320" s="172">
        <v>45499</v>
      </c>
      <c r="AC2320" s="119">
        <v>2024931</v>
      </c>
      <c r="AD2320" s="36">
        <f t="shared" si="263"/>
        <v>37064287</v>
      </c>
      <c r="AE2320" s="36" t="str">
        <f t="shared" si="264"/>
        <v>TK.KWVE30-B-A-H-0038-WW1</v>
      </c>
      <c r="AF2320" s="36">
        <v>96</v>
      </c>
      <c r="AG2320" s="120">
        <f t="shared" si="262"/>
        <v>432.96</v>
      </c>
      <c r="AH2320" s="36"/>
      <c r="AI2320" s="124"/>
      <c r="AJ2320" s="122" t="s">
        <v>1833</v>
      </c>
      <c r="AK2320" s="129" t="str">
        <f t="shared" ca="1" si="261"/>
        <v>Late</v>
      </c>
      <c r="AL2320" s="268" t="str">
        <f t="shared" si="260"/>
        <v>July</v>
      </c>
      <c r="AM2320" s="133">
        <f>YEAR(Table1[[#This Row],[ETA
As requested
dd.mm.yyyy]])</f>
        <v>2024</v>
      </c>
    </row>
    <row r="2321" spans="1:39" hidden="1">
      <c r="A2321" s="123" t="s">
        <v>83</v>
      </c>
      <c r="B2321" s="36" t="s">
        <v>1170</v>
      </c>
      <c r="C2321" s="117">
        <v>37064295</v>
      </c>
      <c r="D2321" s="165">
        <v>45470</v>
      </c>
      <c r="E2321" s="117" t="s">
        <v>101</v>
      </c>
      <c r="F2321" s="36" t="str">
        <f>IFERROR(VLOOKUP(Table1[[#This Row],[Part Number]],DATABASE_FG!$C$6:D12310,2,FALSE)," ")</f>
        <v>059018879-8011</v>
      </c>
      <c r="G2321" s="117">
        <f>IFERROR(_xlfn.XLOOKUP(Table1[[#This Row],[Part Number]],Table3[Part number],Table3[Drawing
 Revision]),"")</f>
        <v>0</v>
      </c>
      <c r="H2321" s="118" cm="1">
        <f t="array" ref="H2321">IFERROR(INDEX(PDB!$C:$AT,MATCH(E2321,PDB!$B:$B,0),MATCH(YEAR(K2321),0+PDB!$C$1:$AT$1,0)),"")</f>
        <v>4.51</v>
      </c>
      <c r="I2321" s="36">
        <v>48</v>
      </c>
      <c r="J2321" s="125">
        <f>IFERROR(Table1[[#This Row],[Quantity]]*Table1[[#This Row],[Price/Unit
EUR]]," ")</f>
        <v>216.48</v>
      </c>
      <c r="K2321" s="126">
        <v>45489</v>
      </c>
      <c r="L2321" s="36">
        <f>WEEKNUM(Table1[[#This Row],[ETA
As requested
dd.mm.yyyy]])</f>
        <v>29</v>
      </c>
      <c r="M2321" s="36">
        <f>YEAR(Table1[[#This Row],[ETA
As requested
dd.mm.yyyy]])</f>
        <v>2024</v>
      </c>
      <c r="N2321" s="36">
        <f>IFERROR(INDEX(DATABASE_FG!$H$5:$H$367, MATCH(E2321, DATABASE_FG!$C$5:$C$367, 0)), " ")</f>
        <v>0</v>
      </c>
      <c r="O2321" s="129" t="str">
        <f>IF(E2321&lt;&gt;"", _xlfn.XLOOKUP(E2321, DATABASE_FG!C:C, DATABASE_FG!F:F), " ")</f>
        <v>Ghidaje</v>
      </c>
      <c r="P2321" s="36">
        <f>IFERROR(INDEX(DATABASE_FG!$G$5:$G$367, MATCH(E2321, DATABASE_FG!$C$5:$C$367, 0)), "Not Found")</f>
        <v>0</v>
      </c>
      <c r="Q2321" s="36"/>
      <c r="R2321" s="125" t="s">
        <v>678</v>
      </c>
      <c r="S2321" s="123">
        <f>IFERROR(INDEX(DATABASE_FG!$L$5:$L$367, MATCH(E2321, DATABASE_FG!$C$5:$C$367, 0)), " ")</f>
        <v>42</v>
      </c>
      <c r="T2321" s="36" t="s">
        <v>679</v>
      </c>
      <c r="U2321" s="36"/>
      <c r="V2321" s="36"/>
      <c r="W2321" s="129"/>
      <c r="X2321" s="36"/>
      <c r="Y2321" s="36"/>
      <c r="Z2321" s="36"/>
      <c r="AA2321" s="125" t="s">
        <v>121</v>
      </c>
      <c r="AB2321" s="172">
        <v>45502</v>
      </c>
      <c r="AC2321" s="119">
        <v>2024939</v>
      </c>
      <c r="AD2321" s="36">
        <f t="shared" si="263"/>
        <v>37064295</v>
      </c>
      <c r="AE2321" s="36" t="str">
        <f t="shared" si="264"/>
        <v>TK.KWVE30-B-A-H-0038-WW1</v>
      </c>
      <c r="AF2321" s="36">
        <v>48</v>
      </c>
      <c r="AG2321" s="120">
        <f t="shared" si="262"/>
        <v>216.48</v>
      </c>
      <c r="AH2321" s="36"/>
      <c r="AI2321" s="124"/>
      <c r="AJ2321" s="122" t="s">
        <v>1845</v>
      </c>
      <c r="AK2321" s="129" t="str">
        <f t="shared" ca="1" si="261"/>
        <v>Late</v>
      </c>
      <c r="AL2321" s="268" t="str">
        <f t="shared" si="260"/>
        <v>July</v>
      </c>
      <c r="AM2321" s="133">
        <f>YEAR(Table1[[#This Row],[ETA
As requested
dd.mm.yyyy]])</f>
        <v>2024</v>
      </c>
    </row>
    <row r="2322" spans="1:39" hidden="1">
      <c r="A2322" s="123" t="s">
        <v>83</v>
      </c>
      <c r="B2322" s="36" t="s">
        <v>1170</v>
      </c>
      <c r="C2322" s="117">
        <v>37064295</v>
      </c>
      <c r="D2322" s="165">
        <v>45470</v>
      </c>
      <c r="E2322" s="117" t="s">
        <v>101</v>
      </c>
      <c r="F2322" s="36" t="str">
        <f>IFERROR(VLOOKUP(Table1[[#This Row],[Part Number]],DATABASE_FG!$C$6:D12311,2,FALSE)," ")</f>
        <v>059018879-8011</v>
      </c>
      <c r="G2322" s="117">
        <f>IFERROR(_xlfn.XLOOKUP(Table1[[#This Row],[Part Number]],Table3[Part number],Table3[Drawing
 Revision]),"")</f>
        <v>0</v>
      </c>
      <c r="H2322" s="118" cm="1">
        <f t="array" ref="H2322">IFERROR(INDEX(PDB!$C:$AT,MATCH(E2322,PDB!$B:$B,0),MATCH(YEAR(K2322),0+PDB!$C$1:$AT$1,0)),"")</f>
        <v>4.51</v>
      </c>
      <c r="I2322" s="36">
        <v>27</v>
      </c>
      <c r="J2322" s="125">
        <f>IFERROR(Table1[[#This Row],[Quantity]]*Table1[[#This Row],[Price/Unit
EUR]]," ")</f>
        <v>121.77</v>
      </c>
      <c r="K2322" s="126">
        <v>45489</v>
      </c>
      <c r="L2322" s="36">
        <f>WEEKNUM(Table1[[#This Row],[ETA
As requested
dd.mm.yyyy]])</f>
        <v>29</v>
      </c>
      <c r="M2322" s="36">
        <f>YEAR(Table1[[#This Row],[ETA
As requested
dd.mm.yyyy]])</f>
        <v>2024</v>
      </c>
      <c r="N2322" s="36">
        <f>IFERROR(INDEX(DATABASE_FG!$H$5:$H$367, MATCH(E2322, DATABASE_FG!$C$5:$C$367, 0)), " ")</f>
        <v>0</v>
      </c>
      <c r="O2322" s="129" t="str">
        <f>IF(E2322&lt;&gt;"", _xlfn.XLOOKUP(E2322, DATABASE_FG!C:C, DATABASE_FG!F:F), " ")</f>
        <v>Ghidaje</v>
      </c>
      <c r="P2322" s="36">
        <f>IFERROR(INDEX(DATABASE_FG!$G$5:$G$367, MATCH(E2322, DATABASE_FG!$C$5:$C$367, 0)), "Not Found")</f>
        <v>0</v>
      </c>
      <c r="Q2322" s="36"/>
      <c r="R2322" s="125" t="s">
        <v>678</v>
      </c>
      <c r="S2322" s="123">
        <f>Table1[[#This Row],[Quantity]]/48</f>
        <v>0.5625</v>
      </c>
      <c r="T2322" s="36"/>
      <c r="U2322" s="36"/>
      <c r="V2322" s="36"/>
      <c r="W2322" s="129"/>
      <c r="X2322" s="36"/>
      <c r="Y2322" s="36"/>
      <c r="Z2322" s="36"/>
      <c r="AA2322" s="125" t="s">
        <v>121</v>
      </c>
      <c r="AB2322" s="172">
        <v>45503</v>
      </c>
      <c r="AC2322" s="119">
        <v>2024941</v>
      </c>
      <c r="AD2322" s="36">
        <f t="shared" si="263"/>
        <v>37064295</v>
      </c>
      <c r="AE2322" s="36" t="str">
        <f t="shared" si="264"/>
        <v>TK.KWVE30-B-A-H-0038-WW1</v>
      </c>
      <c r="AF2322" s="36">
        <v>27</v>
      </c>
      <c r="AG2322" s="120">
        <f t="shared" si="262"/>
        <v>121.77</v>
      </c>
      <c r="AH2322" s="36"/>
      <c r="AI2322" s="124"/>
      <c r="AJ2322" s="122" t="s">
        <v>1846</v>
      </c>
      <c r="AK2322" s="129" t="str">
        <f t="shared" ca="1" si="261"/>
        <v>Late</v>
      </c>
      <c r="AL2322" s="268" t="str">
        <f t="shared" si="260"/>
        <v>July</v>
      </c>
      <c r="AM2322" s="133">
        <f>YEAR(Table1[[#This Row],[ETA
As requested
dd.mm.yyyy]])</f>
        <v>2024</v>
      </c>
    </row>
    <row r="2323" spans="1:39" hidden="1">
      <c r="A2323" s="123" t="s">
        <v>83</v>
      </c>
      <c r="B2323" s="36" t="s">
        <v>1170</v>
      </c>
      <c r="C2323" s="117">
        <v>37064295</v>
      </c>
      <c r="D2323" s="165">
        <v>45470</v>
      </c>
      <c r="E2323" s="117" t="s">
        <v>101</v>
      </c>
      <c r="F2323" s="36" t="str">
        <f>IFERROR(VLOOKUP(Table1[[#This Row],[Part Number]],DATABASE_FG!$C$6:D12312,2,FALSE)," ")</f>
        <v>059018879-8011</v>
      </c>
      <c r="G2323" s="117">
        <f>IFERROR(_xlfn.XLOOKUP(Table1[[#This Row],[Part Number]],Table3[Part number],Table3[Drawing
 Revision]),"")</f>
        <v>0</v>
      </c>
      <c r="H2323" s="118" cm="1">
        <f t="array" ref="H2323">IFERROR(INDEX(PDB!$C:$AT,MATCH(E2323,PDB!$B:$B,0),MATCH(YEAR(K2323),0+PDB!$C$1:$AT$1,0)),"")</f>
        <v>4.51</v>
      </c>
      <c r="I2323" s="36">
        <v>75</v>
      </c>
      <c r="J2323" s="125">
        <f>IFERROR(Table1[[#This Row],[Quantity]]*Table1[[#This Row],[Price/Unit
EUR]]," ")</f>
        <v>338.25</v>
      </c>
      <c r="K2323" s="126">
        <v>45492</v>
      </c>
      <c r="L2323" s="36">
        <f>WEEKNUM(Table1[[#This Row],[ETA
As requested
dd.mm.yyyy]])</f>
        <v>29</v>
      </c>
      <c r="M2323" s="36">
        <f>YEAR(Table1[[#This Row],[ETA
As requested
dd.mm.yyyy]])</f>
        <v>2024</v>
      </c>
      <c r="N2323" s="36">
        <f>IFERROR(INDEX(DATABASE_FG!$H$5:$H$367, MATCH(E2323, DATABASE_FG!$C$5:$C$367, 0)), " ")</f>
        <v>0</v>
      </c>
      <c r="O2323" s="129" t="str">
        <f>IF(E2323&lt;&gt;"", _xlfn.XLOOKUP(E2323, DATABASE_FG!C:C, DATABASE_FG!F:F), " ")</f>
        <v>Ghidaje</v>
      </c>
      <c r="P2323" s="36">
        <f>IFERROR(INDEX(DATABASE_FG!$G$5:$G$367, MATCH(E2323, DATABASE_FG!$C$5:$C$367, 0)), "Not Found")</f>
        <v>0</v>
      </c>
      <c r="Q2323" s="36"/>
      <c r="R2323" s="125" t="s">
        <v>678</v>
      </c>
      <c r="S2323" s="123">
        <f>IFERROR(INDEX(DATABASE_FG!$L$5:$L$367, MATCH(E2323, DATABASE_FG!$C$5:$C$367, 0)), " ")</f>
        <v>42</v>
      </c>
      <c r="T2323" s="36" t="s">
        <v>679</v>
      </c>
      <c r="U2323" s="36"/>
      <c r="V2323" s="36"/>
      <c r="W2323" s="129"/>
      <c r="X2323" s="36"/>
      <c r="Y2323" s="36"/>
      <c r="Z2323" s="36"/>
      <c r="AA2323" s="125" t="s">
        <v>121</v>
      </c>
      <c r="AB2323" s="172">
        <v>45503</v>
      </c>
      <c r="AC2323" s="119">
        <v>2024941</v>
      </c>
      <c r="AD2323" s="36">
        <f t="shared" si="263"/>
        <v>37064295</v>
      </c>
      <c r="AE2323" s="36" t="str">
        <f t="shared" si="264"/>
        <v>TK.KWVE30-B-A-H-0038-WW1</v>
      </c>
      <c r="AF2323" s="36">
        <v>75</v>
      </c>
      <c r="AG2323" s="120">
        <f t="shared" si="262"/>
        <v>338.25</v>
      </c>
      <c r="AH2323" s="36"/>
      <c r="AI2323" s="124"/>
      <c r="AJ2323" s="122" t="s">
        <v>1846</v>
      </c>
      <c r="AK2323" s="129" t="str">
        <f t="shared" ca="1" si="261"/>
        <v>Late</v>
      </c>
      <c r="AL2323" s="268" t="str">
        <f t="shared" si="260"/>
        <v>July</v>
      </c>
      <c r="AM2323" s="133">
        <f>YEAR(Table1[[#This Row],[ETA
As requested
dd.mm.yyyy]])</f>
        <v>2024</v>
      </c>
    </row>
    <row r="2324" spans="1:39" hidden="1">
      <c r="A2324" s="123" t="s">
        <v>83</v>
      </c>
      <c r="B2324" s="36" t="s">
        <v>1170</v>
      </c>
      <c r="C2324" s="117">
        <v>37327725</v>
      </c>
      <c r="D2324" s="165">
        <v>45497</v>
      </c>
      <c r="E2324" s="117" t="s">
        <v>101</v>
      </c>
      <c r="F2324" s="36" t="str">
        <f>IFERROR(VLOOKUP(Table1[[#This Row],[Part Number]],DATABASE_FG!$C$6:D12313,2,FALSE)," ")</f>
        <v>059018879-8011</v>
      </c>
      <c r="G2324" s="117">
        <f>IFERROR(_xlfn.XLOOKUP(Table1[[#This Row],[Part Number]],Table3[Part number],Table3[Drawing
 Revision]),"")</f>
        <v>0</v>
      </c>
      <c r="H2324" s="118" cm="1">
        <f t="array" ref="H2324">IFERROR(INDEX(PDB!$C:$AT,MATCH(E2324,PDB!$B:$B,0),MATCH(YEAR(K2324),0+PDB!$C$1:$AT$1,0)),"")</f>
        <v>4.51</v>
      </c>
      <c r="I2324" s="36">
        <v>7</v>
      </c>
      <c r="J2324" s="125">
        <f>IFERROR(Table1[[#This Row],[Quantity]]*Table1[[#This Row],[Price/Unit
EUR]]," ")</f>
        <v>31.57</v>
      </c>
      <c r="K2324" s="126">
        <v>45510</v>
      </c>
      <c r="L2324" s="36">
        <f>WEEKNUM(Table1[[#This Row],[ETA
As requested
dd.mm.yyyy]])</f>
        <v>32</v>
      </c>
      <c r="M2324" s="36">
        <f>YEAR(Table1[[#This Row],[ETA
As requested
dd.mm.yyyy]])</f>
        <v>2024</v>
      </c>
      <c r="N2324" s="36">
        <f>IFERROR(INDEX(DATABASE_FG!$H$5:$H$367, MATCH(E2324, DATABASE_FG!$C$5:$C$367, 0)), " ")</f>
        <v>0</v>
      </c>
      <c r="O2324" s="129" t="str">
        <f>IF(E2324&lt;&gt;"", _xlfn.XLOOKUP(E2324, DATABASE_FG!C:C, DATABASE_FG!F:F), " ")</f>
        <v>Ghidaje</v>
      </c>
      <c r="P2324" s="36">
        <f>IFERROR(INDEX(DATABASE_FG!$G$5:$G$367, MATCH(E2324, DATABASE_FG!$C$5:$C$367, 0)), "Not Found")</f>
        <v>0</v>
      </c>
      <c r="Q2324" s="36"/>
      <c r="R2324" s="125" t="s">
        <v>678</v>
      </c>
      <c r="S2324" s="123">
        <f>IFERROR(INDEX(DATABASE_FG!$L$5:$L$367, MATCH(E2324, DATABASE_FG!$C$5:$C$367, 0)), " ")</f>
        <v>42</v>
      </c>
      <c r="T2324" s="36" t="s">
        <v>679</v>
      </c>
      <c r="U2324" s="36"/>
      <c r="V2324" s="36"/>
      <c r="W2324" s="129"/>
      <c r="X2324" s="36"/>
      <c r="Y2324" s="36"/>
      <c r="Z2324" s="36"/>
      <c r="AA2324" s="125" t="s">
        <v>121</v>
      </c>
      <c r="AB2324" s="172">
        <v>45503</v>
      </c>
      <c r="AC2324" s="119">
        <v>2024942</v>
      </c>
      <c r="AD2324" s="36">
        <f t="shared" si="263"/>
        <v>37327725</v>
      </c>
      <c r="AE2324" s="36" t="str">
        <f t="shared" si="264"/>
        <v>TK.KWVE30-B-A-H-0038-WW1</v>
      </c>
      <c r="AF2324" s="36">
        <v>7</v>
      </c>
      <c r="AG2324" s="120">
        <f t="shared" si="262"/>
        <v>31.57</v>
      </c>
      <c r="AH2324" s="36"/>
      <c r="AI2324" s="124"/>
      <c r="AJ2324" s="122" t="s">
        <v>1903</v>
      </c>
      <c r="AK2324" s="129" t="str">
        <f t="shared" ca="1" si="261"/>
        <v>On Time</v>
      </c>
      <c r="AL2324" s="268" t="str">
        <f t="shared" si="260"/>
        <v>August</v>
      </c>
      <c r="AM2324" s="133">
        <f>YEAR(Table1[[#This Row],[ETA
As requested
dd.mm.yyyy]])</f>
        <v>2024</v>
      </c>
    </row>
    <row r="2325" spans="1:39" hidden="1">
      <c r="A2325" s="123" t="s">
        <v>83</v>
      </c>
      <c r="B2325" s="36" t="s">
        <v>1170</v>
      </c>
      <c r="C2325" s="117">
        <v>37327725</v>
      </c>
      <c r="D2325" s="165">
        <v>45497</v>
      </c>
      <c r="E2325" s="117" t="s">
        <v>101</v>
      </c>
      <c r="F2325" s="36" t="str">
        <f>IFERROR(VLOOKUP(Table1[[#This Row],[Part Number]],DATABASE_FG!$C$6:D12314,2,FALSE)," ")</f>
        <v>059018879-8011</v>
      </c>
      <c r="G2325" s="117">
        <f>IFERROR(_xlfn.XLOOKUP(Table1[[#This Row],[Part Number]],Table3[Part number],Table3[Drawing
 Revision]),"")</f>
        <v>0</v>
      </c>
      <c r="H2325" s="118" cm="1">
        <f t="array" ref="H2325">IFERROR(INDEX(PDB!$C:$AT,MATCH(E2325,PDB!$B:$B,0),MATCH(YEAR(K2325),0+PDB!$C$1:$AT$1,0)),"")</f>
        <v>4.51</v>
      </c>
      <c r="I2325" s="36">
        <v>94</v>
      </c>
      <c r="J2325" s="125">
        <f>IFERROR(Table1[[#This Row],[Quantity]]*Table1[[#This Row],[Price/Unit
EUR]]," ")</f>
        <v>423.94</v>
      </c>
      <c r="K2325" s="126">
        <v>45510</v>
      </c>
      <c r="L2325" s="36">
        <f>WEEKNUM(Table1[[#This Row],[ETA
As requested
dd.mm.yyyy]])</f>
        <v>32</v>
      </c>
      <c r="M2325" s="36">
        <f>YEAR(Table1[[#This Row],[ETA
As requested
dd.mm.yyyy]])</f>
        <v>2024</v>
      </c>
      <c r="N2325" s="36">
        <f>IFERROR(INDEX(DATABASE_FG!$H$5:$H$367, MATCH(E2325, DATABASE_FG!$C$5:$C$367, 0)), " ")</f>
        <v>0</v>
      </c>
      <c r="O2325" s="129" t="str">
        <f>IF(E2325&lt;&gt;"", _xlfn.XLOOKUP(E2325, DATABASE_FG!C:C, DATABASE_FG!F:F), " ")</f>
        <v>Ghidaje</v>
      </c>
      <c r="P2325" s="36">
        <f>IFERROR(INDEX(DATABASE_FG!$G$5:$G$367, MATCH(E2325, DATABASE_FG!$C$5:$C$367, 0)), "Not Found")</f>
        <v>0</v>
      </c>
      <c r="Q2325" s="36"/>
      <c r="R2325" s="125" t="s">
        <v>678</v>
      </c>
      <c r="S2325" s="123">
        <f>Table1[[#This Row],[Quantity]]/48</f>
        <v>1.9583333333333333</v>
      </c>
      <c r="T2325" s="36"/>
      <c r="U2325" s="36"/>
      <c r="V2325" s="36"/>
      <c r="W2325" s="129"/>
      <c r="X2325" s="36"/>
      <c r="Y2325" s="36"/>
      <c r="Z2325" s="36"/>
      <c r="AA2325" s="125" t="s">
        <v>121</v>
      </c>
      <c r="AB2325" s="172">
        <v>45504</v>
      </c>
      <c r="AC2325" s="119">
        <v>2024950</v>
      </c>
      <c r="AD2325" s="36">
        <f t="shared" si="263"/>
        <v>37327725</v>
      </c>
      <c r="AE2325" s="36" t="str">
        <f t="shared" si="264"/>
        <v>TK.KWVE30-B-A-H-0038-WW1</v>
      </c>
      <c r="AF2325" s="36">
        <v>94</v>
      </c>
      <c r="AG2325" s="120">
        <f t="shared" si="262"/>
        <v>423.94</v>
      </c>
      <c r="AH2325" s="36"/>
      <c r="AI2325" s="124"/>
      <c r="AJ2325" s="122" t="s">
        <v>1905</v>
      </c>
      <c r="AK2325" s="129" t="str">
        <f t="shared" ca="1" si="261"/>
        <v>On Time</v>
      </c>
      <c r="AL2325" s="268" t="str">
        <f t="shared" si="260"/>
        <v>August</v>
      </c>
      <c r="AM2325" s="133">
        <f>YEAR(Table1[[#This Row],[ETA
As requested
dd.mm.yyyy]])</f>
        <v>2024</v>
      </c>
    </row>
    <row r="2326" spans="1:39" hidden="1">
      <c r="A2326" s="123" t="s">
        <v>83</v>
      </c>
      <c r="B2326" s="36" t="s">
        <v>1170</v>
      </c>
      <c r="C2326" s="117">
        <v>37327725</v>
      </c>
      <c r="D2326" s="165">
        <v>45497</v>
      </c>
      <c r="E2326" s="117" t="s">
        <v>101</v>
      </c>
      <c r="F2326" s="36" t="str">
        <f>IFERROR(VLOOKUP(Table1[[#This Row],[Part Number]],DATABASE_FG!$C$6:D12315,2,FALSE)," ")</f>
        <v>059018879-8011</v>
      </c>
      <c r="G2326" s="117">
        <f>IFERROR(_xlfn.XLOOKUP(Table1[[#This Row],[Part Number]],Table3[Part number],Table3[Drawing
 Revision]),"")</f>
        <v>0</v>
      </c>
      <c r="H2326" s="118" cm="1">
        <f t="array" ref="H2326">IFERROR(INDEX(PDB!$C:$AT,MATCH(E2326,PDB!$B:$B,0),MATCH(YEAR(K2326),0+PDB!$C$1:$AT$1,0)),"")</f>
        <v>4.51</v>
      </c>
      <c r="I2326" s="36">
        <v>23</v>
      </c>
      <c r="J2326" s="125">
        <f>IFERROR(Table1[[#This Row],[Quantity]]*Table1[[#This Row],[Price/Unit
EUR]]," ")</f>
        <v>103.72999999999999</v>
      </c>
      <c r="K2326" s="126">
        <v>45510</v>
      </c>
      <c r="L2326" s="36">
        <f>WEEKNUM(Table1[[#This Row],[ETA
As requested
dd.mm.yyyy]])</f>
        <v>32</v>
      </c>
      <c r="M2326" s="36">
        <f>YEAR(Table1[[#This Row],[ETA
As requested
dd.mm.yyyy]])</f>
        <v>2024</v>
      </c>
      <c r="N2326" s="36">
        <f>IFERROR(INDEX(DATABASE_FG!$H$5:$H$367, MATCH(E2326, DATABASE_FG!$C$5:$C$367, 0)), " ")</f>
        <v>0</v>
      </c>
      <c r="O2326" s="129" t="str">
        <f>IF(E2326&lt;&gt;"", _xlfn.XLOOKUP(E2326, DATABASE_FG!C:C, DATABASE_FG!F:F), " ")</f>
        <v>Ghidaje</v>
      </c>
      <c r="P2326" s="36">
        <f>IFERROR(INDEX(DATABASE_FG!$G$5:$G$367, MATCH(E2326, DATABASE_FG!$C$5:$C$367, 0)), "Not Found")</f>
        <v>0</v>
      </c>
      <c r="Q2326" s="36"/>
      <c r="R2326" s="125" t="s">
        <v>678</v>
      </c>
      <c r="S2326" s="123">
        <f>Table1[[#This Row],[Quantity]]/48</f>
        <v>0.47916666666666669</v>
      </c>
      <c r="T2326" s="36"/>
      <c r="U2326" s="36"/>
      <c r="V2326" s="36"/>
      <c r="W2326" s="129"/>
      <c r="X2326" s="36"/>
      <c r="Y2326" s="36"/>
      <c r="Z2326" s="36"/>
      <c r="AA2326" s="125" t="s">
        <v>121</v>
      </c>
      <c r="AB2326" s="172">
        <v>45512</v>
      </c>
      <c r="AC2326" s="119">
        <v>20241003</v>
      </c>
      <c r="AD2326" s="36">
        <f t="shared" si="263"/>
        <v>37327725</v>
      </c>
      <c r="AE2326" s="36" t="str">
        <f t="shared" si="264"/>
        <v>TK.KWVE30-B-A-H-0038-WW1</v>
      </c>
      <c r="AF2326" s="36">
        <v>23</v>
      </c>
      <c r="AG2326" s="120">
        <f t="shared" si="262"/>
        <v>103.72999999999999</v>
      </c>
      <c r="AH2326" s="36"/>
      <c r="AI2326" s="124"/>
      <c r="AJ2326" s="122" t="s">
        <v>1912</v>
      </c>
      <c r="AK2326" s="129" t="str">
        <f t="shared" ca="1" si="261"/>
        <v>On Time</v>
      </c>
      <c r="AL2326" s="268" t="str">
        <f t="shared" si="260"/>
        <v>August</v>
      </c>
      <c r="AM2326" s="133">
        <f>YEAR(Table1[[#This Row],[ETA
As requested
dd.mm.yyyy]])</f>
        <v>2024</v>
      </c>
    </row>
    <row r="2327" spans="1:39" hidden="1">
      <c r="A2327" s="123" t="s">
        <v>83</v>
      </c>
      <c r="B2327" s="36" t="s">
        <v>1170</v>
      </c>
      <c r="C2327" s="117">
        <v>37327725</v>
      </c>
      <c r="D2327" s="165">
        <v>45497</v>
      </c>
      <c r="E2327" s="117" t="s">
        <v>101</v>
      </c>
      <c r="F2327" s="36" t="str">
        <f>IFERROR(VLOOKUP(Table1[[#This Row],[Part Number]],DATABASE_FG!$C$6:D12316,2,FALSE)," ")</f>
        <v>059018879-8011</v>
      </c>
      <c r="G2327" s="117">
        <f>IFERROR(_xlfn.XLOOKUP(Table1[[#This Row],[Part Number]],Table3[Part number],Table3[Drawing
 Revision]),"")</f>
        <v>0</v>
      </c>
      <c r="H2327" s="118" cm="1">
        <f t="array" ref="H2327">IFERROR(INDEX(PDB!$C:$AT,MATCH(E2327,PDB!$B:$B,0),MATCH(YEAR(K2327),0+PDB!$C$1:$AT$1,0)),"")</f>
        <v>4.51</v>
      </c>
      <c r="I2327" s="36">
        <v>57</v>
      </c>
      <c r="J2327" s="125">
        <f>IFERROR(Table1[[#This Row],[Quantity]]*Table1[[#This Row],[Price/Unit
EUR]]," ")</f>
        <v>257.07</v>
      </c>
      <c r="K2327" s="126">
        <v>45510</v>
      </c>
      <c r="L2327" s="36">
        <f>WEEKNUM(Table1[[#This Row],[ETA
As requested
dd.mm.yyyy]])</f>
        <v>32</v>
      </c>
      <c r="M2327" s="36">
        <f>YEAR(Table1[[#This Row],[ETA
As requested
dd.mm.yyyy]])</f>
        <v>2024</v>
      </c>
      <c r="N2327" s="36">
        <f>IFERROR(INDEX(DATABASE_FG!$H$5:$H$367, MATCH(E2327, DATABASE_FG!$C$5:$C$367, 0)), " ")</f>
        <v>0</v>
      </c>
      <c r="O2327" s="129" t="str">
        <f>IF(E2327&lt;&gt;"", _xlfn.XLOOKUP(E2327, DATABASE_FG!C:C, DATABASE_FG!F:F), " ")</f>
        <v>Ghidaje</v>
      </c>
      <c r="P2327" s="36">
        <f>IFERROR(INDEX(DATABASE_FG!$G$5:$G$367, MATCH(E2327, DATABASE_FG!$C$5:$C$367, 0)), "Not Found")</f>
        <v>0</v>
      </c>
      <c r="Q2327" s="36"/>
      <c r="R2327" s="125" t="s">
        <v>678</v>
      </c>
      <c r="S2327" s="123">
        <f>Table1[[#This Row],[Quantity]]/48</f>
        <v>1.1875</v>
      </c>
      <c r="T2327" s="36"/>
      <c r="U2327" s="36"/>
      <c r="V2327" s="36"/>
      <c r="W2327" s="129"/>
      <c r="X2327" s="36"/>
      <c r="Y2327" s="36"/>
      <c r="Z2327" s="36"/>
      <c r="AA2327" s="125" t="s">
        <v>121</v>
      </c>
      <c r="AB2327" s="172">
        <v>45513</v>
      </c>
      <c r="AC2327" s="119">
        <v>202401013</v>
      </c>
      <c r="AD2327" s="36">
        <f t="shared" si="263"/>
        <v>37327725</v>
      </c>
      <c r="AE2327" s="36" t="str">
        <f t="shared" si="264"/>
        <v>TK.KWVE30-B-A-H-0038-WW1</v>
      </c>
      <c r="AF2327" s="36">
        <v>57</v>
      </c>
      <c r="AG2327" s="120">
        <f t="shared" si="262"/>
        <v>257.07</v>
      </c>
      <c r="AH2327" s="36"/>
      <c r="AI2327" s="124"/>
      <c r="AJ2327" s="122" t="s">
        <v>1915</v>
      </c>
      <c r="AK2327" s="129" t="str">
        <f t="shared" ca="1" si="261"/>
        <v>Late</v>
      </c>
      <c r="AL2327" s="268" t="str">
        <f t="shared" si="260"/>
        <v>August</v>
      </c>
      <c r="AM2327" s="133">
        <f>YEAR(Table1[[#This Row],[ETA
As requested
dd.mm.yyyy]])</f>
        <v>2024</v>
      </c>
    </row>
    <row r="2328" spans="1:39" hidden="1">
      <c r="A2328" s="123" t="s">
        <v>83</v>
      </c>
      <c r="B2328" s="36" t="s">
        <v>1170</v>
      </c>
      <c r="C2328" s="117">
        <v>37327725</v>
      </c>
      <c r="D2328" s="165">
        <v>45497</v>
      </c>
      <c r="E2328" s="117" t="s">
        <v>101</v>
      </c>
      <c r="F2328" s="36" t="str">
        <f>IFERROR(VLOOKUP(Table1[[#This Row],[Part Number]],DATABASE_FG!$C$6:D12317,2,FALSE)," ")</f>
        <v>059018879-8011</v>
      </c>
      <c r="G2328" s="117">
        <f>IFERROR(_xlfn.XLOOKUP(Table1[[#This Row],[Part Number]],Table3[Part number],Table3[Drawing
 Revision]),"")</f>
        <v>0</v>
      </c>
      <c r="H2328" s="118" cm="1">
        <f t="array" ref="H2328">IFERROR(INDEX(PDB!$C:$AT,MATCH(E2328,PDB!$B:$B,0),MATCH(YEAR(K2328),0+PDB!$C$1:$AT$1,0)),"")</f>
        <v>4.51</v>
      </c>
      <c r="I2328" s="36">
        <v>19</v>
      </c>
      <c r="J2328" s="125">
        <f>IFERROR(Table1[[#This Row],[Quantity]]*Table1[[#This Row],[Price/Unit
EUR]]," ")</f>
        <v>85.69</v>
      </c>
      <c r="K2328" s="126">
        <v>45510</v>
      </c>
      <c r="L2328" s="36">
        <f>WEEKNUM(Table1[[#This Row],[ETA
As requested
dd.mm.yyyy]])</f>
        <v>32</v>
      </c>
      <c r="M2328" s="36">
        <f>YEAR(Table1[[#This Row],[ETA
As requested
dd.mm.yyyy]])</f>
        <v>2024</v>
      </c>
      <c r="N2328" s="36">
        <f>IFERROR(INDEX(DATABASE_FG!$H$5:$H$367, MATCH(E2328, DATABASE_FG!$C$5:$C$367, 0)), " ")</f>
        <v>0</v>
      </c>
      <c r="O2328" s="129" t="str">
        <f>IF(E2328&lt;&gt;"", _xlfn.XLOOKUP(E2328, DATABASE_FG!C:C, DATABASE_FG!F:F), " ")</f>
        <v>Ghidaje</v>
      </c>
      <c r="P2328" s="36">
        <f>IFERROR(INDEX(DATABASE_FG!$G$5:$G$367, MATCH(E2328, DATABASE_FG!$C$5:$C$367, 0)), "Not Found")</f>
        <v>0</v>
      </c>
      <c r="Q2328" s="36"/>
      <c r="R2328" s="125" t="s">
        <v>678</v>
      </c>
      <c r="S2328" s="123">
        <f>Table1[[#This Row],[Quantity]]/48</f>
        <v>0.39583333333333331</v>
      </c>
      <c r="T2328" s="36"/>
      <c r="U2328" s="36"/>
      <c r="V2328" s="36"/>
      <c r="W2328" s="129"/>
      <c r="X2328" s="36"/>
      <c r="Y2328" s="36"/>
      <c r="Z2328" s="36"/>
      <c r="AA2328" s="125" t="s">
        <v>121</v>
      </c>
      <c r="AB2328" s="172">
        <v>45523</v>
      </c>
      <c r="AC2328" s="119">
        <v>202401034</v>
      </c>
      <c r="AD2328" s="36">
        <f t="shared" si="263"/>
        <v>37327725</v>
      </c>
      <c r="AE2328" s="36" t="str">
        <f t="shared" si="264"/>
        <v>TK.KWVE30-B-A-H-0038-WW1</v>
      </c>
      <c r="AF2328" s="36">
        <v>19</v>
      </c>
      <c r="AG2328" s="120">
        <f t="shared" si="262"/>
        <v>85.69</v>
      </c>
      <c r="AH2328" s="36"/>
      <c r="AI2328" s="124"/>
      <c r="AJ2328" s="122" t="s">
        <v>1918</v>
      </c>
      <c r="AK2328" s="129" t="str">
        <f t="shared" ca="1" si="261"/>
        <v>Late</v>
      </c>
      <c r="AL2328" s="268" t="str">
        <f t="shared" si="260"/>
        <v>August</v>
      </c>
      <c r="AM2328" s="133">
        <f>YEAR(Table1[[#This Row],[ETA
As requested
dd.mm.yyyy]])</f>
        <v>2024</v>
      </c>
    </row>
    <row r="2329" spans="1:39" hidden="1">
      <c r="A2329" s="123" t="s">
        <v>83</v>
      </c>
      <c r="B2329" s="36" t="s">
        <v>1170</v>
      </c>
      <c r="C2329" s="117">
        <v>37327727</v>
      </c>
      <c r="D2329" s="165">
        <v>45497</v>
      </c>
      <c r="E2329" s="117" t="s">
        <v>101</v>
      </c>
      <c r="F2329" s="36" t="str">
        <f>IFERROR(VLOOKUP(Table1[[#This Row],[Part Number]],DATABASE_FG!$C$6:D12318,2,FALSE)," ")</f>
        <v>059018879-8011</v>
      </c>
      <c r="G2329" s="117">
        <f>IFERROR(_xlfn.XLOOKUP(Table1[[#This Row],[Part Number]],Table3[Part number],Table3[Drawing
 Revision]),"")</f>
        <v>0</v>
      </c>
      <c r="H2329" s="118" cm="1">
        <f t="array" ref="H2329">IFERROR(INDEX(PDB!$C:$AT,MATCH(E2329,PDB!$B:$B,0),MATCH(YEAR(K2329),0+PDB!$C$1:$AT$1,0)),"")</f>
        <v>4.51</v>
      </c>
      <c r="I2329" s="36">
        <v>100</v>
      </c>
      <c r="J2329" s="125">
        <f>IFERROR(Table1[[#This Row],[Quantity]]*Table1[[#This Row],[Price/Unit
EUR]]," ")</f>
        <v>451</v>
      </c>
      <c r="K2329" s="126">
        <v>45517</v>
      </c>
      <c r="L2329" s="36">
        <f>WEEKNUM(Table1[[#This Row],[ETA
As requested
dd.mm.yyyy]])</f>
        <v>33</v>
      </c>
      <c r="M2329" s="36">
        <f>YEAR(Table1[[#This Row],[ETA
As requested
dd.mm.yyyy]])</f>
        <v>2024</v>
      </c>
      <c r="N2329" s="36">
        <f>IFERROR(INDEX(DATABASE_FG!$H$5:$H$367, MATCH(E2329, DATABASE_FG!$C$5:$C$367, 0)), " ")</f>
        <v>0</v>
      </c>
      <c r="O2329" s="129" t="str">
        <f>IF(E2329&lt;&gt;"", _xlfn.XLOOKUP(E2329, DATABASE_FG!C:C, DATABASE_FG!F:F), " ")</f>
        <v>Ghidaje</v>
      </c>
      <c r="P2329" s="36">
        <f>IFERROR(INDEX(DATABASE_FG!$G$5:$G$367, MATCH(E2329, DATABASE_FG!$C$5:$C$367, 0)), "Not Found")</f>
        <v>0</v>
      </c>
      <c r="Q2329" s="36"/>
      <c r="R2329" s="125" t="s">
        <v>678</v>
      </c>
      <c r="S2329" s="123">
        <f>IFERROR(INDEX(DATABASE_FG!$L$5:$L$367, MATCH(E2329, DATABASE_FG!$C$5:$C$367, 0)), " ")</f>
        <v>42</v>
      </c>
      <c r="T2329" s="36" t="s">
        <v>679</v>
      </c>
      <c r="U2329" s="36"/>
      <c r="V2329" s="36"/>
      <c r="W2329" s="129"/>
      <c r="X2329" s="36"/>
      <c r="Y2329" s="36"/>
      <c r="Z2329" s="36"/>
      <c r="AA2329" s="125" t="s">
        <v>121</v>
      </c>
      <c r="AB2329" s="172">
        <v>45523</v>
      </c>
      <c r="AC2329" s="119">
        <v>202401035</v>
      </c>
      <c r="AD2329" s="36">
        <f t="shared" si="263"/>
        <v>37327727</v>
      </c>
      <c r="AE2329" s="36" t="str">
        <f t="shared" si="264"/>
        <v>TK.KWVE30-B-A-H-0038-WW1</v>
      </c>
      <c r="AF2329" s="36">
        <v>100</v>
      </c>
      <c r="AG2329" s="120">
        <f t="shared" si="262"/>
        <v>451</v>
      </c>
      <c r="AH2329" s="36"/>
      <c r="AI2329" s="124"/>
      <c r="AJ2329" s="122" t="s">
        <v>1947</v>
      </c>
      <c r="AK2329" s="129" t="str">
        <f t="shared" ca="1" si="261"/>
        <v>Late</v>
      </c>
      <c r="AL2329" s="268" t="str">
        <f t="shared" si="260"/>
        <v>August</v>
      </c>
      <c r="AM2329" s="133">
        <f>YEAR(Table1[[#This Row],[ETA
As requested
dd.mm.yyyy]])</f>
        <v>2024</v>
      </c>
    </row>
    <row r="2330" spans="1:39" hidden="1">
      <c r="A2330" s="123" t="s">
        <v>83</v>
      </c>
      <c r="B2330" s="36" t="s">
        <v>1170</v>
      </c>
      <c r="C2330" s="117">
        <v>37327729</v>
      </c>
      <c r="D2330" s="165">
        <v>45497</v>
      </c>
      <c r="E2330" s="117" t="s">
        <v>101</v>
      </c>
      <c r="F2330" s="36" t="str">
        <f>IFERROR(VLOOKUP(Table1[[#This Row],[Part Number]],DATABASE_FG!$C$6:D12319,2,FALSE)," ")</f>
        <v>059018879-8011</v>
      </c>
      <c r="G2330" s="117">
        <f>IFERROR(_xlfn.XLOOKUP(Table1[[#This Row],[Part Number]],Table3[Part number],Table3[Drawing
 Revision]),"")</f>
        <v>0</v>
      </c>
      <c r="H2330" s="118" cm="1">
        <f t="array" ref="H2330">IFERROR(INDEX(PDB!$C:$AT,MATCH(E2330,PDB!$B:$B,0),MATCH(YEAR(K2330),0+PDB!$C$1:$AT$1,0)),"")</f>
        <v>4.51</v>
      </c>
      <c r="I2330" s="36">
        <v>100</v>
      </c>
      <c r="J2330" s="125">
        <f>IFERROR(Table1[[#This Row],[Quantity]]*Table1[[#This Row],[Price/Unit
EUR]]," ")</f>
        <v>451</v>
      </c>
      <c r="K2330" s="126">
        <v>45524</v>
      </c>
      <c r="L2330" s="36">
        <f>WEEKNUM(Table1[[#This Row],[ETA
As requested
dd.mm.yyyy]])</f>
        <v>34</v>
      </c>
      <c r="M2330" s="36">
        <f>YEAR(Table1[[#This Row],[ETA
As requested
dd.mm.yyyy]])</f>
        <v>2024</v>
      </c>
      <c r="N2330" s="36">
        <f>IFERROR(INDEX(DATABASE_FG!$H$5:$H$367, MATCH(E2330, DATABASE_FG!$C$5:$C$367, 0)), " ")</f>
        <v>0</v>
      </c>
      <c r="O2330" s="129" t="str">
        <f>IF(E2330&lt;&gt;"", _xlfn.XLOOKUP(E2330, DATABASE_FG!C:C, DATABASE_FG!F:F), " ")</f>
        <v>Ghidaje</v>
      </c>
      <c r="P2330" s="36">
        <f>IFERROR(INDEX(DATABASE_FG!$G$5:$G$367, MATCH(E2330, DATABASE_FG!$C$5:$C$367, 0)), "Not Found")</f>
        <v>0</v>
      </c>
      <c r="Q2330" s="36"/>
      <c r="R2330" s="125" t="s">
        <v>678</v>
      </c>
      <c r="S2330" s="123">
        <f>IFERROR(INDEX(DATABASE_FG!$L$5:$L$367, MATCH(E2330, DATABASE_FG!$C$5:$C$367, 0)), " ")</f>
        <v>42</v>
      </c>
      <c r="T2330" s="36" t="s">
        <v>679</v>
      </c>
      <c r="U2330" s="36"/>
      <c r="V2330" s="36"/>
      <c r="W2330" s="129"/>
      <c r="X2330" s="36"/>
      <c r="Y2330" s="36"/>
      <c r="Z2330" s="36"/>
      <c r="AA2330" s="125" t="s">
        <v>121</v>
      </c>
      <c r="AB2330" s="173">
        <v>45523</v>
      </c>
      <c r="AC2330" s="119">
        <v>202401036</v>
      </c>
      <c r="AD2330" s="36">
        <f t="shared" si="263"/>
        <v>37327729</v>
      </c>
      <c r="AE2330" s="36" t="str">
        <f t="shared" si="264"/>
        <v>TK.KWVE30-B-A-H-0038-WW1</v>
      </c>
      <c r="AF2330" s="36">
        <v>100</v>
      </c>
      <c r="AG2330" s="120">
        <f t="shared" si="262"/>
        <v>451</v>
      </c>
      <c r="AH2330" s="36"/>
      <c r="AI2330" s="124"/>
      <c r="AJ2330" s="122" t="s">
        <v>2104</v>
      </c>
      <c r="AK2330" s="129" t="str">
        <f t="shared" ca="1" si="261"/>
        <v>On Time</v>
      </c>
      <c r="AL2330" s="268" t="str">
        <f t="shared" si="260"/>
        <v>August</v>
      </c>
      <c r="AM2330" s="133">
        <f>YEAR(Table1[[#This Row],[ETA
As requested
dd.mm.yyyy]])</f>
        <v>2024</v>
      </c>
    </row>
    <row r="2331" spans="1:39" hidden="1">
      <c r="A2331" s="123" t="s">
        <v>83</v>
      </c>
      <c r="B2331" s="36" t="s">
        <v>1170</v>
      </c>
      <c r="C2331" s="117">
        <v>37327732</v>
      </c>
      <c r="D2331" s="165">
        <v>45497</v>
      </c>
      <c r="E2331" s="117" t="s">
        <v>101</v>
      </c>
      <c r="F2331" s="36" t="str">
        <f>IFERROR(VLOOKUP(Table1[[#This Row],[Part Number]],DATABASE_FG!$C$6:D12320,2,FALSE)," ")</f>
        <v>059018879-8011</v>
      </c>
      <c r="G2331" s="117">
        <f>IFERROR(_xlfn.XLOOKUP(Table1[[#This Row],[Part Number]],Table3[Part number],Table3[Drawing
 Revision]),"")</f>
        <v>0</v>
      </c>
      <c r="H2331" s="118" cm="1">
        <f t="array" ref="H2331">IFERROR(INDEX(PDB!$C:$AT,MATCH(E2331,PDB!$B:$B,0),MATCH(YEAR(K2331),0+PDB!$C$1:$AT$1,0)),"")</f>
        <v>4.51</v>
      </c>
      <c r="I2331" s="36">
        <v>100</v>
      </c>
      <c r="J2331" s="125">
        <f>IFERROR(Table1[[#This Row],[Quantity]]*Table1[[#This Row],[Price/Unit
EUR]]," ")</f>
        <v>451</v>
      </c>
      <c r="K2331" s="126">
        <v>45531</v>
      </c>
      <c r="L2331" s="36">
        <f>WEEKNUM(Table1[[#This Row],[ETA
As requested
dd.mm.yyyy]])</f>
        <v>35</v>
      </c>
      <c r="M2331" s="36">
        <f>YEAR(Table1[[#This Row],[ETA
As requested
dd.mm.yyyy]])</f>
        <v>2024</v>
      </c>
      <c r="N2331" s="36">
        <f>IFERROR(INDEX(DATABASE_FG!$H$5:$H$367, MATCH(E2331, DATABASE_FG!$C$5:$C$367, 0)), " ")</f>
        <v>0</v>
      </c>
      <c r="O2331" s="129" t="str">
        <f>IF(E2331&lt;&gt;"", _xlfn.XLOOKUP(E2331, DATABASE_FG!C:C, DATABASE_FG!F:F), " ")</f>
        <v>Ghidaje</v>
      </c>
      <c r="P2331" s="36">
        <f>IFERROR(INDEX(DATABASE_FG!$G$5:$G$367, MATCH(E2331, DATABASE_FG!$C$5:$C$367, 0)), "Not Found")</f>
        <v>0</v>
      </c>
      <c r="Q2331" s="36"/>
      <c r="R2331" s="125" t="s">
        <v>678</v>
      </c>
      <c r="S2331" s="123">
        <f>IFERROR(INDEX(DATABASE_FG!$L$5:$L$367, MATCH(E2331, DATABASE_FG!$C$5:$C$367, 0)), " ")</f>
        <v>42</v>
      </c>
      <c r="T2331" s="36" t="s">
        <v>679</v>
      </c>
      <c r="U2331" s="36"/>
      <c r="V2331" s="36"/>
      <c r="W2331" s="129"/>
      <c r="X2331" s="36"/>
      <c r="Y2331" s="36"/>
      <c r="Z2331" s="36"/>
      <c r="AA2331" s="125" t="s">
        <v>121</v>
      </c>
      <c r="AB2331" s="173">
        <v>45523</v>
      </c>
      <c r="AC2331" s="119">
        <v>202401039</v>
      </c>
      <c r="AD2331" s="36">
        <f t="shared" si="263"/>
        <v>37327732</v>
      </c>
      <c r="AE2331" s="36" t="str">
        <f t="shared" si="264"/>
        <v>TK.KWVE30-B-A-H-0038-WW1</v>
      </c>
      <c r="AF2331" s="36">
        <v>100</v>
      </c>
      <c r="AG2331" s="120">
        <f t="shared" si="262"/>
        <v>451</v>
      </c>
      <c r="AH2331" s="36"/>
      <c r="AI2331" s="124"/>
      <c r="AJ2331" s="122" t="s">
        <v>2122</v>
      </c>
      <c r="AK2331" s="129" t="str">
        <f t="shared" ca="1" si="261"/>
        <v>On Time</v>
      </c>
      <c r="AL2331" s="268" t="str">
        <f t="shared" si="260"/>
        <v>August</v>
      </c>
      <c r="AM2331" s="133">
        <f>YEAR(Table1[[#This Row],[ETA
As requested
dd.mm.yyyy]])</f>
        <v>2024</v>
      </c>
    </row>
    <row r="2332" spans="1:39" hidden="1">
      <c r="A2332" s="123" t="s">
        <v>83</v>
      </c>
      <c r="B2332" s="36" t="s">
        <v>1170</v>
      </c>
      <c r="C2332" s="117">
        <v>37672581</v>
      </c>
      <c r="D2332" s="165">
        <v>45553</v>
      </c>
      <c r="E2332" s="117" t="s">
        <v>101</v>
      </c>
      <c r="F2332" s="36" t="str">
        <f>IFERROR(VLOOKUP(Table1[[#This Row],[Part Number]],DATABASE_FG!$C$6:D12321,2,FALSE)," ")</f>
        <v>059018879-8011</v>
      </c>
      <c r="G2332" s="117">
        <f>IFERROR(_xlfn.XLOOKUP(Table1[[#This Row],[Part Number]],Table3[Part number],Table3[Drawing
 Revision]),"")</f>
        <v>0</v>
      </c>
      <c r="H2332" s="118" cm="1">
        <f t="array" ref="H2332">IFERROR(INDEX(PDB!$C:$AT,MATCH(E2332,PDB!$B:$B,0),MATCH(YEAR(K2332),0+PDB!$C$1:$AT$1,0)),"")</f>
        <v>4.51</v>
      </c>
      <c r="I2332" s="36">
        <v>200</v>
      </c>
      <c r="J2332" s="125">
        <f>IFERROR(Table1[[#This Row],[Quantity]]*Table1[[#This Row],[Price/Unit
EUR]]," ")</f>
        <v>902</v>
      </c>
      <c r="K2332" s="126">
        <v>45566</v>
      </c>
      <c r="L2332" s="36">
        <f>WEEKNUM(Table1[[#This Row],[ETA
As requested
dd.mm.yyyy]])</f>
        <v>40</v>
      </c>
      <c r="M2332" s="36">
        <f>YEAR(Table1[[#This Row],[ETA
As requested
dd.mm.yyyy]])</f>
        <v>2024</v>
      </c>
      <c r="N2332" s="36">
        <f>IFERROR(INDEX(DATABASE_FG!$H$5:$H$367, MATCH(E2332, DATABASE_FG!$C$5:$C$367, 0)), " ")</f>
        <v>0</v>
      </c>
      <c r="O2332" s="129" t="str">
        <f>IF(E2332&lt;&gt;"", _xlfn.XLOOKUP(E2332, DATABASE_FG!C:C, DATABASE_FG!F:F), " ")</f>
        <v>Ghidaje</v>
      </c>
      <c r="P2332" s="36">
        <f>IFERROR(INDEX(DATABASE_FG!$G$5:$G$367, MATCH(E2332, DATABASE_FG!$C$5:$C$367, 0)), "Not Found")</f>
        <v>0</v>
      </c>
      <c r="Q2332" s="36"/>
      <c r="R2332" s="125" t="s">
        <v>678</v>
      </c>
      <c r="S2332" s="123">
        <f>IFERROR(INDEX(DATABASE_FG!$L$5:$L$367, MATCH(E2332, DATABASE_FG!$C$5:$C$367, 0)), " ")</f>
        <v>42</v>
      </c>
      <c r="T2332" s="36" t="s">
        <v>679</v>
      </c>
      <c r="U2332" s="36"/>
      <c r="V2332" s="36"/>
      <c r="W2332" s="129"/>
      <c r="X2332" s="36"/>
      <c r="Y2332" s="36"/>
      <c r="Z2332" s="36"/>
      <c r="AA2332" s="125" t="s">
        <v>121</v>
      </c>
      <c r="AB2332" s="173">
        <v>45566</v>
      </c>
      <c r="AC2332" s="119">
        <v>202401191</v>
      </c>
      <c r="AD2332" s="36">
        <f t="shared" si="263"/>
        <v>37672581</v>
      </c>
      <c r="AE2332" s="36" t="str">
        <f t="shared" si="264"/>
        <v>TK.KWVE30-B-A-H-0038-WW1</v>
      </c>
      <c r="AF2332" s="36">
        <v>200</v>
      </c>
      <c r="AG2332" s="120">
        <f t="shared" si="262"/>
        <v>902</v>
      </c>
      <c r="AH2332" s="36"/>
      <c r="AI2332" s="124"/>
      <c r="AJ2332" s="122" t="s">
        <v>2413</v>
      </c>
      <c r="AK2332" s="129" t="str">
        <f t="shared" ca="1" si="261"/>
        <v>On Time</v>
      </c>
      <c r="AL2332" s="268" t="str">
        <f t="shared" si="260"/>
        <v>October</v>
      </c>
      <c r="AM2332" s="133">
        <f>YEAR(Table1[[#This Row],[ETA
As requested
dd.mm.yyyy]])</f>
        <v>2024</v>
      </c>
    </row>
    <row r="2333" spans="1:39" hidden="1">
      <c r="A2333" s="123" t="s">
        <v>83</v>
      </c>
      <c r="B2333" s="36" t="s">
        <v>1170</v>
      </c>
      <c r="C2333" s="117">
        <v>37672583</v>
      </c>
      <c r="D2333" s="165">
        <v>45553</v>
      </c>
      <c r="E2333" s="117" t="s">
        <v>101</v>
      </c>
      <c r="F2333" s="36" t="str">
        <f>IFERROR(VLOOKUP(Table1[[#This Row],[Part Number]],DATABASE_FG!$C$6:D12322,2,FALSE)," ")</f>
        <v>059018879-8011</v>
      </c>
      <c r="G2333" s="117">
        <f>IFERROR(_xlfn.XLOOKUP(Table1[[#This Row],[Part Number]],Table3[Part number],Table3[Drawing
 Revision]),"")</f>
        <v>0</v>
      </c>
      <c r="H2333" s="118" cm="1">
        <f t="array" ref="H2333">IFERROR(INDEX(PDB!$C:$AT,MATCH(E2333,PDB!$B:$B,0),MATCH(YEAR(K2333),0+PDB!$C$1:$AT$1,0)),"")</f>
        <v>4.51</v>
      </c>
      <c r="I2333" s="36">
        <v>92</v>
      </c>
      <c r="J2333" s="125">
        <f>IFERROR(Table1[[#This Row],[Quantity]]*Table1[[#This Row],[Price/Unit
EUR]]," ")</f>
        <v>414.91999999999996</v>
      </c>
      <c r="K2333" s="126">
        <v>45573</v>
      </c>
      <c r="L2333" s="36">
        <f>WEEKNUM(Table1[[#This Row],[ETA
As requested
dd.mm.yyyy]])</f>
        <v>41</v>
      </c>
      <c r="M2333" s="36">
        <f>YEAR(Table1[[#This Row],[ETA
As requested
dd.mm.yyyy]])</f>
        <v>2024</v>
      </c>
      <c r="N2333" s="36">
        <f>IFERROR(INDEX(DATABASE_FG!$H$5:$H$367, MATCH(E2333, DATABASE_FG!$C$5:$C$367, 0)), " ")</f>
        <v>0</v>
      </c>
      <c r="O2333" s="129" t="str">
        <f>IF(E2333&lt;&gt;"", _xlfn.XLOOKUP(E2333, DATABASE_FG!C:C, DATABASE_FG!F:F), " ")</f>
        <v>Ghidaje</v>
      </c>
      <c r="P2333" s="36">
        <f>IFERROR(INDEX(DATABASE_FG!$G$5:$G$367, MATCH(E2333, DATABASE_FG!$C$5:$C$367, 0)), "Not Found")</f>
        <v>0</v>
      </c>
      <c r="Q2333" s="36"/>
      <c r="R2333" s="125" t="s">
        <v>678</v>
      </c>
      <c r="S2333" s="123">
        <f>IFERROR(INDEX(DATABASE_FG!$L$5:$L$367, MATCH(E2333, DATABASE_FG!$C$5:$C$367, 0)), " ")</f>
        <v>42</v>
      </c>
      <c r="T2333" s="36" t="s">
        <v>679</v>
      </c>
      <c r="U2333" s="36"/>
      <c r="V2333" s="36"/>
      <c r="W2333" s="129"/>
      <c r="X2333" s="36"/>
      <c r="Y2333" s="36"/>
      <c r="Z2333" s="36"/>
      <c r="AA2333" s="125" t="s">
        <v>121</v>
      </c>
      <c r="AB2333" s="172">
        <v>45566</v>
      </c>
      <c r="AC2333" s="119">
        <v>202401192</v>
      </c>
      <c r="AD2333" s="36">
        <f t="shared" si="263"/>
        <v>37672583</v>
      </c>
      <c r="AE2333" s="36" t="str">
        <f t="shared" si="264"/>
        <v>TK.KWVE30-B-A-H-0038-WW1</v>
      </c>
      <c r="AF2333" s="36">
        <v>92</v>
      </c>
      <c r="AG2333" s="120">
        <f t="shared" si="262"/>
        <v>414.91999999999996</v>
      </c>
      <c r="AH2333" s="36"/>
      <c r="AI2333" s="124"/>
      <c r="AJ2333" s="122" t="s">
        <v>2444</v>
      </c>
      <c r="AK2333" s="129" t="str">
        <f t="shared" ca="1" si="261"/>
        <v>On Time</v>
      </c>
      <c r="AL2333" s="268" t="str">
        <f t="shared" si="260"/>
        <v>October</v>
      </c>
      <c r="AM2333" s="133">
        <f>YEAR(Table1[[#This Row],[ETA
As requested
dd.mm.yyyy]])</f>
        <v>2024</v>
      </c>
    </row>
    <row r="2334" spans="1:39" ht="15.75" hidden="1">
      <c r="A2334" s="123" t="s">
        <v>83</v>
      </c>
      <c r="B2334" s="36" t="s">
        <v>1170</v>
      </c>
      <c r="C2334" s="117">
        <v>37672583</v>
      </c>
      <c r="D2334" s="165">
        <v>45553</v>
      </c>
      <c r="E2334" s="117" t="s">
        <v>101</v>
      </c>
      <c r="F2334" s="36" t="str">
        <f>IFERROR(VLOOKUP(Table1[[#This Row],[Part Number]],DATABASE_FG!$C$6:D12323,2,FALSE)," ")</f>
        <v>059018879-8011</v>
      </c>
      <c r="G2334" s="117">
        <f>IFERROR(_xlfn.XLOOKUP(Table1[[#This Row],[Part Number]],Table3[Part number],Table3[Drawing
 Revision]),"")</f>
        <v>0</v>
      </c>
      <c r="H2334" s="118" cm="1">
        <f t="array" ref="H2334">IFERROR(INDEX(PDB!$C:$AT,MATCH(E2334,PDB!$B:$B,0),MATCH(YEAR(K2334),0+PDB!$C$1:$AT$1,0)),"")</f>
        <v>4.51</v>
      </c>
      <c r="I2334" s="36">
        <v>107</v>
      </c>
      <c r="J2334" s="125">
        <f>IFERROR(Table1[[#This Row],[Quantity]]*Table1[[#This Row],[Price/Unit
EUR]]," ")</f>
        <v>482.57</v>
      </c>
      <c r="K2334" s="126">
        <v>45573</v>
      </c>
      <c r="L2334" s="36">
        <f>WEEKNUM(Table1[[#This Row],[ETA
As requested
dd.mm.yyyy]])</f>
        <v>41</v>
      </c>
      <c r="M2334" s="36">
        <f>YEAR(Table1[[#This Row],[ETA
As requested
dd.mm.yyyy]])</f>
        <v>2024</v>
      </c>
      <c r="N2334" s="36">
        <f>IFERROR(INDEX(DATABASE_FG!$H$5:$H$367, MATCH(E2334, DATABASE_FG!$C$5:$C$367, 0)), " ")</f>
        <v>0</v>
      </c>
      <c r="O2334" s="129" t="str">
        <f>IF(E2334&lt;&gt;"", _xlfn.XLOOKUP(E2334, DATABASE_FG!C:C, DATABASE_FG!F:F), " ")</f>
        <v>Ghidaje</v>
      </c>
      <c r="P2334" s="36">
        <f>IFERROR(INDEX(DATABASE_FG!$G$5:$G$367, MATCH(E2334, DATABASE_FG!$C$5:$C$367, 0)), "Not Found")</f>
        <v>0</v>
      </c>
      <c r="Q2334" s="36"/>
      <c r="R2334" s="125" t="s">
        <v>678</v>
      </c>
      <c r="S2334" s="123">
        <f>Table1[[#This Row],[Quantity]]/48</f>
        <v>2.2291666666666665</v>
      </c>
      <c r="T2334" s="36" t="s">
        <v>679</v>
      </c>
      <c r="U2334" s="36"/>
      <c r="V2334" s="36"/>
      <c r="W2334" s="129"/>
      <c r="X2334" s="36"/>
      <c r="Y2334" s="36"/>
      <c r="Z2334" s="36"/>
      <c r="AA2334" s="125" t="s">
        <v>121</v>
      </c>
      <c r="AB2334" s="172">
        <v>45573</v>
      </c>
      <c r="AC2334" s="119">
        <v>202401219</v>
      </c>
      <c r="AD2334" s="36">
        <f t="shared" si="263"/>
        <v>37672583</v>
      </c>
      <c r="AE2334" s="36" t="str">
        <f t="shared" si="264"/>
        <v>TK.KWVE30-B-A-H-0038-WW1</v>
      </c>
      <c r="AF2334" s="36">
        <f>108-1</f>
        <v>107</v>
      </c>
      <c r="AG2334" s="120">
        <f t="shared" si="262"/>
        <v>482.57</v>
      </c>
      <c r="AH2334" s="36"/>
      <c r="AI2334" s="124"/>
      <c r="AJ2334" s="122" t="s">
        <v>2450</v>
      </c>
      <c r="AK2334" s="129" t="str">
        <f t="shared" ca="1" si="261"/>
        <v>On Time</v>
      </c>
      <c r="AL2334" s="268" t="str">
        <f t="shared" si="260"/>
        <v>October</v>
      </c>
      <c r="AM2334" s="133">
        <f>YEAR(Table1[[#This Row],[ETA
As requested
dd.mm.yyyy]])</f>
        <v>2024</v>
      </c>
    </row>
    <row r="2335" spans="1:39" hidden="1">
      <c r="A2335" s="123" t="s">
        <v>83</v>
      </c>
      <c r="B2335" s="36" t="s">
        <v>1170</v>
      </c>
      <c r="C2335" s="117">
        <v>37672584</v>
      </c>
      <c r="D2335" s="165">
        <v>45553</v>
      </c>
      <c r="E2335" s="117" t="s">
        <v>101</v>
      </c>
      <c r="F2335" s="36" t="str">
        <f>IFERROR(VLOOKUP(Table1[[#This Row],[Part Number]],DATABASE_FG!$C$6:D12324,2,FALSE)," ")</f>
        <v>059018879-8011</v>
      </c>
      <c r="G2335" s="117">
        <f>IFERROR(_xlfn.XLOOKUP(Table1[[#This Row],[Part Number]],Table3[Part number],Table3[Drawing
 Revision]),"")</f>
        <v>0</v>
      </c>
      <c r="H2335" s="118" cm="1">
        <f t="array" ref="H2335">IFERROR(INDEX(PDB!$C:$AT,MATCH(E2335,PDB!$B:$B,0),MATCH(YEAR(K2335),0+PDB!$C$1:$AT$1,0)),"")</f>
        <v>4.51</v>
      </c>
      <c r="I2335" s="36">
        <v>50</v>
      </c>
      <c r="J2335" s="125">
        <f>IFERROR(Table1[[#This Row],[Quantity]]*Table1[[#This Row],[Price/Unit
EUR]]," ")</f>
        <v>225.5</v>
      </c>
      <c r="K2335" s="126">
        <v>45580</v>
      </c>
      <c r="L2335" s="36">
        <f>WEEKNUM(Table1[[#This Row],[ETA
As requested
dd.mm.yyyy]])</f>
        <v>42</v>
      </c>
      <c r="M2335" s="36">
        <f>YEAR(Table1[[#This Row],[ETA
As requested
dd.mm.yyyy]])</f>
        <v>2024</v>
      </c>
      <c r="N2335" s="36">
        <f>IFERROR(INDEX(DATABASE_FG!$H$5:$H$367, MATCH(E2335, DATABASE_FG!$C$5:$C$367, 0)), " ")</f>
        <v>0</v>
      </c>
      <c r="O2335" s="129" t="str">
        <f>IF(E2335&lt;&gt;"", _xlfn.XLOOKUP(E2335, DATABASE_FG!C:C, DATABASE_FG!F:F), " ")</f>
        <v>Ghidaje</v>
      </c>
      <c r="P2335" s="36">
        <f>IFERROR(INDEX(DATABASE_FG!$G$5:$G$367, MATCH(E2335, DATABASE_FG!$C$5:$C$367, 0)), "Not Found")</f>
        <v>0</v>
      </c>
      <c r="Q2335" s="36"/>
      <c r="R2335" s="125" t="s">
        <v>678</v>
      </c>
      <c r="S2335" s="123">
        <f>IFERROR(INDEX(DATABASE_FG!$L$5:$L$367, MATCH(E2335, DATABASE_FG!$C$5:$C$367, 0)), " ")</f>
        <v>42</v>
      </c>
      <c r="T2335" s="36" t="s">
        <v>679</v>
      </c>
      <c r="U2335" s="36"/>
      <c r="V2335" s="36"/>
      <c r="W2335" s="129"/>
      <c r="X2335" s="36"/>
      <c r="Y2335" s="36"/>
      <c r="Z2335" s="36"/>
      <c r="AA2335" s="125" t="s">
        <v>121</v>
      </c>
      <c r="AB2335" s="172">
        <v>45573</v>
      </c>
      <c r="AC2335" s="119">
        <v>202401220</v>
      </c>
      <c r="AD2335" s="36">
        <f t="shared" si="263"/>
        <v>37672584</v>
      </c>
      <c r="AE2335" s="36" t="str">
        <f t="shared" si="264"/>
        <v>TK.KWVE30-B-A-H-0038-WW1</v>
      </c>
      <c r="AF2335" s="36">
        <v>50</v>
      </c>
      <c r="AG2335" s="120">
        <f t="shared" si="262"/>
        <v>225.5</v>
      </c>
      <c r="AH2335" s="36"/>
      <c r="AI2335" s="124"/>
      <c r="AJ2335" s="122" t="s">
        <v>2466</v>
      </c>
      <c r="AK2335" s="129" t="str">
        <f t="shared" ca="1" si="261"/>
        <v>On Time</v>
      </c>
      <c r="AL2335" s="268" t="str">
        <f t="shared" si="260"/>
        <v>October</v>
      </c>
      <c r="AM2335" s="133">
        <f>YEAR(Table1[[#This Row],[ETA
As requested
dd.mm.yyyy]])</f>
        <v>2024</v>
      </c>
    </row>
    <row r="2336" spans="1:39" hidden="1">
      <c r="A2336" s="123" t="s">
        <v>83</v>
      </c>
      <c r="B2336" s="36" t="s">
        <v>1170</v>
      </c>
      <c r="C2336" s="117">
        <v>37672585</v>
      </c>
      <c r="D2336" s="165">
        <v>45553</v>
      </c>
      <c r="E2336" s="117" t="s">
        <v>101</v>
      </c>
      <c r="F2336" s="36" t="str">
        <f>IFERROR(VLOOKUP(Table1[[#This Row],[Part Number]],DATABASE_FG!$C$6:D12325,2,FALSE)," ")</f>
        <v>059018879-8011</v>
      </c>
      <c r="G2336" s="117">
        <f>IFERROR(_xlfn.XLOOKUP(Table1[[#This Row],[Part Number]],Table3[Part number],Table3[Drawing
 Revision]),"")</f>
        <v>0</v>
      </c>
      <c r="H2336" s="118" cm="1">
        <f t="array" ref="H2336">IFERROR(INDEX(PDB!$C:$AT,MATCH(E2336,PDB!$B:$B,0),MATCH(YEAR(K2336),0+PDB!$C$1:$AT$1,0)),"")</f>
        <v>4.51</v>
      </c>
      <c r="I2336" s="36">
        <v>50</v>
      </c>
      <c r="J2336" s="125">
        <f>IFERROR(Table1[[#This Row],[Quantity]]*Table1[[#This Row],[Price/Unit
EUR]]," ")</f>
        <v>225.5</v>
      </c>
      <c r="K2336" s="126">
        <v>45587</v>
      </c>
      <c r="L2336" s="36">
        <f>WEEKNUM(Table1[[#This Row],[ETA
As requested
dd.mm.yyyy]])</f>
        <v>43</v>
      </c>
      <c r="M2336" s="36">
        <f>YEAR(Table1[[#This Row],[ETA
As requested
dd.mm.yyyy]])</f>
        <v>2024</v>
      </c>
      <c r="N2336" s="36">
        <f>IFERROR(INDEX(DATABASE_FG!$H$5:$H$367, MATCH(E2336, DATABASE_FG!$C$5:$C$367, 0)), " ")</f>
        <v>0</v>
      </c>
      <c r="O2336" s="129" t="str">
        <f>IF(E2336&lt;&gt;"", _xlfn.XLOOKUP(E2336, DATABASE_FG!C:C, DATABASE_FG!F:F), " ")</f>
        <v>Ghidaje</v>
      </c>
      <c r="P2336" s="36">
        <f>IFERROR(INDEX(DATABASE_FG!$G$5:$G$367, MATCH(E2336, DATABASE_FG!$C$5:$C$367, 0)), "Not Found")</f>
        <v>0</v>
      </c>
      <c r="Q2336" s="36"/>
      <c r="R2336" s="125" t="s">
        <v>678</v>
      </c>
      <c r="S2336" s="123">
        <f>IFERROR(INDEX(DATABASE_FG!$L$5:$L$367, MATCH(E2336, DATABASE_FG!$C$5:$C$367, 0)), " ")</f>
        <v>42</v>
      </c>
      <c r="T2336" s="36" t="s">
        <v>679</v>
      </c>
      <c r="U2336" s="36"/>
      <c r="V2336" s="36"/>
      <c r="W2336" s="129"/>
      <c r="X2336" s="36"/>
      <c r="Y2336" s="36"/>
      <c r="Z2336" s="36"/>
      <c r="AA2336" s="125" t="s">
        <v>121</v>
      </c>
      <c r="AB2336" s="172">
        <v>45573</v>
      </c>
      <c r="AC2336" s="119">
        <v>202401221</v>
      </c>
      <c r="AD2336" s="36">
        <f t="shared" si="263"/>
        <v>37672585</v>
      </c>
      <c r="AE2336" s="36" t="str">
        <f t="shared" si="264"/>
        <v>TK.KWVE30-B-A-H-0038-WW1</v>
      </c>
      <c r="AF2336" s="36">
        <v>50</v>
      </c>
      <c r="AG2336" s="120">
        <f t="shared" si="262"/>
        <v>225.5</v>
      </c>
      <c r="AH2336" s="36"/>
      <c r="AI2336" s="124"/>
      <c r="AJ2336" s="122" t="s">
        <v>2502</v>
      </c>
      <c r="AK2336" s="129" t="str">
        <f t="shared" ca="1" si="261"/>
        <v>On Time</v>
      </c>
      <c r="AL2336" s="268" t="str">
        <f t="shared" si="260"/>
        <v>October</v>
      </c>
      <c r="AM2336" s="133">
        <f>YEAR(Table1[[#This Row],[ETA
As requested
dd.mm.yyyy]])</f>
        <v>2024</v>
      </c>
    </row>
    <row r="2337" spans="1:39" hidden="1">
      <c r="A2337" s="123" t="s">
        <v>83</v>
      </c>
      <c r="B2337" s="36" t="s">
        <v>1170</v>
      </c>
      <c r="C2337" s="117">
        <v>37672592</v>
      </c>
      <c r="D2337" s="165">
        <v>45553</v>
      </c>
      <c r="E2337" s="117" t="s">
        <v>101</v>
      </c>
      <c r="F2337" s="36" t="str">
        <f>IFERROR(VLOOKUP(Table1[[#This Row],[Part Number]],DATABASE_FG!$C$6:D12326,2,FALSE)," ")</f>
        <v>059018879-8011</v>
      </c>
      <c r="G2337" s="117">
        <f>IFERROR(_xlfn.XLOOKUP(Table1[[#This Row],[Part Number]],Table3[Part number],Table3[Drawing
 Revision]),"")</f>
        <v>0</v>
      </c>
      <c r="H2337" s="118" cm="1">
        <f t="array" ref="H2337">IFERROR(INDEX(PDB!$C:$AT,MATCH(E2337,PDB!$B:$B,0),MATCH(YEAR(K2337),0+PDB!$C$1:$AT$1,0)),"")</f>
        <v>4.51</v>
      </c>
      <c r="I2337" s="36">
        <v>56</v>
      </c>
      <c r="J2337" s="125">
        <f>IFERROR(Table1[[#This Row],[Quantity]]*Table1[[#This Row],[Price/Unit
EUR]]," ")</f>
        <v>252.56</v>
      </c>
      <c r="K2337" s="126">
        <v>45594</v>
      </c>
      <c r="L2337" s="36">
        <f>WEEKNUM(Table1[[#This Row],[ETA
As requested
dd.mm.yyyy]])</f>
        <v>44</v>
      </c>
      <c r="M2337" s="36">
        <f>YEAR(Table1[[#This Row],[ETA
As requested
dd.mm.yyyy]])</f>
        <v>2024</v>
      </c>
      <c r="N2337" s="36">
        <f>IFERROR(INDEX(DATABASE_FG!$H$5:$H$367, MATCH(E2337, DATABASE_FG!$C$5:$C$367, 0)), " ")</f>
        <v>0</v>
      </c>
      <c r="O2337" s="129" t="str">
        <f>IF(E2337&lt;&gt;"", _xlfn.XLOOKUP(E2337, DATABASE_FG!C:C, DATABASE_FG!F:F), " ")</f>
        <v>Ghidaje</v>
      </c>
      <c r="P2337" s="36">
        <f>IFERROR(INDEX(DATABASE_FG!$G$5:$G$367, MATCH(E2337, DATABASE_FG!$C$5:$C$367, 0)), "Not Found")</f>
        <v>0</v>
      </c>
      <c r="Q2337" s="36"/>
      <c r="R2337" s="125" t="s">
        <v>678</v>
      </c>
      <c r="S2337" s="123">
        <f>IFERROR(INDEX(DATABASE_FG!$L$5:$L$367, MATCH(E2337, DATABASE_FG!$C$5:$C$367, 0)), " ")</f>
        <v>42</v>
      </c>
      <c r="T2337" s="36" t="s">
        <v>679</v>
      </c>
      <c r="U2337" s="36"/>
      <c r="V2337" s="36"/>
      <c r="W2337" s="129"/>
      <c r="X2337" s="36"/>
      <c r="Y2337" s="36"/>
      <c r="Z2337" s="36"/>
      <c r="AA2337" s="125" t="s">
        <v>121</v>
      </c>
      <c r="AB2337" s="172">
        <v>45573</v>
      </c>
      <c r="AC2337" s="119">
        <v>202401222</v>
      </c>
      <c r="AD2337" s="36">
        <f t="shared" si="263"/>
        <v>37672592</v>
      </c>
      <c r="AE2337" s="36" t="str">
        <f t="shared" si="264"/>
        <v>TK.KWVE30-B-A-H-0038-WW1</v>
      </c>
      <c r="AF2337" s="36">
        <v>56</v>
      </c>
      <c r="AG2337" s="120">
        <f t="shared" si="262"/>
        <v>252.56</v>
      </c>
      <c r="AH2337" s="36"/>
      <c r="AI2337" s="124"/>
      <c r="AJ2337" s="122" t="s">
        <v>2525</v>
      </c>
      <c r="AK2337" s="129" t="str">
        <f t="shared" ca="1" si="261"/>
        <v>On Time</v>
      </c>
      <c r="AL2337" s="268" t="str">
        <f t="shared" si="260"/>
        <v>October</v>
      </c>
      <c r="AM2337" s="133">
        <f>YEAR(Table1[[#This Row],[ETA
As requested
dd.mm.yyyy]])</f>
        <v>2024</v>
      </c>
    </row>
    <row r="2338" spans="1:39" hidden="1">
      <c r="A2338" s="123" t="s">
        <v>83</v>
      </c>
      <c r="B2338" s="36" t="s">
        <v>1170</v>
      </c>
      <c r="C2338" s="117">
        <v>37871639</v>
      </c>
      <c r="D2338" s="165">
        <v>45587</v>
      </c>
      <c r="E2338" s="117" t="s">
        <v>101</v>
      </c>
      <c r="F2338" s="36" t="str">
        <f>IFERROR(VLOOKUP(Table1[[#This Row],[Part Number]],DATABASE_FG!$C$6:D12327,2,FALSE)," ")</f>
        <v>059018879-8011</v>
      </c>
      <c r="G2338" s="117">
        <f>IFERROR(_xlfn.XLOOKUP(Table1[[#This Row],[Part Number]],Table3[Part number],Table3[Drawing
 Revision]),"")</f>
        <v>0</v>
      </c>
      <c r="H2338" s="118" cm="1">
        <f t="array" ref="H2338">IFERROR(INDEX(PDB!$C:$AT,MATCH(E2338,PDB!$B:$B,0),MATCH(YEAR(K2338),0+PDB!$C$1:$AT$1,0)),"")</f>
        <v>4.51</v>
      </c>
      <c r="I2338" s="36">
        <v>174</v>
      </c>
      <c r="J2338" s="125">
        <f>IFERROR(Table1[[#This Row],[Quantity]]*Table1[[#This Row],[Price/Unit
EUR]]," ")</f>
        <v>784.74</v>
      </c>
      <c r="K2338" s="126">
        <v>45601</v>
      </c>
      <c r="L2338" s="36">
        <f>WEEKNUM(Table1[[#This Row],[ETA
As requested
dd.mm.yyyy]])</f>
        <v>45</v>
      </c>
      <c r="M2338" s="36">
        <f>YEAR(Table1[[#This Row],[ETA
As requested
dd.mm.yyyy]])</f>
        <v>2024</v>
      </c>
      <c r="N2338" s="36">
        <f>IFERROR(INDEX(DATABASE_FG!$H$5:$H$367, MATCH(E2338, DATABASE_FG!$C$5:$C$367, 0)), " ")</f>
        <v>0</v>
      </c>
      <c r="O2338" s="129" t="str">
        <f>IF(E2338&lt;&gt;"", _xlfn.XLOOKUP(E2338, DATABASE_FG!C:C, DATABASE_FG!F:F), " ")</f>
        <v>Ghidaje</v>
      </c>
      <c r="P2338" s="36">
        <f>IFERROR(INDEX(DATABASE_FG!$G$5:$G$367, MATCH(E2338, DATABASE_FG!$C$5:$C$367, 0)), "Not Found")</f>
        <v>0</v>
      </c>
      <c r="Q2338" s="36"/>
      <c r="R2338" s="125" t="s">
        <v>678</v>
      </c>
      <c r="S2338" s="123">
        <f>IFERROR(INDEX(DATABASE_FG!$L$5:$L$367, MATCH(E2338, DATABASE_FG!$C$5:$C$367, 0)), " ")</f>
        <v>42</v>
      </c>
      <c r="T2338" s="36" t="s">
        <v>679</v>
      </c>
      <c r="U2338" s="36"/>
      <c r="V2338" s="36"/>
      <c r="W2338" s="129"/>
      <c r="X2338" s="36"/>
      <c r="Y2338" s="36"/>
      <c r="Z2338" s="36"/>
      <c r="AA2338" s="125" t="s">
        <v>121</v>
      </c>
      <c r="AB2338" s="173">
        <v>45590</v>
      </c>
      <c r="AC2338" s="119">
        <v>202401284</v>
      </c>
      <c r="AD2338" s="36">
        <f t="shared" si="263"/>
        <v>37871639</v>
      </c>
      <c r="AE2338" s="36" t="str">
        <f t="shared" si="264"/>
        <v>TK.KWVE30-B-A-H-0038-WW1</v>
      </c>
      <c r="AF2338" s="36">
        <v>174</v>
      </c>
      <c r="AG2338" s="120">
        <f t="shared" si="262"/>
        <v>784.74</v>
      </c>
      <c r="AH2338" s="36"/>
      <c r="AI2338" s="124"/>
      <c r="AJ2338" s="122" t="s">
        <v>2547</v>
      </c>
      <c r="AK2338" s="129" t="str">
        <f t="shared" ca="1" si="261"/>
        <v>On Time</v>
      </c>
      <c r="AL2338" s="268" t="str">
        <f t="shared" si="260"/>
        <v>November</v>
      </c>
      <c r="AM2338" s="133">
        <f>YEAR(Table1[[#This Row],[ETA
As requested
dd.mm.yyyy]])</f>
        <v>2024</v>
      </c>
    </row>
    <row r="2339" spans="1:39" hidden="1">
      <c r="A2339" s="123" t="s">
        <v>83</v>
      </c>
      <c r="B2339" s="36" t="s">
        <v>1170</v>
      </c>
      <c r="C2339" s="117">
        <v>37871639</v>
      </c>
      <c r="D2339" s="165">
        <v>45595</v>
      </c>
      <c r="E2339" s="117" t="s">
        <v>101</v>
      </c>
      <c r="F2339" s="36" t="str">
        <f>IFERROR(VLOOKUP(Table1[[#This Row],[Part Number]],DATABASE_FG!$C$6:D12328,2,FALSE)," ")</f>
        <v>059018879-8011</v>
      </c>
      <c r="G2339" s="117">
        <f>IFERROR(_xlfn.XLOOKUP(Table1[[#This Row],[Part Number]],Table3[Part number],Table3[Drawing
 Revision]),"")</f>
        <v>0</v>
      </c>
      <c r="H2339" s="118" cm="1">
        <f t="array" ref="H2339">IFERROR(INDEX(PDB!$C:$AT,MATCH(E2339,PDB!$B:$B,0),MATCH(YEAR(K2339),0+PDB!$C$1:$AT$1,0)),"")</f>
        <v>4.51</v>
      </c>
      <c r="I2339" s="36">
        <v>20</v>
      </c>
      <c r="J2339" s="125">
        <f>IFERROR(Table1[[#This Row],[Quantity]]*Table1[[#This Row],[Price/Unit
EUR]]," ")</f>
        <v>90.199999999999989</v>
      </c>
      <c r="K2339" s="126">
        <v>45601</v>
      </c>
      <c r="L2339" s="36">
        <f>WEEKNUM(Table1[[#This Row],[ETA
As requested
dd.mm.yyyy]])</f>
        <v>45</v>
      </c>
      <c r="M2339" s="36">
        <f>YEAR(Table1[[#This Row],[ETA
As requested
dd.mm.yyyy]])</f>
        <v>2024</v>
      </c>
      <c r="N2339" s="36">
        <f>IFERROR(INDEX(DATABASE_FG!$H$5:$H$367, MATCH(E2339, DATABASE_FG!$C$5:$C$367, 0)), " ")</f>
        <v>0</v>
      </c>
      <c r="O2339" s="129" t="str">
        <f>IF(E2339&lt;&gt;"", _xlfn.XLOOKUP(E2339, DATABASE_FG!C:C, DATABASE_FG!F:F), " ")</f>
        <v>Ghidaje</v>
      </c>
      <c r="P2339" s="36">
        <f>IFERROR(INDEX(DATABASE_FG!$G$5:$G$367, MATCH(E2339, DATABASE_FG!$C$5:$C$367, 0)), "Not Found")</f>
        <v>0</v>
      </c>
      <c r="Q2339" s="36"/>
      <c r="R2339" s="125" t="s">
        <v>678</v>
      </c>
      <c r="S2339" s="123">
        <f>IFERROR(INDEX(DATABASE_FG!$L$5:$L$367, MATCH(E2339, DATABASE_FG!$C$5:$C$367, 0)), " ")</f>
        <v>42</v>
      </c>
      <c r="T2339" s="36" t="s">
        <v>679</v>
      </c>
      <c r="U2339" s="36"/>
      <c r="V2339" s="36"/>
      <c r="W2339" s="129"/>
      <c r="X2339" s="36"/>
      <c r="Y2339" s="36"/>
      <c r="Z2339" s="36"/>
      <c r="AA2339" s="125" t="s">
        <v>121</v>
      </c>
      <c r="AB2339" s="173">
        <v>45608</v>
      </c>
      <c r="AC2339" s="119">
        <v>202401371</v>
      </c>
      <c r="AD2339" s="36">
        <f t="shared" si="263"/>
        <v>37871639</v>
      </c>
      <c r="AE2339" s="36" t="str">
        <f t="shared" si="264"/>
        <v>TK.KWVE30-B-A-H-0038-WW1</v>
      </c>
      <c r="AF2339" s="36">
        <v>20</v>
      </c>
      <c r="AG2339" s="120">
        <f t="shared" si="262"/>
        <v>90.199999999999989</v>
      </c>
      <c r="AH2339" s="36"/>
      <c r="AI2339" s="124"/>
      <c r="AJ2339" s="122" t="s">
        <v>2554</v>
      </c>
      <c r="AK2339" s="129" t="str">
        <f t="shared" ca="1" si="261"/>
        <v>Late</v>
      </c>
      <c r="AL2339" s="268" t="str">
        <f t="shared" si="260"/>
        <v>November</v>
      </c>
      <c r="AM2339" s="133">
        <f>YEAR(Table1[[#This Row],[ETA
As requested
dd.mm.yyyy]])</f>
        <v>2024</v>
      </c>
    </row>
    <row r="2340" spans="1:39" hidden="1">
      <c r="A2340" s="123" t="s">
        <v>83</v>
      </c>
      <c r="B2340" s="36" t="s">
        <v>1170</v>
      </c>
      <c r="C2340" s="117">
        <v>38036655</v>
      </c>
      <c r="D2340" s="165">
        <v>45614</v>
      </c>
      <c r="E2340" s="117" t="s">
        <v>101</v>
      </c>
      <c r="F2340" s="36" t="str">
        <f>IFERROR(VLOOKUP(Table1[[#This Row],[Part Number]],DATABASE_FG!$C$6:D12329,2,FALSE)," ")</f>
        <v>059018879-8011</v>
      </c>
      <c r="G2340" s="117">
        <f>IFERROR(_xlfn.XLOOKUP(Table1[[#This Row],[Part Number]],Table3[Part number],Table3[Drawing
 Revision]),"")</f>
        <v>0</v>
      </c>
      <c r="H2340" s="118" cm="1">
        <f t="array" ref="H2340">IFERROR(INDEX(PDB!$C:$AT,MATCH(E2340,PDB!$B:$B,0),MATCH(YEAR(K2340),0+PDB!$C$1:$AT$1,0)),"")</f>
        <v>4.51</v>
      </c>
      <c r="I2340" s="36">
        <v>300</v>
      </c>
      <c r="J2340" s="125">
        <f>IFERROR(Table1[[#This Row],[Quantity]]*Table1[[#This Row],[Price/Unit
EUR]]," ")</f>
        <v>1353</v>
      </c>
      <c r="K2340" s="126">
        <v>45629</v>
      </c>
      <c r="L2340" s="36">
        <f>WEEKNUM(Table1[[#This Row],[ETA
As requested
dd.mm.yyyy]])</f>
        <v>49</v>
      </c>
      <c r="M2340" s="36">
        <f>YEAR(Table1[[#This Row],[ETA
As requested
dd.mm.yyyy]])</f>
        <v>2024</v>
      </c>
      <c r="N2340" s="36">
        <f>IFERROR(INDEX(DATABASE_FG!$H$5:$H$367, MATCH(E2340, DATABASE_FG!$C$5:$C$367, 0)), " ")</f>
        <v>0</v>
      </c>
      <c r="O2340" s="129" t="str">
        <f>IF(E2340&lt;&gt;"", _xlfn.XLOOKUP(E2340, DATABASE_FG!C:C, DATABASE_FG!F:F), " ")</f>
        <v>Ghidaje</v>
      </c>
      <c r="P2340" s="36">
        <f>IFERROR(INDEX(DATABASE_FG!$G$5:$G$367, MATCH(E2340, DATABASE_FG!$C$5:$C$367, 0)), "Not Found")</f>
        <v>0</v>
      </c>
      <c r="Q2340" s="36"/>
      <c r="R2340" s="125" t="s">
        <v>678</v>
      </c>
      <c r="S2340" s="123">
        <f>IFERROR(INDEX(DATABASE_FG!$L$5:$L$367, MATCH(E2340, DATABASE_FG!$C$5:$C$367, 0)), " ")</f>
        <v>42</v>
      </c>
      <c r="T2340" s="36" t="s">
        <v>679</v>
      </c>
      <c r="U2340" s="36"/>
      <c r="V2340" s="36"/>
      <c r="W2340" s="129"/>
      <c r="X2340" s="36"/>
      <c r="Y2340" s="36"/>
      <c r="Z2340" s="36"/>
      <c r="AA2340" s="125" t="s">
        <v>121</v>
      </c>
      <c r="AB2340" s="173">
        <v>45644</v>
      </c>
      <c r="AC2340" s="119">
        <v>20242030</v>
      </c>
      <c r="AD2340" s="36">
        <f t="shared" si="263"/>
        <v>38036655</v>
      </c>
      <c r="AE2340" s="36" t="str">
        <f t="shared" si="264"/>
        <v>TK.KWVE30-B-A-H-0038-WW1</v>
      </c>
      <c r="AF2340" s="36">
        <v>300</v>
      </c>
      <c r="AG2340" s="120">
        <f t="shared" si="262"/>
        <v>1353</v>
      </c>
      <c r="AH2340" s="36"/>
      <c r="AI2340" s="124"/>
      <c r="AJ2340" s="122" t="s">
        <v>2645</v>
      </c>
      <c r="AK2340" s="129" t="str">
        <f t="shared" ca="1" si="261"/>
        <v>Late</v>
      </c>
      <c r="AL2340" s="268" t="str">
        <f t="shared" si="260"/>
        <v>December</v>
      </c>
      <c r="AM2340" s="133">
        <f>YEAR(Table1[[#This Row],[ETA
As requested
dd.mm.yyyy]])</f>
        <v>2024</v>
      </c>
    </row>
    <row r="2341" spans="1:39" hidden="1">
      <c r="A2341" s="123" t="s">
        <v>83</v>
      </c>
      <c r="B2341" s="36" t="s">
        <v>1170</v>
      </c>
      <c r="C2341" s="117">
        <v>38036655</v>
      </c>
      <c r="D2341" s="165">
        <v>45614</v>
      </c>
      <c r="E2341" s="117" t="s">
        <v>101</v>
      </c>
      <c r="F2341" s="36" t="str">
        <f>IFERROR(VLOOKUP(Table1[[#This Row],[Part Number]],DATABASE_FG!$C$6:D12330,2,FALSE)," ")</f>
        <v>059018879-8011</v>
      </c>
      <c r="G2341" s="117">
        <f>IFERROR(_xlfn.XLOOKUP(Table1[[#This Row],[Part Number]],Table3[Part number],Table3[Drawing
 Revision]),"")</f>
        <v>0</v>
      </c>
      <c r="H2341" s="118" cm="1">
        <f t="array" ref="H2341">IFERROR(INDEX(PDB!$C:$AT,MATCH(E2341,PDB!$B:$B,0),MATCH(YEAR(K2341),0+PDB!$C$1:$AT$1,0)),"")</f>
        <v>4.51</v>
      </c>
      <c r="I2341" s="36">
        <v>57</v>
      </c>
      <c r="J2341" s="125">
        <f>IFERROR(Table1[[#This Row],[Quantity]]*Table1[[#This Row],[Price/Unit
EUR]]," ")</f>
        <v>257.07</v>
      </c>
      <c r="K2341" s="126">
        <v>45636</v>
      </c>
      <c r="L2341" s="36">
        <f>WEEKNUM(Table1[[#This Row],[ETA
As requested
dd.mm.yyyy]])</f>
        <v>50</v>
      </c>
      <c r="M2341" s="36">
        <f>YEAR(Table1[[#This Row],[ETA
As requested
dd.mm.yyyy]])</f>
        <v>2024</v>
      </c>
      <c r="N2341" s="36">
        <f>IFERROR(INDEX(DATABASE_FG!$H$5:$H$367, MATCH(E2341, DATABASE_FG!$C$5:$C$367, 0)), " ")</f>
        <v>0</v>
      </c>
      <c r="O2341" s="129" t="str">
        <f>IF(E2341&lt;&gt;"", _xlfn.XLOOKUP(E2341, DATABASE_FG!C:C, DATABASE_FG!F:F), " ")</f>
        <v>Ghidaje</v>
      </c>
      <c r="P2341" s="36">
        <f>IFERROR(INDEX(DATABASE_FG!$G$5:$G$367, MATCH(E2341, DATABASE_FG!$C$5:$C$367, 0)), "Not Found")</f>
        <v>0</v>
      </c>
      <c r="Q2341" s="36"/>
      <c r="R2341" s="125" t="s">
        <v>678</v>
      </c>
      <c r="S2341" s="123">
        <f>IFERROR(INDEX(DATABASE_FG!$L$5:$L$367, MATCH(E2341, DATABASE_FG!$C$5:$C$367, 0)), " ")</f>
        <v>42</v>
      </c>
      <c r="T2341" s="36" t="s">
        <v>679</v>
      </c>
      <c r="U2341" s="36"/>
      <c r="V2341" s="36"/>
      <c r="W2341" s="129"/>
      <c r="X2341" s="36"/>
      <c r="Y2341" s="36"/>
      <c r="Z2341" s="36"/>
      <c r="AA2341" s="125" t="s">
        <v>121</v>
      </c>
      <c r="AB2341" s="173">
        <v>45644</v>
      </c>
      <c r="AC2341" s="119">
        <v>20242030</v>
      </c>
      <c r="AD2341" s="36">
        <f t="shared" si="263"/>
        <v>38036655</v>
      </c>
      <c r="AE2341" s="36" t="str">
        <f t="shared" si="264"/>
        <v>TK.KWVE30-B-A-H-0038-WW1</v>
      </c>
      <c r="AF2341" s="36">
        <v>57</v>
      </c>
      <c r="AG2341" s="120">
        <f t="shared" si="262"/>
        <v>257.07</v>
      </c>
      <c r="AH2341" s="36"/>
      <c r="AI2341" s="124"/>
      <c r="AJ2341" s="122" t="s">
        <v>2645</v>
      </c>
      <c r="AK2341" s="129" t="str">
        <f t="shared" ca="1" si="261"/>
        <v>Late</v>
      </c>
      <c r="AL2341" s="268" t="str">
        <f t="shared" si="260"/>
        <v>December</v>
      </c>
      <c r="AM2341" s="133">
        <f>YEAR(Table1[[#This Row],[ETA
As requested
dd.mm.yyyy]])</f>
        <v>2024</v>
      </c>
    </row>
    <row r="2342" spans="1:39" hidden="1">
      <c r="A2342" s="123" t="s">
        <v>83</v>
      </c>
      <c r="B2342" s="36" t="s">
        <v>1170</v>
      </c>
      <c r="C2342" s="117">
        <v>38036655</v>
      </c>
      <c r="D2342" s="165">
        <v>45614</v>
      </c>
      <c r="E2342" s="117" t="s">
        <v>101</v>
      </c>
      <c r="F2342" s="36" t="str">
        <f>IFERROR(VLOOKUP(Table1[[#This Row],[Part Number]],DATABASE_FG!$C$6:D12331,2,FALSE)," ")</f>
        <v>059018879-8011</v>
      </c>
      <c r="G2342" s="117">
        <f>IFERROR(_xlfn.XLOOKUP(Table1[[#This Row],[Part Number]],Table3[Part number],Table3[Drawing
 Revision]),"")</f>
        <v>0</v>
      </c>
      <c r="H2342" s="118" cm="1">
        <f t="array" ref="H2342">IFERROR(INDEX(PDB!$C:$AT,MATCH(E2342,PDB!$B:$B,0),MATCH(YEAR(K2342),0+PDB!$C$1:$AT$1,0)),"")</f>
        <v>4.51</v>
      </c>
      <c r="I2342" s="36">
        <v>192</v>
      </c>
      <c r="J2342" s="125">
        <f>IFERROR(Table1[[#This Row],[Quantity]]*Table1[[#This Row],[Price/Unit
EUR]]," ")</f>
        <v>865.92</v>
      </c>
      <c r="K2342" s="126">
        <v>45636</v>
      </c>
      <c r="L2342" s="36">
        <f>WEEKNUM(Table1[[#This Row],[ETA
As requested
dd.mm.yyyy]])</f>
        <v>50</v>
      </c>
      <c r="M2342" s="36">
        <f>YEAR(Table1[[#This Row],[ETA
As requested
dd.mm.yyyy]])</f>
        <v>2024</v>
      </c>
      <c r="N2342" s="36">
        <f>IFERROR(INDEX(DATABASE_FG!$H$5:$H$367, MATCH(E2342, DATABASE_FG!$C$5:$C$367, 0)), " ")</f>
        <v>0</v>
      </c>
      <c r="O2342" s="129" t="str">
        <f>IF(E2342&lt;&gt;"", _xlfn.XLOOKUP(E2342, DATABASE_FG!C:C, DATABASE_FG!F:F), " ")</f>
        <v>Ghidaje</v>
      </c>
      <c r="P2342" s="36">
        <f>IFERROR(INDEX(DATABASE_FG!$G$5:$G$367, MATCH(E2342, DATABASE_FG!$C$5:$C$367, 0)), "Not Found")</f>
        <v>0</v>
      </c>
      <c r="Q2342" s="36"/>
      <c r="R2342" s="125" t="s">
        <v>678</v>
      </c>
      <c r="S2342" s="123">
        <f>IFERROR(INDEX(DATABASE_FG!$L$5:$L$367, MATCH(E2342, DATABASE_FG!$C$5:$C$367, 0)), " ")</f>
        <v>42</v>
      </c>
      <c r="T2342" s="36" t="s">
        <v>679</v>
      </c>
      <c r="U2342" s="36"/>
      <c r="V2342" s="36"/>
      <c r="W2342" s="129"/>
      <c r="X2342" s="36"/>
      <c r="Y2342" s="36"/>
      <c r="Z2342" s="36"/>
      <c r="AA2342" s="125" t="s">
        <v>121</v>
      </c>
      <c r="AB2342" s="173">
        <v>45645</v>
      </c>
      <c r="AC2342" s="119">
        <v>202401580</v>
      </c>
      <c r="AD2342" s="36">
        <f t="shared" si="263"/>
        <v>38036655</v>
      </c>
      <c r="AE2342" s="36" t="str">
        <f t="shared" si="264"/>
        <v>TK.KWVE30-B-A-H-0038-WW1</v>
      </c>
      <c r="AF2342" s="36">
        <v>192</v>
      </c>
      <c r="AG2342" s="120">
        <f t="shared" si="262"/>
        <v>865.92</v>
      </c>
      <c r="AH2342" s="36"/>
      <c r="AI2342" s="124"/>
      <c r="AJ2342" s="122" t="s">
        <v>2654</v>
      </c>
      <c r="AK2342" s="129" t="str">
        <f t="shared" ca="1" si="261"/>
        <v>Late</v>
      </c>
      <c r="AL2342" s="268" t="str">
        <f t="shared" si="260"/>
        <v>December</v>
      </c>
      <c r="AM2342" s="133">
        <f>YEAR(Table1[[#This Row],[ETA
As requested
dd.mm.yyyy]])</f>
        <v>2024</v>
      </c>
    </row>
    <row r="2343" spans="1:39" hidden="1">
      <c r="A2343" s="123" t="s">
        <v>83</v>
      </c>
      <c r="B2343" s="36" t="s">
        <v>1170</v>
      </c>
      <c r="C2343" s="117">
        <v>38036655</v>
      </c>
      <c r="D2343" s="165">
        <v>45614</v>
      </c>
      <c r="E2343" s="117" t="s">
        <v>101</v>
      </c>
      <c r="F2343" s="36" t="str">
        <f>IFERROR(VLOOKUP(Table1[[#This Row],[Part Number]],DATABASE_FG!$C$6:D12332,2,FALSE)," ")</f>
        <v>059018879-8011</v>
      </c>
      <c r="G2343" s="117">
        <f>IFERROR(_xlfn.XLOOKUP(Table1[[#This Row],[Part Number]],Table3[Part number],Table3[Drawing
 Revision]),"")</f>
        <v>0</v>
      </c>
      <c r="H2343" s="118" cm="1">
        <f t="array" ref="H2343">IFERROR(INDEX(PDB!$C:$AT,MATCH(E2343,PDB!$B:$B,0),MATCH(YEAR(K2343),0+PDB!$C$1:$AT$1,0)),"")</f>
        <v>4.51</v>
      </c>
      <c r="I2343" s="36">
        <v>51</v>
      </c>
      <c r="J2343" s="125">
        <f>IFERROR(Table1[[#This Row],[Quantity]]*Table1[[#This Row],[Price/Unit
EUR]]," ")</f>
        <v>230.01</v>
      </c>
      <c r="K2343" s="126">
        <v>45636</v>
      </c>
      <c r="L2343" s="36">
        <f>WEEKNUM(Table1[[#This Row],[ETA
As requested
dd.mm.yyyy]])</f>
        <v>50</v>
      </c>
      <c r="M2343" s="36">
        <f>YEAR(Table1[[#This Row],[ETA
As requested
dd.mm.yyyy]])</f>
        <v>2024</v>
      </c>
      <c r="N2343" s="36">
        <f>IFERROR(INDEX(DATABASE_FG!$H$5:$H$367, MATCH(E2343, DATABASE_FG!$C$5:$C$367, 0)), " ")</f>
        <v>0</v>
      </c>
      <c r="O2343" s="129" t="str">
        <f>IF(E2343&lt;&gt;"", _xlfn.XLOOKUP(E2343, DATABASE_FG!C:C, DATABASE_FG!F:F), " ")</f>
        <v>Ghidaje</v>
      </c>
      <c r="P2343" s="36">
        <f>IFERROR(INDEX(DATABASE_FG!$G$5:$G$367, MATCH(E2343, DATABASE_FG!$C$5:$C$367, 0)), "Not Found")</f>
        <v>0</v>
      </c>
      <c r="Q2343" s="36"/>
      <c r="R2343" s="125" t="s">
        <v>678</v>
      </c>
      <c r="S2343" s="123">
        <f>IFERROR(INDEX(DATABASE_FG!$L$5:$L$367, MATCH(E2343, DATABASE_FG!$C$5:$C$367, 0)), " ")</f>
        <v>42</v>
      </c>
      <c r="T2343" s="36" t="s">
        <v>679</v>
      </c>
      <c r="U2343" s="36"/>
      <c r="V2343" s="36"/>
      <c r="W2343" s="129"/>
      <c r="X2343" s="36"/>
      <c r="Y2343" s="36"/>
      <c r="Z2343" s="36"/>
      <c r="AA2343" s="125" t="s">
        <v>121</v>
      </c>
      <c r="AB2343" s="173">
        <v>45671</v>
      </c>
      <c r="AC2343" s="119" t="s">
        <v>2660</v>
      </c>
      <c r="AD2343" s="36">
        <f t="shared" si="263"/>
        <v>38036655</v>
      </c>
      <c r="AE2343" s="36" t="str">
        <f t="shared" si="264"/>
        <v>TK.KWVE30-B-A-H-0038-WW1</v>
      </c>
      <c r="AF2343" s="36">
        <v>51</v>
      </c>
      <c r="AG2343" s="120">
        <f t="shared" si="262"/>
        <v>230.01</v>
      </c>
      <c r="AH2343" s="36"/>
      <c r="AI2343" s="124"/>
      <c r="AJ2343" s="122" t="s">
        <v>2661</v>
      </c>
      <c r="AK2343" s="129" t="str">
        <f t="shared" ca="1" si="261"/>
        <v>Late</v>
      </c>
      <c r="AL2343" s="268" t="str">
        <f t="shared" si="260"/>
        <v>December</v>
      </c>
      <c r="AM2343" s="133">
        <f>YEAR(Table1[[#This Row],[ETA
As requested
dd.mm.yyyy]])</f>
        <v>2024</v>
      </c>
    </row>
    <row r="2344" spans="1:39" hidden="1">
      <c r="A2344" s="123" t="s">
        <v>83</v>
      </c>
      <c r="B2344" s="36" t="s">
        <v>1170</v>
      </c>
      <c r="C2344" s="117">
        <v>38215973</v>
      </c>
      <c r="D2344" s="165">
        <v>45635</v>
      </c>
      <c r="E2344" s="117" t="s">
        <v>101</v>
      </c>
      <c r="F2344" s="36" t="str">
        <f>IFERROR(VLOOKUP(Table1[[#This Row],[Part Number]],DATABASE_FG!$C$6:D12333,2,FALSE)," ")</f>
        <v>059018879-8011</v>
      </c>
      <c r="G2344" s="117">
        <f>IFERROR(_xlfn.XLOOKUP(Table1[[#This Row],[Part Number]],Table3[Part number],Table3[Drawing
 Revision]),"")</f>
        <v>0</v>
      </c>
      <c r="H2344" s="118" cm="1">
        <f t="array" ref="H2344">IFERROR(INDEX(PDB!$C:$AT,MATCH(E2344,PDB!$B:$B,0),MATCH(YEAR(K2344),0+PDB!$C$1:$AT$1,0)),"")</f>
        <v>4.51</v>
      </c>
      <c r="I2344" s="36">
        <v>100</v>
      </c>
      <c r="J2344" s="125">
        <f>IFERROR(Table1[[#This Row],[Quantity]]*Table1[[#This Row],[Price/Unit
EUR]]," ")</f>
        <v>451</v>
      </c>
      <c r="K2344" s="126">
        <v>45666</v>
      </c>
      <c r="L2344" s="36">
        <f>WEEKNUM(Table1[[#This Row],[ETA
As requested
dd.mm.yyyy]])</f>
        <v>2</v>
      </c>
      <c r="M2344" s="36">
        <f>YEAR(Table1[[#This Row],[ETA
As requested
dd.mm.yyyy]])</f>
        <v>2025</v>
      </c>
      <c r="N2344" s="36">
        <f>IFERROR(INDEX(DATABASE_FG!$H$5:$H$367, MATCH(E2344, DATABASE_FG!$C$5:$C$367, 0)), " ")</f>
        <v>0</v>
      </c>
      <c r="O2344" s="129" t="str">
        <f>IF(E2344&lt;&gt;"", _xlfn.XLOOKUP(E2344, DATABASE_FG!C:C, DATABASE_FG!F:F), " ")</f>
        <v>Ghidaje</v>
      </c>
      <c r="P2344" s="36">
        <f>IFERROR(INDEX(DATABASE_FG!$G$5:$G$367, MATCH(E2344, DATABASE_FG!$C$5:$C$367, 0)), "Not Found")</f>
        <v>0</v>
      </c>
      <c r="Q2344" s="36"/>
      <c r="R2344" s="125" t="s">
        <v>678</v>
      </c>
      <c r="S2344" s="123">
        <f>IFERROR(INDEX(DATABASE_FG!$L$5:$L$367, MATCH(E2344, DATABASE_FG!$C$5:$C$367, 0)), " ")</f>
        <v>42</v>
      </c>
      <c r="T2344" s="36" t="s">
        <v>679</v>
      </c>
      <c r="U2344" s="36"/>
      <c r="V2344" s="36"/>
      <c r="W2344" s="129"/>
      <c r="X2344" s="36"/>
      <c r="Y2344" s="36"/>
      <c r="Z2344" s="36"/>
      <c r="AA2344" s="125" t="s">
        <v>121</v>
      </c>
      <c r="AB2344" s="172">
        <v>45671</v>
      </c>
      <c r="AC2344" s="119" t="s">
        <v>2697</v>
      </c>
      <c r="AD2344" s="36">
        <f t="shared" si="263"/>
        <v>38215973</v>
      </c>
      <c r="AE2344" s="36" t="str">
        <f t="shared" si="264"/>
        <v>TK.KWVE30-B-A-H-0038-WW1</v>
      </c>
      <c r="AF2344" s="36">
        <v>100</v>
      </c>
      <c r="AG2344" s="120">
        <f t="shared" si="262"/>
        <v>451</v>
      </c>
      <c r="AH2344" s="36"/>
      <c r="AI2344" s="124"/>
      <c r="AJ2344" s="122" t="s">
        <v>2698</v>
      </c>
      <c r="AK2344" s="129" t="str">
        <f t="shared" ca="1" si="261"/>
        <v>Late</v>
      </c>
      <c r="AL2344" s="268" t="str">
        <f t="shared" si="260"/>
        <v>January</v>
      </c>
      <c r="AM2344" s="133">
        <f>YEAR(Table1[[#This Row],[ETA
As requested
dd.mm.yyyy]])</f>
        <v>2025</v>
      </c>
    </row>
    <row r="2345" spans="1:39" hidden="1">
      <c r="A2345" s="123" t="s">
        <v>83</v>
      </c>
      <c r="B2345" s="36" t="s">
        <v>1170</v>
      </c>
      <c r="C2345" s="117">
        <v>38397720</v>
      </c>
      <c r="D2345" s="165">
        <v>45667</v>
      </c>
      <c r="E2345" s="117" t="s">
        <v>101</v>
      </c>
      <c r="F2345" s="36" t="str">
        <f>IFERROR(VLOOKUP(Table1[[#This Row],[Part Number]],DATABASE_FG!$C$6:D12334,2,FALSE)," ")</f>
        <v>059018879-8011</v>
      </c>
      <c r="G2345" s="117">
        <f>IFERROR(_xlfn.XLOOKUP(Table1[[#This Row],[Part Number]],Table3[Part number],Table3[Drawing
 Revision]),"")</f>
        <v>0</v>
      </c>
      <c r="H2345" s="118" cm="1">
        <f t="array" ref="H2345">IFERROR(INDEX(PDB!$C:$AT,MATCH(E2345,PDB!$B:$B,0),MATCH(YEAR(K2345),0+PDB!$C$1:$AT$1,0)),"")</f>
        <v>4.51</v>
      </c>
      <c r="I2345" s="36">
        <v>85</v>
      </c>
      <c r="J2345" s="125">
        <v>1127.5</v>
      </c>
      <c r="K2345" s="126">
        <v>45680</v>
      </c>
      <c r="L2345" s="36">
        <f>WEEKNUM(Table1[[#This Row],[ETA
As requested
dd.mm.yyyy]])</f>
        <v>4</v>
      </c>
      <c r="M2345" s="36">
        <f>YEAR(Table1[[#This Row],[ETA
As requested
dd.mm.yyyy]])</f>
        <v>2025</v>
      </c>
      <c r="N2345" s="36">
        <v>0</v>
      </c>
      <c r="O2345" s="129" t="str">
        <f>IF(E2345&lt;&gt;"", _xlfn.XLOOKUP(E2345, DATABASE_FG!C:C, DATABASE_FG!F:F), " ")</f>
        <v>Ghidaje</v>
      </c>
      <c r="P2345" s="36">
        <f>IFERROR(INDEX(DATABASE_FG!$G$5:$G$367, MATCH(E2345, DATABASE_FG!$C$5:$C$367, 0)), "Not Found")</f>
        <v>0</v>
      </c>
      <c r="Q2345" s="36"/>
      <c r="R2345" s="125" t="s">
        <v>678</v>
      </c>
      <c r="S2345" s="123">
        <v>42</v>
      </c>
      <c r="T2345" s="36" t="s">
        <v>679</v>
      </c>
      <c r="U2345" s="36"/>
      <c r="V2345" s="36"/>
      <c r="W2345" s="129"/>
      <c r="X2345" s="36"/>
      <c r="Y2345" s="36"/>
      <c r="Z2345" s="36"/>
      <c r="AA2345" s="125" t="s">
        <v>121</v>
      </c>
      <c r="AB2345" s="172">
        <v>45678</v>
      </c>
      <c r="AC2345" s="119" t="s">
        <v>2754</v>
      </c>
      <c r="AD2345" s="36">
        <f t="shared" si="263"/>
        <v>38397720</v>
      </c>
      <c r="AE2345" s="36" t="str">
        <f t="shared" si="264"/>
        <v>TK.KWVE30-B-A-H-0038-WW1</v>
      </c>
      <c r="AF2345" s="36">
        <v>85</v>
      </c>
      <c r="AG2345" s="120">
        <f t="shared" si="262"/>
        <v>383.34999999999997</v>
      </c>
      <c r="AH2345" s="36"/>
      <c r="AI2345" s="124"/>
      <c r="AJ2345" s="122" t="s">
        <v>2755</v>
      </c>
      <c r="AK2345" s="129" t="str">
        <f t="shared" ca="1" si="261"/>
        <v>On Time</v>
      </c>
      <c r="AL2345" s="268" t="str">
        <f t="shared" si="260"/>
        <v>January</v>
      </c>
      <c r="AM2345" s="133">
        <f>YEAR(Table1[[#This Row],[ETA
As requested
dd.mm.yyyy]])</f>
        <v>2025</v>
      </c>
    </row>
    <row r="2346" spans="1:39" hidden="1">
      <c r="A2346" s="123" t="s">
        <v>83</v>
      </c>
      <c r="B2346" s="36" t="s">
        <v>1170</v>
      </c>
      <c r="C2346" s="117">
        <v>38397720</v>
      </c>
      <c r="D2346" s="165">
        <v>45667</v>
      </c>
      <c r="E2346" s="117" t="s">
        <v>101</v>
      </c>
      <c r="F2346" s="36" t="str">
        <f>IFERROR(VLOOKUP(Table1[[#This Row],[Part Number]],DATABASE_FG!$C$6:D12335,2,FALSE)," ")</f>
        <v>059018879-8011</v>
      </c>
      <c r="G2346" s="117">
        <f>IFERROR(_xlfn.XLOOKUP(Table1[[#This Row],[Part Number]],Table3[Part number],Table3[Drawing
 Revision]),"")</f>
        <v>0</v>
      </c>
      <c r="H2346" s="118" cm="1">
        <f t="array" ref="H2346">IFERROR(INDEX(PDB!$C:$AT,MATCH(E2346,PDB!$B:$B,0),MATCH(YEAR(K2346),0+PDB!$C$1:$AT$1,0)),"")</f>
        <v>4.51</v>
      </c>
      <c r="I2346" s="36">
        <f>250-85</f>
        <v>165</v>
      </c>
      <c r="J2346" s="125">
        <f>IFERROR(Table1[[#This Row],[Quantity]]*Table1[[#This Row],[Price/Unit
EUR]]," ")</f>
        <v>744.15</v>
      </c>
      <c r="K2346" s="126">
        <v>45680</v>
      </c>
      <c r="L2346" s="36">
        <f>WEEKNUM(Table1[[#This Row],[ETA
As requested
dd.mm.yyyy]])</f>
        <v>4</v>
      </c>
      <c r="M2346" s="36">
        <f>YEAR(Table1[[#This Row],[ETA
As requested
dd.mm.yyyy]])</f>
        <v>2025</v>
      </c>
      <c r="N2346" s="36">
        <f>IFERROR(INDEX(DATABASE_FG!$H$5:$H$367, MATCH(E2346, DATABASE_FG!$C$5:$C$367, 0)), " ")</f>
        <v>0</v>
      </c>
      <c r="O2346" s="129" t="str">
        <f>IF(E2346&lt;&gt;"", _xlfn.XLOOKUP(E2346, DATABASE_FG!C:C, DATABASE_FG!F:F), " ")</f>
        <v>Ghidaje</v>
      </c>
      <c r="P2346" s="36">
        <f>IFERROR(INDEX(DATABASE_FG!$G$5:$G$367, MATCH(E2346, DATABASE_FG!$C$5:$C$367, 0)), "Not Found")</f>
        <v>0</v>
      </c>
      <c r="Q2346" s="36"/>
      <c r="R2346" s="125" t="s">
        <v>678</v>
      </c>
      <c r="S2346" s="123">
        <f>IFERROR(INDEX(DATABASE_FG!$L$5:$L$367, MATCH(E2346, DATABASE_FG!$C$5:$C$367, 0)), " ")</f>
        <v>42</v>
      </c>
      <c r="T2346" s="36" t="s">
        <v>679</v>
      </c>
      <c r="U2346" s="36"/>
      <c r="V2346" s="36"/>
      <c r="W2346" s="129"/>
      <c r="X2346" s="36"/>
      <c r="Y2346" s="36"/>
      <c r="Z2346" s="36"/>
      <c r="AA2346" s="125" t="s">
        <v>121</v>
      </c>
      <c r="AB2346" s="172">
        <v>45694</v>
      </c>
      <c r="AC2346" s="119">
        <v>25157</v>
      </c>
      <c r="AD2346" s="36">
        <f t="shared" si="263"/>
        <v>38397720</v>
      </c>
      <c r="AE2346" s="36" t="str">
        <f t="shared" si="264"/>
        <v>TK.KWVE30-B-A-H-0038-WW1</v>
      </c>
      <c r="AF2346" s="36">
        <v>165</v>
      </c>
      <c r="AG2346" s="120">
        <f t="shared" si="262"/>
        <v>744.15</v>
      </c>
      <c r="AH2346" s="36"/>
      <c r="AI2346" s="124"/>
      <c r="AJ2346" s="122" t="s">
        <v>2764</v>
      </c>
      <c r="AK2346" s="129" t="str">
        <f t="shared" ca="1" si="261"/>
        <v>Late</v>
      </c>
      <c r="AL2346" s="268" t="str">
        <f t="shared" si="260"/>
        <v>January</v>
      </c>
      <c r="AM2346" s="133">
        <f>YEAR(Table1[[#This Row],[ETA
As requested
dd.mm.yyyy]])</f>
        <v>2025</v>
      </c>
    </row>
    <row r="2347" spans="1:39" hidden="1">
      <c r="A2347" s="123" t="s">
        <v>83</v>
      </c>
      <c r="B2347" s="36" t="s">
        <v>1170</v>
      </c>
      <c r="C2347" s="117">
        <v>38474493</v>
      </c>
      <c r="D2347" s="165">
        <v>45679</v>
      </c>
      <c r="E2347" s="117" t="s">
        <v>101</v>
      </c>
      <c r="F2347" s="36" t="str">
        <f>IFERROR(VLOOKUP(Table1[[#This Row],[Part Number]],DATABASE_FG!$C$6:D12336,2,FALSE)," ")</f>
        <v>059018879-8011</v>
      </c>
      <c r="G2347" s="117">
        <f>IFERROR(_xlfn.XLOOKUP(Table1[[#This Row],[Part Number]],Table3[Part number],Table3[Drawing
 Revision]),"")</f>
        <v>0</v>
      </c>
      <c r="H2347" s="118" cm="1">
        <f t="array" ref="H2347">IFERROR(INDEX(PDB!$C:$AT,MATCH(E2347,PDB!$B:$B,0),MATCH(YEAR(K2347),0+PDB!$C$1:$AT$1,0)),"")</f>
        <v>4.51</v>
      </c>
      <c r="I2347" s="36">
        <v>105</v>
      </c>
      <c r="J2347" s="125">
        <f>IFERROR(Table1[[#This Row],[Quantity]]*Table1[[#This Row],[Price/Unit
EUR]]," ")</f>
        <v>473.54999999999995</v>
      </c>
      <c r="K2347" s="126">
        <v>45694</v>
      </c>
      <c r="L2347" s="36">
        <f>WEEKNUM(Table1[[#This Row],[ETA
As requested
dd.mm.yyyy]])</f>
        <v>6</v>
      </c>
      <c r="M2347" s="36">
        <f>YEAR(Table1[[#This Row],[ETA
As requested
dd.mm.yyyy]])</f>
        <v>2025</v>
      </c>
      <c r="N2347" s="36">
        <f>IFERROR(INDEX(DATABASE_FG!$H$5:$H$367, MATCH(E2347, DATABASE_FG!$C$5:$C$367, 0)), " ")</f>
        <v>0</v>
      </c>
      <c r="O2347" s="129" t="str">
        <f>IF(E2347&lt;&gt;"", _xlfn.XLOOKUP(E2347, DATABASE_FG!C:C, DATABASE_FG!F:F), " ")</f>
        <v>Ghidaje</v>
      </c>
      <c r="P2347" s="36">
        <f>IFERROR(INDEX(DATABASE_FG!$G$5:$G$367, MATCH(E2347, DATABASE_FG!$C$5:$C$367, 0)), "Not Found")</f>
        <v>0</v>
      </c>
      <c r="Q2347" s="36"/>
      <c r="R2347" s="125" t="s">
        <v>678</v>
      </c>
      <c r="S2347" s="123">
        <f>IFERROR(INDEX(DATABASE_FG!$L$5:$L$367, MATCH(E2347, DATABASE_FG!$C$5:$C$367, 0)), " ")</f>
        <v>42</v>
      </c>
      <c r="T2347" s="36" t="s">
        <v>679</v>
      </c>
      <c r="U2347" s="36"/>
      <c r="V2347" s="36"/>
      <c r="W2347" s="129"/>
      <c r="X2347" s="36"/>
      <c r="Y2347" s="36"/>
      <c r="Z2347" s="36"/>
      <c r="AA2347" s="125" t="s">
        <v>121</v>
      </c>
      <c r="AB2347" s="172">
        <v>45694</v>
      </c>
      <c r="AC2347" s="119">
        <v>25158</v>
      </c>
      <c r="AD2347" s="36">
        <f t="shared" si="263"/>
        <v>38474493</v>
      </c>
      <c r="AE2347" s="36" t="str">
        <f t="shared" si="264"/>
        <v>TK.KWVE30-B-A-H-0038-WW1</v>
      </c>
      <c r="AF2347" s="36">
        <v>105</v>
      </c>
      <c r="AG2347" s="120">
        <f t="shared" si="262"/>
        <v>473.54999999999995</v>
      </c>
      <c r="AH2347" s="36"/>
      <c r="AI2347" s="124"/>
      <c r="AJ2347" s="122" t="s">
        <v>2774</v>
      </c>
      <c r="AK2347" s="129" t="str">
        <f t="shared" ca="1" si="261"/>
        <v>On Time</v>
      </c>
      <c r="AL2347" s="268" t="str">
        <f t="shared" si="260"/>
        <v>February</v>
      </c>
      <c r="AM2347" s="133">
        <f>YEAR(Table1[[#This Row],[ETA
As requested
dd.mm.yyyy]])</f>
        <v>2025</v>
      </c>
    </row>
    <row r="2348" spans="1:39" hidden="1">
      <c r="A2348" s="123" t="s">
        <v>83</v>
      </c>
      <c r="B2348" s="36" t="s">
        <v>1170</v>
      </c>
      <c r="C2348" s="117">
        <v>38474493</v>
      </c>
      <c r="D2348" s="165">
        <v>45679</v>
      </c>
      <c r="E2348" s="117" t="s">
        <v>101</v>
      </c>
      <c r="F2348" s="36" t="str">
        <f>IFERROR(VLOOKUP(Table1[[#This Row],[Part Number]],DATABASE_FG!$C$6:D12337,2,FALSE)," ")</f>
        <v>059018879-8011</v>
      </c>
      <c r="G2348" s="117">
        <f>IFERROR(_xlfn.XLOOKUP(Table1[[#This Row],[Part Number]],Table3[Part number],Table3[Drawing
 Revision]),"")</f>
        <v>0</v>
      </c>
      <c r="H2348" s="118" cm="1">
        <f t="array" ref="H2348">IFERROR(INDEX(PDB!$C:$AT,MATCH(E2348,PDB!$B:$B,0),MATCH(YEAR(K2348),0+PDB!$C$1:$AT$1,0)),"")</f>
        <v>4.51</v>
      </c>
      <c r="I2348" s="36">
        <f>250-105</f>
        <v>145</v>
      </c>
      <c r="J2348" s="125">
        <f>IFERROR(Table1[[#This Row],[Quantity]]*Table1[[#This Row],[Price/Unit
EUR]]," ")</f>
        <v>653.94999999999993</v>
      </c>
      <c r="K2348" s="126">
        <v>45694</v>
      </c>
      <c r="L2348" s="36">
        <f>WEEKNUM(Table1[[#This Row],[ETA
As requested
dd.mm.yyyy]])</f>
        <v>6</v>
      </c>
      <c r="M2348" s="36">
        <f>YEAR(Table1[[#This Row],[ETA
As requested
dd.mm.yyyy]])</f>
        <v>2025</v>
      </c>
      <c r="N2348" s="36">
        <f>IFERROR(INDEX(DATABASE_FG!$H$5:$H$367, MATCH(E2348, DATABASE_FG!$C$5:$C$367, 0)), " ")</f>
        <v>0</v>
      </c>
      <c r="O2348" s="129" t="str">
        <f>IF(E2348&lt;&gt;"", _xlfn.XLOOKUP(E2348, DATABASE_FG!C:C, DATABASE_FG!F:F), " ")</f>
        <v>Ghidaje</v>
      </c>
      <c r="P2348" s="36">
        <f>IFERROR(INDEX(DATABASE_FG!$G$5:$G$367, MATCH(E2348, DATABASE_FG!$C$5:$C$367, 0)), "Not Found")</f>
        <v>0</v>
      </c>
      <c r="Q2348" s="36"/>
      <c r="R2348" s="125" t="s">
        <v>678</v>
      </c>
      <c r="S2348" s="123">
        <f>IFERROR(INDEX(DATABASE_FG!$L$5:$L$367, MATCH(E2348, DATABASE_FG!$C$5:$C$367, 0)), " ")</f>
        <v>42</v>
      </c>
      <c r="T2348" s="36" t="s">
        <v>679</v>
      </c>
      <c r="U2348" s="36"/>
      <c r="V2348" s="36"/>
      <c r="W2348" s="129"/>
      <c r="X2348" s="36"/>
      <c r="Y2348" s="36" t="s">
        <v>121</v>
      </c>
      <c r="Z2348" s="36"/>
      <c r="AA2348" s="125" t="s">
        <v>121</v>
      </c>
      <c r="AB2348" s="172">
        <v>45695</v>
      </c>
      <c r="AC2348" s="119">
        <v>25170</v>
      </c>
      <c r="AD2348" s="36">
        <f t="shared" si="263"/>
        <v>38474493</v>
      </c>
      <c r="AE2348" s="36" t="str">
        <f t="shared" si="264"/>
        <v>TK.KWVE30-B-A-H-0038-WW1</v>
      </c>
      <c r="AF2348" s="36">
        <v>145</v>
      </c>
      <c r="AG2348" s="120">
        <f t="shared" si="262"/>
        <v>653.94999999999993</v>
      </c>
      <c r="AH2348" s="36"/>
      <c r="AI2348" s="124"/>
      <c r="AJ2348" s="122" t="s">
        <v>2776</v>
      </c>
      <c r="AK2348" s="129" t="str">
        <f t="shared" ca="1" si="261"/>
        <v>On Time</v>
      </c>
      <c r="AL2348" s="268" t="str">
        <f t="shared" si="260"/>
        <v>February</v>
      </c>
      <c r="AM2348" s="133">
        <f>YEAR(Table1[[#This Row],[ETA
As requested
dd.mm.yyyy]])</f>
        <v>2025</v>
      </c>
    </row>
    <row r="2349" spans="1:39" hidden="1">
      <c r="A2349" s="123" t="s">
        <v>83</v>
      </c>
      <c r="B2349" s="36" t="s">
        <v>1170</v>
      </c>
      <c r="C2349" s="117">
        <v>38474493</v>
      </c>
      <c r="D2349" s="165">
        <v>45679</v>
      </c>
      <c r="E2349" s="117" t="s">
        <v>101</v>
      </c>
      <c r="F2349" s="36" t="str">
        <f>IFERROR(VLOOKUP(Table1[[#This Row],[Part Number]],DATABASE_FG!$C$6:D12338,2,FALSE)," ")</f>
        <v>059018879-8011</v>
      </c>
      <c r="G2349" s="117">
        <f>IFERROR(_xlfn.XLOOKUP(Table1[[#This Row],[Part Number]],Table3[Part number],Table3[Drawing
 Revision]),"")</f>
        <v>0</v>
      </c>
      <c r="H2349" s="118" cm="1">
        <f t="array" ref="H2349">IFERROR(INDEX(PDB!$C:$AT,MATCH(E2349,PDB!$B:$B,0),MATCH(YEAR(K2349),0+PDB!$C$1:$AT$1,0)),"")</f>
        <v>4.51</v>
      </c>
      <c r="I2349" s="36">
        <v>44</v>
      </c>
      <c r="J2349" s="125">
        <f>IFERROR(Table1[[#This Row],[Quantity]]*Table1[[#This Row],[Price/Unit
EUR]]," ")</f>
        <v>198.44</v>
      </c>
      <c r="K2349" s="126">
        <v>45701</v>
      </c>
      <c r="L2349" s="36">
        <f>WEEKNUM(Table1[[#This Row],[ETA
As requested
dd.mm.yyyy]])</f>
        <v>7</v>
      </c>
      <c r="M2349" s="36">
        <f>YEAR(Table1[[#This Row],[ETA
As requested
dd.mm.yyyy]])</f>
        <v>2025</v>
      </c>
      <c r="N2349" s="36">
        <f>IFERROR(INDEX(DATABASE_FG!$H$5:$H$367, MATCH(E2349, DATABASE_FG!$C$5:$C$367, 0)), " ")</f>
        <v>0</v>
      </c>
      <c r="O2349" s="129" t="str">
        <f>IF(E2349&lt;&gt;"", _xlfn.XLOOKUP(E2349, DATABASE_FG!C:C, DATABASE_FG!F:F), " ")</f>
        <v>Ghidaje</v>
      </c>
      <c r="P2349" s="36">
        <f>IFERROR(INDEX(DATABASE_FG!$G$5:$G$367, MATCH(E2349, DATABASE_FG!$C$5:$C$367, 0)), "Not Found")</f>
        <v>0</v>
      </c>
      <c r="Q2349" s="36"/>
      <c r="R2349" s="125" t="s">
        <v>678</v>
      </c>
      <c r="S2349" s="123">
        <f>IFERROR(INDEX(DATABASE_FG!$L$5:$L$367, MATCH(E2349, DATABASE_FG!$C$5:$C$367, 0)), " ")</f>
        <v>42</v>
      </c>
      <c r="T2349" s="36" t="s">
        <v>679</v>
      </c>
      <c r="U2349" s="36"/>
      <c r="V2349" s="36"/>
      <c r="W2349" s="129"/>
      <c r="X2349" s="36"/>
      <c r="Y2349" s="36" t="s">
        <v>121</v>
      </c>
      <c r="Z2349" s="36"/>
      <c r="AA2349" s="125" t="s">
        <v>121</v>
      </c>
      <c r="AB2349" s="172">
        <v>45695</v>
      </c>
      <c r="AC2349" s="119">
        <v>25170</v>
      </c>
      <c r="AD2349" s="36">
        <f t="shared" si="263"/>
        <v>38474493</v>
      </c>
      <c r="AE2349" s="36" t="str">
        <f t="shared" si="264"/>
        <v>TK.KWVE30-B-A-H-0038-WW1</v>
      </c>
      <c r="AF2349" s="36">
        <v>44</v>
      </c>
      <c r="AG2349" s="120">
        <f t="shared" si="262"/>
        <v>198.44</v>
      </c>
      <c r="AH2349" s="36"/>
      <c r="AI2349" s="124"/>
      <c r="AJ2349" s="122"/>
      <c r="AK2349" s="129" t="str">
        <f t="shared" ca="1" si="261"/>
        <v>On Time</v>
      </c>
      <c r="AL2349" s="268" t="str">
        <f t="shared" si="260"/>
        <v>February</v>
      </c>
      <c r="AM2349" s="133">
        <f>YEAR(Table1[[#This Row],[ETA
As requested
dd.mm.yyyy]])</f>
        <v>2025</v>
      </c>
    </row>
    <row r="2350" spans="1:39" hidden="1">
      <c r="A2350" s="123" t="s">
        <v>83</v>
      </c>
      <c r="B2350" s="36" t="s">
        <v>1170</v>
      </c>
      <c r="C2350" s="117">
        <v>38474493</v>
      </c>
      <c r="D2350" s="165">
        <v>45679</v>
      </c>
      <c r="E2350" s="117" t="s">
        <v>101</v>
      </c>
      <c r="F2350" s="36" t="str">
        <f>IFERROR(VLOOKUP(Table1[[#This Row],[Part Number]],DATABASE_FG!$C$6:D12339,2,FALSE)," ")</f>
        <v>059018879-8011</v>
      </c>
      <c r="G2350" s="117">
        <f>IFERROR(_xlfn.XLOOKUP(Table1[[#This Row],[Part Number]],Table3[Part number],Table3[Drawing
 Revision]),"")</f>
        <v>0</v>
      </c>
      <c r="H2350" s="118" cm="1">
        <f t="array" ref="H2350">IFERROR(INDEX(PDB!$C:$AT,MATCH(E2350,PDB!$B:$B,0),MATCH(YEAR(K2350),0+PDB!$C$1:$AT$1,0)),"")</f>
        <v>4.51</v>
      </c>
      <c r="I2350" s="36">
        <v>160</v>
      </c>
      <c r="J2350" s="125">
        <f>IFERROR(Table1[[#This Row],[Quantity]]*Table1[[#This Row],[Price/Unit
EUR]]," ")</f>
        <v>721.59999999999991</v>
      </c>
      <c r="K2350" s="126">
        <v>45701</v>
      </c>
      <c r="L2350" s="36">
        <f>WEEKNUM(Table1[[#This Row],[ETA
As requested
dd.mm.yyyy]])</f>
        <v>7</v>
      </c>
      <c r="M2350" s="36">
        <f>YEAR(Table1[[#This Row],[ETA
As requested
dd.mm.yyyy]])</f>
        <v>2025</v>
      </c>
      <c r="N2350" s="36">
        <f>IFERROR(INDEX(DATABASE_FG!$H$5:$H$367, MATCH(E2350, DATABASE_FG!$C$5:$C$367, 0)), " ")</f>
        <v>0</v>
      </c>
      <c r="O2350" s="129" t="str">
        <f>IF(E2350&lt;&gt;"", _xlfn.XLOOKUP(E2350, DATABASE_FG!C:C, DATABASE_FG!F:F), " ")</f>
        <v>Ghidaje</v>
      </c>
      <c r="P2350" s="36">
        <f>IFERROR(INDEX(DATABASE_FG!$G$5:$G$367, MATCH(E2350, DATABASE_FG!$C$5:$C$367, 0)), "Not Found")</f>
        <v>0</v>
      </c>
      <c r="Q2350" s="36"/>
      <c r="R2350" s="125" t="s">
        <v>678</v>
      </c>
      <c r="S2350" s="123">
        <f>IFERROR(INDEX(DATABASE_FG!$L$5:$L$367, MATCH(E2350, DATABASE_FG!$C$5:$C$367, 0)), " ")</f>
        <v>42</v>
      </c>
      <c r="T2350" s="36" t="s">
        <v>679</v>
      </c>
      <c r="U2350" s="36"/>
      <c r="V2350" s="36"/>
      <c r="W2350" s="129"/>
      <c r="X2350" s="36"/>
      <c r="Y2350" s="36" t="s">
        <v>121</v>
      </c>
      <c r="Z2350" s="36"/>
      <c r="AA2350" s="125" t="s">
        <v>121</v>
      </c>
      <c r="AB2350" s="172">
        <v>45699</v>
      </c>
      <c r="AC2350" s="119">
        <v>25188</v>
      </c>
      <c r="AD2350" s="36">
        <f t="shared" si="263"/>
        <v>38474493</v>
      </c>
      <c r="AE2350" s="36" t="str">
        <f t="shared" si="264"/>
        <v>TK.KWVE30-B-A-H-0038-WW1</v>
      </c>
      <c r="AF2350" s="36">
        <v>160</v>
      </c>
      <c r="AG2350" s="120">
        <f t="shared" si="262"/>
        <v>721.59999999999991</v>
      </c>
      <c r="AH2350" s="36"/>
      <c r="AI2350" s="124"/>
      <c r="AJ2350" s="122" t="s">
        <v>2795</v>
      </c>
      <c r="AK2350" s="129" t="str">
        <f t="shared" ca="1" si="261"/>
        <v>On Time</v>
      </c>
      <c r="AL2350" s="268" t="str">
        <f t="shared" si="260"/>
        <v>February</v>
      </c>
      <c r="AM2350" s="133">
        <f>YEAR(Table1[[#This Row],[ETA
As requested
dd.mm.yyyy]])</f>
        <v>2025</v>
      </c>
    </row>
    <row r="2351" spans="1:39" hidden="1">
      <c r="A2351" s="123" t="s">
        <v>83</v>
      </c>
      <c r="B2351" s="36" t="s">
        <v>1170</v>
      </c>
      <c r="C2351" s="117">
        <v>38474493</v>
      </c>
      <c r="D2351" s="165">
        <v>45679</v>
      </c>
      <c r="E2351" s="117" t="s">
        <v>101</v>
      </c>
      <c r="F2351" s="36" t="str">
        <f>IFERROR(VLOOKUP(Table1[[#This Row],[Part Number]],DATABASE_FG!$C$6:D12340,2,FALSE)," ")</f>
        <v>059018879-8011</v>
      </c>
      <c r="G2351" s="117">
        <f>IFERROR(_xlfn.XLOOKUP(Table1[[#This Row],[Part Number]],Table3[Part number],Table3[Drawing
 Revision]),"")</f>
        <v>0</v>
      </c>
      <c r="H2351" s="118" cm="1">
        <f t="array" ref="H2351">IFERROR(INDEX(PDB!$C:$AT,MATCH(E2351,PDB!$B:$B,0),MATCH(YEAR(K2351),0+PDB!$C$1:$AT$1,0)),"")</f>
        <v>4.51</v>
      </c>
      <c r="I2351" s="36">
        <f>250-44-160</f>
        <v>46</v>
      </c>
      <c r="J2351" s="125">
        <f>IFERROR(Table1[[#This Row],[Quantity]]*Table1[[#This Row],[Price/Unit
EUR]]," ")</f>
        <v>207.45999999999998</v>
      </c>
      <c r="K2351" s="126">
        <v>45701</v>
      </c>
      <c r="L2351" s="36">
        <f>WEEKNUM(Table1[[#This Row],[ETA
As requested
dd.mm.yyyy]])</f>
        <v>7</v>
      </c>
      <c r="M2351" s="36">
        <f>YEAR(Table1[[#This Row],[ETA
As requested
dd.mm.yyyy]])</f>
        <v>2025</v>
      </c>
      <c r="N2351" s="36">
        <f>IFERROR(INDEX(DATABASE_FG!$H$5:$H$367, MATCH(E2351, DATABASE_FG!$C$5:$C$367, 0)), " ")</f>
        <v>0</v>
      </c>
      <c r="O2351" s="129" t="str">
        <f>IF(E2351&lt;&gt;"", _xlfn.XLOOKUP(E2351, DATABASE_FG!C:C, DATABASE_FG!F:F), " ")</f>
        <v>Ghidaje</v>
      </c>
      <c r="P2351" s="36">
        <f>IFERROR(INDEX(DATABASE_FG!$G$5:$G$367, MATCH(E2351, DATABASE_FG!$C$5:$C$367, 0)), "Not Found")</f>
        <v>0</v>
      </c>
      <c r="Q2351" s="36"/>
      <c r="R2351" s="125" t="s">
        <v>678</v>
      </c>
      <c r="S2351" s="123">
        <f>IFERROR(INDEX(DATABASE_FG!$L$5:$L$367, MATCH(E2351, DATABASE_FG!$C$5:$C$367, 0)), " ")</f>
        <v>42</v>
      </c>
      <c r="T2351" s="36" t="s">
        <v>679</v>
      </c>
      <c r="U2351" s="36"/>
      <c r="V2351" s="36"/>
      <c r="W2351" s="129"/>
      <c r="X2351" s="36"/>
      <c r="Y2351" s="36" t="s">
        <v>121</v>
      </c>
      <c r="Z2351" s="36"/>
      <c r="AA2351" s="125" t="s">
        <v>121</v>
      </c>
      <c r="AB2351" s="172">
        <v>45705</v>
      </c>
      <c r="AC2351" s="119">
        <v>25211</v>
      </c>
      <c r="AD2351" s="36">
        <f t="shared" si="263"/>
        <v>38474493</v>
      </c>
      <c r="AE2351" s="36" t="str">
        <f t="shared" si="264"/>
        <v>TK.KWVE30-B-A-H-0038-WW1</v>
      </c>
      <c r="AF2351" s="36">
        <v>46</v>
      </c>
      <c r="AG2351" s="120">
        <f t="shared" si="262"/>
        <v>207.45999999999998</v>
      </c>
      <c r="AH2351" s="36"/>
      <c r="AI2351" s="124"/>
      <c r="AJ2351" s="122" t="s">
        <v>2802</v>
      </c>
      <c r="AK2351" s="129" t="str">
        <f t="shared" ca="1" si="261"/>
        <v>Late</v>
      </c>
      <c r="AL2351" s="268" t="str">
        <f t="shared" si="260"/>
        <v>February</v>
      </c>
      <c r="AM2351" s="133">
        <f>YEAR(Table1[[#This Row],[ETA
As requested
dd.mm.yyyy]])</f>
        <v>2025</v>
      </c>
    </row>
    <row r="2352" spans="1:39" hidden="1">
      <c r="A2352" s="123" t="s">
        <v>83</v>
      </c>
      <c r="B2352" s="36" t="s">
        <v>1170</v>
      </c>
      <c r="C2352" s="117">
        <v>38474493</v>
      </c>
      <c r="D2352" s="165">
        <v>45679</v>
      </c>
      <c r="E2352" s="117" t="s">
        <v>101</v>
      </c>
      <c r="F2352" s="36" t="str">
        <f>IFERROR(VLOOKUP(Table1[[#This Row],[Part Number]],DATABASE_FG!$C$6:D12341,2,FALSE)," ")</f>
        <v>059018879-8011</v>
      </c>
      <c r="G2352" s="117">
        <f>IFERROR(_xlfn.XLOOKUP(Table1[[#This Row],[Part Number]],Table3[Part number],Table3[Drawing
 Revision]),"")</f>
        <v>0</v>
      </c>
      <c r="H2352" s="118" cm="1">
        <f t="array" ref="H2352">IFERROR(INDEX(PDB!$C:$AT,MATCH(E2352,PDB!$B:$B,0),MATCH(YEAR(K2352),0+PDB!$C$1:$AT$1,0)),"")</f>
        <v>4.51</v>
      </c>
      <c r="I2352" s="36">
        <v>49</v>
      </c>
      <c r="J2352" s="125">
        <f>IFERROR(Table1[[#This Row],[Quantity]]*Table1[[#This Row],[Price/Unit
EUR]]," ")</f>
        <v>220.98999999999998</v>
      </c>
      <c r="K2352" s="126">
        <v>45708</v>
      </c>
      <c r="L2352" s="36">
        <f>WEEKNUM(Table1[[#This Row],[ETA
As requested
dd.mm.yyyy]])</f>
        <v>8</v>
      </c>
      <c r="M2352" s="36">
        <f>YEAR(Table1[[#This Row],[ETA
As requested
dd.mm.yyyy]])</f>
        <v>2025</v>
      </c>
      <c r="N2352" s="36">
        <f>IFERROR(INDEX(DATABASE_FG!$H$5:$H$367, MATCH(E2352, DATABASE_FG!$C$5:$C$367, 0)), " ")</f>
        <v>0</v>
      </c>
      <c r="O2352" s="129" t="str">
        <f>IF(E2352&lt;&gt;"", _xlfn.XLOOKUP(E2352, DATABASE_FG!C:C, DATABASE_FG!F:F), " ")</f>
        <v>Ghidaje</v>
      </c>
      <c r="P2352" s="36">
        <f>IFERROR(INDEX(DATABASE_FG!$G$5:$G$367, MATCH(E2352, DATABASE_FG!$C$5:$C$367, 0)), "Not Found")</f>
        <v>0</v>
      </c>
      <c r="Q2352" s="36"/>
      <c r="R2352" s="125" t="s">
        <v>678</v>
      </c>
      <c r="S2352" s="123">
        <f>IFERROR(INDEX(DATABASE_FG!$L$5:$L$367, MATCH(E2352, DATABASE_FG!$C$5:$C$367, 0)), " ")</f>
        <v>42</v>
      </c>
      <c r="T2352" s="36" t="s">
        <v>679</v>
      </c>
      <c r="U2352" s="36"/>
      <c r="V2352" s="36"/>
      <c r="W2352" s="129"/>
      <c r="X2352" s="36"/>
      <c r="Y2352" s="36" t="s">
        <v>121</v>
      </c>
      <c r="Z2352" s="36"/>
      <c r="AA2352" s="125" t="s">
        <v>121</v>
      </c>
      <c r="AB2352" s="172">
        <v>45705</v>
      </c>
      <c r="AC2352" s="119">
        <v>25211</v>
      </c>
      <c r="AD2352" s="36">
        <f t="shared" si="263"/>
        <v>38474493</v>
      </c>
      <c r="AE2352" s="36" t="str">
        <f t="shared" si="264"/>
        <v>TK.KWVE30-B-A-H-0038-WW1</v>
      </c>
      <c r="AF2352" s="36">
        <v>49</v>
      </c>
      <c r="AG2352" s="120">
        <f t="shared" si="262"/>
        <v>220.98999999999998</v>
      </c>
      <c r="AH2352" s="36"/>
      <c r="AI2352" s="124"/>
      <c r="AJ2352" s="122" t="s">
        <v>2802</v>
      </c>
      <c r="AK2352" s="129" t="str">
        <f t="shared" ca="1" si="261"/>
        <v>On Time</v>
      </c>
      <c r="AL2352" s="268" t="str">
        <f t="shared" si="260"/>
        <v>February</v>
      </c>
      <c r="AM2352" s="133">
        <f>YEAR(Table1[[#This Row],[ETA
As requested
dd.mm.yyyy]])</f>
        <v>2025</v>
      </c>
    </row>
    <row r="2353" spans="1:40" hidden="1">
      <c r="A2353" s="123" t="s">
        <v>83</v>
      </c>
      <c r="B2353" s="36" t="s">
        <v>1170</v>
      </c>
      <c r="C2353" s="117">
        <v>38474493</v>
      </c>
      <c r="D2353" s="165">
        <v>45679</v>
      </c>
      <c r="E2353" s="117" t="s">
        <v>101</v>
      </c>
      <c r="F2353" s="36" t="str">
        <f>IFERROR(VLOOKUP(Table1[[#This Row],[Part Number]],DATABASE_FG!$C$6:D12342,2,FALSE)," ")</f>
        <v>059018879-8011</v>
      </c>
      <c r="G2353" s="117">
        <f>IFERROR(_xlfn.XLOOKUP(Table1[[#This Row],[Part Number]],Table3[Part number],Table3[Drawing
 Revision]),"")</f>
        <v>0</v>
      </c>
      <c r="H2353" s="118" cm="1">
        <f t="array" ref="H2353">IFERROR(INDEX(PDB!$C:$AT,MATCH(E2353,PDB!$B:$B,0),MATCH(YEAR(K2353),0+PDB!$C$1:$AT$1,0)),"")</f>
        <v>4.51</v>
      </c>
      <c r="I2353" s="36">
        <v>172</v>
      </c>
      <c r="J2353" s="125">
        <f>IFERROR(Table1[[#This Row],[Quantity]]*Table1[[#This Row],[Price/Unit
EUR]]," ")</f>
        <v>775.71999999999991</v>
      </c>
      <c r="K2353" s="126">
        <v>45708</v>
      </c>
      <c r="L2353" s="36">
        <f>WEEKNUM(Table1[[#This Row],[ETA
As requested
dd.mm.yyyy]])</f>
        <v>8</v>
      </c>
      <c r="M2353" s="36">
        <f>YEAR(Table1[[#This Row],[ETA
As requested
dd.mm.yyyy]])</f>
        <v>2025</v>
      </c>
      <c r="N2353" s="36">
        <f>IFERROR(INDEX(DATABASE_FG!$H$5:$H$367, MATCH(E2353, DATABASE_FG!$C$5:$C$367, 0)), " ")</f>
        <v>0</v>
      </c>
      <c r="O2353" s="129" t="str">
        <f>IF(E2353&lt;&gt;"", _xlfn.XLOOKUP(E2353, DATABASE_FG!C:C, DATABASE_FG!F:F), " ")</f>
        <v>Ghidaje</v>
      </c>
      <c r="P2353" s="36">
        <f>IFERROR(INDEX(DATABASE_FG!$G$5:$G$367, MATCH(E2353, DATABASE_FG!$C$5:$C$367, 0)), "Not Found")</f>
        <v>0</v>
      </c>
      <c r="Q2353" s="36"/>
      <c r="R2353" s="125" t="s">
        <v>678</v>
      </c>
      <c r="S2353" s="123">
        <f>IFERROR(INDEX(DATABASE_FG!$L$5:$L$367, MATCH(E2353, DATABASE_FG!$C$5:$C$367, 0)), " ")</f>
        <v>42</v>
      </c>
      <c r="T2353" s="36" t="s">
        <v>679</v>
      </c>
      <c r="U2353" s="36"/>
      <c r="V2353" s="36"/>
      <c r="W2353" s="129"/>
      <c r="X2353" s="36"/>
      <c r="Y2353" s="36"/>
      <c r="Z2353" s="36"/>
      <c r="AA2353" s="125" t="s">
        <v>121</v>
      </c>
      <c r="AB2353" s="172">
        <v>45707</v>
      </c>
      <c r="AC2353" s="119" t="s">
        <v>2848</v>
      </c>
      <c r="AD2353" s="36">
        <f t="shared" si="263"/>
        <v>38474493</v>
      </c>
      <c r="AE2353" s="36" t="str">
        <f t="shared" si="264"/>
        <v>TK.KWVE30-B-A-H-0038-WW1</v>
      </c>
      <c r="AF2353" s="36">
        <v>172</v>
      </c>
      <c r="AG2353" s="120">
        <f t="shared" si="262"/>
        <v>775.71999999999991</v>
      </c>
      <c r="AH2353" s="36"/>
      <c r="AI2353" s="124"/>
      <c r="AJ2353" s="122" t="s">
        <v>2849</v>
      </c>
      <c r="AK2353" s="129" t="str">
        <f t="shared" ca="1" si="261"/>
        <v>On Time</v>
      </c>
      <c r="AL2353" s="268" t="str">
        <f t="shared" si="260"/>
        <v>February</v>
      </c>
      <c r="AM2353" s="133">
        <f>YEAR(Table1[[#This Row],[ETA
As requested
dd.mm.yyyy]])</f>
        <v>2025</v>
      </c>
    </row>
    <row r="2354" spans="1:40" hidden="1">
      <c r="A2354" s="123" t="s">
        <v>83</v>
      </c>
      <c r="B2354" s="36" t="s">
        <v>1170</v>
      </c>
      <c r="C2354" s="117">
        <v>38474493</v>
      </c>
      <c r="D2354" s="165">
        <v>45679</v>
      </c>
      <c r="E2354" s="117" t="s">
        <v>101</v>
      </c>
      <c r="F2354" s="36" t="str">
        <f>IFERROR(VLOOKUP(Table1[[#This Row],[Part Number]],DATABASE_FG!$C$6:D12343,2,FALSE)," ")</f>
        <v>059018879-8011</v>
      </c>
      <c r="G2354" s="117">
        <f>IFERROR(_xlfn.XLOOKUP(Table1[[#This Row],[Part Number]],Table3[Part number],Table3[Drawing
 Revision]),"")</f>
        <v>0</v>
      </c>
      <c r="H2354" s="118" cm="1">
        <f t="array" ref="H2354">IFERROR(INDEX(PDB!$C:$AT,MATCH(E2354,PDB!$B:$B,0),MATCH(YEAR(K2354),0+PDB!$C$1:$AT$1,0)),"")</f>
        <v>4.51</v>
      </c>
      <c r="I2354" s="36">
        <f>250-49-172</f>
        <v>29</v>
      </c>
      <c r="J2354" s="125">
        <f>IFERROR(Table1[[#This Row],[Quantity]]*Table1[[#This Row],[Price/Unit
EUR]]," ")</f>
        <v>130.79</v>
      </c>
      <c r="K2354" s="126">
        <v>45708</v>
      </c>
      <c r="L2354" s="36">
        <f>WEEKNUM(Table1[[#This Row],[ETA
As requested
dd.mm.yyyy]])</f>
        <v>8</v>
      </c>
      <c r="M2354" s="36">
        <f>YEAR(Table1[[#This Row],[ETA
As requested
dd.mm.yyyy]])</f>
        <v>2025</v>
      </c>
      <c r="N2354" s="36">
        <f>IFERROR(INDEX(DATABASE_FG!$H$5:$H$367, MATCH(E2354, DATABASE_FG!$C$5:$C$367, 0)), " ")</f>
        <v>0</v>
      </c>
      <c r="O2354" s="129" t="str">
        <f>IF(E2354&lt;&gt;"", _xlfn.XLOOKUP(E2354, DATABASE_FG!C:C, DATABASE_FG!F:F), " ")</f>
        <v>Ghidaje</v>
      </c>
      <c r="P2354" s="36">
        <f>IFERROR(INDEX(DATABASE_FG!$G$5:$G$367, MATCH(E2354, DATABASE_FG!$C$5:$C$367, 0)), "Not Found")</f>
        <v>0</v>
      </c>
      <c r="Q2354" s="36"/>
      <c r="R2354" s="125" t="s">
        <v>678</v>
      </c>
      <c r="S2354" s="123">
        <f>IFERROR(INDEX(DATABASE_FG!$L$5:$L$367, MATCH(E2354, DATABASE_FG!$C$5:$C$367, 0)), " ")</f>
        <v>42</v>
      </c>
      <c r="T2354" s="36" t="s">
        <v>679</v>
      </c>
      <c r="U2354" s="36"/>
      <c r="V2354" s="36"/>
      <c r="W2354" s="129"/>
      <c r="X2354" s="36"/>
      <c r="Y2354" s="36" t="s">
        <v>121</v>
      </c>
      <c r="Z2354" s="36"/>
      <c r="AA2354" s="125" t="s">
        <v>121</v>
      </c>
      <c r="AB2354" s="172">
        <v>45708</v>
      </c>
      <c r="AC2354" s="119">
        <v>25242</v>
      </c>
      <c r="AD2354" s="36">
        <f t="shared" si="263"/>
        <v>38474493</v>
      </c>
      <c r="AE2354" s="36" t="str">
        <f t="shared" si="264"/>
        <v>TK.KWVE30-B-A-H-0038-WW1</v>
      </c>
      <c r="AF2354" s="36">
        <v>29</v>
      </c>
      <c r="AG2354" s="120">
        <f t="shared" si="262"/>
        <v>130.79</v>
      </c>
      <c r="AH2354" s="36"/>
      <c r="AI2354" s="124"/>
      <c r="AJ2354" s="122" t="s">
        <v>2850</v>
      </c>
      <c r="AK2354" s="129" t="str">
        <f t="shared" ca="1" si="261"/>
        <v>On Time</v>
      </c>
      <c r="AL2354" s="268" t="str">
        <f t="shared" si="260"/>
        <v>February</v>
      </c>
      <c r="AM2354" s="133">
        <f>YEAR(Table1[[#This Row],[ETA
As requested
dd.mm.yyyy]])</f>
        <v>2025</v>
      </c>
    </row>
    <row r="2355" spans="1:40" hidden="1">
      <c r="A2355" s="123" t="s">
        <v>83</v>
      </c>
      <c r="B2355" s="36" t="s">
        <v>1170</v>
      </c>
      <c r="C2355" s="117">
        <v>38474493</v>
      </c>
      <c r="D2355" s="165">
        <v>45679</v>
      </c>
      <c r="E2355" s="117" t="s">
        <v>101</v>
      </c>
      <c r="F2355" s="36" t="str">
        <f>IFERROR(VLOOKUP(Table1[[#This Row],[Part Number]],DATABASE_FG!$C$6:D12344,2,FALSE)," ")</f>
        <v>059018879-8011</v>
      </c>
      <c r="G2355" s="117">
        <f>IFERROR(_xlfn.XLOOKUP(Table1[[#This Row],[Part Number]],Table3[Part number],Table3[Drawing
 Revision]),"")</f>
        <v>0</v>
      </c>
      <c r="H2355" s="118" cm="1">
        <f t="array" ref="H2355">IFERROR(INDEX(PDB!$C:$AT,MATCH(E2355,PDB!$B:$B,0),MATCH(YEAR(K2355),0+PDB!$C$1:$AT$1,0)),"")</f>
        <v>4.51</v>
      </c>
      <c r="I2355" s="36">
        <v>163</v>
      </c>
      <c r="J2355" s="125">
        <f>IFERROR(Table1[[#This Row],[Quantity]]*Table1[[#This Row],[Price/Unit
EUR]]," ")</f>
        <v>735.13</v>
      </c>
      <c r="K2355" s="126">
        <v>45713</v>
      </c>
      <c r="L2355" s="36">
        <f>WEEKNUM(Table1[[#This Row],[ETA
As requested
dd.mm.yyyy]])</f>
        <v>9</v>
      </c>
      <c r="M2355" s="36">
        <f>YEAR(Table1[[#This Row],[ETA
As requested
dd.mm.yyyy]])</f>
        <v>2025</v>
      </c>
      <c r="N2355" s="36">
        <f>IFERROR(INDEX(DATABASE_FG!$H$5:$H$367, MATCH(E2355, DATABASE_FG!$C$5:$C$367, 0)), " ")</f>
        <v>0</v>
      </c>
      <c r="O2355" s="129" t="str">
        <f>IF(E2355&lt;&gt;"", _xlfn.XLOOKUP(E2355, DATABASE_FG!C:C, DATABASE_FG!F:F), " ")</f>
        <v>Ghidaje</v>
      </c>
      <c r="P2355" s="36">
        <f>IFERROR(INDEX(DATABASE_FG!$G$5:$G$367, MATCH(E2355, DATABASE_FG!$C$5:$C$367, 0)), "Not Found")</f>
        <v>0</v>
      </c>
      <c r="Q2355" s="36"/>
      <c r="R2355" s="125" t="s">
        <v>678</v>
      </c>
      <c r="S2355" s="123">
        <f>IFERROR(INDEX(DATABASE_FG!$L$5:$L$367, MATCH(E2355, DATABASE_FG!$C$5:$C$367, 0)), " ")</f>
        <v>42</v>
      </c>
      <c r="T2355" s="36" t="s">
        <v>679</v>
      </c>
      <c r="U2355" s="36"/>
      <c r="V2355" s="36"/>
      <c r="W2355" s="129"/>
      <c r="X2355" s="36"/>
      <c r="Y2355" s="36"/>
      <c r="Z2355" s="36"/>
      <c r="AA2355" s="125" t="s">
        <v>121</v>
      </c>
      <c r="AB2355" s="172">
        <v>45708</v>
      </c>
      <c r="AC2355" s="119">
        <v>25242</v>
      </c>
      <c r="AD2355" s="36">
        <f t="shared" si="263"/>
        <v>38474493</v>
      </c>
      <c r="AE2355" s="36" t="str">
        <f t="shared" si="264"/>
        <v>TK.KWVE30-B-A-H-0038-WW1</v>
      </c>
      <c r="AF2355" s="36">
        <v>163</v>
      </c>
      <c r="AG2355" s="120">
        <f t="shared" si="262"/>
        <v>735.13</v>
      </c>
      <c r="AH2355" s="36"/>
      <c r="AI2355" s="124"/>
      <c r="AJ2355" s="122" t="s">
        <v>2850</v>
      </c>
      <c r="AK2355" s="129" t="str">
        <f t="shared" ca="1" si="261"/>
        <v>On Time</v>
      </c>
      <c r="AL2355" s="268" t="str">
        <f t="shared" si="260"/>
        <v>February</v>
      </c>
      <c r="AM2355" s="133">
        <f>YEAR(Table1[[#This Row],[ETA
As requested
dd.mm.yyyy]])</f>
        <v>2025</v>
      </c>
    </row>
    <row r="2356" spans="1:40" hidden="1">
      <c r="A2356" s="123" t="s">
        <v>83</v>
      </c>
      <c r="B2356" s="36" t="s">
        <v>1170</v>
      </c>
      <c r="C2356" s="117">
        <v>38474493</v>
      </c>
      <c r="D2356" s="165">
        <v>45679</v>
      </c>
      <c r="E2356" s="117" t="s">
        <v>101</v>
      </c>
      <c r="F2356" s="36" t="str">
        <f>IFERROR(VLOOKUP(Table1[[#This Row],[Part Number]],DATABASE_FG!$C$6:D12345,2,FALSE)," ")</f>
        <v>059018879-8011</v>
      </c>
      <c r="G2356" s="117">
        <f>IFERROR(_xlfn.XLOOKUP(Table1[[#This Row],[Part Number]],Table3[Part number],Table3[Drawing
 Revision]),"")</f>
        <v>0</v>
      </c>
      <c r="H2356" s="118" cm="1">
        <f t="array" ref="H2356">IFERROR(INDEX(PDB!$C:$AT,MATCH(E2356,PDB!$B:$B,0),MATCH(YEAR(K2356),0+PDB!$C$1:$AT$1,0)),"")</f>
        <v>4.51</v>
      </c>
      <c r="I2356" s="36">
        <v>32</v>
      </c>
      <c r="J2356" s="125">
        <f>IFERROR(Table1[[#This Row],[Quantity]]*Table1[[#This Row],[Price/Unit
EUR]]," ")</f>
        <v>144.32</v>
      </c>
      <c r="K2356" s="126">
        <v>45713</v>
      </c>
      <c r="L2356" s="36">
        <f>WEEKNUM(Table1[[#This Row],[ETA
As requested
dd.mm.yyyy]])</f>
        <v>9</v>
      </c>
      <c r="M2356" s="36">
        <f>YEAR(Table1[[#This Row],[ETA
As requested
dd.mm.yyyy]])</f>
        <v>2025</v>
      </c>
      <c r="N2356" s="36">
        <f>IFERROR(INDEX(DATABASE_FG!$H$5:$H$367, MATCH(E2356, DATABASE_FG!$C$5:$C$367, 0)), " ")</f>
        <v>0</v>
      </c>
      <c r="O2356" s="129" t="str">
        <f>IF(E2356&lt;&gt;"", _xlfn.XLOOKUP(E2356, DATABASE_FG!C:C, DATABASE_FG!F:F), " ")</f>
        <v>Ghidaje</v>
      </c>
      <c r="P2356" s="36">
        <f>IFERROR(INDEX(DATABASE_FG!$G$5:$G$367, MATCH(E2356, DATABASE_FG!$C$5:$C$367, 0)), "Not Found")</f>
        <v>0</v>
      </c>
      <c r="Q2356" s="36"/>
      <c r="R2356" s="125" t="s">
        <v>678</v>
      </c>
      <c r="S2356" s="123">
        <f>IFERROR(INDEX(DATABASE_FG!$L$5:$L$367, MATCH(E2356, DATABASE_FG!$C$5:$C$367, 0)), " ")</f>
        <v>42</v>
      </c>
      <c r="T2356" s="36" t="s">
        <v>679</v>
      </c>
      <c r="U2356" s="36"/>
      <c r="V2356" s="36"/>
      <c r="W2356" s="129"/>
      <c r="X2356" s="36"/>
      <c r="Y2356" s="36"/>
      <c r="Z2356" s="36"/>
      <c r="AA2356" s="125" t="s">
        <v>121</v>
      </c>
      <c r="AB2356" s="172">
        <v>45709</v>
      </c>
      <c r="AC2356" s="119">
        <v>25249</v>
      </c>
      <c r="AD2356" s="36">
        <f t="shared" si="263"/>
        <v>38474493</v>
      </c>
      <c r="AE2356" s="36" t="str">
        <f t="shared" si="264"/>
        <v>TK.KWVE30-B-A-H-0038-WW1</v>
      </c>
      <c r="AF2356" s="36">
        <v>32</v>
      </c>
      <c r="AG2356" s="120">
        <f t="shared" si="262"/>
        <v>144.32</v>
      </c>
      <c r="AH2356" s="36"/>
      <c r="AI2356" s="124"/>
      <c r="AJ2356" s="122" t="s">
        <v>2880</v>
      </c>
      <c r="AK2356" s="129" t="str">
        <f t="shared" ca="1" si="261"/>
        <v>On Time</v>
      </c>
      <c r="AL2356" s="268" t="str">
        <f t="shared" si="260"/>
        <v>February</v>
      </c>
      <c r="AM2356" s="133">
        <f>YEAR(Table1[[#This Row],[ETA
As requested
dd.mm.yyyy]])</f>
        <v>2025</v>
      </c>
    </row>
    <row r="2357" spans="1:40" hidden="1">
      <c r="A2357" s="123" t="s">
        <v>83</v>
      </c>
      <c r="B2357" s="36" t="s">
        <v>1170</v>
      </c>
      <c r="C2357" s="117">
        <v>38474493</v>
      </c>
      <c r="D2357" s="165">
        <v>45679</v>
      </c>
      <c r="E2357" s="117" t="s">
        <v>101</v>
      </c>
      <c r="F2357" s="36" t="str">
        <f>IFERROR(VLOOKUP(Table1[[#This Row],[Part Number]],DATABASE_FG!$C$6:D12346,2,FALSE)," ")</f>
        <v>059018879-8011</v>
      </c>
      <c r="G2357" s="117">
        <f>IFERROR(_xlfn.XLOOKUP(Table1[[#This Row],[Part Number]],Table3[Part number],Table3[Drawing
 Revision]),"")</f>
        <v>0</v>
      </c>
      <c r="H2357" s="118" cm="1">
        <f t="array" ref="H2357">IFERROR(INDEX(PDB!$C:$AT,MATCH(E2357,PDB!$B:$B,0),MATCH(YEAR(K2357),0+PDB!$C$1:$AT$1,0)),"")</f>
        <v>4.51</v>
      </c>
      <c r="I2357" s="36">
        <v>416</v>
      </c>
      <c r="J2357" s="125">
        <f>IFERROR(Table1[[#This Row],[Quantity]]*Table1[[#This Row],[Price/Unit
EUR]]," ")</f>
        <v>1876.1599999999999</v>
      </c>
      <c r="K2357" s="126">
        <v>45713</v>
      </c>
      <c r="L2357" s="36">
        <f>WEEKNUM(Table1[[#This Row],[ETA
As requested
dd.mm.yyyy]])</f>
        <v>9</v>
      </c>
      <c r="M2357" s="36">
        <f>YEAR(Table1[[#This Row],[ETA
As requested
dd.mm.yyyy]])</f>
        <v>2025</v>
      </c>
      <c r="N2357" s="36">
        <f>IFERROR(INDEX(DATABASE_FG!$H$5:$H$367, MATCH(E2357, DATABASE_FG!$C$5:$C$367, 0)), " ")</f>
        <v>0</v>
      </c>
      <c r="O2357" s="129" t="str">
        <f>IF(E2357&lt;&gt;"", _xlfn.XLOOKUP(E2357, DATABASE_FG!C:C, DATABASE_FG!F:F), " ")</f>
        <v>Ghidaje</v>
      </c>
      <c r="P2357" s="36">
        <f>IFERROR(INDEX(DATABASE_FG!$G$5:$G$367, MATCH(E2357, DATABASE_FG!$C$5:$C$367, 0)), "Not Found")</f>
        <v>0</v>
      </c>
      <c r="Q2357" s="36"/>
      <c r="R2357" s="125" t="s">
        <v>678</v>
      </c>
      <c r="S2357" s="123">
        <f>IFERROR(INDEX(DATABASE_FG!$L$5:$L$367, MATCH(E2357, DATABASE_FG!$C$5:$C$367, 0)), " ")</f>
        <v>42</v>
      </c>
      <c r="T2357" s="36" t="s">
        <v>679</v>
      </c>
      <c r="U2357" s="36"/>
      <c r="V2357" s="36"/>
      <c r="W2357" s="129"/>
      <c r="X2357" s="36"/>
      <c r="Y2357" s="36"/>
      <c r="Z2357" s="36"/>
      <c r="AA2357" s="125" t="s">
        <v>121</v>
      </c>
      <c r="AB2357" s="172">
        <v>45712</v>
      </c>
      <c r="AC2357" s="119" t="s">
        <v>2881</v>
      </c>
      <c r="AD2357" s="36">
        <f t="shared" si="263"/>
        <v>38474493</v>
      </c>
      <c r="AE2357" s="36" t="str">
        <f t="shared" si="264"/>
        <v>TK.KWVE30-B-A-H-0038-WW1</v>
      </c>
      <c r="AF2357" s="36">
        <v>416</v>
      </c>
      <c r="AG2357" s="120">
        <f t="shared" si="262"/>
        <v>1876.1599999999999</v>
      </c>
      <c r="AH2357" s="36"/>
      <c r="AI2357" s="124"/>
      <c r="AJ2357" s="122" t="s">
        <v>2882</v>
      </c>
      <c r="AK2357" s="129" t="str">
        <f t="shared" ca="1" si="261"/>
        <v>On Time</v>
      </c>
      <c r="AL2357" s="268" t="str">
        <f t="shared" ref="AL2357:AL2420" si="265">TEXT(K2357,"mmmm")</f>
        <v>February</v>
      </c>
      <c r="AM2357" s="133">
        <f>YEAR(Table1[[#This Row],[ETA
As requested
dd.mm.yyyy]])</f>
        <v>2025</v>
      </c>
    </row>
    <row r="2358" spans="1:40" hidden="1">
      <c r="A2358" s="123" t="s">
        <v>83</v>
      </c>
      <c r="B2358" s="36" t="s">
        <v>1170</v>
      </c>
      <c r="C2358" s="117">
        <v>38474493</v>
      </c>
      <c r="D2358" s="165">
        <v>45679</v>
      </c>
      <c r="E2358" s="117" t="s">
        <v>101</v>
      </c>
      <c r="F2358" s="36" t="str">
        <f>IFERROR(VLOOKUP(Table1[[#This Row],[Part Number]],DATABASE_FG!$C$6:D12347,2,FALSE)," ")</f>
        <v>059018879-8011</v>
      </c>
      <c r="G2358" s="117">
        <f>IFERROR(_xlfn.XLOOKUP(Table1[[#This Row],[Part Number]],Table3[Part number],Table3[Drawing
 Revision]),"")</f>
        <v>0</v>
      </c>
      <c r="H2358" s="118" cm="1">
        <f t="array" ref="H2358">IFERROR(INDEX(PDB!$C:$AT,MATCH(E2358,PDB!$B:$B,0),MATCH(YEAR(K2358),0+PDB!$C$1:$AT$1,0)),"")</f>
        <v>4.51</v>
      </c>
      <c r="I2358" s="36">
        <f>810-163-32-416</f>
        <v>199</v>
      </c>
      <c r="J2358" s="125">
        <f>IFERROR(Table1[[#This Row],[Quantity]]*Table1[[#This Row],[Price/Unit
EUR]]," ")</f>
        <v>897.49</v>
      </c>
      <c r="K2358" s="126">
        <v>45713</v>
      </c>
      <c r="L2358" s="36">
        <f>WEEKNUM(Table1[[#This Row],[ETA
As requested
dd.mm.yyyy]])</f>
        <v>9</v>
      </c>
      <c r="M2358" s="36">
        <f>YEAR(Table1[[#This Row],[ETA
As requested
dd.mm.yyyy]])</f>
        <v>2025</v>
      </c>
      <c r="N2358" s="36">
        <f>IFERROR(INDEX(DATABASE_FG!$H$5:$H$367, MATCH(E2358, DATABASE_FG!$C$5:$C$367, 0)), " ")</f>
        <v>0</v>
      </c>
      <c r="O2358" s="129" t="str">
        <f>IF(E2358&lt;&gt;"", _xlfn.XLOOKUP(E2358, DATABASE_FG!C:C, DATABASE_FG!F:F), " ")</f>
        <v>Ghidaje</v>
      </c>
      <c r="P2358" s="36">
        <f>IFERROR(INDEX(DATABASE_FG!$G$5:$G$367, MATCH(E2358, DATABASE_FG!$C$5:$C$367, 0)), "Not Found")</f>
        <v>0</v>
      </c>
      <c r="Q2358" s="36"/>
      <c r="R2358" s="125" t="s">
        <v>678</v>
      </c>
      <c r="S2358" s="123">
        <f>IFERROR(INDEX(DATABASE_FG!$L$5:$L$367, MATCH(E2358, DATABASE_FG!$C$5:$C$367, 0)), " ")</f>
        <v>42</v>
      </c>
      <c r="T2358" s="36" t="s">
        <v>679</v>
      </c>
      <c r="U2358" s="36"/>
      <c r="V2358" s="36"/>
      <c r="W2358" s="129"/>
      <c r="X2358" s="36"/>
      <c r="Y2358" s="36"/>
      <c r="Z2358" s="36"/>
      <c r="AA2358" s="125" t="s">
        <v>121</v>
      </c>
      <c r="AB2358" s="172">
        <v>45713</v>
      </c>
      <c r="AC2358" s="119">
        <v>25266</v>
      </c>
      <c r="AD2358" s="36">
        <f t="shared" si="263"/>
        <v>38474493</v>
      </c>
      <c r="AE2358" s="36" t="str">
        <f t="shared" si="264"/>
        <v>TK.KWVE30-B-A-H-0038-WW1</v>
      </c>
      <c r="AF2358" s="36">
        <v>199</v>
      </c>
      <c r="AG2358" s="120">
        <f t="shared" si="262"/>
        <v>897.49</v>
      </c>
      <c r="AH2358" s="36"/>
      <c r="AI2358" s="124"/>
      <c r="AJ2358" s="122" t="s">
        <v>2883</v>
      </c>
      <c r="AK2358" s="129" t="str">
        <f t="shared" ca="1" si="261"/>
        <v>On Time</v>
      </c>
      <c r="AL2358" s="268" t="str">
        <f t="shared" si="265"/>
        <v>February</v>
      </c>
      <c r="AM2358" s="133">
        <f>YEAR(Table1[[#This Row],[ETA
As requested
dd.mm.yyyy]])</f>
        <v>2025</v>
      </c>
    </row>
    <row r="2359" spans="1:40" hidden="1">
      <c r="A2359" s="123" t="s">
        <v>83</v>
      </c>
      <c r="B2359" s="36" t="s">
        <v>1170</v>
      </c>
      <c r="C2359" s="117">
        <v>5410527</v>
      </c>
      <c r="D2359" s="165">
        <v>45777</v>
      </c>
      <c r="E2359" s="117" t="s">
        <v>101</v>
      </c>
      <c r="F2359" s="36" t="str">
        <f>IFERROR(VLOOKUP(Table1[[#This Row],[Part Number]],DATABASE_FG!$C$6:D12348,2,FALSE)," ")</f>
        <v>059018879-8011</v>
      </c>
      <c r="G2359" s="117">
        <f>IFERROR(_xlfn.XLOOKUP(Table1[[#This Row],[Part Number]],Table3[Part number],Table3[Drawing
 Revision]),"")</f>
        <v>0</v>
      </c>
      <c r="H2359" s="118" cm="1">
        <f t="array" ref="H2359">IFERROR(INDEX(PDB!$C:$AT,MATCH(E2359,PDB!$B:$B,0),MATCH(YEAR(K2359),0+PDB!$C$1:$AT$1,0)),"")</f>
        <v>4.51</v>
      </c>
      <c r="I2359" s="36">
        <v>98</v>
      </c>
      <c r="J2359" s="125">
        <f>IFERROR(Table1[[#This Row],[Quantity]]*Table1[[#This Row],[Price/Unit
EUR]]," ")</f>
        <v>441.97999999999996</v>
      </c>
      <c r="K2359" s="126">
        <v>45782</v>
      </c>
      <c r="L2359" s="36">
        <f>WEEKNUM(Table1[[#This Row],[ETA
As requested
dd.mm.yyyy]])</f>
        <v>19</v>
      </c>
      <c r="M2359" s="36">
        <f>YEAR(Table1[[#This Row],[ETA
As requested
dd.mm.yyyy]])</f>
        <v>2025</v>
      </c>
      <c r="N2359" s="36">
        <f>IFERROR(INDEX(DATABASE_FG!$H$5:$H$367, MATCH(E2359, DATABASE_FG!$C$5:$C$367, 0)), " ")</f>
        <v>0</v>
      </c>
      <c r="O2359" s="129" t="str">
        <f>IF(E2359&lt;&gt;"", _xlfn.XLOOKUP(E2359, DATABASE_FG!C:C, DATABASE_FG!F:F), " ")</f>
        <v>Ghidaje</v>
      </c>
      <c r="P2359" s="36">
        <f>IFERROR(INDEX(DATABASE_FG!$G$5:$G$367, MATCH(E2359, DATABASE_FG!$C$5:$C$367, 0)), "Not Found")</f>
        <v>0</v>
      </c>
      <c r="Q2359" s="36"/>
      <c r="R2359" s="125" t="s">
        <v>678</v>
      </c>
      <c r="S2359" s="123">
        <f>IFERROR(INDEX(DATABASE_FG!$L$5:$L$367, MATCH(E2359, DATABASE_FG!$C$5:$C$367, 0)), " ")</f>
        <v>42</v>
      </c>
      <c r="T2359" s="36" t="s">
        <v>679</v>
      </c>
      <c r="U2359" s="36"/>
      <c r="V2359" s="36"/>
      <c r="W2359" s="129"/>
      <c r="X2359" s="36"/>
      <c r="Y2359" s="36"/>
      <c r="Z2359" s="36"/>
      <c r="AA2359" s="125" t="s">
        <v>121</v>
      </c>
      <c r="AB2359" s="172">
        <v>45783</v>
      </c>
      <c r="AC2359" s="119">
        <v>25729</v>
      </c>
      <c r="AD2359" s="36">
        <f t="shared" si="263"/>
        <v>5410527</v>
      </c>
      <c r="AE2359" s="36" t="str">
        <f t="shared" si="264"/>
        <v>TK.KWVE30-B-A-H-0038-WW1</v>
      </c>
      <c r="AF2359" s="36">
        <v>98</v>
      </c>
      <c r="AG2359" s="120">
        <f t="shared" si="262"/>
        <v>441.97999999999996</v>
      </c>
      <c r="AH2359" s="36"/>
      <c r="AI2359" s="124"/>
      <c r="AJ2359" s="122" t="s">
        <v>3144</v>
      </c>
      <c r="AK2359" s="129" t="str">
        <f t="shared" ca="1" si="261"/>
        <v>On Time</v>
      </c>
      <c r="AL2359" s="268" t="str">
        <f t="shared" si="265"/>
        <v>May</v>
      </c>
      <c r="AM2359" s="133">
        <f>YEAR(Table1[[#This Row],[ETA
As requested
dd.mm.yyyy]])</f>
        <v>2025</v>
      </c>
    </row>
    <row r="2360" spans="1:40" hidden="1">
      <c r="A2360" s="123" t="s">
        <v>83</v>
      </c>
      <c r="B2360" s="36" t="s">
        <v>1170</v>
      </c>
      <c r="C2360" s="117">
        <v>5410527</v>
      </c>
      <c r="D2360" s="165">
        <v>45777</v>
      </c>
      <c r="E2360" s="117" t="s">
        <v>101</v>
      </c>
      <c r="F2360" s="36" t="str">
        <f>IFERROR(VLOOKUP(Table1[[#This Row],[Part Number]],DATABASE_FG!$C$6:D12349,2,FALSE)," ")</f>
        <v>059018879-8011</v>
      </c>
      <c r="G2360" s="117">
        <f>IFERROR(_xlfn.XLOOKUP(Table1[[#This Row],[Part Number]],Table3[Part number],Table3[Drawing
 Revision]),"")</f>
        <v>0</v>
      </c>
      <c r="H2360" s="118" cm="1">
        <f t="array" ref="H2360">IFERROR(INDEX(PDB!$C:$AT,MATCH(E2360,PDB!$B:$B,0),MATCH(YEAR(K2360),0+PDB!$C$1:$AT$1,0)),"")</f>
        <v>4.51</v>
      </c>
      <c r="I2360" s="36">
        <v>180</v>
      </c>
      <c r="J2360" s="125">
        <f>IFERROR(Table1[[#This Row],[Quantity]]*Table1[[#This Row],[Price/Unit
EUR]]," ")</f>
        <v>811.8</v>
      </c>
      <c r="K2360" s="126">
        <v>45789</v>
      </c>
      <c r="L2360" s="36">
        <f>WEEKNUM(Table1[[#This Row],[ETA
As requested
dd.mm.yyyy]])</f>
        <v>20</v>
      </c>
      <c r="M2360" s="36">
        <f>YEAR(Table1[[#This Row],[ETA
As requested
dd.mm.yyyy]])</f>
        <v>2025</v>
      </c>
      <c r="N2360" s="36">
        <f>IFERROR(INDEX(DATABASE_FG!$H$5:$H$367, MATCH(E2360, DATABASE_FG!$C$5:$C$367, 0)), " ")</f>
        <v>0</v>
      </c>
      <c r="O2360" s="129" t="str">
        <f>IF(E2360&lt;&gt;"", _xlfn.XLOOKUP(E2360, DATABASE_FG!C:C, DATABASE_FG!F:F), " ")</f>
        <v>Ghidaje</v>
      </c>
      <c r="P2360" s="36">
        <f>IFERROR(INDEX(DATABASE_FG!$G$5:$G$367, MATCH(E2360, DATABASE_FG!$C$5:$C$367, 0)), "Not Found")</f>
        <v>0</v>
      </c>
      <c r="Q2360" s="36"/>
      <c r="R2360" s="125" t="s">
        <v>678</v>
      </c>
      <c r="S2360" s="123">
        <f>IFERROR(INDEX(DATABASE_FG!$L$5:$L$367, MATCH(E2360, DATABASE_FG!$C$5:$C$367, 0)), " ")</f>
        <v>42</v>
      </c>
      <c r="T2360" s="36" t="s">
        <v>679</v>
      </c>
      <c r="U2360" s="36"/>
      <c r="V2360" s="36"/>
      <c r="W2360" s="129"/>
      <c r="X2360" s="36"/>
      <c r="Y2360" s="36"/>
      <c r="Z2360" s="36"/>
      <c r="AA2360" s="125" t="s">
        <v>121</v>
      </c>
      <c r="AB2360" s="172">
        <v>45799</v>
      </c>
      <c r="AC2360" s="119">
        <v>25805</v>
      </c>
      <c r="AD2360" s="36">
        <f t="shared" si="263"/>
        <v>5410527</v>
      </c>
      <c r="AE2360" s="36" t="str">
        <f t="shared" si="264"/>
        <v>TK.KWVE30-B-A-H-0038-WW1</v>
      </c>
      <c r="AF2360" s="36">
        <v>180</v>
      </c>
      <c r="AG2360" s="120">
        <f t="shared" si="262"/>
        <v>811.8</v>
      </c>
      <c r="AH2360" s="36"/>
      <c r="AI2360" s="124"/>
      <c r="AJ2360" s="122" t="s">
        <v>3177</v>
      </c>
      <c r="AK2360" s="129" t="str">
        <f t="shared" ref="AK2360:AK2423" ca="1" si="266">IF(AB2360="", IF(K2360 &lt; TODAY(), "Late", ""), IF(AB2360 &lt;= K2360 + 2, "On Time", "Late"))</f>
        <v>Late</v>
      </c>
      <c r="AL2360" s="268" t="str">
        <f t="shared" si="265"/>
        <v>May</v>
      </c>
      <c r="AM2360" s="133">
        <f>YEAR(Table1[[#This Row],[ETA
As requested
dd.mm.yyyy]])</f>
        <v>2025</v>
      </c>
    </row>
    <row r="2361" spans="1:40" hidden="1">
      <c r="A2361" s="123" t="s">
        <v>83</v>
      </c>
      <c r="B2361" s="36" t="s">
        <v>1170</v>
      </c>
      <c r="C2361" s="117">
        <v>5410527</v>
      </c>
      <c r="D2361" s="165">
        <v>45777</v>
      </c>
      <c r="E2361" s="117" t="s">
        <v>101</v>
      </c>
      <c r="F2361" s="36" t="str">
        <f>IFERROR(VLOOKUP(Table1[[#This Row],[Part Number]],DATABASE_FG!$C$6:D12350,2,FALSE)," ")</f>
        <v>059018879-8011</v>
      </c>
      <c r="G2361" s="117">
        <f>IFERROR(_xlfn.XLOOKUP(Table1[[#This Row],[Part Number]],Table3[Part number],Table3[Drawing
 Revision]),"")</f>
        <v>0</v>
      </c>
      <c r="H2361" s="118" cm="1">
        <f t="array" ref="H2361">IFERROR(INDEX(PDB!$C:$AT,MATCH(E2361,PDB!$B:$B,0),MATCH(YEAR(K2361),0+PDB!$C$1:$AT$1,0)),"")</f>
        <v>4.51</v>
      </c>
      <c r="I2361" s="36">
        <f>300-98-180</f>
        <v>22</v>
      </c>
      <c r="J2361" s="125">
        <f>IFERROR(Table1[[#This Row],[Quantity]]*Table1[[#This Row],[Price/Unit
EUR]]," ")</f>
        <v>99.22</v>
      </c>
      <c r="K2361" s="126">
        <v>45789</v>
      </c>
      <c r="L2361" s="36">
        <f>WEEKNUM(Table1[[#This Row],[ETA
As requested
dd.mm.yyyy]])</f>
        <v>20</v>
      </c>
      <c r="M2361" s="36">
        <f>YEAR(Table1[[#This Row],[ETA
As requested
dd.mm.yyyy]])</f>
        <v>2025</v>
      </c>
      <c r="N2361" s="36">
        <f>IFERROR(INDEX(DATABASE_FG!$H$5:$H$367, MATCH(E2361, DATABASE_FG!$C$5:$C$367, 0)), " ")</f>
        <v>0</v>
      </c>
      <c r="O2361" s="129" t="str">
        <f>IF(E2361&lt;&gt;"", _xlfn.XLOOKUP(E2361, DATABASE_FG!C:C, DATABASE_FG!F:F), " ")</f>
        <v>Ghidaje</v>
      </c>
      <c r="P2361" s="36">
        <f>IFERROR(INDEX(DATABASE_FG!$G$5:$G$367, MATCH(E2361, DATABASE_FG!$C$5:$C$367, 0)), "Not Found")</f>
        <v>0</v>
      </c>
      <c r="Q2361" s="36"/>
      <c r="R2361" s="125" t="s">
        <v>678</v>
      </c>
      <c r="S2361" s="123">
        <f>IFERROR(INDEX(DATABASE_FG!$L$5:$L$367, MATCH(E2361, DATABASE_FG!$C$5:$C$367, 0)), " ")</f>
        <v>42</v>
      </c>
      <c r="T2361" s="36" t="s">
        <v>679</v>
      </c>
      <c r="U2361" s="36"/>
      <c r="V2361" s="36"/>
      <c r="W2361" s="129"/>
      <c r="X2361" s="36"/>
      <c r="Y2361" s="36"/>
      <c r="Z2361" s="36"/>
      <c r="AA2361" s="125" t="s">
        <v>121</v>
      </c>
      <c r="AB2361" s="172">
        <v>45804</v>
      </c>
      <c r="AC2361" s="119">
        <v>25840</v>
      </c>
      <c r="AD2361" s="36">
        <f t="shared" si="263"/>
        <v>5410527</v>
      </c>
      <c r="AE2361" s="36" t="str">
        <f t="shared" si="264"/>
        <v>TK.KWVE30-B-A-H-0038-WW1</v>
      </c>
      <c r="AF2361" s="36">
        <v>22</v>
      </c>
      <c r="AG2361" s="120">
        <f t="shared" si="262"/>
        <v>99.22</v>
      </c>
      <c r="AH2361" s="36"/>
      <c r="AI2361" s="124"/>
      <c r="AJ2361" s="122" t="s">
        <v>3180</v>
      </c>
      <c r="AK2361" s="129" t="str">
        <f t="shared" ca="1" si="266"/>
        <v>Late</v>
      </c>
      <c r="AL2361" s="268" t="str">
        <f t="shared" si="265"/>
        <v>May</v>
      </c>
      <c r="AM2361" s="133">
        <f>YEAR(Table1[[#This Row],[ETA
As requested
dd.mm.yyyy]])</f>
        <v>2025</v>
      </c>
    </row>
    <row r="2362" spans="1:40" hidden="1">
      <c r="A2362" s="123" t="s">
        <v>83</v>
      </c>
      <c r="B2362" s="36" t="s">
        <v>1170</v>
      </c>
      <c r="C2362" s="117">
        <v>5410527</v>
      </c>
      <c r="D2362" s="165">
        <v>45777</v>
      </c>
      <c r="E2362" s="117" t="s">
        <v>101</v>
      </c>
      <c r="F2362" s="36" t="str">
        <f>IFERROR(VLOOKUP(Table1[[#This Row],[Part Number]],DATABASE_FG!$C$6:D12351,2,FALSE)," ")</f>
        <v>059018879-8011</v>
      </c>
      <c r="G2362" s="117">
        <f>IFERROR(_xlfn.XLOOKUP(Table1[[#This Row],[Part Number]],Table3[Part number],Table3[Drawing
 Revision]),"")</f>
        <v>0</v>
      </c>
      <c r="H2362" s="118" cm="1">
        <f t="array" ref="H2362">IFERROR(INDEX(PDB!$C:$AT,MATCH(E2362,PDB!$B:$B,0),MATCH(YEAR(K2362),0+PDB!$C$1:$AT$1,0)),"")</f>
        <v>4.51</v>
      </c>
      <c r="I2362" s="36">
        <f>200-102</f>
        <v>98</v>
      </c>
      <c r="J2362" s="125">
        <f>IFERROR(Table1[[#This Row],[Quantity]]*Table1[[#This Row],[Price/Unit
EUR]]," ")</f>
        <v>441.97999999999996</v>
      </c>
      <c r="K2362" s="126">
        <v>45834</v>
      </c>
      <c r="L2362" s="36">
        <f>WEEKNUM(Table1[[#This Row],[ETA
As requested
dd.mm.yyyy]])</f>
        <v>26</v>
      </c>
      <c r="M2362" s="36">
        <f>YEAR(Table1[[#This Row],[ETA
As requested
dd.mm.yyyy]])</f>
        <v>2025</v>
      </c>
      <c r="N2362" s="36">
        <f>IFERROR(INDEX(DATABASE_FG!$H$5:$H$367, MATCH(E2362, DATABASE_FG!$C$5:$C$367, 0)), " ")</f>
        <v>0</v>
      </c>
      <c r="O2362" s="129" t="str">
        <f>IF(E2362&lt;&gt;"", _xlfn.XLOOKUP(E2362, DATABASE_FG!C:C, DATABASE_FG!F:F), " ")</f>
        <v>Ghidaje</v>
      </c>
      <c r="P2362" s="36">
        <f>IFERROR(INDEX(DATABASE_FG!$G$5:$G$367, MATCH(E2362, DATABASE_FG!$C$5:$C$367, 0)), "Not Found")</f>
        <v>0</v>
      </c>
      <c r="Q2362" s="36"/>
      <c r="R2362" s="125" t="s">
        <v>678</v>
      </c>
      <c r="S2362" s="123">
        <f>Table1[[#This Row],[Quantity]]/48</f>
        <v>2.0416666666666665</v>
      </c>
      <c r="T2362" s="36"/>
      <c r="U2362" s="36"/>
      <c r="V2362" s="36"/>
      <c r="W2362" s="129"/>
      <c r="X2362" s="36"/>
      <c r="Y2362" s="36"/>
      <c r="Z2362" s="36"/>
      <c r="AA2362" s="125" t="s">
        <v>121</v>
      </c>
      <c r="AB2362" s="172">
        <v>45820</v>
      </c>
      <c r="AC2362" s="119">
        <v>25915</v>
      </c>
      <c r="AD2362" s="36">
        <f t="shared" si="263"/>
        <v>5410527</v>
      </c>
      <c r="AE2362" s="36" t="str">
        <f t="shared" si="264"/>
        <v>TK.KWVE30-B-A-H-0038-WW1</v>
      </c>
      <c r="AF2362" s="36">
        <v>98</v>
      </c>
      <c r="AG2362" s="120">
        <f t="shared" si="262"/>
        <v>441.97999999999996</v>
      </c>
      <c r="AH2362" s="36"/>
      <c r="AI2362" s="124"/>
      <c r="AJ2362" s="122" t="s">
        <v>3317</v>
      </c>
      <c r="AK2362" s="129" t="str">
        <f t="shared" ca="1" si="266"/>
        <v>On Time</v>
      </c>
      <c r="AL2362" s="268" t="str">
        <f t="shared" si="265"/>
        <v>June</v>
      </c>
      <c r="AM2362" s="133">
        <f>YEAR(Table1[[#This Row],[ETA
As requested
dd.mm.yyyy]])</f>
        <v>2025</v>
      </c>
    </row>
    <row r="2363" spans="1:40" hidden="1">
      <c r="A2363" s="123" t="s">
        <v>83</v>
      </c>
      <c r="B2363" s="36" t="s">
        <v>1170</v>
      </c>
      <c r="C2363" s="117">
        <v>5410527</v>
      </c>
      <c r="D2363" s="165">
        <v>45777</v>
      </c>
      <c r="E2363" s="117" t="s">
        <v>101</v>
      </c>
      <c r="F2363" s="36" t="str">
        <f>IFERROR(VLOOKUP(Table1[[#This Row],[Part Number]],DATABASE_FG!$C$6:D12352,2,FALSE)," ")</f>
        <v>059018879-8011</v>
      </c>
      <c r="G2363" s="117">
        <f>IFERROR(_xlfn.XLOOKUP(Table1[[#This Row],[Part Number]],Table3[Part number],Table3[Drawing
 Revision]),"")</f>
        <v>0</v>
      </c>
      <c r="H2363" s="118" cm="1">
        <f t="array" ref="H2363">IFERROR(INDEX(PDB!$C:$AT,MATCH(E2363,PDB!$B:$B,0),MATCH(YEAR(K2363),0+PDB!$C$1:$AT$1,0)),"")</f>
        <v>4.51</v>
      </c>
      <c r="I2363" s="36">
        <v>102</v>
      </c>
      <c r="J2363" s="125">
        <f>IFERROR(Table1[[#This Row],[Quantity]]*Table1[[#This Row],[Price/Unit
EUR]]," ")</f>
        <v>460.02</v>
      </c>
      <c r="K2363" s="126">
        <v>45834</v>
      </c>
      <c r="L2363" s="36">
        <f>WEEKNUM(Table1[[#This Row],[ETA
As requested
dd.mm.yyyy]])</f>
        <v>26</v>
      </c>
      <c r="M2363" s="36">
        <f>YEAR(Table1[[#This Row],[ETA
As requested
dd.mm.yyyy]])</f>
        <v>2025</v>
      </c>
      <c r="N2363" s="36">
        <f>IFERROR(INDEX(DATABASE_FG!$H$5:$H$367, MATCH(E2363, DATABASE_FG!$C$5:$C$367, 0)), " ")</f>
        <v>0</v>
      </c>
      <c r="O2363" s="129" t="str">
        <f>IF(E2363&lt;&gt;"", _xlfn.XLOOKUP(E2363, DATABASE_FG!C:C, DATABASE_FG!F:F), " ")</f>
        <v>Ghidaje</v>
      </c>
      <c r="P2363" s="36">
        <f>IFERROR(INDEX(DATABASE_FG!$G$5:$G$367, MATCH(E2363, DATABASE_FG!$C$5:$C$367, 0)), "Not Found")</f>
        <v>0</v>
      </c>
      <c r="Q2363" s="36"/>
      <c r="R2363" s="125" t="s">
        <v>678</v>
      </c>
      <c r="S2363" s="123">
        <f>Table1[[#This Row],[Quantity]]/48</f>
        <v>2.125</v>
      </c>
      <c r="T2363" s="36"/>
      <c r="U2363" s="36"/>
      <c r="V2363" s="36"/>
      <c r="W2363" s="129"/>
      <c r="X2363" s="36"/>
      <c r="Y2363" s="36"/>
      <c r="Z2363" s="36"/>
      <c r="AA2363" s="125" t="s">
        <v>121</v>
      </c>
      <c r="AB2363" s="173">
        <v>45821</v>
      </c>
      <c r="AC2363" s="119">
        <v>25924</v>
      </c>
      <c r="AD2363" s="36">
        <f t="shared" si="263"/>
        <v>5410527</v>
      </c>
      <c r="AE2363" s="36" t="str">
        <f t="shared" si="264"/>
        <v>TK.KWVE30-B-A-H-0038-WW1</v>
      </c>
      <c r="AF2363" s="36">
        <v>102</v>
      </c>
      <c r="AG2363" s="120">
        <f t="shared" si="262"/>
        <v>460.02</v>
      </c>
      <c r="AH2363" s="36"/>
      <c r="AI2363" s="124"/>
      <c r="AJ2363" s="122" t="s">
        <v>3318</v>
      </c>
      <c r="AK2363" s="129" t="str">
        <f t="shared" ca="1" si="266"/>
        <v>On Time</v>
      </c>
      <c r="AL2363" s="268" t="str">
        <f t="shared" si="265"/>
        <v>June</v>
      </c>
      <c r="AM2363" s="133">
        <f>YEAR(Table1[[#This Row],[ETA
As requested
dd.mm.yyyy]])</f>
        <v>2025</v>
      </c>
    </row>
    <row r="2364" spans="1:40" hidden="1">
      <c r="A2364" s="123" t="s">
        <v>83</v>
      </c>
      <c r="B2364" s="36" t="s">
        <v>1170</v>
      </c>
      <c r="C2364" s="117">
        <v>5410527</v>
      </c>
      <c r="D2364" s="165">
        <v>45777</v>
      </c>
      <c r="E2364" s="117" t="s">
        <v>101</v>
      </c>
      <c r="F2364" s="36" t="str">
        <f>IFERROR(VLOOKUP(Table1[[#This Row],[Part Number]],DATABASE_FG!$C$6:D12353,2,FALSE)," ")</f>
        <v>059018879-8011</v>
      </c>
      <c r="G2364" s="117">
        <f>IFERROR(_xlfn.XLOOKUP(Table1[[#This Row],[Part Number]],Table3[Part number],Table3[Drawing
 Revision]),"")</f>
        <v>0</v>
      </c>
      <c r="H2364" s="118" cm="1">
        <f t="array" ref="H2364">IFERROR(INDEX(PDB!$C:$AT,MATCH(E2364,PDB!$B:$B,0),MATCH(YEAR(K2364),0+PDB!$C$1:$AT$1,0)),"")</f>
        <v>4.51</v>
      </c>
      <c r="I2364" s="36">
        <v>133</v>
      </c>
      <c r="J2364" s="125">
        <f>IFERROR(Table1[[#This Row],[Quantity]]*Table1[[#This Row],[Price/Unit
EUR]]," ")</f>
        <v>599.82999999999993</v>
      </c>
      <c r="K2364" s="126">
        <v>45834</v>
      </c>
      <c r="L2364" s="36">
        <f>WEEKNUM(Table1[[#This Row],[ETA
As requested
dd.mm.yyyy]])</f>
        <v>26</v>
      </c>
      <c r="M2364" s="36">
        <f>YEAR(Table1[[#This Row],[ETA
As requested
dd.mm.yyyy]])</f>
        <v>2025</v>
      </c>
      <c r="N2364" s="36">
        <f>IFERROR(INDEX(DATABASE_FG!$H$5:$H$367, MATCH(E2364, DATABASE_FG!$C$5:$C$367, 0)), " ")</f>
        <v>0</v>
      </c>
      <c r="O2364" s="129" t="str">
        <f>IF(E2364&lt;&gt;"", _xlfn.XLOOKUP(E2364, DATABASE_FG!C:C, DATABASE_FG!F:F), " ")</f>
        <v>Ghidaje</v>
      </c>
      <c r="P2364" s="36">
        <f>IFERROR(INDEX(DATABASE_FG!$G$5:$G$367, MATCH(E2364, DATABASE_FG!$C$5:$C$367, 0)), "Not Found")</f>
        <v>0</v>
      </c>
      <c r="Q2364" s="36"/>
      <c r="R2364" s="125" t="s">
        <v>678</v>
      </c>
      <c r="S2364" s="123">
        <f>Table1[[#This Row],[Quantity]]/48</f>
        <v>2.7708333333333335</v>
      </c>
      <c r="T2364" s="36"/>
      <c r="U2364" s="36"/>
      <c r="V2364" s="36"/>
      <c r="W2364" s="129"/>
      <c r="X2364" s="36"/>
      <c r="Y2364" s="36"/>
      <c r="Z2364" s="36"/>
      <c r="AA2364" s="125" t="s">
        <v>121</v>
      </c>
      <c r="AB2364" s="172">
        <v>45832</v>
      </c>
      <c r="AC2364" s="119">
        <v>25978</v>
      </c>
      <c r="AD2364" s="36">
        <f t="shared" si="263"/>
        <v>5410527</v>
      </c>
      <c r="AE2364" s="36" t="str">
        <f t="shared" si="264"/>
        <v>TK.KWVE30-B-A-H-0038-WW1</v>
      </c>
      <c r="AF2364" s="36">
        <v>133</v>
      </c>
      <c r="AG2364" s="120">
        <f t="shared" si="262"/>
        <v>599.82999999999993</v>
      </c>
      <c r="AH2364" s="36"/>
      <c r="AI2364" s="124"/>
      <c r="AJ2364" s="122" t="s">
        <v>3319</v>
      </c>
      <c r="AK2364" s="129" t="str">
        <f t="shared" ca="1" si="266"/>
        <v>On Time</v>
      </c>
      <c r="AL2364" s="268" t="str">
        <f t="shared" si="265"/>
        <v>June</v>
      </c>
      <c r="AM2364" s="133">
        <f>YEAR(Table1[[#This Row],[ETA
As requested
dd.mm.yyyy]])</f>
        <v>2025</v>
      </c>
    </row>
    <row r="2365" spans="1:40" hidden="1">
      <c r="A2365" s="123" t="s">
        <v>83</v>
      </c>
      <c r="B2365" s="36" t="s">
        <v>1170</v>
      </c>
      <c r="C2365" s="117">
        <v>5410527</v>
      </c>
      <c r="D2365" s="165">
        <v>45777</v>
      </c>
      <c r="E2365" s="117" t="s">
        <v>101</v>
      </c>
      <c r="F2365" s="36" t="str">
        <f>IFERROR(VLOOKUP(Table1[[#This Row],[Part Number]],DATABASE_FG!$C$6:D12354,2,FALSE)," ")</f>
        <v>059018879-8011</v>
      </c>
      <c r="G2365" s="117">
        <f>IFERROR(_xlfn.XLOOKUP(Table1[[#This Row],[Part Number]],Table3[Part number],Table3[Drawing
 Revision]),"")</f>
        <v>0</v>
      </c>
      <c r="H2365" s="118" cm="1">
        <f t="array" ref="H2365">IFERROR(INDEX(PDB!$C:$AT,MATCH(E2365,PDB!$B:$B,0),MATCH(YEAR(K2365),0+PDB!$C$1:$AT$1,0)),"")</f>
        <v>4.51</v>
      </c>
      <c r="I2365" s="36">
        <v>100</v>
      </c>
      <c r="J2365" s="125">
        <f>IFERROR(Table1[[#This Row],[Quantity]]*Table1[[#This Row],[Price/Unit
EUR]]," ")</f>
        <v>451</v>
      </c>
      <c r="K2365" s="126">
        <v>45925</v>
      </c>
      <c r="L2365" s="36">
        <f>WEEKNUM(Table1[[#This Row],[ETA
As requested
dd.mm.yyyy]])</f>
        <v>39</v>
      </c>
      <c r="M2365" s="36">
        <f>YEAR(Table1[[#This Row],[ETA
As requested
dd.mm.yyyy]])</f>
        <v>2025</v>
      </c>
      <c r="N2365" s="36">
        <f>IFERROR(INDEX(DATABASE_FG!$H$5:$H$367, MATCH(E2365, DATABASE_FG!$C$5:$C$367, 0)), " ")</f>
        <v>0</v>
      </c>
      <c r="O2365" s="129" t="str">
        <f>IF(E2365&lt;&gt;"", _xlfn.XLOOKUP(E2365, DATABASE_FG!C:C, DATABASE_FG!F:F), " ")</f>
        <v>Ghidaje</v>
      </c>
      <c r="P2365" s="36">
        <f>IFERROR(INDEX(DATABASE_FG!$G$5:$G$367, MATCH(E2365, DATABASE_FG!$C$5:$C$367, 0)), "Not Found")</f>
        <v>0</v>
      </c>
      <c r="Q2365" s="36"/>
      <c r="R2365" s="125" t="s">
        <v>678</v>
      </c>
      <c r="S2365" s="123">
        <f>Table1[[#This Row],[Quantity]]/48</f>
        <v>2.0833333333333335</v>
      </c>
      <c r="T2365" s="36"/>
      <c r="U2365" s="36"/>
      <c r="V2365" s="36"/>
      <c r="W2365" s="129"/>
      <c r="X2365" s="36"/>
      <c r="Y2365" s="36"/>
      <c r="Z2365" s="36"/>
      <c r="AA2365" s="125" t="s">
        <v>121</v>
      </c>
      <c r="AB2365" s="172">
        <v>45922</v>
      </c>
      <c r="AC2365" s="119">
        <v>2025186</v>
      </c>
      <c r="AD2365" s="36">
        <f t="shared" si="263"/>
        <v>5410527</v>
      </c>
      <c r="AE2365" s="36" t="str">
        <f t="shared" si="264"/>
        <v>TK.KWVE30-B-A-H-0038-WW1</v>
      </c>
      <c r="AF2365" s="36">
        <v>100</v>
      </c>
      <c r="AG2365" s="120">
        <f t="shared" si="262"/>
        <v>451</v>
      </c>
      <c r="AH2365" s="36"/>
      <c r="AI2365" s="124"/>
      <c r="AJ2365" s="122" t="s">
        <v>3720</v>
      </c>
      <c r="AK2365" s="129" t="str">
        <f t="shared" ca="1" si="266"/>
        <v>On Time</v>
      </c>
      <c r="AL2365" s="268" t="str">
        <f t="shared" si="265"/>
        <v>September</v>
      </c>
      <c r="AM2365" s="133">
        <f>YEAR(Table1[[#This Row],[ETA
As requested
dd.mm.yyyy]])</f>
        <v>2025</v>
      </c>
    </row>
    <row r="2366" spans="1:40" hidden="1">
      <c r="A2366" s="123" t="s">
        <v>83</v>
      </c>
      <c r="B2366" s="36" t="s">
        <v>1170</v>
      </c>
      <c r="C2366" s="117">
        <v>5410527</v>
      </c>
      <c r="D2366" s="165">
        <v>45777</v>
      </c>
      <c r="E2366" s="117" t="s">
        <v>101</v>
      </c>
      <c r="F2366" s="36" t="str">
        <f>IFERROR(VLOOKUP(Table1[[#This Row],[Part Number]],DATABASE_FG!$C$6:D12355,2,FALSE)," ")</f>
        <v>059018879-8011</v>
      </c>
      <c r="G2366" s="117">
        <f>IFERROR(_xlfn.XLOOKUP(Table1[[#This Row],[Part Number]],Table3[Part number],Table3[Drawing
 Revision]),"")</f>
        <v>0</v>
      </c>
      <c r="H2366" s="118" cm="1">
        <f t="array" ref="H2366">IFERROR(INDEX(PDB!$C:$AT,MATCH(E2366,PDB!$B:$B,0),MATCH(YEAR(K2366),0+PDB!$C$1:$AT$1,0)),"")</f>
        <v>4.51</v>
      </c>
      <c r="I2366" s="36">
        <v>60</v>
      </c>
      <c r="J2366" s="125">
        <f>IFERROR(Table1[[#This Row],[Quantity]]*Table1[[#This Row],[Price/Unit
EUR]]," ")</f>
        <v>270.59999999999997</v>
      </c>
      <c r="K2366" s="126">
        <v>45925</v>
      </c>
      <c r="L2366" s="36">
        <f>WEEKNUM(Table1[[#This Row],[ETA
As requested
dd.mm.yyyy]])</f>
        <v>39</v>
      </c>
      <c r="M2366" s="36">
        <f>YEAR(Table1[[#This Row],[ETA
As requested
dd.mm.yyyy]])</f>
        <v>2025</v>
      </c>
      <c r="N2366" s="36">
        <f>IFERROR(INDEX(DATABASE_FG!$H$5:$H$367, MATCH(E2366, DATABASE_FG!$C$5:$C$367, 0)), " ")</f>
        <v>0</v>
      </c>
      <c r="O2366" s="129" t="str">
        <f>IF(E2366&lt;&gt;"", _xlfn.XLOOKUP(E2366, DATABASE_FG!C:C, DATABASE_FG!F:F), " ")</f>
        <v>Ghidaje</v>
      </c>
      <c r="P2366" s="36">
        <f>IFERROR(INDEX(DATABASE_FG!$G$5:$G$367, MATCH(E2366, DATABASE_FG!$C$5:$C$367, 0)), "Not Found")</f>
        <v>0</v>
      </c>
      <c r="Q2366" s="36"/>
      <c r="R2366" s="125" t="s">
        <v>678</v>
      </c>
      <c r="S2366" s="123">
        <f>Table1[[#This Row],[Quantity]]/48</f>
        <v>1.25</v>
      </c>
      <c r="T2366" s="36"/>
      <c r="U2366" s="36"/>
      <c r="V2366" s="36"/>
      <c r="W2366" s="129"/>
      <c r="X2366" s="36"/>
      <c r="Y2366" s="36"/>
      <c r="Z2366" s="36"/>
      <c r="AA2366" s="125" t="s">
        <v>121</v>
      </c>
      <c r="AB2366" s="172">
        <v>45922</v>
      </c>
      <c r="AC2366" s="119">
        <v>2025186</v>
      </c>
      <c r="AD2366" s="36">
        <f t="shared" si="263"/>
        <v>5410527</v>
      </c>
      <c r="AE2366" s="36" t="str">
        <f t="shared" si="264"/>
        <v>TK.KWVE30-B-A-H-0038-WW1</v>
      </c>
      <c r="AF2366" s="36">
        <v>60</v>
      </c>
      <c r="AG2366" s="120">
        <f t="shared" si="262"/>
        <v>270.59999999999997</v>
      </c>
      <c r="AH2366" s="36"/>
      <c r="AI2366" s="124"/>
      <c r="AJ2366" s="122" t="s">
        <v>3720</v>
      </c>
      <c r="AK2366" s="129" t="str">
        <f t="shared" ca="1" si="266"/>
        <v>On Time</v>
      </c>
      <c r="AL2366" s="268" t="str">
        <f t="shared" si="265"/>
        <v>September</v>
      </c>
      <c r="AM2366" s="133">
        <f>YEAR(Table1[[#This Row],[ETA
As requested
dd.mm.yyyy]])</f>
        <v>2025</v>
      </c>
      <c r="AN2366" s="191"/>
    </row>
    <row r="2367" spans="1:40" hidden="1">
      <c r="A2367" s="123" t="s">
        <v>83</v>
      </c>
      <c r="B2367" s="36" t="s">
        <v>1170</v>
      </c>
      <c r="C2367" s="117">
        <v>5410527</v>
      </c>
      <c r="D2367" s="165">
        <v>45777</v>
      </c>
      <c r="E2367" s="117" t="s">
        <v>101</v>
      </c>
      <c r="F2367" s="36" t="str">
        <f>IFERROR(VLOOKUP(Table1[[#This Row],[Part Number]],DATABASE_FG!$C$6:D12356,2,FALSE)," ")</f>
        <v>059018879-8011</v>
      </c>
      <c r="G2367" s="117">
        <f>IFERROR(_xlfn.XLOOKUP(Table1[[#This Row],[Part Number]],Table3[Part number],Table3[Drawing
 Revision]),"")</f>
        <v>0</v>
      </c>
      <c r="H2367" s="118" cm="1">
        <f t="array" ref="H2367">IFERROR(INDEX(PDB!$C:$AT,MATCH(E2367,PDB!$B:$B,0),MATCH(YEAR(K2367),0+PDB!$C$1:$AT$1,0)),"")</f>
        <v>4.51</v>
      </c>
      <c r="I2367" s="36">
        <v>300</v>
      </c>
      <c r="J2367" s="125">
        <f>IFERROR(Table1[[#This Row],[Quantity]]*Table1[[#This Row],[Price/Unit
EUR]]," ")</f>
        <v>1353</v>
      </c>
      <c r="K2367" s="126">
        <v>45965</v>
      </c>
      <c r="L2367" s="36">
        <f>WEEKNUM(Table1[[#This Row],[ETA
As requested
dd.mm.yyyy]])</f>
        <v>45</v>
      </c>
      <c r="M2367" s="36">
        <f>YEAR(Table1[[#This Row],[ETA
As requested
dd.mm.yyyy]])</f>
        <v>2025</v>
      </c>
      <c r="N2367" s="36">
        <f>IFERROR(INDEX(DATABASE_FG!$H$5:$H$367, MATCH(E2367, DATABASE_FG!$C$5:$C$367, 0)), " ")</f>
        <v>0</v>
      </c>
      <c r="O2367" s="129" t="str">
        <f>IF(E2367&lt;&gt;"", _xlfn.XLOOKUP(E2367, DATABASE_FG!C:C, DATABASE_FG!F:F), " ")</f>
        <v>Ghidaje</v>
      </c>
      <c r="P2367" s="36">
        <f>IFERROR(INDEX(DATABASE_FG!$G$5:$G$367, MATCH(E2367, DATABASE_FG!$C$5:$C$367, 0)), "Not Found")</f>
        <v>0</v>
      </c>
      <c r="Q2367" s="36"/>
      <c r="R2367" s="125" t="s">
        <v>678</v>
      </c>
      <c r="S2367" s="123">
        <f>Table1[[#This Row],[Quantity]]/48</f>
        <v>6.25</v>
      </c>
      <c r="T2367" s="36"/>
      <c r="U2367" s="36"/>
      <c r="V2367" s="36"/>
      <c r="W2367" s="129"/>
      <c r="X2367" s="36"/>
      <c r="Y2367" s="36"/>
      <c r="Z2367" s="36"/>
      <c r="AA2367" s="125" t="s">
        <v>3</v>
      </c>
      <c r="AB2367" s="172"/>
      <c r="AC2367" s="119"/>
      <c r="AD2367" s="36" t="str">
        <f t="shared" si="263"/>
        <v/>
      </c>
      <c r="AE2367" s="36" t="str">
        <f t="shared" si="264"/>
        <v/>
      </c>
      <c r="AF2367" s="36"/>
      <c r="AG2367" s="120">
        <f t="shared" ref="AG2367:AG2430" si="267">AF2367*H2367</f>
        <v>0</v>
      </c>
      <c r="AH2367" s="36"/>
      <c r="AI2367" s="124"/>
      <c r="AJ2367" s="122"/>
      <c r="AK2367" s="129" t="str">
        <f t="shared" ca="1" si="266"/>
        <v>Late</v>
      </c>
      <c r="AL2367" s="268" t="str">
        <f t="shared" si="265"/>
        <v>November</v>
      </c>
      <c r="AM2367" s="133">
        <f>YEAR(Table1[[#This Row],[ETA
As requested
dd.mm.yyyy]])</f>
        <v>2025</v>
      </c>
    </row>
    <row r="2368" spans="1:40" hidden="1">
      <c r="A2368" s="123" t="s">
        <v>83</v>
      </c>
      <c r="B2368" s="36" t="s">
        <v>1170</v>
      </c>
      <c r="C2368" s="117">
        <v>5410527</v>
      </c>
      <c r="D2368" s="165">
        <v>45777</v>
      </c>
      <c r="E2368" s="117" t="s">
        <v>101</v>
      </c>
      <c r="F2368" s="36" t="str">
        <f>IFERROR(VLOOKUP(Table1[[#This Row],[Part Number]],DATABASE_FG!$C$6:D12357,2,FALSE)," ")</f>
        <v>059018879-8011</v>
      </c>
      <c r="G2368" s="117">
        <f>IFERROR(_xlfn.XLOOKUP(Table1[[#This Row],[Part Number]],Table3[Part number],Table3[Drawing
 Revision]),"")</f>
        <v>0</v>
      </c>
      <c r="H2368" s="118" cm="1">
        <f t="array" ref="H2368">IFERROR(INDEX(PDB!$C:$AT,MATCH(E2368,PDB!$B:$B,0),MATCH(YEAR(K2368),0+PDB!$C$1:$AT$1,0)),"")</f>
        <v>4.51</v>
      </c>
      <c r="I2368" s="36">
        <v>300</v>
      </c>
      <c r="J2368" s="125">
        <f>IFERROR(Table1[[#This Row],[Quantity]]*Table1[[#This Row],[Price/Unit
EUR]]," ")</f>
        <v>1353</v>
      </c>
      <c r="K2368" s="126">
        <v>45971</v>
      </c>
      <c r="L2368" s="36">
        <f>WEEKNUM(Table1[[#This Row],[ETA
As requested
dd.mm.yyyy]])</f>
        <v>46</v>
      </c>
      <c r="M2368" s="36">
        <f>YEAR(Table1[[#This Row],[ETA
As requested
dd.mm.yyyy]])</f>
        <v>2025</v>
      </c>
      <c r="N2368" s="36">
        <f>IFERROR(INDEX(DATABASE_FG!$H$5:$H$367, MATCH(E2368, DATABASE_FG!$C$5:$C$367, 0)), " ")</f>
        <v>0</v>
      </c>
      <c r="O2368" s="129" t="str">
        <f>IF(E2368&lt;&gt;"", _xlfn.XLOOKUP(E2368, DATABASE_FG!C:C, DATABASE_FG!F:F), " ")</f>
        <v>Ghidaje</v>
      </c>
      <c r="P2368" s="36">
        <f>IFERROR(INDEX(DATABASE_FG!$G$5:$G$367, MATCH(E2368, DATABASE_FG!$C$5:$C$367, 0)), "Not Found")</f>
        <v>0</v>
      </c>
      <c r="Q2368" s="36"/>
      <c r="R2368" s="125" t="s">
        <v>678</v>
      </c>
      <c r="S2368" s="123">
        <f>Table1[[#This Row],[Quantity]]/48</f>
        <v>6.25</v>
      </c>
      <c r="T2368" s="36"/>
      <c r="U2368" s="36"/>
      <c r="V2368" s="36"/>
      <c r="W2368" s="129"/>
      <c r="X2368" s="36"/>
      <c r="Y2368" s="36"/>
      <c r="Z2368" s="36"/>
      <c r="AA2368" s="125" t="s">
        <v>3</v>
      </c>
      <c r="AB2368" s="172"/>
      <c r="AC2368" s="119"/>
      <c r="AD2368" s="36" t="str">
        <f t="shared" si="263"/>
        <v/>
      </c>
      <c r="AE2368" s="36" t="str">
        <f t="shared" si="264"/>
        <v/>
      </c>
      <c r="AF2368" s="36"/>
      <c r="AG2368" s="120">
        <f t="shared" si="267"/>
        <v>0</v>
      </c>
      <c r="AH2368" s="36"/>
      <c r="AI2368" s="124"/>
      <c r="AJ2368" s="122"/>
      <c r="AK2368" s="129" t="str">
        <f t="shared" ca="1" si="266"/>
        <v/>
      </c>
      <c r="AL2368" s="268" t="str">
        <f t="shared" si="265"/>
        <v>November</v>
      </c>
      <c r="AM2368" s="133">
        <f>YEAR(Table1[[#This Row],[ETA
As requested
dd.mm.yyyy]])</f>
        <v>2025</v>
      </c>
    </row>
    <row r="2369" spans="1:39" hidden="1">
      <c r="A2369" s="123" t="s">
        <v>83</v>
      </c>
      <c r="B2369" s="36" t="s">
        <v>2464</v>
      </c>
      <c r="C2369" s="117">
        <v>5410527</v>
      </c>
      <c r="D2369" s="165">
        <v>45777</v>
      </c>
      <c r="E2369" s="117" t="s">
        <v>101</v>
      </c>
      <c r="F2369" s="36" t="str">
        <f>IFERROR(VLOOKUP(Table1[[#This Row],[Part Number]],DATABASE_FG!$C$6:D12358,2,FALSE)," ")</f>
        <v>059018879-8011</v>
      </c>
      <c r="G2369" s="117">
        <f>IFERROR(_xlfn.XLOOKUP(Table1[[#This Row],[Part Number]],Table3[Part number],Table3[Drawing
 Revision]),"")</f>
        <v>0</v>
      </c>
      <c r="H2369" s="118" cm="1">
        <f t="array" ref="H2369">IFERROR(INDEX(PDB!$C:$AT,MATCH(E2369,PDB!$B:$B,0),MATCH(YEAR(K2369),0+PDB!$C$1:$AT$1,0)),"")</f>
        <v>4.51</v>
      </c>
      <c r="I2369" s="36">
        <v>1000</v>
      </c>
      <c r="J2369" s="125">
        <f>IFERROR(Table1[[#This Row],[Quantity]]*Table1[[#This Row],[Price/Unit
EUR]]," ")</f>
        <v>4510</v>
      </c>
      <c r="K2369" s="126">
        <v>46011</v>
      </c>
      <c r="L2369" s="36">
        <f>WEEKNUM(Table1[[#This Row],[ETA
As requested
dd.mm.yyyy]])</f>
        <v>51</v>
      </c>
      <c r="M2369" s="36">
        <f>YEAR(Table1[[#This Row],[ETA
As requested
dd.mm.yyyy]])</f>
        <v>2025</v>
      </c>
      <c r="N2369" s="36">
        <f>IFERROR(INDEX(DATABASE_FG!$H$5:$H$367, MATCH(E2369, DATABASE_FG!$C$5:$C$367, 0)), " ")</f>
        <v>0</v>
      </c>
      <c r="O2369" s="129" t="str">
        <f>IF(E2369&lt;&gt;"", _xlfn.XLOOKUP(E2369, DATABASE_FG!C:C, DATABASE_FG!F:F), " ")</f>
        <v>Ghidaje</v>
      </c>
      <c r="P2369" s="36">
        <f>IFERROR(INDEX(DATABASE_FG!$G$5:$G$367, MATCH(E2369, DATABASE_FG!$C$5:$C$367, 0)), "Not Found")</f>
        <v>0</v>
      </c>
      <c r="Q2369" s="36"/>
      <c r="R2369" s="125" t="s">
        <v>678</v>
      </c>
      <c r="S2369" s="123">
        <f>Table1[[#This Row],[Quantity]]/48</f>
        <v>20.833333333333332</v>
      </c>
      <c r="T2369" s="36"/>
      <c r="U2369" s="36"/>
      <c r="V2369" s="36"/>
      <c r="W2369" s="129"/>
      <c r="X2369" s="36"/>
      <c r="Y2369" s="36"/>
      <c r="Z2369" s="36"/>
      <c r="AA2369" s="125" t="s">
        <v>3</v>
      </c>
      <c r="AB2369" s="172"/>
      <c r="AC2369" s="119"/>
      <c r="AD2369" s="36" t="str">
        <f t="shared" si="263"/>
        <v/>
      </c>
      <c r="AE2369" s="36" t="str">
        <f t="shared" si="264"/>
        <v/>
      </c>
      <c r="AF2369" s="36"/>
      <c r="AG2369" s="120">
        <f t="shared" si="267"/>
        <v>0</v>
      </c>
      <c r="AH2369" s="36"/>
      <c r="AI2369" s="124"/>
      <c r="AJ2369" s="122"/>
      <c r="AK2369" s="129" t="str">
        <f t="shared" ca="1" si="266"/>
        <v/>
      </c>
      <c r="AL2369" s="268" t="str">
        <f t="shared" si="265"/>
        <v>December</v>
      </c>
      <c r="AM2369" s="133">
        <f>YEAR(Table1[[#This Row],[ETA
As requested
dd.mm.yyyy]])</f>
        <v>2025</v>
      </c>
    </row>
    <row r="2370" spans="1:39" hidden="1">
      <c r="A2370" s="123" t="s">
        <v>83</v>
      </c>
      <c r="B2370" s="36" t="s">
        <v>1170</v>
      </c>
      <c r="C2370" s="117">
        <v>36508701</v>
      </c>
      <c r="D2370" s="165">
        <v>45378</v>
      </c>
      <c r="E2370" s="117" t="s">
        <v>102</v>
      </c>
      <c r="F2370" s="36" t="str">
        <f>IFERROR(VLOOKUP(Table1[[#This Row],[Part Number]],DATABASE_FG!$C$6:D12359,2,FALSE)," ")</f>
        <v xml:space="preserve">080814913-8011 </v>
      </c>
      <c r="G2370" s="117">
        <f>IFERROR(_xlfn.XLOOKUP(Table1[[#This Row],[Part Number]],Table3[Part number],Table3[Drawing
 Revision]),"")</f>
        <v>0</v>
      </c>
      <c r="H2370" s="118" cm="1">
        <f t="array" ref="H2370">IFERROR(INDEX(PDB!$C:$AT,MATCH(E2370,PDB!$B:$B,0),MATCH(YEAR(K2370),0+PDB!$C$1:$AT$1,0)),"")</f>
        <v>4.8099999999999996</v>
      </c>
      <c r="I2370" s="36">
        <v>100</v>
      </c>
      <c r="J2370" s="125">
        <f>IFERROR(Table1[[#This Row],[Quantity]]*Table1[[#This Row],[Price/Unit
EUR]]," ")</f>
        <v>480.99999999999994</v>
      </c>
      <c r="K2370" s="126">
        <v>45384</v>
      </c>
      <c r="L2370" s="36">
        <f>WEEKNUM(Table1[[#This Row],[ETA
As requested
dd.mm.yyyy]])</f>
        <v>14</v>
      </c>
      <c r="M2370" s="36">
        <f>YEAR(Table1[[#This Row],[ETA
As requested
dd.mm.yyyy]])</f>
        <v>2024</v>
      </c>
      <c r="N2370" s="36">
        <f>IFERROR(INDEX(DATABASE_FG!$H$5:$H$367, MATCH(E2370, DATABASE_FG!$C$5:$C$367, 0)), " ")</f>
        <v>0</v>
      </c>
      <c r="O2370" s="129" t="str">
        <f>IF(E2370&lt;&gt;"", _xlfn.XLOOKUP(E2370, DATABASE_FG!C:C, DATABASE_FG!F:F), " ")</f>
        <v>Ghidaje</v>
      </c>
      <c r="P2370" s="36">
        <f>IFERROR(INDEX(DATABASE_FG!$G$5:$G$367, MATCH(E2370, DATABASE_FG!$C$5:$C$367, 0)), "Not Found")</f>
        <v>0</v>
      </c>
      <c r="Q2370" s="36"/>
      <c r="R2370" s="125" t="s">
        <v>678</v>
      </c>
      <c r="S2370" s="123">
        <f>IFERROR(INDEX(DATABASE_FG!$L$5:$L$367, MATCH(E2370, DATABASE_FG!$C$5:$C$367, 0)), " ")</f>
        <v>42</v>
      </c>
      <c r="T2370" s="36" t="s">
        <v>679</v>
      </c>
      <c r="U2370" s="36"/>
      <c r="V2370" s="36"/>
      <c r="W2370" s="129"/>
      <c r="X2370" s="36"/>
      <c r="Y2370" s="36"/>
      <c r="Z2370" s="36" t="s">
        <v>1258</v>
      </c>
      <c r="AA2370" s="125" t="s">
        <v>121</v>
      </c>
      <c r="AB2370" s="172">
        <v>45383</v>
      </c>
      <c r="AC2370" s="119">
        <v>2024301</v>
      </c>
      <c r="AD2370" s="36">
        <f t="shared" si="263"/>
        <v>36508701</v>
      </c>
      <c r="AE2370" s="36" t="str">
        <f t="shared" si="264"/>
        <v>TK.KWVE30-B-A-S-0038-WW1</v>
      </c>
      <c r="AF2370" s="36">
        <v>100</v>
      </c>
      <c r="AG2370" s="120">
        <f t="shared" si="267"/>
        <v>480.99999999999994</v>
      </c>
      <c r="AH2370" s="36"/>
      <c r="AI2370" s="124"/>
      <c r="AJ2370" s="122" t="s">
        <v>1259</v>
      </c>
      <c r="AK2370" s="129" t="str">
        <f t="shared" ca="1" si="266"/>
        <v>On Time</v>
      </c>
      <c r="AL2370" s="268" t="str">
        <f t="shared" si="265"/>
        <v>April</v>
      </c>
      <c r="AM2370" s="133">
        <f>YEAR(Table1[[#This Row],[ETA
As requested
dd.mm.yyyy]])</f>
        <v>2024</v>
      </c>
    </row>
    <row r="2371" spans="1:39" hidden="1">
      <c r="A2371" s="123" t="s">
        <v>83</v>
      </c>
      <c r="B2371" s="36" t="s">
        <v>1170</v>
      </c>
      <c r="C2371" s="117">
        <v>36508702</v>
      </c>
      <c r="D2371" s="165">
        <v>45378</v>
      </c>
      <c r="E2371" s="117" t="s">
        <v>102</v>
      </c>
      <c r="F2371" s="36" t="str">
        <f>IFERROR(VLOOKUP(Table1[[#This Row],[Part Number]],DATABASE_FG!$C$6:D12360,2,FALSE)," ")</f>
        <v xml:space="preserve">080814913-8011 </v>
      </c>
      <c r="G2371" s="117">
        <f>IFERROR(_xlfn.XLOOKUP(Table1[[#This Row],[Part Number]],Table3[Part number],Table3[Drawing
 Revision]),"")</f>
        <v>0</v>
      </c>
      <c r="H2371" s="118" cm="1">
        <f t="array" ref="H2371">IFERROR(INDEX(PDB!$C:$AT,MATCH(E2371,PDB!$B:$B,0),MATCH(YEAR(K2371),0+PDB!$C$1:$AT$1,0)),"")</f>
        <v>4.8099999999999996</v>
      </c>
      <c r="I2371" s="36">
        <v>100</v>
      </c>
      <c r="J2371" s="125">
        <f>IFERROR(Table1[[#This Row],[Quantity]]*Table1[[#This Row],[Price/Unit
EUR]]," ")</f>
        <v>480.99999999999994</v>
      </c>
      <c r="K2371" s="126">
        <v>45386</v>
      </c>
      <c r="L2371" s="36">
        <f>WEEKNUM(Table1[[#This Row],[ETA
As requested
dd.mm.yyyy]])</f>
        <v>14</v>
      </c>
      <c r="M2371" s="36">
        <f>YEAR(Table1[[#This Row],[ETA
As requested
dd.mm.yyyy]])</f>
        <v>2024</v>
      </c>
      <c r="N2371" s="36">
        <f>IFERROR(INDEX(DATABASE_FG!$H$5:$H$367, MATCH(E2371, DATABASE_FG!$C$5:$C$367, 0)), " ")</f>
        <v>0</v>
      </c>
      <c r="O2371" s="129" t="str">
        <f>IF(E2371&lt;&gt;"", _xlfn.XLOOKUP(E2371, DATABASE_FG!C:C, DATABASE_FG!F:F), " ")</f>
        <v>Ghidaje</v>
      </c>
      <c r="P2371" s="36">
        <f>IFERROR(INDEX(DATABASE_FG!$G$5:$G$367, MATCH(E2371, DATABASE_FG!$C$5:$C$367, 0)), "Not Found")</f>
        <v>0</v>
      </c>
      <c r="Q2371" s="36"/>
      <c r="R2371" s="125" t="s">
        <v>678</v>
      </c>
      <c r="S2371" s="123">
        <f>IFERROR(INDEX(DATABASE_FG!$L$5:$L$367, MATCH(E2371, DATABASE_FG!$C$5:$C$367, 0)), " ")</f>
        <v>42</v>
      </c>
      <c r="T2371" s="36" t="s">
        <v>679</v>
      </c>
      <c r="U2371" s="36"/>
      <c r="V2371" s="36"/>
      <c r="W2371" s="129"/>
      <c r="X2371" s="36"/>
      <c r="Y2371" s="36"/>
      <c r="Z2371" s="36" t="s">
        <v>1258</v>
      </c>
      <c r="AA2371" s="125" t="s">
        <v>121</v>
      </c>
      <c r="AB2371" s="172">
        <v>45386</v>
      </c>
      <c r="AC2371" s="119">
        <v>2024305</v>
      </c>
      <c r="AD2371" s="36">
        <f t="shared" si="263"/>
        <v>36508702</v>
      </c>
      <c r="AE2371" s="36" t="str">
        <f t="shared" si="264"/>
        <v>TK.KWVE30-B-A-S-0038-WW1</v>
      </c>
      <c r="AF2371" s="36">
        <v>100</v>
      </c>
      <c r="AG2371" s="120">
        <f t="shared" si="267"/>
        <v>480.99999999999994</v>
      </c>
      <c r="AH2371" s="36"/>
      <c r="AI2371" s="124"/>
      <c r="AJ2371" s="122" t="s">
        <v>1275</v>
      </c>
      <c r="AK2371" s="129" t="str">
        <f t="shared" ca="1" si="266"/>
        <v>On Time</v>
      </c>
      <c r="AL2371" s="268" t="str">
        <f t="shared" si="265"/>
        <v>April</v>
      </c>
      <c r="AM2371" s="133">
        <f>YEAR(Table1[[#This Row],[ETA
As requested
dd.mm.yyyy]])</f>
        <v>2024</v>
      </c>
    </row>
    <row r="2372" spans="1:39" hidden="1">
      <c r="A2372" s="123" t="s">
        <v>83</v>
      </c>
      <c r="B2372" s="36" t="s">
        <v>1170</v>
      </c>
      <c r="C2372" s="117">
        <v>36508720</v>
      </c>
      <c r="D2372" s="165">
        <v>45378</v>
      </c>
      <c r="E2372" s="117" t="s">
        <v>102</v>
      </c>
      <c r="F2372" s="36" t="str">
        <f>IFERROR(VLOOKUP(Table1[[#This Row],[Part Number]],DATABASE_FG!$C$6:D12361,2,FALSE)," ")</f>
        <v xml:space="preserve">080814913-8011 </v>
      </c>
      <c r="G2372" s="117">
        <f>IFERROR(_xlfn.XLOOKUP(Table1[[#This Row],[Part Number]],Table3[Part number],Table3[Drawing
 Revision]),"")</f>
        <v>0</v>
      </c>
      <c r="H2372" s="118" cm="1">
        <f t="array" ref="H2372">IFERROR(INDEX(PDB!$C:$AT,MATCH(E2372,PDB!$B:$B,0),MATCH(YEAR(K2372),0+PDB!$C$1:$AT$1,0)),"")</f>
        <v>4.8099999999999996</v>
      </c>
      <c r="I2372" s="36">
        <v>150</v>
      </c>
      <c r="J2372" s="125">
        <f>IFERROR(Table1[[#This Row],[Quantity]]*Table1[[#This Row],[Price/Unit
EUR]]," ")</f>
        <v>721.49999999999989</v>
      </c>
      <c r="K2372" s="126">
        <v>45391</v>
      </c>
      <c r="L2372" s="36">
        <f>WEEKNUM(Table1[[#This Row],[ETA
As requested
dd.mm.yyyy]])</f>
        <v>15</v>
      </c>
      <c r="M2372" s="36">
        <f>YEAR(Table1[[#This Row],[ETA
As requested
dd.mm.yyyy]])</f>
        <v>2024</v>
      </c>
      <c r="N2372" s="36">
        <f>IFERROR(INDEX(DATABASE_FG!$H$5:$H$367, MATCH(E2372, DATABASE_FG!$C$5:$C$367, 0)), " ")</f>
        <v>0</v>
      </c>
      <c r="O2372" s="129" t="str">
        <f>IF(E2372&lt;&gt;"", _xlfn.XLOOKUP(E2372, DATABASE_FG!C:C, DATABASE_FG!F:F), " ")</f>
        <v>Ghidaje</v>
      </c>
      <c r="P2372" s="36">
        <f>IFERROR(INDEX(DATABASE_FG!$G$5:$G$367, MATCH(E2372, DATABASE_FG!$C$5:$C$367, 0)), "Not Found")</f>
        <v>0</v>
      </c>
      <c r="Q2372" s="36"/>
      <c r="R2372" s="125" t="s">
        <v>678</v>
      </c>
      <c r="S2372" s="123">
        <f>IFERROR(INDEX(DATABASE_FG!$L$5:$L$367, MATCH(E2372, DATABASE_FG!$C$5:$C$367, 0)), " ")</f>
        <v>42</v>
      </c>
      <c r="T2372" s="36" t="s">
        <v>679</v>
      </c>
      <c r="U2372" s="36"/>
      <c r="V2372" s="36"/>
      <c r="W2372" s="129"/>
      <c r="X2372" s="36"/>
      <c r="Y2372" s="36"/>
      <c r="Z2372" s="36" t="s">
        <v>1289</v>
      </c>
      <c r="AA2372" s="125" t="s">
        <v>121</v>
      </c>
      <c r="AB2372" s="172">
        <v>45386</v>
      </c>
      <c r="AC2372" s="119">
        <v>2024309</v>
      </c>
      <c r="AD2372" s="36">
        <f t="shared" si="263"/>
        <v>36508720</v>
      </c>
      <c r="AE2372" s="36" t="str">
        <f t="shared" si="264"/>
        <v>TK.KWVE30-B-A-S-0038-WW1</v>
      </c>
      <c r="AF2372" s="36">
        <v>28</v>
      </c>
      <c r="AG2372" s="120">
        <f t="shared" si="267"/>
        <v>134.67999999999998</v>
      </c>
      <c r="AH2372" s="36"/>
      <c r="AI2372" s="124"/>
      <c r="AJ2372" s="122" t="s">
        <v>1290</v>
      </c>
      <c r="AK2372" s="129" t="str">
        <f t="shared" ca="1" si="266"/>
        <v>On Time</v>
      </c>
      <c r="AL2372" s="268" t="str">
        <f t="shared" si="265"/>
        <v>April</v>
      </c>
      <c r="AM2372" s="133">
        <f>YEAR(Table1[[#This Row],[ETA
As requested
dd.mm.yyyy]])</f>
        <v>2024</v>
      </c>
    </row>
    <row r="2373" spans="1:39" hidden="1">
      <c r="A2373" s="123" t="s">
        <v>83</v>
      </c>
      <c r="B2373" s="36" t="s">
        <v>1170</v>
      </c>
      <c r="C2373" s="117">
        <v>36508720</v>
      </c>
      <c r="D2373" s="165">
        <v>45378</v>
      </c>
      <c r="E2373" s="117" t="s">
        <v>102</v>
      </c>
      <c r="F2373" s="36" t="str">
        <f>IFERROR(VLOOKUP(Table1[[#This Row],[Part Number]],DATABASE_FG!$C$6:D12362,2,FALSE)," ")</f>
        <v xml:space="preserve">080814913-8011 </v>
      </c>
      <c r="G2373" s="117">
        <f>IFERROR(_xlfn.XLOOKUP(Table1[[#This Row],[Part Number]],Table3[Part number],Table3[Drawing
 Revision]),"")</f>
        <v>0</v>
      </c>
      <c r="H2373" s="118" cm="1">
        <f t="array" ref="H2373">IFERROR(INDEX(PDB!$C:$AT,MATCH(E2373,PDB!$B:$B,0),MATCH(YEAR(K2373),0+PDB!$C$1:$AT$1,0)),"")</f>
        <v>4.8099999999999996</v>
      </c>
      <c r="I2373" s="36"/>
      <c r="J2373" s="125">
        <f>IFERROR(Table1[[#This Row],[Quantity]]*Table1[[#This Row],[Price/Unit
EUR]]," ")</f>
        <v>0</v>
      </c>
      <c r="K2373" s="126">
        <v>45391</v>
      </c>
      <c r="L2373" s="36">
        <f>WEEKNUM(Table1[[#This Row],[ETA
As requested
dd.mm.yyyy]])</f>
        <v>15</v>
      </c>
      <c r="M2373" s="36">
        <f>YEAR(Table1[[#This Row],[ETA
As requested
dd.mm.yyyy]])</f>
        <v>2024</v>
      </c>
      <c r="N2373" s="36">
        <f>IFERROR(INDEX(DATABASE_FG!$H$5:$H$367, MATCH(E2373, DATABASE_FG!$C$5:$C$367, 0)), " ")</f>
        <v>0</v>
      </c>
      <c r="O2373" s="129" t="str">
        <f>IF(E2373&lt;&gt;"", _xlfn.XLOOKUP(E2373, DATABASE_FG!C:C, DATABASE_FG!F:F), " ")</f>
        <v>Ghidaje</v>
      </c>
      <c r="P2373" s="36">
        <f>IFERROR(INDEX(DATABASE_FG!$G$5:$G$367, MATCH(E2373, DATABASE_FG!$C$5:$C$367, 0)), "Not Found")</f>
        <v>0</v>
      </c>
      <c r="Q2373" s="36"/>
      <c r="R2373" s="125" t="s">
        <v>678</v>
      </c>
      <c r="S2373" s="123">
        <f>IFERROR(INDEX(DATABASE_FG!$L$5:$L$367, MATCH(E2373, DATABASE_FG!$C$5:$C$367, 0)), " ")</f>
        <v>42</v>
      </c>
      <c r="T2373" s="36"/>
      <c r="U2373" s="36"/>
      <c r="V2373" s="36"/>
      <c r="W2373" s="129"/>
      <c r="X2373" s="36"/>
      <c r="Y2373" s="36"/>
      <c r="Z2373" s="36"/>
      <c r="AA2373" s="125" t="s">
        <v>121</v>
      </c>
      <c r="AB2373" s="172">
        <v>45391</v>
      </c>
      <c r="AC2373" s="119">
        <v>2024319</v>
      </c>
      <c r="AD2373" s="36">
        <f t="shared" si="263"/>
        <v>36508720</v>
      </c>
      <c r="AE2373" s="36" t="str">
        <f t="shared" si="264"/>
        <v>TK.KWVE30-B-A-S-0038-WW1</v>
      </c>
      <c r="AF2373" s="36">
        <v>122</v>
      </c>
      <c r="AG2373" s="120">
        <f t="shared" si="267"/>
        <v>586.81999999999994</v>
      </c>
      <c r="AH2373" s="36"/>
      <c r="AI2373" s="124"/>
      <c r="AJ2373" s="122" t="s">
        <v>1293</v>
      </c>
      <c r="AK2373" s="129" t="str">
        <f t="shared" ca="1" si="266"/>
        <v>On Time</v>
      </c>
      <c r="AL2373" s="268" t="str">
        <f t="shared" si="265"/>
        <v>April</v>
      </c>
      <c r="AM2373" s="133">
        <f>YEAR(Table1[[#This Row],[ETA
As requested
dd.mm.yyyy]])</f>
        <v>2024</v>
      </c>
    </row>
    <row r="2374" spans="1:39" hidden="1">
      <c r="A2374" s="123" t="s">
        <v>83</v>
      </c>
      <c r="B2374" s="36" t="s">
        <v>1170</v>
      </c>
      <c r="C2374" s="117">
        <v>36508722</v>
      </c>
      <c r="D2374" s="165">
        <v>45378</v>
      </c>
      <c r="E2374" s="117" t="s">
        <v>102</v>
      </c>
      <c r="F2374" s="36" t="str">
        <f>IFERROR(VLOOKUP(Table1[[#This Row],[Part Number]],DATABASE_FG!$C$6:D12363,2,FALSE)," ")</f>
        <v xml:space="preserve">080814913-8011 </v>
      </c>
      <c r="G2374" s="117">
        <f>IFERROR(_xlfn.XLOOKUP(Table1[[#This Row],[Part Number]],Table3[Part number],Table3[Drawing
 Revision]),"")</f>
        <v>0</v>
      </c>
      <c r="H2374" s="118" cm="1">
        <f t="array" ref="H2374">IFERROR(INDEX(PDB!$C:$AT,MATCH(E2374,PDB!$B:$B,0),MATCH(YEAR(K2374),0+PDB!$C$1:$AT$1,0)),"")</f>
        <v>4.8099999999999996</v>
      </c>
      <c r="I2374" s="36">
        <v>150</v>
      </c>
      <c r="J2374" s="125">
        <f>IFERROR(Table1[[#This Row],[Quantity]]*Table1[[#This Row],[Price/Unit
EUR]]," ")</f>
        <v>721.49999999999989</v>
      </c>
      <c r="K2374" s="126">
        <v>45393</v>
      </c>
      <c r="L2374" s="36">
        <f>WEEKNUM(Table1[[#This Row],[ETA
As requested
dd.mm.yyyy]])</f>
        <v>15</v>
      </c>
      <c r="M2374" s="36">
        <f>YEAR(Table1[[#This Row],[ETA
As requested
dd.mm.yyyy]])</f>
        <v>2024</v>
      </c>
      <c r="N2374" s="36">
        <f>IFERROR(INDEX(DATABASE_FG!$H$5:$H$367, MATCH(E2374, DATABASE_FG!$C$5:$C$367, 0)), " ")</f>
        <v>0</v>
      </c>
      <c r="O2374" s="129" t="str">
        <f>IF(E2374&lt;&gt;"", _xlfn.XLOOKUP(E2374, DATABASE_FG!C:C, DATABASE_FG!F:F), " ")</f>
        <v>Ghidaje</v>
      </c>
      <c r="P2374" s="36">
        <f>IFERROR(INDEX(DATABASE_FG!$G$5:$G$367, MATCH(E2374, DATABASE_FG!$C$5:$C$367, 0)), "Not Found")</f>
        <v>0</v>
      </c>
      <c r="Q2374" s="36"/>
      <c r="R2374" s="125" t="s">
        <v>678</v>
      </c>
      <c r="S2374" s="123">
        <f>IFERROR(INDEX(DATABASE_FG!$L$5:$L$367, MATCH(E2374, DATABASE_FG!$C$5:$C$367, 0)), " ")</f>
        <v>42</v>
      </c>
      <c r="T2374" s="36" t="s">
        <v>679</v>
      </c>
      <c r="U2374" s="36"/>
      <c r="V2374" s="36"/>
      <c r="W2374" s="129"/>
      <c r="X2374" s="36"/>
      <c r="Y2374" s="36"/>
      <c r="Z2374" s="36" t="s">
        <v>1307</v>
      </c>
      <c r="AA2374" s="125" t="s">
        <v>121</v>
      </c>
      <c r="AB2374" s="172">
        <v>45393</v>
      </c>
      <c r="AC2374" s="119">
        <v>2024333</v>
      </c>
      <c r="AD2374" s="36">
        <f t="shared" si="263"/>
        <v>36508722</v>
      </c>
      <c r="AE2374" s="36" t="str">
        <f t="shared" si="264"/>
        <v>TK.KWVE30-B-A-S-0038-WW1</v>
      </c>
      <c r="AF2374" s="36">
        <v>150</v>
      </c>
      <c r="AG2374" s="120">
        <f t="shared" si="267"/>
        <v>721.49999999999989</v>
      </c>
      <c r="AH2374" s="36"/>
      <c r="AI2374" s="124"/>
      <c r="AJ2374" s="122" t="s">
        <v>1308</v>
      </c>
      <c r="AK2374" s="129" t="str">
        <f t="shared" ca="1" si="266"/>
        <v>On Time</v>
      </c>
      <c r="AL2374" s="268" t="str">
        <f t="shared" si="265"/>
        <v>April</v>
      </c>
      <c r="AM2374" s="133">
        <f>YEAR(Table1[[#This Row],[ETA
As requested
dd.mm.yyyy]])</f>
        <v>2024</v>
      </c>
    </row>
    <row r="2375" spans="1:39" hidden="1">
      <c r="A2375" s="123" t="s">
        <v>83</v>
      </c>
      <c r="B2375" s="36" t="s">
        <v>1170</v>
      </c>
      <c r="C2375" s="117">
        <v>36508727</v>
      </c>
      <c r="D2375" s="165">
        <v>45378</v>
      </c>
      <c r="E2375" s="117" t="s">
        <v>102</v>
      </c>
      <c r="F2375" s="36" t="str">
        <f>IFERROR(VLOOKUP(Table1[[#This Row],[Part Number]],DATABASE_FG!$C$6:D12364,2,FALSE)," ")</f>
        <v xml:space="preserve">080814913-8011 </v>
      </c>
      <c r="G2375" s="117">
        <f>IFERROR(_xlfn.XLOOKUP(Table1[[#This Row],[Part Number]],Table3[Part number],Table3[Drawing
 Revision]),"")</f>
        <v>0</v>
      </c>
      <c r="H2375" s="118" cm="1">
        <f t="array" ref="H2375">IFERROR(INDEX(PDB!$C:$AT,MATCH(E2375,PDB!$B:$B,0),MATCH(YEAR(K2375),0+PDB!$C$1:$AT$1,0)),"")</f>
        <v>4.8099999999999996</v>
      </c>
      <c r="I2375" s="36">
        <v>150</v>
      </c>
      <c r="J2375" s="125">
        <f>IFERROR(Table1[[#This Row],[Quantity]]*Table1[[#This Row],[Price/Unit
EUR]]," ")</f>
        <v>721.49999999999989</v>
      </c>
      <c r="K2375" s="126">
        <v>45398</v>
      </c>
      <c r="L2375" s="36">
        <f>WEEKNUM(Table1[[#This Row],[ETA
As requested
dd.mm.yyyy]])</f>
        <v>16</v>
      </c>
      <c r="M2375" s="36">
        <f>YEAR(Table1[[#This Row],[ETA
As requested
dd.mm.yyyy]])</f>
        <v>2024</v>
      </c>
      <c r="N2375" s="36">
        <f>IFERROR(INDEX(DATABASE_FG!$H$5:$H$367, MATCH(E2375, DATABASE_FG!$C$5:$C$367, 0)), " ")</f>
        <v>0</v>
      </c>
      <c r="O2375" s="129" t="str">
        <f>IF(E2375&lt;&gt;"", _xlfn.XLOOKUP(E2375, DATABASE_FG!C:C, DATABASE_FG!F:F), " ")</f>
        <v>Ghidaje</v>
      </c>
      <c r="P2375" s="36">
        <f>IFERROR(INDEX(DATABASE_FG!$G$5:$G$367, MATCH(E2375, DATABASE_FG!$C$5:$C$367, 0)), "Not Found")</f>
        <v>0</v>
      </c>
      <c r="Q2375" s="36"/>
      <c r="R2375" s="125" t="s">
        <v>678</v>
      </c>
      <c r="S2375" s="123">
        <f>IFERROR(INDEX(DATABASE_FG!$L$5:$L$367, MATCH(E2375, DATABASE_FG!$C$5:$C$367, 0)), " ")</f>
        <v>42</v>
      </c>
      <c r="T2375" s="36" t="s">
        <v>679</v>
      </c>
      <c r="U2375" s="36"/>
      <c r="V2375" s="36"/>
      <c r="W2375" s="129"/>
      <c r="X2375" s="36"/>
      <c r="Y2375" s="36"/>
      <c r="Z2375" s="36" t="s">
        <v>1357</v>
      </c>
      <c r="AA2375" s="125" t="s">
        <v>121</v>
      </c>
      <c r="AB2375" s="172">
        <v>45398</v>
      </c>
      <c r="AC2375" s="119">
        <v>2024366</v>
      </c>
      <c r="AD2375" s="36">
        <f t="shared" si="263"/>
        <v>36508727</v>
      </c>
      <c r="AE2375" s="36" t="str">
        <f t="shared" si="264"/>
        <v>TK.KWVE30-B-A-S-0038-WW1</v>
      </c>
      <c r="AF2375" s="36">
        <v>150</v>
      </c>
      <c r="AG2375" s="120">
        <f t="shared" si="267"/>
        <v>721.49999999999989</v>
      </c>
      <c r="AH2375" s="36"/>
      <c r="AI2375" s="124"/>
      <c r="AJ2375" s="122" t="s">
        <v>1358</v>
      </c>
      <c r="AK2375" s="129" t="str">
        <f t="shared" ca="1" si="266"/>
        <v>On Time</v>
      </c>
      <c r="AL2375" s="268" t="str">
        <f t="shared" si="265"/>
        <v>April</v>
      </c>
      <c r="AM2375" s="133">
        <f>YEAR(Table1[[#This Row],[ETA
As requested
dd.mm.yyyy]])</f>
        <v>2024</v>
      </c>
    </row>
    <row r="2376" spans="1:39" hidden="1">
      <c r="A2376" s="123" t="s">
        <v>83</v>
      </c>
      <c r="B2376" s="36" t="s">
        <v>1170</v>
      </c>
      <c r="C2376" s="117">
        <v>36508730</v>
      </c>
      <c r="D2376" s="165">
        <v>45378</v>
      </c>
      <c r="E2376" s="117" t="s">
        <v>102</v>
      </c>
      <c r="F2376" s="36" t="str">
        <f>IFERROR(VLOOKUP(Table1[[#This Row],[Part Number]],DATABASE_FG!$C$6:D12365,2,FALSE)," ")</f>
        <v xml:space="preserve">080814913-8011 </v>
      </c>
      <c r="G2376" s="117">
        <f>IFERROR(_xlfn.XLOOKUP(Table1[[#This Row],[Part Number]],Table3[Part number],Table3[Drawing
 Revision]),"")</f>
        <v>0</v>
      </c>
      <c r="H2376" s="118" cm="1">
        <f t="array" ref="H2376">IFERROR(INDEX(PDB!$C:$AT,MATCH(E2376,PDB!$B:$B,0),MATCH(YEAR(K2376),0+PDB!$C$1:$AT$1,0)),"")</f>
        <v>4.8099999999999996</v>
      </c>
      <c r="I2376" s="36">
        <v>150</v>
      </c>
      <c r="J2376" s="125">
        <f>IFERROR(Table1[[#This Row],[Quantity]]*Table1[[#This Row],[Price/Unit
EUR]]," ")</f>
        <v>721.49999999999989</v>
      </c>
      <c r="K2376" s="126">
        <v>45400</v>
      </c>
      <c r="L2376" s="36">
        <f>WEEKNUM(Table1[[#This Row],[ETA
As requested
dd.mm.yyyy]])</f>
        <v>16</v>
      </c>
      <c r="M2376" s="36">
        <f>YEAR(Table1[[#This Row],[ETA
As requested
dd.mm.yyyy]])</f>
        <v>2024</v>
      </c>
      <c r="N2376" s="36">
        <f>IFERROR(INDEX(DATABASE_FG!$H$5:$H$367, MATCH(E2376, DATABASE_FG!$C$5:$C$367, 0)), " ")</f>
        <v>0</v>
      </c>
      <c r="O2376" s="129" t="str">
        <f>IF(E2376&lt;&gt;"", _xlfn.XLOOKUP(E2376, DATABASE_FG!C:C, DATABASE_FG!F:F), " ")</f>
        <v>Ghidaje</v>
      </c>
      <c r="P2376" s="36">
        <f>IFERROR(INDEX(DATABASE_FG!$G$5:$G$367, MATCH(E2376, DATABASE_FG!$C$5:$C$367, 0)), "Not Found")</f>
        <v>0</v>
      </c>
      <c r="Q2376" s="36"/>
      <c r="R2376" s="125" t="s">
        <v>678</v>
      </c>
      <c r="S2376" s="123">
        <f>IFERROR(INDEX(DATABASE_FG!$L$5:$L$367, MATCH(E2376, DATABASE_FG!$C$5:$C$367, 0)), " ")</f>
        <v>42</v>
      </c>
      <c r="T2376" s="36" t="s">
        <v>679</v>
      </c>
      <c r="U2376" s="36"/>
      <c r="V2376" s="36"/>
      <c r="W2376" s="129"/>
      <c r="X2376" s="36"/>
      <c r="Y2376" s="36"/>
      <c r="Z2376" s="36" t="s">
        <v>1363</v>
      </c>
      <c r="AA2376" s="125" t="s">
        <v>121</v>
      </c>
      <c r="AB2376" s="172">
        <v>45400</v>
      </c>
      <c r="AC2376" s="119">
        <v>2024377</v>
      </c>
      <c r="AD2376" s="36">
        <f t="shared" si="263"/>
        <v>36508730</v>
      </c>
      <c r="AE2376" s="36" t="str">
        <f t="shared" si="264"/>
        <v>TK.KWVE30-B-A-S-0038-WW1</v>
      </c>
      <c r="AF2376" s="36">
        <v>150</v>
      </c>
      <c r="AG2376" s="120">
        <f t="shared" si="267"/>
        <v>721.49999999999989</v>
      </c>
      <c r="AH2376" s="36"/>
      <c r="AI2376" s="124"/>
      <c r="AJ2376" s="122" t="s">
        <v>1364</v>
      </c>
      <c r="AK2376" s="129" t="str">
        <f t="shared" ca="1" si="266"/>
        <v>On Time</v>
      </c>
      <c r="AL2376" s="268" t="str">
        <f t="shared" si="265"/>
        <v>April</v>
      </c>
      <c r="AM2376" s="133">
        <f>YEAR(Table1[[#This Row],[ETA
As requested
dd.mm.yyyy]])</f>
        <v>2024</v>
      </c>
    </row>
    <row r="2377" spans="1:39" hidden="1">
      <c r="A2377" s="123" t="s">
        <v>83</v>
      </c>
      <c r="B2377" s="36" t="s">
        <v>1170</v>
      </c>
      <c r="C2377" s="117">
        <v>36508738</v>
      </c>
      <c r="D2377" s="165">
        <v>45378</v>
      </c>
      <c r="E2377" s="117" t="s">
        <v>102</v>
      </c>
      <c r="F2377" s="36" t="str">
        <f>IFERROR(VLOOKUP(Table1[[#This Row],[Part Number]],DATABASE_FG!$C$6:D12366,2,FALSE)," ")</f>
        <v xml:space="preserve">080814913-8011 </v>
      </c>
      <c r="G2377" s="117">
        <f>IFERROR(_xlfn.XLOOKUP(Table1[[#This Row],[Part Number]],Table3[Part number],Table3[Drawing
 Revision]),"")</f>
        <v>0</v>
      </c>
      <c r="H2377" s="118" cm="1">
        <f t="array" ref="H2377">IFERROR(INDEX(PDB!$C:$AT,MATCH(E2377,PDB!$B:$B,0),MATCH(YEAR(K2377),0+PDB!$C$1:$AT$1,0)),"")</f>
        <v>4.8099999999999996</v>
      </c>
      <c r="I2377" s="36">
        <v>100</v>
      </c>
      <c r="J2377" s="125">
        <f>IFERROR(Table1[[#This Row],[Quantity]]*Table1[[#This Row],[Price/Unit
EUR]]," ")</f>
        <v>480.99999999999994</v>
      </c>
      <c r="K2377" s="126">
        <v>45405</v>
      </c>
      <c r="L2377" s="36">
        <f>WEEKNUM(Table1[[#This Row],[ETA
As requested
dd.mm.yyyy]])</f>
        <v>17</v>
      </c>
      <c r="M2377" s="36">
        <f>YEAR(Table1[[#This Row],[ETA
As requested
dd.mm.yyyy]])</f>
        <v>2024</v>
      </c>
      <c r="N2377" s="36">
        <f>IFERROR(INDEX(DATABASE_FG!$H$5:$H$367, MATCH(E2377, DATABASE_FG!$C$5:$C$367, 0)), " ")</f>
        <v>0</v>
      </c>
      <c r="O2377" s="129" t="str">
        <f>IF(E2377&lt;&gt;"", _xlfn.XLOOKUP(E2377, DATABASE_FG!C:C, DATABASE_FG!F:F), " ")</f>
        <v>Ghidaje</v>
      </c>
      <c r="P2377" s="36">
        <f>IFERROR(INDEX(DATABASE_FG!$G$5:$G$367, MATCH(E2377, DATABASE_FG!$C$5:$C$367, 0)), "Not Found")</f>
        <v>0</v>
      </c>
      <c r="Q2377" s="36"/>
      <c r="R2377" s="125" t="s">
        <v>678</v>
      </c>
      <c r="S2377" s="123">
        <f>IFERROR(INDEX(DATABASE_FG!$L$5:$L$367, MATCH(E2377, DATABASE_FG!$C$5:$C$367, 0)), " ")</f>
        <v>42</v>
      </c>
      <c r="T2377" s="36" t="s">
        <v>679</v>
      </c>
      <c r="U2377" s="36"/>
      <c r="V2377" s="36"/>
      <c r="W2377" s="129"/>
      <c r="X2377" s="36"/>
      <c r="Y2377" s="36"/>
      <c r="Z2377" s="36" t="s">
        <v>1363</v>
      </c>
      <c r="AA2377" s="125" t="s">
        <v>121</v>
      </c>
      <c r="AB2377" s="172">
        <v>45405</v>
      </c>
      <c r="AC2377" s="119">
        <v>2024389</v>
      </c>
      <c r="AD2377" s="36">
        <f t="shared" si="263"/>
        <v>36508738</v>
      </c>
      <c r="AE2377" s="36" t="str">
        <f t="shared" si="264"/>
        <v>TK.KWVE30-B-A-S-0038-WW1</v>
      </c>
      <c r="AF2377" s="36">
        <v>100</v>
      </c>
      <c r="AG2377" s="120">
        <f t="shared" si="267"/>
        <v>480.99999999999994</v>
      </c>
      <c r="AH2377" s="36"/>
      <c r="AI2377" s="124"/>
      <c r="AJ2377" s="122" t="s">
        <v>1395</v>
      </c>
      <c r="AK2377" s="129" t="str">
        <f t="shared" ca="1" si="266"/>
        <v>On Time</v>
      </c>
      <c r="AL2377" s="268" t="str">
        <f t="shared" si="265"/>
        <v>April</v>
      </c>
      <c r="AM2377" s="133">
        <f>YEAR(Table1[[#This Row],[ETA
As requested
dd.mm.yyyy]])</f>
        <v>2024</v>
      </c>
    </row>
    <row r="2378" spans="1:39" hidden="1">
      <c r="A2378" s="123" t="s">
        <v>83</v>
      </c>
      <c r="B2378" s="36" t="s">
        <v>1170</v>
      </c>
      <c r="C2378" s="117">
        <v>36508740</v>
      </c>
      <c r="D2378" s="165">
        <v>45378</v>
      </c>
      <c r="E2378" s="117" t="s">
        <v>102</v>
      </c>
      <c r="F2378" s="36" t="str">
        <f>IFERROR(VLOOKUP(Table1[[#This Row],[Part Number]],DATABASE_FG!$C$6:D12367,2,FALSE)," ")</f>
        <v xml:space="preserve">080814913-8011 </v>
      </c>
      <c r="G2378" s="117">
        <f>IFERROR(_xlfn.XLOOKUP(Table1[[#This Row],[Part Number]],Table3[Part number],Table3[Drawing
 Revision]),"")</f>
        <v>0</v>
      </c>
      <c r="H2378" s="118" cm="1">
        <f t="array" ref="H2378">IFERROR(INDEX(PDB!$C:$AT,MATCH(E2378,PDB!$B:$B,0),MATCH(YEAR(K2378),0+PDB!$C$1:$AT$1,0)),"")</f>
        <v>4.8099999999999996</v>
      </c>
      <c r="I2378" s="36">
        <v>100</v>
      </c>
      <c r="J2378" s="125">
        <f>IFERROR(Table1[[#This Row],[Quantity]]*Table1[[#This Row],[Price/Unit
EUR]]," ")</f>
        <v>480.99999999999994</v>
      </c>
      <c r="K2378" s="126">
        <v>45407</v>
      </c>
      <c r="L2378" s="36">
        <f>WEEKNUM(Table1[[#This Row],[ETA
As requested
dd.mm.yyyy]])</f>
        <v>17</v>
      </c>
      <c r="M2378" s="36">
        <f>YEAR(Table1[[#This Row],[ETA
As requested
dd.mm.yyyy]])</f>
        <v>2024</v>
      </c>
      <c r="N2378" s="36">
        <f>IFERROR(INDEX(DATABASE_FG!$H$5:$H$367, MATCH(E2378, DATABASE_FG!$C$5:$C$367, 0)), " ")</f>
        <v>0</v>
      </c>
      <c r="O2378" s="129" t="str">
        <f>IF(E2378&lt;&gt;"", _xlfn.XLOOKUP(E2378, DATABASE_FG!C:C, DATABASE_FG!F:F), " ")</f>
        <v>Ghidaje</v>
      </c>
      <c r="P2378" s="36">
        <f>IFERROR(INDEX(DATABASE_FG!$G$5:$G$367, MATCH(E2378, DATABASE_FG!$C$5:$C$367, 0)), "Not Found")</f>
        <v>0</v>
      </c>
      <c r="Q2378" s="36"/>
      <c r="R2378" s="125" t="s">
        <v>678</v>
      </c>
      <c r="S2378" s="123">
        <f>IFERROR(INDEX(DATABASE_FG!$L$5:$L$367, MATCH(E2378, DATABASE_FG!$C$5:$C$367, 0)), " ")</f>
        <v>42</v>
      </c>
      <c r="T2378" s="36" t="s">
        <v>679</v>
      </c>
      <c r="U2378" s="36"/>
      <c r="V2378" s="36"/>
      <c r="W2378" s="129"/>
      <c r="X2378" s="36"/>
      <c r="Y2378" s="36"/>
      <c r="Z2378" s="36" t="s">
        <v>1400</v>
      </c>
      <c r="AA2378" s="125" t="s">
        <v>121</v>
      </c>
      <c r="AB2378" s="172">
        <v>45407</v>
      </c>
      <c r="AC2378" s="119">
        <v>2024404</v>
      </c>
      <c r="AD2378" s="36">
        <f t="shared" si="263"/>
        <v>36508740</v>
      </c>
      <c r="AE2378" s="36" t="str">
        <f t="shared" si="264"/>
        <v>TK.KWVE30-B-A-S-0038-WW1</v>
      </c>
      <c r="AF2378" s="36">
        <v>100</v>
      </c>
      <c r="AG2378" s="120">
        <f t="shared" si="267"/>
        <v>480.99999999999994</v>
      </c>
      <c r="AH2378" s="36"/>
      <c r="AI2378" s="124"/>
      <c r="AJ2378" s="122" t="s">
        <v>1401</v>
      </c>
      <c r="AK2378" s="129" t="str">
        <f t="shared" ca="1" si="266"/>
        <v>On Time</v>
      </c>
      <c r="AL2378" s="268" t="str">
        <f t="shared" si="265"/>
        <v>April</v>
      </c>
      <c r="AM2378" s="133">
        <f>YEAR(Table1[[#This Row],[ETA
As requested
dd.mm.yyyy]])</f>
        <v>2024</v>
      </c>
    </row>
    <row r="2379" spans="1:39" hidden="1">
      <c r="A2379" s="123" t="s">
        <v>83</v>
      </c>
      <c r="B2379" s="36" t="s">
        <v>1170</v>
      </c>
      <c r="C2379" s="117">
        <v>36635700</v>
      </c>
      <c r="D2379" s="165">
        <v>45400</v>
      </c>
      <c r="E2379" s="117" t="s">
        <v>102</v>
      </c>
      <c r="F2379" s="36" t="str">
        <f>IFERROR(VLOOKUP(Table1[[#This Row],[Part Number]],DATABASE_FG!$C$6:D12368,2,FALSE)," ")</f>
        <v xml:space="preserve">080814913-8011 </v>
      </c>
      <c r="G2379" s="117">
        <f>IFERROR(_xlfn.XLOOKUP(Table1[[#This Row],[Part Number]],Table3[Part number],Table3[Drawing
 Revision]),"")</f>
        <v>0</v>
      </c>
      <c r="H2379" s="118" cm="1">
        <f t="array" ref="H2379">IFERROR(INDEX(PDB!$C:$AT,MATCH(E2379,PDB!$B:$B,0),MATCH(YEAR(K2379),0+PDB!$C$1:$AT$1,0)),"")</f>
        <v>4.8099999999999996</v>
      </c>
      <c r="I2379" s="36">
        <v>250</v>
      </c>
      <c r="J2379" s="125">
        <f>IFERROR(Table1[[#This Row],[Quantity]]*Table1[[#This Row],[Price/Unit
EUR]]," ")</f>
        <v>1202.5</v>
      </c>
      <c r="K2379" s="126">
        <v>45419</v>
      </c>
      <c r="L2379" s="36">
        <f>WEEKNUM(Table1[[#This Row],[ETA
As requested
dd.mm.yyyy]])</f>
        <v>19</v>
      </c>
      <c r="M2379" s="36">
        <f>YEAR(Table1[[#This Row],[ETA
As requested
dd.mm.yyyy]])</f>
        <v>2024</v>
      </c>
      <c r="N2379" s="36">
        <f>IFERROR(INDEX(DATABASE_FG!$H$5:$H$367, MATCH(E2379, DATABASE_FG!$C$5:$C$367, 0)), " ")</f>
        <v>0</v>
      </c>
      <c r="O2379" s="129" t="str">
        <f>IF(E2379&lt;&gt;"", _xlfn.XLOOKUP(E2379, DATABASE_FG!C:C, DATABASE_FG!F:F), " ")</f>
        <v>Ghidaje</v>
      </c>
      <c r="P2379" s="36">
        <f>IFERROR(INDEX(DATABASE_FG!$G$5:$G$367, MATCH(E2379, DATABASE_FG!$C$5:$C$367, 0)), "Not Found")</f>
        <v>0</v>
      </c>
      <c r="Q2379" s="36"/>
      <c r="R2379" s="125" t="s">
        <v>678</v>
      </c>
      <c r="S2379" s="123">
        <f>IFERROR(INDEX(DATABASE_FG!$L$5:$L$367, MATCH(E2379, DATABASE_FG!$C$5:$C$367, 0)), " ")</f>
        <v>42</v>
      </c>
      <c r="T2379" s="36" t="s">
        <v>679</v>
      </c>
      <c r="U2379" s="36"/>
      <c r="V2379" s="36"/>
      <c r="W2379" s="129"/>
      <c r="X2379" s="36"/>
      <c r="Y2379" s="36"/>
      <c r="Z2379" s="36">
        <v>241718</v>
      </c>
      <c r="AA2379" s="125" t="s">
        <v>121</v>
      </c>
      <c r="AB2379" s="173">
        <v>45419</v>
      </c>
      <c r="AC2379" s="119">
        <v>2024429</v>
      </c>
      <c r="AD2379" s="36">
        <f t="shared" si="263"/>
        <v>36635700</v>
      </c>
      <c r="AE2379" s="36" t="str">
        <f t="shared" si="264"/>
        <v>TK.KWVE30-B-A-S-0038-WW1</v>
      </c>
      <c r="AF2379" s="36">
        <v>217</v>
      </c>
      <c r="AG2379" s="120">
        <f t="shared" si="267"/>
        <v>1043.77</v>
      </c>
      <c r="AH2379" s="36"/>
      <c r="AI2379" s="124"/>
      <c r="AJ2379" s="122" t="s">
        <v>1452</v>
      </c>
      <c r="AK2379" s="129" t="str">
        <f t="shared" ca="1" si="266"/>
        <v>On Time</v>
      </c>
      <c r="AL2379" s="268" t="str">
        <f t="shared" si="265"/>
        <v>May</v>
      </c>
      <c r="AM2379" s="133">
        <f>YEAR(Table1[[#This Row],[ETA
As requested
dd.mm.yyyy]])</f>
        <v>2024</v>
      </c>
    </row>
    <row r="2380" spans="1:39" hidden="1">
      <c r="A2380" s="123" t="s">
        <v>83</v>
      </c>
      <c r="B2380" s="36" t="s">
        <v>1170</v>
      </c>
      <c r="C2380" s="117">
        <v>36635700</v>
      </c>
      <c r="D2380" s="165">
        <v>45400</v>
      </c>
      <c r="E2380" s="117" t="s">
        <v>102</v>
      </c>
      <c r="F2380" s="36" t="str">
        <f>IFERROR(VLOOKUP(Table1[[#This Row],[Part Number]],DATABASE_FG!$C$6:D12369,2,FALSE)," ")</f>
        <v xml:space="preserve">080814913-8011 </v>
      </c>
      <c r="G2380" s="117">
        <f>IFERROR(_xlfn.XLOOKUP(Table1[[#This Row],[Part Number]],Table3[Part number],Table3[Drawing
 Revision]),"")</f>
        <v>0</v>
      </c>
      <c r="H2380" s="118" cm="1">
        <f t="array" ref="H2380">IFERROR(INDEX(PDB!$C:$AT,MATCH(E2380,PDB!$B:$B,0),MATCH(YEAR(K2380),0+PDB!$C$1:$AT$1,0)),"")</f>
        <v>4.8099999999999996</v>
      </c>
      <c r="I2380" s="36"/>
      <c r="J2380" s="125">
        <f>IFERROR(Table1[[#This Row],[Quantity]]*Table1[[#This Row],[Price/Unit
EUR]]," ")</f>
        <v>0</v>
      </c>
      <c r="K2380" s="126">
        <v>45419</v>
      </c>
      <c r="L2380" s="36">
        <f>WEEKNUM(Table1[[#This Row],[ETA
As requested
dd.mm.yyyy]])</f>
        <v>19</v>
      </c>
      <c r="M2380" s="36">
        <f>YEAR(Table1[[#This Row],[ETA
As requested
dd.mm.yyyy]])</f>
        <v>2024</v>
      </c>
      <c r="N2380" s="36">
        <f>IFERROR(INDEX(DATABASE_FG!$H$5:$H$367, MATCH(E2380, DATABASE_FG!$C$5:$C$367, 0)), " ")</f>
        <v>0</v>
      </c>
      <c r="O2380" s="129" t="str">
        <f>IF(E2380&lt;&gt;"", _xlfn.XLOOKUP(E2380, DATABASE_FG!C:C, DATABASE_FG!F:F), " ")</f>
        <v>Ghidaje</v>
      </c>
      <c r="P2380" s="36">
        <f>IFERROR(INDEX(DATABASE_FG!$G$5:$G$367, MATCH(E2380, DATABASE_FG!$C$5:$C$367, 0)), "Not Found")</f>
        <v>0</v>
      </c>
      <c r="Q2380" s="36"/>
      <c r="R2380" s="125" t="s">
        <v>678</v>
      </c>
      <c r="S2380" s="123">
        <f>IFERROR(INDEX(DATABASE_FG!$L$5:$L$367, MATCH(E2380, DATABASE_FG!$C$5:$C$367, 0)), " ")</f>
        <v>42</v>
      </c>
      <c r="T2380" s="36"/>
      <c r="U2380" s="36"/>
      <c r="V2380" s="36"/>
      <c r="W2380" s="129"/>
      <c r="X2380" s="36"/>
      <c r="Y2380" s="36"/>
      <c r="Z2380" s="36"/>
      <c r="AA2380" s="125" t="s">
        <v>121</v>
      </c>
      <c r="AB2380" s="172">
        <v>45419</v>
      </c>
      <c r="AC2380" s="119">
        <v>2024445</v>
      </c>
      <c r="AD2380" s="36">
        <f t="shared" si="263"/>
        <v>36635700</v>
      </c>
      <c r="AE2380" s="36" t="str">
        <f t="shared" si="264"/>
        <v>TK.KWVE30-B-A-S-0038-WW1</v>
      </c>
      <c r="AF2380" s="36">
        <v>13</v>
      </c>
      <c r="AG2380" s="120">
        <f t="shared" si="267"/>
        <v>62.529999999999994</v>
      </c>
      <c r="AH2380" s="36"/>
      <c r="AI2380" s="124"/>
      <c r="AJ2380" s="122" t="s">
        <v>1453</v>
      </c>
      <c r="AK2380" s="129" t="str">
        <f t="shared" ca="1" si="266"/>
        <v>On Time</v>
      </c>
      <c r="AL2380" s="268" t="str">
        <f t="shared" si="265"/>
        <v>May</v>
      </c>
      <c r="AM2380" s="133">
        <f>YEAR(Table1[[#This Row],[ETA
As requested
dd.mm.yyyy]])</f>
        <v>2024</v>
      </c>
    </row>
    <row r="2381" spans="1:39" hidden="1">
      <c r="A2381" s="123" t="s">
        <v>83</v>
      </c>
      <c r="B2381" s="36" t="s">
        <v>1170</v>
      </c>
      <c r="C2381" s="117">
        <v>36635700</v>
      </c>
      <c r="D2381" s="165">
        <v>45400</v>
      </c>
      <c r="E2381" s="117" t="s">
        <v>102</v>
      </c>
      <c r="F2381" s="36" t="str">
        <f>IFERROR(VLOOKUP(Table1[[#This Row],[Part Number]],DATABASE_FG!$C$6:D12370,2,FALSE)," ")</f>
        <v xml:space="preserve">080814913-8011 </v>
      </c>
      <c r="G2381" s="117">
        <f>IFERROR(_xlfn.XLOOKUP(Table1[[#This Row],[Part Number]],Table3[Part number],Table3[Drawing
 Revision]),"")</f>
        <v>0</v>
      </c>
      <c r="H2381" s="118" cm="1">
        <f t="array" ref="H2381">IFERROR(INDEX(PDB!$C:$AT,MATCH(E2381,PDB!$B:$B,0),MATCH(YEAR(K2381),0+PDB!$C$1:$AT$1,0)),"")</f>
        <v>4.8099999999999996</v>
      </c>
      <c r="I2381" s="36"/>
      <c r="J2381" s="125">
        <f>IFERROR(Table1[[#This Row],[Quantity]]*Table1[[#This Row],[Price/Unit
EUR]]," ")</f>
        <v>0</v>
      </c>
      <c r="K2381" s="126">
        <v>45419</v>
      </c>
      <c r="L2381" s="36">
        <f>WEEKNUM(Table1[[#This Row],[ETA
As requested
dd.mm.yyyy]])</f>
        <v>19</v>
      </c>
      <c r="M2381" s="36">
        <f>YEAR(Table1[[#This Row],[ETA
As requested
dd.mm.yyyy]])</f>
        <v>2024</v>
      </c>
      <c r="N2381" s="36">
        <f>IFERROR(INDEX(DATABASE_FG!$H$5:$H$367, MATCH(E2381, DATABASE_FG!$C$5:$C$367, 0)), " ")</f>
        <v>0</v>
      </c>
      <c r="O2381" s="129" t="str">
        <f>IF(E2381&lt;&gt;"", _xlfn.XLOOKUP(E2381, DATABASE_FG!C:C, DATABASE_FG!F:F), " ")</f>
        <v>Ghidaje</v>
      </c>
      <c r="P2381" s="36">
        <f>IFERROR(INDEX(DATABASE_FG!$G$5:$G$367, MATCH(E2381, DATABASE_FG!$C$5:$C$367, 0)), "Not Found")</f>
        <v>0</v>
      </c>
      <c r="Q2381" s="36"/>
      <c r="R2381" s="125" t="s">
        <v>678</v>
      </c>
      <c r="S2381" s="123">
        <f>IFERROR(INDEX(DATABASE_FG!$L$5:$L$367, MATCH(E2381, DATABASE_FG!$C$5:$C$367, 0)), " ")</f>
        <v>42</v>
      </c>
      <c r="T2381" s="36"/>
      <c r="U2381" s="36"/>
      <c r="V2381" s="36"/>
      <c r="W2381" s="129"/>
      <c r="X2381" s="36"/>
      <c r="Y2381" s="36"/>
      <c r="Z2381" s="36"/>
      <c r="AA2381" s="125" t="s">
        <v>121</v>
      </c>
      <c r="AB2381" s="172">
        <v>45421</v>
      </c>
      <c r="AC2381" s="119">
        <v>2024450</v>
      </c>
      <c r="AD2381" s="36">
        <f t="shared" si="263"/>
        <v>36635700</v>
      </c>
      <c r="AE2381" s="36" t="str">
        <f t="shared" si="264"/>
        <v>TK.KWVE30-B-A-S-0038-WW1</v>
      </c>
      <c r="AF2381" s="36">
        <v>20</v>
      </c>
      <c r="AG2381" s="120">
        <f t="shared" si="267"/>
        <v>96.199999999999989</v>
      </c>
      <c r="AH2381" s="36"/>
      <c r="AI2381" s="124"/>
      <c r="AJ2381" s="122" t="s">
        <v>1458</v>
      </c>
      <c r="AK2381" s="129" t="str">
        <f t="shared" ca="1" si="266"/>
        <v>On Time</v>
      </c>
      <c r="AL2381" s="268" t="str">
        <f t="shared" si="265"/>
        <v>May</v>
      </c>
      <c r="AM2381" s="133">
        <f>YEAR(Table1[[#This Row],[ETA
As requested
dd.mm.yyyy]])</f>
        <v>2024</v>
      </c>
    </row>
    <row r="2382" spans="1:39" hidden="1">
      <c r="A2382" s="123" t="s">
        <v>83</v>
      </c>
      <c r="B2382" s="36" t="s">
        <v>1170</v>
      </c>
      <c r="C2382" s="117">
        <v>36635702</v>
      </c>
      <c r="D2382" s="165">
        <v>45400</v>
      </c>
      <c r="E2382" s="117" t="s">
        <v>102</v>
      </c>
      <c r="F2382" s="36" t="str">
        <f>IFERROR(VLOOKUP(Table1[[#This Row],[Part Number]],DATABASE_FG!$C$6:D12371,2,FALSE)," ")</f>
        <v xml:space="preserve">080814913-8011 </v>
      </c>
      <c r="G2382" s="117">
        <f>IFERROR(_xlfn.XLOOKUP(Table1[[#This Row],[Part Number]],Table3[Part number],Table3[Drawing
 Revision]),"")</f>
        <v>0</v>
      </c>
      <c r="H2382" s="118" cm="1">
        <f t="array" ref="H2382">IFERROR(INDEX(PDB!$C:$AT,MATCH(E2382,PDB!$B:$B,0),MATCH(YEAR(K2382),0+PDB!$C$1:$AT$1,0)),"")</f>
        <v>4.8099999999999996</v>
      </c>
      <c r="I2382" s="36">
        <v>250</v>
      </c>
      <c r="J2382" s="125">
        <f>IFERROR(Table1[[#This Row],[Quantity]]*Table1[[#This Row],[Price/Unit
EUR]]," ")</f>
        <v>1202.5</v>
      </c>
      <c r="K2382" s="126">
        <v>45421</v>
      </c>
      <c r="L2382" s="36">
        <f>WEEKNUM(Table1[[#This Row],[ETA
As requested
dd.mm.yyyy]])</f>
        <v>19</v>
      </c>
      <c r="M2382" s="36">
        <f>YEAR(Table1[[#This Row],[ETA
As requested
dd.mm.yyyy]])</f>
        <v>2024</v>
      </c>
      <c r="N2382" s="36">
        <f>IFERROR(INDEX(DATABASE_FG!$H$5:$H$367, MATCH(E2382, DATABASE_FG!$C$5:$C$367, 0)), " ")</f>
        <v>0</v>
      </c>
      <c r="O2382" s="129" t="str">
        <f>IF(E2382&lt;&gt;"", _xlfn.XLOOKUP(E2382, DATABASE_FG!C:C, DATABASE_FG!F:F), " ")</f>
        <v>Ghidaje</v>
      </c>
      <c r="P2382" s="36">
        <f>IFERROR(INDEX(DATABASE_FG!$G$5:$G$367, MATCH(E2382, DATABASE_FG!$C$5:$C$367, 0)), "Not Found")</f>
        <v>0</v>
      </c>
      <c r="Q2382" s="36"/>
      <c r="R2382" s="125" t="s">
        <v>678</v>
      </c>
      <c r="S2382" s="123">
        <f>IFERROR(INDEX(DATABASE_FG!$L$5:$L$367, MATCH(E2382, DATABASE_FG!$C$5:$C$367, 0)), " ")</f>
        <v>42</v>
      </c>
      <c r="T2382" s="36" t="s">
        <v>679</v>
      </c>
      <c r="U2382" s="36"/>
      <c r="V2382" s="36"/>
      <c r="W2382" s="129"/>
      <c r="X2382" s="36"/>
      <c r="Y2382" s="36"/>
      <c r="Z2382" s="36">
        <v>242002</v>
      </c>
      <c r="AA2382" s="125" t="s">
        <v>121</v>
      </c>
      <c r="AB2382" s="172">
        <v>45421</v>
      </c>
      <c r="AC2382" s="119">
        <v>2024451</v>
      </c>
      <c r="AD2382" s="36">
        <f t="shared" ref="AD2382:AD2445" si="268">IF(NOT(ISBLANK(AC2382)), C2382, "")</f>
        <v>36635702</v>
      </c>
      <c r="AE2382" s="36" t="str">
        <f t="shared" ref="AE2382:AE2445" si="269">IF(NOT(ISBLANK(AC2382)), E2382, "")</f>
        <v>TK.KWVE30-B-A-S-0038-WW1</v>
      </c>
      <c r="AF2382" s="36">
        <v>140</v>
      </c>
      <c r="AG2382" s="120">
        <f t="shared" si="267"/>
        <v>673.4</v>
      </c>
      <c r="AH2382" s="36"/>
      <c r="AI2382" s="124"/>
      <c r="AJ2382" s="122" t="s">
        <v>1488</v>
      </c>
      <c r="AK2382" s="129" t="str">
        <f t="shared" ca="1" si="266"/>
        <v>On Time</v>
      </c>
      <c r="AL2382" s="268" t="str">
        <f t="shared" si="265"/>
        <v>May</v>
      </c>
      <c r="AM2382" s="133">
        <f>YEAR(Table1[[#This Row],[ETA
As requested
dd.mm.yyyy]])</f>
        <v>2024</v>
      </c>
    </row>
    <row r="2383" spans="1:39" hidden="1">
      <c r="A2383" s="123" t="s">
        <v>83</v>
      </c>
      <c r="B2383" s="36" t="s">
        <v>1170</v>
      </c>
      <c r="C2383" s="117">
        <v>36635702</v>
      </c>
      <c r="D2383" s="165">
        <v>45400</v>
      </c>
      <c r="E2383" s="117" t="s">
        <v>102</v>
      </c>
      <c r="F2383" s="36" t="str">
        <f>IFERROR(VLOOKUP(Table1[[#This Row],[Part Number]],DATABASE_FG!$C$6:D12372,2,FALSE)," ")</f>
        <v xml:space="preserve">080814913-8011 </v>
      </c>
      <c r="G2383" s="117">
        <f>IFERROR(_xlfn.XLOOKUP(Table1[[#This Row],[Part Number]],Table3[Part number],Table3[Drawing
 Revision]),"")</f>
        <v>0</v>
      </c>
      <c r="H2383" s="118" cm="1">
        <f t="array" ref="H2383">IFERROR(INDEX(PDB!$C:$AT,MATCH(E2383,PDB!$B:$B,0),MATCH(YEAR(K2383),0+PDB!$C$1:$AT$1,0)),"")</f>
        <v>4.8099999999999996</v>
      </c>
      <c r="I2383" s="36"/>
      <c r="J2383" s="125">
        <f>IFERROR(Table1[[#This Row],[Quantity]]*Table1[[#This Row],[Price/Unit
EUR]]," ")</f>
        <v>0</v>
      </c>
      <c r="K2383" s="126">
        <v>45421</v>
      </c>
      <c r="L2383" s="36">
        <f>WEEKNUM(Table1[[#This Row],[ETA
As requested
dd.mm.yyyy]])</f>
        <v>19</v>
      </c>
      <c r="M2383" s="36">
        <f>YEAR(Table1[[#This Row],[ETA
As requested
dd.mm.yyyy]])</f>
        <v>2024</v>
      </c>
      <c r="N2383" s="36">
        <f>IFERROR(INDEX(DATABASE_FG!$H$5:$H$367, MATCH(E2383, DATABASE_FG!$C$5:$C$367, 0)), " ")</f>
        <v>0</v>
      </c>
      <c r="O2383" s="129" t="str">
        <f>IF(E2383&lt;&gt;"", _xlfn.XLOOKUP(E2383, DATABASE_FG!C:C, DATABASE_FG!F:F), " ")</f>
        <v>Ghidaje</v>
      </c>
      <c r="P2383" s="36">
        <f>IFERROR(INDEX(DATABASE_FG!$G$5:$G$367, MATCH(E2383, DATABASE_FG!$C$5:$C$367, 0)), "Not Found")</f>
        <v>0</v>
      </c>
      <c r="Q2383" s="36"/>
      <c r="R2383" s="125" t="s">
        <v>678</v>
      </c>
      <c r="S2383" s="123">
        <f>IFERROR(INDEX(DATABASE_FG!$L$5:$L$367, MATCH(E2383, DATABASE_FG!$C$5:$C$367, 0)), " ")</f>
        <v>42</v>
      </c>
      <c r="T2383" s="36"/>
      <c r="U2383" s="36"/>
      <c r="V2383" s="36"/>
      <c r="W2383" s="129"/>
      <c r="X2383" s="36"/>
      <c r="Y2383" s="36"/>
      <c r="Z2383" s="36"/>
      <c r="AA2383" s="125" t="s">
        <v>121</v>
      </c>
      <c r="AB2383" s="172">
        <v>45426</v>
      </c>
      <c r="AC2383" s="119">
        <v>2024480</v>
      </c>
      <c r="AD2383" s="36">
        <f t="shared" si="268"/>
        <v>36635702</v>
      </c>
      <c r="AE2383" s="36" t="str">
        <f t="shared" si="269"/>
        <v>TK.KWVE30-B-A-S-0038-WW1</v>
      </c>
      <c r="AF2383" s="36">
        <v>110</v>
      </c>
      <c r="AG2383" s="120">
        <f t="shared" si="267"/>
        <v>529.09999999999991</v>
      </c>
      <c r="AH2383" s="36"/>
      <c r="AI2383" s="124"/>
      <c r="AJ2383" s="122" t="s">
        <v>1490</v>
      </c>
      <c r="AK2383" s="129" t="str">
        <f t="shared" ca="1" si="266"/>
        <v>Late</v>
      </c>
      <c r="AL2383" s="268" t="str">
        <f t="shared" si="265"/>
        <v>May</v>
      </c>
      <c r="AM2383" s="133">
        <f>YEAR(Table1[[#This Row],[ETA
As requested
dd.mm.yyyy]])</f>
        <v>2024</v>
      </c>
    </row>
    <row r="2384" spans="1:39" hidden="1">
      <c r="A2384" s="123" t="s">
        <v>83</v>
      </c>
      <c r="B2384" s="36" t="s">
        <v>1170</v>
      </c>
      <c r="C2384" s="117">
        <v>36635707</v>
      </c>
      <c r="D2384" s="165">
        <v>45400</v>
      </c>
      <c r="E2384" s="117" t="s">
        <v>102</v>
      </c>
      <c r="F2384" s="36" t="str">
        <f>IFERROR(VLOOKUP(Table1[[#This Row],[Part Number]],DATABASE_FG!$C$6:D12373,2,FALSE)," ")</f>
        <v xml:space="preserve">080814913-8011 </v>
      </c>
      <c r="G2384" s="117">
        <f>IFERROR(_xlfn.XLOOKUP(Table1[[#This Row],[Part Number]],Table3[Part number],Table3[Drawing
 Revision]),"")</f>
        <v>0</v>
      </c>
      <c r="H2384" s="118" cm="1">
        <f t="array" ref="H2384">IFERROR(INDEX(PDB!$C:$AT,MATCH(E2384,PDB!$B:$B,0),MATCH(YEAR(K2384),0+PDB!$C$1:$AT$1,0)),"")</f>
        <v>4.8099999999999996</v>
      </c>
      <c r="I2384" s="36">
        <v>250</v>
      </c>
      <c r="J2384" s="125">
        <f>IFERROR(Table1[[#This Row],[Quantity]]*Table1[[#This Row],[Price/Unit
EUR]]," ")</f>
        <v>1202.5</v>
      </c>
      <c r="K2384" s="126">
        <v>45426</v>
      </c>
      <c r="L2384" s="36">
        <f>WEEKNUM(Table1[[#This Row],[ETA
As requested
dd.mm.yyyy]])</f>
        <v>20</v>
      </c>
      <c r="M2384" s="36">
        <f>YEAR(Table1[[#This Row],[ETA
As requested
dd.mm.yyyy]])</f>
        <v>2024</v>
      </c>
      <c r="N2384" s="36">
        <f>IFERROR(INDEX(DATABASE_FG!$H$5:$H$367, MATCH(E2384, DATABASE_FG!$C$5:$C$367, 0)), " ")</f>
        <v>0</v>
      </c>
      <c r="O2384" s="129" t="str">
        <f>IF(E2384&lt;&gt;"", _xlfn.XLOOKUP(E2384, DATABASE_FG!C:C, DATABASE_FG!F:F), " ")</f>
        <v>Ghidaje</v>
      </c>
      <c r="P2384" s="36">
        <f>IFERROR(INDEX(DATABASE_FG!$G$5:$G$367, MATCH(E2384, DATABASE_FG!$C$5:$C$367, 0)), "Not Found")</f>
        <v>0</v>
      </c>
      <c r="Q2384" s="36"/>
      <c r="R2384" s="125" t="s">
        <v>678</v>
      </c>
      <c r="S2384" s="123">
        <f>IFERROR(INDEX(DATABASE_FG!$L$5:$L$367, MATCH(E2384, DATABASE_FG!$C$5:$C$367, 0)), " ")</f>
        <v>42</v>
      </c>
      <c r="T2384" s="36" t="s">
        <v>679</v>
      </c>
      <c r="U2384" s="36"/>
      <c r="V2384" s="36"/>
      <c r="W2384" s="129"/>
      <c r="X2384" s="36"/>
      <c r="Y2384" s="36"/>
      <c r="Z2384" s="36">
        <v>242002</v>
      </c>
      <c r="AA2384" s="125" t="s">
        <v>121</v>
      </c>
      <c r="AB2384" s="172">
        <v>45426</v>
      </c>
      <c r="AC2384" s="119">
        <v>2024481</v>
      </c>
      <c r="AD2384" s="36">
        <f t="shared" si="268"/>
        <v>36635707</v>
      </c>
      <c r="AE2384" s="36" t="str">
        <f t="shared" si="269"/>
        <v>TK.KWVE30-B-A-S-0038-WW1</v>
      </c>
      <c r="AF2384" s="36">
        <v>132</v>
      </c>
      <c r="AG2384" s="120">
        <f t="shared" si="267"/>
        <v>634.91999999999996</v>
      </c>
      <c r="AH2384" s="36"/>
      <c r="AI2384" s="124"/>
      <c r="AJ2384" s="122" t="s">
        <v>1503</v>
      </c>
      <c r="AK2384" s="129" t="str">
        <f t="shared" ca="1" si="266"/>
        <v>On Time</v>
      </c>
      <c r="AL2384" s="268" t="str">
        <f t="shared" si="265"/>
        <v>May</v>
      </c>
      <c r="AM2384" s="133">
        <f>YEAR(Table1[[#This Row],[ETA
As requested
dd.mm.yyyy]])</f>
        <v>2024</v>
      </c>
    </row>
    <row r="2385" spans="1:40" hidden="1">
      <c r="A2385" s="123" t="s">
        <v>83</v>
      </c>
      <c r="B2385" s="36" t="s">
        <v>1170</v>
      </c>
      <c r="C2385" s="117">
        <v>36635707</v>
      </c>
      <c r="D2385" s="165">
        <v>45400</v>
      </c>
      <c r="E2385" s="117" t="s">
        <v>102</v>
      </c>
      <c r="F2385" s="36" t="str">
        <f>IFERROR(VLOOKUP(Table1[[#This Row],[Part Number]],DATABASE_FG!$C$6:D12374,2,FALSE)," ")</f>
        <v xml:space="preserve">080814913-8011 </v>
      </c>
      <c r="G2385" s="117">
        <f>IFERROR(_xlfn.XLOOKUP(Table1[[#This Row],[Part Number]],Table3[Part number],Table3[Drawing
 Revision]),"")</f>
        <v>0</v>
      </c>
      <c r="H2385" s="118" cm="1">
        <f t="array" ref="H2385">IFERROR(INDEX(PDB!$C:$AT,MATCH(E2385,PDB!$B:$B,0),MATCH(YEAR(K2385),0+PDB!$C$1:$AT$1,0)),"")</f>
        <v>4.8099999999999996</v>
      </c>
      <c r="I2385" s="36"/>
      <c r="J2385" s="125">
        <f>IFERROR(Table1[[#This Row],[Quantity]]*Table1[[#This Row],[Price/Unit
EUR]]," ")</f>
        <v>0</v>
      </c>
      <c r="K2385" s="126">
        <v>45426</v>
      </c>
      <c r="L2385" s="36">
        <f>WEEKNUM(Table1[[#This Row],[ETA
As requested
dd.mm.yyyy]])</f>
        <v>20</v>
      </c>
      <c r="M2385" s="36">
        <f>YEAR(Table1[[#This Row],[ETA
As requested
dd.mm.yyyy]])</f>
        <v>2024</v>
      </c>
      <c r="N2385" s="36">
        <f>IFERROR(INDEX(DATABASE_FG!$H$5:$H$367, MATCH(E2385, DATABASE_FG!$C$5:$C$367, 0)), " ")</f>
        <v>0</v>
      </c>
      <c r="O2385" s="129" t="str">
        <f>IF(E2385&lt;&gt;"", _xlfn.XLOOKUP(E2385, DATABASE_FG!C:C, DATABASE_FG!F:F), " ")</f>
        <v>Ghidaje</v>
      </c>
      <c r="P2385" s="36">
        <f>IFERROR(INDEX(DATABASE_FG!$G$5:$G$367, MATCH(E2385, DATABASE_FG!$C$5:$C$367, 0)), "Not Found")</f>
        <v>0</v>
      </c>
      <c r="Q2385" s="36"/>
      <c r="R2385" s="125" t="s">
        <v>678</v>
      </c>
      <c r="S2385" s="123">
        <f>IFERROR(INDEX(DATABASE_FG!$L$5:$L$367, MATCH(E2385, DATABASE_FG!$C$5:$C$367, 0)), " ")</f>
        <v>42</v>
      </c>
      <c r="T2385" s="36"/>
      <c r="U2385" s="36"/>
      <c r="V2385" s="36"/>
      <c r="W2385" s="129"/>
      <c r="X2385" s="36"/>
      <c r="Y2385" s="36"/>
      <c r="Z2385" s="36"/>
      <c r="AA2385" s="125" t="s">
        <v>121</v>
      </c>
      <c r="AB2385" s="172">
        <v>45428</v>
      </c>
      <c r="AC2385" s="119">
        <v>2024490</v>
      </c>
      <c r="AD2385" s="36">
        <f t="shared" si="268"/>
        <v>36635707</v>
      </c>
      <c r="AE2385" s="36" t="str">
        <f t="shared" si="269"/>
        <v>TK.KWVE30-B-A-S-0038-WW1</v>
      </c>
      <c r="AF2385" s="36">
        <v>118</v>
      </c>
      <c r="AG2385" s="120">
        <f t="shared" si="267"/>
        <v>567.57999999999993</v>
      </c>
      <c r="AH2385" s="36"/>
      <c r="AI2385" s="124"/>
      <c r="AJ2385" s="122" t="s">
        <v>1505</v>
      </c>
      <c r="AK2385" s="129" t="str">
        <f t="shared" ca="1" si="266"/>
        <v>On Time</v>
      </c>
      <c r="AL2385" s="268" t="str">
        <f t="shared" si="265"/>
        <v>May</v>
      </c>
      <c r="AM2385" s="133">
        <f>YEAR(Table1[[#This Row],[ETA
As requested
dd.mm.yyyy]])</f>
        <v>2024</v>
      </c>
    </row>
    <row r="2386" spans="1:40" hidden="1">
      <c r="A2386" s="123" t="s">
        <v>83</v>
      </c>
      <c r="B2386" s="36" t="s">
        <v>1170</v>
      </c>
      <c r="C2386" s="117">
        <v>36635710</v>
      </c>
      <c r="D2386" s="165">
        <v>45400</v>
      </c>
      <c r="E2386" s="117" t="s">
        <v>102</v>
      </c>
      <c r="F2386" s="36" t="str">
        <f>IFERROR(VLOOKUP(Table1[[#This Row],[Part Number]],DATABASE_FG!$C$6:D12375,2,FALSE)," ")</f>
        <v xml:space="preserve">080814913-8011 </v>
      </c>
      <c r="G2386" s="117">
        <f>IFERROR(_xlfn.XLOOKUP(Table1[[#This Row],[Part Number]],Table3[Part number],Table3[Drawing
 Revision]),"")</f>
        <v>0</v>
      </c>
      <c r="H2386" s="118" cm="1">
        <f t="array" ref="H2386">IFERROR(INDEX(PDB!$C:$AT,MATCH(E2386,PDB!$B:$B,0),MATCH(YEAR(K2386),0+PDB!$C$1:$AT$1,0)),"")</f>
        <v>4.8099999999999996</v>
      </c>
      <c r="I2386" s="36">
        <v>250</v>
      </c>
      <c r="J2386" s="125">
        <f>IFERROR(Table1[[#This Row],[Quantity]]*Table1[[#This Row],[Price/Unit
EUR]]," ")</f>
        <v>1202.5</v>
      </c>
      <c r="K2386" s="126">
        <v>45428</v>
      </c>
      <c r="L2386" s="36">
        <f>WEEKNUM(Table1[[#This Row],[ETA
As requested
dd.mm.yyyy]])</f>
        <v>20</v>
      </c>
      <c r="M2386" s="36">
        <f>YEAR(Table1[[#This Row],[ETA
As requested
dd.mm.yyyy]])</f>
        <v>2024</v>
      </c>
      <c r="N2386" s="36">
        <f>IFERROR(INDEX(DATABASE_FG!$H$5:$H$367, MATCH(E2386, DATABASE_FG!$C$5:$C$367, 0)), " ")</f>
        <v>0</v>
      </c>
      <c r="O2386" s="129" t="str">
        <f>IF(E2386&lt;&gt;"", _xlfn.XLOOKUP(E2386, DATABASE_FG!C:C, DATABASE_FG!F:F), " ")</f>
        <v>Ghidaje</v>
      </c>
      <c r="P2386" s="36">
        <f>IFERROR(INDEX(DATABASE_FG!$G$5:$G$367, MATCH(E2386, DATABASE_FG!$C$5:$C$367, 0)), "Not Found")</f>
        <v>0</v>
      </c>
      <c r="Q2386" s="36"/>
      <c r="R2386" s="125" t="s">
        <v>678</v>
      </c>
      <c r="S2386" s="123">
        <f>IFERROR(INDEX(DATABASE_FG!$L$5:$L$367, MATCH(E2386, DATABASE_FG!$C$5:$C$367, 0)), " ")</f>
        <v>42</v>
      </c>
      <c r="T2386" s="36" t="s">
        <v>679</v>
      </c>
      <c r="U2386" s="36"/>
      <c r="V2386" s="36"/>
      <c r="W2386" s="129"/>
      <c r="X2386" s="36"/>
      <c r="Y2386" s="36"/>
      <c r="Z2386" s="36">
        <v>242002</v>
      </c>
      <c r="AA2386" s="125" t="s">
        <v>121</v>
      </c>
      <c r="AB2386" s="172">
        <v>45436</v>
      </c>
      <c r="AC2386" s="119">
        <v>2024539</v>
      </c>
      <c r="AD2386" s="36">
        <f t="shared" si="268"/>
        <v>36635710</v>
      </c>
      <c r="AE2386" s="36" t="str">
        <f t="shared" si="269"/>
        <v>TK.KWVE30-B-A-S-0038-WW1</v>
      </c>
      <c r="AF2386" s="36">
        <v>85</v>
      </c>
      <c r="AG2386" s="120">
        <f t="shared" si="267"/>
        <v>408.84999999999997</v>
      </c>
      <c r="AH2386" s="36"/>
      <c r="AI2386" s="124"/>
      <c r="AJ2386" s="122" t="s">
        <v>1517</v>
      </c>
      <c r="AK2386" s="129" t="str">
        <f t="shared" ca="1" si="266"/>
        <v>Late</v>
      </c>
      <c r="AL2386" s="268" t="str">
        <f t="shared" si="265"/>
        <v>May</v>
      </c>
      <c r="AM2386" s="133">
        <f>YEAR(Table1[[#This Row],[ETA
As requested
dd.mm.yyyy]])</f>
        <v>2024</v>
      </c>
    </row>
    <row r="2387" spans="1:40" hidden="1">
      <c r="A2387" s="123" t="s">
        <v>83</v>
      </c>
      <c r="B2387" s="36" t="s">
        <v>1170</v>
      </c>
      <c r="C2387" s="117">
        <v>36635710</v>
      </c>
      <c r="D2387" s="165">
        <v>45400</v>
      </c>
      <c r="E2387" s="117" t="s">
        <v>102</v>
      </c>
      <c r="F2387" s="36" t="str">
        <f>IFERROR(VLOOKUP(Table1[[#This Row],[Part Number]],DATABASE_FG!$C$6:D12376,2,FALSE)," ")</f>
        <v xml:space="preserve">080814913-8011 </v>
      </c>
      <c r="G2387" s="117">
        <f>IFERROR(_xlfn.XLOOKUP(Table1[[#This Row],[Part Number]],Table3[Part number],Table3[Drawing
 Revision]),"")</f>
        <v>0</v>
      </c>
      <c r="H2387" s="118" cm="1">
        <f t="array" ref="H2387">IFERROR(INDEX(PDB!$C:$AT,MATCH(E2387,PDB!$B:$B,0),MATCH(YEAR(K2387),0+PDB!$C$1:$AT$1,0)),"")</f>
        <v>4.8099999999999996</v>
      </c>
      <c r="I2387" s="36"/>
      <c r="J2387" s="125">
        <f>IFERROR(Table1[[#This Row],[Quantity]]*Table1[[#This Row],[Price/Unit
EUR]]," ")</f>
        <v>0</v>
      </c>
      <c r="K2387" s="126">
        <v>45428</v>
      </c>
      <c r="L2387" s="36">
        <f>WEEKNUM(Table1[[#This Row],[ETA
As requested
dd.mm.yyyy]])</f>
        <v>20</v>
      </c>
      <c r="M2387" s="36">
        <f>YEAR(Table1[[#This Row],[ETA
As requested
dd.mm.yyyy]])</f>
        <v>2024</v>
      </c>
      <c r="N2387" s="36">
        <f>IFERROR(INDEX(DATABASE_FG!$H$5:$H$367, MATCH(E2387, DATABASE_FG!$C$5:$C$367, 0)), " ")</f>
        <v>0</v>
      </c>
      <c r="O2387" s="129" t="str">
        <f>IF(E2387&lt;&gt;"", _xlfn.XLOOKUP(E2387, DATABASE_FG!C:C, DATABASE_FG!F:F), " ")</f>
        <v>Ghidaje</v>
      </c>
      <c r="P2387" s="36">
        <f>IFERROR(INDEX(DATABASE_FG!$G$5:$G$367, MATCH(E2387, DATABASE_FG!$C$5:$C$367, 0)), "Not Found")</f>
        <v>0</v>
      </c>
      <c r="Q2387" s="36"/>
      <c r="R2387" s="125" t="s">
        <v>678</v>
      </c>
      <c r="S2387" s="123">
        <f>IFERROR(INDEX(DATABASE_FG!$L$5:$L$367, MATCH(E2387, DATABASE_FG!$C$5:$C$367, 0)), " ")</f>
        <v>42</v>
      </c>
      <c r="T2387" s="36"/>
      <c r="U2387" s="36"/>
      <c r="V2387" s="36"/>
      <c r="W2387" s="129"/>
      <c r="X2387" s="36"/>
      <c r="Y2387" s="36"/>
      <c r="Z2387" s="36"/>
      <c r="AA2387" s="125" t="s">
        <v>121</v>
      </c>
      <c r="AB2387" s="172">
        <v>45440</v>
      </c>
      <c r="AC2387" s="119">
        <v>2024557</v>
      </c>
      <c r="AD2387" s="36">
        <f t="shared" si="268"/>
        <v>36635710</v>
      </c>
      <c r="AE2387" s="36" t="str">
        <f t="shared" si="269"/>
        <v>TK.KWVE30-B-A-S-0038-WW1</v>
      </c>
      <c r="AF2387" s="36">
        <v>128</v>
      </c>
      <c r="AG2387" s="120">
        <f t="shared" si="267"/>
        <v>615.67999999999995</v>
      </c>
      <c r="AH2387" s="36"/>
      <c r="AI2387" s="124"/>
      <c r="AJ2387" s="122" t="s">
        <v>1521</v>
      </c>
      <c r="AK2387" s="129" t="str">
        <f t="shared" ca="1" si="266"/>
        <v>Late</v>
      </c>
      <c r="AL2387" s="268" t="str">
        <f t="shared" si="265"/>
        <v>May</v>
      </c>
      <c r="AM2387" s="133">
        <f>YEAR(Table1[[#This Row],[ETA
As requested
dd.mm.yyyy]])</f>
        <v>2024</v>
      </c>
    </row>
    <row r="2388" spans="1:40" hidden="1">
      <c r="A2388" s="123" t="s">
        <v>83</v>
      </c>
      <c r="B2388" s="36" t="s">
        <v>1170</v>
      </c>
      <c r="C2388" s="117">
        <v>36635710</v>
      </c>
      <c r="D2388" s="165">
        <v>45400</v>
      </c>
      <c r="E2388" s="117" t="s">
        <v>102</v>
      </c>
      <c r="F2388" s="36" t="str">
        <f>IFERROR(VLOOKUP(Table1[[#This Row],[Part Number]],DATABASE_FG!$C$6:D12377,2,FALSE)," ")</f>
        <v xml:space="preserve">080814913-8011 </v>
      </c>
      <c r="G2388" s="117">
        <f>IFERROR(_xlfn.XLOOKUP(Table1[[#This Row],[Part Number]],Table3[Part number],Table3[Drawing
 Revision]),"")</f>
        <v>0</v>
      </c>
      <c r="H2388" s="118" cm="1">
        <f t="array" ref="H2388">IFERROR(INDEX(PDB!$C:$AT,MATCH(E2388,PDB!$B:$B,0),MATCH(YEAR(K2388),0+PDB!$C$1:$AT$1,0)),"")</f>
        <v>4.8099999999999996</v>
      </c>
      <c r="I2388" s="36"/>
      <c r="J2388" s="125">
        <f>IFERROR(Table1[[#This Row],[Quantity]]*Table1[[#This Row],[Price/Unit
EUR]]," ")</f>
        <v>0</v>
      </c>
      <c r="K2388" s="126">
        <v>45428</v>
      </c>
      <c r="L2388" s="36">
        <f>WEEKNUM(Table1[[#This Row],[ETA
As requested
dd.mm.yyyy]])</f>
        <v>20</v>
      </c>
      <c r="M2388" s="36">
        <f>YEAR(Table1[[#This Row],[ETA
As requested
dd.mm.yyyy]])</f>
        <v>2024</v>
      </c>
      <c r="N2388" s="36">
        <f>IFERROR(INDEX(DATABASE_FG!$H$5:$H$367, MATCH(E2388, DATABASE_FG!$C$5:$C$367, 0)), " ")</f>
        <v>0</v>
      </c>
      <c r="O2388" s="129" t="str">
        <f>IF(E2388&lt;&gt;"", _xlfn.XLOOKUP(E2388, DATABASE_FG!C:C, DATABASE_FG!F:F), " ")</f>
        <v>Ghidaje</v>
      </c>
      <c r="P2388" s="36">
        <f>IFERROR(INDEX(DATABASE_FG!$G$5:$G$367, MATCH(E2388, DATABASE_FG!$C$5:$C$367, 0)), "Not Found")</f>
        <v>0</v>
      </c>
      <c r="Q2388" s="36"/>
      <c r="R2388" s="125" t="s">
        <v>678</v>
      </c>
      <c r="S2388" s="123">
        <f>IFERROR(INDEX(DATABASE_FG!$L$5:$L$367, MATCH(E2388, DATABASE_FG!$C$5:$C$367, 0)), " ")</f>
        <v>42</v>
      </c>
      <c r="T2388" s="36"/>
      <c r="U2388" s="36"/>
      <c r="V2388" s="36"/>
      <c r="W2388" s="129"/>
      <c r="X2388" s="36"/>
      <c r="Y2388" s="36"/>
      <c r="Z2388" s="36"/>
      <c r="AA2388" s="125" t="s">
        <v>121</v>
      </c>
      <c r="AB2388" s="172">
        <v>45441</v>
      </c>
      <c r="AC2388" s="119">
        <v>2024569</v>
      </c>
      <c r="AD2388" s="36">
        <f t="shared" si="268"/>
        <v>36635710</v>
      </c>
      <c r="AE2388" s="36" t="str">
        <f t="shared" si="269"/>
        <v>TK.KWVE30-B-A-S-0038-WW1</v>
      </c>
      <c r="AF2388" s="36">
        <v>37</v>
      </c>
      <c r="AG2388" s="120">
        <f t="shared" si="267"/>
        <v>177.97</v>
      </c>
      <c r="AH2388" s="36"/>
      <c r="AI2388" s="124"/>
      <c r="AJ2388" s="122" t="s">
        <v>1522</v>
      </c>
      <c r="AK2388" s="129" t="str">
        <f t="shared" ca="1" si="266"/>
        <v>Late</v>
      </c>
      <c r="AL2388" s="268" t="str">
        <f t="shared" si="265"/>
        <v>May</v>
      </c>
      <c r="AM2388" s="133">
        <f>YEAR(Table1[[#This Row],[ETA
As requested
dd.mm.yyyy]])</f>
        <v>2024</v>
      </c>
    </row>
    <row r="2389" spans="1:40" ht="14.25" hidden="1" customHeight="1">
      <c r="A2389" s="123" t="s">
        <v>83</v>
      </c>
      <c r="B2389" s="36" t="s">
        <v>1170</v>
      </c>
      <c r="C2389" s="117">
        <v>36635715</v>
      </c>
      <c r="D2389" s="165">
        <v>45400</v>
      </c>
      <c r="E2389" s="117" t="s">
        <v>102</v>
      </c>
      <c r="F2389" s="36" t="str">
        <f>IFERROR(VLOOKUP(Table1[[#This Row],[Part Number]],DATABASE_FG!$C$6:D12378,2,FALSE)," ")</f>
        <v xml:space="preserve">080814913-8011 </v>
      </c>
      <c r="G2389" s="117">
        <f>IFERROR(_xlfn.XLOOKUP(Table1[[#This Row],[Part Number]],Table3[Part number],Table3[Drawing
 Revision]),"")</f>
        <v>0</v>
      </c>
      <c r="H2389" s="118" cm="1">
        <f t="array" ref="H2389">IFERROR(INDEX(PDB!$C:$AT,MATCH(E2389,PDB!$B:$B,0),MATCH(YEAR(K2389),0+PDB!$C$1:$AT$1,0)),"")</f>
        <v>4.8099999999999996</v>
      </c>
      <c r="I2389" s="36">
        <v>75</v>
      </c>
      <c r="J2389" s="125">
        <f>IFERROR(Table1[[#This Row],[Quantity]]*Table1[[#This Row],[Price/Unit
EUR]]," ")</f>
        <v>360.74999999999994</v>
      </c>
      <c r="K2389" s="126">
        <v>45433</v>
      </c>
      <c r="L2389" s="36">
        <f>WEEKNUM(Table1[[#This Row],[ETA
As requested
dd.mm.yyyy]])</f>
        <v>21</v>
      </c>
      <c r="M2389" s="36">
        <f>YEAR(Table1[[#This Row],[ETA
As requested
dd.mm.yyyy]])</f>
        <v>2024</v>
      </c>
      <c r="N2389" s="36">
        <f>IFERROR(INDEX(DATABASE_FG!$H$5:$H$367, MATCH(E2389, DATABASE_FG!$C$5:$C$367, 0)), " ")</f>
        <v>0</v>
      </c>
      <c r="O2389" s="129" t="str">
        <f>IF(E2389&lt;&gt;"", _xlfn.XLOOKUP(E2389, DATABASE_FG!C:C, DATABASE_FG!F:F), " ")</f>
        <v>Ghidaje</v>
      </c>
      <c r="P2389" s="36">
        <f>IFERROR(INDEX(DATABASE_FG!$G$5:$G$367, MATCH(E2389, DATABASE_FG!$C$5:$C$367, 0)), "Not Found")</f>
        <v>0</v>
      </c>
      <c r="Q2389" s="36"/>
      <c r="R2389" s="125" t="s">
        <v>678</v>
      </c>
      <c r="S2389" s="123">
        <f>IFERROR(INDEX(DATABASE_FG!$L$5:$L$367, MATCH(E2389, DATABASE_FG!$C$5:$C$367, 0)), " ")</f>
        <v>42</v>
      </c>
      <c r="T2389" s="36" t="s">
        <v>679</v>
      </c>
      <c r="U2389" s="36"/>
      <c r="V2389" s="36"/>
      <c r="W2389" s="129"/>
      <c r="X2389" s="36"/>
      <c r="Y2389" s="36"/>
      <c r="Z2389" s="36">
        <v>242107</v>
      </c>
      <c r="AA2389" s="125" t="s">
        <v>121</v>
      </c>
      <c r="AB2389" s="172">
        <v>45441</v>
      </c>
      <c r="AC2389" s="119">
        <v>2024570</v>
      </c>
      <c r="AD2389" s="36">
        <f t="shared" si="268"/>
        <v>36635715</v>
      </c>
      <c r="AE2389" s="36" t="str">
        <f t="shared" si="269"/>
        <v>TK.KWVE30-B-A-S-0038-WW1</v>
      </c>
      <c r="AF2389" s="36">
        <v>75</v>
      </c>
      <c r="AG2389" s="120">
        <f t="shared" si="267"/>
        <v>360.74999999999994</v>
      </c>
      <c r="AH2389" s="36"/>
      <c r="AI2389" s="124"/>
      <c r="AJ2389" s="122" t="s">
        <v>1534</v>
      </c>
      <c r="AK2389" s="129" t="str">
        <f t="shared" ca="1" si="266"/>
        <v>Late</v>
      </c>
      <c r="AL2389" s="268" t="str">
        <f t="shared" si="265"/>
        <v>May</v>
      </c>
      <c r="AM2389" s="133">
        <f>YEAR(Table1[[#This Row],[ETA
As requested
dd.mm.yyyy]])</f>
        <v>2024</v>
      </c>
    </row>
    <row r="2390" spans="1:40" s="333" customFormat="1" ht="18" hidden="1" customHeight="1">
      <c r="A2390" s="123" t="s">
        <v>83</v>
      </c>
      <c r="B2390" s="36" t="s">
        <v>1170</v>
      </c>
      <c r="C2390" s="117">
        <v>36635716</v>
      </c>
      <c r="D2390" s="165">
        <v>45400</v>
      </c>
      <c r="E2390" s="117" t="s">
        <v>102</v>
      </c>
      <c r="F2390" s="36" t="str">
        <f>IFERROR(VLOOKUP(Table1[[#This Row],[Part Number]],DATABASE_FG!$C$6:D12379,2,FALSE)," ")</f>
        <v xml:space="preserve">080814913-8011 </v>
      </c>
      <c r="G2390" s="117">
        <f>IFERROR(_xlfn.XLOOKUP(Table1[[#This Row],[Part Number]],Table3[Part number],Table3[Drawing
 Revision]),"")</f>
        <v>0</v>
      </c>
      <c r="H2390" s="118" cm="1">
        <f t="array" ref="H2390">IFERROR(INDEX(PDB!$C:$AT,MATCH(E2390,PDB!$B:$B,0),MATCH(YEAR(K2390),0+PDB!$C$1:$AT$1,0)),"")</f>
        <v>4.8099999999999996</v>
      </c>
      <c r="I2390" s="36">
        <v>75</v>
      </c>
      <c r="J2390" s="125">
        <f>IFERROR(Table1[[#This Row],[Quantity]]*Table1[[#This Row],[Price/Unit
EUR]]," ")</f>
        <v>360.74999999999994</v>
      </c>
      <c r="K2390" s="126">
        <v>45435</v>
      </c>
      <c r="L2390" s="36">
        <f>WEEKNUM(Table1[[#This Row],[ETA
As requested
dd.mm.yyyy]])</f>
        <v>21</v>
      </c>
      <c r="M2390" s="36">
        <f>YEAR(Table1[[#This Row],[ETA
As requested
dd.mm.yyyy]])</f>
        <v>2024</v>
      </c>
      <c r="N2390" s="36">
        <f>IFERROR(INDEX(DATABASE_FG!$H$5:$H$367, MATCH(E2390, DATABASE_FG!$C$5:$C$367, 0)), " ")</f>
        <v>0</v>
      </c>
      <c r="O2390" s="129" t="str">
        <f>IF(E2390&lt;&gt;"", _xlfn.XLOOKUP(E2390, DATABASE_FG!C:C, DATABASE_FG!F:F), " ")</f>
        <v>Ghidaje</v>
      </c>
      <c r="P2390" s="36">
        <f>IFERROR(INDEX(DATABASE_FG!$G$5:$G$367, MATCH(E2390, DATABASE_FG!$C$5:$C$367, 0)), "Not Found")</f>
        <v>0</v>
      </c>
      <c r="Q2390" s="36"/>
      <c r="R2390" s="125" t="s">
        <v>678</v>
      </c>
      <c r="S2390" s="123">
        <f>IFERROR(INDEX(DATABASE_FG!$L$5:$L$367, MATCH(E2390, DATABASE_FG!$C$5:$C$367, 0)), " ")</f>
        <v>42</v>
      </c>
      <c r="T2390" s="36" t="s">
        <v>679</v>
      </c>
      <c r="U2390" s="36"/>
      <c r="V2390" s="36"/>
      <c r="W2390" s="129"/>
      <c r="X2390" s="36"/>
      <c r="Y2390" s="36"/>
      <c r="Z2390" s="36">
        <v>242107</v>
      </c>
      <c r="AA2390" s="125" t="s">
        <v>121</v>
      </c>
      <c r="AB2390" s="172">
        <v>45441</v>
      </c>
      <c r="AC2390" s="119">
        <v>2024571</v>
      </c>
      <c r="AD2390" s="36">
        <f t="shared" si="268"/>
        <v>36635716</v>
      </c>
      <c r="AE2390" s="36" t="str">
        <f t="shared" si="269"/>
        <v>TK.KWVE30-B-A-S-0038-WW1</v>
      </c>
      <c r="AF2390" s="36">
        <v>75</v>
      </c>
      <c r="AG2390" s="120">
        <f t="shared" si="267"/>
        <v>360.74999999999994</v>
      </c>
      <c r="AH2390" s="36"/>
      <c r="AI2390" s="124"/>
      <c r="AJ2390" s="122" t="s">
        <v>1548</v>
      </c>
      <c r="AK2390" s="129" t="str">
        <f t="shared" ca="1" si="266"/>
        <v>Late</v>
      </c>
      <c r="AL2390" s="268" t="str">
        <f t="shared" si="265"/>
        <v>May</v>
      </c>
      <c r="AM2390" s="133">
        <f>YEAR(Table1[[#This Row],[ETA
As requested
dd.mm.yyyy]])</f>
        <v>2024</v>
      </c>
      <c r="AN2390"/>
    </row>
    <row r="2391" spans="1:40" s="333" customFormat="1" hidden="1">
      <c r="A2391" s="123" t="s">
        <v>83</v>
      </c>
      <c r="B2391" s="36" t="s">
        <v>1170</v>
      </c>
      <c r="C2391" s="117">
        <v>36635718</v>
      </c>
      <c r="D2391" s="165">
        <v>45400</v>
      </c>
      <c r="E2391" s="117" t="s">
        <v>102</v>
      </c>
      <c r="F2391" s="36" t="str">
        <f>IFERROR(VLOOKUP(Table1[[#This Row],[Part Number]],DATABASE_FG!$C$6:D12380,2,FALSE)," ")</f>
        <v xml:space="preserve">080814913-8011 </v>
      </c>
      <c r="G2391" s="117">
        <f>IFERROR(_xlfn.XLOOKUP(Table1[[#This Row],[Part Number]],Table3[Part number],Table3[Drawing
 Revision]),"")</f>
        <v>0</v>
      </c>
      <c r="H2391" s="118" cm="1">
        <f t="array" ref="H2391">IFERROR(INDEX(PDB!$C:$AT,MATCH(E2391,PDB!$B:$B,0),MATCH(YEAR(K2391),0+PDB!$C$1:$AT$1,0)),"")</f>
        <v>4.8099999999999996</v>
      </c>
      <c r="I2391" s="36">
        <v>75</v>
      </c>
      <c r="J2391" s="125">
        <f>IFERROR(Table1[[#This Row],[Quantity]]*Table1[[#This Row],[Price/Unit
EUR]]," ")</f>
        <v>360.74999999999994</v>
      </c>
      <c r="K2391" s="126">
        <v>45440</v>
      </c>
      <c r="L2391" s="36">
        <f>WEEKNUM(Table1[[#This Row],[ETA
As requested
dd.mm.yyyy]])</f>
        <v>22</v>
      </c>
      <c r="M2391" s="36">
        <f>YEAR(Table1[[#This Row],[ETA
As requested
dd.mm.yyyy]])</f>
        <v>2024</v>
      </c>
      <c r="N2391" s="36">
        <f>IFERROR(INDEX(DATABASE_FG!$H$5:$H$367, MATCH(E2391, DATABASE_FG!$C$5:$C$367, 0)), " ")</f>
        <v>0</v>
      </c>
      <c r="O2391" s="129" t="str">
        <f>IF(E2391&lt;&gt;"", _xlfn.XLOOKUP(E2391, DATABASE_FG!C:C, DATABASE_FG!F:F), " ")</f>
        <v>Ghidaje</v>
      </c>
      <c r="P2391" s="36">
        <f>IFERROR(INDEX(DATABASE_FG!$G$5:$G$367, MATCH(E2391, DATABASE_FG!$C$5:$C$367, 0)), "Not Found")</f>
        <v>0</v>
      </c>
      <c r="Q2391" s="36"/>
      <c r="R2391" s="125" t="s">
        <v>678</v>
      </c>
      <c r="S2391" s="123">
        <f>IFERROR(INDEX(DATABASE_FG!$L$5:$L$367, MATCH(E2391, DATABASE_FG!$C$5:$C$367, 0)), " ")</f>
        <v>42</v>
      </c>
      <c r="T2391" s="36" t="s">
        <v>679</v>
      </c>
      <c r="U2391" s="36"/>
      <c r="V2391" s="36"/>
      <c r="W2391" s="129"/>
      <c r="X2391" s="36"/>
      <c r="Y2391" s="36"/>
      <c r="Z2391" s="36">
        <v>242107</v>
      </c>
      <c r="AA2391" s="125" t="s">
        <v>121</v>
      </c>
      <c r="AB2391" s="172">
        <v>45441</v>
      </c>
      <c r="AC2391" s="119">
        <v>2024572</v>
      </c>
      <c r="AD2391" s="36">
        <f t="shared" si="268"/>
        <v>36635718</v>
      </c>
      <c r="AE2391" s="36" t="str">
        <f t="shared" si="269"/>
        <v>TK.KWVE30-B-A-S-0038-WW1</v>
      </c>
      <c r="AF2391" s="36">
        <v>5</v>
      </c>
      <c r="AG2391" s="120">
        <f t="shared" si="267"/>
        <v>24.049999999999997</v>
      </c>
      <c r="AH2391" s="36"/>
      <c r="AI2391" s="124"/>
      <c r="AJ2391" s="122" t="s">
        <v>1572</v>
      </c>
      <c r="AK2391" s="129" t="str">
        <f t="shared" ca="1" si="266"/>
        <v>On Time</v>
      </c>
      <c r="AL2391" s="268" t="str">
        <f t="shared" si="265"/>
        <v>May</v>
      </c>
      <c r="AM2391" s="133">
        <f>YEAR(Table1[[#This Row],[ETA
As requested
dd.mm.yyyy]])</f>
        <v>2024</v>
      </c>
      <c r="AN2391"/>
    </row>
    <row r="2392" spans="1:40" s="333" customFormat="1" hidden="1">
      <c r="A2392" s="123" t="s">
        <v>83</v>
      </c>
      <c r="B2392" s="36" t="s">
        <v>1170</v>
      </c>
      <c r="C2392" s="117">
        <v>36635718</v>
      </c>
      <c r="D2392" s="165">
        <v>45400</v>
      </c>
      <c r="E2392" s="117" t="s">
        <v>102</v>
      </c>
      <c r="F2392" s="36" t="str">
        <f>IFERROR(VLOOKUP(Table1[[#This Row],[Part Number]],DATABASE_FG!$C$6:D12381,2,FALSE)," ")</f>
        <v xml:space="preserve">080814913-8011 </v>
      </c>
      <c r="G2392" s="117">
        <f>IFERROR(_xlfn.XLOOKUP(Table1[[#This Row],[Part Number]],Table3[Part number],Table3[Drawing
 Revision]),"")</f>
        <v>0</v>
      </c>
      <c r="H2392" s="118" cm="1">
        <f t="array" ref="H2392">IFERROR(INDEX(PDB!$C:$AT,MATCH(E2392,PDB!$B:$B,0),MATCH(YEAR(K2392),0+PDB!$C$1:$AT$1,0)),"")</f>
        <v>4.8099999999999996</v>
      </c>
      <c r="I2392" s="36"/>
      <c r="J2392" s="125">
        <f>IFERROR(Table1[[#This Row],[Quantity]]*Table1[[#This Row],[Price/Unit
EUR]]," ")</f>
        <v>0</v>
      </c>
      <c r="K2392" s="126">
        <v>45440</v>
      </c>
      <c r="L2392" s="36">
        <f>WEEKNUM(Table1[[#This Row],[ETA
As requested
dd.mm.yyyy]])</f>
        <v>22</v>
      </c>
      <c r="M2392" s="36">
        <f>YEAR(Table1[[#This Row],[ETA
As requested
dd.mm.yyyy]])</f>
        <v>2024</v>
      </c>
      <c r="N2392" s="36">
        <f>IFERROR(INDEX(DATABASE_FG!$H$5:$H$367, MATCH(E2392, DATABASE_FG!$C$5:$C$367, 0)), " ")</f>
        <v>0</v>
      </c>
      <c r="O2392" s="129" t="str">
        <f>IF(E2392&lt;&gt;"", _xlfn.XLOOKUP(E2392, DATABASE_FG!C:C, DATABASE_FG!F:F), " ")</f>
        <v>Ghidaje</v>
      </c>
      <c r="P2392" s="36">
        <f>IFERROR(INDEX(DATABASE_FG!$G$5:$G$367, MATCH(E2392, DATABASE_FG!$C$5:$C$367, 0)), "Not Found")</f>
        <v>0</v>
      </c>
      <c r="Q2392" s="36"/>
      <c r="R2392" s="125" t="s">
        <v>678</v>
      </c>
      <c r="S2392" s="123">
        <f>IFERROR(INDEX(DATABASE_FG!$L$5:$L$367, MATCH(E2392, DATABASE_FG!$C$5:$C$367, 0)), " ")</f>
        <v>42</v>
      </c>
      <c r="T2392" s="36"/>
      <c r="U2392" s="36"/>
      <c r="V2392" s="36"/>
      <c r="W2392" s="129"/>
      <c r="X2392" s="36"/>
      <c r="Y2392" s="36"/>
      <c r="Z2392" s="36"/>
      <c r="AA2392" s="125" t="s">
        <v>121</v>
      </c>
      <c r="AB2392" s="172">
        <v>45442</v>
      </c>
      <c r="AC2392" s="119">
        <v>2024577</v>
      </c>
      <c r="AD2392" s="36">
        <f t="shared" si="268"/>
        <v>36635718</v>
      </c>
      <c r="AE2392" s="36" t="str">
        <f t="shared" si="269"/>
        <v>TK.KWVE30-B-A-S-0038-WW1</v>
      </c>
      <c r="AF2392" s="36">
        <v>70</v>
      </c>
      <c r="AG2392" s="120">
        <f t="shared" si="267"/>
        <v>336.7</v>
      </c>
      <c r="AH2392" s="36"/>
      <c r="AI2392" s="124"/>
      <c r="AJ2392" s="122" t="s">
        <v>1574</v>
      </c>
      <c r="AK2392" s="129" t="str">
        <f t="shared" ca="1" si="266"/>
        <v>On Time</v>
      </c>
      <c r="AL2392" s="268" t="str">
        <f t="shared" si="265"/>
        <v>May</v>
      </c>
      <c r="AM2392" s="133">
        <f>YEAR(Table1[[#This Row],[ETA
As requested
dd.mm.yyyy]])</f>
        <v>2024</v>
      </c>
      <c r="AN2392"/>
    </row>
    <row r="2393" spans="1:40" s="333" customFormat="1" hidden="1">
      <c r="A2393" s="123" t="s">
        <v>83</v>
      </c>
      <c r="B2393" s="36" t="s">
        <v>1170</v>
      </c>
      <c r="C2393" s="117">
        <v>36635721</v>
      </c>
      <c r="D2393" s="165">
        <v>45400</v>
      </c>
      <c r="E2393" s="117" t="s">
        <v>102</v>
      </c>
      <c r="F2393" s="36" t="str">
        <f>IFERROR(VLOOKUP(Table1[[#This Row],[Part Number]],DATABASE_FG!$C$6:D12382,2,FALSE)," ")</f>
        <v xml:space="preserve">080814913-8011 </v>
      </c>
      <c r="G2393" s="117">
        <f>IFERROR(_xlfn.XLOOKUP(Table1[[#This Row],[Part Number]],Table3[Part number],Table3[Drawing
 Revision]),"")</f>
        <v>0</v>
      </c>
      <c r="H2393" s="118" cm="1">
        <f t="array" ref="H2393">IFERROR(INDEX(PDB!$C:$AT,MATCH(E2393,PDB!$B:$B,0),MATCH(YEAR(K2393),0+PDB!$C$1:$AT$1,0)),"")</f>
        <v>4.8099999999999996</v>
      </c>
      <c r="I2393" s="36">
        <v>75</v>
      </c>
      <c r="J2393" s="125">
        <f>IFERROR(Table1[[#This Row],[Quantity]]*Table1[[#This Row],[Price/Unit
EUR]]," ")</f>
        <v>360.74999999999994</v>
      </c>
      <c r="K2393" s="126">
        <v>45442</v>
      </c>
      <c r="L2393" s="36">
        <f>WEEKNUM(Table1[[#This Row],[ETA
As requested
dd.mm.yyyy]])</f>
        <v>22</v>
      </c>
      <c r="M2393" s="36">
        <f>YEAR(Table1[[#This Row],[ETA
As requested
dd.mm.yyyy]])</f>
        <v>2024</v>
      </c>
      <c r="N2393" s="36">
        <f>IFERROR(INDEX(DATABASE_FG!$H$5:$H$367, MATCH(E2393, DATABASE_FG!$C$5:$C$367, 0)), " ")</f>
        <v>0</v>
      </c>
      <c r="O2393" s="129" t="str">
        <f>IF(E2393&lt;&gt;"", _xlfn.XLOOKUP(E2393, DATABASE_FG!C:C, DATABASE_FG!F:F), " ")</f>
        <v>Ghidaje</v>
      </c>
      <c r="P2393" s="36">
        <f>IFERROR(INDEX(DATABASE_FG!$G$5:$G$367, MATCH(E2393, DATABASE_FG!$C$5:$C$367, 0)), "Not Found")</f>
        <v>0</v>
      </c>
      <c r="Q2393" s="36"/>
      <c r="R2393" s="125" t="s">
        <v>678</v>
      </c>
      <c r="S2393" s="123">
        <f>IFERROR(INDEX(DATABASE_FG!$L$5:$L$367, MATCH(E2393, DATABASE_FG!$C$5:$C$367, 0)), " ")</f>
        <v>42</v>
      </c>
      <c r="T2393" s="36" t="s">
        <v>679</v>
      </c>
      <c r="U2393" s="36"/>
      <c r="V2393" s="36"/>
      <c r="W2393" s="129"/>
      <c r="X2393" s="36"/>
      <c r="Y2393" s="36"/>
      <c r="Z2393" s="36">
        <v>242107</v>
      </c>
      <c r="AA2393" s="125" t="s">
        <v>121</v>
      </c>
      <c r="AB2393" s="172">
        <v>45442</v>
      </c>
      <c r="AC2393" s="119">
        <v>2024581</v>
      </c>
      <c r="AD2393" s="36">
        <f t="shared" si="268"/>
        <v>36635721</v>
      </c>
      <c r="AE2393" s="36" t="str">
        <f t="shared" si="269"/>
        <v>TK.KWVE30-B-A-S-0038-WW1</v>
      </c>
      <c r="AF2393" s="36">
        <v>20</v>
      </c>
      <c r="AG2393" s="120">
        <f t="shared" si="267"/>
        <v>96.199999999999989</v>
      </c>
      <c r="AH2393" s="36"/>
      <c r="AI2393" s="124"/>
      <c r="AJ2393" s="122" t="s">
        <v>1582</v>
      </c>
      <c r="AK2393" s="129" t="str">
        <f t="shared" ca="1" si="266"/>
        <v>On Time</v>
      </c>
      <c r="AL2393" s="268" t="str">
        <f t="shared" si="265"/>
        <v>May</v>
      </c>
      <c r="AM2393" s="133">
        <f>YEAR(Table1[[#This Row],[ETA
As requested
dd.mm.yyyy]])</f>
        <v>2024</v>
      </c>
      <c r="AN2393"/>
    </row>
    <row r="2394" spans="1:40" s="333" customFormat="1" hidden="1">
      <c r="A2394" s="123" t="s">
        <v>83</v>
      </c>
      <c r="B2394" s="36" t="s">
        <v>1170</v>
      </c>
      <c r="C2394" s="117">
        <v>36635721</v>
      </c>
      <c r="D2394" s="165">
        <v>45400</v>
      </c>
      <c r="E2394" s="117" t="s">
        <v>102</v>
      </c>
      <c r="F2394" s="36" t="str">
        <f>IFERROR(VLOOKUP(Table1[[#This Row],[Part Number]],DATABASE_FG!$C$6:D12383,2,FALSE)," ")</f>
        <v xml:space="preserve">080814913-8011 </v>
      </c>
      <c r="G2394" s="117">
        <f>IFERROR(_xlfn.XLOOKUP(Table1[[#This Row],[Part Number]],Table3[Part number],Table3[Drawing
 Revision]),"")</f>
        <v>0</v>
      </c>
      <c r="H2394" s="118" cm="1">
        <f t="array" ref="H2394">IFERROR(INDEX(PDB!$C:$AT,MATCH(E2394,PDB!$B:$B,0),MATCH(YEAR(K2394),0+PDB!$C$1:$AT$1,0)),"")</f>
        <v>4.8099999999999996</v>
      </c>
      <c r="I2394" s="36"/>
      <c r="J2394" s="125">
        <f>IFERROR(Table1[[#This Row],[Quantity]]*Table1[[#This Row],[Price/Unit
EUR]]," ")</f>
        <v>0</v>
      </c>
      <c r="K2394" s="126">
        <v>45442</v>
      </c>
      <c r="L2394" s="36">
        <f>WEEKNUM(Table1[[#This Row],[ETA
As requested
dd.mm.yyyy]])</f>
        <v>22</v>
      </c>
      <c r="M2394" s="36">
        <f>YEAR(Table1[[#This Row],[ETA
As requested
dd.mm.yyyy]])</f>
        <v>2024</v>
      </c>
      <c r="N2394" s="36">
        <f>IFERROR(INDEX(DATABASE_FG!$H$5:$H$367, MATCH(E2394, DATABASE_FG!$C$5:$C$367, 0)), " ")</f>
        <v>0</v>
      </c>
      <c r="O2394" s="129" t="str">
        <f>IF(E2394&lt;&gt;"", _xlfn.XLOOKUP(E2394, DATABASE_FG!C:C, DATABASE_FG!F:F), " ")</f>
        <v>Ghidaje</v>
      </c>
      <c r="P2394" s="36">
        <f>IFERROR(INDEX(DATABASE_FG!$G$5:$G$367, MATCH(E2394, DATABASE_FG!$C$5:$C$367, 0)), "Not Found")</f>
        <v>0</v>
      </c>
      <c r="Q2394" s="36"/>
      <c r="R2394" s="125" t="s">
        <v>678</v>
      </c>
      <c r="S2394" s="123">
        <f>Table1[[#This Row],[Quantity]]/48</f>
        <v>0</v>
      </c>
      <c r="T2394" s="36"/>
      <c r="U2394" s="36"/>
      <c r="V2394" s="36"/>
      <c r="W2394" s="129"/>
      <c r="X2394" s="36"/>
      <c r="Y2394" s="36"/>
      <c r="Z2394" s="36"/>
      <c r="AA2394" s="125" t="s">
        <v>121</v>
      </c>
      <c r="AB2394" s="172">
        <v>45454</v>
      </c>
      <c r="AC2394" s="119">
        <v>2024638</v>
      </c>
      <c r="AD2394" s="36">
        <f t="shared" si="268"/>
        <v>36635721</v>
      </c>
      <c r="AE2394" s="36" t="str">
        <f t="shared" si="269"/>
        <v>TK.KWVE30-B-A-S-0038-WW1</v>
      </c>
      <c r="AF2394" s="36">
        <v>55</v>
      </c>
      <c r="AG2394" s="120">
        <f t="shared" si="267"/>
        <v>264.54999999999995</v>
      </c>
      <c r="AH2394" s="36"/>
      <c r="AI2394" s="124"/>
      <c r="AJ2394" s="122" t="s">
        <v>1588</v>
      </c>
      <c r="AK2394" s="129" t="str">
        <f t="shared" ca="1" si="266"/>
        <v>Late</v>
      </c>
      <c r="AL2394" s="268" t="str">
        <f t="shared" si="265"/>
        <v>May</v>
      </c>
      <c r="AM2394" s="133">
        <f>YEAR(Table1[[#This Row],[ETA
As requested
dd.mm.yyyy]])</f>
        <v>2024</v>
      </c>
      <c r="AN2394"/>
    </row>
    <row r="2395" spans="1:40" s="333" customFormat="1" hidden="1">
      <c r="A2395" s="123" t="s">
        <v>83</v>
      </c>
      <c r="B2395" s="36" t="s">
        <v>1170</v>
      </c>
      <c r="C2395" s="117">
        <v>36856157</v>
      </c>
      <c r="D2395" s="165">
        <v>45439</v>
      </c>
      <c r="E2395" s="117" t="s">
        <v>102</v>
      </c>
      <c r="F2395" s="36" t="str">
        <f>IFERROR(VLOOKUP(Table1[[#This Row],[Part Number]],DATABASE_FG!$C$6:D12384,2,FALSE)," ")</f>
        <v xml:space="preserve">080814913-8011 </v>
      </c>
      <c r="G2395" s="117">
        <f>IFERROR(_xlfn.XLOOKUP(Table1[[#This Row],[Part Number]],Table3[Part number],Table3[Drawing
 Revision]),"")</f>
        <v>0</v>
      </c>
      <c r="H2395" s="118" cm="1">
        <f t="array" ref="H2395">IFERROR(INDEX(PDB!$C:$AT,MATCH(E2395,PDB!$B:$B,0),MATCH(YEAR(K2395),0+PDB!$C$1:$AT$1,0)),"")</f>
        <v>4.8099999999999996</v>
      </c>
      <c r="I2395" s="36">
        <v>150</v>
      </c>
      <c r="J2395" s="125">
        <f>IFERROR(Table1[[#This Row],[Quantity]]*Table1[[#This Row],[Price/Unit
EUR]]," ")</f>
        <v>721.49999999999989</v>
      </c>
      <c r="K2395" s="126">
        <v>45447</v>
      </c>
      <c r="L2395" s="36">
        <f>WEEKNUM(Table1[[#This Row],[ETA
As requested
dd.mm.yyyy]])</f>
        <v>23</v>
      </c>
      <c r="M2395" s="36">
        <f>YEAR(Table1[[#This Row],[ETA
As requested
dd.mm.yyyy]])</f>
        <v>2024</v>
      </c>
      <c r="N2395" s="36">
        <f>IFERROR(INDEX(DATABASE_FG!$H$5:$H$367, MATCH(E2395, DATABASE_FG!$C$5:$C$367, 0)), " ")</f>
        <v>0</v>
      </c>
      <c r="O2395" s="129" t="str">
        <f>IF(E2395&lt;&gt;"", _xlfn.XLOOKUP(E2395, DATABASE_FG!C:C, DATABASE_FG!F:F), " ")</f>
        <v>Ghidaje</v>
      </c>
      <c r="P2395" s="36">
        <f>IFERROR(INDEX(DATABASE_FG!$G$5:$G$367, MATCH(E2395, DATABASE_FG!$C$5:$C$367, 0)), "Not Found")</f>
        <v>0</v>
      </c>
      <c r="Q2395" s="36"/>
      <c r="R2395" s="125" t="s">
        <v>678</v>
      </c>
      <c r="S2395" s="123">
        <f>IFERROR(INDEX(DATABASE_FG!$L$5:$L$367, MATCH(E2395, DATABASE_FG!$C$5:$C$367, 0)), " ")</f>
        <v>42</v>
      </c>
      <c r="T2395" s="36" t="s">
        <v>679</v>
      </c>
      <c r="U2395" s="36"/>
      <c r="V2395" s="36"/>
      <c r="W2395" s="129"/>
      <c r="X2395" s="36"/>
      <c r="Y2395" s="36"/>
      <c r="Z2395" s="36">
        <v>242312</v>
      </c>
      <c r="AA2395" s="125" t="s">
        <v>121</v>
      </c>
      <c r="AB2395" s="172">
        <v>45453</v>
      </c>
      <c r="AC2395" s="119">
        <v>2024635</v>
      </c>
      <c r="AD2395" s="36">
        <f t="shared" si="268"/>
        <v>36856157</v>
      </c>
      <c r="AE2395" s="36" t="str">
        <f t="shared" si="269"/>
        <v>TK.KWVE30-B-A-S-0038-WW1</v>
      </c>
      <c r="AF2395" s="36">
        <v>103</v>
      </c>
      <c r="AG2395" s="120">
        <f t="shared" si="267"/>
        <v>495.42999999999995</v>
      </c>
      <c r="AH2395" s="36"/>
      <c r="AI2395" s="124"/>
      <c r="AJ2395" s="122" t="s">
        <v>1606</v>
      </c>
      <c r="AK2395" s="129" t="str">
        <f t="shared" ca="1" si="266"/>
        <v>Late</v>
      </c>
      <c r="AL2395" s="268" t="str">
        <f t="shared" si="265"/>
        <v>June</v>
      </c>
      <c r="AM2395" s="133">
        <f>YEAR(Table1[[#This Row],[ETA
As requested
dd.mm.yyyy]])</f>
        <v>2024</v>
      </c>
      <c r="AN2395"/>
    </row>
    <row r="2396" spans="1:40" s="333" customFormat="1" hidden="1">
      <c r="A2396" s="123" t="s">
        <v>83</v>
      </c>
      <c r="B2396" s="36" t="s">
        <v>1170</v>
      </c>
      <c r="C2396" s="117">
        <v>36856157</v>
      </c>
      <c r="D2396" s="165">
        <v>45439</v>
      </c>
      <c r="E2396" s="117" t="s">
        <v>102</v>
      </c>
      <c r="F2396" s="36" t="str">
        <f>IFERROR(VLOOKUP(Table1[[#This Row],[Part Number]],DATABASE_FG!$C$6:D12385,2,FALSE)," ")</f>
        <v xml:space="preserve">080814913-8011 </v>
      </c>
      <c r="G2396" s="117">
        <f>IFERROR(_xlfn.XLOOKUP(Table1[[#This Row],[Part Number]],Table3[Part number],Table3[Drawing
 Revision]),"")</f>
        <v>0</v>
      </c>
      <c r="H2396" s="118" cm="1">
        <f t="array" ref="H2396">IFERROR(INDEX(PDB!$C:$AT,MATCH(E2396,PDB!$B:$B,0),MATCH(YEAR(K2396),0+PDB!$C$1:$AT$1,0)),"")</f>
        <v>4.8099999999999996</v>
      </c>
      <c r="I2396" s="36"/>
      <c r="J2396" s="125">
        <f>IFERROR(Table1[[#This Row],[Quantity]]*Table1[[#This Row],[Price/Unit
EUR]]," ")</f>
        <v>0</v>
      </c>
      <c r="K2396" s="126">
        <v>45447</v>
      </c>
      <c r="L2396" s="36">
        <f>WEEKNUM(Table1[[#This Row],[ETA
As requested
dd.mm.yyyy]])</f>
        <v>23</v>
      </c>
      <c r="M2396" s="36">
        <f>YEAR(Table1[[#This Row],[ETA
As requested
dd.mm.yyyy]])</f>
        <v>2024</v>
      </c>
      <c r="N2396" s="36">
        <f>IFERROR(INDEX(DATABASE_FG!$H$5:$H$367, MATCH(E2396, DATABASE_FG!$C$5:$C$367, 0)), " ")</f>
        <v>0</v>
      </c>
      <c r="O2396" s="129" t="str">
        <f>IF(E2396&lt;&gt;"", _xlfn.XLOOKUP(E2396, DATABASE_FG!C:C, DATABASE_FG!F:F), " ")</f>
        <v>Ghidaje</v>
      </c>
      <c r="P2396" s="36">
        <f>IFERROR(INDEX(DATABASE_FG!$G$5:$G$367, MATCH(E2396, DATABASE_FG!$C$5:$C$367, 0)), "Not Found")</f>
        <v>0</v>
      </c>
      <c r="Q2396" s="36"/>
      <c r="R2396" s="125" t="s">
        <v>678</v>
      </c>
      <c r="S2396" s="123">
        <f>Table1[[#This Row],[Quantity]]/48</f>
        <v>0</v>
      </c>
      <c r="T2396" s="36"/>
      <c r="U2396" s="36"/>
      <c r="V2396" s="36"/>
      <c r="W2396" s="129"/>
      <c r="X2396" s="36"/>
      <c r="Y2396" s="36"/>
      <c r="Z2396" s="36"/>
      <c r="AA2396" s="125" t="s">
        <v>121</v>
      </c>
      <c r="AB2396" s="172">
        <v>45454</v>
      </c>
      <c r="AC2396" s="119">
        <v>2024640</v>
      </c>
      <c r="AD2396" s="36">
        <f t="shared" si="268"/>
        <v>36856157</v>
      </c>
      <c r="AE2396" s="36" t="str">
        <f t="shared" si="269"/>
        <v>TK.KWVE30-B-A-S-0038-WW1</v>
      </c>
      <c r="AF2396" s="36">
        <v>47</v>
      </c>
      <c r="AG2396" s="120">
        <f t="shared" si="267"/>
        <v>226.07</v>
      </c>
      <c r="AH2396" s="36"/>
      <c r="AI2396" s="124"/>
      <c r="AJ2396" s="122" t="s">
        <v>1607</v>
      </c>
      <c r="AK2396" s="129" t="str">
        <f t="shared" ca="1" si="266"/>
        <v>Late</v>
      </c>
      <c r="AL2396" s="268" t="str">
        <f t="shared" si="265"/>
        <v>June</v>
      </c>
      <c r="AM2396" s="133">
        <f>YEAR(Table1[[#This Row],[ETA
As requested
dd.mm.yyyy]])</f>
        <v>2024</v>
      </c>
      <c r="AN2396"/>
    </row>
    <row r="2397" spans="1:40" hidden="1">
      <c r="A2397" s="123" t="s">
        <v>83</v>
      </c>
      <c r="B2397" s="36" t="s">
        <v>1170</v>
      </c>
      <c r="C2397" s="117">
        <v>36856157</v>
      </c>
      <c r="D2397" s="165">
        <v>45439</v>
      </c>
      <c r="E2397" s="117" t="s">
        <v>102</v>
      </c>
      <c r="F2397" s="36" t="str">
        <f>IFERROR(VLOOKUP(Table1[[#This Row],[Part Number]],DATABASE_FG!$C$6:D12386,2,FALSE)," ")</f>
        <v xml:space="preserve">080814913-8011 </v>
      </c>
      <c r="G2397" s="117">
        <f>IFERROR(_xlfn.XLOOKUP(Table1[[#This Row],[Part Number]],Table3[Part number],Table3[Drawing
 Revision]),"")</f>
        <v>0</v>
      </c>
      <c r="H2397" s="118" cm="1">
        <f t="array" ref="H2397">IFERROR(INDEX(PDB!$C:$AT,MATCH(E2397,PDB!$B:$B,0),MATCH(YEAR(K2397),0+PDB!$C$1:$AT$1,0)),"")</f>
        <v>4.8099999999999996</v>
      </c>
      <c r="I2397" s="36">
        <v>134</v>
      </c>
      <c r="J2397" s="125">
        <f>IFERROR(Table1[[#This Row],[Quantity]]*Table1[[#This Row],[Price/Unit
EUR]]," ")</f>
        <v>644.54</v>
      </c>
      <c r="K2397" s="126">
        <v>45449</v>
      </c>
      <c r="L2397" s="36">
        <f>WEEKNUM(Table1[[#This Row],[ETA
As requested
dd.mm.yyyy]])</f>
        <v>23</v>
      </c>
      <c r="M2397" s="36">
        <f>YEAR(Table1[[#This Row],[ETA
As requested
dd.mm.yyyy]])</f>
        <v>2024</v>
      </c>
      <c r="N2397" s="36">
        <f>IFERROR(INDEX(DATABASE_FG!$H$5:$H$367, MATCH(E2397, DATABASE_FG!$C$5:$C$367, 0)), " ")</f>
        <v>0</v>
      </c>
      <c r="O2397" s="129" t="str">
        <f>IF(E2397&lt;&gt;"", _xlfn.XLOOKUP(E2397, DATABASE_FG!C:C, DATABASE_FG!F:F), " ")</f>
        <v>Ghidaje</v>
      </c>
      <c r="P2397" s="36">
        <f>IFERROR(INDEX(DATABASE_FG!$G$5:$G$367, MATCH(E2397, DATABASE_FG!$C$5:$C$367, 0)), "Not Found")</f>
        <v>0</v>
      </c>
      <c r="Q2397" s="36"/>
      <c r="R2397" s="125" t="s">
        <v>678</v>
      </c>
      <c r="S2397" s="123">
        <f>IFERROR(INDEX(DATABASE_FG!$L$5:$L$367, MATCH(E2397, DATABASE_FG!$C$5:$C$367, 0)), " ")</f>
        <v>42</v>
      </c>
      <c r="T2397" s="36" t="s">
        <v>679</v>
      </c>
      <c r="U2397" s="36"/>
      <c r="V2397" s="36"/>
      <c r="W2397" s="129"/>
      <c r="X2397" s="36"/>
      <c r="Y2397" s="36"/>
      <c r="Z2397" s="36">
        <v>242312</v>
      </c>
      <c r="AA2397" s="125" t="s">
        <v>121</v>
      </c>
      <c r="AB2397" s="172">
        <v>45454</v>
      </c>
      <c r="AC2397" s="119">
        <v>2024640</v>
      </c>
      <c r="AD2397" s="36">
        <f t="shared" si="268"/>
        <v>36856157</v>
      </c>
      <c r="AE2397" s="36" t="str">
        <f t="shared" si="269"/>
        <v>TK.KWVE30-B-A-S-0038-WW1</v>
      </c>
      <c r="AF2397" s="36">
        <v>26</v>
      </c>
      <c r="AG2397" s="120">
        <f t="shared" si="267"/>
        <v>125.05999999999999</v>
      </c>
      <c r="AH2397" s="36"/>
      <c r="AI2397" s="124"/>
      <c r="AJ2397" s="122"/>
      <c r="AK2397" s="129" t="str">
        <f t="shared" ca="1" si="266"/>
        <v>Late</v>
      </c>
      <c r="AL2397" s="268" t="str">
        <f t="shared" si="265"/>
        <v>June</v>
      </c>
      <c r="AM2397" s="133">
        <f>YEAR(Table1[[#This Row],[ETA
As requested
dd.mm.yyyy]])</f>
        <v>2024</v>
      </c>
    </row>
    <row r="2398" spans="1:40" hidden="1">
      <c r="A2398" s="123" t="s">
        <v>83</v>
      </c>
      <c r="B2398" s="36" t="s">
        <v>1170</v>
      </c>
      <c r="C2398" s="117">
        <v>36856157</v>
      </c>
      <c r="D2398" s="165">
        <v>45439</v>
      </c>
      <c r="E2398" s="117" t="s">
        <v>102</v>
      </c>
      <c r="F2398" s="36" t="str">
        <f>IFERROR(VLOOKUP(Table1[[#This Row],[Part Number]],DATABASE_FG!$C$6:D12387,2,FALSE)," ")</f>
        <v xml:space="preserve">080814913-8011 </v>
      </c>
      <c r="G2398" s="117">
        <f>IFERROR(_xlfn.XLOOKUP(Table1[[#This Row],[Part Number]],Table3[Part number],Table3[Drawing
 Revision]),"")</f>
        <v>0</v>
      </c>
      <c r="H2398" s="118" cm="1">
        <f t="array" ref="H2398">IFERROR(INDEX(PDB!$C:$AT,MATCH(E2398,PDB!$B:$B,0),MATCH(YEAR(K2398),0+PDB!$C$1:$AT$1,0)),"")</f>
        <v>4.8099999999999996</v>
      </c>
      <c r="I2398" s="36"/>
      <c r="J2398" s="125">
        <f>IFERROR(Table1[[#This Row],[Quantity]]*Table1[[#This Row],[Price/Unit
EUR]]," ")</f>
        <v>0</v>
      </c>
      <c r="K2398" s="126">
        <v>45449</v>
      </c>
      <c r="L2398" s="36">
        <f>WEEKNUM(Table1[[#This Row],[ETA
As requested
dd.mm.yyyy]])</f>
        <v>23</v>
      </c>
      <c r="M2398" s="36">
        <f>YEAR(Table1[[#This Row],[ETA
As requested
dd.mm.yyyy]])</f>
        <v>2024</v>
      </c>
      <c r="N2398" s="36">
        <f>IFERROR(INDEX(DATABASE_FG!$H$5:$H$367, MATCH(E2398, DATABASE_FG!$C$5:$C$367, 0)), " ")</f>
        <v>0</v>
      </c>
      <c r="O2398" s="129" t="str">
        <f>IF(E2398&lt;&gt;"", _xlfn.XLOOKUP(E2398, DATABASE_FG!C:C, DATABASE_FG!F:F), " ")</f>
        <v>Ghidaje</v>
      </c>
      <c r="P2398" s="36">
        <f>IFERROR(INDEX(DATABASE_FG!$G$5:$G$367, MATCH(E2398, DATABASE_FG!$C$5:$C$367, 0)), "Not Found")</f>
        <v>0</v>
      </c>
      <c r="Q2398" s="36"/>
      <c r="R2398" s="125" t="s">
        <v>678</v>
      </c>
      <c r="S2398" s="123">
        <f>Table1[[#This Row],[Quantity]]/48</f>
        <v>0</v>
      </c>
      <c r="T2398" s="36"/>
      <c r="U2398" s="36"/>
      <c r="V2398" s="36"/>
      <c r="W2398" s="129"/>
      <c r="X2398" s="36"/>
      <c r="Y2398" s="36"/>
      <c r="Z2398" s="36"/>
      <c r="AA2398" s="125" t="s">
        <v>121</v>
      </c>
      <c r="AB2398" s="173">
        <v>45455</v>
      </c>
      <c r="AC2398" s="119">
        <v>2024646</v>
      </c>
      <c r="AD2398" s="36">
        <f t="shared" si="268"/>
        <v>36856157</v>
      </c>
      <c r="AE2398" s="36" t="str">
        <f t="shared" si="269"/>
        <v>TK.KWVE30-B-A-S-0038-WW1</v>
      </c>
      <c r="AF2398" s="36">
        <v>96</v>
      </c>
      <c r="AG2398" s="120">
        <f t="shared" si="267"/>
        <v>461.76</v>
      </c>
      <c r="AH2398" s="36"/>
      <c r="AI2398" s="124"/>
      <c r="AJ2398" s="122" t="s">
        <v>1628</v>
      </c>
      <c r="AK2398" s="129" t="str">
        <f t="shared" ca="1" si="266"/>
        <v>Late</v>
      </c>
      <c r="AL2398" s="268" t="str">
        <f t="shared" si="265"/>
        <v>June</v>
      </c>
      <c r="AM2398" s="133">
        <f>YEAR(Table1[[#This Row],[ETA
As requested
dd.mm.yyyy]])</f>
        <v>2024</v>
      </c>
    </row>
    <row r="2399" spans="1:40" hidden="1">
      <c r="A2399" s="123" t="s">
        <v>83</v>
      </c>
      <c r="B2399" s="36" t="s">
        <v>1170</v>
      </c>
      <c r="C2399" s="117">
        <v>36856157</v>
      </c>
      <c r="D2399" s="165">
        <v>45439</v>
      </c>
      <c r="E2399" s="117" t="s">
        <v>102</v>
      </c>
      <c r="F2399" s="36" t="str">
        <f>IFERROR(VLOOKUP(Table1[[#This Row],[Part Number]],DATABASE_FG!$C$6:D12388,2,FALSE)," ")</f>
        <v xml:space="preserve">080814913-8011 </v>
      </c>
      <c r="G2399" s="117">
        <f>IFERROR(_xlfn.XLOOKUP(Table1[[#This Row],[Part Number]],Table3[Part number],Table3[Drawing
 Revision]),"")</f>
        <v>0</v>
      </c>
      <c r="H2399" s="118" cm="1">
        <f t="array" ref="H2399">IFERROR(INDEX(PDB!$C:$AT,MATCH(E2399,PDB!$B:$B,0),MATCH(YEAR(K2399),0+PDB!$C$1:$AT$1,0)),"")</f>
        <v>4.8099999999999996</v>
      </c>
      <c r="I2399" s="36"/>
      <c r="J2399" s="125">
        <f>IFERROR(Table1[[#This Row],[Quantity]]*Table1[[#This Row],[Price/Unit
EUR]]," ")</f>
        <v>0</v>
      </c>
      <c r="K2399" s="126">
        <v>45449</v>
      </c>
      <c r="L2399" s="36">
        <f>WEEKNUM(Table1[[#This Row],[ETA
As requested
dd.mm.yyyy]])</f>
        <v>23</v>
      </c>
      <c r="M2399" s="36">
        <f>YEAR(Table1[[#This Row],[ETA
As requested
dd.mm.yyyy]])</f>
        <v>2024</v>
      </c>
      <c r="N2399" s="36">
        <f>IFERROR(INDEX(DATABASE_FG!$H$5:$H$367, MATCH(E2399, DATABASE_FG!$C$5:$C$367, 0)), " ")</f>
        <v>0</v>
      </c>
      <c r="O2399" s="129" t="str">
        <f>IF(E2399&lt;&gt;"", _xlfn.XLOOKUP(E2399, DATABASE_FG!C:C, DATABASE_FG!F:F), " ")</f>
        <v>Ghidaje</v>
      </c>
      <c r="P2399" s="36">
        <f>IFERROR(INDEX(DATABASE_FG!$G$5:$G$367, MATCH(E2399, DATABASE_FG!$C$5:$C$367, 0)), "Not Found")</f>
        <v>0</v>
      </c>
      <c r="Q2399" s="36"/>
      <c r="R2399" s="125" t="s">
        <v>678</v>
      </c>
      <c r="S2399" s="123">
        <f>Table1[[#This Row],[Quantity]]/48</f>
        <v>0</v>
      </c>
      <c r="T2399" s="36"/>
      <c r="U2399" s="36"/>
      <c r="V2399" s="36"/>
      <c r="W2399" s="129"/>
      <c r="X2399" s="36"/>
      <c r="Y2399" s="36"/>
      <c r="Z2399" s="36"/>
      <c r="AA2399" s="125" t="s">
        <v>121</v>
      </c>
      <c r="AB2399" s="173">
        <v>45456</v>
      </c>
      <c r="AC2399" s="119">
        <v>2024649</v>
      </c>
      <c r="AD2399" s="36">
        <f t="shared" si="268"/>
        <v>36856157</v>
      </c>
      <c r="AE2399" s="36" t="str">
        <f t="shared" si="269"/>
        <v>TK.KWVE30-B-A-S-0038-WW1</v>
      </c>
      <c r="AF2399" s="36">
        <v>12</v>
      </c>
      <c r="AG2399" s="120">
        <f t="shared" si="267"/>
        <v>57.72</v>
      </c>
      <c r="AH2399" s="36"/>
      <c r="AI2399" s="124"/>
      <c r="AJ2399" s="122" t="s">
        <v>1629</v>
      </c>
      <c r="AK2399" s="129" t="str">
        <f t="shared" ca="1" si="266"/>
        <v>Late</v>
      </c>
      <c r="AL2399" s="268" t="str">
        <f t="shared" si="265"/>
        <v>June</v>
      </c>
      <c r="AM2399" s="133">
        <f>YEAR(Table1[[#This Row],[ETA
As requested
dd.mm.yyyy]])</f>
        <v>2024</v>
      </c>
    </row>
    <row r="2400" spans="1:40" hidden="1">
      <c r="A2400" s="123" t="s">
        <v>83</v>
      </c>
      <c r="B2400" s="36" t="s">
        <v>1170</v>
      </c>
      <c r="C2400" s="117">
        <v>36856166</v>
      </c>
      <c r="D2400" s="165">
        <v>45439</v>
      </c>
      <c r="E2400" s="117" t="s">
        <v>102</v>
      </c>
      <c r="F2400" s="36" t="str">
        <f>IFERROR(VLOOKUP(Table1[[#This Row],[Part Number]],DATABASE_FG!$C$6:D12389,2,FALSE)," ")</f>
        <v xml:space="preserve">080814913-8011 </v>
      </c>
      <c r="G2400" s="117">
        <f>IFERROR(_xlfn.XLOOKUP(Table1[[#This Row],[Part Number]],Table3[Part number],Table3[Drawing
 Revision]),"")</f>
        <v>0</v>
      </c>
      <c r="H2400" s="118" cm="1">
        <f t="array" ref="H2400">IFERROR(INDEX(PDB!$C:$AT,MATCH(E2400,PDB!$B:$B,0),MATCH(YEAR(K2400),0+PDB!$C$1:$AT$1,0)),"")</f>
        <v>4.8099999999999996</v>
      </c>
      <c r="I2400" s="36">
        <v>150</v>
      </c>
      <c r="J2400" s="125">
        <f>IFERROR(Table1[[#This Row],[Quantity]]*Table1[[#This Row],[Price/Unit
EUR]]," ")</f>
        <v>721.49999999999989</v>
      </c>
      <c r="K2400" s="126">
        <v>45454</v>
      </c>
      <c r="L2400" s="36">
        <f>WEEKNUM(Table1[[#This Row],[ETA
As requested
dd.mm.yyyy]])</f>
        <v>24</v>
      </c>
      <c r="M2400" s="36">
        <f>YEAR(Table1[[#This Row],[ETA
As requested
dd.mm.yyyy]])</f>
        <v>2024</v>
      </c>
      <c r="N2400" s="36">
        <f>IFERROR(INDEX(DATABASE_FG!$H$5:$H$367, MATCH(E2400, DATABASE_FG!$C$5:$C$367, 0)), " ")</f>
        <v>0</v>
      </c>
      <c r="O2400" s="129" t="str">
        <f>IF(E2400&lt;&gt;"", _xlfn.XLOOKUP(E2400, DATABASE_FG!C:C, DATABASE_FG!F:F), " ")</f>
        <v>Ghidaje</v>
      </c>
      <c r="P2400" s="36">
        <f>IFERROR(INDEX(DATABASE_FG!$G$5:$G$367, MATCH(E2400, DATABASE_FG!$C$5:$C$367, 0)), "Not Found")</f>
        <v>0</v>
      </c>
      <c r="Q2400" s="36"/>
      <c r="R2400" s="125" t="s">
        <v>678</v>
      </c>
      <c r="S2400" s="123">
        <f>IFERROR(INDEX(DATABASE_FG!$L$5:$L$367, MATCH(E2400, DATABASE_FG!$C$5:$C$367, 0)), " ")</f>
        <v>42</v>
      </c>
      <c r="T2400" s="36" t="s">
        <v>679</v>
      </c>
      <c r="U2400" s="36"/>
      <c r="V2400" s="36"/>
      <c r="W2400" s="129"/>
      <c r="X2400" s="36"/>
      <c r="Y2400" s="36"/>
      <c r="Z2400" s="36">
        <v>242312</v>
      </c>
      <c r="AA2400" s="125" t="s">
        <v>121</v>
      </c>
      <c r="AB2400" s="173">
        <v>45456</v>
      </c>
      <c r="AC2400" s="119">
        <v>2024650</v>
      </c>
      <c r="AD2400" s="36">
        <f t="shared" si="268"/>
        <v>36856166</v>
      </c>
      <c r="AE2400" s="36" t="str">
        <f t="shared" si="269"/>
        <v>TK.KWVE30-B-A-S-0038-WW1</v>
      </c>
      <c r="AF2400" s="36">
        <v>52</v>
      </c>
      <c r="AG2400" s="120">
        <f t="shared" si="267"/>
        <v>250.11999999999998</v>
      </c>
      <c r="AH2400" s="36"/>
      <c r="AI2400" s="124"/>
      <c r="AJ2400" s="122" t="s">
        <v>1650</v>
      </c>
      <c r="AK2400" s="129" t="str">
        <f t="shared" ca="1" si="266"/>
        <v>On Time</v>
      </c>
      <c r="AL2400" s="268" t="str">
        <f t="shared" si="265"/>
        <v>June</v>
      </c>
      <c r="AM2400" s="133">
        <f>YEAR(Table1[[#This Row],[ETA
As requested
dd.mm.yyyy]])</f>
        <v>2024</v>
      </c>
    </row>
    <row r="2401" spans="1:39" hidden="1">
      <c r="A2401" s="123" t="s">
        <v>83</v>
      </c>
      <c r="B2401" s="36" t="s">
        <v>1170</v>
      </c>
      <c r="C2401" s="117">
        <v>36856166</v>
      </c>
      <c r="D2401" s="165">
        <v>45439</v>
      </c>
      <c r="E2401" s="117" t="s">
        <v>102</v>
      </c>
      <c r="F2401" s="36" t="str">
        <f>IFERROR(VLOOKUP(Table1[[#This Row],[Part Number]],DATABASE_FG!$C$6:D12390,2,FALSE)," ")</f>
        <v xml:space="preserve">080814913-8011 </v>
      </c>
      <c r="G2401" s="117">
        <f>IFERROR(_xlfn.XLOOKUP(Table1[[#This Row],[Part Number]],Table3[Part number],Table3[Drawing
 Revision]),"")</f>
        <v>0</v>
      </c>
      <c r="H2401" s="118" cm="1">
        <f t="array" ref="H2401">IFERROR(INDEX(PDB!$C:$AT,MATCH(E2401,PDB!$B:$B,0),MATCH(YEAR(K2401),0+PDB!$C$1:$AT$1,0)),"")</f>
        <v>4.8099999999999996</v>
      </c>
      <c r="I2401" s="36"/>
      <c r="J2401" s="125">
        <f>IFERROR(Table1[[#This Row],[Quantity]]*Table1[[#This Row],[Price/Unit
EUR]]," ")</f>
        <v>0</v>
      </c>
      <c r="K2401" s="126">
        <v>45454</v>
      </c>
      <c r="L2401" s="36">
        <f>WEEKNUM(Table1[[#This Row],[ETA
As requested
dd.mm.yyyy]])</f>
        <v>24</v>
      </c>
      <c r="M2401" s="36">
        <f>YEAR(Table1[[#This Row],[ETA
As requested
dd.mm.yyyy]])</f>
        <v>2024</v>
      </c>
      <c r="N2401" s="36">
        <f>IFERROR(INDEX(DATABASE_FG!$H$5:$H$367, MATCH(E2401, DATABASE_FG!$C$5:$C$367, 0)), " ")</f>
        <v>0</v>
      </c>
      <c r="O2401" s="129" t="str">
        <f>IF(E2401&lt;&gt;"", _xlfn.XLOOKUP(E2401, DATABASE_FG!C:C, DATABASE_FG!F:F), " ")</f>
        <v>Ghidaje</v>
      </c>
      <c r="P2401" s="36">
        <f>IFERROR(INDEX(DATABASE_FG!$G$5:$G$367, MATCH(E2401, DATABASE_FG!$C$5:$C$367, 0)), "Not Found")</f>
        <v>0</v>
      </c>
      <c r="Q2401" s="36"/>
      <c r="R2401" s="125" t="s">
        <v>678</v>
      </c>
      <c r="S2401" s="123">
        <f>Table1[[#This Row],[Quantity]]/48</f>
        <v>0</v>
      </c>
      <c r="T2401" s="36"/>
      <c r="U2401" s="36"/>
      <c r="V2401" s="36"/>
      <c r="W2401" s="129"/>
      <c r="X2401" s="36"/>
      <c r="Y2401" s="36"/>
      <c r="Z2401" s="36"/>
      <c r="AA2401" s="125" t="s">
        <v>121</v>
      </c>
      <c r="AB2401" s="173">
        <v>45457</v>
      </c>
      <c r="AC2401" s="119">
        <v>2024663</v>
      </c>
      <c r="AD2401" s="36">
        <f t="shared" si="268"/>
        <v>36856166</v>
      </c>
      <c r="AE2401" s="36" t="str">
        <f t="shared" si="269"/>
        <v>TK.KWVE30-B-A-S-0038-WW1</v>
      </c>
      <c r="AF2401" s="36">
        <v>98</v>
      </c>
      <c r="AG2401" s="120">
        <f t="shared" si="267"/>
        <v>471.37999999999994</v>
      </c>
      <c r="AH2401" s="36"/>
      <c r="AI2401" s="124"/>
      <c r="AJ2401" s="122" t="s">
        <v>1651</v>
      </c>
      <c r="AK2401" s="129" t="str">
        <f t="shared" ca="1" si="266"/>
        <v>Late</v>
      </c>
      <c r="AL2401" s="268" t="str">
        <f t="shared" si="265"/>
        <v>June</v>
      </c>
      <c r="AM2401" s="133">
        <f>YEAR(Table1[[#This Row],[ETA
As requested
dd.mm.yyyy]])</f>
        <v>2024</v>
      </c>
    </row>
    <row r="2402" spans="1:39" hidden="1">
      <c r="A2402" s="123" t="s">
        <v>83</v>
      </c>
      <c r="B2402" s="36" t="s">
        <v>1170</v>
      </c>
      <c r="C2402" s="117">
        <v>36856203</v>
      </c>
      <c r="D2402" s="165">
        <v>45439</v>
      </c>
      <c r="E2402" s="117" t="s">
        <v>102</v>
      </c>
      <c r="F2402" s="36" t="str">
        <f>IFERROR(VLOOKUP(Table1[[#This Row],[Part Number]],DATABASE_FG!$C$6:D12391,2,FALSE)," ")</f>
        <v xml:space="preserve">080814913-8011 </v>
      </c>
      <c r="G2402" s="117">
        <f>IFERROR(_xlfn.XLOOKUP(Table1[[#This Row],[Part Number]],Table3[Part number],Table3[Drawing
 Revision]),"")</f>
        <v>0</v>
      </c>
      <c r="H2402" s="118" cm="1">
        <f t="array" ref="H2402">IFERROR(INDEX(PDB!$C:$AT,MATCH(E2402,PDB!$B:$B,0),MATCH(YEAR(K2402),0+PDB!$C$1:$AT$1,0)),"")</f>
        <v>4.8099999999999996</v>
      </c>
      <c r="I2402" s="36">
        <v>150</v>
      </c>
      <c r="J2402" s="125">
        <f>IFERROR(Table1[[#This Row],[Quantity]]*Table1[[#This Row],[Price/Unit
EUR]]," ")</f>
        <v>721.49999999999989</v>
      </c>
      <c r="K2402" s="126">
        <v>45454</v>
      </c>
      <c r="L2402" s="36">
        <f>WEEKNUM(Table1[[#This Row],[ETA
As requested
dd.mm.yyyy]])</f>
        <v>24</v>
      </c>
      <c r="M2402" s="36">
        <f>YEAR(Table1[[#This Row],[ETA
As requested
dd.mm.yyyy]])</f>
        <v>2024</v>
      </c>
      <c r="N2402" s="36">
        <f>IFERROR(INDEX(DATABASE_FG!$H$5:$H$367, MATCH(E2402, DATABASE_FG!$C$5:$C$367, 0)), " ")</f>
        <v>0</v>
      </c>
      <c r="O2402" s="129" t="str">
        <f>IF(E2402&lt;&gt;"", _xlfn.XLOOKUP(E2402, DATABASE_FG!C:C, DATABASE_FG!F:F), " ")</f>
        <v>Ghidaje</v>
      </c>
      <c r="P2402" s="36">
        <f>IFERROR(INDEX(DATABASE_FG!$G$5:$G$367, MATCH(E2402, DATABASE_FG!$C$5:$C$367, 0)), "Not Found")</f>
        <v>0</v>
      </c>
      <c r="Q2402" s="36"/>
      <c r="R2402" s="125" t="s">
        <v>678</v>
      </c>
      <c r="S2402" s="123">
        <f>IFERROR(INDEX(DATABASE_FG!$L$5:$L$367, MATCH(E2402, DATABASE_FG!$C$5:$C$367, 0)), " ")</f>
        <v>42</v>
      </c>
      <c r="T2402" s="36" t="s">
        <v>679</v>
      </c>
      <c r="U2402" s="36"/>
      <c r="V2402" s="36"/>
      <c r="W2402" s="129"/>
      <c r="X2402" s="36"/>
      <c r="Y2402" s="36"/>
      <c r="Z2402" s="36">
        <v>242602</v>
      </c>
      <c r="AA2402" s="125" t="s">
        <v>121</v>
      </c>
      <c r="AB2402" s="173">
        <v>45471</v>
      </c>
      <c r="AC2402" s="119">
        <v>2024729</v>
      </c>
      <c r="AD2402" s="36">
        <f t="shared" si="268"/>
        <v>36856203</v>
      </c>
      <c r="AE2402" s="36" t="str">
        <f t="shared" si="269"/>
        <v>TK.KWVE30-B-A-S-0038-WW1</v>
      </c>
      <c r="AF2402" s="36">
        <v>73</v>
      </c>
      <c r="AG2402" s="120">
        <f t="shared" si="267"/>
        <v>351.13</v>
      </c>
      <c r="AH2402" s="36"/>
      <c r="AI2402" s="124"/>
      <c r="AJ2402" s="122" t="s">
        <v>1662</v>
      </c>
      <c r="AK2402" s="129" t="str">
        <f t="shared" ca="1" si="266"/>
        <v>Late</v>
      </c>
      <c r="AL2402" s="268" t="str">
        <f t="shared" si="265"/>
        <v>June</v>
      </c>
      <c r="AM2402" s="133">
        <f>YEAR(Table1[[#This Row],[ETA
As requested
dd.mm.yyyy]])</f>
        <v>2024</v>
      </c>
    </row>
    <row r="2403" spans="1:39" hidden="1">
      <c r="A2403" s="123" t="s">
        <v>83</v>
      </c>
      <c r="B2403" s="36" t="s">
        <v>1170</v>
      </c>
      <c r="C2403" s="117">
        <v>36856203</v>
      </c>
      <c r="D2403" s="165">
        <v>45439</v>
      </c>
      <c r="E2403" s="117" t="s">
        <v>102</v>
      </c>
      <c r="F2403" s="36" t="str">
        <f>IFERROR(VLOOKUP(Table1[[#This Row],[Part Number]],DATABASE_FG!$C$6:D12392,2,FALSE)," ")</f>
        <v xml:space="preserve">080814913-8011 </v>
      </c>
      <c r="G2403" s="117">
        <f>IFERROR(_xlfn.XLOOKUP(Table1[[#This Row],[Part Number]],Table3[Part number],Table3[Drawing
 Revision]),"")</f>
        <v>0</v>
      </c>
      <c r="H2403" s="118" cm="1">
        <f t="array" ref="H2403">IFERROR(INDEX(PDB!$C:$AT,MATCH(E2403,PDB!$B:$B,0),MATCH(YEAR(K2403),0+PDB!$C$1:$AT$1,0)),"")</f>
        <v>4.8099999999999996</v>
      </c>
      <c r="I2403" s="36"/>
      <c r="J2403" s="125">
        <f>IFERROR(Table1[[#This Row],[Quantity]]*Table1[[#This Row],[Price/Unit
EUR]]," ")</f>
        <v>0</v>
      </c>
      <c r="K2403" s="126">
        <v>45454</v>
      </c>
      <c r="L2403" s="36">
        <f>WEEKNUM(Table1[[#This Row],[ETA
As requested
dd.mm.yyyy]])</f>
        <v>24</v>
      </c>
      <c r="M2403" s="36">
        <f>YEAR(Table1[[#This Row],[ETA
As requested
dd.mm.yyyy]])</f>
        <v>2024</v>
      </c>
      <c r="N2403" s="36">
        <f>IFERROR(INDEX(DATABASE_FG!$H$5:$H$367, MATCH(E2403, DATABASE_FG!$C$5:$C$367, 0)), " ")</f>
        <v>0</v>
      </c>
      <c r="O2403" s="129" t="str">
        <f>IF(E2403&lt;&gt;"", _xlfn.XLOOKUP(E2403, DATABASE_FG!C:C, DATABASE_FG!F:F), " ")</f>
        <v>Ghidaje</v>
      </c>
      <c r="P2403" s="36">
        <f>IFERROR(INDEX(DATABASE_FG!$G$5:$G$367, MATCH(E2403, DATABASE_FG!$C$5:$C$367, 0)), "Not Found")</f>
        <v>0</v>
      </c>
      <c r="Q2403" s="36"/>
      <c r="R2403" s="125" t="s">
        <v>678</v>
      </c>
      <c r="S2403" s="123">
        <f>Table1[[#This Row],[Quantity]]/48</f>
        <v>0</v>
      </c>
      <c r="T2403" s="36"/>
      <c r="U2403" s="36"/>
      <c r="V2403" s="36"/>
      <c r="W2403" s="129"/>
      <c r="X2403" s="36"/>
      <c r="Y2403" s="36"/>
      <c r="Z2403" s="36"/>
      <c r="AA2403" s="125" t="s">
        <v>121</v>
      </c>
      <c r="AB2403" s="173">
        <v>45474</v>
      </c>
      <c r="AC2403" s="119">
        <v>2024758</v>
      </c>
      <c r="AD2403" s="36">
        <f t="shared" si="268"/>
        <v>36856203</v>
      </c>
      <c r="AE2403" s="36" t="str">
        <f t="shared" si="269"/>
        <v>TK.KWVE30-B-A-S-0038-WW1</v>
      </c>
      <c r="AF2403" s="36">
        <v>77</v>
      </c>
      <c r="AG2403" s="120">
        <f t="shared" si="267"/>
        <v>370.36999999999995</v>
      </c>
      <c r="AH2403" s="36"/>
      <c r="AI2403" s="124"/>
      <c r="AJ2403" s="122" t="s">
        <v>1665</v>
      </c>
      <c r="AK2403" s="129" t="str">
        <f t="shared" ca="1" si="266"/>
        <v>Late</v>
      </c>
      <c r="AL2403" s="268" t="str">
        <f t="shared" si="265"/>
        <v>June</v>
      </c>
      <c r="AM2403" s="133">
        <f>YEAR(Table1[[#This Row],[ETA
As requested
dd.mm.yyyy]])</f>
        <v>2024</v>
      </c>
    </row>
    <row r="2404" spans="1:39" hidden="1">
      <c r="A2404" s="123" t="s">
        <v>83</v>
      </c>
      <c r="B2404" s="36" t="s">
        <v>1170</v>
      </c>
      <c r="C2404" s="117">
        <v>36856166</v>
      </c>
      <c r="D2404" s="165">
        <v>45439</v>
      </c>
      <c r="E2404" s="117" t="s">
        <v>102</v>
      </c>
      <c r="F2404" s="36" t="str">
        <f>IFERROR(VLOOKUP(Table1[[#This Row],[Part Number]],DATABASE_FG!$C$6:D12393,2,FALSE)," ")</f>
        <v xml:space="preserve">080814913-8011 </v>
      </c>
      <c r="G2404" s="117">
        <f>IFERROR(_xlfn.XLOOKUP(Table1[[#This Row],[Part Number]],Table3[Part number],Table3[Drawing
 Revision]),"")</f>
        <v>0</v>
      </c>
      <c r="H2404" s="118" cm="1">
        <f t="array" ref="H2404">IFERROR(INDEX(PDB!$C:$AT,MATCH(E2404,PDB!$B:$B,0),MATCH(YEAR(K2404),0+PDB!$C$1:$AT$1,0)),"")</f>
        <v>4.8099999999999996</v>
      </c>
      <c r="I2404" s="36">
        <v>150</v>
      </c>
      <c r="J2404" s="125">
        <f>IFERROR(Table1[[#This Row],[Quantity]]*Table1[[#This Row],[Price/Unit
EUR]]," ")</f>
        <v>721.49999999999989</v>
      </c>
      <c r="K2404" s="126">
        <v>45456</v>
      </c>
      <c r="L2404" s="36">
        <f>WEEKNUM(Table1[[#This Row],[ETA
As requested
dd.mm.yyyy]])</f>
        <v>24</v>
      </c>
      <c r="M2404" s="36">
        <f>YEAR(Table1[[#This Row],[ETA
As requested
dd.mm.yyyy]])</f>
        <v>2024</v>
      </c>
      <c r="N2404" s="36">
        <f>IFERROR(INDEX(DATABASE_FG!$H$5:$H$367, MATCH(E2404, DATABASE_FG!$C$5:$C$367, 0)), " ")</f>
        <v>0</v>
      </c>
      <c r="O2404" s="129" t="str">
        <f>IF(E2404&lt;&gt;"", _xlfn.XLOOKUP(E2404, DATABASE_FG!C:C, DATABASE_FG!F:F), " ")</f>
        <v>Ghidaje</v>
      </c>
      <c r="P2404" s="36">
        <f>IFERROR(INDEX(DATABASE_FG!$G$5:$G$367, MATCH(E2404, DATABASE_FG!$C$5:$C$367, 0)), "Not Found")</f>
        <v>0</v>
      </c>
      <c r="Q2404" s="36"/>
      <c r="R2404" s="125" t="s">
        <v>678</v>
      </c>
      <c r="S2404" s="123">
        <f>IFERROR(INDEX(DATABASE_FG!$L$5:$L$367, MATCH(E2404, DATABASE_FG!$C$5:$C$367, 0)), " ")</f>
        <v>42</v>
      </c>
      <c r="T2404" s="36" t="s">
        <v>679</v>
      </c>
      <c r="U2404" s="36"/>
      <c r="V2404" s="36"/>
      <c r="W2404" s="129"/>
      <c r="X2404" s="36"/>
      <c r="Y2404" s="36"/>
      <c r="Z2404" s="36">
        <v>242312</v>
      </c>
      <c r="AA2404" s="125" t="s">
        <v>121</v>
      </c>
      <c r="AB2404" s="173">
        <v>45461</v>
      </c>
      <c r="AC2404" s="119">
        <v>2024681</v>
      </c>
      <c r="AD2404" s="36">
        <f t="shared" si="268"/>
        <v>36856166</v>
      </c>
      <c r="AE2404" s="36" t="str">
        <f t="shared" si="269"/>
        <v>TK.KWVE30-B-A-S-0038-WW1</v>
      </c>
      <c r="AF2404" s="36">
        <v>104</v>
      </c>
      <c r="AG2404" s="120">
        <f t="shared" si="267"/>
        <v>500.23999999999995</v>
      </c>
      <c r="AH2404" s="36"/>
      <c r="AI2404" s="124"/>
      <c r="AJ2404" s="122" t="s">
        <v>1681</v>
      </c>
      <c r="AK2404" s="129" t="str">
        <f t="shared" ca="1" si="266"/>
        <v>Late</v>
      </c>
      <c r="AL2404" s="268" t="str">
        <f t="shared" si="265"/>
        <v>June</v>
      </c>
      <c r="AM2404" s="133">
        <f>YEAR(Table1[[#This Row],[ETA
As requested
dd.mm.yyyy]])</f>
        <v>2024</v>
      </c>
    </row>
    <row r="2405" spans="1:39" hidden="1">
      <c r="A2405" s="123" t="s">
        <v>83</v>
      </c>
      <c r="B2405" s="36" t="s">
        <v>1170</v>
      </c>
      <c r="C2405" s="117">
        <v>36856166</v>
      </c>
      <c r="D2405" s="165">
        <v>45439</v>
      </c>
      <c r="E2405" s="117" t="s">
        <v>102</v>
      </c>
      <c r="F2405" s="36" t="str">
        <f>IFERROR(VLOOKUP(Table1[[#This Row],[Part Number]],DATABASE_FG!$C$6:D12394,2,FALSE)," ")</f>
        <v xml:space="preserve">080814913-8011 </v>
      </c>
      <c r="G2405" s="117">
        <f>IFERROR(_xlfn.XLOOKUP(Table1[[#This Row],[Part Number]],Table3[Part number],Table3[Drawing
 Revision]),"")</f>
        <v>0</v>
      </c>
      <c r="H2405" s="118" cm="1">
        <f t="array" ref="H2405">IFERROR(INDEX(PDB!$C:$AT,MATCH(E2405,PDB!$B:$B,0),MATCH(YEAR(K2405),0+PDB!$C$1:$AT$1,0)),"")</f>
        <v>4.8099999999999996</v>
      </c>
      <c r="I2405" s="36"/>
      <c r="J2405" s="125">
        <f>IFERROR(Table1[[#This Row],[Quantity]]*Table1[[#This Row],[Price/Unit
EUR]]," ")</f>
        <v>0</v>
      </c>
      <c r="K2405" s="126">
        <v>45456</v>
      </c>
      <c r="L2405" s="36">
        <f>WEEKNUM(Table1[[#This Row],[ETA
As requested
dd.mm.yyyy]])</f>
        <v>24</v>
      </c>
      <c r="M2405" s="36">
        <f>YEAR(Table1[[#This Row],[ETA
As requested
dd.mm.yyyy]])</f>
        <v>2024</v>
      </c>
      <c r="N2405" s="36">
        <f>IFERROR(INDEX(DATABASE_FG!$H$5:$H$367, MATCH(E2405, DATABASE_FG!$C$5:$C$367, 0)), " ")</f>
        <v>0</v>
      </c>
      <c r="O2405" s="129" t="str">
        <f>IF(E2405&lt;&gt;"", _xlfn.XLOOKUP(E2405, DATABASE_FG!C:C, DATABASE_FG!F:F), " ")</f>
        <v>Ghidaje</v>
      </c>
      <c r="P2405" s="36">
        <f>IFERROR(INDEX(DATABASE_FG!$G$5:$G$367, MATCH(E2405, DATABASE_FG!$C$5:$C$367, 0)), "Not Found")</f>
        <v>0</v>
      </c>
      <c r="Q2405" s="36"/>
      <c r="R2405" s="125" t="s">
        <v>678</v>
      </c>
      <c r="S2405" s="123">
        <f>Table1[[#This Row],[Quantity]]/48</f>
        <v>0</v>
      </c>
      <c r="T2405" s="36"/>
      <c r="U2405" s="36"/>
      <c r="V2405" s="36"/>
      <c r="W2405" s="129"/>
      <c r="X2405" s="36"/>
      <c r="Y2405" s="36"/>
      <c r="Z2405" s="36"/>
      <c r="AA2405" s="125" t="s">
        <v>121</v>
      </c>
      <c r="AB2405" s="173">
        <v>45463</v>
      </c>
      <c r="AC2405" s="119">
        <v>2024697</v>
      </c>
      <c r="AD2405" s="36">
        <f t="shared" si="268"/>
        <v>36856166</v>
      </c>
      <c r="AE2405" s="36" t="str">
        <f t="shared" si="269"/>
        <v>TK.KWVE30-B-A-S-0038-WW1</v>
      </c>
      <c r="AF2405" s="36">
        <v>32</v>
      </c>
      <c r="AG2405" s="120">
        <f t="shared" si="267"/>
        <v>153.91999999999999</v>
      </c>
      <c r="AH2405" s="36"/>
      <c r="AI2405" s="124"/>
      <c r="AJ2405" s="122" t="s">
        <v>1682</v>
      </c>
      <c r="AK2405" s="129" t="str">
        <f t="shared" ca="1" si="266"/>
        <v>Late</v>
      </c>
      <c r="AL2405" s="268" t="str">
        <f t="shared" si="265"/>
        <v>June</v>
      </c>
      <c r="AM2405" s="133">
        <f>YEAR(Table1[[#This Row],[ETA
As requested
dd.mm.yyyy]])</f>
        <v>2024</v>
      </c>
    </row>
    <row r="2406" spans="1:39" hidden="1">
      <c r="A2406" s="123" t="s">
        <v>83</v>
      </c>
      <c r="B2406" s="36" t="s">
        <v>1170</v>
      </c>
      <c r="C2406" s="117">
        <v>36856166</v>
      </c>
      <c r="D2406" s="165">
        <v>45439</v>
      </c>
      <c r="E2406" s="117" t="s">
        <v>102</v>
      </c>
      <c r="F2406" s="36" t="str">
        <f>IFERROR(VLOOKUP(Table1[[#This Row],[Part Number]],DATABASE_FG!$C$6:D12395,2,FALSE)," ")</f>
        <v xml:space="preserve">080814913-8011 </v>
      </c>
      <c r="G2406" s="117">
        <f>IFERROR(_xlfn.XLOOKUP(Table1[[#This Row],[Part Number]],Table3[Part number],Table3[Drawing
 Revision]),"")</f>
        <v>0</v>
      </c>
      <c r="H2406" s="118" cm="1">
        <f t="array" ref="H2406">IFERROR(INDEX(PDB!$C:$AT,MATCH(E2406,PDB!$B:$B,0),MATCH(YEAR(K2406),0+PDB!$C$1:$AT$1,0)),"")</f>
        <v>4.8099999999999996</v>
      </c>
      <c r="I2406" s="36"/>
      <c r="J2406" s="125">
        <f>IFERROR(Table1[[#This Row],[Quantity]]*Table1[[#This Row],[Price/Unit
EUR]]," ")</f>
        <v>0</v>
      </c>
      <c r="K2406" s="126">
        <v>45456</v>
      </c>
      <c r="L2406" s="36">
        <f>WEEKNUM(Table1[[#This Row],[ETA
As requested
dd.mm.yyyy]])</f>
        <v>24</v>
      </c>
      <c r="M2406" s="36">
        <f>YEAR(Table1[[#This Row],[ETA
As requested
dd.mm.yyyy]])</f>
        <v>2024</v>
      </c>
      <c r="N2406" s="36">
        <f>IFERROR(INDEX(DATABASE_FG!$H$5:$H$367, MATCH(E2406, DATABASE_FG!$C$5:$C$367, 0)), " ")</f>
        <v>0</v>
      </c>
      <c r="O2406" s="129" t="str">
        <f>IF(E2406&lt;&gt;"", _xlfn.XLOOKUP(E2406, DATABASE_FG!C:C, DATABASE_FG!F:F), " ")</f>
        <v>Ghidaje</v>
      </c>
      <c r="P2406" s="36">
        <f>IFERROR(INDEX(DATABASE_FG!$G$5:$G$367, MATCH(E2406, DATABASE_FG!$C$5:$C$367, 0)), "Not Found")</f>
        <v>0</v>
      </c>
      <c r="Q2406" s="36"/>
      <c r="R2406" s="125" t="s">
        <v>678</v>
      </c>
      <c r="S2406" s="123">
        <f>Table1[[#This Row],[Quantity]]/48</f>
        <v>0</v>
      </c>
      <c r="T2406" s="36"/>
      <c r="U2406" s="36"/>
      <c r="V2406" s="36"/>
      <c r="W2406" s="129"/>
      <c r="X2406" s="36"/>
      <c r="Y2406" s="36"/>
      <c r="Z2406" s="36"/>
      <c r="AA2406" s="125" t="s">
        <v>121</v>
      </c>
      <c r="AB2406" s="173">
        <v>45470</v>
      </c>
      <c r="AC2406" s="119">
        <v>20232177</v>
      </c>
      <c r="AD2406" s="36">
        <f t="shared" si="268"/>
        <v>36856166</v>
      </c>
      <c r="AE2406" s="36" t="str">
        <f t="shared" si="269"/>
        <v>TK.KWVE30-B-A-S-0038-WW1</v>
      </c>
      <c r="AF2406" s="36">
        <v>14</v>
      </c>
      <c r="AG2406" s="120">
        <f t="shared" si="267"/>
        <v>67.339999999999989</v>
      </c>
      <c r="AH2406" s="36"/>
      <c r="AI2406" s="124"/>
      <c r="AJ2406" s="122" t="s">
        <v>1687</v>
      </c>
      <c r="AK2406" s="129" t="str">
        <f t="shared" ca="1" si="266"/>
        <v>Late</v>
      </c>
      <c r="AL2406" s="268" t="str">
        <f t="shared" si="265"/>
        <v>June</v>
      </c>
      <c r="AM2406" s="133">
        <f>YEAR(Table1[[#This Row],[ETA
As requested
dd.mm.yyyy]])</f>
        <v>2024</v>
      </c>
    </row>
    <row r="2407" spans="1:39" hidden="1">
      <c r="A2407" s="123" t="s">
        <v>83</v>
      </c>
      <c r="B2407" s="36" t="s">
        <v>1170</v>
      </c>
      <c r="C2407" s="117">
        <v>36856203</v>
      </c>
      <c r="D2407" s="165">
        <v>45439</v>
      </c>
      <c r="E2407" s="117" t="s">
        <v>102</v>
      </c>
      <c r="F2407" s="36" t="str">
        <f>IFERROR(VLOOKUP(Table1[[#This Row],[Part Number]],DATABASE_FG!$C$6:D12396,2,FALSE)," ")</f>
        <v xml:space="preserve">080814913-8011 </v>
      </c>
      <c r="G2407" s="117">
        <f>IFERROR(_xlfn.XLOOKUP(Table1[[#This Row],[Part Number]],Table3[Part number],Table3[Drawing
 Revision]),"")</f>
        <v>0</v>
      </c>
      <c r="H2407" s="118" cm="1">
        <f t="array" ref="H2407">IFERROR(INDEX(PDB!$C:$AT,MATCH(E2407,PDB!$B:$B,0),MATCH(YEAR(K2407),0+PDB!$C$1:$AT$1,0)),"")</f>
        <v>4.8099999999999996</v>
      </c>
      <c r="I2407" s="36">
        <v>150</v>
      </c>
      <c r="J2407" s="125">
        <f>IFERROR(Table1[[#This Row],[Quantity]]*Table1[[#This Row],[Price/Unit
EUR]]," ")</f>
        <v>721.49999999999989</v>
      </c>
      <c r="K2407" s="126">
        <v>45461</v>
      </c>
      <c r="L2407" s="36">
        <f>WEEKNUM(Table1[[#This Row],[ETA
As requested
dd.mm.yyyy]])</f>
        <v>25</v>
      </c>
      <c r="M2407" s="36">
        <f>YEAR(Table1[[#This Row],[ETA
As requested
dd.mm.yyyy]])</f>
        <v>2024</v>
      </c>
      <c r="N2407" s="36">
        <f>IFERROR(INDEX(DATABASE_FG!$H$5:$H$367, MATCH(E2407, DATABASE_FG!$C$5:$C$367, 0)), " ")</f>
        <v>0</v>
      </c>
      <c r="O2407" s="129" t="str">
        <f>IF(E2407&lt;&gt;"", _xlfn.XLOOKUP(E2407, DATABASE_FG!C:C, DATABASE_FG!F:F), " ")</f>
        <v>Ghidaje</v>
      </c>
      <c r="P2407" s="36">
        <f>IFERROR(INDEX(DATABASE_FG!$G$5:$G$367, MATCH(E2407, DATABASE_FG!$C$5:$C$367, 0)), "Not Found")</f>
        <v>0</v>
      </c>
      <c r="Q2407" s="36"/>
      <c r="R2407" s="125" t="s">
        <v>678</v>
      </c>
      <c r="S2407" s="123">
        <f>IFERROR(INDEX(DATABASE_FG!$L$5:$L$367, MATCH(E2407, DATABASE_FG!$C$5:$C$367, 0)), " ")</f>
        <v>42</v>
      </c>
      <c r="T2407" s="36" t="s">
        <v>679</v>
      </c>
      <c r="U2407" s="36"/>
      <c r="V2407" s="36"/>
      <c r="W2407" s="129"/>
      <c r="X2407" s="36"/>
      <c r="Y2407" s="36"/>
      <c r="Z2407" s="36">
        <v>242602</v>
      </c>
      <c r="AA2407" s="125" t="s">
        <v>121</v>
      </c>
      <c r="AB2407" s="172">
        <v>45470</v>
      </c>
      <c r="AC2407" s="119">
        <v>20232178</v>
      </c>
      <c r="AD2407" s="36">
        <f t="shared" si="268"/>
        <v>36856203</v>
      </c>
      <c r="AE2407" s="36" t="str">
        <f t="shared" si="269"/>
        <v>TK.KWVE30-B-A-S-0038-WW1</v>
      </c>
      <c r="AF2407" s="36">
        <v>69</v>
      </c>
      <c r="AG2407" s="120">
        <f t="shared" si="267"/>
        <v>331.89</v>
      </c>
      <c r="AH2407" s="36"/>
      <c r="AI2407" s="124"/>
      <c r="AJ2407" s="122" t="s">
        <v>1698</v>
      </c>
      <c r="AK2407" s="129" t="str">
        <f t="shared" ca="1" si="266"/>
        <v>Late</v>
      </c>
      <c r="AL2407" s="268" t="str">
        <f t="shared" si="265"/>
        <v>June</v>
      </c>
      <c r="AM2407" s="133">
        <f>YEAR(Table1[[#This Row],[ETA
As requested
dd.mm.yyyy]])</f>
        <v>2024</v>
      </c>
    </row>
    <row r="2408" spans="1:39" hidden="1">
      <c r="A2408" s="123" t="s">
        <v>83</v>
      </c>
      <c r="B2408" s="36" t="s">
        <v>1170</v>
      </c>
      <c r="C2408" s="117">
        <v>36856203</v>
      </c>
      <c r="D2408" s="165">
        <v>45439</v>
      </c>
      <c r="E2408" s="117" t="s">
        <v>102</v>
      </c>
      <c r="F2408" s="36" t="str">
        <f>IFERROR(VLOOKUP(Table1[[#This Row],[Part Number]],DATABASE_FG!$C$6:D12397,2,FALSE)," ")</f>
        <v xml:space="preserve">080814913-8011 </v>
      </c>
      <c r="G2408" s="117">
        <f>IFERROR(_xlfn.XLOOKUP(Table1[[#This Row],[Part Number]],Table3[Part number],Table3[Drawing
 Revision]),"")</f>
        <v>0</v>
      </c>
      <c r="H2408" s="118" cm="1">
        <f t="array" ref="H2408">IFERROR(INDEX(PDB!$C:$AT,MATCH(E2408,PDB!$B:$B,0),MATCH(YEAR(K2408),0+PDB!$C$1:$AT$1,0)),"")</f>
        <v>4.8099999999999996</v>
      </c>
      <c r="I2408" s="36"/>
      <c r="J2408" s="125">
        <f>IFERROR(Table1[[#This Row],[Quantity]]*Table1[[#This Row],[Price/Unit
EUR]]," ")</f>
        <v>0</v>
      </c>
      <c r="K2408" s="126">
        <v>45461</v>
      </c>
      <c r="L2408" s="36">
        <f>WEEKNUM(Table1[[#This Row],[ETA
As requested
dd.mm.yyyy]])</f>
        <v>25</v>
      </c>
      <c r="M2408" s="36">
        <f>YEAR(Table1[[#This Row],[ETA
As requested
dd.mm.yyyy]])</f>
        <v>2024</v>
      </c>
      <c r="N2408" s="36">
        <f>IFERROR(INDEX(DATABASE_FG!$H$5:$H$367, MATCH(E2408, DATABASE_FG!$C$5:$C$367, 0)), " ")</f>
        <v>0</v>
      </c>
      <c r="O2408" s="129" t="str">
        <f>IF(E2408&lt;&gt;"", _xlfn.XLOOKUP(E2408, DATABASE_FG!C:C, DATABASE_FG!F:F), " ")</f>
        <v>Ghidaje</v>
      </c>
      <c r="P2408" s="36">
        <f>IFERROR(INDEX(DATABASE_FG!$G$5:$G$367, MATCH(E2408, DATABASE_FG!$C$5:$C$367, 0)), "Not Found")</f>
        <v>0</v>
      </c>
      <c r="Q2408" s="36"/>
      <c r="R2408" s="125" t="s">
        <v>678</v>
      </c>
      <c r="S2408" s="123">
        <f>Table1[[#This Row],[Quantity]]/48</f>
        <v>0</v>
      </c>
      <c r="T2408" s="36"/>
      <c r="U2408" s="36"/>
      <c r="V2408" s="36"/>
      <c r="W2408" s="129"/>
      <c r="X2408" s="36"/>
      <c r="Y2408" s="36"/>
      <c r="Z2408" s="36"/>
      <c r="AA2408" s="125" t="s">
        <v>121</v>
      </c>
      <c r="AB2408" s="173">
        <v>45471</v>
      </c>
      <c r="AC2408" s="119">
        <v>2024749</v>
      </c>
      <c r="AD2408" s="36">
        <f t="shared" si="268"/>
        <v>36856203</v>
      </c>
      <c r="AE2408" s="36" t="str">
        <f t="shared" si="269"/>
        <v>TK.KWVE30-B-A-S-0038-WW1</v>
      </c>
      <c r="AF2408" s="36">
        <v>81</v>
      </c>
      <c r="AG2408" s="120">
        <f t="shared" si="267"/>
        <v>389.60999999999996</v>
      </c>
      <c r="AH2408" s="36"/>
      <c r="AI2408" s="124"/>
      <c r="AJ2408" s="122" t="s">
        <v>1662</v>
      </c>
      <c r="AK2408" s="129" t="str">
        <f t="shared" ca="1" si="266"/>
        <v>Late</v>
      </c>
      <c r="AL2408" s="268" t="str">
        <f t="shared" si="265"/>
        <v>June</v>
      </c>
      <c r="AM2408" s="133">
        <f>YEAR(Table1[[#This Row],[ETA
As requested
dd.mm.yyyy]])</f>
        <v>2024</v>
      </c>
    </row>
    <row r="2409" spans="1:39" hidden="1">
      <c r="A2409" s="123" t="s">
        <v>83</v>
      </c>
      <c r="B2409" s="36" t="s">
        <v>1170</v>
      </c>
      <c r="C2409" s="117">
        <v>36856208</v>
      </c>
      <c r="D2409" s="165">
        <v>45439</v>
      </c>
      <c r="E2409" s="117" t="s">
        <v>102</v>
      </c>
      <c r="F2409" s="36" t="str">
        <f>IFERROR(VLOOKUP(Table1[[#This Row],[Part Number]],DATABASE_FG!$C$6:D12398,2,FALSE)," ")</f>
        <v xml:space="preserve">080814913-8011 </v>
      </c>
      <c r="G2409" s="117">
        <f>IFERROR(_xlfn.XLOOKUP(Table1[[#This Row],[Part Number]],Table3[Part number],Table3[Drawing
 Revision]),"")</f>
        <v>0</v>
      </c>
      <c r="H2409" s="118" cm="1">
        <f t="array" ref="H2409">IFERROR(INDEX(PDB!$C:$AT,MATCH(E2409,PDB!$B:$B,0),MATCH(YEAR(K2409),0+PDB!$C$1:$AT$1,0)),"")</f>
        <v>4.8099999999999996</v>
      </c>
      <c r="I2409" s="36">
        <v>150</v>
      </c>
      <c r="J2409" s="125">
        <f>IFERROR(Table1[[#This Row],[Quantity]]*Table1[[#This Row],[Price/Unit
EUR]]," ")</f>
        <v>721.49999999999989</v>
      </c>
      <c r="K2409" s="126">
        <v>45468</v>
      </c>
      <c r="L2409" s="36">
        <f>WEEKNUM(Table1[[#This Row],[ETA
As requested
dd.mm.yyyy]])</f>
        <v>26</v>
      </c>
      <c r="M2409" s="36">
        <f>YEAR(Table1[[#This Row],[ETA
As requested
dd.mm.yyyy]])</f>
        <v>2024</v>
      </c>
      <c r="N2409" s="36">
        <f>IFERROR(INDEX(DATABASE_FG!$H$5:$H$367, MATCH(E2409, DATABASE_FG!$C$5:$C$367, 0)), " ")</f>
        <v>0</v>
      </c>
      <c r="O2409" s="129" t="str">
        <f>IF(E2409&lt;&gt;"", _xlfn.XLOOKUP(E2409, DATABASE_FG!C:C, DATABASE_FG!F:F), " ")</f>
        <v>Ghidaje</v>
      </c>
      <c r="P2409" s="36">
        <f>IFERROR(INDEX(DATABASE_FG!$G$5:$G$367, MATCH(E2409, DATABASE_FG!$C$5:$C$367, 0)), "Not Found")</f>
        <v>0</v>
      </c>
      <c r="Q2409" s="36"/>
      <c r="R2409" s="125" t="s">
        <v>678</v>
      </c>
      <c r="S2409" s="123">
        <f>IFERROR(INDEX(DATABASE_FG!$L$5:$L$367, MATCH(E2409, DATABASE_FG!$C$5:$C$367, 0)), " ")</f>
        <v>42</v>
      </c>
      <c r="T2409" s="36" t="s">
        <v>679</v>
      </c>
      <c r="U2409" s="36"/>
      <c r="V2409" s="36"/>
      <c r="W2409" s="129"/>
      <c r="X2409" s="36"/>
      <c r="Y2409" s="36"/>
      <c r="Z2409" s="36">
        <v>242602</v>
      </c>
      <c r="AA2409" s="125" t="s">
        <v>121</v>
      </c>
      <c r="AB2409" s="173">
        <v>45474</v>
      </c>
      <c r="AC2409" s="119">
        <v>2024759</v>
      </c>
      <c r="AD2409" s="36">
        <f t="shared" si="268"/>
        <v>36856208</v>
      </c>
      <c r="AE2409" s="36" t="str">
        <f t="shared" si="269"/>
        <v>TK.KWVE30-B-A-S-0038-WW1</v>
      </c>
      <c r="AF2409" s="36">
        <v>16</v>
      </c>
      <c r="AG2409" s="120">
        <f t="shared" si="267"/>
        <v>76.959999999999994</v>
      </c>
      <c r="AH2409" s="36"/>
      <c r="AI2409" s="124"/>
      <c r="AJ2409" s="122" t="s">
        <v>1729</v>
      </c>
      <c r="AK2409" s="129" t="str">
        <f t="shared" ca="1" si="266"/>
        <v>Late</v>
      </c>
      <c r="AL2409" s="268" t="str">
        <f t="shared" si="265"/>
        <v>June</v>
      </c>
      <c r="AM2409" s="133">
        <f>YEAR(Table1[[#This Row],[ETA
As requested
dd.mm.yyyy]])</f>
        <v>2024</v>
      </c>
    </row>
    <row r="2410" spans="1:39" hidden="1">
      <c r="A2410" s="123" t="s">
        <v>83</v>
      </c>
      <c r="B2410" s="36" t="s">
        <v>1170</v>
      </c>
      <c r="C2410" s="117">
        <v>36856208</v>
      </c>
      <c r="D2410" s="165">
        <v>45439</v>
      </c>
      <c r="E2410" s="117" t="s">
        <v>102</v>
      </c>
      <c r="F2410" s="36" t="str">
        <f>IFERROR(VLOOKUP(Table1[[#This Row],[Part Number]],DATABASE_FG!$C$6:D12399,2,FALSE)," ")</f>
        <v xml:space="preserve">080814913-8011 </v>
      </c>
      <c r="G2410" s="117">
        <f>IFERROR(_xlfn.XLOOKUP(Table1[[#This Row],[Part Number]],Table3[Part number],Table3[Drawing
 Revision]),"")</f>
        <v>0</v>
      </c>
      <c r="H2410" s="118" cm="1">
        <f t="array" ref="H2410">IFERROR(INDEX(PDB!$C:$AT,MATCH(E2410,PDB!$B:$B,0),MATCH(YEAR(K2410),0+PDB!$C$1:$AT$1,0)),"")</f>
        <v>4.8099999999999996</v>
      </c>
      <c r="I2410" s="36"/>
      <c r="J2410" s="125">
        <f>IFERROR(Table1[[#This Row],[Quantity]]*Table1[[#This Row],[Price/Unit
EUR]]," ")</f>
        <v>0</v>
      </c>
      <c r="K2410" s="126">
        <v>45468</v>
      </c>
      <c r="L2410" s="36">
        <f>WEEKNUM(Table1[[#This Row],[ETA
As requested
dd.mm.yyyy]])</f>
        <v>26</v>
      </c>
      <c r="M2410" s="36">
        <f>YEAR(Table1[[#This Row],[ETA
As requested
dd.mm.yyyy]])</f>
        <v>2024</v>
      </c>
      <c r="N2410" s="36">
        <f>IFERROR(INDEX(DATABASE_FG!$H$5:$H$367, MATCH(E2410, DATABASE_FG!$C$5:$C$367, 0)), " ")</f>
        <v>0</v>
      </c>
      <c r="O2410" s="129" t="str">
        <f>IF(E2410&lt;&gt;"", _xlfn.XLOOKUP(E2410, DATABASE_FG!C:C, DATABASE_FG!F:F), " ")</f>
        <v>Ghidaje</v>
      </c>
      <c r="P2410" s="36">
        <f>IFERROR(INDEX(DATABASE_FG!$G$5:$G$367, MATCH(E2410, DATABASE_FG!$C$5:$C$367, 0)), "Not Found")</f>
        <v>0</v>
      </c>
      <c r="Q2410" s="36"/>
      <c r="R2410" s="125" t="s">
        <v>678</v>
      </c>
      <c r="S2410" s="123">
        <f>Table1[[#This Row],[Quantity]]/48</f>
        <v>0</v>
      </c>
      <c r="T2410" s="36"/>
      <c r="U2410" s="36"/>
      <c r="V2410" s="36"/>
      <c r="W2410" s="129"/>
      <c r="X2410" s="36"/>
      <c r="Y2410" s="36"/>
      <c r="Z2410" s="36"/>
      <c r="AA2410" s="125" t="s">
        <v>121</v>
      </c>
      <c r="AB2410" s="173">
        <v>45475</v>
      </c>
      <c r="AC2410" s="72">
        <v>2024767</v>
      </c>
      <c r="AD2410" s="36">
        <f t="shared" si="268"/>
        <v>36856208</v>
      </c>
      <c r="AE2410" s="36" t="str">
        <f t="shared" si="269"/>
        <v>TK.KWVE30-B-A-S-0038-WW1</v>
      </c>
      <c r="AF2410" s="36">
        <v>118</v>
      </c>
      <c r="AG2410" s="120">
        <f t="shared" si="267"/>
        <v>567.57999999999993</v>
      </c>
      <c r="AH2410" s="36"/>
      <c r="AI2410" s="124"/>
      <c r="AJ2410" s="122" t="s">
        <v>1730</v>
      </c>
      <c r="AK2410" s="129" t="str">
        <f t="shared" ca="1" si="266"/>
        <v>Late</v>
      </c>
      <c r="AL2410" s="268" t="str">
        <f t="shared" si="265"/>
        <v>June</v>
      </c>
      <c r="AM2410" s="133">
        <f>YEAR(Table1[[#This Row],[ETA
As requested
dd.mm.yyyy]])</f>
        <v>2024</v>
      </c>
    </row>
    <row r="2411" spans="1:39" hidden="1">
      <c r="A2411" s="123" t="s">
        <v>83</v>
      </c>
      <c r="B2411" s="36" t="s">
        <v>1170</v>
      </c>
      <c r="C2411" s="117">
        <v>36856208</v>
      </c>
      <c r="D2411" s="165">
        <v>45439</v>
      </c>
      <c r="E2411" s="117" t="s">
        <v>102</v>
      </c>
      <c r="F2411" s="36" t="str">
        <f>IFERROR(VLOOKUP(Table1[[#This Row],[Part Number]],DATABASE_FG!$C$6:D12400,2,FALSE)," ")</f>
        <v xml:space="preserve">080814913-8011 </v>
      </c>
      <c r="G2411" s="117">
        <f>IFERROR(_xlfn.XLOOKUP(Table1[[#This Row],[Part Number]],Table3[Part number],Table3[Drawing
 Revision]),"")</f>
        <v>0</v>
      </c>
      <c r="H2411" s="118" cm="1">
        <f t="array" ref="H2411">IFERROR(INDEX(PDB!$C:$AT,MATCH(E2411,PDB!$B:$B,0),MATCH(YEAR(K2411),0+PDB!$C$1:$AT$1,0)),"")</f>
        <v>4.8099999999999996</v>
      </c>
      <c r="I2411" s="36"/>
      <c r="J2411" s="125">
        <f>IFERROR(Table1[[#This Row],[Quantity]]*Table1[[#This Row],[Price/Unit
EUR]]," ")</f>
        <v>0</v>
      </c>
      <c r="K2411" s="126">
        <v>45468</v>
      </c>
      <c r="L2411" s="36">
        <f>WEEKNUM(Table1[[#This Row],[ETA
As requested
dd.mm.yyyy]])</f>
        <v>26</v>
      </c>
      <c r="M2411" s="36">
        <f>YEAR(Table1[[#This Row],[ETA
As requested
dd.mm.yyyy]])</f>
        <v>2024</v>
      </c>
      <c r="N2411" s="36">
        <f>IFERROR(INDEX(DATABASE_FG!$H$5:$H$367, MATCH(E2411, DATABASE_FG!$C$5:$C$367, 0)), " ")</f>
        <v>0</v>
      </c>
      <c r="O2411" s="129" t="str">
        <f>IF(E2411&lt;&gt;"", _xlfn.XLOOKUP(E2411, DATABASE_FG!C:C, DATABASE_FG!F:F), " ")</f>
        <v>Ghidaje</v>
      </c>
      <c r="P2411" s="36">
        <f>IFERROR(INDEX(DATABASE_FG!$G$5:$G$367, MATCH(E2411, DATABASE_FG!$C$5:$C$367, 0)), "Not Found")</f>
        <v>0</v>
      </c>
      <c r="Q2411" s="36"/>
      <c r="R2411" s="125" t="s">
        <v>678</v>
      </c>
      <c r="S2411" s="123">
        <f>Table1[[#This Row],[Quantity]]/48</f>
        <v>0</v>
      </c>
      <c r="T2411" s="36"/>
      <c r="U2411" s="36"/>
      <c r="V2411" s="36"/>
      <c r="W2411" s="129"/>
      <c r="X2411" s="36"/>
      <c r="Y2411" s="36"/>
      <c r="Z2411" s="36"/>
      <c r="AA2411" s="125" t="s">
        <v>121</v>
      </c>
      <c r="AB2411" s="173">
        <v>45476</v>
      </c>
      <c r="AC2411" s="119">
        <v>2024786</v>
      </c>
      <c r="AD2411" s="36">
        <f t="shared" si="268"/>
        <v>36856208</v>
      </c>
      <c r="AE2411" s="36" t="str">
        <f t="shared" si="269"/>
        <v>TK.KWVE30-B-A-S-0038-WW1</v>
      </c>
      <c r="AF2411" s="36">
        <v>16</v>
      </c>
      <c r="AG2411" s="120">
        <f t="shared" si="267"/>
        <v>76.959999999999994</v>
      </c>
      <c r="AH2411" s="36"/>
      <c r="AI2411" s="124"/>
      <c r="AJ2411" s="122" t="s">
        <v>1733</v>
      </c>
      <c r="AK2411" s="129" t="str">
        <f t="shared" ca="1" si="266"/>
        <v>Late</v>
      </c>
      <c r="AL2411" s="268" t="str">
        <f t="shared" si="265"/>
        <v>June</v>
      </c>
      <c r="AM2411" s="133">
        <f>YEAR(Table1[[#This Row],[ETA
As requested
dd.mm.yyyy]])</f>
        <v>2024</v>
      </c>
    </row>
    <row r="2412" spans="1:39" hidden="1">
      <c r="A2412" s="123" t="s">
        <v>83</v>
      </c>
      <c r="B2412" s="36" t="s">
        <v>1170</v>
      </c>
      <c r="C2412" s="117">
        <v>36856208</v>
      </c>
      <c r="D2412" s="165">
        <v>45439</v>
      </c>
      <c r="E2412" s="117" t="s">
        <v>102</v>
      </c>
      <c r="F2412" s="36" t="str">
        <f>IFERROR(VLOOKUP(Table1[[#This Row],[Part Number]],DATABASE_FG!$C$6:D12401,2,FALSE)," ")</f>
        <v xml:space="preserve">080814913-8011 </v>
      </c>
      <c r="G2412" s="117">
        <f>IFERROR(_xlfn.XLOOKUP(Table1[[#This Row],[Part Number]],Table3[Part number],Table3[Drawing
 Revision]),"")</f>
        <v>0</v>
      </c>
      <c r="H2412" s="118" cm="1">
        <f t="array" ref="H2412">IFERROR(INDEX(PDB!$C:$AT,MATCH(E2412,PDB!$B:$B,0),MATCH(YEAR(K2412),0+PDB!$C$1:$AT$1,0)),"")</f>
        <v>4.8099999999999996</v>
      </c>
      <c r="I2412" s="36">
        <v>150</v>
      </c>
      <c r="J2412" s="125">
        <f>IFERROR(Table1[[#This Row],[Quantity]]*Table1[[#This Row],[Price/Unit
EUR]]," ")</f>
        <v>721.49999999999989</v>
      </c>
      <c r="K2412" s="126">
        <v>45470</v>
      </c>
      <c r="L2412" s="36">
        <f>WEEKNUM(Table1[[#This Row],[ETA
As requested
dd.mm.yyyy]])</f>
        <v>26</v>
      </c>
      <c r="M2412" s="36">
        <f>YEAR(Table1[[#This Row],[ETA
As requested
dd.mm.yyyy]])</f>
        <v>2024</v>
      </c>
      <c r="N2412" s="36">
        <f>IFERROR(INDEX(DATABASE_FG!$H$5:$H$367, MATCH(E2412, DATABASE_FG!$C$5:$C$367, 0)), " ")</f>
        <v>0</v>
      </c>
      <c r="O2412" s="129" t="str">
        <f>IF(E2412&lt;&gt;"", _xlfn.XLOOKUP(E2412, DATABASE_FG!C:C, DATABASE_FG!F:F), " ")</f>
        <v>Ghidaje</v>
      </c>
      <c r="P2412" s="36">
        <f>IFERROR(INDEX(DATABASE_FG!$G$5:$G$367, MATCH(E2412, DATABASE_FG!$C$5:$C$367, 0)), "Not Found")</f>
        <v>0</v>
      </c>
      <c r="Q2412" s="36"/>
      <c r="R2412" s="125" t="s">
        <v>678</v>
      </c>
      <c r="S2412" s="123">
        <f>IFERROR(INDEX(DATABASE_FG!$L$5:$L$367, MATCH(E2412, DATABASE_FG!$C$5:$C$367, 0)), " ")</f>
        <v>42</v>
      </c>
      <c r="T2412" s="36" t="s">
        <v>679</v>
      </c>
      <c r="U2412" s="36"/>
      <c r="V2412" s="36"/>
      <c r="W2412" s="129"/>
      <c r="X2412" s="36"/>
      <c r="Y2412" s="36"/>
      <c r="Z2412" s="36">
        <v>242602</v>
      </c>
      <c r="AA2412" s="125" t="s">
        <v>121</v>
      </c>
      <c r="AB2412" s="173">
        <v>45476</v>
      </c>
      <c r="AC2412" s="119">
        <v>2024786</v>
      </c>
      <c r="AD2412" s="36">
        <f t="shared" si="268"/>
        <v>36856208</v>
      </c>
      <c r="AE2412" s="36" t="str">
        <f t="shared" si="269"/>
        <v>TK.KWVE30-B-A-S-0038-WW1</v>
      </c>
      <c r="AF2412" s="36">
        <v>112</v>
      </c>
      <c r="AG2412" s="120">
        <f t="shared" si="267"/>
        <v>538.71999999999991</v>
      </c>
      <c r="AH2412" s="36"/>
      <c r="AI2412" s="124"/>
      <c r="AJ2412" s="122" t="s">
        <v>1733</v>
      </c>
      <c r="AK2412" s="129" t="str">
        <f t="shared" ca="1" si="266"/>
        <v>Late</v>
      </c>
      <c r="AL2412" s="268" t="str">
        <f t="shared" si="265"/>
        <v>June</v>
      </c>
      <c r="AM2412" s="133">
        <f>YEAR(Table1[[#This Row],[ETA
As requested
dd.mm.yyyy]])</f>
        <v>2024</v>
      </c>
    </row>
    <row r="2413" spans="1:39" hidden="1">
      <c r="A2413" s="123" t="s">
        <v>83</v>
      </c>
      <c r="B2413" s="36" t="s">
        <v>1170</v>
      </c>
      <c r="C2413" s="117">
        <v>36856208</v>
      </c>
      <c r="D2413" s="165">
        <v>45440</v>
      </c>
      <c r="E2413" s="117" t="s">
        <v>102</v>
      </c>
      <c r="F2413" s="36" t="str">
        <f>IFERROR(VLOOKUP(Table1[[#This Row],[Part Number]],DATABASE_FG!$C$6:D12402,2,FALSE)," ")</f>
        <v xml:space="preserve">080814913-8011 </v>
      </c>
      <c r="G2413" s="117">
        <f>IFERROR(_xlfn.XLOOKUP(Table1[[#This Row],[Part Number]],Table3[Part number],Table3[Drawing
 Revision]),"")</f>
        <v>0</v>
      </c>
      <c r="H2413" s="118" cm="1">
        <f t="array" ref="H2413">IFERROR(INDEX(PDB!$C:$AT,MATCH(E2413,PDB!$B:$B,0),MATCH(YEAR(K2413),0+PDB!$C$1:$AT$1,0)),"")</f>
        <v>4.8099999999999996</v>
      </c>
      <c r="I2413" s="36"/>
      <c r="J2413" s="125">
        <f>IFERROR(Table1[[#This Row],[Quantity]]*Table1[[#This Row],[Price/Unit
EUR]]," ")</f>
        <v>0</v>
      </c>
      <c r="K2413" s="126">
        <v>45470</v>
      </c>
      <c r="L2413" s="36">
        <f>WEEKNUM(Table1[[#This Row],[ETA
As requested
dd.mm.yyyy]])</f>
        <v>26</v>
      </c>
      <c r="M2413" s="36">
        <f>YEAR(Table1[[#This Row],[ETA
As requested
dd.mm.yyyy]])</f>
        <v>2024</v>
      </c>
      <c r="N2413" s="36">
        <f>IFERROR(INDEX(DATABASE_FG!$H$5:$H$367, MATCH(E2413, DATABASE_FG!$C$5:$C$367, 0)), " ")</f>
        <v>0</v>
      </c>
      <c r="O2413" s="129" t="str">
        <f>IF(E2413&lt;&gt;"", _xlfn.XLOOKUP(E2413, DATABASE_FG!C:C, DATABASE_FG!F:F), " ")</f>
        <v>Ghidaje</v>
      </c>
      <c r="P2413" s="36">
        <f>IFERROR(INDEX(DATABASE_FG!$G$5:$G$367, MATCH(E2413, DATABASE_FG!$C$5:$C$367, 0)), "Not Found")</f>
        <v>0</v>
      </c>
      <c r="Q2413" s="36"/>
      <c r="R2413" s="125" t="s">
        <v>678</v>
      </c>
      <c r="S2413" s="123">
        <f>Table1[[#This Row],[Quantity]]/48</f>
        <v>0</v>
      </c>
      <c r="T2413" s="36"/>
      <c r="U2413" s="36"/>
      <c r="V2413" s="36"/>
      <c r="W2413" s="129"/>
      <c r="X2413" s="36"/>
      <c r="Y2413" s="36"/>
      <c r="Z2413" s="36"/>
      <c r="AA2413" s="125" t="s">
        <v>121</v>
      </c>
      <c r="AB2413" s="173">
        <v>45477</v>
      </c>
      <c r="AC2413" s="119">
        <v>2024792</v>
      </c>
      <c r="AD2413" s="36">
        <f t="shared" si="268"/>
        <v>36856208</v>
      </c>
      <c r="AE2413" s="36" t="str">
        <f t="shared" si="269"/>
        <v>TK.KWVE30-B-A-S-0038-WW1</v>
      </c>
      <c r="AF2413" s="36">
        <v>38</v>
      </c>
      <c r="AG2413" s="120">
        <f t="shared" si="267"/>
        <v>182.77999999999997</v>
      </c>
      <c r="AH2413" s="36"/>
      <c r="AI2413" s="124"/>
      <c r="AJ2413" s="122" t="s">
        <v>1737</v>
      </c>
      <c r="AK2413" s="129" t="str">
        <f t="shared" ca="1" si="266"/>
        <v>Late</v>
      </c>
      <c r="AL2413" s="268" t="str">
        <f t="shared" si="265"/>
        <v>June</v>
      </c>
      <c r="AM2413" s="133">
        <f>YEAR(Table1[[#This Row],[ETA
As requested
dd.mm.yyyy]])</f>
        <v>2024</v>
      </c>
    </row>
    <row r="2414" spans="1:39" hidden="1">
      <c r="A2414" s="123" t="s">
        <v>83</v>
      </c>
      <c r="B2414" s="36" t="s">
        <v>1170</v>
      </c>
      <c r="C2414" s="117">
        <v>37069108</v>
      </c>
      <c r="D2414" s="165">
        <v>45471</v>
      </c>
      <c r="E2414" s="117" t="s">
        <v>102</v>
      </c>
      <c r="F2414" s="36" t="str">
        <f>IFERROR(VLOOKUP(Table1[[#This Row],[Part Number]],DATABASE_FG!$C$6:D12403,2,FALSE)," ")</f>
        <v xml:space="preserve">080814913-8011 </v>
      </c>
      <c r="G2414" s="117">
        <f>IFERROR(_xlfn.XLOOKUP(Table1[[#This Row],[Part Number]],Table3[Part number],Table3[Drawing
 Revision]),"")</f>
        <v>0</v>
      </c>
      <c r="H2414" s="118" cm="1">
        <f t="array" ref="H2414">IFERROR(INDEX(PDB!$C:$AT,MATCH(E2414,PDB!$B:$B,0),MATCH(YEAR(K2414),0+PDB!$C$1:$AT$1,0)),"")</f>
        <v>4.8099999999999996</v>
      </c>
      <c r="I2414" s="36">
        <v>75</v>
      </c>
      <c r="J2414" s="125">
        <f>IFERROR(Table1[[#This Row],[Quantity]]*Table1[[#This Row],[Price/Unit
EUR]]," ")</f>
        <v>360.74999999999994</v>
      </c>
      <c r="K2414" s="126">
        <v>45475</v>
      </c>
      <c r="L2414" s="36">
        <f>WEEKNUM(Table1[[#This Row],[ETA
As requested
dd.mm.yyyy]])</f>
        <v>27</v>
      </c>
      <c r="M2414" s="36">
        <f>YEAR(Table1[[#This Row],[ETA
As requested
dd.mm.yyyy]])</f>
        <v>2024</v>
      </c>
      <c r="N2414" s="36">
        <f>IFERROR(INDEX(DATABASE_FG!$H$5:$H$367, MATCH(E2414, DATABASE_FG!$C$5:$C$367, 0)), " ")</f>
        <v>0</v>
      </c>
      <c r="O2414" s="129" t="str">
        <f>IF(E2414&lt;&gt;"", _xlfn.XLOOKUP(E2414, DATABASE_FG!C:C, DATABASE_FG!F:F), " ")</f>
        <v>Ghidaje</v>
      </c>
      <c r="P2414" s="36">
        <f>IFERROR(INDEX(DATABASE_FG!$G$5:$G$367, MATCH(E2414, DATABASE_FG!$C$5:$C$367, 0)), "Not Found")</f>
        <v>0</v>
      </c>
      <c r="Q2414" s="36"/>
      <c r="R2414" s="125" t="s">
        <v>678</v>
      </c>
      <c r="S2414" s="123">
        <f>IFERROR(INDEX(DATABASE_FG!$L$5:$L$367, MATCH(E2414, DATABASE_FG!$C$5:$C$367, 0)), " ")</f>
        <v>42</v>
      </c>
      <c r="T2414" s="36" t="s">
        <v>679</v>
      </c>
      <c r="U2414" s="36"/>
      <c r="V2414" s="36"/>
      <c r="W2414" s="129"/>
      <c r="X2414" s="36"/>
      <c r="Y2414" s="36"/>
      <c r="Z2414" s="36">
        <v>242704</v>
      </c>
      <c r="AA2414" s="125" t="s">
        <v>121</v>
      </c>
      <c r="AB2414" s="173">
        <v>45477</v>
      </c>
      <c r="AC2414" s="119">
        <v>2024796</v>
      </c>
      <c r="AD2414" s="36">
        <f t="shared" si="268"/>
        <v>37069108</v>
      </c>
      <c r="AE2414" s="36" t="str">
        <f t="shared" si="269"/>
        <v>TK.KWVE30-B-A-S-0038-WW1</v>
      </c>
      <c r="AF2414" s="36">
        <v>20</v>
      </c>
      <c r="AG2414" s="120">
        <f t="shared" si="267"/>
        <v>96.199999999999989</v>
      </c>
      <c r="AH2414" s="36"/>
      <c r="AI2414" s="124"/>
      <c r="AJ2414" s="122" t="s">
        <v>1753</v>
      </c>
      <c r="AK2414" s="129" t="str">
        <f t="shared" ca="1" si="266"/>
        <v>On Time</v>
      </c>
      <c r="AL2414" s="268" t="str">
        <f t="shared" si="265"/>
        <v>July</v>
      </c>
      <c r="AM2414" s="133">
        <f>YEAR(Table1[[#This Row],[ETA
As requested
dd.mm.yyyy]])</f>
        <v>2024</v>
      </c>
    </row>
    <row r="2415" spans="1:39" hidden="1">
      <c r="A2415" s="123" t="s">
        <v>83</v>
      </c>
      <c r="B2415" s="36" t="s">
        <v>1170</v>
      </c>
      <c r="C2415" s="117">
        <v>37069108</v>
      </c>
      <c r="D2415" s="165">
        <v>45471</v>
      </c>
      <c r="E2415" s="117" t="s">
        <v>102</v>
      </c>
      <c r="F2415" s="36" t="str">
        <f>IFERROR(VLOOKUP(Table1[[#This Row],[Part Number]],DATABASE_FG!$C$6:D12404,2,FALSE)," ")</f>
        <v xml:space="preserve">080814913-8011 </v>
      </c>
      <c r="G2415" s="117">
        <f>IFERROR(_xlfn.XLOOKUP(Table1[[#This Row],[Part Number]],Table3[Part number],Table3[Drawing
 Revision]),"")</f>
        <v>0</v>
      </c>
      <c r="H2415" s="118" cm="1">
        <f t="array" ref="H2415">IFERROR(INDEX(PDB!$C:$AT,MATCH(E2415,PDB!$B:$B,0),MATCH(YEAR(K2415),0+PDB!$C$1:$AT$1,0)),"")</f>
        <v>4.8099999999999996</v>
      </c>
      <c r="I2415" s="36"/>
      <c r="J2415" s="125">
        <f>IFERROR(Table1[[#This Row],[Quantity]]*Table1[[#This Row],[Price/Unit
EUR]]," ")</f>
        <v>0</v>
      </c>
      <c r="K2415" s="126">
        <v>45475</v>
      </c>
      <c r="L2415" s="36">
        <f>WEEKNUM(Table1[[#This Row],[ETA
As requested
dd.mm.yyyy]])</f>
        <v>27</v>
      </c>
      <c r="M2415" s="36">
        <f>YEAR(Table1[[#This Row],[ETA
As requested
dd.mm.yyyy]])</f>
        <v>2024</v>
      </c>
      <c r="N2415" s="36">
        <f>IFERROR(INDEX(DATABASE_FG!$H$5:$H$367, MATCH(E2415, DATABASE_FG!$C$5:$C$367, 0)), " ")</f>
        <v>0</v>
      </c>
      <c r="O2415" s="129" t="str">
        <f>IF(E2415&lt;&gt;"", _xlfn.XLOOKUP(E2415, DATABASE_FG!C:C, DATABASE_FG!F:F), " ")</f>
        <v>Ghidaje</v>
      </c>
      <c r="P2415" s="36">
        <f>IFERROR(INDEX(DATABASE_FG!$G$5:$G$367, MATCH(E2415, DATABASE_FG!$C$5:$C$367, 0)), "Not Found")</f>
        <v>0</v>
      </c>
      <c r="Q2415" s="36"/>
      <c r="R2415" s="125" t="s">
        <v>678</v>
      </c>
      <c r="S2415" s="123">
        <f>Table1[[#This Row],[Quantity]]/48</f>
        <v>0</v>
      </c>
      <c r="T2415" s="36"/>
      <c r="U2415" s="36"/>
      <c r="V2415" s="36"/>
      <c r="W2415" s="129"/>
      <c r="X2415" s="36"/>
      <c r="Y2415" s="36"/>
      <c r="Z2415" s="36"/>
      <c r="AA2415" s="125" t="s">
        <v>121</v>
      </c>
      <c r="AB2415" s="173">
        <v>45478</v>
      </c>
      <c r="AC2415" s="119">
        <v>2024815</v>
      </c>
      <c r="AD2415" s="36">
        <f t="shared" si="268"/>
        <v>37069108</v>
      </c>
      <c r="AE2415" s="36" t="str">
        <f t="shared" si="269"/>
        <v>TK.KWVE30-B-A-S-0038-WW1</v>
      </c>
      <c r="AF2415" s="36">
        <v>55</v>
      </c>
      <c r="AG2415" s="120">
        <f t="shared" si="267"/>
        <v>264.54999999999995</v>
      </c>
      <c r="AH2415" s="36"/>
      <c r="AI2415" s="124"/>
      <c r="AJ2415" s="122" t="s">
        <v>1756</v>
      </c>
      <c r="AK2415" s="129" t="str">
        <f t="shared" ca="1" si="266"/>
        <v>Late</v>
      </c>
      <c r="AL2415" s="268" t="str">
        <f t="shared" si="265"/>
        <v>July</v>
      </c>
      <c r="AM2415" s="133">
        <f>YEAR(Table1[[#This Row],[ETA
As requested
dd.mm.yyyy]])</f>
        <v>2024</v>
      </c>
    </row>
    <row r="2416" spans="1:39" hidden="1">
      <c r="A2416" s="123" t="s">
        <v>83</v>
      </c>
      <c r="B2416" s="36" t="s">
        <v>1170</v>
      </c>
      <c r="C2416" s="117">
        <v>37069108</v>
      </c>
      <c r="D2416" s="165">
        <v>45471</v>
      </c>
      <c r="E2416" s="117" t="s">
        <v>102</v>
      </c>
      <c r="F2416" s="36" t="str">
        <f>IFERROR(VLOOKUP(Table1[[#This Row],[Part Number]],DATABASE_FG!$C$6:D12405,2,FALSE)," ")</f>
        <v xml:space="preserve">080814913-8011 </v>
      </c>
      <c r="G2416" s="117">
        <f>IFERROR(_xlfn.XLOOKUP(Table1[[#This Row],[Part Number]],Table3[Part number],Table3[Drawing
 Revision]),"")</f>
        <v>0</v>
      </c>
      <c r="H2416" s="118" cm="1">
        <f t="array" ref="H2416">IFERROR(INDEX(PDB!$C:$AT,MATCH(E2416,PDB!$B:$B,0),MATCH(YEAR(K2416),0+PDB!$C$1:$AT$1,0)),"")</f>
        <v>4.8099999999999996</v>
      </c>
      <c r="I2416" s="36">
        <v>75</v>
      </c>
      <c r="J2416" s="125">
        <f>IFERROR(Table1[[#This Row],[Quantity]]*Table1[[#This Row],[Price/Unit
EUR]]," ")</f>
        <v>360.74999999999994</v>
      </c>
      <c r="K2416" s="126">
        <v>45477</v>
      </c>
      <c r="L2416" s="36">
        <f>WEEKNUM(Table1[[#This Row],[ETA
As requested
dd.mm.yyyy]])</f>
        <v>27</v>
      </c>
      <c r="M2416" s="36">
        <f>YEAR(Table1[[#This Row],[ETA
As requested
dd.mm.yyyy]])</f>
        <v>2024</v>
      </c>
      <c r="N2416" s="36">
        <f>IFERROR(INDEX(DATABASE_FG!$H$5:$H$367, MATCH(E2416, DATABASE_FG!$C$5:$C$367, 0)), " ")</f>
        <v>0</v>
      </c>
      <c r="O2416" s="129" t="str">
        <f>IF(E2416&lt;&gt;"", _xlfn.XLOOKUP(E2416, DATABASE_FG!C:C, DATABASE_FG!F:F), " ")</f>
        <v>Ghidaje</v>
      </c>
      <c r="P2416" s="36">
        <f>IFERROR(INDEX(DATABASE_FG!$G$5:$G$367, MATCH(E2416, DATABASE_FG!$C$5:$C$367, 0)), "Not Found")</f>
        <v>0</v>
      </c>
      <c r="Q2416" s="36"/>
      <c r="R2416" s="125" t="s">
        <v>678</v>
      </c>
      <c r="S2416" s="123">
        <f>IFERROR(INDEX(DATABASE_FG!$L$5:$L$367, MATCH(E2416, DATABASE_FG!$C$5:$C$367, 0)), " ")</f>
        <v>42</v>
      </c>
      <c r="T2416" s="36" t="s">
        <v>679</v>
      </c>
      <c r="U2416" s="36"/>
      <c r="V2416" s="36"/>
      <c r="W2416" s="129"/>
      <c r="X2416" s="36"/>
      <c r="Y2416" s="36"/>
      <c r="Z2416" s="36">
        <v>242704</v>
      </c>
      <c r="AA2416" s="125" t="s">
        <v>121</v>
      </c>
      <c r="AB2416" s="173">
        <v>45478</v>
      </c>
      <c r="AC2416" s="119">
        <v>2024815</v>
      </c>
      <c r="AD2416" s="36">
        <f t="shared" si="268"/>
        <v>37069108</v>
      </c>
      <c r="AE2416" s="36" t="str">
        <f t="shared" si="269"/>
        <v>TK.KWVE30-B-A-S-0038-WW1</v>
      </c>
      <c r="AF2416" s="36">
        <v>61</v>
      </c>
      <c r="AG2416" s="120">
        <f t="shared" si="267"/>
        <v>293.40999999999997</v>
      </c>
      <c r="AH2416" s="36"/>
      <c r="AI2416" s="124"/>
      <c r="AJ2416" s="122" t="s">
        <v>1756</v>
      </c>
      <c r="AK2416" s="129" t="str">
        <f t="shared" ca="1" si="266"/>
        <v>On Time</v>
      </c>
      <c r="AL2416" s="268" t="str">
        <f t="shared" si="265"/>
        <v>July</v>
      </c>
      <c r="AM2416" s="133">
        <f>YEAR(Table1[[#This Row],[ETA
As requested
dd.mm.yyyy]])</f>
        <v>2024</v>
      </c>
    </row>
    <row r="2417" spans="1:39" hidden="1">
      <c r="A2417" s="123" t="s">
        <v>83</v>
      </c>
      <c r="B2417" s="36" t="s">
        <v>1170</v>
      </c>
      <c r="C2417" s="117">
        <v>37069108</v>
      </c>
      <c r="D2417" s="165">
        <v>45471</v>
      </c>
      <c r="E2417" s="117" t="s">
        <v>102</v>
      </c>
      <c r="F2417" s="36" t="str">
        <f>IFERROR(VLOOKUP(Table1[[#This Row],[Part Number]],DATABASE_FG!$C$6:D12406,2,FALSE)," ")</f>
        <v xml:space="preserve">080814913-8011 </v>
      </c>
      <c r="G2417" s="117">
        <f>IFERROR(_xlfn.XLOOKUP(Table1[[#This Row],[Part Number]],Table3[Part number],Table3[Drawing
 Revision]),"")</f>
        <v>0</v>
      </c>
      <c r="H2417" s="118" cm="1">
        <f t="array" ref="H2417">IFERROR(INDEX(PDB!$C:$AT,MATCH(E2417,PDB!$B:$B,0),MATCH(YEAR(K2417),0+PDB!$C$1:$AT$1,0)),"")</f>
        <v>4.8099999999999996</v>
      </c>
      <c r="I2417" s="36"/>
      <c r="J2417" s="125">
        <f>IFERROR(Table1[[#This Row],[Quantity]]*Table1[[#This Row],[Price/Unit
EUR]]," ")</f>
        <v>0</v>
      </c>
      <c r="K2417" s="126">
        <v>45477</v>
      </c>
      <c r="L2417" s="36">
        <f>WEEKNUM(Table1[[#This Row],[ETA
As requested
dd.mm.yyyy]])</f>
        <v>27</v>
      </c>
      <c r="M2417" s="36">
        <f>YEAR(Table1[[#This Row],[ETA
As requested
dd.mm.yyyy]])</f>
        <v>2024</v>
      </c>
      <c r="N2417" s="36">
        <f>IFERROR(INDEX(DATABASE_FG!$H$5:$H$367, MATCH(E2417, DATABASE_FG!$C$5:$C$367, 0)), " ")</f>
        <v>0</v>
      </c>
      <c r="O2417" s="129" t="str">
        <f>IF(E2417&lt;&gt;"", _xlfn.XLOOKUP(E2417, DATABASE_FG!C:C, DATABASE_FG!F:F), " ")</f>
        <v>Ghidaje</v>
      </c>
      <c r="P2417" s="36">
        <f>IFERROR(INDEX(DATABASE_FG!$G$5:$G$367, MATCH(E2417, DATABASE_FG!$C$5:$C$367, 0)), "Not Found")</f>
        <v>0</v>
      </c>
      <c r="Q2417" s="36"/>
      <c r="R2417" s="125" t="s">
        <v>678</v>
      </c>
      <c r="S2417" s="123">
        <f>Table1[[#This Row],[Quantity]]/48</f>
        <v>0</v>
      </c>
      <c r="T2417" s="36"/>
      <c r="U2417" s="36"/>
      <c r="V2417" s="36"/>
      <c r="W2417" s="129"/>
      <c r="X2417" s="36"/>
      <c r="Y2417" s="36"/>
      <c r="Z2417" s="36"/>
      <c r="AA2417" s="125" t="s">
        <v>121</v>
      </c>
      <c r="AB2417" s="173">
        <v>45481</v>
      </c>
      <c r="AC2417" s="119">
        <v>2024819</v>
      </c>
      <c r="AD2417" s="36">
        <f t="shared" si="268"/>
        <v>37069108</v>
      </c>
      <c r="AE2417" s="36" t="str">
        <f t="shared" si="269"/>
        <v>TK.KWVE30-B-A-S-0038-WW1</v>
      </c>
      <c r="AF2417" s="36">
        <v>14</v>
      </c>
      <c r="AG2417" s="120">
        <f t="shared" si="267"/>
        <v>67.339999999999989</v>
      </c>
      <c r="AH2417" s="36"/>
      <c r="AI2417" s="124"/>
      <c r="AJ2417" s="122" t="s">
        <v>1773</v>
      </c>
      <c r="AK2417" s="129" t="str">
        <f t="shared" ca="1" si="266"/>
        <v>Late</v>
      </c>
      <c r="AL2417" s="268" t="str">
        <f t="shared" si="265"/>
        <v>July</v>
      </c>
      <c r="AM2417" s="133">
        <f>YEAR(Table1[[#This Row],[ETA
As requested
dd.mm.yyyy]])</f>
        <v>2024</v>
      </c>
    </row>
    <row r="2418" spans="1:39" hidden="1">
      <c r="A2418" s="123" t="s">
        <v>83</v>
      </c>
      <c r="B2418" s="36" t="s">
        <v>1170</v>
      </c>
      <c r="C2418" s="117">
        <v>37069118</v>
      </c>
      <c r="D2418" s="165">
        <v>45471</v>
      </c>
      <c r="E2418" s="117" t="s">
        <v>102</v>
      </c>
      <c r="F2418" s="36" t="str">
        <f>IFERROR(VLOOKUP(Table1[[#This Row],[Part Number]],DATABASE_FG!$C$6:D12407,2,FALSE)," ")</f>
        <v xml:space="preserve">080814913-8011 </v>
      </c>
      <c r="G2418" s="117">
        <f>IFERROR(_xlfn.XLOOKUP(Table1[[#This Row],[Part Number]],Table3[Part number],Table3[Drawing
 Revision]),"")</f>
        <v>0</v>
      </c>
      <c r="H2418" s="118" cm="1">
        <f t="array" ref="H2418">IFERROR(INDEX(PDB!$C:$AT,MATCH(E2418,PDB!$B:$B,0),MATCH(YEAR(K2418),0+PDB!$C$1:$AT$1,0)),"")</f>
        <v>4.8099999999999996</v>
      </c>
      <c r="I2418" s="36">
        <v>75</v>
      </c>
      <c r="J2418" s="125">
        <f>IFERROR(Table1[[#This Row],[Quantity]]*Table1[[#This Row],[Price/Unit
EUR]]," ")</f>
        <v>360.74999999999994</v>
      </c>
      <c r="K2418" s="126">
        <v>45482</v>
      </c>
      <c r="L2418" s="36">
        <f>WEEKNUM(Table1[[#This Row],[ETA
As requested
dd.mm.yyyy]])</f>
        <v>28</v>
      </c>
      <c r="M2418" s="36">
        <f>YEAR(Table1[[#This Row],[ETA
As requested
dd.mm.yyyy]])</f>
        <v>2024</v>
      </c>
      <c r="N2418" s="36">
        <f>IFERROR(INDEX(DATABASE_FG!$H$5:$H$367, MATCH(E2418, DATABASE_FG!$C$5:$C$367, 0)), " ")</f>
        <v>0</v>
      </c>
      <c r="O2418" s="129" t="str">
        <f>IF(E2418&lt;&gt;"", _xlfn.XLOOKUP(E2418, DATABASE_FG!C:C, DATABASE_FG!F:F), " ")</f>
        <v>Ghidaje</v>
      </c>
      <c r="P2418" s="36">
        <f>IFERROR(INDEX(DATABASE_FG!$G$5:$G$367, MATCH(E2418, DATABASE_FG!$C$5:$C$367, 0)), "Not Found")</f>
        <v>0</v>
      </c>
      <c r="Q2418" s="36"/>
      <c r="R2418" s="125" t="s">
        <v>678</v>
      </c>
      <c r="S2418" s="123">
        <f>IFERROR(INDEX(DATABASE_FG!$L$5:$L$367, MATCH(E2418, DATABASE_FG!$C$5:$C$367, 0)), " ")</f>
        <v>42</v>
      </c>
      <c r="T2418" s="36" t="s">
        <v>679</v>
      </c>
      <c r="U2418" s="36"/>
      <c r="V2418" s="36"/>
      <c r="W2418" s="129"/>
      <c r="X2418" s="36"/>
      <c r="Y2418" s="36"/>
      <c r="Z2418" s="36">
        <v>242704</v>
      </c>
      <c r="AA2418" s="125" t="s">
        <v>121</v>
      </c>
      <c r="AB2418" s="172">
        <v>45481</v>
      </c>
      <c r="AC2418" s="119">
        <v>2024820</v>
      </c>
      <c r="AD2418" s="36">
        <f t="shared" si="268"/>
        <v>37069118</v>
      </c>
      <c r="AE2418" s="36" t="str">
        <f t="shared" si="269"/>
        <v>TK.KWVE30-B-A-S-0038-WW1</v>
      </c>
      <c r="AF2418" s="36">
        <v>50</v>
      </c>
      <c r="AG2418" s="120">
        <f t="shared" si="267"/>
        <v>240.49999999999997</v>
      </c>
      <c r="AH2418" s="36"/>
      <c r="AI2418" s="124"/>
      <c r="AJ2418" s="122" t="s">
        <v>1798</v>
      </c>
      <c r="AK2418" s="129" t="str">
        <f t="shared" ca="1" si="266"/>
        <v>On Time</v>
      </c>
      <c r="AL2418" s="268" t="str">
        <f t="shared" si="265"/>
        <v>July</v>
      </c>
      <c r="AM2418" s="133">
        <f>YEAR(Table1[[#This Row],[ETA
As requested
dd.mm.yyyy]])</f>
        <v>2024</v>
      </c>
    </row>
    <row r="2419" spans="1:39" hidden="1">
      <c r="A2419" s="123" t="s">
        <v>83</v>
      </c>
      <c r="B2419" s="36" t="s">
        <v>1170</v>
      </c>
      <c r="C2419" s="117">
        <v>37069118</v>
      </c>
      <c r="D2419" s="165">
        <v>45471</v>
      </c>
      <c r="E2419" s="117" t="s">
        <v>102</v>
      </c>
      <c r="F2419" s="36" t="str">
        <f>IFERROR(VLOOKUP(Table1[[#This Row],[Part Number]],DATABASE_FG!$C$6:D12408,2,FALSE)," ")</f>
        <v xml:space="preserve">080814913-8011 </v>
      </c>
      <c r="G2419" s="117">
        <f>IFERROR(_xlfn.XLOOKUP(Table1[[#This Row],[Part Number]],Table3[Part number],Table3[Drawing
 Revision]),"")</f>
        <v>0</v>
      </c>
      <c r="H2419" s="118" cm="1">
        <f t="array" ref="H2419">IFERROR(INDEX(PDB!$C:$AT,MATCH(E2419,PDB!$B:$B,0),MATCH(YEAR(K2419),0+PDB!$C$1:$AT$1,0)),"")</f>
        <v>4.8099999999999996</v>
      </c>
      <c r="I2419" s="36"/>
      <c r="J2419" s="125">
        <f>IFERROR(Table1[[#This Row],[Quantity]]*Table1[[#This Row],[Price/Unit
EUR]]," ")</f>
        <v>0</v>
      </c>
      <c r="K2419" s="126">
        <v>45482</v>
      </c>
      <c r="L2419" s="36">
        <f>WEEKNUM(Table1[[#This Row],[ETA
As requested
dd.mm.yyyy]])</f>
        <v>28</v>
      </c>
      <c r="M2419" s="36">
        <f>YEAR(Table1[[#This Row],[ETA
As requested
dd.mm.yyyy]])</f>
        <v>2024</v>
      </c>
      <c r="N2419" s="36">
        <f>IFERROR(INDEX(DATABASE_FG!$H$5:$H$367, MATCH(E2419, DATABASE_FG!$C$5:$C$367, 0)), " ")</f>
        <v>0</v>
      </c>
      <c r="O2419" s="129" t="str">
        <f>IF(E2419&lt;&gt;"", _xlfn.XLOOKUP(E2419, DATABASE_FG!C:C, DATABASE_FG!F:F), " ")</f>
        <v>Ghidaje</v>
      </c>
      <c r="P2419" s="36">
        <f>IFERROR(INDEX(DATABASE_FG!$G$5:$G$367, MATCH(E2419, DATABASE_FG!$C$5:$C$367, 0)), "Not Found")</f>
        <v>0</v>
      </c>
      <c r="Q2419" s="36"/>
      <c r="R2419" s="125" t="s">
        <v>678</v>
      </c>
      <c r="S2419" s="123">
        <f>Table1[[#This Row],[Quantity]]/48</f>
        <v>0</v>
      </c>
      <c r="T2419" s="36"/>
      <c r="U2419" s="36"/>
      <c r="V2419" s="36"/>
      <c r="W2419" s="129"/>
      <c r="X2419" s="36"/>
      <c r="Y2419" s="36"/>
      <c r="Z2419" s="36"/>
      <c r="AA2419" s="125" t="s">
        <v>121</v>
      </c>
      <c r="AB2419" s="172">
        <v>45485</v>
      </c>
      <c r="AC2419" s="119">
        <v>2024843</v>
      </c>
      <c r="AD2419" s="36">
        <f t="shared" si="268"/>
        <v>37069118</v>
      </c>
      <c r="AE2419" s="36" t="str">
        <f t="shared" si="269"/>
        <v>TK.KWVE30-B-A-S-0038-WW1</v>
      </c>
      <c r="AF2419" s="36">
        <v>25</v>
      </c>
      <c r="AG2419" s="120">
        <f t="shared" si="267"/>
        <v>120.24999999999999</v>
      </c>
      <c r="AH2419" s="36"/>
      <c r="AI2419" s="124"/>
      <c r="AJ2419" s="122" t="s">
        <v>1804</v>
      </c>
      <c r="AK2419" s="129" t="str">
        <f t="shared" ca="1" si="266"/>
        <v>Late</v>
      </c>
      <c r="AL2419" s="268" t="str">
        <f t="shared" si="265"/>
        <v>July</v>
      </c>
      <c r="AM2419" s="133">
        <f>YEAR(Table1[[#This Row],[ETA
As requested
dd.mm.yyyy]])</f>
        <v>2024</v>
      </c>
    </row>
    <row r="2420" spans="1:39" hidden="1">
      <c r="A2420" s="123" t="s">
        <v>83</v>
      </c>
      <c r="B2420" s="36" t="s">
        <v>1170</v>
      </c>
      <c r="C2420" s="117">
        <v>37069118</v>
      </c>
      <c r="D2420" s="165">
        <v>45471</v>
      </c>
      <c r="E2420" s="117" t="s">
        <v>102</v>
      </c>
      <c r="F2420" s="36" t="str">
        <f>IFERROR(VLOOKUP(Table1[[#This Row],[Part Number]],DATABASE_FG!$C$6:D12409,2,FALSE)," ")</f>
        <v xml:space="preserve">080814913-8011 </v>
      </c>
      <c r="G2420" s="117">
        <f>IFERROR(_xlfn.XLOOKUP(Table1[[#This Row],[Part Number]],Table3[Part number],Table3[Drawing
 Revision]),"")</f>
        <v>0</v>
      </c>
      <c r="H2420" s="118" cm="1">
        <f t="array" ref="H2420">IFERROR(INDEX(PDB!$C:$AT,MATCH(E2420,PDB!$B:$B,0),MATCH(YEAR(K2420),0+PDB!$C$1:$AT$1,0)),"")</f>
        <v>4.8099999999999996</v>
      </c>
      <c r="I2420" s="36">
        <v>75</v>
      </c>
      <c r="J2420" s="125">
        <f>IFERROR(Table1[[#This Row],[Quantity]]*Table1[[#This Row],[Price/Unit
EUR]]," ")</f>
        <v>360.74999999999994</v>
      </c>
      <c r="K2420" s="126">
        <v>45484</v>
      </c>
      <c r="L2420" s="36">
        <f>WEEKNUM(Table1[[#This Row],[ETA
As requested
dd.mm.yyyy]])</f>
        <v>28</v>
      </c>
      <c r="M2420" s="36">
        <f>YEAR(Table1[[#This Row],[ETA
As requested
dd.mm.yyyy]])</f>
        <v>2024</v>
      </c>
      <c r="N2420" s="36">
        <f>IFERROR(INDEX(DATABASE_FG!$H$5:$H$367, MATCH(E2420, DATABASE_FG!$C$5:$C$367, 0)), " ")</f>
        <v>0</v>
      </c>
      <c r="O2420" s="129" t="str">
        <f>IF(E2420&lt;&gt;"", _xlfn.XLOOKUP(E2420, DATABASE_FG!C:C, DATABASE_FG!F:F), " ")</f>
        <v>Ghidaje</v>
      </c>
      <c r="P2420" s="36">
        <f>IFERROR(INDEX(DATABASE_FG!$G$5:$G$367, MATCH(E2420, DATABASE_FG!$C$5:$C$367, 0)), "Not Found")</f>
        <v>0</v>
      </c>
      <c r="Q2420" s="36"/>
      <c r="R2420" s="125" t="s">
        <v>678</v>
      </c>
      <c r="S2420" s="123">
        <f>IFERROR(INDEX(DATABASE_FG!$L$5:$L$367, MATCH(E2420, DATABASE_FG!$C$5:$C$367, 0)), " ")</f>
        <v>42</v>
      </c>
      <c r="T2420" s="36" t="s">
        <v>679</v>
      </c>
      <c r="U2420" s="36"/>
      <c r="V2420" s="36"/>
      <c r="W2420" s="129"/>
      <c r="X2420" s="36"/>
      <c r="Y2420" s="36"/>
      <c r="Z2420" s="36">
        <v>242704</v>
      </c>
      <c r="AA2420" s="125" t="s">
        <v>121</v>
      </c>
      <c r="AB2420" s="172">
        <v>45485</v>
      </c>
      <c r="AC2420" s="119">
        <v>2024843</v>
      </c>
      <c r="AD2420" s="36">
        <f t="shared" si="268"/>
        <v>37069118</v>
      </c>
      <c r="AE2420" s="36" t="str">
        <f t="shared" si="269"/>
        <v>TK.KWVE30-B-A-S-0038-WW1</v>
      </c>
      <c r="AF2420" s="36">
        <v>75</v>
      </c>
      <c r="AG2420" s="120">
        <f t="shared" si="267"/>
        <v>360.74999999999994</v>
      </c>
      <c r="AH2420" s="36"/>
      <c r="AI2420" s="124"/>
      <c r="AJ2420" s="122" t="s">
        <v>1804</v>
      </c>
      <c r="AK2420" s="129" t="str">
        <f t="shared" ca="1" si="266"/>
        <v>On Time</v>
      </c>
      <c r="AL2420" s="268" t="str">
        <f t="shared" si="265"/>
        <v>July</v>
      </c>
      <c r="AM2420" s="133">
        <f>YEAR(Table1[[#This Row],[ETA
As requested
dd.mm.yyyy]])</f>
        <v>2024</v>
      </c>
    </row>
    <row r="2421" spans="1:39" hidden="1">
      <c r="A2421" s="123" t="s">
        <v>83</v>
      </c>
      <c r="B2421" s="36" t="s">
        <v>1170</v>
      </c>
      <c r="C2421" s="117">
        <v>37069129</v>
      </c>
      <c r="D2421" s="165">
        <v>45471</v>
      </c>
      <c r="E2421" s="117" t="s">
        <v>102</v>
      </c>
      <c r="F2421" s="36" t="str">
        <f>IFERROR(VLOOKUP(Table1[[#This Row],[Part Number]],DATABASE_FG!$C$6:D12410,2,FALSE)," ")</f>
        <v xml:space="preserve">080814913-8011 </v>
      </c>
      <c r="G2421" s="117">
        <f>IFERROR(_xlfn.XLOOKUP(Table1[[#This Row],[Part Number]],Table3[Part number],Table3[Drawing
 Revision]),"")</f>
        <v>0</v>
      </c>
      <c r="H2421" s="118" cm="1">
        <f t="array" ref="H2421">IFERROR(INDEX(PDB!$C:$AT,MATCH(E2421,PDB!$B:$B,0),MATCH(YEAR(K2421),0+PDB!$C$1:$AT$1,0)),"")</f>
        <v>4.8099999999999996</v>
      </c>
      <c r="I2421" s="36">
        <v>75</v>
      </c>
      <c r="J2421" s="125">
        <f>IFERROR(Table1[[#This Row],[Quantity]]*Table1[[#This Row],[Price/Unit
EUR]]," ")</f>
        <v>360.74999999999994</v>
      </c>
      <c r="K2421" s="126">
        <v>45489</v>
      </c>
      <c r="L2421" s="36">
        <f>WEEKNUM(Table1[[#This Row],[ETA
As requested
dd.mm.yyyy]])</f>
        <v>29</v>
      </c>
      <c r="M2421" s="36">
        <f>YEAR(Table1[[#This Row],[ETA
As requested
dd.mm.yyyy]])</f>
        <v>2024</v>
      </c>
      <c r="N2421" s="36">
        <f>IFERROR(INDEX(DATABASE_FG!$H$5:$H$367, MATCH(E2421, DATABASE_FG!$C$5:$C$367, 0)), " ")</f>
        <v>0</v>
      </c>
      <c r="O2421" s="129" t="str">
        <f>IF(E2421&lt;&gt;"", _xlfn.XLOOKUP(E2421, DATABASE_FG!C:C, DATABASE_FG!F:F), " ")</f>
        <v>Ghidaje</v>
      </c>
      <c r="P2421" s="36">
        <f>IFERROR(INDEX(DATABASE_FG!$G$5:$G$367, MATCH(E2421, DATABASE_FG!$C$5:$C$367, 0)), "Not Found")</f>
        <v>0</v>
      </c>
      <c r="Q2421" s="36"/>
      <c r="R2421" s="125" t="s">
        <v>678</v>
      </c>
      <c r="S2421" s="123">
        <f>IFERROR(INDEX(DATABASE_FG!$L$5:$L$367, MATCH(E2421, DATABASE_FG!$C$5:$C$367, 0)), " ")</f>
        <v>42</v>
      </c>
      <c r="T2421" s="36" t="s">
        <v>679</v>
      </c>
      <c r="U2421" s="36"/>
      <c r="V2421" s="36"/>
      <c r="W2421" s="129"/>
      <c r="X2421" s="36"/>
      <c r="Y2421" s="36"/>
      <c r="Z2421" s="36">
        <v>242715</v>
      </c>
      <c r="AA2421" s="125" t="s">
        <v>121</v>
      </c>
      <c r="AB2421" s="172">
        <v>45485</v>
      </c>
      <c r="AC2421" s="119">
        <v>2024844</v>
      </c>
      <c r="AD2421" s="36">
        <f t="shared" si="268"/>
        <v>37069129</v>
      </c>
      <c r="AE2421" s="36" t="str">
        <f t="shared" si="269"/>
        <v>TK.KWVE30-B-A-S-0038-WW1</v>
      </c>
      <c r="AF2421" s="36">
        <v>52</v>
      </c>
      <c r="AG2421" s="120">
        <f t="shared" si="267"/>
        <v>250.11999999999998</v>
      </c>
      <c r="AH2421" s="36"/>
      <c r="AI2421" s="124"/>
      <c r="AJ2421" s="122" t="s">
        <v>1841</v>
      </c>
      <c r="AK2421" s="129" t="str">
        <f t="shared" ca="1" si="266"/>
        <v>On Time</v>
      </c>
      <c r="AL2421" s="268" t="str">
        <f t="shared" ref="AL2421:AL2484" si="270">TEXT(K2421,"mmmm")</f>
        <v>July</v>
      </c>
      <c r="AM2421" s="133">
        <f>YEAR(Table1[[#This Row],[ETA
As requested
dd.mm.yyyy]])</f>
        <v>2024</v>
      </c>
    </row>
    <row r="2422" spans="1:39" hidden="1">
      <c r="A2422" s="123" t="s">
        <v>83</v>
      </c>
      <c r="B2422" s="36" t="s">
        <v>1170</v>
      </c>
      <c r="C2422" s="117">
        <v>37069129</v>
      </c>
      <c r="D2422" s="165">
        <v>45471</v>
      </c>
      <c r="E2422" s="117" t="s">
        <v>102</v>
      </c>
      <c r="F2422" s="36" t="str">
        <f>IFERROR(VLOOKUP(Table1[[#This Row],[Part Number]],DATABASE_FG!$C$6:D12411,2,FALSE)," ")</f>
        <v xml:space="preserve">080814913-8011 </v>
      </c>
      <c r="G2422" s="117">
        <f>IFERROR(_xlfn.XLOOKUP(Table1[[#This Row],[Part Number]],Table3[Part number],Table3[Drawing
 Revision]),"")</f>
        <v>0</v>
      </c>
      <c r="H2422" s="118" cm="1">
        <f t="array" ref="H2422">IFERROR(INDEX(PDB!$C:$AT,MATCH(E2422,PDB!$B:$B,0),MATCH(YEAR(K2422),0+PDB!$C$1:$AT$1,0)),"")</f>
        <v>4.8099999999999996</v>
      </c>
      <c r="I2422" s="36"/>
      <c r="J2422" s="125">
        <f>IFERROR(Table1[[#This Row],[Quantity]]*Table1[[#This Row],[Price/Unit
EUR]]," ")</f>
        <v>0</v>
      </c>
      <c r="K2422" s="126">
        <v>45489</v>
      </c>
      <c r="L2422" s="36">
        <f>WEEKNUM(Table1[[#This Row],[ETA
As requested
dd.mm.yyyy]])</f>
        <v>29</v>
      </c>
      <c r="M2422" s="36">
        <f>YEAR(Table1[[#This Row],[ETA
As requested
dd.mm.yyyy]])</f>
        <v>2024</v>
      </c>
      <c r="N2422" s="36">
        <f>IFERROR(INDEX(DATABASE_FG!$H$5:$H$367, MATCH(E2422, DATABASE_FG!$C$5:$C$367, 0)), " ")</f>
        <v>0</v>
      </c>
      <c r="O2422" s="129" t="str">
        <f>IF(E2422&lt;&gt;"", _xlfn.XLOOKUP(E2422, DATABASE_FG!C:C, DATABASE_FG!F:F), " ")</f>
        <v>Ghidaje</v>
      </c>
      <c r="P2422" s="36">
        <f>IFERROR(INDEX(DATABASE_FG!$G$5:$G$367, MATCH(E2422, DATABASE_FG!$C$5:$C$367, 0)), "Not Found")</f>
        <v>0</v>
      </c>
      <c r="Q2422" s="36"/>
      <c r="R2422" s="125" t="s">
        <v>678</v>
      </c>
      <c r="S2422" s="123">
        <f>Table1[[#This Row],[Quantity]]/48</f>
        <v>0</v>
      </c>
      <c r="T2422" s="36"/>
      <c r="U2422" s="36"/>
      <c r="V2422" s="36"/>
      <c r="W2422" s="129"/>
      <c r="X2422" s="36"/>
      <c r="Y2422" s="36"/>
      <c r="Z2422" s="36"/>
      <c r="AA2422" s="125" t="s">
        <v>121</v>
      </c>
      <c r="AB2422" s="172">
        <v>45491</v>
      </c>
      <c r="AC2422" s="119">
        <v>2024874</v>
      </c>
      <c r="AD2422" s="36">
        <f t="shared" si="268"/>
        <v>37069129</v>
      </c>
      <c r="AE2422" s="36" t="str">
        <f t="shared" si="269"/>
        <v>TK.KWVE30-B-A-S-0038-WW1</v>
      </c>
      <c r="AF2422" s="36">
        <v>23</v>
      </c>
      <c r="AG2422" s="120">
        <f t="shared" si="267"/>
        <v>110.63</v>
      </c>
      <c r="AH2422" s="36"/>
      <c r="AI2422" s="124"/>
      <c r="AJ2422" s="122" t="s">
        <v>1843</v>
      </c>
      <c r="AK2422" s="129" t="str">
        <f t="shared" ca="1" si="266"/>
        <v>On Time</v>
      </c>
      <c r="AL2422" s="268" t="str">
        <f t="shared" si="270"/>
        <v>July</v>
      </c>
      <c r="AM2422" s="133">
        <f>YEAR(Table1[[#This Row],[ETA
As requested
dd.mm.yyyy]])</f>
        <v>2024</v>
      </c>
    </row>
    <row r="2423" spans="1:39" hidden="1">
      <c r="A2423" s="123" t="s">
        <v>83</v>
      </c>
      <c r="B2423" s="36" t="s">
        <v>1170</v>
      </c>
      <c r="C2423" s="117">
        <v>37069129</v>
      </c>
      <c r="D2423" s="165">
        <v>45471</v>
      </c>
      <c r="E2423" s="117" t="s">
        <v>102</v>
      </c>
      <c r="F2423" s="36" t="str">
        <f>IFERROR(VLOOKUP(Table1[[#This Row],[Part Number]],DATABASE_FG!$C$6:D12412,2,FALSE)," ")</f>
        <v xml:space="preserve">080814913-8011 </v>
      </c>
      <c r="G2423" s="117">
        <f>IFERROR(_xlfn.XLOOKUP(Table1[[#This Row],[Part Number]],Table3[Part number],Table3[Drawing
 Revision]),"")</f>
        <v>0</v>
      </c>
      <c r="H2423" s="118" cm="1">
        <f t="array" ref="H2423">IFERROR(INDEX(PDB!$C:$AT,MATCH(E2423,PDB!$B:$B,0),MATCH(YEAR(K2423),0+PDB!$C$1:$AT$1,0)),"")</f>
        <v>4.8099999999999996</v>
      </c>
      <c r="I2423" s="36">
        <v>75</v>
      </c>
      <c r="J2423" s="125">
        <f>IFERROR(Table1[[#This Row],[Quantity]]*Table1[[#This Row],[Price/Unit
EUR]]," ")</f>
        <v>360.74999999999994</v>
      </c>
      <c r="K2423" s="126">
        <v>45491</v>
      </c>
      <c r="L2423" s="36">
        <f>WEEKNUM(Table1[[#This Row],[ETA
As requested
dd.mm.yyyy]])</f>
        <v>29</v>
      </c>
      <c r="M2423" s="36">
        <f>YEAR(Table1[[#This Row],[ETA
As requested
dd.mm.yyyy]])</f>
        <v>2024</v>
      </c>
      <c r="N2423" s="36">
        <f>IFERROR(INDEX(DATABASE_FG!$H$5:$H$367, MATCH(E2423, DATABASE_FG!$C$5:$C$367, 0)), " ")</f>
        <v>0</v>
      </c>
      <c r="O2423" s="129" t="str">
        <f>IF(E2423&lt;&gt;"", _xlfn.XLOOKUP(E2423, DATABASE_FG!C:C, DATABASE_FG!F:F), " ")</f>
        <v>Ghidaje</v>
      </c>
      <c r="P2423" s="36">
        <f>IFERROR(INDEX(DATABASE_FG!$G$5:$G$367, MATCH(E2423, DATABASE_FG!$C$5:$C$367, 0)), "Not Found")</f>
        <v>0</v>
      </c>
      <c r="Q2423" s="36"/>
      <c r="R2423" s="125" t="s">
        <v>678</v>
      </c>
      <c r="S2423" s="123">
        <f>IFERROR(INDEX(DATABASE_FG!$L$5:$L$367, MATCH(E2423, DATABASE_FG!$C$5:$C$367, 0)), " ")</f>
        <v>42</v>
      </c>
      <c r="T2423" s="36" t="s">
        <v>679</v>
      </c>
      <c r="U2423" s="36"/>
      <c r="V2423" s="36"/>
      <c r="W2423" s="129"/>
      <c r="X2423" s="36"/>
      <c r="Y2423" s="36"/>
      <c r="Z2423" s="36">
        <v>242715</v>
      </c>
      <c r="AA2423" s="125" t="s">
        <v>121</v>
      </c>
      <c r="AB2423" s="172">
        <v>45491</v>
      </c>
      <c r="AC2423" s="119">
        <v>2024874</v>
      </c>
      <c r="AD2423" s="36">
        <f t="shared" si="268"/>
        <v>37069129</v>
      </c>
      <c r="AE2423" s="36" t="str">
        <f t="shared" si="269"/>
        <v>TK.KWVE30-B-A-S-0038-WW1</v>
      </c>
      <c r="AF2423" s="36">
        <v>75</v>
      </c>
      <c r="AG2423" s="120">
        <f t="shared" si="267"/>
        <v>360.74999999999994</v>
      </c>
      <c r="AH2423" s="36"/>
      <c r="AI2423" s="124"/>
      <c r="AJ2423" s="122" t="s">
        <v>1843</v>
      </c>
      <c r="AK2423" s="129" t="str">
        <f t="shared" ca="1" si="266"/>
        <v>On Time</v>
      </c>
      <c r="AL2423" s="268" t="str">
        <f t="shared" si="270"/>
        <v>July</v>
      </c>
      <c r="AM2423" s="133">
        <f>YEAR(Table1[[#This Row],[ETA
As requested
dd.mm.yyyy]])</f>
        <v>2024</v>
      </c>
    </row>
    <row r="2424" spans="1:39" hidden="1">
      <c r="A2424" s="123" t="s">
        <v>83</v>
      </c>
      <c r="B2424" s="36" t="s">
        <v>1170</v>
      </c>
      <c r="C2424" s="117">
        <v>37327735</v>
      </c>
      <c r="D2424" s="165">
        <v>45497</v>
      </c>
      <c r="E2424" s="117" t="s">
        <v>102</v>
      </c>
      <c r="F2424" s="36" t="str">
        <f>IFERROR(VLOOKUP(Table1[[#This Row],[Part Number]],DATABASE_FG!$C$6:D12413,2,FALSE)," ")</f>
        <v xml:space="preserve">080814913-8011 </v>
      </c>
      <c r="G2424" s="117">
        <f>IFERROR(_xlfn.XLOOKUP(Table1[[#This Row],[Part Number]],Table3[Part number],Table3[Drawing
 Revision]),"")</f>
        <v>0</v>
      </c>
      <c r="H2424" s="118" cm="1">
        <f t="array" ref="H2424">IFERROR(INDEX(PDB!$C:$AT,MATCH(E2424,PDB!$B:$B,0),MATCH(YEAR(K2424),0+PDB!$C$1:$AT$1,0)),"")</f>
        <v>4.8099999999999996</v>
      </c>
      <c r="I2424" s="36">
        <v>100</v>
      </c>
      <c r="J2424" s="125">
        <f>IFERROR(Table1[[#This Row],[Quantity]]*Table1[[#This Row],[Price/Unit
EUR]]," ")</f>
        <v>480.99999999999994</v>
      </c>
      <c r="K2424" s="126">
        <v>45510</v>
      </c>
      <c r="L2424" s="36">
        <f>WEEKNUM(Table1[[#This Row],[ETA
As requested
dd.mm.yyyy]])</f>
        <v>32</v>
      </c>
      <c r="M2424" s="36">
        <f>YEAR(Table1[[#This Row],[ETA
As requested
dd.mm.yyyy]])</f>
        <v>2024</v>
      </c>
      <c r="N2424" s="36">
        <f>IFERROR(INDEX(DATABASE_FG!$H$5:$H$367, MATCH(E2424, DATABASE_FG!$C$5:$C$367, 0)), " ")</f>
        <v>0</v>
      </c>
      <c r="O2424" s="129" t="str">
        <f>IF(E2424&lt;&gt;"", _xlfn.XLOOKUP(E2424, DATABASE_FG!C:C, DATABASE_FG!F:F), " ")</f>
        <v>Ghidaje</v>
      </c>
      <c r="P2424" s="36">
        <f>IFERROR(INDEX(DATABASE_FG!$G$5:$G$367, MATCH(E2424, DATABASE_FG!$C$5:$C$367, 0)), "Not Found")</f>
        <v>0</v>
      </c>
      <c r="Q2424" s="36"/>
      <c r="R2424" s="125" t="s">
        <v>678</v>
      </c>
      <c r="S2424" s="123">
        <f>IFERROR(INDEX(DATABASE_FG!$L$5:$L$367, MATCH(E2424, DATABASE_FG!$C$5:$C$367, 0)), " ")</f>
        <v>42</v>
      </c>
      <c r="T2424" s="36" t="s">
        <v>679</v>
      </c>
      <c r="U2424" s="36"/>
      <c r="V2424" s="36"/>
      <c r="W2424" s="129"/>
      <c r="X2424" s="36"/>
      <c r="Y2424" s="36"/>
      <c r="Z2424" s="36"/>
      <c r="AA2424" s="125" t="s">
        <v>121</v>
      </c>
      <c r="AB2424" s="172">
        <v>45510</v>
      </c>
      <c r="AC2424" s="119">
        <v>2024985</v>
      </c>
      <c r="AD2424" s="36">
        <f t="shared" si="268"/>
        <v>37327735</v>
      </c>
      <c r="AE2424" s="36" t="str">
        <f t="shared" si="269"/>
        <v>TK.KWVE30-B-A-S-0038-WW1</v>
      </c>
      <c r="AF2424" s="36">
        <v>100</v>
      </c>
      <c r="AG2424" s="120">
        <f t="shared" si="267"/>
        <v>480.99999999999994</v>
      </c>
      <c r="AH2424" s="36"/>
      <c r="AI2424" s="124"/>
      <c r="AJ2424" s="122" t="s">
        <v>1907</v>
      </c>
      <c r="AK2424" s="129" t="str">
        <f t="shared" ref="AK2424:AK2487" ca="1" si="271">IF(AB2424="", IF(K2424 &lt; TODAY(), "Late", ""), IF(AB2424 &lt;= K2424 + 2, "On Time", "Late"))</f>
        <v>On Time</v>
      </c>
      <c r="AL2424" s="268" t="str">
        <f t="shared" si="270"/>
        <v>August</v>
      </c>
      <c r="AM2424" s="133">
        <f>YEAR(Table1[[#This Row],[ETA
As requested
dd.mm.yyyy]])</f>
        <v>2024</v>
      </c>
    </row>
    <row r="2425" spans="1:39" hidden="1">
      <c r="A2425" s="123" t="s">
        <v>83</v>
      </c>
      <c r="B2425" s="36" t="s">
        <v>1170</v>
      </c>
      <c r="C2425" s="117">
        <v>37327739</v>
      </c>
      <c r="D2425" s="165">
        <v>45497</v>
      </c>
      <c r="E2425" s="117" t="s">
        <v>102</v>
      </c>
      <c r="F2425" s="36" t="str">
        <f>IFERROR(VLOOKUP(Table1[[#This Row],[Part Number]],DATABASE_FG!$C$6:D12414,2,FALSE)," ")</f>
        <v xml:space="preserve">080814913-8011 </v>
      </c>
      <c r="G2425" s="117">
        <f>IFERROR(_xlfn.XLOOKUP(Table1[[#This Row],[Part Number]],Table3[Part number],Table3[Drawing
 Revision]),"")</f>
        <v>0</v>
      </c>
      <c r="H2425" s="118" cm="1">
        <f t="array" ref="H2425">IFERROR(INDEX(PDB!$C:$AT,MATCH(E2425,PDB!$B:$B,0),MATCH(YEAR(K2425),0+PDB!$C$1:$AT$1,0)),"")</f>
        <v>4.8099999999999996</v>
      </c>
      <c r="I2425" s="36">
        <v>100</v>
      </c>
      <c r="J2425" s="125">
        <f>IFERROR(Table1[[#This Row],[Quantity]]*Table1[[#This Row],[Price/Unit
EUR]]," ")</f>
        <v>480.99999999999994</v>
      </c>
      <c r="K2425" s="126">
        <v>45517</v>
      </c>
      <c r="L2425" s="36">
        <f>WEEKNUM(Table1[[#This Row],[ETA
As requested
dd.mm.yyyy]])</f>
        <v>33</v>
      </c>
      <c r="M2425" s="36">
        <f>YEAR(Table1[[#This Row],[ETA
As requested
dd.mm.yyyy]])</f>
        <v>2024</v>
      </c>
      <c r="N2425" s="36">
        <f>IFERROR(INDEX(DATABASE_FG!$H$5:$H$367, MATCH(E2425, DATABASE_FG!$C$5:$C$367, 0)), " ")</f>
        <v>0</v>
      </c>
      <c r="O2425" s="129" t="str">
        <f>IF(E2425&lt;&gt;"", _xlfn.XLOOKUP(E2425, DATABASE_FG!C:C, DATABASE_FG!F:F), " ")</f>
        <v>Ghidaje</v>
      </c>
      <c r="P2425" s="36">
        <f>IFERROR(INDEX(DATABASE_FG!$G$5:$G$367, MATCH(E2425, DATABASE_FG!$C$5:$C$367, 0)), "Not Found")</f>
        <v>0</v>
      </c>
      <c r="Q2425" s="36"/>
      <c r="R2425" s="125" t="s">
        <v>678</v>
      </c>
      <c r="S2425" s="123">
        <f>IFERROR(INDEX(DATABASE_FG!$L$5:$L$367, MATCH(E2425, DATABASE_FG!$C$5:$C$367, 0)), " ")</f>
        <v>42</v>
      </c>
      <c r="T2425" s="36" t="s">
        <v>679</v>
      </c>
      <c r="U2425" s="36"/>
      <c r="V2425" s="36"/>
      <c r="W2425" s="129"/>
      <c r="X2425" s="36"/>
      <c r="Y2425" s="36"/>
      <c r="Z2425" s="36"/>
      <c r="AA2425" s="125" t="s">
        <v>121</v>
      </c>
      <c r="AB2425" s="172">
        <v>45513</v>
      </c>
      <c r="AC2425" s="119">
        <v>202401008</v>
      </c>
      <c r="AD2425" s="36">
        <f t="shared" si="268"/>
        <v>37327739</v>
      </c>
      <c r="AE2425" s="36" t="str">
        <f t="shared" si="269"/>
        <v>TK.KWVE30-B-A-S-0038-WW1</v>
      </c>
      <c r="AF2425" s="36">
        <v>100</v>
      </c>
      <c r="AG2425" s="120">
        <f t="shared" si="267"/>
        <v>480.99999999999994</v>
      </c>
      <c r="AH2425" s="36"/>
      <c r="AI2425" s="124"/>
      <c r="AJ2425" s="122" t="s">
        <v>1943</v>
      </c>
      <c r="AK2425" s="129" t="str">
        <f t="shared" ca="1" si="271"/>
        <v>On Time</v>
      </c>
      <c r="AL2425" s="268" t="str">
        <f t="shared" si="270"/>
        <v>August</v>
      </c>
      <c r="AM2425" s="133">
        <f>YEAR(Table1[[#This Row],[ETA
As requested
dd.mm.yyyy]])</f>
        <v>2024</v>
      </c>
    </row>
    <row r="2426" spans="1:39" hidden="1">
      <c r="A2426" s="123" t="s">
        <v>83</v>
      </c>
      <c r="B2426" s="36" t="s">
        <v>1170</v>
      </c>
      <c r="C2426" s="117">
        <v>37672788</v>
      </c>
      <c r="D2426" s="165">
        <v>45553</v>
      </c>
      <c r="E2426" s="117" t="s">
        <v>102</v>
      </c>
      <c r="F2426" s="36" t="str">
        <f>IFERROR(VLOOKUP(Table1[[#This Row],[Part Number]],DATABASE_FG!$C$6:D12415,2,FALSE)," ")</f>
        <v xml:space="preserve">080814913-8011 </v>
      </c>
      <c r="G2426" s="117">
        <f>IFERROR(_xlfn.XLOOKUP(Table1[[#This Row],[Part Number]],Table3[Part number],Table3[Drawing
 Revision]),"")</f>
        <v>0</v>
      </c>
      <c r="H2426" s="118" cm="1">
        <f t="array" ref="H2426">IFERROR(INDEX(PDB!$C:$AT,MATCH(E2426,PDB!$B:$B,0),MATCH(YEAR(K2426),0+PDB!$C$1:$AT$1,0)),"")</f>
        <v>4.8099999999999996</v>
      </c>
      <c r="I2426" s="36">
        <v>200</v>
      </c>
      <c r="J2426" s="125">
        <f>IFERROR(Table1[[#This Row],[Quantity]]*Table1[[#This Row],[Price/Unit
EUR]]," ")</f>
        <v>961.99999999999989</v>
      </c>
      <c r="K2426" s="126">
        <v>45566</v>
      </c>
      <c r="L2426" s="36">
        <f>WEEKNUM(Table1[[#This Row],[ETA
As requested
dd.mm.yyyy]])</f>
        <v>40</v>
      </c>
      <c r="M2426" s="36">
        <f>YEAR(Table1[[#This Row],[ETA
As requested
dd.mm.yyyy]])</f>
        <v>2024</v>
      </c>
      <c r="N2426" s="36">
        <f>IFERROR(INDEX(DATABASE_FG!$H$5:$H$367, MATCH(E2426, DATABASE_FG!$C$5:$C$367, 0)), " ")</f>
        <v>0</v>
      </c>
      <c r="O2426" s="129" t="str">
        <f>IF(E2426&lt;&gt;"", _xlfn.XLOOKUP(E2426, DATABASE_FG!C:C, DATABASE_FG!F:F), " ")</f>
        <v>Ghidaje</v>
      </c>
      <c r="P2426" s="36">
        <f>IFERROR(INDEX(DATABASE_FG!$G$5:$G$367, MATCH(E2426, DATABASE_FG!$C$5:$C$367, 0)), "Not Found")</f>
        <v>0</v>
      </c>
      <c r="Q2426" s="36"/>
      <c r="R2426" s="125" t="s">
        <v>678</v>
      </c>
      <c r="S2426" s="123">
        <f>IFERROR(INDEX(DATABASE_FG!$L$5:$L$367, MATCH(E2426, DATABASE_FG!$C$5:$C$367, 0)), " ")</f>
        <v>42</v>
      </c>
      <c r="T2426" s="36"/>
      <c r="U2426" s="36"/>
      <c r="V2426" s="36"/>
      <c r="W2426" s="129"/>
      <c r="X2426" s="36"/>
      <c r="Y2426" s="36"/>
      <c r="Z2426" s="36"/>
      <c r="AA2426" s="125" t="s">
        <v>121</v>
      </c>
      <c r="AB2426" s="172">
        <v>45566</v>
      </c>
      <c r="AC2426" s="119">
        <v>202401186</v>
      </c>
      <c r="AD2426" s="36">
        <f t="shared" si="268"/>
        <v>37672788</v>
      </c>
      <c r="AE2426" s="36" t="str">
        <f t="shared" si="269"/>
        <v>TK.KWVE30-B-A-S-0038-WW1</v>
      </c>
      <c r="AF2426" s="36">
        <v>159</v>
      </c>
      <c r="AG2426" s="120">
        <f t="shared" si="267"/>
        <v>764.79</v>
      </c>
      <c r="AH2426" s="36"/>
      <c r="AI2426" s="124"/>
      <c r="AJ2426" s="122" t="s">
        <v>2408</v>
      </c>
      <c r="AK2426" s="129" t="str">
        <f t="shared" ca="1" si="271"/>
        <v>On Time</v>
      </c>
      <c r="AL2426" s="268" t="str">
        <f t="shared" si="270"/>
        <v>October</v>
      </c>
      <c r="AM2426" s="133">
        <f>YEAR(Table1[[#This Row],[ETA
As requested
dd.mm.yyyy]])</f>
        <v>2024</v>
      </c>
    </row>
    <row r="2427" spans="1:39" hidden="1">
      <c r="A2427" s="123" t="s">
        <v>83</v>
      </c>
      <c r="B2427" s="36" t="s">
        <v>1170</v>
      </c>
      <c r="C2427" s="117">
        <v>37672788</v>
      </c>
      <c r="D2427" s="165">
        <v>45553</v>
      </c>
      <c r="E2427" s="117" t="s">
        <v>102</v>
      </c>
      <c r="F2427" s="36" t="str">
        <f>IFERROR(VLOOKUP(Table1[[#This Row],[Part Number]],DATABASE_FG!$C$6:D12416,2,FALSE)," ")</f>
        <v xml:space="preserve">080814913-8011 </v>
      </c>
      <c r="G2427" s="117">
        <f>IFERROR(_xlfn.XLOOKUP(Table1[[#This Row],[Part Number]],Table3[Part number],Table3[Drawing
 Revision]),"")</f>
        <v>0</v>
      </c>
      <c r="H2427" s="118" cm="1">
        <f t="array" ref="H2427">IFERROR(INDEX(PDB!$C:$AT,MATCH(E2427,PDB!$B:$B,0),MATCH(YEAR(K2427),0+PDB!$C$1:$AT$1,0)),"")</f>
        <v>4.8099999999999996</v>
      </c>
      <c r="I2427" s="36">
        <v>0</v>
      </c>
      <c r="J2427" s="125">
        <f>IFERROR(Table1[[#This Row],[Quantity]]*Table1[[#This Row],[Price/Unit
EUR]]," ")</f>
        <v>0</v>
      </c>
      <c r="K2427" s="126">
        <v>45566</v>
      </c>
      <c r="L2427" s="36">
        <f>WEEKNUM(Table1[[#This Row],[ETA
As requested
dd.mm.yyyy]])</f>
        <v>40</v>
      </c>
      <c r="M2427" s="36">
        <f>YEAR(Table1[[#This Row],[ETA
As requested
dd.mm.yyyy]])</f>
        <v>2024</v>
      </c>
      <c r="N2427" s="36">
        <f>IFERROR(INDEX(DATABASE_FG!$H$5:$H$367, MATCH(E2427, DATABASE_FG!$C$5:$C$367, 0)), " ")</f>
        <v>0</v>
      </c>
      <c r="O2427" s="129" t="str">
        <f>IF(E2427&lt;&gt;"", _xlfn.XLOOKUP(E2427, DATABASE_FG!C:C, DATABASE_FG!F:F), " ")</f>
        <v>Ghidaje</v>
      </c>
      <c r="P2427" s="36">
        <f>IFERROR(INDEX(DATABASE_FG!$G$5:$G$367, MATCH(E2427, DATABASE_FG!$C$5:$C$367, 0)), "Not Found")</f>
        <v>0</v>
      </c>
      <c r="Q2427" s="36"/>
      <c r="R2427" s="125" t="s">
        <v>678</v>
      </c>
      <c r="S2427" s="123">
        <f>Table1[[#This Row],[Quantity]]/48</f>
        <v>0</v>
      </c>
      <c r="T2427" s="36"/>
      <c r="U2427" s="36"/>
      <c r="V2427" s="36"/>
      <c r="W2427" s="129"/>
      <c r="X2427" s="36"/>
      <c r="Y2427" s="36"/>
      <c r="Z2427" s="36"/>
      <c r="AA2427" s="125" t="s">
        <v>121</v>
      </c>
      <c r="AB2427" s="172">
        <v>45573</v>
      </c>
      <c r="AC2427" s="119">
        <v>202401226</v>
      </c>
      <c r="AD2427" s="36">
        <f t="shared" si="268"/>
        <v>37672788</v>
      </c>
      <c r="AE2427" s="36" t="str">
        <f t="shared" si="269"/>
        <v>TK.KWVE30-B-A-S-0038-WW1</v>
      </c>
      <c r="AF2427" s="36">
        <v>41</v>
      </c>
      <c r="AG2427" s="120">
        <f t="shared" si="267"/>
        <v>197.20999999999998</v>
      </c>
      <c r="AH2427" s="36"/>
      <c r="AI2427" s="124"/>
      <c r="AJ2427" s="122" t="s">
        <v>2415</v>
      </c>
      <c r="AK2427" s="129" t="str">
        <f t="shared" ca="1" si="271"/>
        <v>Late</v>
      </c>
      <c r="AL2427" s="268" t="str">
        <f t="shared" si="270"/>
        <v>October</v>
      </c>
      <c r="AM2427" s="133">
        <f>YEAR(Table1[[#This Row],[ETA
As requested
dd.mm.yyyy]])</f>
        <v>2024</v>
      </c>
    </row>
    <row r="2428" spans="1:39" hidden="1">
      <c r="A2428" s="123" t="s">
        <v>83</v>
      </c>
      <c r="B2428" s="36" t="s">
        <v>1170</v>
      </c>
      <c r="C2428" s="117">
        <v>37672799</v>
      </c>
      <c r="D2428" s="165">
        <v>45553</v>
      </c>
      <c r="E2428" s="117" t="s">
        <v>102</v>
      </c>
      <c r="F2428" s="36" t="str">
        <f>IFERROR(VLOOKUP(Table1[[#This Row],[Part Number]],DATABASE_FG!$C$6:D12417,2,FALSE)," ")</f>
        <v xml:space="preserve">080814913-8011 </v>
      </c>
      <c r="G2428" s="117">
        <f>IFERROR(_xlfn.XLOOKUP(Table1[[#This Row],[Part Number]],Table3[Part number],Table3[Drawing
 Revision]),"")</f>
        <v>0</v>
      </c>
      <c r="H2428" s="118" cm="1">
        <f t="array" ref="H2428">IFERROR(INDEX(PDB!$C:$AT,MATCH(E2428,PDB!$B:$B,0),MATCH(YEAR(K2428),0+PDB!$C$1:$AT$1,0)),"")</f>
        <v>4.8099999999999996</v>
      </c>
      <c r="I2428" s="36">
        <v>200</v>
      </c>
      <c r="J2428" s="125">
        <f>IFERROR(Table1[[#This Row],[Quantity]]*Table1[[#This Row],[Price/Unit
EUR]]," ")</f>
        <v>961.99999999999989</v>
      </c>
      <c r="K2428" s="126">
        <v>45573</v>
      </c>
      <c r="L2428" s="36">
        <f>WEEKNUM(Table1[[#This Row],[ETA
As requested
dd.mm.yyyy]])</f>
        <v>41</v>
      </c>
      <c r="M2428" s="36">
        <f>YEAR(Table1[[#This Row],[ETA
As requested
dd.mm.yyyy]])</f>
        <v>2024</v>
      </c>
      <c r="N2428" s="36">
        <f>IFERROR(INDEX(DATABASE_FG!$H$5:$H$367, MATCH(E2428, DATABASE_FG!$C$5:$C$367, 0)), " ")</f>
        <v>0</v>
      </c>
      <c r="O2428" s="129" t="str">
        <f>IF(E2428&lt;&gt;"", _xlfn.XLOOKUP(E2428, DATABASE_FG!C:C, DATABASE_FG!F:F), " ")</f>
        <v>Ghidaje</v>
      </c>
      <c r="P2428" s="36">
        <f>IFERROR(INDEX(DATABASE_FG!$G$5:$G$367, MATCH(E2428, DATABASE_FG!$C$5:$C$367, 0)), "Not Found")</f>
        <v>0</v>
      </c>
      <c r="Q2428" s="36"/>
      <c r="R2428" s="125" t="s">
        <v>678</v>
      </c>
      <c r="S2428" s="123">
        <f>IFERROR(INDEX(DATABASE_FG!$L$5:$L$367, MATCH(E2428, DATABASE_FG!$C$5:$C$367, 0)), " ")</f>
        <v>42</v>
      </c>
      <c r="T2428" s="36"/>
      <c r="U2428" s="36"/>
      <c r="V2428" s="36"/>
      <c r="W2428" s="129"/>
      <c r="X2428" s="36"/>
      <c r="Y2428" s="36"/>
      <c r="Z2428" s="36"/>
      <c r="AA2428" s="125" t="s">
        <v>121</v>
      </c>
      <c r="AB2428" s="172">
        <v>45573</v>
      </c>
      <c r="AC2428" s="119">
        <v>202401227</v>
      </c>
      <c r="AD2428" s="36">
        <f t="shared" si="268"/>
        <v>37672799</v>
      </c>
      <c r="AE2428" s="36" t="str">
        <f t="shared" si="269"/>
        <v>TK.KWVE30-B-A-S-0038-WW1</v>
      </c>
      <c r="AF2428" s="36">
        <v>14</v>
      </c>
      <c r="AG2428" s="120">
        <f t="shared" si="267"/>
        <v>67.339999999999989</v>
      </c>
      <c r="AH2428" s="36"/>
      <c r="AI2428" s="124"/>
      <c r="AJ2428" s="122" t="s">
        <v>2445</v>
      </c>
      <c r="AK2428" s="129" t="str">
        <f t="shared" ca="1" si="271"/>
        <v>On Time</v>
      </c>
      <c r="AL2428" s="268" t="str">
        <f t="shared" si="270"/>
        <v>October</v>
      </c>
      <c r="AM2428" s="133">
        <f>YEAR(Table1[[#This Row],[ETA
As requested
dd.mm.yyyy]])</f>
        <v>2024</v>
      </c>
    </row>
    <row r="2429" spans="1:39" hidden="1">
      <c r="A2429" s="123" t="s">
        <v>83</v>
      </c>
      <c r="B2429" s="36" t="s">
        <v>1170</v>
      </c>
      <c r="C2429" s="117">
        <v>37672799</v>
      </c>
      <c r="D2429" s="165">
        <v>45553</v>
      </c>
      <c r="E2429" s="117" t="s">
        <v>102</v>
      </c>
      <c r="F2429" s="36" t="str">
        <f>IFERROR(VLOOKUP(Table1[[#This Row],[Part Number]],DATABASE_FG!$C$6:D12418,2,FALSE)," ")</f>
        <v xml:space="preserve">080814913-8011 </v>
      </c>
      <c r="G2429" s="117">
        <f>IFERROR(_xlfn.XLOOKUP(Table1[[#This Row],[Part Number]],Table3[Part number],Table3[Drawing
 Revision]),"")</f>
        <v>0</v>
      </c>
      <c r="H2429" s="118" cm="1">
        <f t="array" ref="H2429">IFERROR(INDEX(PDB!$C:$AT,MATCH(E2429,PDB!$B:$B,0),MATCH(YEAR(K2429),0+PDB!$C$1:$AT$1,0)),"")</f>
        <v>4.8099999999999996</v>
      </c>
      <c r="I2429" s="36">
        <v>0</v>
      </c>
      <c r="J2429" s="125">
        <f>IFERROR(Table1[[#This Row],[Quantity]]*Table1[[#This Row],[Price/Unit
EUR]]," ")</f>
        <v>0</v>
      </c>
      <c r="K2429" s="126">
        <v>45573</v>
      </c>
      <c r="L2429" s="36">
        <f>WEEKNUM(Table1[[#This Row],[ETA
As requested
dd.mm.yyyy]])</f>
        <v>41</v>
      </c>
      <c r="M2429" s="36">
        <f>YEAR(Table1[[#This Row],[ETA
As requested
dd.mm.yyyy]])</f>
        <v>2024</v>
      </c>
      <c r="N2429" s="36">
        <f>IFERROR(INDEX(DATABASE_FG!$H$5:$H$367, MATCH(E2429, DATABASE_FG!$C$5:$C$367, 0)), " ")</f>
        <v>0</v>
      </c>
      <c r="O2429" s="129" t="str">
        <f>IF(E2429&lt;&gt;"", _xlfn.XLOOKUP(E2429, DATABASE_FG!C:C, DATABASE_FG!F:F), " ")</f>
        <v>Ghidaje</v>
      </c>
      <c r="P2429" s="36">
        <f>IFERROR(INDEX(DATABASE_FG!$G$5:$G$367, MATCH(E2429, DATABASE_FG!$C$5:$C$367, 0)), "Not Found")</f>
        <v>0</v>
      </c>
      <c r="Q2429" s="36"/>
      <c r="R2429" s="125" t="s">
        <v>678</v>
      </c>
      <c r="S2429" s="123">
        <f>IFERROR(INDEX(DATABASE_FG!$L$5:$L$367, MATCH(E2429, DATABASE_FG!$C$5:$C$367, 0)), " ")</f>
        <v>42</v>
      </c>
      <c r="T2429" s="36"/>
      <c r="U2429" s="36"/>
      <c r="V2429" s="36"/>
      <c r="W2429" s="129"/>
      <c r="X2429" s="36"/>
      <c r="Y2429" s="36"/>
      <c r="Z2429" s="36"/>
      <c r="AA2429" s="125" t="s">
        <v>121</v>
      </c>
      <c r="AB2429" s="172">
        <v>45581</v>
      </c>
      <c r="AC2429" s="119">
        <v>202401248</v>
      </c>
      <c r="AD2429" s="36">
        <f t="shared" si="268"/>
        <v>37672799</v>
      </c>
      <c r="AE2429" s="36" t="str">
        <f t="shared" si="269"/>
        <v>TK.KWVE30-B-A-S-0038-WW1</v>
      </c>
      <c r="AF2429" s="36">
        <v>186</v>
      </c>
      <c r="AG2429" s="120">
        <f t="shared" si="267"/>
        <v>894.66</v>
      </c>
      <c r="AH2429" s="36"/>
      <c r="AI2429" s="124"/>
      <c r="AJ2429" s="122" t="s">
        <v>2452</v>
      </c>
      <c r="AK2429" s="129" t="str">
        <f t="shared" ca="1" si="271"/>
        <v>Late</v>
      </c>
      <c r="AL2429" s="268" t="str">
        <f t="shared" si="270"/>
        <v>October</v>
      </c>
      <c r="AM2429" s="133">
        <f>YEAR(Table1[[#This Row],[ETA
As requested
dd.mm.yyyy]])</f>
        <v>2024</v>
      </c>
    </row>
    <row r="2430" spans="1:39" hidden="1">
      <c r="A2430" s="123" t="s">
        <v>83</v>
      </c>
      <c r="B2430" s="36" t="s">
        <v>1170</v>
      </c>
      <c r="C2430" s="117">
        <v>37672808</v>
      </c>
      <c r="D2430" s="165">
        <v>45553</v>
      </c>
      <c r="E2430" s="117" t="s">
        <v>102</v>
      </c>
      <c r="F2430" s="36" t="str">
        <f>IFERROR(VLOOKUP(Table1[[#This Row],[Part Number]],DATABASE_FG!$C$6:D12419,2,FALSE)," ")</f>
        <v xml:space="preserve">080814913-8011 </v>
      </c>
      <c r="G2430" s="117">
        <f>IFERROR(_xlfn.XLOOKUP(Table1[[#This Row],[Part Number]],Table3[Part number],Table3[Drawing
 Revision]),"")</f>
        <v>0</v>
      </c>
      <c r="H2430" s="118" cm="1">
        <f t="array" ref="H2430">IFERROR(INDEX(PDB!$C:$AT,MATCH(E2430,PDB!$B:$B,0),MATCH(YEAR(K2430),0+PDB!$C$1:$AT$1,0)),"")</f>
        <v>4.8099999999999996</v>
      </c>
      <c r="I2430" s="36">
        <v>133</v>
      </c>
      <c r="J2430" s="125">
        <f>IFERROR(Table1[[#This Row],[Quantity]]*Table1[[#This Row],[Price/Unit
EUR]]," ")</f>
        <v>639.7299999999999</v>
      </c>
      <c r="K2430" s="126">
        <v>45580</v>
      </c>
      <c r="L2430" s="36">
        <f>WEEKNUM(Table1[[#This Row],[ETA
As requested
dd.mm.yyyy]])</f>
        <v>42</v>
      </c>
      <c r="M2430" s="36">
        <f>YEAR(Table1[[#This Row],[ETA
As requested
dd.mm.yyyy]])</f>
        <v>2024</v>
      </c>
      <c r="N2430" s="36">
        <f>IFERROR(INDEX(DATABASE_FG!$H$5:$H$367, MATCH(E2430, DATABASE_FG!$C$5:$C$367, 0)), " ")</f>
        <v>0</v>
      </c>
      <c r="O2430" s="129" t="str">
        <f>IF(E2430&lt;&gt;"", _xlfn.XLOOKUP(E2430, DATABASE_FG!C:C, DATABASE_FG!F:F), " ")</f>
        <v>Ghidaje</v>
      </c>
      <c r="P2430" s="36">
        <f>IFERROR(INDEX(DATABASE_FG!$G$5:$G$367, MATCH(E2430, DATABASE_FG!$C$5:$C$367, 0)), "Not Found")</f>
        <v>0</v>
      </c>
      <c r="Q2430" s="36"/>
      <c r="R2430" s="125" t="s">
        <v>678</v>
      </c>
      <c r="S2430" s="123">
        <f>IFERROR(INDEX(DATABASE_FG!$L$5:$L$367, MATCH(E2430, DATABASE_FG!$C$5:$C$367, 0)), " ")</f>
        <v>42</v>
      </c>
      <c r="T2430" s="36"/>
      <c r="U2430" s="36"/>
      <c r="V2430" s="36"/>
      <c r="W2430" s="129"/>
      <c r="X2430" s="36"/>
      <c r="Y2430" s="36"/>
      <c r="Z2430" s="36"/>
      <c r="AA2430" s="125" t="s">
        <v>121</v>
      </c>
      <c r="AB2430" s="172">
        <v>45581</v>
      </c>
      <c r="AC2430" s="119">
        <v>202401249</v>
      </c>
      <c r="AD2430" s="36">
        <f t="shared" si="268"/>
        <v>37672808</v>
      </c>
      <c r="AE2430" s="36" t="str">
        <f t="shared" si="269"/>
        <v>TK.KWVE30-B-A-S-0038-WW1</v>
      </c>
      <c r="AF2430" s="36">
        <v>133</v>
      </c>
      <c r="AG2430" s="120">
        <f t="shared" si="267"/>
        <v>639.7299999999999</v>
      </c>
      <c r="AH2430" s="36"/>
      <c r="AI2430" s="124"/>
      <c r="AJ2430" s="122" t="s">
        <v>2469</v>
      </c>
      <c r="AK2430" s="129" t="str">
        <f t="shared" ca="1" si="271"/>
        <v>On Time</v>
      </c>
      <c r="AL2430" s="268" t="str">
        <f t="shared" si="270"/>
        <v>October</v>
      </c>
      <c r="AM2430" s="133">
        <f>YEAR(Table1[[#This Row],[ETA
As requested
dd.mm.yyyy]])</f>
        <v>2024</v>
      </c>
    </row>
    <row r="2431" spans="1:39" hidden="1">
      <c r="A2431" s="123" t="s">
        <v>83</v>
      </c>
      <c r="B2431" s="36" t="s">
        <v>1170</v>
      </c>
      <c r="C2431" s="117">
        <v>37672808</v>
      </c>
      <c r="D2431" s="165">
        <v>45553</v>
      </c>
      <c r="E2431" s="117" t="s">
        <v>102</v>
      </c>
      <c r="F2431" s="36" t="str">
        <f>IFERROR(VLOOKUP(Table1[[#This Row],[Part Number]],DATABASE_FG!$C$6:D12420,2,FALSE)," ")</f>
        <v xml:space="preserve">080814913-8011 </v>
      </c>
      <c r="G2431" s="117">
        <f>IFERROR(_xlfn.XLOOKUP(Table1[[#This Row],[Part Number]],Table3[Part number],Table3[Drawing
 Revision]),"")</f>
        <v>0</v>
      </c>
      <c r="H2431" s="118" cm="1">
        <f t="array" ref="H2431">IFERROR(INDEX(PDB!$C:$AT,MATCH(E2431,PDB!$B:$B,0),MATCH(YEAR(K2431),0+PDB!$C$1:$AT$1,0)),"")</f>
        <v>4.8099999999999996</v>
      </c>
      <c r="I2431" s="36">
        <v>67</v>
      </c>
      <c r="J2431" s="125">
        <f>IFERROR(Table1[[#This Row],[Quantity]]*Table1[[#This Row],[Price/Unit
EUR]]," ")</f>
        <v>322.27</v>
      </c>
      <c r="K2431" s="126">
        <v>45580</v>
      </c>
      <c r="L2431" s="36">
        <f>WEEKNUM(Table1[[#This Row],[ETA
As requested
dd.mm.yyyy]])</f>
        <v>42</v>
      </c>
      <c r="M2431" s="36">
        <f>YEAR(Table1[[#This Row],[ETA
As requested
dd.mm.yyyy]])</f>
        <v>2024</v>
      </c>
      <c r="N2431" s="36">
        <f>IFERROR(INDEX(DATABASE_FG!$H$5:$H$367, MATCH(E2431, DATABASE_FG!$C$5:$C$367, 0)), " ")</f>
        <v>0</v>
      </c>
      <c r="O2431" s="129" t="str">
        <f>IF(E2431&lt;&gt;"", _xlfn.XLOOKUP(E2431, DATABASE_FG!C:C, DATABASE_FG!F:F), " ")</f>
        <v>Ghidaje</v>
      </c>
      <c r="P2431" s="36">
        <f>IFERROR(INDEX(DATABASE_FG!$G$5:$G$367, MATCH(E2431, DATABASE_FG!$C$5:$C$367, 0)), "Not Found")</f>
        <v>0</v>
      </c>
      <c r="Q2431" s="36">
        <v>60</v>
      </c>
      <c r="R2431" s="125" t="s">
        <v>678</v>
      </c>
      <c r="S2431" s="123">
        <f>IFERROR(INDEX(DATABASE_FG!$L$5:$L$367, MATCH(E2431, DATABASE_FG!$C$5:$C$367, 0)), " ")</f>
        <v>42</v>
      </c>
      <c r="T2431" s="36" t="s">
        <v>677</v>
      </c>
      <c r="U2431" s="36"/>
      <c r="V2431" s="36"/>
      <c r="W2431" s="129"/>
      <c r="X2431" s="36"/>
      <c r="Y2431" s="36"/>
      <c r="Z2431" s="36"/>
      <c r="AA2431" s="125" t="s">
        <v>121</v>
      </c>
      <c r="AB2431" s="172">
        <v>45583</v>
      </c>
      <c r="AC2431" s="119">
        <v>202401261</v>
      </c>
      <c r="AD2431" s="36">
        <f t="shared" si="268"/>
        <v>37672808</v>
      </c>
      <c r="AE2431" s="36" t="str">
        <f t="shared" si="269"/>
        <v>TK.KWVE30-B-A-S-0038-WW1</v>
      </c>
      <c r="AF2431" s="36">
        <v>67</v>
      </c>
      <c r="AG2431" s="120">
        <f t="shared" ref="AG2431:AG2494" si="272">AF2431*H2431</f>
        <v>322.27</v>
      </c>
      <c r="AH2431" s="36"/>
      <c r="AI2431" s="124"/>
      <c r="AJ2431" s="122" t="s">
        <v>2472</v>
      </c>
      <c r="AK2431" s="129" t="str">
        <f t="shared" ca="1" si="271"/>
        <v>Late</v>
      </c>
      <c r="AL2431" s="268" t="str">
        <f t="shared" si="270"/>
        <v>October</v>
      </c>
      <c r="AM2431" s="133">
        <f>YEAR(Table1[[#This Row],[ETA
As requested
dd.mm.yyyy]])</f>
        <v>2024</v>
      </c>
    </row>
    <row r="2432" spans="1:39" hidden="1">
      <c r="A2432" s="123" t="s">
        <v>83</v>
      </c>
      <c r="B2432" s="36" t="s">
        <v>1170</v>
      </c>
      <c r="C2432" s="117">
        <v>37672808</v>
      </c>
      <c r="D2432" s="165">
        <v>45553</v>
      </c>
      <c r="E2432" s="117" t="s">
        <v>102</v>
      </c>
      <c r="F2432" s="36" t="str">
        <f>IFERROR(VLOOKUP(Table1[[#This Row],[Part Number]],DATABASE_FG!$C$6:D12421,2,FALSE)," ")</f>
        <v xml:space="preserve">080814913-8011 </v>
      </c>
      <c r="G2432" s="117">
        <f>IFERROR(_xlfn.XLOOKUP(Table1[[#This Row],[Part Number]],Table3[Part number],Table3[Drawing
 Revision]),"")</f>
        <v>0</v>
      </c>
      <c r="H2432" s="118" cm="1">
        <f t="array" ref="H2432">IFERROR(INDEX(PDB!$C:$AT,MATCH(E2432,PDB!$B:$B,0),MATCH(YEAR(K2432),0+PDB!$C$1:$AT$1,0)),"")</f>
        <v>4.8099999999999996</v>
      </c>
      <c r="I2432" s="36">
        <v>28</v>
      </c>
      <c r="J2432" s="125">
        <f>IFERROR(Table1[[#This Row],[Quantity]]*Table1[[#This Row],[Price/Unit
EUR]]," ")</f>
        <v>134.67999999999998</v>
      </c>
      <c r="K2432" s="126">
        <v>45587</v>
      </c>
      <c r="L2432" s="36">
        <f>WEEKNUM(Table1[[#This Row],[ETA
As requested
dd.mm.yyyy]])</f>
        <v>43</v>
      </c>
      <c r="M2432" s="36">
        <f>YEAR(Table1[[#This Row],[ETA
As requested
dd.mm.yyyy]])</f>
        <v>2024</v>
      </c>
      <c r="N2432" s="36">
        <f>IFERROR(INDEX(DATABASE_FG!$H$5:$H$367, MATCH(E2432, DATABASE_FG!$C$5:$C$367, 0)), " ")</f>
        <v>0</v>
      </c>
      <c r="O2432" s="129" t="str">
        <f>IF(E2432&lt;&gt;"", _xlfn.XLOOKUP(E2432, DATABASE_FG!C:C, DATABASE_FG!F:F), " ")</f>
        <v>Ghidaje</v>
      </c>
      <c r="P2432" s="36">
        <f>IFERROR(INDEX(DATABASE_FG!$G$5:$G$367, MATCH(E2432, DATABASE_FG!$C$5:$C$367, 0)), "Not Found")</f>
        <v>0</v>
      </c>
      <c r="Q2432" s="36">
        <v>60</v>
      </c>
      <c r="R2432" s="125" t="s">
        <v>678</v>
      </c>
      <c r="S2432" s="123">
        <f>IFERROR(INDEX(DATABASE_FG!$L$5:$L$367, MATCH(E2432, DATABASE_FG!$C$5:$C$367, 0)), " ")</f>
        <v>42</v>
      </c>
      <c r="T2432" s="36" t="s">
        <v>677</v>
      </c>
      <c r="U2432" s="36"/>
      <c r="V2432" s="36"/>
      <c r="W2432" s="129"/>
      <c r="X2432" s="36"/>
      <c r="Y2432" s="36"/>
      <c r="Z2432" s="36"/>
      <c r="AA2432" s="125" t="s">
        <v>121</v>
      </c>
      <c r="AB2432" s="172">
        <v>45583</v>
      </c>
      <c r="AC2432" s="119">
        <v>202401262</v>
      </c>
      <c r="AD2432" s="36">
        <f t="shared" si="268"/>
        <v>37672808</v>
      </c>
      <c r="AE2432" s="36" t="str">
        <f t="shared" si="269"/>
        <v>TK.KWVE30-B-A-S-0038-WW1</v>
      </c>
      <c r="AF2432" s="36">
        <v>28</v>
      </c>
      <c r="AG2432" s="120">
        <f t="shared" si="272"/>
        <v>134.67999999999998</v>
      </c>
      <c r="AH2432" s="36"/>
      <c r="AI2432" s="124"/>
      <c r="AJ2432" s="122" t="s">
        <v>2506</v>
      </c>
      <c r="AK2432" s="129" t="str">
        <f t="shared" ca="1" si="271"/>
        <v>On Time</v>
      </c>
      <c r="AL2432" s="268" t="str">
        <f t="shared" si="270"/>
        <v>October</v>
      </c>
      <c r="AM2432" s="133">
        <f>YEAR(Table1[[#This Row],[ETA
As requested
dd.mm.yyyy]])</f>
        <v>2024</v>
      </c>
    </row>
    <row r="2433" spans="1:39" hidden="1">
      <c r="A2433" s="123" t="s">
        <v>83</v>
      </c>
      <c r="B2433" s="36" t="s">
        <v>1170</v>
      </c>
      <c r="C2433" s="117">
        <v>37871644</v>
      </c>
      <c r="D2433" s="165">
        <v>45587</v>
      </c>
      <c r="E2433" s="117" t="s">
        <v>102</v>
      </c>
      <c r="F2433" s="36" t="str">
        <f>IFERROR(VLOOKUP(Table1[[#This Row],[Part Number]],DATABASE_FG!$C$6:D12422,2,FALSE)," ")</f>
        <v xml:space="preserve">080814913-8011 </v>
      </c>
      <c r="G2433" s="117">
        <f>IFERROR(_xlfn.XLOOKUP(Table1[[#This Row],[Part Number]],Table3[Part number],Table3[Drawing
 Revision]),"")</f>
        <v>0</v>
      </c>
      <c r="H2433" s="118" cm="1">
        <f t="array" ref="H2433">IFERROR(INDEX(PDB!$C:$AT,MATCH(E2433,PDB!$B:$B,0),MATCH(YEAR(K2433),0+PDB!$C$1:$AT$1,0)),"")</f>
        <v>4.8099999999999996</v>
      </c>
      <c r="I2433" s="36">
        <v>64</v>
      </c>
      <c r="J2433" s="125">
        <f>IFERROR(Table1[[#This Row],[Quantity]]*Table1[[#This Row],[Price/Unit
EUR]]," ")</f>
        <v>307.83999999999997</v>
      </c>
      <c r="K2433" s="126">
        <v>45601</v>
      </c>
      <c r="L2433" s="36">
        <f>WEEKNUM(Table1[[#This Row],[ETA
As requested
dd.mm.yyyy]])</f>
        <v>45</v>
      </c>
      <c r="M2433" s="36">
        <f>YEAR(Table1[[#This Row],[ETA
As requested
dd.mm.yyyy]])</f>
        <v>2024</v>
      </c>
      <c r="N2433" s="36">
        <f>IFERROR(INDEX(DATABASE_FG!$H$5:$H$367, MATCH(E2433, DATABASE_FG!$C$5:$C$367, 0)), " ")</f>
        <v>0</v>
      </c>
      <c r="O2433" s="129" t="str">
        <f>IF(E2433&lt;&gt;"", _xlfn.XLOOKUP(E2433, DATABASE_FG!C:C, DATABASE_FG!F:F), " ")</f>
        <v>Ghidaje</v>
      </c>
      <c r="P2433" s="36">
        <f>IFERROR(INDEX(DATABASE_FG!$G$5:$G$367, MATCH(E2433, DATABASE_FG!$C$5:$C$367, 0)), "Not Found")</f>
        <v>0</v>
      </c>
      <c r="Q2433" s="36"/>
      <c r="R2433" s="125" t="s">
        <v>678</v>
      </c>
      <c r="S2433" s="123">
        <f>IFERROR(INDEX(DATABASE_FG!$L$5:$L$367, MATCH(E2433, DATABASE_FG!$C$5:$C$367, 0)), " ")</f>
        <v>42</v>
      </c>
      <c r="T2433" s="36" t="s">
        <v>679</v>
      </c>
      <c r="U2433" s="36"/>
      <c r="V2433" s="36"/>
      <c r="W2433" s="129"/>
      <c r="X2433" s="36"/>
      <c r="Y2433" s="36"/>
      <c r="Z2433" s="36"/>
      <c r="AA2433" s="125" t="s">
        <v>121</v>
      </c>
      <c r="AB2433" s="172">
        <v>45597</v>
      </c>
      <c r="AC2433" s="119">
        <v>202401313</v>
      </c>
      <c r="AD2433" s="36">
        <f t="shared" si="268"/>
        <v>37871644</v>
      </c>
      <c r="AE2433" s="36" t="str">
        <f t="shared" si="269"/>
        <v>TK.KWVE30-B-A-S-0038-WW1</v>
      </c>
      <c r="AF2433" s="36">
        <v>64</v>
      </c>
      <c r="AG2433" s="120">
        <f t="shared" si="272"/>
        <v>307.83999999999997</v>
      </c>
      <c r="AH2433" s="36"/>
      <c r="AI2433" s="124"/>
      <c r="AJ2433" s="122" t="s">
        <v>2548</v>
      </c>
      <c r="AK2433" s="129" t="str">
        <f t="shared" ca="1" si="271"/>
        <v>On Time</v>
      </c>
      <c r="AL2433" s="268" t="str">
        <f t="shared" si="270"/>
        <v>November</v>
      </c>
      <c r="AM2433" s="133">
        <f>YEAR(Table1[[#This Row],[ETA
As requested
dd.mm.yyyy]])</f>
        <v>2024</v>
      </c>
    </row>
    <row r="2434" spans="1:39" hidden="1">
      <c r="A2434" s="123" t="s">
        <v>83</v>
      </c>
      <c r="B2434" s="36" t="s">
        <v>1170</v>
      </c>
      <c r="C2434" s="117">
        <v>37871644</v>
      </c>
      <c r="D2434" s="165">
        <v>45587</v>
      </c>
      <c r="E2434" s="117" t="s">
        <v>102</v>
      </c>
      <c r="F2434" s="36" t="str">
        <f>IFERROR(VLOOKUP(Table1[[#This Row],[Part Number]],DATABASE_FG!$C$6:D12423,2,FALSE)," ")</f>
        <v xml:space="preserve">080814913-8011 </v>
      </c>
      <c r="G2434" s="117">
        <f>IFERROR(_xlfn.XLOOKUP(Table1[[#This Row],[Part Number]],Table3[Part number],Table3[Drawing
 Revision]),"")</f>
        <v>0</v>
      </c>
      <c r="H2434" s="118" cm="1">
        <f t="array" ref="H2434">IFERROR(INDEX(PDB!$C:$AT,MATCH(E2434,PDB!$B:$B,0),MATCH(YEAR(K2434),0+PDB!$C$1:$AT$1,0)),"")</f>
        <v>4.8099999999999996</v>
      </c>
      <c r="I2434" s="36">
        <v>379</v>
      </c>
      <c r="J2434" s="125">
        <f>IFERROR(Table1[[#This Row],[Quantity]]*Table1[[#This Row],[Price/Unit
EUR]]," ")</f>
        <v>1822.9899999999998</v>
      </c>
      <c r="K2434" s="126">
        <v>45601</v>
      </c>
      <c r="L2434" s="36">
        <f>WEEKNUM(Table1[[#This Row],[ETA
As requested
dd.mm.yyyy]])</f>
        <v>45</v>
      </c>
      <c r="M2434" s="36">
        <f>YEAR(Table1[[#This Row],[ETA
As requested
dd.mm.yyyy]])</f>
        <v>2024</v>
      </c>
      <c r="N2434" s="36">
        <f>IFERROR(INDEX(DATABASE_FG!$H$5:$H$367, MATCH(E2434, DATABASE_FG!$C$5:$C$367, 0)), " ")</f>
        <v>0</v>
      </c>
      <c r="O2434" s="129" t="str">
        <f>IF(E2434&lt;&gt;"", _xlfn.XLOOKUP(E2434, DATABASE_FG!C:C, DATABASE_FG!F:F), " ")</f>
        <v>Ghidaje</v>
      </c>
      <c r="P2434" s="36">
        <f>IFERROR(INDEX(DATABASE_FG!$G$5:$G$367, MATCH(E2434, DATABASE_FG!$C$5:$C$367, 0)), "Not Found")</f>
        <v>0</v>
      </c>
      <c r="Q2434" s="36"/>
      <c r="R2434" s="125" t="s">
        <v>678</v>
      </c>
      <c r="S2434" s="123">
        <f>IFERROR(INDEX(DATABASE_FG!$L$5:$L$367, MATCH(E2434, DATABASE_FG!$C$5:$C$367, 0)), " ")</f>
        <v>42</v>
      </c>
      <c r="T2434" s="36" t="s">
        <v>679</v>
      </c>
      <c r="U2434" s="36"/>
      <c r="V2434" s="36"/>
      <c r="W2434" s="129"/>
      <c r="X2434" s="36"/>
      <c r="Y2434" s="36"/>
      <c r="Z2434" s="36"/>
      <c r="AA2434" s="125" t="s">
        <v>121</v>
      </c>
      <c r="AB2434" s="172">
        <v>45608</v>
      </c>
      <c r="AC2434" s="119">
        <v>202401373</v>
      </c>
      <c r="AD2434" s="36">
        <f t="shared" si="268"/>
        <v>37871644</v>
      </c>
      <c r="AE2434" s="36" t="str">
        <f t="shared" si="269"/>
        <v>TK.KWVE30-B-A-S-0038-WW1</v>
      </c>
      <c r="AF2434" s="36">
        <v>379</v>
      </c>
      <c r="AG2434" s="120">
        <f t="shared" si="272"/>
        <v>1822.9899999999998</v>
      </c>
      <c r="AH2434" s="36"/>
      <c r="AI2434" s="124"/>
      <c r="AJ2434" s="122" t="s">
        <v>2553</v>
      </c>
      <c r="AK2434" s="129" t="str">
        <f t="shared" ca="1" si="271"/>
        <v>Late</v>
      </c>
      <c r="AL2434" s="268" t="str">
        <f t="shared" si="270"/>
        <v>November</v>
      </c>
      <c r="AM2434" s="133">
        <f>YEAR(Table1[[#This Row],[ETA
As requested
dd.mm.yyyy]])</f>
        <v>2024</v>
      </c>
    </row>
    <row r="2435" spans="1:39" hidden="1">
      <c r="A2435" s="123" t="s">
        <v>83</v>
      </c>
      <c r="B2435" s="36" t="s">
        <v>1170</v>
      </c>
      <c r="C2435" s="117">
        <v>37871644</v>
      </c>
      <c r="D2435" s="165">
        <v>45587</v>
      </c>
      <c r="E2435" s="117" t="s">
        <v>102</v>
      </c>
      <c r="F2435" s="36" t="str">
        <f>IFERROR(VLOOKUP(Table1[[#This Row],[Part Number]],DATABASE_FG!$C$6:D12424,2,FALSE)," ")</f>
        <v xml:space="preserve">080814913-8011 </v>
      </c>
      <c r="G2435" s="117">
        <f>IFERROR(_xlfn.XLOOKUP(Table1[[#This Row],[Part Number]],Table3[Part number],Table3[Drawing
 Revision]),"")</f>
        <v>0</v>
      </c>
      <c r="H2435" s="118" cm="1">
        <f t="array" ref="H2435">IFERROR(INDEX(PDB!$C:$AT,MATCH(E2435,PDB!$B:$B,0),MATCH(YEAR(K2435),0+PDB!$C$1:$AT$1,0)),"")</f>
        <v>4.8099999999999996</v>
      </c>
      <c r="I2435" s="36">
        <f>408-379-22</f>
        <v>7</v>
      </c>
      <c r="J2435" s="125">
        <f>IFERROR(Table1[[#This Row],[Quantity]]*Table1[[#This Row],[Price/Unit
EUR]]," ")</f>
        <v>33.669999999999995</v>
      </c>
      <c r="K2435" s="126">
        <v>45601</v>
      </c>
      <c r="L2435" s="36">
        <f>WEEKNUM(Table1[[#This Row],[ETA
As requested
dd.mm.yyyy]])</f>
        <v>45</v>
      </c>
      <c r="M2435" s="36">
        <f>YEAR(Table1[[#This Row],[ETA
As requested
dd.mm.yyyy]])</f>
        <v>2024</v>
      </c>
      <c r="N2435" s="36">
        <f>IFERROR(INDEX(DATABASE_FG!$H$5:$H$367, MATCH(E2435, DATABASE_FG!$C$5:$C$367, 0)), " ")</f>
        <v>0</v>
      </c>
      <c r="O2435" s="129" t="str">
        <f>IF(E2435&lt;&gt;"", _xlfn.XLOOKUP(E2435, DATABASE_FG!C:C, DATABASE_FG!F:F), " ")</f>
        <v>Ghidaje</v>
      </c>
      <c r="P2435" s="36">
        <f>IFERROR(INDEX(DATABASE_FG!$G$5:$G$367, MATCH(E2435, DATABASE_FG!$C$5:$C$367, 0)), "Not Found")</f>
        <v>0</v>
      </c>
      <c r="Q2435" s="36"/>
      <c r="R2435" s="125" t="s">
        <v>678</v>
      </c>
      <c r="S2435" s="123">
        <f>IFERROR(INDEX(DATABASE_FG!$L$5:$L$367, MATCH(E2435, DATABASE_FG!$C$5:$C$367, 0)), " ")</f>
        <v>42</v>
      </c>
      <c r="T2435" s="36" t="s">
        <v>679</v>
      </c>
      <c r="U2435" s="36"/>
      <c r="V2435" s="36"/>
      <c r="W2435" s="129"/>
      <c r="X2435" s="36"/>
      <c r="Y2435" s="36"/>
      <c r="Z2435" s="36"/>
      <c r="AA2435" s="125" t="s">
        <v>121</v>
      </c>
      <c r="AB2435" s="172">
        <v>45614</v>
      </c>
      <c r="AC2435" s="119">
        <v>202401398</v>
      </c>
      <c r="AD2435" s="36">
        <f t="shared" si="268"/>
        <v>37871644</v>
      </c>
      <c r="AE2435" s="36" t="str">
        <f t="shared" si="269"/>
        <v>TK.KWVE30-B-A-S-0038-WW1</v>
      </c>
      <c r="AF2435" s="36">
        <v>7</v>
      </c>
      <c r="AG2435" s="120">
        <f t="shared" si="272"/>
        <v>33.669999999999995</v>
      </c>
      <c r="AH2435" s="36"/>
      <c r="AI2435" s="124"/>
      <c r="AJ2435" s="122" t="s">
        <v>2557</v>
      </c>
      <c r="AK2435" s="129" t="str">
        <f t="shared" ca="1" si="271"/>
        <v>Late</v>
      </c>
      <c r="AL2435" s="268" t="str">
        <f t="shared" si="270"/>
        <v>November</v>
      </c>
      <c r="AM2435" s="133">
        <f>YEAR(Table1[[#This Row],[ETA
As requested
dd.mm.yyyy]])</f>
        <v>2024</v>
      </c>
    </row>
    <row r="2436" spans="1:39" hidden="1">
      <c r="A2436" s="123" t="s">
        <v>83</v>
      </c>
      <c r="B2436" s="36" t="s">
        <v>1170</v>
      </c>
      <c r="C2436" s="117">
        <v>37871644</v>
      </c>
      <c r="D2436" s="165">
        <v>45587</v>
      </c>
      <c r="E2436" s="117" t="s">
        <v>102</v>
      </c>
      <c r="F2436" s="36" t="str">
        <f>IFERROR(VLOOKUP(Table1[[#This Row],[Part Number]],DATABASE_FG!$C$6:D12425,2,FALSE)," ")</f>
        <v xml:space="preserve">080814913-8011 </v>
      </c>
      <c r="G2436" s="117">
        <f>IFERROR(_xlfn.XLOOKUP(Table1[[#This Row],[Part Number]],Table3[Part number],Table3[Drawing
 Revision]),"")</f>
        <v>0</v>
      </c>
      <c r="H2436" s="118" cm="1">
        <f t="array" ref="H2436">IFERROR(INDEX(PDB!$C:$AT,MATCH(E2436,PDB!$B:$B,0),MATCH(YEAR(K2436),0+PDB!$C$1:$AT$1,0)),"")</f>
        <v>4.8099999999999996</v>
      </c>
      <c r="I2436" s="36">
        <v>200</v>
      </c>
      <c r="J2436" s="125">
        <f>IFERROR(Table1[[#This Row],[Quantity]]*Table1[[#This Row],[Price/Unit
EUR]]," ")</f>
        <v>961.99999999999989</v>
      </c>
      <c r="K2436" s="126">
        <v>45608</v>
      </c>
      <c r="L2436" s="36">
        <f>WEEKNUM(Table1[[#This Row],[ETA
As requested
dd.mm.yyyy]])</f>
        <v>46</v>
      </c>
      <c r="M2436" s="36">
        <f>YEAR(Table1[[#This Row],[ETA
As requested
dd.mm.yyyy]])</f>
        <v>2024</v>
      </c>
      <c r="N2436" s="36">
        <f>IFERROR(INDEX(DATABASE_FG!$H$5:$H$367, MATCH(E2436, DATABASE_FG!$C$5:$C$367, 0)), " ")</f>
        <v>0</v>
      </c>
      <c r="O2436" s="129" t="str">
        <f>IF(E2436&lt;&gt;"", _xlfn.XLOOKUP(E2436, DATABASE_FG!C:C, DATABASE_FG!F:F), " ")</f>
        <v>Ghidaje</v>
      </c>
      <c r="P2436" s="36">
        <f>IFERROR(INDEX(DATABASE_FG!$G$5:$G$367, MATCH(E2436, DATABASE_FG!$C$5:$C$367, 0)), "Not Found")</f>
        <v>0</v>
      </c>
      <c r="Q2436" s="36"/>
      <c r="R2436" s="125" t="s">
        <v>678</v>
      </c>
      <c r="S2436" s="123">
        <f>IFERROR(INDEX(DATABASE_FG!$L$5:$L$367, MATCH(E2436, DATABASE_FG!$C$5:$C$367, 0)), " ")</f>
        <v>42</v>
      </c>
      <c r="T2436" s="36" t="s">
        <v>679</v>
      </c>
      <c r="U2436" s="36"/>
      <c r="V2436" s="36"/>
      <c r="W2436" s="129"/>
      <c r="X2436" s="36"/>
      <c r="Y2436" s="36"/>
      <c r="Z2436" s="36"/>
      <c r="AA2436" s="125" t="s">
        <v>121</v>
      </c>
      <c r="AB2436" s="172">
        <v>45614</v>
      </c>
      <c r="AC2436" s="119">
        <v>202401398</v>
      </c>
      <c r="AD2436" s="36">
        <f t="shared" si="268"/>
        <v>37871644</v>
      </c>
      <c r="AE2436" s="36" t="str">
        <f t="shared" si="269"/>
        <v>TK.KWVE30-B-A-S-0038-WW1</v>
      </c>
      <c r="AF2436" s="36">
        <v>200</v>
      </c>
      <c r="AG2436" s="120">
        <f t="shared" si="272"/>
        <v>961.99999999999989</v>
      </c>
      <c r="AH2436" s="36"/>
      <c r="AI2436" s="124"/>
      <c r="AJ2436" s="122" t="s">
        <v>2557</v>
      </c>
      <c r="AK2436" s="129" t="str">
        <f t="shared" ca="1" si="271"/>
        <v>Late</v>
      </c>
      <c r="AL2436" s="268" t="str">
        <f t="shared" si="270"/>
        <v>November</v>
      </c>
      <c r="AM2436" s="133">
        <f>YEAR(Table1[[#This Row],[ETA
As requested
dd.mm.yyyy]])</f>
        <v>2024</v>
      </c>
    </row>
    <row r="2437" spans="1:39" hidden="1">
      <c r="A2437" s="123" t="s">
        <v>83</v>
      </c>
      <c r="B2437" s="36" t="s">
        <v>1170</v>
      </c>
      <c r="C2437" s="117">
        <v>37871644</v>
      </c>
      <c r="D2437" s="165">
        <v>45587</v>
      </c>
      <c r="E2437" s="117" t="s">
        <v>102</v>
      </c>
      <c r="F2437" s="36" t="str">
        <f>IFERROR(VLOOKUP(Table1[[#This Row],[Part Number]],DATABASE_FG!$C$6:D12426,2,FALSE)," ")</f>
        <v xml:space="preserve">080814913-8011 </v>
      </c>
      <c r="G2437" s="117">
        <f>IFERROR(_xlfn.XLOOKUP(Table1[[#This Row],[Part Number]],Table3[Part number],Table3[Drawing
 Revision]),"")</f>
        <v>0</v>
      </c>
      <c r="H2437" s="118" cm="1">
        <f t="array" ref="H2437">IFERROR(INDEX(PDB!$C:$AT,MATCH(E2437,PDB!$B:$B,0),MATCH(YEAR(K2437),0+PDB!$C$1:$AT$1,0)),"")</f>
        <v>4.8099999999999996</v>
      </c>
      <c r="I2437" s="36">
        <v>22</v>
      </c>
      <c r="J2437" s="125">
        <f>IFERROR(Table1[[#This Row],[Quantity]]*Table1[[#This Row],[Price/Unit
EUR]]," ")</f>
        <v>105.82</v>
      </c>
      <c r="K2437" s="126">
        <v>45608</v>
      </c>
      <c r="L2437" s="36">
        <f>WEEKNUM(Table1[[#This Row],[ETA
As requested
dd.mm.yyyy]])</f>
        <v>46</v>
      </c>
      <c r="M2437" s="36">
        <f>YEAR(Table1[[#This Row],[ETA
As requested
dd.mm.yyyy]])</f>
        <v>2024</v>
      </c>
      <c r="N2437" s="36">
        <f>IFERROR(INDEX(DATABASE_FG!$H$5:$H$367, MATCH(E2437, DATABASE_FG!$C$5:$C$367, 0)), " ")</f>
        <v>0</v>
      </c>
      <c r="O2437" s="129" t="str">
        <f>IF(E2437&lt;&gt;"", _xlfn.XLOOKUP(E2437, DATABASE_FG!C:C, DATABASE_FG!F:F), " ")</f>
        <v>Ghidaje</v>
      </c>
      <c r="P2437" s="36">
        <f>IFERROR(INDEX(DATABASE_FG!$G$5:$G$367, MATCH(E2437, DATABASE_FG!$C$5:$C$367, 0)), "Not Found")</f>
        <v>0</v>
      </c>
      <c r="Q2437" s="36"/>
      <c r="R2437" s="125" t="s">
        <v>678</v>
      </c>
      <c r="S2437" s="123">
        <f>IFERROR(INDEX(DATABASE_FG!$L$5:$L$367, MATCH(E2437, DATABASE_FG!$C$5:$C$367, 0)), " ")</f>
        <v>42</v>
      </c>
      <c r="T2437" s="36" t="s">
        <v>679</v>
      </c>
      <c r="U2437" s="36"/>
      <c r="V2437" s="36"/>
      <c r="W2437" s="129"/>
      <c r="X2437" s="36"/>
      <c r="Y2437" s="36"/>
      <c r="Z2437" s="36"/>
      <c r="AA2437" s="125" t="s">
        <v>121</v>
      </c>
      <c r="AB2437" s="172">
        <v>45623</v>
      </c>
      <c r="AC2437" s="119">
        <v>202401430</v>
      </c>
      <c r="AD2437" s="36">
        <f t="shared" si="268"/>
        <v>37871644</v>
      </c>
      <c r="AE2437" s="36" t="str">
        <f t="shared" si="269"/>
        <v>TK.KWVE30-B-A-S-0038-WW1</v>
      </c>
      <c r="AF2437" s="36">
        <v>22</v>
      </c>
      <c r="AG2437" s="120">
        <f t="shared" si="272"/>
        <v>105.82</v>
      </c>
      <c r="AH2437" s="36"/>
      <c r="AI2437" s="124"/>
      <c r="AJ2437" s="122" t="s">
        <v>2588</v>
      </c>
      <c r="AK2437" s="129" t="str">
        <f t="shared" ca="1" si="271"/>
        <v>Late</v>
      </c>
      <c r="AL2437" s="268" t="str">
        <f t="shared" si="270"/>
        <v>November</v>
      </c>
      <c r="AM2437" s="133">
        <f>YEAR(Table1[[#This Row],[ETA
As requested
dd.mm.yyyy]])</f>
        <v>2024</v>
      </c>
    </row>
    <row r="2438" spans="1:39" hidden="1">
      <c r="A2438" s="123" t="s">
        <v>83</v>
      </c>
      <c r="B2438" s="36" t="s">
        <v>1170</v>
      </c>
      <c r="C2438" s="117">
        <v>38036668</v>
      </c>
      <c r="D2438" s="165">
        <v>45614</v>
      </c>
      <c r="E2438" s="117" t="s">
        <v>102</v>
      </c>
      <c r="F2438" s="36" t="str">
        <f>IFERROR(VLOOKUP(Table1[[#This Row],[Part Number]],DATABASE_FG!$C$6:D12427,2,FALSE)," ")</f>
        <v xml:space="preserve">080814913-8011 </v>
      </c>
      <c r="G2438" s="117">
        <f>IFERROR(_xlfn.XLOOKUP(Table1[[#This Row],[Part Number]],Table3[Part number],Table3[Drawing
 Revision]),"")</f>
        <v>0</v>
      </c>
      <c r="H2438" s="118" cm="1">
        <f t="array" ref="H2438">IFERROR(INDEX(PDB!$C:$AT,MATCH(E2438,PDB!$B:$B,0),MATCH(YEAR(K2438),0+PDB!$C$1:$AT$1,0)),"")</f>
        <v>4.8099999999999996</v>
      </c>
      <c r="I2438" s="36">
        <v>403</v>
      </c>
      <c r="J2438" s="125">
        <f>IFERROR(Table1[[#This Row],[Quantity]]*Table1[[#This Row],[Price/Unit
EUR]]," ")</f>
        <v>1938.4299999999998</v>
      </c>
      <c r="K2438" s="126">
        <v>45629</v>
      </c>
      <c r="L2438" s="36">
        <f>WEEKNUM(Table1[[#This Row],[ETA
As requested
dd.mm.yyyy]])</f>
        <v>49</v>
      </c>
      <c r="M2438" s="36">
        <f>YEAR(Table1[[#This Row],[ETA
As requested
dd.mm.yyyy]])</f>
        <v>2024</v>
      </c>
      <c r="N2438" s="36">
        <f>IFERROR(INDEX(DATABASE_FG!$H$5:$H$367, MATCH(E2438, DATABASE_FG!$C$5:$C$367, 0)), " ")</f>
        <v>0</v>
      </c>
      <c r="O2438" s="129" t="str">
        <f>IF(E2438&lt;&gt;"", _xlfn.XLOOKUP(E2438, DATABASE_FG!C:C, DATABASE_FG!F:F), " ")</f>
        <v>Ghidaje</v>
      </c>
      <c r="P2438" s="36">
        <f>IFERROR(INDEX(DATABASE_FG!$G$5:$G$367, MATCH(E2438, DATABASE_FG!$C$5:$C$367, 0)), "Not Found")</f>
        <v>0</v>
      </c>
      <c r="Q2438" s="36"/>
      <c r="R2438" s="125" t="s">
        <v>678</v>
      </c>
      <c r="S2438" s="123">
        <f>IFERROR(INDEX(DATABASE_FG!$L$5:$L$367, MATCH(E2438, DATABASE_FG!$C$5:$C$367, 0)), " ")</f>
        <v>42</v>
      </c>
      <c r="T2438" s="36" t="s">
        <v>679</v>
      </c>
      <c r="U2438" s="36"/>
      <c r="V2438" s="36"/>
      <c r="W2438" s="129"/>
      <c r="X2438" s="36"/>
      <c r="Y2438" s="36"/>
      <c r="Z2438" s="36"/>
      <c r="AA2438" s="125" t="s">
        <v>121</v>
      </c>
      <c r="AB2438" s="172">
        <v>45629</v>
      </c>
      <c r="AC2438" s="119">
        <v>202401457</v>
      </c>
      <c r="AD2438" s="36">
        <f t="shared" si="268"/>
        <v>38036668</v>
      </c>
      <c r="AE2438" s="36" t="str">
        <f t="shared" si="269"/>
        <v>TK.KWVE30-B-A-S-0038-WW1</v>
      </c>
      <c r="AF2438" s="36">
        <v>403</v>
      </c>
      <c r="AG2438" s="120">
        <f t="shared" si="272"/>
        <v>1938.4299999999998</v>
      </c>
      <c r="AH2438" s="36"/>
      <c r="AI2438" s="124"/>
      <c r="AJ2438" s="122" t="s">
        <v>2638</v>
      </c>
      <c r="AK2438" s="129" t="str">
        <f t="shared" ca="1" si="271"/>
        <v>On Time</v>
      </c>
      <c r="AL2438" s="268" t="str">
        <f t="shared" si="270"/>
        <v>December</v>
      </c>
      <c r="AM2438" s="133">
        <f>YEAR(Table1[[#This Row],[ETA
As requested
dd.mm.yyyy]])</f>
        <v>2024</v>
      </c>
    </row>
    <row r="2439" spans="1:39" hidden="1">
      <c r="A2439" s="123" t="s">
        <v>83</v>
      </c>
      <c r="B2439" s="36" t="s">
        <v>1170</v>
      </c>
      <c r="C2439" s="117">
        <v>38036668</v>
      </c>
      <c r="D2439" s="165">
        <v>45614</v>
      </c>
      <c r="E2439" s="117" t="s">
        <v>102</v>
      </c>
      <c r="F2439" s="36" t="str">
        <f>IFERROR(VLOOKUP(Table1[[#This Row],[Part Number]],DATABASE_FG!$C$6:D12428,2,FALSE)," ")</f>
        <v xml:space="preserve">080814913-8011 </v>
      </c>
      <c r="G2439" s="117">
        <f>IFERROR(_xlfn.XLOOKUP(Table1[[#This Row],[Part Number]],Table3[Part number],Table3[Drawing
 Revision]),"")</f>
        <v>0</v>
      </c>
      <c r="H2439" s="118" cm="1">
        <f t="array" ref="H2439">IFERROR(INDEX(PDB!$C:$AT,MATCH(E2439,PDB!$B:$B,0),MATCH(YEAR(K2439),0+PDB!$C$1:$AT$1,0)),"")</f>
        <v>4.8099999999999996</v>
      </c>
      <c r="I2439" s="36">
        <v>107</v>
      </c>
      <c r="J2439" s="125">
        <f>IFERROR(Table1[[#This Row],[Quantity]]*Table1[[#This Row],[Price/Unit
EUR]]," ")</f>
        <v>514.66999999999996</v>
      </c>
      <c r="K2439" s="126">
        <v>45636</v>
      </c>
      <c r="L2439" s="36">
        <f>WEEKNUM(Table1[[#This Row],[ETA
As requested
dd.mm.yyyy]])</f>
        <v>50</v>
      </c>
      <c r="M2439" s="36">
        <f>YEAR(Table1[[#This Row],[ETA
As requested
dd.mm.yyyy]])</f>
        <v>2024</v>
      </c>
      <c r="N2439" s="36">
        <f>IFERROR(INDEX(DATABASE_FG!$H$5:$H$367, MATCH(E2439, DATABASE_FG!$C$5:$C$367, 0)), " ")</f>
        <v>0</v>
      </c>
      <c r="O2439" s="129" t="str">
        <f>IF(E2439&lt;&gt;"", _xlfn.XLOOKUP(E2439, DATABASE_FG!C:C, DATABASE_FG!F:F), " ")</f>
        <v>Ghidaje</v>
      </c>
      <c r="P2439" s="36">
        <f>IFERROR(INDEX(DATABASE_FG!$G$5:$G$367, MATCH(E2439, DATABASE_FG!$C$5:$C$367, 0)), "Not Found")</f>
        <v>0</v>
      </c>
      <c r="Q2439" s="36"/>
      <c r="R2439" s="125" t="s">
        <v>678</v>
      </c>
      <c r="S2439" s="123">
        <f>IFERROR(INDEX(DATABASE_FG!$L$5:$L$367, MATCH(E2439, DATABASE_FG!$C$5:$C$367, 0)), " ")</f>
        <v>42</v>
      </c>
      <c r="T2439" s="36" t="s">
        <v>679</v>
      </c>
      <c r="U2439" s="36"/>
      <c r="V2439" s="36"/>
      <c r="W2439" s="129"/>
      <c r="X2439" s="36"/>
      <c r="Y2439" s="36"/>
      <c r="Z2439" s="36"/>
      <c r="AA2439" s="125" t="s">
        <v>121</v>
      </c>
      <c r="AB2439" s="172">
        <v>45666</v>
      </c>
      <c r="AC2439" s="119">
        <v>202502506</v>
      </c>
      <c r="AD2439" s="36">
        <f t="shared" si="268"/>
        <v>38036668</v>
      </c>
      <c r="AE2439" s="36" t="str">
        <f t="shared" si="269"/>
        <v>TK.KWVE30-B-A-S-0038-WW1</v>
      </c>
      <c r="AF2439" s="36">
        <v>107</v>
      </c>
      <c r="AG2439" s="120">
        <f t="shared" si="272"/>
        <v>514.66999999999996</v>
      </c>
      <c r="AH2439" s="36"/>
      <c r="AI2439" s="124"/>
      <c r="AJ2439" s="122" t="s">
        <v>2655</v>
      </c>
      <c r="AK2439" s="129" t="str">
        <f t="shared" ca="1" si="271"/>
        <v>Late</v>
      </c>
      <c r="AL2439" s="268" t="str">
        <f t="shared" si="270"/>
        <v>December</v>
      </c>
      <c r="AM2439" s="133">
        <f>YEAR(Table1[[#This Row],[ETA
As requested
dd.mm.yyyy]])</f>
        <v>2024</v>
      </c>
    </row>
    <row r="2440" spans="1:39" hidden="1">
      <c r="A2440" s="123" t="s">
        <v>83</v>
      </c>
      <c r="B2440" s="36" t="s">
        <v>1170</v>
      </c>
      <c r="C2440" s="117">
        <v>38036668</v>
      </c>
      <c r="D2440" s="165">
        <v>45614</v>
      </c>
      <c r="E2440" s="117" t="s">
        <v>102</v>
      </c>
      <c r="F2440" s="36" t="str">
        <f>IFERROR(VLOOKUP(Table1[[#This Row],[Part Number]],DATABASE_FG!$C$6:D12429,2,FALSE)," ")</f>
        <v xml:space="preserve">080814913-8011 </v>
      </c>
      <c r="G2440" s="117">
        <f>IFERROR(_xlfn.XLOOKUP(Table1[[#This Row],[Part Number]],Table3[Part number],Table3[Drawing
 Revision]),"")</f>
        <v>0</v>
      </c>
      <c r="H2440" s="118" cm="1">
        <f t="array" ref="H2440">IFERROR(INDEX(PDB!$C:$AT,MATCH(E2440,PDB!$B:$B,0),MATCH(YEAR(K2440),0+PDB!$C$1:$AT$1,0)),"")</f>
        <v>4.8099999999999996</v>
      </c>
      <c r="I2440" s="36">
        <v>139</v>
      </c>
      <c r="J2440" s="125">
        <f>IFERROR(Table1[[#This Row],[Quantity]]*Table1[[#This Row],[Price/Unit
EUR]]," ")</f>
        <v>668.58999999999992</v>
      </c>
      <c r="K2440" s="126">
        <v>45636</v>
      </c>
      <c r="L2440" s="36">
        <f>WEEKNUM(Table1[[#This Row],[ETA
As requested
dd.mm.yyyy]])</f>
        <v>50</v>
      </c>
      <c r="M2440" s="36">
        <f>YEAR(Table1[[#This Row],[ETA
As requested
dd.mm.yyyy]])</f>
        <v>2024</v>
      </c>
      <c r="N2440" s="36">
        <f>IFERROR(INDEX(DATABASE_FG!$H$5:$H$367, MATCH(E2440, DATABASE_FG!$C$5:$C$367, 0)), " ")</f>
        <v>0</v>
      </c>
      <c r="O2440" s="129" t="str">
        <f>IF(E2440&lt;&gt;"", _xlfn.XLOOKUP(E2440, DATABASE_FG!C:C, DATABASE_FG!F:F), " ")</f>
        <v>Ghidaje</v>
      </c>
      <c r="P2440" s="36">
        <f>IFERROR(INDEX(DATABASE_FG!$G$5:$G$367, MATCH(E2440, DATABASE_FG!$C$5:$C$367, 0)), "Not Found")</f>
        <v>0</v>
      </c>
      <c r="Q2440" s="36"/>
      <c r="R2440" s="125" t="s">
        <v>678</v>
      </c>
      <c r="S2440" s="123">
        <f>IFERROR(INDEX(DATABASE_FG!$L$5:$L$367, MATCH(E2440, DATABASE_FG!$C$5:$C$367, 0)), " ")</f>
        <v>42</v>
      </c>
      <c r="T2440" s="36" t="s">
        <v>679</v>
      </c>
      <c r="U2440" s="36"/>
      <c r="V2440" s="36"/>
      <c r="W2440" s="129"/>
      <c r="X2440" s="36"/>
      <c r="Y2440" s="36"/>
      <c r="Z2440" s="36"/>
      <c r="AA2440" s="125" t="s">
        <v>121</v>
      </c>
      <c r="AB2440" s="172">
        <v>45667</v>
      </c>
      <c r="AC2440" s="119" t="s">
        <v>2656</v>
      </c>
      <c r="AD2440" s="36">
        <f t="shared" si="268"/>
        <v>38036668</v>
      </c>
      <c r="AE2440" s="36" t="str">
        <f t="shared" si="269"/>
        <v>TK.KWVE30-B-A-S-0038-WW1</v>
      </c>
      <c r="AF2440" s="36">
        <v>139</v>
      </c>
      <c r="AG2440" s="120">
        <f t="shared" si="272"/>
        <v>668.58999999999992</v>
      </c>
      <c r="AH2440" s="36"/>
      <c r="AI2440" s="124"/>
      <c r="AJ2440" s="122" t="s">
        <v>2657</v>
      </c>
      <c r="AK2440" s="129" t="str">
        <f t="shared" ca="1" si="271"/>
        <v>Late</v>
      </c>
      <c r="AL2440" s="268" t="str">
        <f t="shared" si="270"/>
        <v>December</v>
      </c>
      <c r="AM2440" s="133">
        <f>YEAR(Table1[[#This Row],[ETA
As requested
dd.mm.yyyy]])</f>
        <v>2024</v>
      </c>
    </row>
    <row r="2441" spans="1:39" hidden="1">
      <c r="A2441" s="123" t="s">
        <v>83</v>
      </c>
      <c r="B2441" s="36" t="s">
        <v>1170</v>
      </c>
      <c r="C2441" s="117">
        <v>38036668</v>
      </c>
      <c r="D2441" s="165">
        <v>45614</v>
      </c>
      <c r="E2441" s="117" t="s">
        <v>102</v>
      </c>
      <c r="F2441" s="36" t="str">
        <f>IFERROR(VLOOKUP(Table1[[#This Row],[Part Number]],DATABASE_FG!$C$6:D12430,2,FALSE)," ")</f>
        <v xml:space="preserve">080814913-8011 </v>
      </c>
      <c r="G2441" s="117">
        <f>IFERROR(_xlfn.XLOOKUP(Table1[[#This Row],[Part Number]],Table3[Part number],Table3[Drawing
 Revision]),"")</f>
        <v>0</v>
      </c>
      <c r="H2441" s="118" cm="1">
        <f t="array" ref="H2441">IFERROR(INDEX(PDB!$C:$AT,MATCH(E2441,PDB!$B:$B,0),MATCH(YEAR(K2441),0+PDB!$C$1:$AT$1,0)),"")</f>
        <v>4.8099999999999996</v>
      </c>
      <c r="I2441" s="36">
        <f>190-139</f>
        <v>51</v>
      </c>
      <c r="J2441" s="125">
        <f>IFERROR(Table1[[#This Row],[Quantity]]*Table1[[#This Row],[Price/Unit
EUR]]," ")</f>
        <v>245.30999999999997</v>
      </c>
      <c r="K2441" s="126">
        <v>45636</v>
      </c>
      <c r="L2441" s="36">
        <f>WEEKNUM(Table1[[#This Row],[ETA
As requested
dd.mm.yyyy]])</f>
        <v>50</v>
      </c>
      <c r="M2441" s="36">
        <f>YEAR(Table1[[#This Row],[ETA
As requested
dd.mm.yyyy]])</f>
        <v>2024</v>
      </c>
      <c r="N2441" s="36">
        <f>IFERROR(INDEX(DATABASE_FG!$H$5:$H$367, MATCH(E2441, DATABASE_FG!$C$5:$C$367, 0)), " ")</f>
        <v>0</v>
      </c>
      <c r="O2441" s="129" t="str">
        <f>IF(E2441&lt;&gt;"", _xlfn.XLOOKUP(E2441, DATABASE_FG!C:C, DATABASE_FG!F:F), " ")</f>
        <v>Ghidaje</v>
      </c>
      <c r="P2441" s="36">
        <f>IFERROR(INDEX(DATABASE_FG!$G$5:$G$367, MATCH(E2441, DATABASE_FG!$C$5:$C$367, 0)), "Not Found")</f>
        <v>0</v>
      </c>
      <c r="Q2441" s="36"/>
      <c r="R2441" s="125" t="s">
        <v>678</v>
      </c>
      <c r="S2441" s="123">
        <f>IFERROR(INDEX(DATABASE_FG!$L$5:$L$367, MATCH(E2441, DATABASE_FG!$C$5:$C$367, 0)), " ")</f>
        <v>42</v>
      </c>
      <c r="T2441" s="36" t="s">
        <v>679</v>
      </c>
      <c r="U2441" s="36"/>
      <c r="V2441" s="36"/>
      <c r="W2441" s="129"/>
      <c r="X2441" s="36"/>
      <c r="Y2441" s="36"/>
      <c r="Z2441" s="36"/>
      <c r="AA2441" s="125" t="s">
        <v>121</v>
      </c>
      <c r="AB2441" s="172">
        <v>45671</v>
      </c>
      <c r="AC2441" s="119" t="s">
        <v>2658</v>
      </c>
      <c r="AD2441" s="36">
        <f t="shared" si="268"/>
        <v>38036668</v>
      </c>
      <c r="AE2441" s="36" t="str">
        <f t="shared" si="269"/>
        <v>TK.KWVE30-B-A-S-0038-WW1</v>
      </c>
      <c r="AF2441" s="36">
        <v>51</v>
      </c>
      <c r="AG2441" s="120">
        <f t="shared" si="272"/>
        <v>245.30999999999997</v>
      </c>
      <c r="AH2441" s="36"/>
      <c r="AI2441" s="124"/>
      <c r="AJ2441" s="122" t="s">
        <v>2659</v>
      </c>
      <c r="AK2441" s="129" t="str">
        <f t="shared" ca="1" si="271"/>
        <v>Late</v>
      </c>
      <c r="AL2441" s="268" t="str">
        <f t="shared" si="270"/>
        <v>December</v>
      </c>
      <c r="AM2441" s="133">
        <f>YEAR(Table1[[#This Row],[ETA
As requested
dd.mm.yyyy]])</f>
        <v>2024</v>
      </c>
    </row>
    <row r="2442" spans="1:39" hidden="1">
      <c r="A2442" s="123" t="s">
        <v>83</v>
      </c>
      <c r="B2442" s="36" t="s">
        <v>1170</v>
      </c>
      <c r="C2442" s="117">
        <v>38215976</v>
      </c>
      <c r="D2442" s="165">
        <v>45635</v>
      </c>
      <c r="E2442" s="117" t="s">
        <v>102</v>
      </c>
      <c r="F2442" s="36" t="str">
        <f>IFERROR(VLOOKUP(Table1[[#This Row],[Part Number]],DATABASE_FG!$C$6:D12431,2,FALSE)," ")</f>
        <v xml:space="preserve">080814913-8011 </v>
      </c>
      <c r="G2442" s="117">
        <f>IFERROR(_xlfn.XLOOKUP(Table1[[#This Row],[Part Number]],Table3[Part number],Table3[Drawing
 Revision]),"")</f>
        <v>0</v>
      </c>
      <c r="H2442" s="118" cm="1">
        <f t="array" ref="H2442">IFERROR(INDEX(PDB!$C:$AT,MATCH(E2442,PDB!$B:$B,0),MATCH(YEAR(K2442),0+PDB!$C$1:$AT$1,0)),"")</f>
        <v>4.8099999999999996</v>
      </c>
      <c r="I2442" s="36">
        <v>100</v>
      </c>
      <c r="J2442" s="125">
        <f>IFERROR(Table1[[#This Row],[Quantity]]*Table1[[#This Row],[Price/Unit
EUR]]," ")</f>
        <v>480.99999999999994</v>
      </c>
      <c r="K2442" s="126">
        <v>45666</v>
      </c>
      <c r="L2442" s="36">
        <f>WEEKNUM(Table1[[#This Row],[ETA
As requested
dd.mm.yyyy]])</f>
        <v>2</v>
      </c>
      <c r="M2442" s="36">
        <f>YEAR(Table1[[#This Row],[ETA
As requested
dd.mm.yyyy]])</f>
        <v>2025</v>
      </c>
      <c r="N2442" s="36">
        <f>IFERROR(INDEX(DATABASE_FG!$H$5:$H$367, MATCH(E2442, DATABASE_FG!$C$5:$C$367, 0)), " ")</f>
        <v>0</v>
      </c>
      <c r="O2442" s="129" t="str">
        <f>IF(E2442&lt;&gt;"", _xlfn.XLOOKUP(E2442, DATABASE_FG!C:C, DATABASE_FG!F:F), " ")</f>
        <v>Ghidaje</v>
      </c>
      <c r="P2442" s="36">
        <f>IFERROR(INDEX(DATABASE_FG!$G$5:$G$367, MATCH(E2442, DATABASE_FG!$C$5:$C$367, 0)), "Not Found")</f>
        <v>0</v>
      </c>
      <c r="Q2442" s="36"/>
      <c r="R2442" s="125" t="s">
        <v>678</v>
      </c>
      <c r="S2442" s="123">
        <f>IFERROR(INDEX(DATABASE_FG!$L$5:$L$367, MATCH(E2442, DATABASE_FG!$C$5:$C$367, 0)), " ")</f>
        <v>42</v>
      </c>
      <c r="T2442" s="36" t="s">
        <v>679</v>
      </c>
      <c r="U2442" s="36"/>
      <c r="V2442" s="36"/>
      <c r="W2442" s="129"/>
      <c r="X2442" s="36"/>
      <c r="Y2442" s="36"/>
      <c r="Z2442" s="36"/>
      <c r="AA2442" s="125" t="s">
        <v>121</v>
      </c>
      <c r="AB2442" s="172">
        <v>45671</v>
      </c>
      <c r="AC2442" s="119" t="s">
        <v>2695</v>
      </c>
      <c r="AD2442" s="36">
        <f t="shared" si="268"/>
        <v>38215976</v>
      </c>
      <c r="AE2442" s="36" t="str">
        <f t="shared" si="269"/>
        <v>TK.KWVE30-B-A-S-0038-WW1</v>
      </c>
      <c r="AF2442" s="36">
        <v>100</v>
      </c>
      <c r="AG2442" s="120">
        <f t="shared" si="272"/>
        <v>480.99999999999994</v>
      </c>
      <c r="AH2442" s="36"/>
      <c r="AI2442" s="124"/>
      <c r="AJ2442" s="122" t="s">
        <v>2696</v>
      </c>
      <c r="AK2442" s="129" t="str">
        <f t="shared" ca="1" si="271"/>
        <v>Late</v>
      </c>
      <c r="AL2442" s="268" t="str">
        <f t="shared" si="270"/>
        <v>January</v>
      </c>
      <c r="AM2442" s="133">
        <f>YEAR(Table1[[#This Row],[ETA
As requested
dd.mm.yyyy]])</f>
        <v>2025</v>
      </c>
    </row>
    <row r="2443" spans="1:39" hidden="1">
      <c r="A2443" s="123" t="s">
        <v>83</v>
      </c>
      <c r="B2443" s="36" t="s">
        <v>1170</v>
      </c>
      <c r="C2443" s="117">
        <v>38474510</v>
      </c>
      <c r="D2443" s="165">
        <v>45679</v>
      </c>
      <c r="E2443" s="117" t="s">
        <v>102</v>
      </c>
      <c r="F2443" s="36" t="str">
        <f>IFERROR(VLOOKUP(Table1[[#This Row],[Part Number]],DATABASE_FG!$C$6:D12432,2,FALSE)," ")</f>
        <v xml:space="preserve">080814913-8011 </v>
      </c>
      <c r="G2443" s="117">
        <f>IFERROR(_xlfn.XLOOKUP(Table1[[#This Row],[Part Number]],Table3[Part number],Table3[Drawing
 Revision]),"")</f>
        <v>0</v>
      </c>
      <c r="H2443" s="118" cm="1">
        <f t="array" ref="H2443">IFERROR(INDEX(PDB!$C:$AT,MATCH(E2443,PDB!$B:$B,0),MATCH(YEAR(K2443),0+PDB!$C$1:$AT$1,0)),"")</f>
        <v>4.8099999999999996</v>
      </c>
      <c r="I2443" s="36">
        <v>9</v>
      </c>
      <c r="J2443" s="125">
        <f>IFERROR(Table1[[#This Row],[Quantity]]*Table1[[#This Row],[Price/Unit
EUR]]," ")</f>
        <v>43.29</v>
      </c>
      <c r="K2443" s="126">
        <v>45694</v>
      </c>
      <c r="L2443" s="36">
        <f>WEEKNUM(Table1[[#This Row],[ETA
As requested
dd.mm.yyyy]])</f>
        <v>6</v>
      </c>
      <c r="M2443" s="36">
        <f>YEAR(Table1[[#This Row],[ETA
As requested
dd.mm.yyyy]])</f>
        <v>2025</v>
      </c>
      <c r="N2443" s="36">
        <f>IFERROR(INDEX(DATABASE_FG!$H$5:$H$367, MATCH(E2443, DATABASE_FG!$C$5:$C$367, 0)), " ")</f>
        <v>0</v>
      </c>
      <c r="O2443" s="129" t="str">
        <f>IF(E2443&lt;&gt;"", _xlfn.XLOOKUP(E2443, DATABASE_FG!C:C, DATABASE_FG!F:F), " ")</f>
        <v>Ghidaje</v>
      </c>
      <c r="P2443" s="36">
        <f>IFERROR(INDEX(DATABASE_FG!$G$5:$G$367, MATCH(E2443, DATABASE_FG!$C$5:$C$367, 0)), "Not Found")</f>
        <v>0</v>
      </c>
      <c r="Q2443" s="36"/>
      <c r="R2443" s="125" t="s">
        <v>678</v>
      </c>
      <c r="S2443" s="123">
        <f>IFERROR(INDEX(DATABASE_FG!$L$5:$L$367, MATCH(E2443, DATABASE_FG!$C$5:$C$367, 0)), " ")</f>
        <v>42</v>
      </c>
      <c r="T2443" s="36" t="s">
        <v>679</v>
      </c>
      <c r="U2443" s="36"/>
      <c r="V2443" s="36"/>
      <c r="W2443" s="129"/>
      <c r="X2443" s="36"/>
      <c r="Y2443" s="36"/>
      <c r="Z2443" s="36"/>
      <c r="AA2443" s="125" t="s">
        <v>121</v>
      </c>
      <c r="AB2443" s="173">
        <v>45694</v>
      </c>
      <c r="AC2443" s="119">
        <v>25155</v>
      </c>
      <c r="AD2443" s="36">
        <f t="shared" si="268"/>
        <v>38474510</v>
      </c>
      <c r="AE2443" s="36" t="str">
        <f t="shared" si="269"/>
        <v>TK.KWVE30-B-A-S-0038-WW1</v>
      </c>
      <c r="AF2443" s="36">
        <v>9</v>
      </c>
      <c r="AG2443" s="120">
        <f t="shared" si="272"/>
        <v>43.29</v>
      </c>
      <c r="AH2443" s="36"/>
      <c r="AI2443" s="124"/>
      <c r="AJ2443" s="122" t="s">
        <v>2771</v>
      </c>
      <c r="AK2443" s="129" t="str">
        <f t="shared" ca="1" si="271"/>
        <v>On Time</v>
      </c>
      <c r="AL2443" s="268" t="str">
        <f t="shared" si="270"/>
        <v>February</v>
      </c>
      <c r="AM2443" s="133">
        <f>YEAR(Table1[[#This Row],[ETA
As requested
dd.mm.yyyy]])</f>
        <v>2025</v>
      </c>
    </row>
    <row r="2444" spans="1:39" hidden="1">
      <c r="A2444" s="123" t="s">
        <v>83</v>
      </c>
      <c r="B2444" s="36" t="s">
        <v>1170</v>
      </c>
      <c r="C2444" s="117">
        <v>38474510</v>
      </c>
      <c r="D2444" s="165">
        <v>45679</v>
      </c>
      <c r="E2444" s="117" t="s">
        <v>102</v>
      </c>
      <c r="F2444" s="36" t="str">
        <f>IFERROR(VLOOKUP(Table1[[#This Row],[Part Number]],DATABASE_FG!$C$6:D12433,2,FALSE)," ")</f>
        <v xml:space="preserve">080814913-8011 </v>
      </c>
      <c r="G2444" s="117">
        <f>IFERROR(_xlfn.XLOOKUP(Table1[[#This Row],[Part Number]],Table3[Part number],Table3[Drawing
 Revision]),"")</f>
        <v>0</v>
      </c>
      <c r="H2444" s="118" cm="1">
        <f t="array" ref="H2444">IFERROR(INDEX(PDB!$C:$AT,MATCH(E2444,PDB!$B:$B,0),MATCH(YEAR(K2444),0+PDB!$C$1:$AT$1,0)),"")</f>
        <v>4.8099999999999996</v>
      </c>
      <c r="I2444" s="36">
        <v>160</v>
      </c>
      <c r="J2444" s="125">
        <f>IFERROR(Table1[[#This Row],[Quantity]]*Table1[[#This Row],[Price/Unit
EUR]]," ")</f>
        <v>769.59999999999991</v>
      </c>
      <c r="K2444" s="126">
        <v>45694</v>
      </c>
      <c r="L2444" s="36">
        <f>WEEKNUM(Table1[[#This Row],[ETA
As requested
dd.mm.yyyy]])</f>
        <v>6</v>
      </c>
      <c r="M2444" s="36">
        <f>YEAR(Table1[[#This Row],[ETA
As requested
dd.mm.yyyy]])</f>
        <v>2025</v>
      </c>
      <c r="N2444" s="36">
        <f>IFERROR(INDEX(DATABASE_FG!$H$5:$H$367, MATCH(E2444, DATABASE_FG!$C$5:$C$367, 0)), " ")</f>
        <v>0</v>
      </c>
      <c r="O2444" s="129" t="str">
        <f>IF(E2444&lt;&gt;"", _xlfn.XLOOKUP(E2444, DATABASE_FG!C:C, DATABASE_FG!F:F), " ")</f>
        <v>Ghidaje</v>
      </c>
      <c r="P2444" s="36">
        <f>IFERROR(INDEX(DATABASE_FG!$G$5:$G$367, MATCH(E2444, DATABASE_FG!$C$5:$C$367, 0)), "Not Found")</f>
        <v>0</v>
      </c>
      <c r="Q2444" s="36"/>
      <c r="R2444" s="125" t="s">
        <v>678</v>
      </c>
      <c r="S2444" s="123">
        <f>IFERROR(INDEX(DATABASE_FG!$L$5:$L$367, MATCH(E2444, DATABASE_FG!$C$5:$C$367, 0)), " ")</f>
        <v>42</v>
      </c>
      <c r="T2444" s="36" t="s">
        <v>679</v>
      </c>
      <c r="U2444" s="36"/>
      <c r="V2444" s="36"/>
      <c r="W2444" s="129"/>
      <c r="X2444" s="36"/>
      <c r="Y2444" s="36" t="s">
        <v>121</v>
      </c>
      <c r="Z2444" s="36"/>
      <c r="AA2444" s="125" t="s">
        <v>121</v>
      </c>
      <c r="AB2444" s="173">
        <v>45699</v>
      </c>
      <c r="AC2444" s="119">
        <v>25189</v>
      </c>
      <c r="AD2444" s="36">
        <f t="shared" si="268"/>
        <v>38474510</v>
      </c>
      <c r="AE2444" s="36" t="str">
        <f t="shared" si="269"/>
        <v>TK.KWVE30-B-A-S-0038-WW1</v>
      </c>
      <c r="AF2444" s="36">
        <v>160</v>
      </c>
      <c r="AG2444" s="120">
        <f t="shared" si="272"/>
        <v>769.59999999999991</v>
      </c>
      <c r="AH2444" s="36"/>
      <c r="AI2444" s="124"/>
      <c r="AJ2444" s="122" t="s">
        <v>2777</v>
      </c>
      <c r="AK2444" s="129" t="str">
        <f t="shared" ca="1" si="271"/>
        <v>Late</v>
      </c>
      <c r="AL2444" s="268" t="str">
        <f t="shared" si="270"/>
        <v>February</v>
      </c>
      <c r="AM2444" s="133">
        <f>YEAR(Table1[[#This Row],[ETA
As requested
dd.mm.yyyy]])</f>
        <v>2025</v>
      </c>
    </row>
    <row r="2445" spans="1:39" hidden="1">
      <c r="A2445" s="123" t="s">
        <v>83</v>
      </c>
      <c r="B2445" s="36" t="s">
        <v>1170</v>
      </c>
      <c r="C2445" s="117">
        <v>38474510</v>
      </c>
      <c r="D2445" s="165">
        <v>45679</v>
      </c>
      <c r="E2445" s="117" t="s">
        <v>102</v>
      </c>
      <c r="F2445" s="36" t="str">
        <f>IFERROR(VLOOKUP(Table1[[#This Row],[Part Number]],DATABASE_FG!$C$6:D12434,2,FALSE)," ")</f>
        <v xml:space="preserve">080814913-8011 </v>
      </c>
      <c r="G2445" s="117">
        <f>IFERROR(_xlfn.XLOOKUP(Table1[[#This Row],[Part Number]],Table3[Part number],Table3[Drawing
 Revision]),"")</f>
        <v>0</v>
      </c>
      <c r="H2445" s="118" cm="1">
        <f t="array" ref="H2445">IFERROR(INDEX(PDB!$C:$AT,MATCH(E2445,PDB!$B:$B,0),MATCH(YEAR(K2445),0+PDB!$C$1:$AT$1,0)),"")</f>
        <v>4.8099999999999996</v>
      </c>
      <c r="I2445" s="36">
        <f>300-9-160</f>
        <v>131</v>
      </c>
      <c r="J2445" s="125">
        <f>IFERROR(Table1[[#This Row],[Quantity]]*Table1[[#This Row],[Price/Unit
EUR]]," ")</f>
        <v>630.1099999999999</v>
      </c>
      <c r="K2445" s="126">
        <v>45694</v>
      </c>
      <c r="L2445" s="36">
        <f>WEEKNUM(Table1[[#This Row],[ETA
As requested
dd.mm.yyyy]])</f>
        <v>6</v>
      </c>
      <c r="M2445" s="36">
        <f>YEAR(Table1[[#This Row],[ETA
As requested
dd.mm.yyyy]])</f>
        <v>2025</v>
      </c>
      <c r="N2445" s="36">
        <f>IFERROR(INDEX(DATABASE_FG!$H$5:$H$367, MATCH(E2445, DATABASE_FG!$C$5:$C$367, 0)), " ")</f>
        <v>0</v>
      </c>
      <c r="O2445" s="129" t="str">
        <f>IF(E2445&lt;&gt;"", _xlfn.XLOOKUP(E2445, DATABASE_FG!C:C, DATABASE_FG!F:F), " ")</f>
        <v>Ghidaje</v>
      </c>
      <c r="P2445" s="36">
        <f>IFERROR(INDEX(DATABASE_FG!$G$5:$G$367, MATCH(E2445, DATABASE_FG!$C$5:$C$367, 0)), "Not Found")</f>
        <v>0</v>
      </c>
      <c r="Q2445" s="36"/>
      <c r="R2445" s="125" t="s">
        <v>678</v>
      </c>
      <c r="S2445" s="123">
        <f>IFERROR(INDEX(DATABASE_FG!$L$5:$L$367, MATCH(E2445, DATABASE_FG!$C$5:$C$367, 0)), " ")</f>
        <v>42</v>
      </c>
      <c r="T2445" s="36" t="s">
        <v>679</v>
      </c>
      <c r="U2445" s="36"/>
      <c r="V2445" s="36"/>
      <c r="W2445" s="129"/>
      <c r="X2445" s="36"/>
      <c r="Y2445" s="36" t="s">
        <v>121</v>
      </c>
      <c r="Z2445" s="36"/>
      <c r="AA2445" s="125" t="s">
        <v>121</v>
      </c>
      <c r="AB2445" s="173">
        <v>45700</v>
      </c>
      <c r="AC2445" s="119">
        <v>25193</v>
      </c>
      <c r="AD2445" s="36">
        <f t="shared" si="268"/>
        <v>38474510</v>
      </c>
      <c r="AE2445" s="36" t="str">
        <f t="shared" si="269"/>
        <v>TK.KWVE30-B-A-S-0038-WW1</v>
      </c>
      <c r="AF2445" s="36">
        <v>131</v>
      </c>
      <c r="AG2445" s="120">
        <f t="shared" si="272"/>
        <v>630.1099999999999</v>
      </c>
      <c r="AH2445" s="36"/>
      <c r="AI2445" s="124"/>
      <c r="AJ2445" s="122" t="s">
        <v>2779</v>
      </c>
      <c r="AK2445" s="129" t="str">
        <f t="shared" ca="1" si="271"/>
        <v>Late</v>
      </c>
      <c r="AL2445" s="268" t="str">
        <f t="shared" si="270"/>
        <v>February</v>
      </c>
      <c r="AM2445" s="133">
        <f>YEAR(Table1[[#This Row],[ETA
As requested
dd.mm.yyyy]])</f>
        <v>2025</v>
      </c>
    </row>
    <row r="2446" spans="1:39" hidden="1">
      <c r="A2446" s="123" t="s">
        <v>83</v>
      </c>
      <c r="B2446" s="36" t="s">
        <v>1170</v>
      </c>
      <c r="C2446" s="117">
        <v>38474510</v>
      </c>
      <c r="D2446" s="165">
        <v>45679</v>
      </c>
      <c r="E2446" s="117" t="s">
        <v>102</v>
      </c>
      <c r="F2446" s="36" t="str">
        <f>IFERROR(VLOOKUP(Table1[[#This Row],[Part Number]],DATABASE_FG!$C$6:D12435,2,FALSE)," ")</f>
        <v xml:space="preserve">080814913-8011 </v>
      </c>
      <c r="G2446" s="117">
        <f>IFERROR(_xlfn.XLOOKUP(Table1[[#This Row],[Part Number]],Table3[Part number],Table3[Drawing
 Revision]),"")</f>
        <v>0</v>
      </c>
      <c r="H2446" s="118" cm="1">
        <f t="array" ref="H2446">IFERROR(INDEX(PDB!$C:$AT,MATCH(E2446,PDB!$B:$B,0),MATCH(YEAR(K2446),0+PDB!$C$1:$AT$1,0)),"")</f>
        <v>4.8099999999999996</v>
      </c>
      <c r="I2446" s="36">
        <v>125</v>
      </c>
      <c r="J2446" s="125">
        <f>IFERROR(Table1[[#This Row],[Quantity]]*Table1[[#This Row],[Price/Unit
EUR]]," ")</f>
        <v>601.25</v>
      </c>
      <c r="K2446" s="126">
        <v>45701</v>
      </c>
      <c r="L2446" s="36">
        <f>WEEKNUM(Table1[[#This Row],[ETA
As requested
dd.mm.yyyy]])</f>
        <v>7</v>
      </c>
      <c r="M2446" s="36">
        <f>YEAR(Table1[[#This Row],[ETA
As requested
dd.mm.yyyy]])</f>
        <v>2025</v>
      </c>
      <c r="N2446" s="36">
        <f>IFERROR(INDEX(DATABASE_FG!$H$5:$H$367, MATCH(E2446, DATABASE_FG!$C$5:$C$367, 0)), " ")</f>
        <v>0</v>
      </c>
      <c r="O2446" s="129" t="str">
        <f>IF(E2446&lt;&gt;"", _xlfn.XLOOKUP(E2446, DATABASE_FG!C:C, DATABASE_FG!F:F), " ")</f>
        <v>Ghidaje</v>
      </c>
      <c r="P2446" s="36">
        <f>IFERROR(INDEX(DATABASE_FG!$G$5:$G$367, MATCH(E2446, DATABASE_FG!$C$5:$C$367, 0)), "Not Found")</f>
        <v>0</v>
      </c>
      <c r="Q2446" s="36"/>
      <c r="R2446" s="125" t="s">
        <v>678</v>
      </c>
      <c r="S2446" s="123">
        <f>IFERROR(INDEX(DATABASE_FG!$L$5:$L$367, MATCH(E2446, DATABASE_FG!$C$5:$C$367, 0)), " ")</f>
        <v>42</v>
      </c>
      <c r="T2446" s="36" t="s">
        <v>679</v>
      </c>
      <c r="U2446" s="36"/>
      <c r="V2446" s="36"/>
      <c r="W2446" s="129"/>
      <c r="X2446" s="36"/>
      <c r="Y2446" s="36" t="s">
        <v>121</v>
      </c>
      <c r="Z2446" s="36"/>
      <c r="AA2446" s="125" t="s">
        <v>121</v>
      </c>
      <c r="AB2446" s="173">
        <v>45700</v>
      </c>
      <c r="AC2446" s="119">
        <v>25193</v>
      </c>
      <c r="AD2446" s="36">
        <f t="shared" ref="AD2446:AD2509" si="273">IF(NOT(ISBLANK(AC2446)), C2446, "")</f>
        <v>38474510</v>
      </c>
      <c r="AE2446" s="36" t="str">
        <f t="shared" ref="AE2446:AE2509" si="274">IF(NOT(ISBLANK(AC2446)), E2446, "")</f>
        <v>TK.KWVE30-B-A-S-0038-WW1</v>
      </c>
      <c r="AF2446" s="36">
        <v>125</v>
      </c>
      <c r="AG2446" s="120">
        <f t="shared" si="272"/>
        <v>601.25</v>
      </c>
      <c r="AH2446" s="36"/>
      <c r="AI2446" s="124"/>
      <c r="AJ2446" s="122" t="s">
        <v>2779</v>
      </c>
      <c r="AK2446" s="129" t="str">
        <f t="shared" ca="1" si="271"/>
        <v>On Time</v>
      </c>
      <c r="AL2446" s="268" t="str">
        <f t="shared" si="270"/>
        <v>February</v>
      </c>
      <c r="AM2446" s="133">
        <f>YEAR(Table1[[#This Row],[ETA
As requested
dd.mm.yyyy]])</f>
        <v>2025</v>
      </c>
    </row>
    <row r="2447" spans="1:39" hidden="1">
      <c r="A2447" s="123" t="s">
        <v>83</v>
      </c>
      <c r="B2447" s="36" t="s">
        <v>1170</v>
      </c>
      <c r="C2447" s="117">
        <v>38474510</v>
      </c>
      <c r="D2447" s="165">
        <v>45679</v>
      </c>
      <c r="E2447" s="117" t="s">
        <v>102</v>
      </c>
      <c r="F2447" s="36" t="str">
        <f>IFERROR(VLOOKUP(Table1[[#This Row],[Part Number]],DATABASE_FG!$C$6:D12436,2,FALSE)," ")</f>
        <v xml:space="preserve">080814913-8011 </v>
      </c>
      <c r="G2447" s="117">
        <f>IFERROR(_xlfn.XLOOKUP(Table1[[#This Row],[Part Number]],Table3[Part number],Table3[Drawing
 Revision]),"")</f>
        <v>0</v>
      </c>
      <c r="H2447" s="118" cm="1">
        <f t="array" ref="H2447">IFERROR(INDEX(PDB!$C:$AT,MATCH(E2447,PDB!$B:$B,0),MATCH(YEAR(K2447),0+PDB!$C$1:$AT$1,0)),"")</f>
        <v>4.8099999999999996</v>
      </c>
      <c r="I2447" s="36">
        <v>175</v>
      </c>
      <c r="J2447" s="125">
        <f>IFERROR(Table1[[#This Row],[Quantity]]*Table1[[#This Row],[Price/Unit
EUR]]," ")</f>
        <v>841.74999999999989</v>
      </c>
      <c r="K2447" s="126">
        <v>45701</v>
      </c>
      <c r="L2447" s="36">
        <f>WEEKNUM(Table1[[#This Row],[ETA
As requested
dd.mm.yyyy]])</f>
        <v>7</v>
      </c>
      <c r="M2447" s="36">
        <f>YEAR(Table1[[#This Row],[ETA
As requested
dd.mm.yyyy]])</f>
        <v>2025</v>
      </c>
      <c r="N2447" s="36">
        <f>IFERROR(INDEX(DATABASE_FG!$H$5:$H$367, MATCH(E2447, DATABASE_FG!$C$5:$C$367, 0)), " ")</f>
        <v>0</v>
      </c>
      <c r="O2447" s="129" t="str">
        <f>IF(E2447&lt;&gt;"", _xlfn.XLOOKUP(E2447, DATABASE_FG!C:C, DATABASE_FG!F:F), " ")</f>
        <v>Ghidaje</v>
      </c>
      <c r="P2447" s="36">
        <f>IFERROR(INDEX(DATABASE_FG!$G$5:$G$367, MATCH(E2447, DATABASE_FG!$C$5:$C$367, 0)), "Not Found")</f>
        <v>0</v>
      </c>
      <c r="Q2447" s="36"/>
      <c r="R2447" s="125" t="s">
        <v>678</v>
      </c>
      <c r="S2447" s="123">
        <f>IFERROR(INDEX(DATABASE_FG!$L$5:$L$367, MATCH(E2447, DATABASE_FG!$C$5:$C$367, 0)), " ")</f>
        <v>42</v>
      </c>
      <c r="T2447" s="36" t="s">
        <v>679</v>
      </c>
      <c r="U2447" s="36"/>
      <c r="V2447" s="36"/>
      <c r="W2447" s="129"/>
      <c r="X2447" s="36"/>
      <c r="Y2447" s="36" t="s">
        <v>121</v>
      </c>
      <c r="Z2447" s="36"/>
      <c r="AA2447" s="125" t="s">
        <v>121</v>
      </c>
      <c r="AB2447" s="173">
        <v>45701</v>
      </c>
      <c r="AC2447" s="119">
        <v>25196</v>
      </c>
      <c r="AD2447" s="36">
        <f t="shared" si="273"/>
        <v>38474510</v>
      </c>
      <c r="AE2447" s="36" t="str">
        <f t="shared" si="274"/>
        <v>TK.KWVE30-B-A-S-0038-WW1</v>
      </c>
      <c r="AF2447" s="36">
        <v>175</v>
      </c>
      <c r="AG2447" s="120">
        <f t="shared" si="272"/>
        <v>841.74999999999989</v>
      </c>
      <c r="AH2447" s="36"/>
      <c r="AI2447" s="124"/>
      <c r="AJ2447" s="122" t="s">
        <v>2797</v>
      </c>
      <c r="AK2447" s="129" t="str">
        <f t="shared" ca="1" si="271"/>
        <v>On Time</v>
      </c>
      <c r="AL2447" s="268" t="str">
        <f t="shared" si="270"/>
        <v>February</v>
      </c>
      <c r="AM2447" s="133">
        <f>YEAR(Table1[[#This Row],[ETA
As requested
dd.mm.yyyy]])</f>
        <v>2025</v>
      </c>
    </row>
    <row r="2448" spans="1:39" hidden="1">
      <c r="A2448" s="123" t="s">
        <v>83</v>
      </c>
      <c r="B2448" s="36" t="s">
        <v>1170</v>
      </c>
      <c r="C2448" s="117">
        <v>38676789</v>
      </c>
      <c r="D2448" s="165">
        <v>45709</v>
      </c>
      <c r="E2448" s="117" t="s">
        <v>102</v>
      </c>
      <c r="F2448" s="36" t="str">
        <f>IFERROR(VLOOKUP(Table1[[#This Row],[Part Number]],DATABASE_FG!$C$6:D12437,2,FALSE)," ")</f>
        <v xml:space="preserve">080814913-8011 </v>
      </c>
      <c r="G2448" s="117">
        <f>IFERROR(_xlfn.XLOOKUP(Table1[[#This Row],[Part Number]],Table3[Part number],Table3[Drawing
 Revision]),"")</f>
        <v>0</v>
      </c>
      <c r="H2448" s="118" cm="1">
        <f t="array" ref="H2448">IFERROR(INDEX(PDB!$C:$AT,MATCH(E2448,PDB!$B:$B,0),MATCH(YEAR(K2448),0+PDB!$C$1:$AT$1,0)),"")</f>
        <v>4.8099999999999996</v>
      </c>
      <c r="I2448" s="36">
        <v>120</v>
      </c>
      <c r="J2448" s="125">
        <f>IFERROR(Table1[[#This Row],[Quantity]]*Table1[[#This Row],[Price/Unit
EUR]]," ")</f>
        <v>577.19999999999993</v>
      </c>
      <c r="K2448" s="126">
        <v>45720</v>
      </c>
      <c r="L2448" s="36">
        <f>WEEKNUM(Table1[[#This Row],[ETA
As requested
dd.mm.yyyy]])</f>
        <v>10</v>
      </c>
      <c r="M2448" s="36">
        <f>YEAR(Table1[[#This Row],[ETA
As requested
dd.mm.yyyy]])</f>
        <v>2025</v>
      </c>
      <c r="N2448" s="36">
        <f>IFERROR(INDEX(DATABASE_FG!$H$5:$H$367, MATCH(E2448, DATABASE_FG!$C$5:$C$367, 0)), " ")</f>
        <v>0</v>
      </c>
      <c r="O2448" s="129" t="str">
        <f>IF(E2448&lt;&gt;"", _xlfn.XLOOKUP(E2448, DATABASE_FG!C:C, DATABASE_FG!F:F), " ")</f>
        <v>Ghidaje</v>
      </c>
      <c r="P2448" s="36">
        <f>IFERROR(INDEX(DATABASE_FG!$G$5:$G$367, MATCH(E2448, DATABASE_FG!$C$5:$C$367, 0)), "Not Found")</f>
        <v>0</v>
      </c>
      <c r="Q2448" s="36"/>
      <c r="R2448" s="125" t="s">
        <v>678</v>
      </c>
      <c r="S2448" s="123">
        <f>IFERROR(INDEX(DATABASE_FG!$L$5:$L$367, MATCH(E2448, DATABASE_FG!$C$5:$C$367, 0)), " ")</f>
        <v>42</v>
      </c>
      <c r="T2448" s="36" t="s">
        <v>679</v>
      </c>
      <c r="U2448" s="36"/>
      <c r="V2448" s="36"/>
      <c r="W2448" s="129"/>
      <c r="X2448" s="36"/>
      <c r="Y2448" s="36"/>
      <c r="Z2448" s="36"/>
      <c r="AA2448" s="125" t="s">
        <v>121</v>
      </c>
      <c r="AB2448" s="173">
        <v>45720</v>
      </c>
      <c r="AC2448" s="119">
        <v>25304</v>
      </c>
      <c r="AD2448" s="36">
        <f t="shared" si="273"/>
        <v>38676789</v>
      </c>
      <c r="AE2448" s="36" t="str">
        <f t="shared" si="274"/>
        <v>TK.KWVE30-B-A-S-0038-WW1</v>
      </c>
      <c r="AF2448" s="36">
        <v>120</v>
      </c>
      <c r="AG2448" s="120">
        <f t="shared" si="272"/>
        <v>577.19999999999993</v>
      </c>
      <c r="AH2448" s="36"/>
      <c r="AI2448" s="124"/>
      <c r="AJ2448" s="122" t="s">
        <v>2912</v>
      </c>
      <c r="AK2448" s="129" t="str">
        <f t="shared" ca="1" si="271"/>
        <v>On Time</v>
      </c>
      <c r="AL2448" s="268" t="str">
        <f t="shared" si="270"/>
        <v>March</v>
      </c>
      <c r="AM2448" s="133">
        <f>YEAR(Table1[[#This Row],[ETA
As requested
dd.mm.yyyy]])</f>
        <v>2025</v>
      </c>
    </row>
    <row r="2449" spans="1:40" s="333" customFormat="1" ht="15.75" hidden="1">
      <c r="A2449" s="123" t="s">
        <v>83</v>
      </c>
      <c r="B2449" s="36" t="s">
        <v>1170</v>
      </c>
      <c r="C2449" s="117">
        <v>38676789</v>
      </c>
      <c r="D2449" s="165">
        <v>45709</v>
      </c>
      <c r="E2449" s="117" t="s">
        <v>102</v>
      </c>
      <c r="F2449" s="36" t="str">
        <f>IFERROR(VLOOKUP(Table1[[#This Row],[Part Number]],DATABASE_FG!$C$6:D12438,2,FALSE)," ")</f>
        <v xml:space="preserve">080814913-8011 </v>
      </c>
      <c r="G2449" s="117">
        <f>IFERROR(_xlfn.XLOOKUP(Table1[[#This Row],[Part Number]],Table3[Part number],Table3[Drawing
 Revision]),"")</f>
        <v>0</v>
      </c>
      <c r="H2449" s="118" cm="1">
        <f t="array" ref="H2449">IFERROR(INDEX(PDB!$C:$AT,MATCH(E2449,PDB!$B:$B,0),MATCH(YEAR(K2449),0+PDB!$C$1:$AT$1,0)),"")</f>
        <v>4.8099999999999996</v>
      </c>
      <c r="I2449" s="36">
        <v>280</v>
      </c>
      <c r="J2449" s="125">
        <f>IFERROR(Table1[[#This Row],[Quantity]]*Table1[[#This Row],[Price/Unit
EUR]]," ")</f>
        <v>1346.8</v>
      </c>
      <c r="K2449" s="126">
        <v>45720</v>
      </c>
      <c r="L2449" s="36">
        <f>WEEKNUM(Table1[[#This Row],[ETA
As requested
dd.mm.yyyy]])</f>
        <v>10</v>
      </c>
      <c r="M2449" s="36">
        <f>YEAR(Table1[[#This Row],[ETA
As requested
dd.mm.yyyy]])</f>
        <v>2025</v>
      </c>
      <c r="N2449" s="36">
        <f>IFERROR(INDEX(DATABASE_FG!$H$5:$H$367, MATCH(E2449, DATABASE_FG!$C$5:$C$367, 0)), " ")</f>
        <v>0</v>
      </c>
      <c r="O2449" s="129" t="str">
        <f>IF(E2449&lt;&gt;"", _xlfn.XLOOKUP(E2449, DATABASE_FG!C:C, DATABASE_FG!F:F), " ")</f>
        <v>Ghidaje</v>
      </c>
      <c r="P2449" s="36">
        <f>IFERROR(INDEX(DATABASE_FG!$G$5:$G$367, MATCH(E2449, DATABASE_FG!$C$5:$C$367, 0)), "Not Found")</f>
        <v>0</v>
      </c>
      <c r="Q2449" s="36"/>
      <c r="R2449" s="125" t="s">
        <v>678</v>
      </c>
      <c r="S2449" s="123">
        <f>IFERROR(INDEX(DATABASE_FG!$L$5:$L$367, MATCH(E2449, DATABASE_FG!$C$5:$C$367, 0)), " ")</f>
        <v>42</v>
      </c>
      <c r="T2449" s="36" t="s">
        <v>679</v>
      </c>
      <c r="U2449" s="36"/>
      <c r="V2449" s="36"/>
      <c r="W2449" s="129"/>
      <c r="X2449" s="36"/>
      <c r="Y2449" s="36"/>
      <c r="Z2449" s="36"/>
      <c r="AA2449" s="125" t="s">
        <v>121</v>
      </c>
      <c r="AB2449" s="172">
        <v>45722</v>
      </c>
      <c r="AC2449" s="119" t="s">
        <v>2918</v>
      </c>
      <c r="AD2449" s="36">
        <f t="shared" si="273"/>
        <v>38676789</v>
      </c>
      <c r="AE2449" s="36" t="str">
        <f t="shared" si="274"/>
        <v>TK.KWVE30-B-A-S-0038-WW1</v>
      </c>
      <c r="AF2449" s="36">
        <f>280-280</f>
        <v>0</v>
      </c>
      <c r="AG2449" s="120">
        <f t="shared" si="272"/>
        <v>0</v>
      </c>
      <c r="AH2449" s="36"/>
      <c r="AI2449" s="124" t="s">
        <v>2919</v>
      </c>
      <c r="AJ2449" s="122" t="s">
        <v>2920</v>
      </c>
      <c r="AK2449" s="129" t="str">
        <f t="shared" ca="1" si="271"/>
        <v>On Time</v>
      </c>
      <c r="AL2449" s="268" t="str">
        <f t="shared" si="270"/>
        <v>March</v>
      </c>
      <c r="AM2449" s="133">
        <f>YEAR(Table1[[#This Row],[ETA
As requested
dd.mm.yyyy]])</f>
        <v>2025</v>
      </c>
      <c r="AN2449"/>
    </row>
    <row r="2450" spans="1:40" s="333" customFormat="1" hidden="1">
      <c r="A2450" s="123" t="s">
        <v>83</v>
      </c>
      <c r="B2450" s="36" t="s">
        <v>1170</v>
      </c>
      <c r="C2450" s="117">
        <v>38676789</v>
      </c>
      <c r="D2450" s="165">
        <v>45709</v>
      </c>
      <c r="E2450" s="117" t="s">
        <v>102</v>
      </c>
      <c r="F2450" s="36" t="str">
        <f>IFERROR(VLOOKUP(Table1[[#This Row],[Part Number]],DATABASE_FG!$C$6:D12439,2,FALSE)," ")</f>
        <v xml:space="preserve">080814913-8011 </v>
      </c>
      <c r="G2450" s="117">
        <f>IFERROR(_xlfn.XLOOKUP(Table1[[#This Row],[Part Number]],Table3[Part number],Table3[Drawing
 Revision]),"")</f>
        <v>0</v>
      </c>
      <c r="H2450" s="118" cm="1">
        <f t="array" ref="H2450">IFERROR(INDEX(PDB!$C:$AT,MATCH(E2450,PDB!$B:$B,0),MATCH(YEAR(K2450),0+PDB!$C$1:$AT$1,0)),"")</f>
        <v>4.8099999999999996</v>
      </c>
      <c r="I2450" s="36">
        <v>416</v>
      </c>
      <c r="J2450" s="125">
        <f>IFERROR(Table1[[#This Row],[Quantity]]*Table1[[#This Row],[Price/Unit
EUR]]," ")</f>
        <v>2000.9599999999998</v>
      </c>
      <c r="K2450" s="126">
        <v>45720</v>
      </c>
      <c r="L2450" s="36">
        <f>WEEKNUM(Table1[[#This Row],[ETA
As requested
dd.mm.yyyy]])</f>
        <v>10</v>
      </c>
      <c r="M2450" s="36">
        <f>YEAR(Table1[[#This Row],[ETA
As requested
dd.mm.yyyy]])</f>
        <v>2025</v>
      </c>
      <c r="N2450" s="36">
        <f>IFERROR(INDEX(DATABASE_FG!$H$5:$H$367, MATCH(E2450, DATABASE_FG!$C$5:$C$367, 0)), " ")</f>
        <v>0</v>
      </c>
      <c r="O2450" s="129" t="str">
        <f>IF(E2450&lt;&gt;"", _xlfn.XLOOKUP(E2450, DATABASE_FG!C:C, DATABASE_FG!F:F), " ")</f>
        <v>Ghidaje</v>
      </c>
      <c r="P2450" s="36">
        <f>IFERROR(INDEX(DATABASE_FG!$G$5:$G$367, MATCH(E2450, DATABASE_FG!$C$5:$C$367, 0)), "Not Found")</f>
        <v>0</v>
      </c>
      <c r="Q2450" s="36"/>
      <c r="R2450" s="125" t="s">
        <v>678</v>
      </c>
      <c r="S2450" s="123">
        <f>IFERROR(INDEX(DATABASE_FG!$L$5:$L$367, MATCH(E2450, DATABASE_FG!$C$5:$C$367, 0)), " ")</f>
        <v>42</v>
      </c>
      <c r="T2450" s="36" t="s">
        <v>679</v>
      </c>
      <c r="U2450" s="36"/>
      <c r="V2450" s="36"/>
      <c r="W2450" s="129"/>
      <c r="X2450" s="36"/>
      <c r="Y2450" s="36"/>
      <c r="Z2450" s="36"/>
      <c r="AA2450" s="125" t="s">
        <v>121</v>
      </c>
      <c r="AB2450" s="172">
        <v>45722</v>
      </c>
      <c r="AC2450" s="119">
        <v>25358</v>
      </c>
      <c r="AD2450" s="36">
        <f t="shared" si="273"/>
        <v>38676789</v>
      </c>
      <c r="AE2450" s="36" t="str">
        <f t="shared" si="274"/>
        <v>TK.KWVE30-B-A-S-0038-WW1</v>
      </c>
      <c r="AF2450" s="36">
        <v>416</v>
      </c>
      <c r="AG2450" s="120">
        <f t="shared" si="272"/>
        <v>2000.9599999999998</v>
      </c>
      <c r="AH2450" s="36"/>
      <c r="AI2450" s="124"/>
      <c r="AJ2450" s="122" t="s">
        <v>2921</v>
      </c>
      <c r="AK2450" s="129" t="str">
        <f t="shared" ca="1" si="271"/>
        <v>On Time</v>
      </c>
      <c r="AL2450" s="268" t="str">
        <f t="shared" si="270"/>
        <v>March</v>
      </c>
      <c r="AM2450" s="133">
        <f>YEAR(Table1[[#This Row],[ETA
As requested
dd.mm.yyyy]])</f>
        <v>2025</v>
      </c>
      <c r="AN2450"/>
    </row>
    <row r="2451" spans="1:40" s="333" customFormat="1" ht="15.75" hidden="1">
      <c r="A2451" s="123" t="s">
        <v>83</v>
      </c>
      <c r="B2451" s="36" t="s">
        <v>1170</v>
      </c>
      <c r="C2451" s="117">
        <v>38676789</v>
      </c>
      <c r="D2451" s="165">
        <v>45709</v>
      </c>
      <c r="E2451" s="117" t="s">
        <v>102</v>
      </c>
      <c r="F2451" s="36" t="str">
        <f>IFERROR(VLOOKUP(Table1[[#This Row],[Part Number]],DATABASE_FG!$C$6:D12440,2,FALSE)," ")</f>
        <v xml:space="preserve">080814913-8011 </v>
      </c>
      <c r="G2451" s="117">
        <f>IFERROR(_xlfn.XLOOKUP(Table1[[#This Row],[Part Number]],Table3[Part number],Table3[Drawing
 Revision]),"")</f>
        <v>0</v>
      </c>
      <c r="H2451" s="118" cm="1">
        <f t="array" ref="H2451">IFERROR(INDEX(PDB!$C:$AT,MATCH(E2451,PDB!$B:$B,0),MATCH(YEAR(K2451),0+PDB!$C$1:$AT$1,0)),"")</f>
        <v>4.8099999999999996</v>
      </c>
      <c r="I2451" s="36">
        <v>200</v>
      </c>
      <c r="J2451" s="125">
        <f>IFERROR(Table1[[#This Row],[Quantity]]*Table1[[#This Row],[Price/Unit
EUR]]," ")</f>
        <v>961.99999999999989</v>
      </c>
      <c r="K2451" s="126">
        <v>45727</v>
      </c>
      <c r="L2451" s="36">
        <f>WEEKNUM(Table1[[#This Row],[ETA
As requested
dd.mm.yyyy]])</f>
        <v>11</v>
      </c>
      <c r="M2451" s="36">
        <f>YEAR(Table1[[#This Row],[ETA
As requested
dd.mm.yyyy]])</f>
        <v>2025</v>
      </c>
      <c r="N2451" s="36">
        <f>IFERROR(INDEX(DATABASE_FG!$H$5:$H$367, MATCH(E2451, DATABASE_FG!$C$5:$C$367, 0)), " ")</f>
        <v>0</v>
      </c>
      <c r="O2451" s="129" t="str">
        <f>IF(E2451&lt;&gt;"", _xlfn.XLOOKUP(E2451, DATABASE_FG!C:C, DATABASE_FG!F:F), " ")</f>
        <v>Ghidaje</v>
      </c>
      <c r="P2451" s="36">
        <f>IFERROR(INDEX(DATABASE_FG!$G$5:$G$367, MATCH(E2451, DATABASE_FG!$C$5:$C$367, 0)), "Not Found")</f>
        <v>0</v>
      </c>
      <c r="Q2451" s="36"/>
      <c r="R2451" s="125" t="s">
        <v>678</v>
      </c>
      <c r="S2451" s="123">
        <f>IFERROR(INDEX(DATABASE_FG!$L$5:$L$367, MATCH(E2451, DATABASE_FG!$C$5:$C$367, 0)), " ")</f>
        <v>42</v>
      </c>
      <c r="T2451" s="36" t="s">
        <v>679</v>
      </c>
      <c r="U2451" s="36"/>
      <c r="V2451" s="36"/>
      <c r="W2451" s="129"/>
      <c r="X2451" s="36"/>
      <c r="Y2451" s="36"/>
      <c r="Z2451" s="36"/>
      <c r="AA2451" s="125" t="s">
        <v>121</v>
      </c>
      <c r="AB2451" s="172">
        <v>45722</v>
      </c>
      <c r="AC2451" s="119" t="s">
        <v>2918</v>
      </c>
      <c r="AD2451" s="36">
        <f t="shared" si="273"/>
        <v>38676789</v>
      </c>
      <c r="AE2451" s="36" t="str">
        <f t="shared" si="274"/>
        <v>TK.KWVE30-B-A-S-0038-WW1</v>
      </c>
      <c r="AF2451" s="36">
        <f>200-200</f>
        <v>0</v>
      </c>
      <c r="AG2451" s="120">
        <f t="shared" si="272"/>
        <v>0</v>
      </c>
      <c r="AH2451" s="36"/>
      <c r="AI2451" s="124" t="s">
        <v>2919</v>
      </c>
      <c r="AJ2451" s="122" t="s">
        <v>2920</v>
      </c>
      <c r="AK2451" s="129" t="str">
        <f t="shared" ca="1" si="271"/>
        <v>On Time</v>
      </c>
      <c r="AL2451" s="268" t="str">
        <f t="shared" si="270"/>
        <v>March</v>
      </c>
      <c r="AM2451" s="133">
        <f>YEAR(Table1[[#This Row],[ETA
As requested
dd.mm.yyyy]])</f>
        <v>2025</v>
      </c>
      <c r="AN2451"/>
    </row>
    <row r="2452" spans="1:40" s="333" customFormat="1" hidden="1">
      <c r="A2452" s="123" t="s">
        <v>83</v>
      </c>
      <c r="B2452" s="36" t="s">
        <v>1170</v>
      </c>
      <c r="C2452" s="117">
        <v>38676789</v>
      </c>
      <c r="D2452" s="165">
        <v>45709</v>
      </c>
      <c r="E2452" s="117" t="s">
        <v>102</v>
      </c>
      <c r="F2452" s="36" t="str">
        <f>IFERROR(VLOOKUP(Table1[[#This Row],[Part Number]],DATABASE_FG!$C$6:D12441,2,FALSE)," ")</f>
        <v xml:space="preserve">080814913-8011 </v>
      </c>
      <c r="G2452" s="117">
        <f>IFERROR(_xlfn.XLOOKUP(Table1[[#This Row],[Part Number]],Table3[Part number],Table3[Drawing
 Revision]),"")</f>
        <v>0</v>
      </c>
      <c r="H2452" s="118" cm="1">
        <f t="array" ref="H2452">IFERROR(INDEX(PDB!$C:$AT,MATCH(E2452,PDB!$B:$B,0),MATCH(YEAR(K2452),0+PDB!$C$1:$AT$1,0)),"")</f>
        <v>4.8099999999999996</v>
      </c>
      <c r="I2452" s="36">
        <v>200</v>
      </c>
      <c r="J2452" s="125">
        <f>IFERROR(Table1[[#This Row],[Quantity]]*Table1[[#This Row],[Price/Unit
EUR]]," ")</f>
        <v>961.99999999999989</v>
      </c>
      <c r="K2452" s="126">
        <v>45727</v>
      </c>
      <c r="L2452" s="36">
        <f>WEEKNUM(Table1[[#This Row],[ETA
As requested
dd.mm.yyyy]])</f>
        <v>11</v>
      </c>
      <c r="M2452" s="36">
        <f>YEAR(Table1[[#This Row],[ETA
As requested
dd.mm.yyyy]])</f>
        <v>2025</v>
      </c>
      <c r="N2452" s="36">
        <f>IFERROR(INDEX(DATABASE_FG!$H$5:$H$367, MATCH(E2452, DATABASE_FG!$C$5:$C$367, 0)), " ")</f>
        <v>0</v>
      </c>
      <c r="O2452" s="129" t="str">
        <f>IF(E2452&lt;&gt;"", _xlfn.XLOOKUP(E2452, DATABASE_FG!C:C, DATABASE_FG!F:F), " ")</f>
        <v>Ghidaje</v>
      </c>
      <c r="P2452" s="36">
        <f>IFERROR(INDEX(DATABASE_FG!$G$5:$G$367, MATCH(E2452, DATABASE_FG!$C$5:$C$367, 0)), "Not Found")</f>
        <v>0</v>
      </c>
      <c r="Q2452" s="36"/>
      <c r="R2452" s="125" t="s">
        <v>678</v>
      </c>
      <c r="S2452" s="123">
        <f>IFERROR(INDEX(DATABASE_FG!$L$5:$L$367, MATCH(E2452, DATABASE_FG!$C$5:$C$367, 0)), " ")</f>
        <v>42</v>
      </c>
      <c r="T2452" s="36" t="s">
        <v>679</v>
      </c>
      <c r="U2452" s="36"/>
      <c r="V2452" s="36"/>
      <c r="W2452" s="129"/>
      <c r="X2452" s="36"/>
      <c r="Y2452" s="36"/>
      <c r="Z2452" s="36"/>
      <c r="AA2452" s="125" t="s">
        <v>121</v>
      </c>
      <c r="AB2452" s="172">
        <v>45727</v>
      </c>
      <c r="AC2452" s="119">
        <v>200356</v>
      </c>
      <c r="AD2452" s="36">
        <f t="shared" si="273"/>
        <v>38676789</v>
      </c>
      <c r="AE2452" s="36" t="str">
        <f t="shared" si="274"/>
        <v>TK.KWVE30-B-A-S-0038-WW1</v>
      </c>
      <c r="AF2452" s="36">
        <v>200</v>
      </c>
      <c r="AG2452" s="120">
        <f t="shared" si="272"/>
        <v>961.99999999999989</v>
      </c>
      <c r="AH2452" s="36"/>
      <c r="AI2452" s="124"/>
      <c r="AJ2452" s="122" t="s">
        <v>2942</v>
      </c>
      <c r="AK2452" s="129" t="str">
        <f t="shared" ca="1" si="271"/>
        <v>On Time</v>
      </c>
      <c r="AL2452" s="268" t="str">
        <f t="shared" si="270"/>
        <v>March</v>
      </c>
      <c r="AM2452" s="133">
        <f>YEAR(Table1[[#This Row],[ETA
As requested
dd.mm.yyyy]])</f>
        <v>2025</v>
      </c>
      <c r="AN2452"/>
    </row>
    <row r="2453" spans="1:40" s="333" customFormat="1" hidden="1">
      <c r="A2453" s="123" t="s">
        <v>83</v>
      </c>
      <c r="B2453" s="36" t="s">
        <v>1170</v>
      </c>
      <c r="C2453" s="117">
        <v>38676789</v>
      </c>
      <c r="D2453" s="165">
        <v>45709</v>
      </c>
      <c r="E2453" s="117" t="s">
        <v>102</v>
      </c>
      <c r="F2453" s="36" t="str">
        <f>IFERROR(VLOOKUP(Table1[[#This Row],[Part Number]],DATABASE_FG!$C$6:D12442,2,FALSE)," ")</f>
        <v xml:space="preserve">080814913-8011 </v>
      </c>
      <c r="G2453" s="117">
        <f>IFERROR(_xlfn.XLOOKUP(Table1[[#This Row],[Part Number]],Table3[Part number],Table3[Drawing
 Revision]),"")</f>
        <v>0</v>
      </c>
      <c r="H2453" s="118" cm="1">
        <f t="array" ref="H2453">IFERROR(INDEX(PDB!$C:$AT,MATCH(E2453,PDB!$B:$B,0),MATCH(YEAR(K2453),0+PDB!$C$1:$AT$1,0)),"")</f>
        <v>4.8099999999999996</v>
      </c>
      <c r="I2453" s="36">
        <v>363</v>
      </c>
      <c r="J2453" s="125">
        <f>IFERROR(Table1[[#This Row],[Quantity]]*Table1[[#This Row],[Price/Unit
EUR]]," ")</f>
        <v>1746.0299999999997</v>
      </c>
      <c r="K2453" s="126">
        <v>45734</v>
      </c>
      <c r="L2453" s="36">
        <f>WEEKNUM(Table1[[#This Row],[ETA
As requested
dd.mm.yyyy]])</f>
        <v>12</v>
      </c>
      <c r="M2453" s="36">
        <f>YEAR(Table1[[#This Row],[ETA
As requested
dd.mm.yyyy]])</f>
        <v>2025</v>
      </c>
      <c r="N2453" s="36">
        <f>IFERROR(INDEX(DATABASE_FG!$H$5:$H$367, MATCH(E2453, DATABASE_FG!$C$5:$C$367, 0)), " ")</f>
        <v>0</v>
      </c>
      <c r="O2453" s="129" t="str">
        <f>IF(E2453&lt;&gt;"", _xlfn.XLOOKUP(E2453, DATABASE_FG!C:C, DATABASE_FG!F:F), " ")</f>
        <v>Ghidaje</v>
      </c>
      <c r="P2453" s="36">
        <f>IFERROR(INDEX(DATABASE_FG!$G$5:$G$367, MATCH(E2453, DATABASE_FG!$C$5:$C$367, 0)), "Not Found")</f>
        <v>0</v>
      </c>
      <c r="Q2453" s="36"/>
      <c r="R2453" s="125" t="s">
        <v>678</v>
      </c>
      <c r="S2453" s="123">
        <f>IFERROR(INDEX(DATABASE_FG!$L$5:$L$367, MATCH(E2453, DATABASE_FG!$C$5:$C$367, 0)), " ")</f>
        <v>42</v>
      </c>
      <c r="T2453" s="36" t="s">
        <v>679</v>
      </c>
      <c r="U2453" s="36"/>
      <c r="V2453" s="36"/>
      <c r="W2453" s="129"/>
      <c r="X2453" s="36"/>
      <c r="Y2453" s="36"/>
      <c r="Z2453" s="36"/>
      <c r="AA2453" s="125" t="s">
        <v>121</v>
      </c>
      <c r="AB2453" s="172">
        <v>45729</v>
      </c>
      <c r="AC2453" s="119">
        <v>25370</v>
      </c>
      <c r="AD2453" s="36">
        <f t="shared" si="273"/>
        <v>38676789</v>
      </c>
      <c r="AE2453" s="36" t="str">
        <f t="shared" si="274"/>
        <v>TK.KWVE30-B-A-S-0038-WW1</v>
      </c>
      <c r="AF2453" s="36">
        <v>363</v>
      </c>
      <c r="AG2453" s="120">
        <f t="shared" si="272"/>
        <v>1746.0299999999997</v>
      </c>
      <c r="AH2453" s="36"/>
      <c r="AI2453" s="124"/>
      <c r="AJ2453" s="122" t="s">
        <v>2965</v>
      </c>
      <c r="AK2453" s="129" t="str">
        <f t="shared" ca="1" si="271"/>
        <v>On Time</v>
      </c>
      <c r="AL2453" s="268" t="str">
        <f t="shared" si="270"/>
        <v>March</v>
      </c>
      <c r="AM2453" s="133">
        <f>YEAR(Table1[[#This Row],[ETA
As requested
dd.mm.yyyy]])</f>
        <v>2025</v>
      </c>
      <c r="AN2453"/>
    </row>
    <row r="2454" spans="1:40" s="333" customFormat="1" hidden="1">
      <c r="A2454" s="123" t="s">
        <v>83</v>
      </c>
      <c r="B2454" s="36" t="s">
        <v>1170</v>
      </c>
      <c r="C2454" s="117">
        <v>38676789</v>
      </c>
      <c r="D2454" s="165">
        <v>45709</v>
      </c>
      <c r="E2454" s="117" t="s">
        <v>102</v>
      </c>
      <c r="F2454" s="36" t="str">
        <f>IFERROR(VLOOKUP(Table1[[#This Row],[Part Number]],DATABASE_FG!$C$6:D12443,2,FALSE)," ")</f>
        <v xml:space="preserve">080814913-8011 </v>
      </c>
      <c r="G2454" s="117">
        <f>IFERROR(_xlfn.XLOOKUP(Table1[[#This Row],[Part Number]],Table3[Part number],Table3[Drawing
 Revision]),"")</f>
        <v>0</v>
      </c>
      <c r="H2454" s="118" cm="1">
        <f t="array" ref="H2454">IFERROR(INDEX(PDB!$C:$AT,MATCH(E2454,PDB!$B:$B,0),MATCH(YEAR(K2454),0+PDB!$C$1:$AT$1,0)),"")</f>
        <v>4.8099999999999996</v>
      </c>
      <c r="I2454" s="36">
        <f>464-363</f>
        <v>101</v>
      </c>
      <c r="J2454" s="125">
        <f>IFERROR(Table1[[#This Row],[Quantity]]*Table1[[#This Row],[Price/Unit
EUR]]," ")</f>
        <v>485.80999999999995</v>
      </c>
      <c r="K2454" s="126">
        <v>45734</v>
      </c>
      <c r="L2454" s="36">
        <f>WEEKNUM(Table1[[#This Row],[ETA
As requested
dd.mm.yyyy]])</f>
        <v>12</v>
      </c>
      <c r="M2454" s="36">
        <f>YEAR(Table1[[#This Row],[ETA
As requested
dd.mm.yyyy]])</f>
        <v>2025</v>
      </c>
      <c r="N2454" s="36">
        <f>IFERROR(INDEX(DATABASE_FG!$H$5:$H$367, MATCH(E2454, DATABASE_FG!$C$5:$C$367, 0)), " ")</f>
        <v>0</v>
      </c>
      <c r="O2454" s="129" t="str">
        <f>IF(E2454&lt;&gt;"", _xlfn.XLOOKUP(E2454, DATABASE_FG!C:C, DATABASE_FG!F:F), " ")</f>
        <v>Ghidaje</v>
      </c>
      <c r="P2454" s="36">
        <f>IFERROR(INDEX(DATABASE_FG!$G$5:$G$367, MATCH(E2454, DATABASE_FG!$C$5:$C$367, 0)), "Not Found")</f>
        <v>0</v>
      </c>
      <c r="Q2454" s="36"/>
      <c r="R2454" s="125" t="s">
        <v>678</v>
      </c>
      <c r="S2454" s="123">
        <f>IFERROR(INDEX(DATABASE_FG!$L$5:$L$367, MATCH(E2454, DATABASE_FG!$C$5:$C$367, 0)), " ")</f>
        <v>42</v>
      </c>
      <c r="T2454" s="36" t="s">
        <v>679</v>
      </c>
      <c r="U2454" s="36"/>
      <c r="V2454" s="36"/>
      <c r="W2454" s="129"/>
      <c r="X2454" s="36"/>
      <c r="Y2454" s="36"/>
      <c r="Z2454" s="36"/>
      <c r="AA2454" s="125" t="s">
        <v>121</v>
      </c>
      <c r="AB2454" s="172">
        <v>45741</v>
      </c>
      <c r="AC2454" s="119">
        <v>25454</v>
      </c>
      <c r="AD2454" s="36">
        <f t="shared" si="273"/>
        <v>38676789</v>
      </c>
      <c r="AE2454" s="36" t="str">
        <f t="shared" si="274"/>
        <v>TK.KWVE30-B-A-S-0038-WW1</v>
      </c>
      <c r="AF2454" s="36">
        <v>101</v>
      </c>
      <c r="AG2454" s="120">
        <f t="shared" si="272"/>
        <v>485.80999999999995</v>
      </c>
      <c r="AH2454" s="36"/>
      <c r="AI2454" s="124"/>
      <c r="AJ2454" s="122" t="s">
        <v>2972</v>
      </c>
      <c r="AK2454" s="129" t="str">
        <f t="shared" ca="1" si="271"/>
        <v>Late</v>
      </c>
      <c r="AL2454" s="268" t="str">
        <f t="shared" si="270"/>
        <v>March</v>
      </c>
      <c r="AM2454" s="133">
        <f>YEAR(Table1[[#This Row],[ETA
As requested
dd.mm.yyyy]])</f>
        <v>2025</v>
      </c>
      <c r="AN2454"/>
    </row>
    <row r="2455" spans="1:40" hidden="1">
      <c r="A2455" s="123" t="s">
        <v>83</v>
      </c>
      <c r="B2455" s="36" t="s">
        <v>1170</v>
      </c>
      <c r="C2455" s="117">
        <v>38676789</v>
      </c>
      <c r="D2455" s="165">
        <v>45709</v>
      </c>
      <c r="E2455" s="117" t="s">
        <v>102</v>
      </c>
      <c r="F2455" s="36" t="str">
        <f>IFERROR(VLOOKUP(Table1[[#This Row],[Part Number]],DATABASE_FG!$C$6:D12444,2,FALSE)," ")</f>
        <v xml:space="preserve">080814913-8011 </v>
      </c>
      <c r="G2455" s="117">
        <f>IFERROR(_xlfn.XLOOKUP(Table1[[#This Row],[Part Number]],Table3[Part number],Table3[Drawing
 Revision]),"")</f>
        <v>0</v>
      </c>
      <c r="H2455" s="118" cm="1">
        <f t="array" ref="H2455">IFERROR(INDEX(PDB!$C:$AT,MATCH(E2455,PDB!$B:$B,0),MATCH(YEAR(K2455),0+PDB!$C$1:$AT$1,0)),"")</f>
        <v>4.8099999999999996</v>
      </c>
      <c r="I2455" s="36">
        <v>18</v>
      </c>
      <c r="J2455" s="125">
        <f>IFERROR(Table1[[#This Row],[Quantity]]*Table1[[#This Row],[Price/Unit
EUR]]," ")</f>
        <v>86.58</v>
      </c>
      <c r="K2455" s="126">
        <v>45741</v>
      </c>
      <c r="L2455" s="36">
        <f>WEEKNUM(Table1[[#This Row],[ETA
As requested
dd.mm.yyyy]])</f>
        <v>13</v>
      </c>
      <c r="M2455" s="36">
        <f>YEAR(Table1[[#This Row],[ETA
As requested
dd.mm.yyyy]])</f>
        <v>2025</v>
      </c>
      <c r="N2455" s="36">
        <f>IFERROR(INDEX(DATABASE_FG!$H$5:$H$367, MATCH(E2455, DATABASE_FG!$C$5:$C$367, 0)), " ")</f>
        <v>0</v>
      </c>
      <c r="O2455" s="129" t="str">
        <f>IF(E2455&lt;&gt;"", _xlfn.XLOOKUP(E2455, DATABASE_FG!C:C, DATABASE_FG!F:F), " ")</f>
        <v>Ghidaje</v>
      </c>
      <c r="P2455" s="36">
        <f>IFERROR(INDEX(DATABASE_FG!$G$5:$G$367, MATCH(E2455, DATABASE_FG!$C$5:$C$367, 0)), "Not Found")</f>
        <v>0</v>
      </c>
      <c r="Q2455" s="36"/>
      <c r="R2455" s="125" t="s">
        <v>678</v>
      </c>
      <c r="S2455" s="123">
        <f>IFERROR(INDEX(DATABASE_FG!$L$5:$L$367, MATCH(E2455, DATABASE_FG!$C$5:$C$367, 0)), " ")</f>
        <v>42</v>
      </c>
      <c r="T2455" s="36" t="s">
        <v>679</v>
      </c>
      <c r="U2455" s="36"/>
      <c r="V2455" s="36"/>
      <c r="W2455" s="129"/>
      <c r="X2455" s="36"/>
      <c r="Y2455" s="36"/>
      <c r="Z2455" s="36"/>
      <c r="AA2455" s="125" t="s">
        <v>121</v>
      </c>
      <c r="AB2455" s="172">
        <v>45741</v>
      </c>
      <c r="AC2455" s="119">
        <v>25454</v>
      </c>
      <c r="AD2455" s="36">
        <f t="shared" si="273"/>
        <v>38676789</v>
      </c>
      <c r="AE2455" s="36" t="str">
        <f t="shared" si="274"/>
        <v>TK.KWVE30-B-A-S-0038-WW1</v>
      </c>
      <c r="AF2455" s="36">
        <v>18</v>
      </c>
      <c r="AG2455" s="120">
        <f t="shared" si="272"/>
        <v>86.58</v>
      </c>
      <c r="AH2455" s="36"/>
      <c r="AI2455" s="124"/>
      <c r="AJ2455" s="122" t="s">
        <v>2972</v>
      </c>
      <c r="AK2455" s="129" t="str">
        <f t="shared" ca="1" si="271"/>
        <v>On Time</v>
      </c>
      <c r="AL2455" s="268" t="str">
        <f t="shared" si="270"/>
        <v>March</v>
      </c>
      <c r="AM2455" s="133">
        <f>YEAR(Table1[[#This Row],[ETA
As requested
dd.mm.yyyy]])</f>
        <v>2025</v>
      </c>
    </row>
    <row r="2456" spans="1:40" hidden="1">
      <c r="A2456" s="123" t="s">
        <v>83</v>
      </c>
      <c r="B2456" s="36" t="s">
        <v>1170</v>
      </c>
      <c r="C2456" s="117">
        <v>38676789</v>
      </c>
      <c r="D2456" s="165">
        <v>45709</v>
      </c>
      <c r="E2456" s="117" t="s">
        <v>102</v>
      </c>
      <c r="F2456" s="36" t="str">
        <f>IFERROR(VLOOKUP(Table1[[#This Row],[Part Number]],DATABASE_FG!$C$6:D12445,2,FALSE)," ")</f>
        <v xml:space="preserve">080814913-8011 </v>
      </c>
      <c r="G2456" s="117">
        <f>IFERROR(_xlfn.XLOOKUP(Table1[[#This Row],[Part Number]],Table3[Part number],Table3[Drawing
 Revision]),"")</f>
        <v>0</v>
      </c>
      <c r="H2456" s="118" cm="1">
        <f t="array" ref="H2456">IFERROR(INDEX(PDB!$C:$AT,MATCH(E2456,PDB!$B:$B,0),MATCH(YEAR(K2456),0+PDB!$C$1:$AT$1,0)),"")</f>
        <v>4.8099999999999996</v>
      </c>
      <c r="I2456" s="36">
        <f>400-18</f>
        <v>382</v>
      </c>
      <c r="J2456" s="125">
        <f>IFERROR(Table1[[#This Row],[Quantity]]*Table1[[#This Row],[Price/Unit
EUR]]," ")</f>
        <v>1837.4199999999998</v>
      </c>
      <c r="K2456" s="126">
        <v>45741</v>
      </c>
      <c r="L2456" s="36">
        <f>WEEKNUM(Table1[[#This Row],[ETA
As requested
dd.mm.yyyy]])</f>
        <v>13</v>
      </c>
      <c r="M2456" s="36">
        <f>YEAR(Table1[[#This Row],[ETA
As requested
dd.mm.yyyy]])</f>
        <v>2025</v>
      </c>
      <c r="N2456" s="36">
        <f>IFERROR(INDEX(DATABASE_FG!$H$5:$H$367, MATCH(E2456, DATABASE_FG!$C$5:$C$367, 0)), " ")</f>
        <v>0</v>
      </c>
      <c r="O2456" s="129" t="str">
        <f>IF(E2456&lt;&gt;"", _xlfn.XLOOKUP(E2456, DATABASE_FG!C:C, DATABASE_FG!F:F), " ")</f>
        <v>Ghidaje</v>
      </c>
      <c r="P2456" s="36">
        <f>IFERROR(INDEX(DATABASE_FG!$G$5:$G$367, MATCH(E2456, DATABASE_FG!$C$5:$C$367, 0)), "Not Found")</f>
        <v>0</v>
      </c>
      <c r="Q2456" s="36"/>
      <c r="R2456" s="125" t="s">
        <v>678</v>
      </c>
      <c r="S2456" s="123">
        <f>IFERROR(INDEX(DATABASE_FG!$L$5:$L$367, MATCH(E2456, DATABASE_FG!$C$5:$C$367, 0)), " ")</f>
        <v>42</v>
      </c>
      <c r="T2456" s="36" t="s">
        <v>679</v>
      </c>
      <c r="U2456" s="36"/>
      <c r="V2456" s="36"/>
      <c r="W2456" s="129"/>
      <c r="X2456" s="36"/>
      <c r="Y2456" s="36"/>
      <c r="Z2456" s="36"/>
      <c r="AA2456" s="125" t="s">
        <v>121</v>
      </c>
      <c r="AB2456" s="172">
        <v>45743</v>
      </c>
      <c r="AC2456" s="119">
        <v>25478</v>
      </c>
      <c r="AD2456" s="36">
        <f t="shared" si="273"/>
        <v>38676789</v>
      </c>
      <c r="AE2456" s="36" t="str">
        <f t="shared" si="274"/>
        <v>TK.KWVE30-B-A-S-0038-WW1</v>
      </c>
      <c r="AF2456" s="36">
        <v>382</v>
      </c>
      <c r="AG2456" s="120">
        <f t="shared" si="272"/>
        <v>1837.4199999999998</v>
      </c>
      <c r="AH2456" s="36"/>
      <c r="AI2456" s="124"/>
      <c r="AJ2456" s="122" t="s">
        <v>3010</v>
      </c>
      <c r="AK2456" s="129" t="str">
        <f t="shared" ca="1" si="271"/>
        <v>On Time</v>
      </c>
      <c r="AL2456" s="268" t="str">
        <f t="shared" si="270"/>
        <v>March</v>
      </c>
      <c r="AM2456" s="133">
        <f>YEAR(Table1[[#This Row],[ETA
As requested
dd.mm.yyyy]])</f>
        <v>2025</v>
      </c>
    </row>
    <row r="2457" spans="1:40" hidden="1">
      <c r="A2457" s="123" t="s">
        <v>83</v>
      </c>
      <c r="B2457" s="36" t="s">
        <v>1170</v>
      </c>
      <c r="C2457" s="117">
        <v>38676789</v>
      </c>
      <c r="D2457" s="165">
        <v>45709</v>
      </c>
      <c r="E2457" s="117" t="s">
        <v>102</v>
      </c>
      <c r="F2457" s="36" t="str">
        <f>IFERROR(VLOOKUP(Table1[[#This Row],[Part Number]],DATABASE_FG!$C$6:D12446,2,FALSE)," ")</f>
        <v xml:space="preserve">080814913-8011 </v>
      </c>
      <c r="G2457" s="117">
        <f>IFERROR(_xlfn.XLOOKUP(Table1[[#This Row],[Part Number]],Table3[Part number],Table3[Drawing
 Revision]),"")</f>
        <v>0</v>
      </c>
      <c r="H2457" s="118" cm="1">
        <f t="array" ref="H2457">IFERROR(INDEX(PDB!$C:$AT,MATCH(E2457,PDB!$B:$B,0),MATCH(YEAR(K2457),0+PDB!$C$1:$AT$1,0)),"")</f>
        <v>4.8099999999999996</v>
      </c>
      <c r="I2457" s="36">
        <v>400</v>
      </c>
      <c r="J2457" s="125">
        <f>IFERROR(Table1[[#This Row],[Quantity]]*Table1[[#This Row],[Price/Unit
EUR]]," ")</f>
        <v>1923.9999999999998</v>
      </c>
      <c r="K2457" s="126">
        <v>45748</v>
      </c>
      <c r="L2457" s="36">
        <f>WEEKNUM(Table1[[#This Row],[ETA
As requested
dd.mm.yyyy]])</f>
        <v>14</v>
      </c>
      <c r="M2457" s="36">
        <f>YEAR(Table1[[#This Row],[ETA
As requested
dd.mm.yyyy]])</f>
        <v>2025</v>
      </c>
      <c r="N2457" s="36">
        <f>IFERROR(INDEX(DATABASE_FG!$H$5:$H$367, MATCH(E2457, DATABASE_FG!$C$5:$C$367, 0)), " ")</f>
        <v>0</v>
      </c>
      <c r="O2457" s="129" t="str">
        <f>IF(E2457&lt;&gt;"", _xlfn.XLOOKUP(E2457, DATABASE_FG!C:C, DATABASE_FG!F:F), " ")</f>
        <v>Ghidaje</v>
      </c>
      <c r="P2457" s="36">
        <f>IFERROR(INDEX(DATABASE_FG!$G$5:$G$367, MATCH(E2457, DATABASE_FG!$C$5:$C$367, 0)), "Not Found")</f>
        <v>0</v>
      </c>
      <c r="Q2457" s="36"/>
      <c r="R2457" s="125" t="s">
        <v>678</v>
      </c>
      <c r="S2457" s="123">
        <f>IFERROR(INDEX(DATABASE_FG!$L$5:$L$367, MATCH(E2457, DATABASE_FG!$C$5:$C$367, 0)), " ")</f>
        <v>42</v>
      </c>
      <c r="T2457" s="36" t="s">
        <v>679</v>
      </c>
      <c r="U2457" s="36"/>
      <c r="V2457" s="36"/>
      <c r="W2457" s="129"/>
      <c r="X2457" s="36"/>
      <c r="Y2457" s="36"/>
      <c r="Z2457" s="36"/>
      <c r="AA2457" s="125" t="s">
        <v>121</v>
      </c>
      <c r="AB2457" s="172">
        <v>45748</v>
      </c>
      <c r="AC2457" s="119" t="s">
        <v>3031</v>
      </c>
      <c r="AD2457" s="36">
        <f t="shared" si="273"/>
        <v>38676789</v>
      </c>
      <c r="AE2457" s="36" t="str">
        <f t="shared" si="274"/>
        <v>TK.KWVE30-B-A-S-0038-WW1</v>
      </c>
      <c r="AF2457" s="36">
        <v>400</v>
      </c>
      <c r="AG2457" s="120">
        <f t="shared" si="272"/>
        <v>1923.9999999999998</v>
      </c>
      <c r="AH2457" s="36"/>
      <c r="AI2457" s="124"/>
      <c r="AJ2457" s="122" t="s">
        <v>3032</v>
      </c>
      <c r="AK2457" s="129" t="str">
        <f t="shared" ca="1" si="271"/>
        <v>On Time</v>
      </c>
      <c r="AL2457" s="268" t="str">
        <f t="shared" si="270"/>
        <v>April</v>
      </c>
      <c r="AM2457" s="133">
        <f>YEAR(Table1[[#This Row],[ETA
As requested
dd.mm.yyyy]])</f>
        <v>2025</v>
      </c>
    </row>
    <row r="2458" spans="1:40" hidden="1">
      <c r="A2458" s="123" t="s">
        <v>83</v>
      </c>
      <c r="B2458" s="36" t="s">
        <v>1170</v>
      </c>
      <c r="C2458" s="117">
        <v>5410624</v>
      </c>
      <c r="D2458" s="165">
        <v>45777</v>
      </c>
      <c r="E2458" s="117" t="s">
        <v>102</v>
      </c>
      <c r="F2458" s="36" t="str">
        <f>IFERROR(VLOOKUP(Table1[[#This Row],[Part Number]],DATABASE_FG!$C$6:D12447,2,FALSE)," ")</f>
        <v xml:space="preserve">080814913-8011 </v>
      </c>
      <c r="G2458" s="117">
        <f>IFERROR(_xlfn.XLOOKUP(Table1[[#This Row],[Part Number]],Table3[Part number],Table3[Drawing
 Revision]),"")</f>
        <v>0</v>
      </c>
      <c r="H2458" s="118" cm="1">
        <f t="array" ref="H2458">IFERROR(INDEX(PDB!$C:$AT,MATCH(E2458,PDB!$B:$B,0),MATCH(YEAR(K2458),0+PDB!$C$1:$AT$1,0)),"")</f>
        <v>4.8099999999999996</v>
      </c>
      <c r="I2458" s="36">
        <v>179</v>
      </c>
      <c r="J2458" s="125">
        <f>IFERROR(Table1[[#This Row],[Quantity]]*Table1[[#This Row],[Price/Unit
EUR]]," ")</f>
        <v>860.9899999999999</v>
      </c>
      <c r="K2458" s="126">
        <v>45782</v>
      </c>
      <c r="L2458" s="36">
        <f>WEEKNUM(Table1[[#This Row],[ETA
As requested
dd.mm.yyyy]])</f>
        <v>19</v>
      </c>
      <c r="M2458" s="36">
        <f>YEAR(Table1[[#This Row],[ETA
As requested
dd.mm.yyyy]])</f>
        <v>2025</v>
      </c>
      <c r="N2458" s="36">
        <f>IFERROR(INDEX(DATABASE_FG!$H$5:$H$367, MATCH(E2458, DATABASE_FG!$C$5:$C$367, 0)), " ")</f>
        <v>0</v>
      </c>
      <c r="O2458" s="129" t="str">
        <f>IF(E2458&lt;&gt;"", _xlfn.XLOOKUP(E2458, DATABASE_FG!C:C, DATABASE_FG!F:F), " ")</f>
        <v>Ghidaje</v>
      </c>
      <c r="P2458" s="36">
        <f>IFERROR(INDEX(DATABASE_FG!$G$5:$G$367, MATCH(E2458, DATABASE_FG!$C$5:$C$367, 0)), "Not Found")</f>
        <v>0</v>
      </c>
      <c r="Q2458" s="36"/>
      <c r="R2458" s="125" t="s">
        <v>678</v>
      </c>
      <c r="S2458" s="123">
        <f>IFERROR(INDEX(DATABASE_FG!$L$5:$L$367, MATCH(E2458, DATABASE_FG!$C$5:$C$367, 0)), " ")</f>
        <v>42</v>
      </c>
      <c r="T2458" s="36" t="s">
        <v>679</v>
      </c>
      <c r="U2458" s="36"/>
      <c r="V2458" s="36"/>
      <c r="W2458" s="129"/>
      <c r="X2458" s="36"/>
      <c r="Y2458" s="36"/>
      <c r="Z2458" s="36"/>
      <c r="AA2458" s="125" t="s">
        <v>121</v>
      </c>
      <c r="AB2458" s="172">
        <v>45783</v>
      </c>
      <c r="AC2458" s="119">
        <v>25728</v>
      </c>
      <c r="AD2458" s="36">
        <f t="shared" si="273"/>
        <v>5410624</v>
      </c>
      <c r="AE2458" s="36" t="str">
        <f t="shared" si="274"/>
        <v>TK.KWVE30-B-A-S-0038-WW1</v>
      </c>
      <c r="AF2458" s="36">
        <v>179</v>
      </c>
      <c r="AG2458" s="120">
        <f t="shared" si="272"/>
        <v>860.9899999999999</v>
      </c>
      <c r="AH2458" s="36"/>
      <c r="AI2458" s="124"/>
      <c r="AJ2458" s="122" t="s">
        <v>3145</v>
      </c>
      <c r="AK2458" s="129" t="str">
        <f t="shared" ca="1" si="271"/>
        <v>On Time</v>
      </c>
      <c r="AL2458" s="268" t="str">
        <f t="shared" si="270"/>
        <v>May</v>
      </c>
      <c r="AM2458" s="133">
        <f>YEAR(Table1[[#This Row],[ETA
As requested
dd.mm.yyyy]])</f>
        <v>2025</v>
      </c>
    </row>
    <row r="2459" spans="1:40" hidden="1">
      <c r="A2459" s="123" t="s">
        <v>83</v>
      </c>
      <c r="B2459" s="36" t="s">
        <v>1170</v>
      </c>
      <c r="C2459" s="117">
        <v>5410624</v>
      </c>
      <c r="D2459" s="165">
        <v>45777</v>
      </c>
      <c r="E2459" s="117" t="s">
        <v>102</v>
      </c>
      <c r="F2459" s="36" t="str">
        <f>IFERROR(VLOOKUP(Table1[[#This Row],[Part Number]],DATABASE_FG!$C$6:D12448,2,FALSE)," ")</f>
        <v xml:space="preserve">080814913-8011 </v>
      </c>
      <c r="G2459" s="117">
        <f>IFERROR(_xlfn.XLOOKUP(Table1[[#This Row],[Part Number]],Table3[Part number],Table3[Drawing
 Revision]),"")</f>
        <v>0</v>
      </c>
      <c r="H2459" s="118" cm="1">
        <f t="array" ref="H2459">IFERROR(INDEX(PDB!$C:$AT,MATCH(E2459,PDB!$B:$B,0),MATCH(YEAR(K2459),0+PDB!$C$1:$AT$1,0)),"")</f>
        <v>4.8099999999999996</v>
      </c>
      <c r="I2459" s="36">
        <v>108</v>
      </c>
      <c r="J2459" s="125">
        <f>IFERROR(Table1[[#This Row],[Quantity]]*Table1[[#This Row],[Price/Unit
EUR]]," ")</f>
        <v>519.4799999999999</v>
      </c>
      <c r="K2459" s="126">
        <v>45789</v>
      </c>
      <c r="L2459" s="36">
        <f>WEEKNUM(Table1[[#This Row],[ETA
As requested
dd.mm.yyyy]])</f>
        <v>20</v>
      </c>
      <c r="M2459" s="36">
        <f>YEAR(Table1[[#This Row],[ETA
As requested
dd.mm.yyyy]])</f>
        <v>2025</v>
      </c>
      <c r="N2459" s="36">
        <f>IFERROR(INDEX(DATABASE_FG!$H$5:$H$367, MATCH(E2459, DATABASE_FG!$C$5:$C$367, 0)), " ")</f>
        <v>0</v>
      </c>
      <c r="O2459" s="129" t="str">
        <f>IF(E2459&lt;&gt;"", _xlfn.XLOOKUP(E2459, DATABASE_FG!C:C, DATABASE_FG!F:F), " ")</f>
        <v>Ghidaje</v>
      </c>
      <c r="P2459" s="36">
        <f>IFERROR(INDEX(DATABASE_FG!$G$5:$G$367, MATCH(E2459, DATABASE_FG!$C$5:$C$367, 0)), "Not Found")</f>
        <v>0</v>
      </c>
      <c r="Q2459" s="36"/>
      <c r="R2459" s="125" t="s">
        <v>678</v>
      </c>
      <c r="S2459" s="123">
        <f>Table1[[#This Row],[Quantity]]/48</f>
        <v>2.25</v>
      </c>
      <c r="T2459" s="36"/>
      <c r="U2459" s="36"/>
      <c r="V2459" s="36"/>
      <c r="W2459" s="129"/>
      <c r="X2459" s="36"/>
      <c r="Y2459" s="36"/>
      <c r="Z2459" s="36"/>
      <c r="AA2459" s="125" t="s">
        <v>121</v>
      </c>
      <c r="AB2459" s="172">
        <v>45799</v>
      </c>
      <c r="AC2459" s="119">
        <v>25806</v>
      </c>
      <c r="AD2459" s="36">
        <f t="shared" si="273"/>
        <v>5410624</v>
      </c>
      <c r="AE2459" s="36" t="str">
        <f t="shared" si="274"/>
        <v>TK.KWVE30-B-A-S-0038-WW1</v>
      </c>
      <c r="AF2459" s="36">
        <v>108</v>
      </c>
      <c r="AG2459" s="120">
        <f t="shared" si="272"/>
        <v>519.4799999999999</v>
      </c>
      <c r="AH2459" s="36"/>
      <c r="AI2459" s="124"/>
      <c r="AJ2459" s="122" t="s">
        <v>3178</v>
      </c>
      <c r="AK2459" s="129" t="str">
        <f t="shared" ca="1" si="271"/>
        <v>Late</v>
      </c>
      <c r="AL2459" s="268" t="str">
        <f t="shared" si="270"/>
        <v>May</v>
      </c>
      <c r="AM2459" s="133">
        <f>YEAR(Table1[[#This Row],[ETA
As requested
dd.mm.yyyy]])</f>
        <v>2025</v>
      </c>
    </row>
    <row r="2460" spans="1:40" hidden="1">
      <c r="A2460" s="123" t="s">
        <v>83</v>
      </c>
      <c r="B2460" s="36" t="s">
        <v>1170</v>
      </c>
      <c r="C2460" s="117">
        <v>5410624</v>
      </c>
      <c r="D2460" s="165">
        <v>45777</v>
      </c>
      <c r="E2460" s="117" t="s">
        <v>102</v>
      </c>
      <c r="F2460" s="36" t="str">
        <f>IFERROR(VLOOKUP(Table1[[#This Row],[Part Number]],DATABASE_FG!$C$6:D12449,2,FALSE)," ")</f>
        <v xml:space="preserve">080814913-8011 </v>
      </c>
      <c r="G2460" s="117">
        <f>IFERROR(_xlfn.XLOOKUP(Table1[[#This Row],[Part Number]],Table3[Part number],Table3[Drawing
 Revision]),"")</f>
        <v>0</v>
      </c>
      <c r="H2460" s="118" cm="1">
        <f t="array" ref="H2460">IFERROR(INDEX(PDB!$C:$AT,MATCH(E2460,PDB!$B:$B,0),MATCH(YEAR(K2460),0+PDB!$C$1:$AT$1,0)),"")</f>
        <v>4.8099999999999996</v>
      </c>
      <c r="I2460" s="36">
        <v>113</v>
      </c>
      <c r="J2460" s="125">
        <f>IFERROR(Table1[[#This Row],[Quantity]]*Table1[[#This Row],[Price/Unit
EUR]]," ")</f>
        <v>543.53</v>
      </c>
      <c r="K2460" s="126">
        <v>45789</v>
      </c>
      <c r="L2460" s="36">
        <f>WEEKNUM(Table1[[#This Row],[ETA
As requested
dd.mm.yyyy]])</f>
        <v>20</v>
      </c>
      <c r="M2460" s="36">
        <f>YEAR(Table1[[#This Row],[ETA
As requested
dd.mm.yyyy]])</f>
        <v>2025</v>
      </c>
      <c r="N2460" s="36">
        <f>IFERROR(INDEX(DATABASE_FG!$H$5:$H$367, MATCH(E2460, DATABASE_FG!$C$5:$C$367, 0)), " ")</f>
        <v>0</v>
      </c>
      <c r="O2460" s="129" t="str">
        <f>IF(E2460&lt;&gt;"", _xlfn.XLOOKUP(E2460, DATABASE_FG!C:C, DATABASE_FG!F:F), " ")</f>
        <v>Ghidaje</v>
      </c>
      <c r="P2460" s="36">
        <f>IFERROR(INDEX(DATABASE_FG!$G$5:$G$367, MATCH(E2460, DATABASE_FG!$C$5:$C$367, 0)), "Not Found")</f>
        <v>0</v>
      </c>
      <c r="Q2460" s="36"/>
      <c r="R2460" s="125" t="s">
        <v>678</v>
      </c>
      <c r="S2460" s="123">
        <f>Table1[[#This Row],[Quantity]]/48</f>
        <v>2.3541666666666665</v>
      </c>
      <c r="T2460" s="36"/>
      <c r="U2460" s="36"/>
      <c r="V2460" s="36"/>
      <c r="W2460" s="129"/>
      <c r="X2460" s="36"/>
      <c r="Y2460" s="36"/>
      <c r="Z2460" s="36"/>
      <c r="AA2460" s="125" t="s">
        <v>121</v>
      </c>
      <c r="AB2460" s="172">
        <v>45804</v>
      </c>
      <c r="AC2460" s="119">
        <v>25839</v>
      </c>
      <c r="AD2460" s="36">
        <f t="shared" si="273"/>
        <v>5410624</v>
      </c>
      <c r="AE2460" s="36" t="str">
        <f t="shared" si="274"/>
        <v>TK.KWVE30-B-A-S-0038-WW1</v>
      </c>
      <c r="AF2460" s="36">
        <v>113</v>
      </c>
      <c r="AG2460" s="120">
        <f t="shared" si="272"/>
        <v>543.53</v>
      </c>
      <c r="AH2460" s="36"/>
      <c r="AI2460" s="124"/>
      <c r="AJ2460" s="122" t="s">
        <v>3181</v>
      </c>
      <c r="AK2460" s="129" t="str">
        <f t="shared" ca="1" si="271"/>
        <v>Late</v>
      </c>
      <c r="AL2460" s="268" t="str">
        <f t="shared" si="270"/>
        <v>May</v>
      </c>
      <c r="AM2460" s="133">
        <f>YEAR(Table1[[#This Row],[ETA
As requested
dd.mm.yyyy]])</f>
        <v>2025</v>
      </c>
    </row>
    <row r="2461" spans="1:40" hidden="1">
      <c r="A2461" s="123" t="s">
        <v>83</v>
      </c>
      <c r="B2461" s="36" t="s">
        <v>1170</v>
      </c>
      <c r="C2461" s="117">
        <v>5410624</v>
      </c>
      <c r="D2461" s="165">
        <v>45777</v>
      </c>
      <c r="E2461" s="117" t="s">
        <v>102</v>
      </c>
      <c r="F2461" s="36" t="str">
        <f>IFERROR(VLOOKUP(Table1[[#This Row],[Part Number]],DATABASE_FG!$C$6:D12450,2,FALSE)," ")</f>
        <v xml:space="preserve">080814913-8011 </v>
      </c>
      <c r="G2461" s="117">
        <f>IFERROR(_xlfn.XLOOKUP(Table1[[#This Row],[Part Number]],Table3[Part number],Table3[Drawing
 Revision]),"")</f>
        <v>0</v>
      </c>
      <c r="H2461" s="118" cm="1">
        <f t="array" ref="H2461">IFERROR(INDEX(PDB!$C:$AT,MATCH(E2461,PDB!$B:$B,0),MATCH(YEAR(K2461),0+PDB!$C$1:$AT$1,0)),"")</f>
        <v>4.8099999999999996</v>
      </c>
      <c r="I2461" s="36">
        <f>400-34-141-158</f>
        <v>67</v>
      </c>
      <c r="J2461" s="125">
        <f>IFERROR(Table1[[#This Row],[Quantity]]*Table1[[#This Row],[Price/Unit
EUR]]," ")</f>
        <v>322.27</v>
      </c>
      <c r="K2461" s="126">
        <v>45811</v>
      </c>
      <c r="L2461" s="36">
        <f>WEEKNUM(Table1[[#This Row],[ETA
As requested
dd.mm.yyyy]])</f>
        <v>23</v>
      </c>
      <c r="M2461" s="36">
        <f>YEAR(Table1[[#This Row],[ETA
As requested
dd.mm.yyyy]])</f>
        <v>2025</v>
      </c>
      <c r="N2461" s="36">
        <f>IFERROR(INDEX(DATABASE_FG!$H$5:$H$367, MATCH(E2461, DATABASE_FG!$C$5:$C$367, 0)), " ")</f>
        <v>0</v>
      </c>
      <c r="O2461" s="129" t="str">
        <f>IF(E2461&lt;&gt;"", _xlfn.XLOOKUP(E2461, DATABASE_FG!C:C, DATABASE_FG!F:F), " ")</f>
        <v>Ghidaje</v>
      </c>
      <c r="P2461" s="36">
        <f>IFERROR(INDEX(DATABASE_FG!$G$5:$G$367, MATCH(E2461, DATABASE_FG!$C$5:$C$367, 0)), "Not Found")</f>
        <v>0</v>
      </c>
      <c r="Q2461" s="36"/>
      <c r="R2461" s="125" t="s">
        <v>678</v>
      </c>
      <c r="S2461" s="123">
        <f>IFERROR(INDEX(DATABASE_FG!$L$5:$L$367, MATCH(E2461, DATABASE_FG!$C$5:$C$367, 0)), " ")</f>
        <v>42</v>
      </c>
      <c r="T2461" s="36" t="s">
        <v>679</v>
      </c>
      <c r="U2461" s="36"/>
      <c r="V2461" s="36"/>
      <c r="W2461" s="129"/>
      <c r="X2461" s="36"/>
      <c r="Y2461" s="36"/>
      <c r="Z2461" s="36"/>
      <c r="AA2461" s="125" t="s">
        <v>121</v>
      </c>
      <c r="AB2461" s="172">
        <v>45832</v>
      </c>
      <c r="AC2461" s="119">
        <v>25979</v>
      </c>
      <c r="AD2461" s="36">
        <f t="shared" si="273"/>
        <v>5410624</v>
      </c>
      <c r="AE2461" s="36" t="str">
        <f t="shared" si="274"/>
        <v>TK.KWVE30-B-A-S-0038-WW1</v>
      </c>
      <c r="AF2461" s="36">
        <v>67</v>
      </c>
      <c r="AG2461" s="120">
        <f t="shared" si="272"/>
        <v>322.27</v>
      </c>
      <c r="AH2461" s="36"/>
      <c r="AI2461" s="124"/>
      <c r="AJ2461" s="122" t="s">
        <v>3231</v>
      </c>
      <c r="AK2461" s="129" t="str">
        <f t="shared" ca="1" si="271"/>
        <v>Late</v>
      </c>
      <c r="AL2461" s="268" t="str">
        <f t="shared" si="270"/>
        <v>June</v>
      </c>
      <c r="AM2461" s="133">
        <f>YEAR(Table1[[#This Row],[ETA
As requested
dd.mm.yyyy]])</f>
        <v>2025</v>
      </c>
    </row>
    <row r="2462" spans="1:40" hidden="1">
      <c r="A2462" s="123" t="s">
        <v>83</v>
      </c>
      <c r="B2462" s="36" t="s">
        <v>1170</v>
      </c>
      <c r="C2462" s="117">
        <v>5410624</v>
      </c>
      <c r="D2462" s="165">
        <v>45777</v>
      </c>
      <c r="E2462" s="117" t="s">
        <v>102</v>
      </c>
      <c r="F2462" s="36" t="str">
        <f>IFERROR(VLOOKUP(Table1[[#This Row],[Part Number]],DATABASE_FG!$C$6:D12451,2,FALSE)," ")</f>
        <v xml:space="preserve">080814913-8011 </v>
      </c>
      <c r="G2462" s="117">
        <f>IFERROR(_xlfn.XLOOKUP(Table1[[#This Row],[Part Number]],Table3[Part number],Table3[Drawing
 Revision]),"")</f>
        <v>0</v>
      </c>
      <c r="H2462" s="118" cm="1">
        <f t="array" ref="H2462">IFERROR(INDEX(PDB!$C:$AT,MATCH(E2462,PDB!$B:$B,0),MATCH(YEAR(K2462),0+PDB!$C$1:$AT$1,0)),"")</f>
        <v>4.8099999999999996</v>
      </c>
      <c r="I2462" s="36">
        <f>376</f>
        <v>376</v>
      </c>
      <c r="J2462" s="125">
        <f>IFERROR(Table1[[#This Row],[Quantity]]*Table1[[#This Row],[Price/Unit
EUR]]," ")</f>
        <v>1808.56</v>
      </c>
      <c r="K2462" s="126">
        <v>45818</v>
      </c>
      <c r="L2462" s="36">
        <f>WEEKNUM(Table1[[#This Row],[ETA
As requested
dd.mm.yyyy]])</f>
        <v>24</v>
      </c>
      <c r="M2462" s="36">
        <f>YEAR(Table1[[#This Row],[ETA
As requested
dd.mm.yyyy]])</f>
        <v>2025</v>
      </c>
      <c r="N2462" s="36">
        <f>IFERROR(INDEX(DATABASE_FG!$H$5:$H$367, MATCH(E2462, DATABASE_FG!$C$5:$C$367, 0)), " ")</f>
        <v>0</v>
      </c>
      <c r="O2462" s="129" t="str">
        <f>IF(E2462&lt;&gt;"", _xlfn.XLOOKUP(E2462, DATABASE_FG!C:C, DATABASE_FG!F:F), " ")</f>
        <v>Ghidaje</v>
      </c>
      <c r="P2462" s="36">
        <f>IFERROR(INDEX(DATABASE_FG!$G$5:$G$367, MATCH(E2462, DATABASE_FG!$C$5:$C$367, 0)), "Not Found")</f>
        <v>0</v>
      </c>
      <c r="Q2462" s="36"/>
      <c r="R2462" s="125" t="s">
        <v>678</v>
      </c>
      <c r="S2462" s="123">
        <f>IFERROR(INDEX(DATABASE_FG!$L$5:$L$367, MATCH(E2462, DATABASE_FG!$C$5:$C$367, 0)), " ")</f>
        <v>42</v>
      </c>
      <c r="T2462" s="36" t="s">
        <v>679</v>
      </c>
      <c r="U2462" s="36"/>
      <c r="V2462" s="36"/>
      <c r="W2462" s="129"/>
      <c r="X2462" s="36"/>
      <c r="Y2462" s="36"/>
      <c r="Z2462" s="36"/>
      <c r="AA2462" s="125" t="s">
        <v>121</v>
      </c>
      <c r="AB2462" s="172">
        <v>45832</v>
      </c>
      <c r="AC2462" s="119">
        <v>25979</v>
      </c>
      <c r="AD2462" s="36">
        <f t="shared" si="273"/>
        <v>5410624</v>
      </c>
      <c r="AE2462" s="36" t="str">
        <f t="shared" si="274"/>
        <v>TK.KWVE30-B-A-S-0038-WW1</v>
      </c>
      <c r="AF2462" s="36">
        <v>376</v>
      </c>
      <c r="AG2462" s="120">
        <f t="shared" si="272"/>
        <v>1808.56</v>
      </c>
      <c r="AH2462" s="36"/>
      <c r="AI2462" s="124"/>
      <c r="AJ2462" s="122" t="s">
        <v>3231</v>
      </c>
      <c r="AK2462" s="129" t="str">
        <f t="shared" ca="1" si="271"/>
        <v>Late</v>
      </c>
      <c r="AL2462" s="268" t="str">
        <f t="shared" si="270"/>
        <v>June</v>
      </c>
      <c r="AM2462" s="133">
        <f>YEAR(Table1[[#This Row],[ETA
As requested
dd.mm.yyyy]])</f>
        <v>2025</v>
      </c>
    </row>
    <row r="2463" spans="1:40" hidden="1">
      <c r="A2463" s="123" t="s">
        <v>83</v>
      </c>
      <c r="B2463" s="36" t="s">
        <v>1170</v>
      </c>
      <c r="C2463" s="117">
        <v>5410624</v>
      </c>
      <c r="D2463" s="165">
        <v>45777</v>
      </c>
      <c r="E2463" s="117" t="s">
        <v>102</v>
      </c>
      <c r="F2463" s="36" t="str">
        <f>IFERROR(VLOOKUP(Table1[[#This Row],[Part Number]],DATABASE_FG!$C$6:D12452,2,FALSE)," ")</f>
        <v xml:space="preserve">080814913-8011 </v>
      </c>
      <c r="G2463" s="117">
        <f>IFERROR(_xlfn.XLOOKUP(Table1[[#This Row],[Part Number]],Table3[Part number],Table3[Drawing
 Revision]),"")</f>
        <v>0</v>
      </c>
      <c r="H2463" s="118" cm="1">
        <f t="array" ref="H2463">IFERROR(INDEX(PDB!$C:$AT,MATCH(E2463,PDB!$B:$B,0),MATCH(YEAR(K2463),0+PDB!$C$1:$AT$1,0)),"")</f>
        <v>4.8099999999999996</v>
      </c>
      <c r="I2463" s="36">
        <v>397</v>
      </c>
      <c r="J2463" s="125">
        <f>IFERROR(Table1[[#This Row],[Quantity]]*Table1[[#This Row],[Price/Unit
EUR]]," ")</f>
        <v>1909.57</v>
      </c>
      <c r="K2463" s="126">
        <v>45818</v>
      </c>
      <c r="L2463" s="36">
        <f>WEEKNUM(Table1[[#This Row],[ETA
As requested
dd.mm.yyyy]])</f>
        <v>24</v>
      </c>
      <c r="M2463" s="36">
        <f>YEAR(Table1[[#This Row],[ETA
As requested
dd.mm.yyyy]])</f>
        <v>2025</v>
      </c>
      <c r="N2463" s="36">
        <f>IFERROR(INDEX(DATABASE_FG!$H$5:$H$367, MATCH(E2463, DATABASE_FG!$C$5:$C$367, 0)), " ")</f>
        <v>0</v>
      </c>
      <c r="O2463" s="129" t="str">
        <f>IF(E2463&lt;&gt;"", _xlfn.XLOOKUP(E2463, DATABASE_FG!C:C, DATABASE_FG!F:F), " ")</f>
        <v>Ghidaje</v>
      </c>
      <c r="P2463" s="36">
        <f>IFERROR(INDEX(DATABASE_FG!$G$5:$G$367, MATCH(E2463, DATABASE_FG!$C$5:$C$367, 0)), "Not Found")</f>
        <v>0</v>
      </c>
      <c r="Q2463" s="36"/>
      <c r="R2463" s="125" t="s">
        <v>678</v>
      </c>
      <c r="S2463" s="123">
        <f>IFERROR(INDEX(DATABASE_FG!$L$5:$L$367, MATCH(E2463, DATABASE_FG!$C$5:$C$367, 0)), " ")</f>
        <v>42</v>
      </c>
      <c r="T2463" s="36" t="s">
        <v>679</v>
      </c>
      <c r="U2463" s="36"/>
      <c r="V2463" s="36"/>
      <c r="W2463" s="129"/>
      <c r="X2463" s="36"/>
      <c r="Y2463" s="36"/>
      <c r="Z2463" s="36"/>
      <c r="AA2463" s="125" t="s">
        <v>121</v>
      </c>
      <c r="AB2463" s="172">
        <v>45834</v>
      </c>
      <c r="AC2463" s="119">
        <v>25994</v>
      </c>
      <c r="AD2463" s="36">
        <f t="shared" si="273"/>
        <v>5410624</v>
      </c>
      <c r="AE2463" s="36" t="str">
        <f t="shared" si="274"/>
        <v>TK.KWVE30-B-A-S-0038-WW1</v>
      </c>
      <c r="AF2463" s="36">
        <v>397</v>
      </c>
      <c r="AG2463" s="120">
        <f t="shared" si="272"/>
        <v>1909.57</v>
      </c>
      <c r="AH2463" s="36"/>
      <c r="AI2463" s="124"/>
      <c r="AJ2463" s="122" t="s">
        <v>3242</v>
      </c>
      <c r="AK2463" s="129" t="str">
        <f t="shared" ca="1" si="271"/>
        <v>Late</v>
      </c>
      <c r="AL2463" s="268" t="str">
        <f t="shared" si="270"/>
        <v>June</v>
      </c>
      <c r="AM2463" s="133">
        <f>YEAR(Table1[[#This Row],[ETA
As requested
dd.mm.yyyy]])</f>
        <v>2025</v>
      </c>
    </row>
    <row r="2464" spans="1:40" hidden="1">
      <c r="A2464" s="123" t="s">
        <v>83</v>
      </c>
      <c r="B2464" s="36" t="s">
        <v>1170</v>
      </c>
      <c r="C2464" s="117">
        <v>5410624</v>
      </c>
      <c r="D2464" s="165">
        <v>45777</v>
      </c>
      <c r="E2464" s="117" t="s">
        <v>102</v>
      </c>
      <c r="F2464" s="36" t="str">
        <f>IFERROR(VLOOKUP(Table1[[#This Row],[Part Number]],DATABASE_FG!$C$6:D12453,2,FALSE)," ")</f>
        <v xml:space="preserve">080814913-8011 </v>
      </c>
      <c r="G2464" s="117">
        <f>IFERROR(_xlfn.XLOOKUP(Table1[[#This Row],[Part Number]],Table3[Part number],Table3[Drawing
 Revision]),"")</f>
        <v>0</v>
      </c>
      <c r="H2464" s="118" cm="1">
        <f t="array" ref="H2464">IFERROR(INDEX(PDB!$C:$AT,MATCH(E2464,PDB!$B:$B,0),MATCH(YEAR(K2464),0+PDB!$C$1:$AT$1,0)),"")</f>
        <v>4.8099999999999996</v>
      </c>
      <c r="I2464" s="36">
        <v>158</v>
      </c>
      <c r="J2464" s="125">
        <f>IFERROR(Table1[[#This Row],[Quantity]]*Table1[[#This Row],[Price/Unit
EUR]]," ")</f>
        <v>759.9799999999999</v>
      </c>
      <c r="K2464" s="126">
        <v>45818</v>
      </c>
      <c r="L2464" s="36">
        <f>WEEKNUM(Table1[[#This Row],[ETA
As requested
dd.mm.yyyy]])</f>
        <v>24</v>
      </c>
      <c r="M2464" s="36">
        <f>YEAR(Table1[[#This Row],[ETA
As requested
dd.mm.yyyy]])</f>
        <v>2025</v>
      </c>
      <c r="N2464" s="36">
        <f>IFERROR(INDEX(DATABASE_FG!$H$5:$H$367, MATCH(E2464, DATABASE_FG!$C$5:$C$367, 0)), " ")</f>
        <v>0</v>
      </c>
      <c r="O2464" s="129" t="str">
        <f>IF(E2464&lt;&gt;"", _xlfn.XLOOKUP(E2464, DATABASE_FG!C:C, DATABASE_FG!F:F), " ")</f>
        <v>Ghidaje</v>
      </c>
      <c r="P2464" s="36">
        <f>IFERROR(INDEX(DATABASE_FG!$G$5:$G$367, MATCH(E2464, DATABASE_FG!$C$5:$C$367, 0)), "Not Found")</f>
        <v>0</v>
      </c>
      <c r="Q2464" s="36"/>
      <c r="R2464" s="125" t="s">
        <v>678</v>
      </c>
      <c r="S2464" s="123">
        <f>IFERROR(INDEX(DATABASE_FG!$L$5:$L$367, MATCH(E2464, DATABASE_FG!$C$5:$C$367, 0)), " ")</f>
        <v>42</v>
      </c>
      <c r="T2464" s="36" t="s">
        <v>679</v>
      </c>
      <c r="U2464" s="36"/>
      <c r="V2464" s="36"/>
      <c r="W2464" s="129"/>
      <c r="X2464" s="36"/>
      <c r="Y2464" s="36"/>
      <c r="Z2464" s="36"/>
      <c r="AA2464" s="125" t="s">
        <v>121</v>
      </c>
      <c r="AB2464" s="172">
        <v>45835</v>
      </c>
      <c r="AC2464" s="119">
        <v>25997</v>
      </c>
      <c r="AD2464" s="36">
        <f t="shared" si="273"/>
        <v>5410624</v>
      </c>
      <c r="AE2464" s="36" t="str">
        <f t="shared" si="274"/>
        <v>TK.KWVE30-B-A-S-0038-WW1</v>
      </c>
      <c r="AF2464" s="36">
        <v>158</v>
      </c>
      <c r="AG2464" s="120">
        <f t="shared" si="272"/>
        <v>759.9799999999999</v>
      </c>
      <c r="AH2464" s="36"/>
      <c r="AI2464" s="124"/>
      <c r="AJ2464" s="122" t="s">
        <v>3243</v>
      </c>
      <c r="AK2464" s="129" t="str">
        <f t="shared" ca="1" si="271"/>
        <v>Late</v>
      </c>
      <c r="AL2464" s="268" t="str">
        <f t="shared" si="270"/>
        <v>June</v>
      </c>
      <c r="AM2464" s="133">
        <f>YEAR(Table1[[#This Row],[ETA
As requested
dd.mm.yyyy]])</f>
        <v>2025</v>
      </c>
    </row>
    <row r="2465" spans="1:39" hidden="1">
      <c r="A2465" s="123" t="s">
        <v>83</v>
      </c>
      <c r="B2465" s="36" t="s">
        <v>1170</v>
      </c>
      <c r="C2465" s="117">
        <v>5410624</v>
      </c>
      <c r="D2465" s="165">
        <v>45777</v>
      </c>
      <c r="E2465" s="117" t="s">
        <v>102</v>
      </c>
      <c r="F2465" s="36" t="str">
        <f>IFERROR(VLOOKUP(Table1[[#This Row],[Part Number]],DATABASE_FG!$C$6:D12454,2,FALSE)," ")</f>
        <v xml:space="preserve">080814913-8011 </v>
      </c>
      <c r="G2465" s="117">
        <f>IFERROR(_xlfn.XLOOKUP(Table1[[#This Row],[Part Number]],Table3[Part number],Table3[Drawing
 Revision]),"")</f>
        <v>0</v>
      </c>
      <c r="H2465" s="118" cm="1">
        <f t="array" ref="H2465">IFERROR(INDEX(PDB!$C:$AT,MATCH(E2465,PDB!$B:$B,0),MATCH(YEAR(K2465),0+PDB!$C$1:$AT$1,0)),"")</f>
        <v>4.8099999999999996</v>
      </c>
      <c r="I2465" s="36">
        <v>196</v>
      </c>
      <c r="J2465" s="125">
        <f>IFERROR(Table1[[#This Row],[Quantity]]*Table1[[#This Row],[Price/Unit
EUR]]," ")</f>
        <v>942.75999999999988</v>
      </c>
      <c r="K2465" s="126">
        <v>45818</v>
      </c>
      <c r="L2465" s="36">
        <f>WEEKNUM(Table1[[#This Row],[ETA
As requested
dd.mm.yyyy]])</f>
        <v>24</v>
      </c>
      <c r="M2465" s="36">
        <f>YEAR(Table1[[#This Row],[ETA
As requested
dd.mm.yyyy]])</f>
        <v>2025</v>
      </c>
      <c r="N2465" s="36">
        <f>IFERROR(INDEX(DATABASE_FG!$H$5:$H$367, MATCH(E2465, DATABASE_FG!$C$5:$C$367, 0)), " ")</f>
        <v>0</v>
      </c>
      <c r="O2465" s="129" t="str">
        <f>IF(E2465&lt;&gt;"", _xlfn.XLOOKUP(E2465, DATABASE_FG!C:C, DATABASE_FG!F:F), " ")</f>
        <v>Ghidaje</v>
      </c>
      <c r="P2465" s="36">
        <f>IFERROR(INDEX(DATABASE_FG!$G$5:$G$367, MATCH(E2465, DATABASE_FG!$C$5:$C$367, 0)), "Not Found")</f>
        <v>0</v>
      </c>
      <c r="Q2465" s="36"/>
      <c r="R2465" s="125" t="s">
        <v>678</v>
      </c>
      <c r="S2465" s="123">
        <f>IFERROR(INDEX(DATABASE_FG!$L$5:$L$367, MATCH(E2465, DATABASE_FG!$C$5:$C$367, 0)), " ")</f>
        <v>42</v>
      </c>
      <c r="T2465" s="36" t="s">
        <v>679</v>
      </c>
      <c r="U2465" s="36"/>
      <c r="V2465" s="36"/>
      <c r="W2465" s="129"/>
      <c r="X2465" s="36"/>
      <c r="Y2465" s="36"/>
      <c r="Z2465" s="36"/>
      <c r="AA2465" s="125" t="s">
        <v>121</v>
      </c>
      <c r="AB2465" s="172">
        <v>45838</v>
      </c>
      <c r="AC2465" s="119">
        <v>260010</v>
      </c>
      <c r="AD2465" s="36">
        <f t="shared" si="273"/>
        <v>5410624</v>
      </c>
      <c r="AE2465" s="36" t="str">
        <f t="shared" si="274"/>
        <v>TK.KWVE30-B-A-S-0038-WW1</v>
      </c>
      <c r="AF2465" s="36">
        <v>196</v>
      </c>
      <c r="AG2465" s="120">
        <f t="shared" si="272"/>
        <v>942.75999999999988</v>
      </c>
      <c r="AH2465" s="36"/>
      <c r="AI2465" s="124"/>
      <c r="AJ2465" s="122" t="s">
        <v>3244</v>
      </c>
      <c r="AK2465" s="129" t="str">
        <f t="shared" ca="1" si="271"/>
        <v>Late</v>
      </c>
      <c r="AL2465" s="268" t="str">
        <f t="shared" si="270"/>
        <v>June</v>
      </c>
      <c r="AM2465" s="133">
        <f>YEAR(Table1[[#This Row],[ETA
As requested
dd.mm.yyyy]])</f>
        <v>2025</v>
      </c>
    </row>
    <row r="2466" spans="1:39" hidden="1">
      <c r="A2466" s="123" t="s">
        <v>83</v>
      </c>
      <c r="B2466" s="36" t="s">
        <v>1170</v>
      </c>
      <c r="C2466" s="117">
        <v>5410624</v>
      </c>
      <c r="D2466" s="165">
        <v>45777</v>
      </c>
      <c r="E2466" s="117" t="s">
        <v>102</v>
      </c>
      <c r="F2466" s="36" t="str">
        <f>IFERROR(VLOOKUP(Table1[[#This Row],[Part Number]],DATABASE_FG!$C$6:D12455,2,FALSE)," ")</f>
        <v xml:space="preserve">080814913-8011 </v>
      </c>
      <c r="G2466" s="117">
        <f>IFERROR(_xlfn.XLOOKUP(Table1[[#This Row],[Part Number]],Table3[Part number],Table3[Drawing
 Revision]),"")</f>
        <v>0</v>
      </c>
      <c r="H2466" s="118" cm="1">
        <f t="array" ref="H2466">IFERROR(INDEX(PDB!$C:$AT,MATCH(E2466,PDB!$B:$B,0),MATCH(YEAR(K2466),0+PDB!$C$1:$AT$1,0)),"")</f>
        <v>4.8099999999999996</v>
      </c>
      <c r="I2466" s="36">
        <v>34</v>
      </c>
      <c r="J2466" s="125">
        <f>IFERROR(Table1[[#This Row],[Quantity]]*Table1[[#This Row],[Price/Unit
EUR]]," ")</f>
        <v>163.54</v>
      </c>
      <c r="K2466" s="126">
        <v>45825</v>
      </c>
      <c r="L2466" s="36">
        <f>WEEKNUM(Table1[[#This Row],[ETA
As requested
dd.mm.yyyy]])</f>
        <v>25</v>
      </c>
      <c r="M2466" s="36">
        <f>YEAR(Table1[[#This Row],[ETA
As requested
dd.mm.yyyy]])</f>
        <v>2025</v>
      </c>
      <c r="N2466" s="36">
        <f>IFERROR(INDEX(DATABASE_FG!$H$5:$H$367, MATCH(E2466, DATABASE_FG!$C$5:$C$367, 0)), " ")</f>
        <v>0</v>
      </c>
      <c r="O2466" s="129" t="str">
        <f>IF(E2466&lt;&gt;"", _xlfn.XLOOKUP(E2466, DATABASE_FG!C:C, DATABASE_FG!F:F), " ")</f>
        <v>Ghidaje</v>
      </c>
      <c r="P2466" s="36">
        <f>IFERROR(INDEX(DATABASE_FG!$G$5:$G$367, MATCH(E2466, DATABASE_FG!$C$5:$C$367, 0)), "Not Found")</f>
        <v>0</v>
      </c>
      <c r="Q2466" s="36"/>
      <c r="R2466" s="125" t="s">
        <v>678</v>
      </c>
      <c r="S2466" s="123">
        <f>Table1[[#This Row],[Quantity]]/48</f>
        <v>0.70833333333333337</v>
      </c>
      <c r="T2466" s="36"/>
      <c r="U2466" s="36"/>
      <c r="V2466" s="36"/>
      <c r="W2466" s="129"/>
      <c r="X2466" s="36"/>
      <c r="Y2466" s="36"/>
      <c r="Z2466" s="36"/>
      <c r="AA2466" s="125" t="s">
        <v>121</v>
      </c>
      <c r="AB2466" s="172">
        <v>45825</v>
      </c>
      <c r="AC2466" s="119">
        <v>25944</v>
      </c>
      <c r="AD2466" s="36">
        <f t="shared" si="273"/>
        <v>5410624</v>
      </c>
      <c r="AE2466" s="36" t="str">
        <f t="shared" si="274"/>
        <v>TK.KWVE30-B-A-S-0038-WW1</v>
      </c>
      <c r="AF2466" s="36">
        <v>34</v>
      </c>
      <c r="AG2466" s="120">
        <f t="shared" si="272"/>
        <v>163.54</v>
      </c>
      <c r="AH2466" s="36"/>
      <c r="AI2466" s="124"/>
      <c r="AJ2466" s="122" t="s">
        <v>3287</v>
      </c>
      <c r="AK2466" s="129" t="str">
        <f t="shared" ca="1" si="271"/>
        <v>On Time</v>
      </c>
      <c r="AL2466" s="268" t="str">
        <f t="shared" si="270"/>
        <v>June</v>
      </c>
      <c r="AM2466" s="133">
        <f>YEAR(Table1[[#This Row],[ETA
As requested
dd.mm.yyyy]])</f>
        <v>2025</v>
      </c>
    </row>
    <row r="2467" spans="1:39" hidden="1">
      <c r="A2467" s="123" t="s">
        <v>83</v>
      </c>
      <c r="B2467" s="36" t="s">
        <v>1170</v>
      </c>
      <c r="C2467" s="117">
        <v>5410624</v>
      </c>
      <c r="D2467" s="165">
        <v>45777</v>
      </c>
      <c r="E2467" s="117" t="s">
        <v>102</v>
      </c>
      <c r="F2467" s="36" t="str">
        <f>IFERROR(VLOOKUP(Table1[[#This Row],[Part Number]],DATABASE_FG!$C$6:D12456,2,FALSE)," ")</f>
        <v xml:space="preserve">080814913-8011 </v>
      </c>
      <c r="G2467" s="117">
        <f>IFERROR(_xlfn.XLOOKUP(Table1[[#This Row],[Part Number]],Table3[Part number],Table3[Drawing
 Revision]),"")</f>
        <v>0</v>
      </c>
      <c r="H2467" s="118" cm="1">
        <f t="array" ref="H2467">IFERROR(INDEX(PDB!$C:$AT,MATCH(E2467,PDB!$B:$B,0),MATCH(YEAR(K2467),0+PDB!$C$1:$AT$1,0)),"")</f>
        <v>4.8099999999999996</v>
      </c>
      <c r="I2467" s="36">
        <v>141</v>
      </c>
      <c r="J2467" s="125">
        <f>IFERROR(Table1[[#This Row],[Quantity]]*Table1[[#This Row],[Price/Unit
EUR]]," ")</f>
        <v>678.20999999999992</v>
      </c>
      <c r="K2467" s="126">
        <v>45825</v>
      </c>
      <c r="L2467" s="36">
        <f>WEEKNUM(Table1[[#This Row],[ETA
As requested
dd.mm.yyyy]])</f>
        <v>25</v>
      </c>
      <c r="M2467" s="36">
        <f>YEAR(Table1[[#This Row],[ETA
As requested
dd.mm.yyyy]])</f>
        <v>2025</v>
      </c>
      <c r="N2467" s="36">
        <f>IFERROR(INDEX(DATABASE_FG!$H$5:$H$367, MATCH(E2467, DATABASE_FG!$C$5:$C$367, 0)), " ")</f>
        <v>0</v>
      </c>
      <c r="O2467" s="129" t="str">
        <f>IF(E2467&lt;&gt;"", _xlfn.XLOOKUP(E2467, DATABASE_FG!C:C, DATABASE_FG!F:F), " ")</f>
        <v>Ghidaje</v>
      </c>
      <c r="P2467" s="36">
        <f>IFERROR(INDEX(DATABASE_FG!$G$5:$G$367, MATCH(E2467, DATABASE_FG!$C$5:$C$367, 0)), "Not Found")</f>
        <v>0</v>
      </c>
      <c r="Q2467" s="36"/>
      <c r="R2467" s="125" t="s">
        <v>678</v>
      </c>
      <c r="S2467" s="123">
        <f>Table1[[#This Row],[Quantity]]/48</f>
        <v>2.9375</v>
      </c>
      <c r="T2467" s="36"/>
      <c r="U2467" s="36"/>
      <c r="V2467" s="36"/>
      <c r="W2467" s="129"/>
      <c r="X2467" s="36"/>
      <c r="Y2467" s="36"/>
      <c r="Z2467" s="36"/>
      <c r="AA2467" s="125" t="s">
        <v>121</v>
      </c>
      <c r="AB2467" s="172">
        <v>45827</v>
      </c>
      <c r="AC2467" s="119">
        <v>25953</v>
      </c>
      <c r="AD2467" s="36">
        <f t="shared" si="273"/>
        <v>5410624</v>
      </c>
      <c r="AE2467" s="36" t="str">
        <f t="shared" si="274"/>
        <v>TK.KWVE30-B-A-S-0038-WW1</v>
      </c>
      <c r="AF2467" s="36">
        <v>141</v>
      </c>
      <c r="AG2467" s="120">
        <f t="shared" si="272"/>
        <v>678.20999999999992</v>
      </c>
      <c r="AH2467" s="36"/>
      <c r="AI2467" s="124"/>
      <c r="AJ2467" s="122" t="s">
        <v>3288</v>
      </c>
      <c r="AK2467" s="129" t="str">
        <f t="shared" ca="1" si="271"/>
        <v>On Time</v>
      </c>
      <c r="AL2467" s="268" t="str">
        <f t="shared" si="270"/>
        <v>June</v>
      </c>
      <c r="AM2467" s="133">
        <f>YEAR(Table1[[#This Row],[ETA
As requested
dd.mm.yyyy]])</f>
        <v>2025</v>
      </c>
    </row>
    <row r="2468" spans="1:39" hidden="1">
      <c r="A2468" s="123" t="s">
        <v>83</v>
      </c>
      <c r="B2468" s="36" t="s">
        <v>1170</v>
      </c>
      <c r="C2468" s="117">
        <v>5410624</v>
      </c>
      <c r="D2468" s="165">
        <v>45777</v>
      </c>
      <c r="E2468" s="117" t="s">
        <v>102</v>
      </c>
      <c r="F2468" s="36" t="str">
        <f>IFERROR(VLOOKUP(Table1[[#This Row],[Part Number]],DATABASE_FG!$C$6:D12457,2,FALSE)," ")</f>
        <v xml:space="preserve">080814913-8011 </v>
      </c>
      <c r="G2468" s="117">
        <f>IFERROR(_xlfn.XLOOKUP(Table1[[#This Row],[Part Number]],Table3[Part number],Table3[Drawing
 Revision]),"")</f>
        <v>0</v>
      </c>
      <c r="H2468" s="118" cm="1">
        <f t="array" ref="H2468">IFERROR(INDEX(PDB!$C:$AT,MATCH(E2468,PDB!$B:$B,0),MATCH(YEAR(K2468),0+PDB!$C$1:$AT$1,0)),"")</f>
        <v>4.8099999999999996</v>
      </c>
      <c r="I2468" s="36">
        <v>158</v>
      </c>
      <c r="J2468" s="125">
        <f>IFERROR(Table1[[#This Row],[Quantity]]*Table1[[#This Row],[Price/Unit
EUR]]," ")</f>
        <v>759.9799999999999</v>
      </c>
      <c r="K2468" s="126">
        <v>45825</v>
      </c>
      <c r="L2468" s="36">
        <f>WEEKNUM(Table1[[#This Row],[ETA
As requested
dd.mm.yyyy]])</f>
        <v>25</v>
      </c>
      <c r="M2468" s="36">
        <f>YEAR(Table1[[#This Row],[ETA
As requested
dd.mm.yyyy]])</f>
        <v>2025</v>
      </c>
      <c r="N2468" s="36">
        <f>IFERROR(INDEX(DATABASE_FG!$H$5:$H$367, MATCH(E2468, DATABASE_FG!$C$5:$C$367, 0)), " ")</f>
        <v>0</v>
      </c>
      <c r="O2468" s="129" t="str">
        <f>IF(E2468&lt;&gt;"", _xlfn.XLOOKUP(E2468, DATABASE_FG!C:C, DATABASE_FG!F:F), " ")</f>
        <v>Ghidaje</v>
      </c>
      <c r="P2468" s="36">
        <f>IFERROR(INDEX(DATABASE_FG!$G$5:$G$367, MATCH(E2468, DATABASE_FG!$C$5:$C$367, 0)), "Not Found")</f>
        <v>0</v>
      </c>
      <c r="Q2468" s="36"/>
      <c r="R2468" s="125" t="s">
        <v>678</v>
      </c>
      <c r="S2468" s="123">
        <f>Table1[[#This Row],[Quantity]]/48</f>
        <v>3.2916666666666665</v>
      </c>
      <c r="T2468" s="36"/>
      <c r="U2468" s="36"/>
      <c r="V2468" s="36"/>
      <c r="W2468" s="129"/>
      <c r="X2468" s="36"/>
      <c r="Y2468" s="36"/>
      <c r="Z2468" s="36"/>
      <c r="AA2468" s="125" t="s">
        <v>121</v>
      </c>
      <c r="AB2468" s="173">
        <v>45835</v>
      </c>
      <c r="AC2468" s="119">
        <v>25997</v>
      </c>
      <c r="AD2468" s="36">
        <f t="shared" si="273"/>
        <v>5410624</v>
      </c>
      <c r="AE2468" s="36" t="str">
        <f t="shared" si="274"/>
        <v>TK.KWVE30-B-A-S-0038-WW1</v>
      </c>
      <c r="AF2468" s="36">
        <v>158</v>
      </c>
      <c r="AG2468" s="120">
        <f t="shared" si="272"/>
        <v>759.9799999999999</v>
      </c>
      <c r="AH2468" s="36"/>
      <c r="AI2468" s="124"/>
      <c r="AJ2468" s="122"/>
      <c r="AK2468" s="129" t="str">
        <f t="shared" ca="1" si="271"/>
        <v>Late</v>
      </c>
      <c r="AL2468" s="268" t="str">
        <f t="shared" si="270"/>
        <v>June</v>
      </c>
      <c r="AM2468" s="133">
        <f>YEAR(Table1[[#This Row],[ETA
As requested
dd.mm.yyyy]])</f>
        <v>2025</v>
      </c>
    </row>
    <row r="2469" spans="1:39" hidden="1">
      <c r="A2469" s="123" t="s">
        <v>83</v>
      </c>
      <c r="B2469" s="36" t="s">
        <v>1170</v>
      </c>
      <c r="C2469" s="117">
        <v>5410624</v>
      </c>
      <c r="D2469" s="165">
        <v>45777</v>
      </c>
      <c r="E2469" s="117" t="s">
        <v>102</v>
      </c>
      <c r="F2469" s="36" t="str">
        <f>IFERROR(VLOOKUP(Table1[[#This Row],[Part Number]],DATABASE_FG!$C$6:D12458,2,FALSE)," ")</f>
        <v xml:space="preserve">080814913-8011 </v>
      </c>
      <c r="G2469" s="117">
        <f>IFERROR(_xlfn.XLOOKUP(Table1[[#This Row],[Part Number]],Table3[Part number],Table3[Drawing
 Revision]),"")</f>
        <v>0</v>
      </c>
      <c r="H2469" s="118" cm="1">
        <f t="array" ref="H2469">IFERROR(INDEX(PDB!$C:$AT,MATCH(E2469,PDB!$B:$B,0),MATCH(YEAR(K2469),0+PDB!$C$1:$AT$1,0)),"")</f>
        <v>4.8099999999999996</v>
      </c>
      <c r="I2469" s="36">
        <v>125</v>
      </c>
      <c r="J2469" s="125">
        <f>IFERROR(Table1[[#This Row],[Quantity]]*Table1[[#This Row],[Price/Unit
EUR]]," ")</f>
        <v>601.25</v>
      </c>
      <c r="K2469" s="126">
        <v>45825</v>
      </c>
      <c r="L2469" s="36">
        <f>WEEKNUM(Table1[[#This Row],[ETA
As requested
dd.mm.yyyy]])</f>
        <v>25</v>
      </c>
      <c r="M2469" s="36">
        <f>YEAR(Table1[[#This Row],[ETA
As requested
dd.mm.yyyy]])</f>
        <v>2025</v>
      </c>
      <c r="N2469" s="36">
        <f>IFERROR(INDEX(DATABASE_FG!$H$5:$H$367, MATCH(E2469, DATABASE_FG!$C$5:$C$367, 0)), " ")</f>
        <v>0</v>
      </c>
      <c r="O2469" s="129" t="str">
        <f>IF(E2469&lt;&gt;"", _xlfn.XLOOKUP(E2469, DATABASE_FG!C:C, DATABASE_FG!F:F), " ")</f>
        <v>Ghidaje</v>
      </c>
      <c r="P2469" s="36">
        <f>IFERROR(INDEX(DATABASE_FG!$G$5:$G$367, MATCH(E2469, DATABASE_FG!$C$5:$C$367, 0)), "Not Found")</f>
        <v>0</v>
      </c>
      <c r="Q2469" s="36"/>
      <c r="R2469" s="125" t="s">
        <v>678</v>
      </c>
      <c r="S2469" s="123">
        <f>Table1[[#This Row],[Quantity]]/48</f>
        <v>2.6041666666666665</v>
      </c>
      <c r="T2469" s="36"/>
      <c r="U2469" s="36"/>
      <c r="V2469" s="36"/>
      <c r="W2469" s="129"/>
      <c r="X2469" s="36"/>
      <c r="Y2469" s="36"/>
      <c r="Z2469" s="36"/>
      <c r="AA2469" s="125" t="s">
        <v>121</v>
      </c>
      <c r="AB2469" s="172">
        <v>45868</v>
      </c>
      <c r="AC2469" s="119" t="s">
        <v>3299</v>
      </c>
      <c r="AD2469" s="36">
        <f t="shared" si="273"/>
        <v>5410624</v>
      </c>
      <c r="AE2469" s="36" t="str">
        <f t="shared" si="274"/>
        <v>TK.KWVE30-B-A-S-0038-WW1</v>
      </c>
      <c r="AF2469" s="36">
        <v>125</v>
      </c>
      <c r="AG2469" s="120">
        <f t="shared" si="272"/>
        <v>601.25</v>
      </c>
      <c r="AH2469" s="36"/>
      <c r="AI2469" s="124"/>
      <c r="AJ2469" s="122" t="s">
        <v>3300</v>
      </c>
      <c r="AK2469" s="129" t="str">
        <f t="shared" ca="1" si="271"/>
        <v>Late</v>
      </c>
      <c r="AL2469" s="268" t="str">
        <f t="shared" si="270"/>
        <v>June</v>
      </c>
      <c r="AM2469" s="133">
        <f>YEAR(Table1[[#This Row],[ETA
As requested
dd.mm.yyyy]])</f>
        <v>2025</v>
      </c>
    </row>
    <row r="2470" spans="1:39" hidden="1">
      <c r="A2470" s="123" t="s">
        <v>83</v>
      </c>
      <c r="B2470" s="36" t="s">
        <v>1170</v>
      </c>
      <c r="C2470" s="117">
        <v>5410624</v>
      </c>
      <c r="D2470" s="165">
        <v>45777</v>
      </c>
      <c r="E2470" s="117" t="s">
        <v>102</v>
      </c>
      <c r="F2470" s="36" t="str">
        <f>IFERROR(VLOOKUP(Table1[[#This Row],[Part Number]],DATABASE_FG!$C$6:D12459,2,FALSE)," ")</f>
        <v xml:space="preserve">080814913-8011 </v>
      </c>
      <c r="G2470" s="117">
        <f>IFERROR(_xlfn.XLOOKUP(Table1[[#This Row],[Part Number]],Table3[Part number],Table3[Drawing
 Revision]),"")</f>
        <v>0</v>
      </c>
      <c r="H2470" s="118" cm="1">
        <f t="array" ref="H2470">IFERROR(INDEX(PDB!$C:$AT,MATCH(E2470,PDB!$B:$B,0),MATCH(YEAR(K2470),0+PDB!$C$1:$AT$1,0)),"")</f>
        <v>4.8099999999999996</v>
      </c>
      <c r="I2470" s="36">
        <v>178</v>
      </c>
      <c r="J2470" s="125">
        <f>IFERROR(Table1[[#This Row],[Quantity]]*Table1[[#This Row],[Price/Unit
EUR]]," ")</f>
        <v>856.18</v>
      </c>
      <c r="K2470" s="126">
        <v>45859</v>
      </c>
      <c r="L2470" s="36">
        <f>WEEKNUM(Table1[[#This Row],[ETA
As requested
dd.mm.yyyy]])</f>
        <v>30</v>
      </c>
      <c r="M2470" s="36">
        <f>YEAR(Table1[[#This Row],[ETA
As requested
dd.mm.yyyy]])</f>
        <v>2025</v>
      </c>
      <c r="N2470" s="36">
        <f>IFERROR(INDEX(DATABASE_FG!$H$5:$H$367, MATCH(E2470, DATABASE_FG!$C$5:$C$367, 0)), " ")</f>
        <v>0</v>
      </c>
      <c r="O2470" s="129" t="str">
        <f>IF(E2470&lt;&gt;"", _xlfn.XLOOKUP(E2470, DATABASE_FG!C:C, DATABASE_FG!F:F), " ")</f>
        <v>Ghidaje</v>
      </c>
      <c r="P2470" s="36">
        <f>IFERROR(INDEX(DATABASE_FG!$G$5:$G$367, MATCH(E2470, DATABASE_FG!$C$5:$C$367, 0)), "Not Found")</f>
        <v>0</v>
      </c>
      <c r="Q2470" s="36"/>
      <c r="R2470" s="125" t="s">
        <v>678</v>
      </c>
      <c r="S2470" s="123">
        <f>Table1[[#This Row],[Quantity]]/48</f>
        <v>3.7083333333333335</v>
      </c>
      <c r="T2470" s="36"/>
      <c r="U2470" s="36"/>
      <c r="V2470" s="36"/>
      <c r="W2470" s="129"/>
      <c r="X2470" s="36"/>
      <c r="Y2470" s="36"/>
      <c r="Z2470" s="36"/>
      <c r="AA2470" s="125" t="s">
        <v>121</v>
      </c>
      <c r="AB2470" s="172">
        <v>45874</v>
      </c>
      <c r="AC2470" s="119" t="s">
        <v>3446</v>
      </c>
      <c r="AD2470" s="36">
        <f t="shared" si="273"/>
        <v>5410624</v>
      </c>
      <c r="AE2470" s="36" t="str">
        <f t="shared" si="274"/>
        <v>TK.KWVE30-B-A-S-0038-WW1</v>
      </c>
      <c r="AF2470" s="36">
        <v>178</v>
      </c>
      <c r="AG2470" s="120">
        <f t="shared" si="272"/>
        <v>856.18</v>
      </c>
      <c r="AH2470" s="36"/>
      <c r="AI2470" s="124"/>
      <c r="AJ2470" s="122" t="s">
        <v>3447</v>
      </c>
      <c r="AK2470" s="129" t="str">
        <f t="shared" ca="1" si="271"/>
        <v>Late</v>
      </c>
      <c r="AL2470" s="268" t="str">
        <f t="shared" si="270"/>
        <v>July</v>
      </c>
      <c r="AM2470" s="133">
        <f>YEAR(Table1[[#This Row],[ETA
As requested
dd.mm.yyyy]])</f>
        <v>2025</v>
      </c>
    </row>
    <row r="2471" spans="1:39" hidden="1">
      <c r="A2471" s="123" t="s">
        <v>83</v>
      </c>
      <c r="B2471" s="36" t="s">
        <v>1170</v>
      </c>
      <c r="C2471" s="117">
        <v>5410624</v>
      </c>
      <c r="D2471" s="165">
        <v>45777</v>
      </c>
      <c r="E2471" s="117" t="s">
        <v>102</v>
      </c>
      <c r="F2471" s="36" t="str">
        <f>IFERROR(VLOOKUP(Table1[[#This Row],[Part Number]],DATABASE_FG!$C$6:D12460,2,FALSE)," ")</f>
        <v xml:space="preserve">080814913-8011 </v>
      </c>
      <c r="G2471" s="117">
        <f>IFERROR(_xlfn.XLOOKUP(Table1[[#This Row],[Part Number]],Table3[Part number],Table3[Drawing
 Revision]),"")</f>
        <v>0</v>
      </c>
      <c r="H2471" s="118" cm="1">
        <f t="array" ref="H2471">IFERROR(INDEX(PDB!$C:$AT,MATCH(E2471,PDB!$B:$B,0),MATCH(YEAR(K2471),0+PDB!$C$1:$AT$1,0)),"")</f>
        <v>4.8099999999999996</v>
      </c>
      <c r="I2471" s="36">
        <v>180</v>
      </c>
      <c r="J2471" s="125">
        <f>IFERROR(Table1[[#This Row],[Quantity]]*Table1[[#This Row],[Price/Unit
EUR]]," ")</f>
        <v>865.8</v>
      </c>
      <c r="K2471" s="126">
        <v>45859</v>
      </c>
      <c r="L2471" s="36">
        <f>WEEKNUM(Table1[[#This Row],[ETA
As requested
dd.mm.yyyy]])</f>
        <v>30</v>
      </c>
      <c r="M2471" s="36">
        <f>YEAR(Table1[[#This Row],[ETA
As requested
dd.mm.yyyy]])</f>
        <v>2025</v>
      </c>
      <c r="N2471" s="36">
        <f>IFERROR(INDEX(DATABASE_FG!$H$5:$H$367, MATCH(E2471, DATABASE_FG!$C$5:$C$367, 0)), " ")</f>
        <v>0</v>
      </c>
      <c r="O2471" s="129" t="str">
        <f>IF(E2471&lt;&gt;"", _xlfn.XLOOKUP(E2471, DATABASE_FG!C:C, DATABASE_FG!F:F), " ")</f>
        <v>Ghidaje</v>
      </c>
      <c r="P2471" s="36">
        <f>IFERROR(INDEX(DATABASE_FG!$G$5:$G$367, MATCH(E2471, DATABASE_FG!$C$5:$C$367, 0)), "Not Found")</f>
        <v>0</v>
      </c>
      <c r="Q2471" s="36"/>
      <c r="R2471" s="125" t="s">
        <v>678</v>
      </c>
      <c r="S2471" s="123">
        <f>Table1[[#This Row],[Quantity]]/48</f>
        <v>3.75</v>
      </c>
      <c r="T2471" s="36"/>
      <c r="U2471" s="36"/>
      <c r="V2471" s="36"/>
      <c r="W2471" s="129"/>
      <c r="X2471" s="36"/>
      <c r="Y2471" s="36"/>
      <c r="Z2471" s="36"/>
      <c r="AA2471" s="125" t="s">
        <v>121</v>
      </c>
      <c r="AB2471" s="172">
        <v>45880</v>
      </c>
      <c r="AC2471" s="119" t="s">
        <v>3448</v>
      </c>
      <c r="AD2471" s="36">
        <f t="shared" si="273"/>
        <v>5410624</v>
      </c>
      <c r="AE2471" s="36" t="str">
        <f t="shared" si="274"/>
        <v>TK.KWVE30-B-A-S-0038-WW1</v>
      </c>
      <c r="AF2471" s="36">
        <v>180</v>
      </c>
      <c r="AG2471" s="120">
        <f t="shared" si="272"/>
        <v>865.8</v>
      </c>
      <c r="AH2471" s="36"/>
      <c r="AI2471" s="124"/>
      <c r="AJ2471" s="122" t="s">
        <v>3449</v>
      </c>
      <c r="AK2471" s="129" t="str">
        <f t="shared" ca="1" si="271"/>
        <v>Late</v>
      </c>
      <c r="AL2471" s="268" t="str">
        <f t="shared" si="270"/>
        <v>July</v>
      </c>
      <c r="AM2471" s="133">
        <f>YEAR(Table1[[#This Row],[ETA
As requested
dd.mm.yyyy]])</f>
        <v>2025</v>
      </c>
    </row>
    <row r="2472" spans="1:39" hidden="1">
      <c r="A2472" s="123" t="s">
        <v>83</v>
      </c>
      <c r="B2472" s="36" t="s">
        <v>1170</v>
      </c>
      <c r="C2472" s="117">
        <v>5410624</v>
      </c>
      <c r="D2472" s="165">
        <v>45777</v>
      </c>
      <c r="E2472" s="117" t="s">
        <v>102</v>
      </c>
      <c r="F2472" s="36" t="str">
        <f>IFERROR(VLOOKUP(Table1[[#This Row],[Part Number]],DATABASE_FG!$C$6:D12461,2,FALSE)," ")</f>
        <v xml:space="preserve">080814913-8011 </v>
      </c>
      <c r="G2472" s="117">
        <f>IFERROR(_xlfn.XLOOKUP(Table1[[#This Row],[Part Number]],Table3[Part number],Table3[Drawing
 Revision]),"")</f>
        <v>0</v>
      </c>
      <c r="H2472" s="118" cm="1">
        <f t="array" ref="H2472">IFERROR(INDEX(PDB!$C:$AT,MATCH(E2472,PDB!$B:$B,0),MATCH(YEAR(K2472),0+PDB!$C$1:$AT$1,0)),"")</f>
        <v>4.8099999999999996</v>
      </c>
      <c r="I2472" s="36">
        <f>689-125-178-180</f>
        <v>206</v>
      </c>
      <c r="J2472" s="125">
        <f>IFERROR(Table1[[#This Row],[Quantity]]*Table1[[#This Row],[Price/Unit
EUR]]," ")</f>
        <v>990.8599999999999</v>
      </c>
      <c r="K2472" s="126">
        <v>45859</v>
      </c>
      <c r="L2472" s="36">
        <f>WEEKNUM(Table1[[#This Row],[ETA
As requested
dd.mm.yyyy]])</f>
        <v>30</v>
      </c>
      <c r="M2472" s="36">
        <f>YEAR(Table1[[#This Row],[ETA
As requested
dd.mm.yyyy]])</f>
        <v>2025</v>
      </c>
      <c r="N2472" s="36">
        <f>IFERROR(INDEX(DATABASE_FG!$H$5:$H$367, MATCH(E2472, DATABASE_FG!$C$5:$C$367, 0)), " ")</f>
        <v>0</v>
      </c>
      <c r="O2472" s="129" t="str">
        <f>IF(E2472&lt;&gt;"", _xlfn.XLOOKUP(E2472, DATABASE_FG!C:C, DATABASE_FG!F:F), " ")</f>
        <v>Ghidaje</v>
      </c>
      <c r="P2472" s="36">
        <f>IFERROR(INDEX(DATABASE_FG!$G$5:$G$367, MATCH(E2472, DATABASE_FG!$C$5:$C$367, 0)), "Not Found")</f>
        <v>0</v>
      </c>
      <c r="Q2472" s="36"/>
      <c r="R2472" s="125" t="s">
        <v>678</v>
      </c>
      <c r="S2472" s="123">
        <f>Table1[[#This Row],[Quantity]]/48</f>
        <v>4.291666666666667</v>
      </c>
      <c r="T2472" s="36"/>
      <c r="U2472" s="36"/>
      <c r="V2472" s="36"/>
      <c r="W2472" s="129"/>
      <c r="X2472" s="36"/>
      <c r="Y2472" s="36"/>
      <c r="Z2472" s="36"/>
      <c r="AA2472" s="125" t="s">
        <v>121</v>
      </c>
      <c r="AB2472" s="172">
        <v>45881</v>
      </c>
      <c r="AC2472" s="119" t="s">
        <v>3450</v>
      </c>
      <c r="AD2472" s="36">
        <f t="shared" si="273"/>
        <v>5410624</v>
      </c>
      <c r="AE2472" s="36" t="str">
        <f t="shared" si="274"/>
        <v>TK.KWVE30-B-A-S-0038-WW1</v>
      </c>
      <c r="AF2472" s="36">
        <v>206</v>
      </c>
      <c r="AG2472" s="120">
        <f t="shared" si="272"/>
        <v>990.8599999999999</v>
      </c>
      <c r="AH2472" s="36"/>
      <c r="AI2472" s="124"/>
      <c r="AJ2472" s="122" t="s">
        <v>3451</v>
      </c>
      <c r="AK2472" s="129" t="str">
        <f t="shared" ca="1" si="271"/>
        <v>Late</v>
      </c>
      <c r="AL2472" s="268" t="str">
        <f t="shared" si="270"/>
        <v>July</v>
      </c>
      <c r="AM2472" s="133">
        <f>YEAR(Table1[[#This Row],[ETA
As requested
dd.mm.yyyy]])</f>
        <v>2025</v>
      </c>
    </row>
    <row r="2473" spans="1:39" hidden="1">
      <c r="A2473" s="123" t="s">
        <v>83</v>
      </c>
      <c r="B2473" s="36" t="s">
        <v>1170</v>
      </c>
      <c r="C2473" s="117">
        <v>5410624</v>
      </c>
      <c r="D2473" s="165">
        <v>45777</v>
      </c>
      <c r="E2473" s="117" t="s">
        <v>102</v>
      </c>
      <c r="F2473" s="36" t="str">
        <f>IFERROR(VLOOKUP(Table1[[#This Row],[Part Number]],DATABASE_FG!$C$6:D12462,2,FALSE)," ")</f>
        <v xml:space="preserve">080814913-8011 </v>
      </c>
      <c r="G2473" s="117">
        <f>IFERROR(_xlfn.XLOOKUP(Table1[[#This Row],[Part Number]],Table3[Part number],Table3[Drawing
 Revision]),"")</f>
        <v>0</v>
      </c>
      <c r="H2473" s="118" cm="1">
        <f t="array" ref="H2473">IFERROR(INDEX(PDB!$C:$AT,MATCH(E2473,PDB!$B:$B,0),MATCH(YEAR(K2473),0+PDB!$C$1:$AT$1,0)),"")</f>
        <v>4.8099999999999996</v>
      </c>
      <c r="I2473" s="36">
        <v>40</v>
      </c>
      <c r="J2473" s="125">
        <f>IFERROR(Table1[[#This Row],[Quantity]]*Table1[[#This Row],[Price/Unit
EUR]]," ")</f>
        <v>192.39999999999998</v>
      </c>
      <c r="K2473" s="126">
        <v>45873</v>
      </c>
      <c r="L2473" s="36">
        <f>WEEKNUM(Table1[[#This Row],[ETA
As requested
dd.mm.yyyy]])</f>
        <v>32</v>
      </c>
      <c r="M2473" s="36">
        <f>YEAR(Table1[[#This Row],[ETA
As requested
dd.mm.yyyy]])</f>
        <v>2025</v>
      </c>
      <c r="N2473" s="36">
        <f>IFERROR(INDEX(DATABASE_FG!$H$5:$H$367, MATCH(E2473, DATABASE_FG!$C$5:$C$367, 0)), " ")</f>
        <v>0</v>
      </c>
      <c r="O2473" s="129" t="str">
        <f>IF(E2473&lt;&gt;"", _xlfn.XLOOKUP(E2473, DATABASE_FG!C:C, DATABASE_FG!F:F), " ")</f>
        <v>Ghidaje</v>
      </c>
      <c r="P2473" s="36">
        <f>IFERROR(INDEX(DATABASE_FG!$G$5:$G$367, MATCH(E2473, DATABASE_FG!$C$5:$C$367, 0)), "Not Found")</f>
        <v>0</v>
      </c>
      <c r="Q2473" s="36"/>
      <c r="R2473" s="125" t="s">
        <v>678</v>
      </c>
      <c r="S2473" s="123">
        <f>Table1[[#This Row],[Quantity]]/48</f>
        <v>0.83333333333333337</v>
      </c>
      <c r="T2473" s="36"/>
      <c r="U2473" s="36"/>
      <c r="V2473" s="36"/>
      <c r="W2473" s="129"/>
      <c r="X2473" s="36"/>
      <c r="Y2473" s="36"/>
      <c r="Z2473" s="36"/>
      <c r="AA2473" s="125" t="s">
        <v>121</v>
      </c>
      <c r="AB2473" s="172">
        <v>45881</v>
      </c>
      <c r="AC2473" s="119" t="s">
        <v>3450</v>
      </c>
      <c r="AD2473" s="36">
        <f t="shared" si="273"/>
        <v>5410624</v>
      </c>
      <c r="AE2473" s="36" t="str">
        <f t="shared" si="274"/>
        <v>TK.KWVE30-B-A-S-0038-WW1</v>
      </c>
      <c r="AF2473" s="36">
        <v>40</v>
      </c>
      <c r="AG2473" s="120">
        <f t="shared" si="272"/>
        <v>192.39999999999998</v>
      </c>
      <c r="AH2473" s="36"/>
      <c r="AI2473" s="124"/>
      <c r="AJ2473" s="122" t="s">
        <v>3451</v>
      </c>
      <c r="AK2473" s="129" t="str">
        <f t="shared" ca="1" si="271"/>
        <v>Late</v>
      </c>
      <c r="AL2473" s="268" t="str">
        <f t="shared" si="270"/>
        <v>August</v>
      </c>
      <c r="AM2473" s="133">
        <f>YEAR(Table1[[#This Row],[ETA
As requested
dd.mm.yyyy]])</f>
        <v>2025</v>
      </c>
    </row>
    <row r="2474" spans="1:39" hidden="1">
      <c r="A2474" s="123" t="s">
        <v>83</v>
      </c>
      <c r="B2474" s="36" t="s">
        <v>1170</v>
      </c>
      <c r="C2474" s="117">
        <v>5410624</v>
      </c>
      <c r="D2474" s="165">
        <v>45777</v>
      </c>
      <c r="E2474" s="117" t="s">
        <v>102</v>
      </c>
      <c r="F2474" s="36" t="str">
        <f>IFERROR(VLOOKUP(Table1[[#This Row],[Part Number]],DATABASE_FG!$C$6:D12463,2,FALSE)," ")</f>
        <v xml:space="preserve">080814913-8011 </v>
      </c>
      <c r="G2474" s="117">
        <f>IFERROR(_xlfn.XLOOKUP(Table1[[#This Row],[Part Number]],Table3[Part number],Table3[Drawing
 Revision]),"")</f>
        <v>0</v>
      </c>
      <c r="H2474" s="118" cm="1">
        <f t="array" ref="H2474">IFERROR(INDEX(PDB!$C:$AT,MATCH(E2474,PDB!$B:$B,0),MATCH(YEAR(K2474),0+PDB!$C$1:$AT$1,0)),"")</f>
        <v>4.8099999999999996</v>
      </c>
      <c r="I2474" s="36">
        <v>85</v>
      </c>
      <c r="J2474" s="125">
        <f>IFERROR(Table1[[#This Row],[Quantity]]*Table1[[#This Row],[Price/Unit
EUR]]," ")</f>
        <v>408.84999999999997</v>
      </c>
      <c r="K2474" s="126">
        <v>45873</v>
      </c>
      <c r="L2474" s="36">
        <f>WEEKNUM(Table1[[#This Row],[ETA
As requested
dd.mm.yyyy]])</f>
        <v>32</v>
      </c>
      <c r="M2474" s="36">
        <f>YEAR(Table1[[#This Row],[ETA
As requested
dd.mm.yyyy]])</f>
        <v>2025</v>
      </c>
      <c r="N2474" s="36">
        <f>IFERROR(INDEX(DATABASE_FG!$H$5:$H$367, MATCH(E2474, DATABASE_FG!$C$5:$C$367, 0)), " ")</f>
        <v>0</v>
      </c>
      <c r="O2474" s="129" t="str">
        <f>IF(E2474&lt;&gt;"", _xlfn.XLOOKUP(E2474, DATABASE_FG!C:C, DATABASE_FG!F:F), " ")</f>
        <v>Ghidaje</v>
      </c>
      <c r="P2474" s="36">
        <f>IFERROR(INDEX(DATABASE_FG!$G$5:$G$367, MATCH(E2474, DATABASE_FG!$C$5:$C$367, 0)), "Not Found")</f>
        <v>0</v>
      </c>
      <c r="Q2474" s="36"/>
      <c r="R2474" s="125" t="s">
        <v>678</v>
      </c>
      <c r="S2474" s="123">
        <f>Table1[[#This Row],[Quantity]]/48</f>
        <v>1.7708333333333333</v>
      </c>
      <c r="T2474" s="36"/>
      <c r="U2474" s="36"/>
      <c r="V2474" s="36"/>
      <c r="W2474" s="129"/>
      <c r="X2474" s="36"/>
      <c r="Y2474" s="36"/>
      <c r="Z2474" s="36"/>
      <c r="AA2474" s="125" t="s">
        <v>121</v>
      </c>
      <c r="AB2474" s="172">
        <v>45883</v>
      </c>
      <c r="AC2474" s="119" t="s">
        <v>3515</v>
      </c>
      <c r="AD2474" s="36">
        <f t="shared" si="273"/>
        <v>5410624</v>
      </c>
      <c r="AE2474" s="36" t="str">
        <f t="shared" si="274"/>
        <v>TK.KWVE30-B-A-S-0038-WW1</v>
      </c>
      <c r="AF2474" s="36">
        <v>85</v>
      </c>
      <c r="AG2474" s="120">
        <f t="shared" si="272"/>
        <v>408.84999999999997</v>
      </c>
      <c r="AH2474" s="36"/>
      <c r="AI2474" s="124"/>
      <c r="AJ2474" s="122" t="s">
        <v>3516</v>
      </c>
      <c r="AK2474" s="129" t="str">
        <f t="shared" ca="1" si="271"/>
        <v>Late</v>
      </c>
      <c r="AL2474" s="268" t="str">
        <f t="shared" si="270"/>
        <v>August</v>
      </c>
      <c r="AM2474" s="133">
        <f>YEAR(Table1[[#This Row],[ETA
As requested
dd.mm.yyyy]])</f>
        <v>2025</v>
      </c>
    </row>
    <row r="2475" spans="1:39" hidden="1">
      <c r="A2475" s="123" t="s">
        <v>83</v>
      </c>
      <c r="B2475" s="36" t="s">
        <v>1170</v>
      </c>
      <c r="C2475" s="117">
        <v>5410624</v>
      </c>
      <c r="D2475" s="165">
        <v>45777</v>
      </c>
      <c r="E2475" s="117" t="s">
        <v>102</v>
      </c>
      <c r="F2475" s="36" t="str">
        <f>IFERROR(VLOOKUP(Table1[[#This Row],[Part Number]],DATABASE_FG!$C$6:D12464,2,FALSE)," ")</f>
        <v xml:space="preserve">080814913-8011 </v>
      </c>
      <c r="G2475" s="117">
        <f>IFERROR(_xlfn.XLOOKUP(Table1[[#This Row],[Part Number]],Table3[Part number],Table3[Drawing
 Revision]),"")</f>
        <v>0</v>
      </c>
      <c r="H2475" s="118" cm="1">
        <f t="array" ref="H2475">IFERROR(INDEX(PDB!$C:$AT,MATCH(E2475,PDB!$B:$B,0),MATCH(YEAR(K2475),0+PDB!$C$1:$AT$1,0)),"")</f>
        <v>4.8099999999999996</v>
      </c>
      <c r="I2475" s="36">
        <v>82</v>
      </c>
      <c r="J2475" s="125">
        <f>IFERROR(Table1[[#This Row],[Quantity]]*Table1[[#This Row],[Price/Unit
EUR]]," ")</f>
        <v>394.41999999999996</v>
      </c>
      <c r="K2475" s="126">
        <v>45873</v>
      </c>
      <c r="L2475" s="36">
        <f>WEEKNUM(Table1[[#This Row],[ETA
As requested
dd.mm.yyyy]])</f>
        <v>32</v>
      </c>
      <c r="M2475" s="36">
        <f>YEAR(Table1[[#This Row],[ETA
As requested
dd.mm.yyyy]])</f>
        <v>2025</v>
      </c>
      <c r="N2475" s="36">
        <f>IFERROR(INDEX(DATABASE_FG!$H$5:$H$367, MATCH(E2475, DATABASE_FG!$C$5:$C$367, 0)), " ")</f>
        <v>0</v>
      </c>
      <c r="O2475" s="129" t="str">
        <f>IF(E2475&lt;&gt;"", _xlfn.XLOOKUP(E2475, DATABASE_FG!C:C, DATABASE_FG!F:F), " ")</f>
        <v>Ghidaje</v>
      </c>
      <c r="P2475" s="36">
        <f>IFERROR(INDEX(DATABASE_FG!$G$5:$G$367, MATCH(E2475, DATABASE_FG!$C$5:$C$367, 0)), "Not Found")</f>
        <v>0</v>
      </c>
      <c r="Q2475" s="36"/>
      <c r="R2475" s="125" t="s">
        <v>678</v>
      </c>
      <c r="S2475" s="123">
        <f>Table1[[#This Row],[Quantity]]/48</f>
        <v>1.7083333333333333</v>
      </c>
      <c r="T2475" s="36"/>
      <c r="U2475" s="36"/>
      <c r="V2475" s="36"/>
      <c r="W2475" s="129"/>
      <c r="X2475" s="36"/>
      <c r="Y2475" s="36"/>
      <c r="Z2475" s="36"/>
      <c r="AA2475" s="125" t="s">
        <v>121</v>
      </c>
      <c r="AB2475" s="172">
        <v>45889</v>
      </c>
      <c r="AC2475" s="119" t="s">
        <v>3517</v>
      </c>
      <c r="AD2475" s="36">
        <f t="shared" si="273"/>
        <v>5410624</v>
      </c>
      <c r="AE2475" s="36" t="str">
        <f t="shared" si="274"/>
        <v>TK.KWVE30-B-A-S-0038-WW1</v>
      </c>
      <c r="AF2475" s="36">
        <v>82</v>
      </c>
      <c r="AG2475" s="120">
        <f t="shared" si="272"/>
        <v>394.41999999999996</v>
      </c>
      <c r="AH2475" s="36"/>
      <c r="AI2475" s="124"/>
      <c r="AJ2475" s="122" t="s">
        <v>3518</v>
      </c>
      <c r="AK2475" s="129" t="str">
        <f t="shared" ca="1" si="271"/>
        <v>Late</v>
      </c>
      <c r="AL2475" s="268" t="str">
        <f t="shared" si="270"/>
        <v>August</v>
      </c>
      <c r="AM2475" s="133">
        <f>YEAR(Table1[[#This Row],[ETA
As requested
dd.mm.yyyy]])</f>
        <v>2025</v>
      </c>
    </row>
    <row r="2476" spans="1:39" hidden="1">
      <c r="A2476" s="123" t="s">
        <v>83</v>
      </c>
      <c r="B2476" s="36" t="s">
        <v>1170</v>
      </c>
      <c r="C2476" s="117">
        <v>5410624</v>
      </c>
      <c r="D2476" s="165">
        <v>45777</v>
      </c>
      <c r="E2476" s="117" t="s">
        <v>102</v>
      </c>
      <c r="F2476" s="36" t="str">
        <f>IFERROR(VLOOKUP(Table1[[#This Row],[Part Number]],DATABASE_FG!$C$6:D12465,2,FALSE)," ")</f>
        <v xml:space="preserve">080814913-8011 </v>
      </c>
      <c r="G2476" s="117">
        <f>IFERROR(_xlfn.XLOOKUP(Table1[[#This Row],[Part Number]],Table3[Part number],Table3[Drawing
 Revision]),"")</f>
        <v>0</v>
      </c>
      <c r="H2476" s="118" cm="1">
        <f t="array" ref="H2476">IFERROR(INDEX(PDB!$C:$AT,MATCH(E2476,PDB!$B:$B,0),MATCH(YEAR(K2476),0+PDB!$C$1:$AT$1,0)),"")</f>
        <v>4.8099999999999996</v>
      </c>
      <c r="I2476" s="36">
        <f>250-40-85-82</f>
        <v>43</v>
      </c>
      <c r="J2476" s="125">
        <f>IFERROR(Table1[[#This Row],[Quantity]]*Table1[[#This Row],[Price/Unit
EUR]]," ")</f>
        <v>206.82999999999998</v>
      </c>
      <c r="K2476" s="126">
        <v>45873</v>
      </c>
      <c r="L2476" s="36">
        <f>WEEKNUM(Table1[[#This Row],[ETA
As requested
dd.mm.yyyy]])</f>
        <v>32</v>
      </c>
      <c r="M2476" s="36">
        <f>YEAR(Table1[[#This Row],[ETA
As requested
dd.mm.yyyy]])</f>
        <v>2025</v>
      </c>
      <c r="N2476" s="36">
        <f>IFERROR(INDEX(DATABASE_FG!$H$5:$H$367, MATCH(E2476, DATABASE_FG!$C$5:$C$367, 0)), " ")</f>
        <v>0</v>
      </c>
      <c r="O2476" s="129" t="str">
        <f>IF(E2476&lt;&gt;"", _xlfn.XLOOKUP(E2476, DATABASE_FG!C:C, DATABASE_FG!F:F), " ")</f>
        <v>Ghidaje</v>
      </c>
      <c r="P2476" s="36">
        <f>IFERROR(INDEX(DATABASE_FG!$G$5:$G$367, MATCH(E2476, DATABASE_FG!$C$5:$C$367, 0)), "Not Found")</f>
        <v>0</v>
      </c>
      <c r="Q2476" s="36"/>
      <c r="R2476" s="125" t="s">
        <v>678</v>
      </c>
      <c r="S2476" s="123">
        <f>Table1[[#This Row],[Quantity]]/48</f>
        <v>0.89583333333333337</v>
      </c>
      <c r="T2476" s="36"/>
      <c r="U2476" s="36"/>
      <c r="V2476" s="36"/>
      <c r="W2476" s="129"/>
      <c r="X2476" s="36"/>
      <c r="Y2476" s="36"/>
      <c r="Z2476" s="36"/>
      <c r="AA2476" s="125" t="s">
        <v>121</v>
      </c>
      <c r="AB2476" s="172">
        <v>45899</v>
      </c>
      <c r="AC2476" s="119" t="s">
        <v>3519</v>
      </c>
      <c r="AD2476" s="36">
        <f t="shared" si="273"/>
        <v>5410624</v>
      </c>
      <c r="AE2476" s="36" t="str">
        <f t="shared" si="274"/>
        <v>TK.KWVE30-B-A-S-0038-WW1</v>
      </c>
      <c r="AF2476" s="36">
        <v>43</v>
      </c>
      <c r="AG2476" s="120">
        <f t="shared" si="272"/>
        <v>206.82999999999998</v>
      </c>
      <c r="AH2476" s="36"/>
      <c r="AI2476" s="124"/>
      <c r="AJ2476" s="122" t="s">
        <v>3520</v>
      </c>
      <c r="AK2476" s="129" t="str">
        <f t="shared" ca="1" si="271"/>
        <v>Late</v>
      </c>
      <c r="AL2476" s="268" t="str">
        <f t="shared" si="270"/>
        <v>August</v>
      </c>
      <c r="AM2476" s="133">
        <f>YEAR(Table1[[#This Row],[ETA
As requested
dd.mm.yyyy]])</f>
        <v>2025</v>
      </c>
    </row>
    <row r="2477" spans="1:39" hidden="1">
      <c r="A2477" s="123" t="s">
        <v>83</v>
      </c>
      <c r="B2477" s="36" t="s">
        <v>1170</v>
      </c>
      <c r="C2477" s="117">
        <v>5410624</v>
      </c>
      <c r="D2477" s="165">
        <v>45777</v>
      </c>
      <c r="E2477" s="117" t="s">
        <v>102</v>
      </c>
      <c r="F2477" s="36" t="str">
        <f>IFERROR(VLOOKUP(Table1[[#This Row],[Part Number]],DATABASE_FG!$C$6:D12466,2,FALSE)," ")</f>
        <v xml:space="preserve">080814913-8011 </v>
      </c>
      <c r="G2477" s="117">
        <f>IFERROR(_xlfn.XLOOKUP(Table1[[#This Row],[Part Number]],Table3[Part number],Table3[Drawing
 Revision]),"")</f>
        <v>0</v>
      </c>
      <c r="H2477" s="118" cm="1">
        <f t="array" ref="H2477">IFERROR(INDEX(PDB!$C:$AT,MATCH(E2477,PDB!$B:$B,0),MATCH(YEAR(K2477),0+PDB!$C$1:$AT$1,0)),"")</f>
        <v>4.8099999999999996</v>
      </c>
      <c r="I2477" s="36">
        <v>93</v>
      </c>
      <c r="J2477" s="125">
        <f>IFERROR(Table1[[#This Row],[Quantity]]*Table1[[#This Row],[Price/Unit
EUR]]," ")</f>
        <v>447.33</v>
      </c>
      <c r="K2477" s="126">
        <v>45880</v>
      </c>
      <c r="L2477" s="36">
        <f>WEEKNUM(Table1[[#This Row],[ETA
As requested
dd.mm.yyyy]])</f>
        <v>33</v>
      </c>
      <c r="M2477" s="36">
        <f>YEAR(Table1[[#This Row],[ETA
As requested
dd.mm.yyyy]])</f>
        <v>2025</v>
      </c>
      <c r="N2477" s="36">
        <f>IFERROR(INDEX(DATABASE_FG!$H$5:$H$367, MATCH(E2477, DATABASE_FG!$C$5:$C$367, 0)), " ")</f>
        <v>0</v>
      </c>
      <c r="O2477" s="129" t="str">
        <f>IF(E2477&lt;&gt;"", _xlfn.XLOOKUP(E2477, DATABASE_FG!C:C, DATABASE_FG!F:F), " ")</f>
        <v>Ghidaje</v>
      </c>
      <c r="P2477" s="36">
        <f>IFERROR(INDEX(DATABASE_FG!$G$5:$G$367, MATCH(E2477, DATABASE_FG!$C$5:$C$367, 0)), "Not Found")</f>
        <v>0</v>
      </c>
      <c r="Q2477" s="36"/>
      <c r="R2477" s="125" t="s">
        <v>678</v>
      </c>
      <c r="S2477" s="123">
        <f>Table1[[#This Row],[Quantity]]/48</f>
        <v>1.9375</v>
      </c>
      <c r="T2477" s="36"/>
      <c r="U2477" s="36"/>
      <c r="V2477" s="36"/>
      <c r="W2477" s="129"/>
      <c r="X2477" s="36"/>
      <c r="Y2477" s="36"/>
      <c r="Z2477" s="36"/>
      <c r="AA2477" s="125" t="s">
        <v>121</v>
      </c>
      <c r="AB2477" s="172">
        <v>45899</v>
      </c>
      <c r="AC2477" s="119" t="s">
        <v>3519</v>
      </c>
      <c r="AD2477" s="36">
        <f t="shared" si="273"/>
        <v>5410624</v>
      </c>
      <c r="AE2477" s="36" t="str">
        <f t="shared" si="274"/>
        <v>TK.KWVE30-B-A-S-0038-WW1</v>
      </c>
      <c r="AF2477" s="36">
        <v>96</v>
      </c>
      <c r="AG2477" s="120">
        <f t="shared" si="272"/>
        <v>461.76</v>
      </c>
      <c r="AH2477" s="36"/>
      <c r="AI2477" s="124"/>
      <c r="AJ2477" s="122" t="s">
        <v>3520</v>
      </c>
      <c r="AK2477" s="129" t="str">
        <f t="shared" ca="1" si="271"/>
        <v>Late</v>
      </c>
      <c r="AL2477" s="268" t="str">
        <f t="shared" si="270"/>
        <v>August</v>
      </c>
      <c r="AM2477" s="133">
        <f>YEAR(Table1[[#This Row],[ETA
As requested
dd.mm.yyyy]])</f>
        <v>2025</v>
      </c>
    </row>
    <row r="2478" spans="1:39" hidden="1">
      <c r="A2478" s="123" t="s">
        <v>83</v>
      </c>
      <c r="B2478" s="36" t="s">
        <v>2464</v>
      </c>
      <c r="C2478" s="117">
        <v>5410624</v>
      </c>
      <c r="D2478" s="165">
        <v>45777</v>
      </c>
      <c r="E2478" s="117" t="s">
        <v>102</v>
      </c>
      <c r="F2478" s="36" t="str">
        <f>IFERROR(VLOOKUP(Table1[[#This Row],[Part Number]],DATABASE_FG!$C$6:D12467,2,FALSE)," ")</f>
        <v xml:space="preserve">080814913-8011 </v>
      </c>
      <c r="G2478" s="117">
        <f>IFERROR(_xlfn.XLOOKUP(Table1[[#This Row],[Part Number]],Table3[Part number],Table3[Drawing
 Revision]),"")</f>
        <v>0</v>
      </c>
      <c r="H2478" s="118" cm="1">
        <f t="array" ref="H2478">IFERROR(INDEX(PDB!$C:$AT,MATCH(E2478,PDB!$B:$B,0),MATCH(YEAR(K2478),0+PDB!$C$1:$AT$1,0)),"")</f>
        <v>4.8099999999999996</v>
      </c>
      <c r="I2478" s="36">
        <f>250-93+3</f>
        <v>160</v>
      </c>
      <c r="J2478" s="125">
        <f>IFERROR(Table1[[#This Row],[Quantity]]*Table1[[#This Row],[Price/Unit
EUR]]," ")</f>
        <v>769.59999999999991</v>
      </c>
      <c r="K2478" s="126">
        <v>45880</v>
      </c>
      <c r="L2478" s="36">
        <f>WEEKNUM(Table1[[#This Row],[ETA
As requested
dd.mm.yyyy]])</f>
        <v>33</v>
      </c>
      <c r="M2478" s="36">
        <f>YEAR(Table1[[#This Row],[ETA
As requested
dd.mm.yyyy]])</f>
        <v>2025</v>
      </c>
      <c r="N2478" s="36">
        <f>IFERROR(INDEX(DATABASE_FG!$H$5:$H$367, MATCH(E2478, DATABASE_FG!$C$5:$C$367, 0)), " ")</f>
        <v>0</v>
      </c>
      <c r="O2478" s="129" t="str">
        <f>IF(E2478&lt;&gt;"", _xlfn.XLOOKUP(E2478, DATABASE_FG!C:C, DATABASE_FG!F:F), " ")</f>
        <v>Ghidaje</v>
      </c>
      <c r="P2478" s="36">
        <f>IFERROR(INDEX(DATABASE_FG!$G$5:$G$367, MATCH(E2478, DATABASE_FG!$C$5:$C$367, 0)), "Not Found")</f>
        <v>0</v>
      </c>
      <c r="Q2478" s="36"/>
      <c r="R2478" s="125" t="s">
        <v>678</v>
      </c>
      <c r="S2478" s="123">
        <f>Table1[[#This Row],[Quantity]]/48</f>
        <v>3.3333333333333335</v>
      </c>
      <c r="T2478" s="36"/>
      <c r="U2478" s="36"/>
      <c r="V2478" s="36"/>
      <c r="W2478" s="129"/>
      <c r="X2478" s="36"/>
      <c r="Y2478" s="36"/>
      <c r="Z2478" s="36"/>
      <c r="AA2478" s="125" t="s">
        <v>121</v>
      </c>
      <c r="AB2478" s="172">
        <v>45903</v>
      </c>
      <c r="AC2478" s="119">
        <v>2025157</v>
      </c>
      <c r="AD2478" s="36">
        <f t="shared" si="273"/>
        <v>5410624</v>
      </c>
      <c r="AE2478" s="36" t="str">
        <f t="shared" si="274"/>
        <v>TK.KWVE30-B-A-S-0038-WW1</v>
      </c>
      <c r="AF2478" s="36">
        <v>160</v>
      </c>
      <c r="AG2478" s="120">
        <f t="shared" si="272"/>
        <v>769.59999999999991</v>
      </c>
      <c r="AH2478" s="36"/>
      <c r="AI2478" s="124"/>
      <c r="AJ2478" s="122" t="s">
        <v>3531</v>
      </c>
      <c r="AK2478" s="129" t="str">
        <f t="shared" ca="1" si="271"/>
        <v>Late</v>
      </c>
      <c r="AL2478" s="268" t="str">
        <f t="shared" si="270"/>
        <v>August</v>
      </c>
      <c r="AM2478" s="133">
        <f>YEAR(Table1[[#This Row],[ETA
As requested
dd.mm.yyyy]])</f>
        <v>2025</v>
      </c>
    </row>
    <row r="2479" spans="1:39" hidden="1">
      <c r="A2479" s="123" t="s">
        <v>83</v>
      </c>
      <c r="B2479" s="36" t="s">
        <v>1170</v>
      </c>
      <c r="C2479" s="117">
        <v>5410624</v>
      </c>
      <c r="D2479" s="165">
        <v>45777</v>
      </c>
      <c r="E2479" s="117" t="s">
        <v>102</v>
      </c>
      <c r="F2479" s="36" t="str">
        <f>IFERROR(VLOOKUP(Table1[[#This Row],[Part Number]],DATABASE_FG!$C$6:D12468,2,FALSE)," ")</f>
        <v xml:space="preserve">080814913-8011 </v>
      </c>
      <c r="G2479" s="117">
        <f>IFERROR(_xlfn.XLOOKUP(Table1[[#This Row],[Part Number]],Table3[Part number],Table3[Drawing
 Revision]),"")</f>
        <v>0</v>
      </c>
      <c r="H2479" s="118" cm="1">
        <f t="array" ref="H2479">IFERROR(INDEX(PDB!$C:$AT,MATCH(E2479,PDB!$B:$B,0),MATCH(YEAR(K2479),0+PDB!$C$1:$AT$1,0)),"")</f>
        <v>4.8099999999999996</v>
      </c>
      <c r="I2479" s="36">
        <v>192</v>
      </c>
      <c r="J2479" s="125">
        <f>IFERROR(Table1[[#This Row],[Quantity]]*Table1[[#This Row],[Price/Unit
EUR]]," ")</f>
        <v>923.52</v>
      </c>
      <c r="K2479" s="126">
        <v>45902</v>
      </c>
      <c r="L2479" s="36">
        <f>WEEKNUM(Table1[[#This Row],[ETA
As requested
dd.mm.yyyy]])</f>
        <v>36</v>
      </c>
      <c r="M2479" s="36">
        <f>YEAR(Table1[[#This Row],[ETA
As requested
dd.mm.yyyy]])</f>
        <v>2025</v>
      </c>
      <c r="N2479" s="36">
        <f>IFERROR(INDEX(DATABASE_FG!$H$5:$H$367, MATCH(E2479, DATABASE_FG!$C$5:$C$367, 0)), " ")</f>
        <v>0</v>
      </c>
      <c r="O2479" s="129" t="str">
        <f>IF(E2479&lt;&gt;"", _xlfn.XLOOKUP(E2479, DATABASE_FG!C:C, DATABASE_FG!F:F), " ")</f>
        <v>Ghidaje</v>
      </c>
      <c r="P2479" s="36">
        <f>IFERROR(INDEX(DATABASE_FG!$G$5:$G$367, MATCH(E2479, DATABASE_FG!$C$5:$C$367, 0)), "Not Found")</f>
        <v>0</v>
      </c>
      <c r="Q2479" s="36"/>
      <c r="R2479" s="125" t="s">
        <v>678</v>
      </c>
      <c r="S2479" s="123">
        <f>Table1[[#This Row],[Quantity]]/48</f>
        <v>4</v>
      </c>
      <c r="T2479" s="36"/>
      <c r="U2479" s="36"/>
      <c r="V2479" s="36"/>
      <c r="W2479" s="129"/>
      <c r="X2479" s="36"/>
      <c r="Y2479" s="36"/>
      <c r="Z2479" s="36"/>
      <c r="AA2479" s="125" t="s">
        <v>121</v>
      </c>
      <c r="AB2479" s="172">
        <v>45904</v>
      </c>
      <c r="AC2479" s="119" t="s">
        <v>3657</v>
      </c>
      <c r="AD2479" s="36">
        <f t="shared" si="273"/>
        <v>5410624</v>
      </c>
      <c r="AE2479" s="36" t="str">
        <f t="shared" si="274"/>
        <v>TK.KWVE30-B-A-S-0038-WW1</v>
      </c>
      <c r="AF2479" s="36">
        <v>192</v>
      </c>
      <c r="AG2479" s="120">
        <f t="shared" si="272"/>
        <v>923.52</v>
      </c>
      <c r="AH2479" s="36"/>
      <c r="AI2479" s="124"/>
      <c r="AJ2479" s="122" t="s">
        <v>3658</v>
      </c>
      <c r="AK2479" s="129" t="str">
        <f t="shared" ca="1" si="271"/>
        <v>On Time</v>
      </c>
      <c r="AL2479" s="268" t="str">
        <f t="shared" si="270"/>
        <v>September</v>
      </c>
      <c r="AM2479" s="133">
        <f>YEAR(Table1[[#This Row],[ETA
As requested
dd.mm.yyyy]])</f>
        <v>2025</v>
      </c>
    </row>
    <row r="2480" spans="1:39" hidden="1">
      <c r="A2480" s="123" t="s">
        <v>83</v>
      </c>
      <c r="B2480" s="36" t="s">
        <v>1170</v>
      </c>
      <c r="C2480" s="117">
        <v>5410624</v>
      </c>
      <c r="D2480" s="165">
        <v>45777</v>
      </c>
      <c r="E2480" s="117" t="s">
        <v>102</v>
      </c>
      <c r="F2480" s="36" t="str">
        <f>IFERROR(VLOOKUP(Table1[[#This Row],[Part Number]],DATABASE_FG!$C$6:D12469,2,FALSE)," ")</f>
        <v xml:space="preserve">080814913-8011 </v>
      </c>
      <c r="G2480" s="117">
        <f>IFERROR(_xlfn.XLOOKUP(Table1[[#This Row],[Part Number]],Table3[Part number],Table3[Drawing
 Revision]),"")</f>
        <v>0</v>
      </c>
      <c r="H2480" s="118" cm="1">
        <f t="array" ref="H2480">IFERROR(INDEX(PDB!$C:$AT,MATCH(E2480,PDB!$B:$B,0),MATCH(YEAR(K2480),0+PDB!$C$1:$AT$1,0)),"")</f>
        <v>4.8099999999999996</v>
      </c>
      <c r="I2480" s="36">
        <f>300-3-192</f>
        <v>105</v>
      </c>
      <c r="J2480" s="125">
        <f>IFERROR(Table1[[#This Row],[Quantity]]*Table1[[#This Row],[Price/Unit
EUR]]," ")</f>
        <v>505.04999999999995</v>
      </c>
      <c r="K2480" s="126">
        <v>45902</v>
      </c>
      <c r="L2480" s="36">
        <f>WEEKNUM(Table1[[#This Row],[ETA
As requested
dd.mm.yyyy]])</f>
        <v>36</v>
      </c>
      <c r="M2480" s="36">
        <f>YEAR(Table1[[#This Row],[ETA
As requested
dd.mm.yyyy]])</f>
        <v>2025</v>
      </c>
      <c r="N2480" s="36">
        <f>IFERROR(INDEX(DATABASE_FG!$H$5:$H$367, MATCH(E2480, DATABASE_FG!$C$5:$C$367, 0)), " ")</f>
        <v>0</v>
      </c>
      <c r="O2480" s="129" t="str">
        <f>IF(E2480&lt;&gt;"", _xlfn.XLOOKUP(E2480, DATABASE_FG!C:C, DATABASE_FG!F:F), " ")</f>
        <v>Ghidaje</v>
      </c>
      <c r="P2480" s="36">
        <f>IFERROR(INDEX(DATABASE_FG!$G$5:$G$367, MATCH(E2480, DATABASE_FG!$C$5:$C$367, 0)), "Not Found")</f>
        <v>0</v>
      </c>
      <c r="Q2480" s="36"/>
      <c r="R2480" s="125" t="s">
        <v>678</v>
      </c>
      <c r="S2480" s="123">
        <f>Table1[[#This Row],[Quantity]]/48</f>
        <v>2.1875</v>
      </c>
      <c r="T2480" s="36"/>
      <c r="U2480" s="36"/>
      <c r="V2480" s="36"/>
      <c r="W2480" s="129"/>
      <c r="X2480" s="36"/>
      <c r="Y2480" s="36"/>
      <c r="Z2480" s="36"/>
      <c r="AA2480" s="125" t="s">
        <v>121</v>
      </c>
      <c r="AB2480" s="172">
        <v>45905</v>
      </c>
      <c r="AC2480" s="119" t="s">
        <v>3659</v>
      </c>
      <c r="AD2480" s="36">
        <f t="shared" si="273"/>
        <v>5410624</v>
      </c>
      <c r="AE2480" s="36" t="str">
        <f t="shared" si="274"/>
        <v>TK.KWVE30-B-A-S-0038-WW1</v>
      </c>
      <c r="AF2480" s="36">
        <v>105</v>
      </c>
      <c r="AG2480" s="120">
        <f t="shared" si="272"/>
        <v>505.04999999999995</v>
      </c>
      <c r="AH2480" s="36"/>
      <c r="AI2480" s="124"/>
      <c r="AJ2480" s="122" t="s">
        <v>3660</v>
      </c>
      <c r="AK2480" s="129" t="str">
        <f t="shared" ca="1" si="271"/>
        <v>Late</v>
      </c>
      <c r="AL2480" s="268" t="str">
        <f t="shared" si="270"/>
        <v>September</v>
      </c>
      <c r="AM2480" s="133">
        <f>YEAR(Table1[[#This Row],[ETA
As requested
dd.mm.yyyy]])</f>
        <v>2025</v>
      </c>
    </row>
    <row r="2481" spans="1:40" hidden="1">
      <c r="A2481" s="123" t="s">
        <v>83</v>
      </c>
      <c r="B2481" s="36" t="s">
        <v>1170</v>
      </c>
      <c r="C2481" s="117">
        <v>5410624</v>
      </c>
      <c r="D2481" s="165">
        <v>45777</v>
      </c>
      <c r="E2481" s="117" t="s">
        <v>102</v>
      </c>
      <c r="F2481" s="36" t="str">
        <f>IFERROR(VLOOKUP(Table1[[#This Row],[Part Number]],DATABASE_FG!$C$6:D12470,2,FALSE)," ")</f>
        <v xml:space="preserve">080814913-8011 </v>
      </c>
      <c r="G2481" s="117">
        <f>IFERROR(_xlfn.XLOOKUP(Table1[[#This Row],[Part Number]],Table3[Part number],Table3[Drawing
 Revision]),"")</f>
        <v>0</v>
      </c>
      <c r="H2481" s="118" cm="1">
        <f t="array" ref="H2481">IFERROR(INDEX(PDB!$C:$AT,MATCH(E2481,PDB!$B:$B,0),MATCH(YEAR(K2481),0+PDB!$C$1:$AT$1,0)),"")</f>
        <v>4.8099999999999996</v>
      </c>
      <c r="I2481" s="36">
        <v>23</v>
      </c>
      <c r="J2481" s="125">
        <f>IFERROR(Table1[[#This Row],[Quantity]]*Table1[[#This Row],[Price/Unit
EUR]]," ")</f>
        <v>110.63</v>
      </c>
      <c r="K2481" s="126">
        <v>45911</v>
      </c>
      <c r="L2481" s="36">
        <f>WEEKNUM(Table1[[#This Row],[ETA
As requested
dd.mm.yyyy]])</f>
        <v>37</v>
      </c>
      <c r="M2481" s="36">
        <f>YEAR(Table1[[#This Row],[ETA
As requested
dd.mm.yyyy]])</f>
        <v>2025</v>
      </c>
      <c r="N2481" s="36">
        <f>IFERROR(INDEX(DATABASE_FG!$H$5:$H$367, MATCH(E2481, DATABASE_FG!$C$5:$C$367, 0)), " ")</f>
        <v>0</v>
      </c>
      <c r="O2481" s="129" t="str">
        <f>IF(E2481&lt;&gt;"", _xlfn.XLOOKUP(E2481, DATABASE_FG!C:C, DATABASE_FG!F:F), " ")</f>
        <v>Ghidaje</v>
      </c>
      <c r="P2481" s="36">
        <f>IFERROR(INDEX(DATABASE_FG!$G$5:$G$367, MATCH(E2481, DATABASE_FG!$C$5:$C$367, 0)), "Not Found")</f>
        <v>0</v>
      </c>
      <c r="Q2481" s="36"/>
      <c r="R2481" s="125" t="s">
        <v>678</v>
      </c>
      <c r="S2481" s="123">
        <f>Table1[[#This Row],[Quantity]]/48</f>
        <v>0.47916666666666669</v>
      </c>
      <c r="T2481" s="36"/>
      <c r="U2481" s="36"/>
      <c r="V2481" s="36"/>
      <c r="W2481" s="129"/>
      <c r="X2481" s="36"/>
      <c r="Y2481" s="36"/>
      <c r="Z2481" s="36"/>
      <c r="AA2481" s="125" t="s">
        <v>121</v>
      </c>
      <c r="AB2481" s="172">
        <v>45905</v>
      </c>
      <c r="AC2481" s="119" t="s">
        <v>3659</v>
      </c>
      <c r="AD2481" s="36">
        <f t="shared" si="273"/>
        <v>5410624</v>
      </c>
      <c r="AE2481" s="36" t="str">
        <f t="shared" si="274"/>
        <v>TK.KWVE30-B-A-S-0038-WW1</v>
      </c>
      <c r="AF2481" s="36">
        <v>23</v>
      </c>
      <c r="AG2481" s="120">
        <f t="shared" si="272"/>
        <v>110.63</v>
      </c>
      <c r="AH2481" s="36"/>
      <c r="AI2481" s="124"/>
      <c r="AJ2481" s="122" t="s">
        <v>3660</v>
      </c>
      <c r="AK2481" s="129" t="str">
        <f t="shared" ca="1" si="271"/>
        <v>On Time</v>
      </c>
      <c r="AL2481" s="268" t="str">
        <f t="shared" si="270"/>
        <v>September</v>
      </c>
      <c r="AM2481" s="133">
        <f>YEAR(Table1[[#This Row],[ETA
As requested
dd.mm.yyyy]])</f>
        <v>2025</v>
      </c>
    </row>
    <row r="2482" spans="1:40" hidden="1">
      <c r="A2482" s="123" t="s">
        <v>83</v>
      </c>
      <c r="B2482" s="36" t="s">
        <v>1170</v>
      </c>
      <c r="C2482" s="117">
        <v>5410624</v>
      </c>
      <c r="D2482" s="165">
        <v>45777</v>
      </c>
      <c r="E2482" s="117" t="s">
        <v>102</v>
      </c>
      <c r="F2482" s="36" t="str">
        <f>IFERROR(VLOOKUP(Table1[[#This Row],[Part Number]],DATABASE_FG!$C$6:D12471,2,FALSE)," ")</f>
        <v xml:space="preserve">080814913-8011 </v>
      </c>
      <c r="G2482" s="117">
        <f>IFERROR(_xlfn.XLOOKUP(Table1[[#This Row],[Part Number]],Table3[Part number],Table3[Drawing
 Revision]),"")</f>
        <v>0</v>
      </c>
      <c r="H2482" s="118" cm="1">
        <f t="array" ref="H2482">IFERROR(INDEX(PDB!$C:$AT,MATCH(E2482,PDB!$B:$B,0),MATCH(YEAR(K2482),0+PDB!$C$1:$AT$1,0)),"")</f>
        <v>4.8099999999999996</v>
      </c>
      <c r="I2482" s="36">
        <f>100-23</f>
        <v>77</v>
      </c>
      <c r="J2482" s="125">
        <f>IFERROR(Table1[[#This Row],[Quantity]]*Table1[[#This Row],[Price/Unit
EUR]]," ")</f>
        <v>370.36999999999995</v>
      </c>
      <c r="K2482" s="126">
        <v>45911</v>
      </c>
      <c r="L2482" s="36">
        <f>WEEKNUM(Table1[[#This Row],[ETA
As requested
dd.mm.yyyy]])</f>
        <v>37</v>
      </c>
      <c r="M2482" s="36">
        <f>YEAR(Table1[[#This Row],[ETA
As requested
dd.mm.yyyy]])</f>
        <v>2025</v>
      </c>
      <c r="N2482" s="36">
        <f>IFERROR(INDEX(DATABASE_FG!$H$5:$H$367, MATCH(E2482, DATABASE_FG!$C$5:$C$367, 0)), " ")</f>
        <v>0</v>
      </c>
      <c r="O2482" s="129" t="str">
        <f>IF(E2482&lt;&gt;"", _xlfn.XLOOKUP(E2482, DATABASE_FG!C:C, DATABASE_FG!F:F), " ")</f>
        <v>Ghidaje</v>
      </c>
      <c r="P2482" s="36">
        <f>IFERROR(INDEX(DATABASE_FG!$G$5:$G$367, MATCH(E2482, DATABASE_FG!$C$5:$C$367, 0)), "Not Found")</f>
        <v>0</v>
      </c>
      <c r="Q2482" s="36"/>
      <c r="R2482" s="125" t="s">
        <v>678</v>
      </c>
      <c r="S2482" s="123">
        <f>Table1[[#This Row],[Quantity]]/48</f>
        <v>1.6041666666666667</v>
      </c>
      <c r="T2482" s="36"/>
      <c r="U2482" s="36"/>
      <c r="V2482" s="36"/>
      <c r="W2482" s="129"/>
      <c r="X2482" s="36"/>
      <c r="Y2482" s="36"/>
      <c r="Z2482" s="36"/>
      <c r="AA2482" s="125" t="s">
        <v>121</v>
      </c>
      <c r="AB2482" s="172">
        <v>45909</v>
      </c>
      <c r="AC2482" s="119">
        <v>2025166</v>
      </c>
      <c r="AD2482" s="36">
        <f t="shared" si="273"/>
        <v>5410624</v>
      </c>
      <c r="AE2482" s="36" t="str">
        <f t="shared" si="274"/>
        <v>TK.KWVE30-B-A-S-0038-WW1</v>
      </c>
      <c r="AF2482" s="36">
        <v>77</v>
      </c>
      <c r="AG2482" s="120">
        <f t="shared" si="272"/>
        <v>370.36999999999995</v>
      </c>
      <c r="AH2482" s="36"/>
      <c r="AI2482" s="124"/>
      <c r="AJ2482" s="122" t="s">
        <v>3672</v>
      </c>
      <c r="AK2482" s="129" t="str">
        <f t="shared" ca="1" si="271"/>
        <v>On Time</v>
      </c>
      <c r="AL2482" s="268" t="str">
        <f t="shared" si="270"/>
        <v>September</v>
      </c>
      <c r="AM2482" s="133">
        <f>YEAR(Table1[[#This Row],[ETA
As requested
dd.mm.yyyy]])</f>
        <v>2025</v>
      </c>
    </row>
    <row r="2483" spans="1:40" hidden="1">
      <c r="A2483" s="123" t="s">
        <v>83</v>
      </c>
      <c r="B2483" s="36" t="s">
        <v>1170</v>
      </c>
      <c r="C2483" s="117">
        <v>5410624</v>
      </c>
      <c r="D2483" s="165">
        <v>45777</v>
      </c>
      <c r="E2483" s="117" t="s">
        <v>102</v>
      </c>
      <c r="F2483" s="36" t="str">
        <f>IFERROR(VLOOKUP(Table1[[#This Row],[Part Number]],DATABASE_FG!$C$6:D12472,2,FALSE)," ")</f>
        <v xml:space="preserve">080814913-8011 </v>
      </c>
      <c r="G2483" s="117">
        <f>IFERROR(_xlfn.XLOOKUP(Table1[[#This Row],[Part Number]],Table3[Part number],Table3[Drawing
 Revision]),"")</f>
        <v>0</v>
      </c>
      <c r="H2483" s="118" cm="1">
        <f t="array" ref="H2483">IFERROR(INDEX(PDB!$C:$AT,MATCH(E2483,PDB!$B:$B,0),MATCH(YEAR(K2483),0+PDB!$C$1:$AT$1,0)),"")</f>
        <v>4.8099999999999996</v>
      </c>
      <c r="I2483" s="36">
        <f>300-77-83</f>
        <v>140</v>
      </c>
      <c r="J2483" s="125">
        <f>IFERROR(Table1[[#This Row],[Quantity]]*Table1[[#This Row],[Price/Unit
EUR]]," ")</f>
        <v>673.4</v>
      </c>
      <c r="K2483" s="126">
        <v>45918</v>
      </c>
      <c r="L2483" s="36">
        <f>WEEKNUM(Table1[[#This Row],[ETA
As requested
dd.mm.yyyy]])</f>
        <v>38</v>
      </c>
      <c r="M2483" s="36">
        <f>YEAR(Table1[[#This Row],[ETA
As requested
dd.mm.yyyy]])</f>
        <v>2025</v>
      </c>
      <c r="N2483" s="36">
        <f>IFERROR(INDEX(DATABASE_FG!$H$5:$H$367, MATCH(E2483, DATABASE_FG!$C$5:$C$367, 0)), " ")</f>
        <v>0</v>
      </c>
      <c r="O2483" s="129" t="str">
        <f>IF(E2483&lt;&gt;"", _xlfn.XLOOKUP(E2483, DATABASE_FG!C:C, DATABASE_FG!F:F), " ")</f>
        <v>Ghidaje</v>
      </c>
      <c r="P2483" s="36">
        <f>IFERROR(INDEX(DATABASE_FG!$G$5:$G$367, MATCH(E2483, DATABASE_FG!$C$5:$C$367, 0)), "Not Found")</f>
        <v>0</v>
      </c>
      <c r="Q2483" s="36"/>
      <c r="R2483" s="125" t="s">
        <v>678</v>
      </c>
      <c r="S2483" s="123">
        <f>Table1[[#This Row],[Quantity]]/48</f>
        <v>2.9166666666666665</v>
      </c>
      <c r="T2483" s="36"/>
      <c r="U2483" s="36"/>
      <c r="V2483" s="36"/>
      <c r="W2483" s="129"/>
      <c r="X2483" s="36"/>
      <c r="Y2483" s="36"/>
      <c r="Z2483" s="36"/>
      <c r="AA2483" s="125" t="s">
        <v>121</v>
      </c>
      <c r="AB2483" s="173">
        <v>45909</v>
      </c>
      <c r="AC2483" s="119">
        <v>2025166</v>
      </c>
      <c r="AD2483" s="36">
        <f t="shared" si="273"/>
        <v>5410624</v>
      </c>
      <c r="AE2483" s="36" t="str">
        <f t="shared" si="274"/>
        <v>TK.KWVE30-B-A-S-0038-WW1</v>
      </c>
      <c r="AF2483" s="36">
        <v>83</v>
      </c>
      <c r="AG2483" s="120">
        <f t="shared" si="272"/>
        <v>399.22999999999996</v>
      </c>
      <c r="AH2483" s="36"/>
      <c r="AI2483" s="124"/>
      <c r="AJ2483" s="122" t="s">
        <v>3672</v>
      </c>
      <c r="AK2483" s="129" t="str">
        <f t="shared" ca="1" si="271"/>
        <v>On Time</v>
      </c>
      <c r="AL2483" s="268" t="str">
        <f t="shared" si="270"/>
        <v>September</v>
      </c>
      <c r="AM2483" s="133">
        <f>YEAR(Table1[[#This Row],[ETA
As requested
dd.mm.yyyy]])</f>
        <v>2025</v>
      </c>
    </row>
    <row r="2484" spans="1:40" hidden="1">
      <c r="A2484" s="123" t="s">
        <v>83</v>
      </c>
      <c r="B2484" s="36" t="s">
        <v>1170</v>
      </c>
      <c r="C2484" s="117">
        <v>5410624</v>
      </c>
      <c r="D2484" s="165">
        <v>45777</v>
      </c>
      <c r="E2484" s="117" t="s">
        <v>102</v>
      </c>
      <c r="F2484" s="36" t="str">
        <f>IFERROR(VLOOKUP(Table1[[#This Row],[Part Number]],DATABASE_FG!$C$6:D12473,2,FALSE)," ")</f>
        <v xml:space="preserve">080814913-8011 </v>
      </c>
      <c r="G2484" s="117">
        <f>IFERROR(_xlfn.XLOOKUP(Table1[[#This Row],[Part Number]],Table3[Part number],Table3[Drawing
 Revision]),"")</f>
        <v>0</v>
      </c>
      <c r="H2484" s="118" cm="1">
        <f t="array" ref="H2484">IFERROR(INDEX(PDB!$C:$AT,MATCH(E2484,PDB!$B:$B,0),MATCH(YEAR(K2484),0+PDB!$C$1:$AT$1,0)),"")</f>
        <v>4.8099999999999996</v>
      </c>
      <c r="I2484" s="36">
        <v>200</v>
      </c>
      <c r="J2484" s="125">
        <f>IFERROR(Table1[[#This Row],[Quantity]]*Table1[[#This Row],[Price/Unit
EUR]]," ")</f>
        <v>961.99999999999989</v>
      </c>
      <c r="K2484" s="126">
        <v>45925</v>
      </c>
      <c r="L2484" s="36">
        <f>WEEKNUM(Table1[[#This Row],[ETA
As requested
dd.mm.yyyy]])</f>
        <v>39</v>
      </c>
      <c r="M2484" s="36">
        <f>YEAR(Table1[[#This Row],[ETA
As requested
dd.mm.yyyy]])</f>
        <v>2025</v>
      </c>
      <c r="N2484" s="36">
        <f>IFERROR(INDEX(DATABASE_FG!$H$5:$H$367, MATCH(E2484, DATABASE_FG!$C$5:$C$367, 0)), " ")</f>
        <v>0</v>
      </c>
      <c r="O2484" s="129" t="str">
        <f>IF(E2484&lt;&gt;"", _xlfn.XLOOKUP(E2484, DATABASE_FG!C:C, DATABASE_FG!F:F), " ")</f>
        <v>Ghidaje</v>
      </c>
      <c r="P2484" s="36">
        <f>IFERROR(INDEX(DATABASE_FG!$G$5:$G$367, MATCH(E2484, DATABASE_FG!$C$5:$C$367, 0)), "Not Found")</f>
        <v>0</v>
      </c>
      <c r="Q2484" s="36"/>
      <c r="R2484" s="125" t="s">
        <v>678</v>
      </c>
      <c r="S2484" s="123">
        <f>Table1[[#This Row],[Quantity]]/48</f>
        <v>4.166666666666667</v>
      </c>
      <c r="T2484" s="36"/>
      <c r="U2484" s="36"/>
      <c r="V2484" s="36"/>
      <c r="W2484" s="129"/>
      <c r="X2484" s="36"/>
      <c r="Y2484" s="36"/>
      <c r="Z2484" s="36"/>
      <c r="AA2484" s="125" t="s">
        <v>121</v>
      </c>
      <c r="AB2484" s="173">
        <v>45910</v>
      </c>
      <c r="AC2484" s="119" t="s">
        <v>3718</v>
      </c>
      <c r="AD2484" s="36">
        <f t="shared" si="273"/>
        <v>5410624</v>
      </c>
      <c r="AE2484" s="36" t="str">
        <f t="shared" si="274"/>
        <v>TK.KWVE30-B-A-S-0038-WW1</v>
      </c>
      <c r="AF2484" s="36">
        <v>200</v>
      </c>
      <c r="AG2484" s="120">
        <f t="shared" si="272"/>
        <v>961.99999999999989</v>
      </c>
      <c r="AH2484" s="36"/>
      <c r="AI2484" s="124"/>
      <c r="AJ2484" s="122" t="s">
        <v>3719</v>
      </c>
      <c r="AK2484" s="129" t="str">
        <f t="shared" ca="1" si="271"/>
        <v>On Time</v>
      </c>
      <c r="AL2484" s="268" t="str">
        <f t="shared" si="270"/>
        <v>September</v>
      </c>
      <c r="AM2484" s="133">
        <f>YEAR(Table1[[#This Row],[ETA
As requested
dd.mm.yyyy]])</f>
        <v>2025</v>
      </c>
    </row>
    <row r="2485" spans="1:40" hidden="1">
      <c r="A2485" s="123" t="s">
        <v>83</v>
      </c>
      <c r="B2485" s="36" t="s">
        <v>1170</v>
      </c>
      <c r="C2485" s="117">
        <v>5410624</v>
      </c>
      <c r="D2485" s="165">
        <v>45777</v>
      </c>
      <c r="E2485" s="117" t="s">
        <v>102</v>
      </c>
      <c r="F2485" s="36" t="str">
        <f>IFERROR(VLOOKUP(Table1[[#This Row],[Part Number]],DATABASE_FG!$C$6:D12474,2,FALSE)," ")</f>
        <v xml:space="preserve">080814913-8011 </v>
      </c>
      <c r="G2485" s="117">
        <f>IFERROR(_xlfn.XLOOKUP(Table1[[#This Row],[Part Number]],Table3[Part number],Table3[Drawing
 Revision]),"")</f>
        <v>0</v>
      </c>
      <c r="H2485" s="118" cm="1">
        <f t="array" ref="H2485">IFERROR(INDEX(PDB!$C:$AT,MATCH(E2485,PDB!$B:$B,0),MATCH(YEAR(K2485),0+PDB!$C$1:$AT$1,0)),"")</f>
        <v>4.8099999999999996</v>
      </c>
      <c r="I2485" s="36">
        <v>88</v>
      </c>
      <c r="J2485" s="125">
        <f>IFERROR(Table1[[#This Row],[Quantity]]*Table1[[#This Row],[Price/Unit
EUR]]," ")</f>
        <v>423.28</v>
      </c>
      <c r="K2485" s="126">
        <v>45930</v>
      </c>
      <c r="L2485" s="36">
        <f>WEEKNUM(Table1[[#This Row],[ETA
As requested
dd.mm.yyyy]])</f>
        <v>40</v>
      </c>
      <c r="M2485" s="36">
        <f>YEAR(Table1[[#This Row],[ETA
As requested
dd.mm.yyyy]])</f>
        <v>2025</v>
      </c>
      <c r="N2485" s="36">
        <f>IFERROR(INDEX(DATABASE_FG!$H$5:$H$367, MATCH(E2485, DATABASE_FG!$C$5:$C$367, 0)), " ")</f>
        <v>0</v>
      </c>
      <c r="O2485" s="129" t="str">
        <f>IF(E2485&lt;&gt;"", _xlfn.XLOOKUP(E2485, DATABASE_FG!C:C, DATABASE_FG!F:F), " ")</f>
        <v>Ghidaje</v>
      </c>
      <c r="P2485" s="36">
        <f>IFERROR(INDEX(DATABASE_FG!$G$5:$G$367, MATCH(E2485, DATABASE_FG!$C$5:$C$367, 0)), "Not Found")</f>
        <v>0</v>
      </c>
      <c r="Q2485" s="36"/>
      <c r="R2485" s="125" t="s">
        <v>678</v>
      </c>
      <c r="S2485" s="123">
        <f>Table1[[#This Row],[Quantity]]/48</f>
        <v>1.8333333333333333</v>
      </c>
      <c r="T2485" s="36"/>
      <c r="U2485" s="36"/>
      <c r="V2485" s="36"/>
      <c r="W2485" s="129"/>
      <c r="X2485" s="36"/>
      <c r="Y2485" s="36"/>
      <c r="Z2485" s="36"/>
      <c r="AA2485" s="125" t="s">
        <v>121</v>
      </c>
      <c r="AB2485" s="173">
        <v>45910</v>
      </c>
      <c r="AC2485" s="119" t="s">
        <v>3718</v>
      </c>
      <c r="AD2485" s="36">
        <f t="shared" si="273"/>
        <v>5410624</v>
      </c>
      <c r="AE2485" s="36" t="str">
        <f t="shared" si="274"/>
        <v>TK.KWVE30-B-A-S-0038-WW1</v>
      </c>
      <c r="AF2485" s="36">
        <v>88</v>
      </c>
      <c r="AG2485" s="120">
        <f t="shared" si="272"/>
        <v>423.28</v>
      </c>
      <c r="AH2485" s="36"/>
      <c r="AI2485" s="124"/>
      <c r="AJ2485" s="122" t="s">
        <v>3719</v>
      </c>
      <c r="AK2485" s="129" t="str">
        <f t="shared" ca="1" si="271"/>
        <v>On Time</v>
      </c>
      <c r="AL2485" s="268" t="str">
        <f t="shared" ref="AL2485:AL2548" si="275">TEXT(K2485,"mmmm")</f>
        <v>September</v>
      </c>
      <c r="AM2485" s="133">
        <f>YEAR(Table1[[#This Row],[ETA
As requested
dd.mm.yyyy]])</f>
        <v>2025</v>
      </c>
    </row>
    <row r="2486" spans="1:40" hidden="1">
      <c r="A2486" s="123" t="s">
        <v>83</v>
      </c>
      <c r="B2486" s="36" t="s">
        <v>1170</v>
      </c>
      <c r="C2486" s="117">
        <v>5410624</v>
      </c>
      <c r="D2486" s="165">
        <v>45777</v>
      </c>
      <c r="E2486" s="117" t="s">
        <v>102</v>
      </c>
      <c r="F2486" s="36" t="str">
        <f>IFERROR(VLOOKUP(Table1[[#This Row],[Part Number]],DATABASE_FG!$C$6:D12475,2,FALSE)," ")</f>
        <v xml:space="preserve">080814913-8011 </v>
      </c>
      <c r="G2486" s="117">
        <f>IFERROR(_xlfn.XLOOKUP(Table1[[#This Row],[Part Number]],Table3[Part number],Table3[Drawing
 Revision]),"")</f>
        <v>0</v>
      </c>
      <c r="H2486" s="118" cm="1">
        <f t="array" ref="H2486">IFERROR(INDEX(PDB!$C:$AT,MATCH(E2486,PDB!$B:$B,0),MATCH(YEAR(K2486),0+PDB!$C$1:$AT$1,0)),"")</f>
        <v>4.8099999999999996</v>
      </c>
      <c r="I2486" s="36">
        <v>32</v>
      </c>
      <c r="J2486" s="125">
        <f>IFERROR(Table1[[#This Row],[Quantity]]*Table1[[#This Row],[Price/Unit
EUR]]," ")</f>
        <v>153.91999999999999</v>
      </c>
      <c r="K2486" s="126">
        <v>45930</v>
      </c>
      <c r="L2486" s="36">
        <f>WEEKNUM(Table1[[#This Row],[ETA
As requested
dd.mm.yyyy]])</f>
        <v>40</v>
      </c>
      <c r="M2486" s="36">
        <f>YEAR(Table1[[#This Row],[ETA
As requested
dd.mm.yyyy]])</f>
        <v>2025</v>
      </c>
      <c r="N2486" s="36">
        <f>IFERROR(INDEX(DATABASE_FG!$H$5:$H$367, MATCH(E2486, DATABASE_FG!$C$5:$C$367, 0)), " ")</f>
        <v>0</v>
      </c>
      <c r="O2486" s="129" t="str">
        <f>IF(E2486&lt;&gt;"", _xlfn.XLOOKUP(E2486, DATABASE_FG!C:C, DATABASE_FG!F:F), " ")</f>
        <v>Ghidaje</v>
      </c>
      <c r="P2486" s="36">
        <f>IFERROR(INDEX(DATABASE_FG!$G$5:$G$367, MATCH(E2486, DATABASE_FG!$C$5:$C$367, 0)), "Not Found")</f>
        <v>0</v>
      </c>
      <c r="Q2486" s="36"/>
      <c r="R2486" s="125" t="s">
        <v>678</v>
      </c>
      <c r="S2486" s="123">
        <f>Table1[[#This Row],[Quantity]]/48</f>
        <v>0.66666666666666663</v>
      </c>
      <c r="T2486" s="36"/>
      <c r="U2486" s="36"/>
      <c r="V2486" s="36"/>
      <c r="W2486" s="129"/>
      <c r="X2486" s="36"/>
      <c r="Y2486" s="36"/>
      <c r="Z2486" s="36"/>
      <c r="AA2486" s="125" t="s">
        <v>121</v>
      </c>
      <c r="AB2486" s="173">
        <v>45912</v>
      </c>
      <c r="AC2486" s="119" t="s">
        <v>3733</v>
      </c>
      <c r="AD2486" s="36">
        <f t="shared" si="273"/>
        <v>5410624</v>
      </c>
      <c r="AE2486" s="36" t="str">
        <f t="shared" si="274"/>
        <v>TK.KWVE30-B-A-S-0038-WW1</v>
      </c>
      <c r="AF2486" s="36">
        <v>32</v>
      </c>
      <c r="AG2486" s="120">
        <f t="shared" si="272"/>
        <v>153.91999999999999</v>
      </c>
      <c r="AH2486" s="36"/>
      <c r="AI2486" s="124"/>
      <c r="AJ2486" s="122" t="s">
        <v>3734</v>
      </c>
      <c r="AK2486" s="129" t="str">
        <f t="shared" ca="1" si="271"/>
        <v>On Time</v>
      </c>
      <c r="AL2486" s="268" t="str">
        <f t="shared" si="275"/>
        <v>September</v>
      </c>
      <c r="AM2486" s="133">
        <f>YEAR(Table1[[#This Row],[ETA
As requested
dd.mm.yyyy]])</f>
        <v>2025</v>
      </c>
    </row>
    <row r="2487" spans="1:40" hidden="1">
      <c r="A2487" s="123" t="s">
        <v>83</v>
      </c>
      <c r="B2487" s="36" t="s">
        <v>1170</v>
      </c>
      <c r="C2487" s="117">
        <v>5410624</v>
      </c>
      <c r="D2487" s="165">
        <v>45777</v>
      </c>
      <c r="E2487" s="117" t="s">
        <v>102</v>
      </c>
      <c r="F2487" s="36" t="str">
        <f>IFERROR(VLOOKUP(Table1[[#This Row],[Part Number]],DATABASE_FG!$C$6:D12476,2,FALSE)," ")</f>
        <v xml:space="preserve">080814913-8011 </v>
      </c>
      <c r="G2487" s="117">
        <f>IFERROR(_xlfn.XLOOKUP(Table1[[#This Row],[Part Number]],Table3[Part number],Table3[Drawing
 Revision]),"")</f>
        <v>0</v>
      </c>
      <c r="H2487" s="118" cm="1">
        <f t="array" ref="H2487">IFERROR(INDEX(PDB!$C:$AT,MATCH(E2487,PDB!$B:$B,0),MATCH(YEAR(K2487),0+PDB!$C$1:$AT$1,0)),"")</f>
        <v>4.8099999999999996</v>
      </c>
      <c r="I2487" s="36">
        <v>200</v>
      </c>
      <c r="J2487" s="125">
        <f>IFERROR(Table1[[#This Row],[Quantity]]*Table1[[#This Row],[Price/Unit
EUR]]," ")</f>
        <v>961.99999999999989</v>
      </c>
      <c r="K2487" s="126">
        <v>45930</v>
      </c>
      <c r="L2487" s="36">
        <f>WEEKNUM(Table1[[#This Row],[ETA
As requested
dd.mm.yyyy]])</f>
        <v>40</v>
      </c>
      <c r="M2487" s="36">
        <f>YEAR(Table1[[#This Row],[ETA
As requested
dd.mm.yyyy]])</f>
        <v>2025</v>
      </c>
      <c r="N2487" s="36">
        <f>IFERROR(INDEX(DATABASE_FG!$H$5:$H$367, MATCH(E2487, DATABASE_FG!$C$5:$C$367, 0)), " ")</f>
        <v>0</v>
      </c>
      <c r="O2487" s="129" t="str">
        <f>IF(E2487&lt;&gt;"", _xlfn.XLOOKUP(E2487, DATABASE_FG!C:C, DATABASE_FG!F:F), " ")</f>
        <v>Ghidaje</v>
      </c>
      <c r="P2487" s="36">
        <f>IFERROR(INDEX(DATABASE_FG!$G$5:$G$367, MATCH(E2487, DATABASE_FG!$C$5:$C$367, 0)), "Not Found")</f>
        <v>0</v>
      </c>
      <c r="Q2487" s="36"/>
      <c r="R2487" s="125" t="s">
        <v>678</v>
      </c>
      <c r="S2487" s="123">
        <f>Table1[[#This Row],[Quantity]]/48</f>
        <v>4.166666666666667</v>
      </c>
      <c r="T2487" s="36"/>
      <c r="U2487" s="36"/>
      <c r="V2487" s="36"/>
      <c r="W2487" s="129"/>
      <c r="X2487" s="36"/>
      <c r="Y2487" s="36"/>
      <c r="Z2487" s="36"/>
      <c r="AA2487" s="125" t="s">
        <v>121</v>
      </c>
      <c r="AB2487" s="173">
        <v>45925</v>
      </c>
      <c r="AC2487" s="119">
        <v>2025197</v>
      </c>
      <c r="AD2487" s="36">
        <f t="shared" si="273"/>
        <v>5410624</v>
      </c>
      <c r="AE2487" s="36" t="str">
        <f t="shared" si="274"/>
        <v>TK.KWVE30-B-A-S-0038-WW1</v>
      </c>
      <c r="AF2487" s="36">
        <v>200</v>
      </c>
      <c r="AG2487" s="120">
        <f t="shared" si="272"/>
        <v>961.99999999999989</v>
      </c>
      <c r="AH2487" s="36"/>
      <c r="AI2487" s="124"/>
      <c r="AJ2487" s="122" t="s">
        <v>3784</v>
      </c>
      <c r="AK2487" s="129" t="str">
        <f t="shared" ca="1" si="271"/>
        <v>On Time</v>
      </c>
      <c r="AL2487" s="268" t="str">
        <f t="shared" si="275"/>
        <v>September</v>
      </c>
      <c r="AM2487" s="133">
        <f>YEAR(Table1[[#This Row],[ETA
As requested
dd.mm.yyyy]])</f>
        <v>2025</v>
      </c>
    </row>
    <row r="2488" spans="1:40" hidden="1">
      <c r="A2488" s="123" t="s">
        <v>83</v>
      </c>
      <c r="B2488" s="36" t="s">
        <v>1170</v>
      </c>
      <c r="C2488" s="117">
        <v>5410624</v>
      </c>
      <c r="D2488" s="165">
        <v>45777</v>
      </c>
      <c r="E2488" s="117" t="s">
        <v>102</v>
      </c>
      <c r="F2488" s="36" t="str">
        <f>IFERROR(VLOOKUP(Table1[[#This Row],[Part Number]],DATABASE_FG!$C$6:D12477,2,FALSE)," ")</f>
        <v xml:space="preserve">080814913-8011 </v>
      </c>
      <c r="G2488" s="117">
        <f>IFERROR(_xlfn.XLOOKUP(Table1[[#This Row],[Part Number]],Table3[Part number],Table3[Drawing
 Revision]),"")</f>
        <v>0</v>
      </c>
      <c r="H2488" s="118" cm="1">
        <f t="array" ref="H2488">IFERROR(INDEX(PDB!$C:$AT,MATCH(E2488,PDB!$B:$B,0),MATCH(YEAR(K2488),0+PDB!$C$1:$AT$1,0)),"")</f>
        <v>4.8099999999999996</v>
      </c>
      <c r="I2488" s="36">
        <v>100</v>
      </c>
      <c r="J2488" s="125">
        <f>IFERROR(Table1[[#This Row],[Quantity]]*Table1[[#This Row],[Price/Unit
EUR]]," ")</f>
        <v>480.99999999999994</v>
      </c>
      <c r="K2488" s="126">
        <v>45937</v>
      </c>
      <c r="L2488" s="36">
        <f>WEEKNUM(Table1[[#This Row],[ETA
As requested
dd.mm.yyyy]])</f>
        <v>41</v>
      </c>
      <c r="M2488" s="36">
        <f>YEAR(Table1[[#This Row],[ETA
As requested
dd.mm.yyyy]])</f>
        <v>2025</v>
      </c>
      <c r="N2488" s="36">
        <f>IFERROR(INDEX(DATABASE_FG!$H$5:$H$367, MATCH(E2488, DATABASE_FG!$C$5:$C$367, 0)), " ")</f>
        <v>0</v>
      </c>
      <c r="O2488" s="129" t="str">
        <f>IF(E2488&lt;&gt;"", _xlfn.XLOOKUP(E2488, DATABASE_FG!C:C, DATABASE_FG!F:F), " ")</f>
        <v>Ghidaje</v>
      </c>
      <c r="P2488" s="36">
        <f>IFERROR(INDEX(DATABASE_FG!$G$5:$G$367, MATCH(E2488, DATABASE_FG!$C$5:$C$367, 0)), "Not Found")</f>
        <v>0</v>
      </c>
      <c r="Q2488" s="36"/>
      <c r="R2488" s="125" t="s">
        <v>678</v>
      </c>
      <c r="S2488" s="123">
        <f>Table1[[#This Row],[Quantity]]/48</f>
        <v>2.0833333333333335</v>
      </c>
      <c r="T2488" s="36"/>
      <c r="U2488" s="36"/>
      <c r="V2488" s="36"/>
      <c r="W2488" s="129"/>
      <c r="X2488" s="36"/>
      <c r="Y2488" s="36"/>
      <c r="Z2488" s="36"/>
      <c r="AA2488" s="125" t="s">
        <v>121</v>
      </c>
      <c r="AB2488" s="173">
        <v>45932</v>
      </c>
      <c r="AC2488" s="119" t="s">
        <v>3792</v>
      </c>
      <c r="AD2488" s="36">
        <f t="shared" si="273"/>
        <v>5410624</v>
      </c>
      <c r="AE2488" s="36" t="str">
        <f t="shared" si="274"/>
        <v>TK.KWVE30-B-A-S-0038-WW1</v>
      </c>
      <c r="AF2488" s="36">
        <v>100</v>
      </c>
      <c r="AG2488" s="120">
        <f t="shared" si="272"/>
        <v>480.99999999999994</v>
      </c>
      <c r="AH2488" s="36"/>
      <c r="AI2488" s="124"/>
      <c r="AJ2488" s="122" t="s">
        <v>3793</v>
      </c>
      <c r="AK2488" s="129" t="str">
        <f t="shared" ref="AK2488:AK2551" ca="1" si="276">IF(AB2488="", IF(K2488 &lt; TODAY(), "Late", ""), IF(AB2488 &lt;= K2488 + 2, "On Time", "Late"))</f>
        <v>On Time</v>
      </c>
      <c r="AL2488" s="268" t="str">
        <f t="shared" si="275"/>
        <v>October</v>
      </c>
      <c r="AM2488" s="133">
        <f>YEAR(Table1[[#This Row],[ETA
As requested
dd.mm.yyyy]])</f>
        <v>2025</v>
      </c>
    </row>
    <row r="2489" spans="1:40" hidden="1">
      <c r="A2489" s="123" t="s">
        <v>83</v>
      </c>
      <c r="B2489" s="36" t="s">
        <v>1170</v>
      </c>
      <c r="C2489" s="117">
        <v>5410624</v>
      </c>
      <c r="D2489" s="165">
        <v>45777</v>
      </c>
      <c r="E2489" s="117" t="s">
        <v>102</v>
      </c>
      <c r="F2489" s="36" t="str">
        <f>IFERROR(VLOOKUP(Table1[[#This Row],[Part Number]],DATABASE_FG!$C$6:D12478,2,FALSE)," ")</f>
        <v xml:space="preserve">080814913-8011 </v>
      </c>
      <c r="G2489" s="117">
        <f>IFERROR(_xlfn.XLOOKUP(Table1[[#This Row],[Part Number]],Table3[Part number],Table3[Drawing
 Revision]),"")</f>
        <v>0</v>
      </c>
      <c r="H2489" s="118" cm="1">
        <f t="array" ref="H2489">IFERROR(INDEX(PDB!$C:$AT,MATCH(E2489,PDB!$B:$B,0),MATCH(YEAR(K2489),0+PDB!$C$1:$AT$1,0)),"")</f>
        <v>4.8099999999999996</v>
      </c>
      <c r="I2489" s="36">
        <v>46</v>
      </c>
      <c r="J2489" s="125">
        <f>IFERROR(Table1[[#This Row],[Quantity]]*Table1[[#This Row],[Price/Unit
EUR]]," ")</f>
        <v>221.26</v>
      </c>
      <c r="K2489" s="126">
        <v>45937</v>
      </c>
      <c r="L2489" s="36">
        <f>WEEKNUM(Table1[[#This Row],[ETA
As requested
dd.mm.yyyy]])</f>
        <v>41</v>
      </c>
      <c r="M2489" s="36">
        <f>YEAR(Table1[[#This Row],[ETA
As requested
dd.mm.yyyy]])</f>
        <v>2025</v>
      </c>
      <c r="N2489" s="36">
        <f>IFERROR(INDEX(DATABASE_FG!$H$5:$H$367, MATCH(E2489, DATABASE_FG!$C$5:$C$367, 0)), " ")</f>
        <v>0</v>
      </c>
      <c r="O2489" s="129" t="str">
        <f>IF(E2489&lt;&gt;"", _xlfn.XLOOKUP(E2489, DATABASE_FG!C:C, DATABASE_FG!F:F), " ")</f>
        <v>Ghidaje</v>
      </c>
      <c r="P2489" s="36">
        <f>IFERROR(INDEX(DATABASE_FG!$G$5:$G$367, MATCH(E2489, DATABASE_FG!$C$5:$C$367, 0)), "Not Found")</f>
        <v>0</v>
      </c>
      <c r="Q2489" s="36"/>
      <c r="R2489" s="125" t="s">
        <v>678</v>
      </c>
      <c r="S2489" s="123">
        <f>Table1[[#This Row],[Quantity]]/48</f>
        <v>0.95833333333333337</v>
      </c>
      <c r="T2489" s="36"/>
      <c r="U2489" s="36"/>
      <c r="V2489" s="36"/>
      <c r="W2489" s="129"/>
      <c r="X2489" s="36"/>
      <c r="Y2489" s="36"/>
      <c r="Z2489" s="36"/>
      <c r="AA2489" s="125" t="s">
        <v>121</v>
      </c>
      <c r="AB2489" s="173">
        <v>45932</v>
      </c>
      <c r="AC2489" s="119" t="s">
        <v>3792</v>
      </c>
      <c r="AD2489" s="36">
        <f t="shared" si="273"/>
        <v>5410624</v>
      </c>
      <c r="AE2489" s="36" t="str">
        <f t="shared" si="274"/>
        <v>TK.KWVE30-B-A-S-0038-WW1</v>
      </c>
      <c r="AF2489" s="36">
        <v>46</v>
      </c>
      <c r="AG2489" s="120">
        <f t="shared" si="272"/>
        <v>221.26</v>
      </c>
      <c r="AH2489" s="36"/>
      <c r="AI2489" s="124"/>
      <c r="AJ2489" s="122" t="s">
        <v>3793</v>
      </c>
      <c r="AK2489" s="129" t="str">
        <f t="shared" ca="1" si="276"/>
        <v>On Time</v>
      </c>
      <c r="AL2489" s="268" t="str">
        <f t="shared" si="275"/>
        <v>October</v>
      </c>
      <c r="AM2489" s="133">
        <f>YEAR(Table1[[#This Row],[ETA
As requested
dd.mm.yyyy]])</f>
        <v>2025</v>
      </c>
      <c r="AN2489" s="191"/>
    </row>
    <row r="2490" spans="1:40" hidden="1">
      <c r="A2490" s="123" t="s">
        <v>83</v>
      </c>
      <c r="B2490" s="36" t="s">
        <v>1170</v>
      </c>
      <c r="C2490" s="117">
        <v>5410624</v>
      </c>
      <c r="D2490" s="165">
        <v>45777</v>
      </c>
      <c r="E2490" s="117" t="s">
        <v>102</v>
      </c>
      <c r="F2490" s="36" t="str">
        <f>IFERROR(VLOOKUP(Table1[[#This Row],[Part Number]],DATABASE_FG!$C$6:D12479,2,FALSE)," ")</f>
        <v xml:space="preserve">080814913-8011 </v>
      </c>
      <c r="G2490" s="117">
        <f>IFERROR(_xlfn.XLOOKUP(Table1[[#This Row],[Part Number]],Table3[Part number],Table3[Drawing
 Revision]),"")</f>
        <v>0</v>
      </c>
      <c r="H2490" s="118" cm="1">
        <f t="array" ref="H2490">IFERROR(INDEX(PDB!$C:$AT,MATCH(E2490,PDB!$B:$B,0),MATCH(YEAR(K2490),0+PDB!$C$1:$AT$1,0)),"")</f>
        <v>4.8099999999999996</v>
      </c>
      <c r="I2490" s="36">
        <f>200-46+38</f>
        <v>192</v>
      </c>
      <c r="J2490" s="125">
        <f>IFERROR(Table1[[#This Row],[Quantity]]*Table1[[#This Row],[Price/Unit
EUR]]," ")</f>
        <v>923.52</v>
      </c>
      <c r="K2490" s="126">
        <v>45953</v>
      </c>
      <c r="L2490" s="36">
        <f>WEEKNUM(Table1[[#This Row],[ETA
As requested
dd.mm.yyyy]])</f>
        <v>43</v>
      </c>
      <c r="M2490" s="36">
        <f>YEAR(Table1[[#This Row],[ETA
As requested
dd.mm.yyyy]])</f>
        <v>2025</v>
      </c>
      <c r="N2490" s="36">
        <f>IFERROR(INDEX(DATABASE_FG!$H$5:$H$367, MATCH(E2490, DATABASE_FG!$C$5:$C$367, 0)), " ")</f>
        <v>0</v>
      </c>
      <c r="O2490" s="129" t="str">
        <f>IF(E2490&lt;&gt;"", _xlfn.XLOOKUP(E2490, DATABASE_FG!C:C, DATABASE_FG!F:F), " ")</f>
        <v>Ghidaje</v>
      </c>
      <c r="P2490" s="36">
        <f>IFERROR(INDEX(DATABASE_FG!$G$5:$G$367, MATCH(E2490, DATABASE_FG!$C$5:$C$367, 0)), "Not Found")</f>
        <v>0</v>
      </c>
      <c r="Q2490" s="36"/>
      <c r="R2490" s="125" t="s">
        <v>678</v>
      </c>
      <c r="S2490" s="123">
        <f>Table1[[#This Row],[Quantity]]/48</f>
        <v>4</v>
      </c>
      <c r="T2490" s="36"/>
      <c r="U2490" s="36"/>
      <c r="V2490" s="36"/>
      <c r="W2490" s="129"/>
      <c r="X2490" s="36"/>
      <c r="Y2490" s="36"/>
      <c r="Z2490" s="36"/>
      <c r="AA2490" s="125" t="s">
        <v>121</v>
      </c>
      <c r="AB2490" s="173">
        <v>45939</v>
      </c>
      <c r="AC2490" s="119" t="s">
        <v>3820</v>
      </c>
      <c r="AD2490" s="36">
        <f t="shared" si="273"/>
        <v>5410624</v>
      </c>
      <c r="AE2490" s="36" t="str">
        <f t="shared" si="274"/>
        <v>TK.KWVE30-B-A-S-0038-WW1</v>
      </c>
      <c r="AF2490" s="36">
        <v>192</v>
      </c>
      <c r="AG2490" s="120">
        <f t="shared" si="272"/>
        <v>923.52</v>
      </c>
      <c r="AH2490" s="36"/>
      <c r="AI2490" s="124"/>
      <c r="AJ2490" s="122" t="s">
        <v>3821</v>
      </c>
      <c r="AK2490" s="129" t="str">
        <f t="shared" ca="1" si="276"/>
        <v>On Time</v>
      </c>
      <c r="AL2490" s="268" t="str">
        <f t="shared" si="275"/>
        <v>October</v>
      </c>
      <c r="AM2490" s="133">
        <f>YEAR(Table1[[#This Row],[ETA
As requested
dd.mm.yyyy]])</f>
        <v>2025</v>
      </c>
    </row>
    <row r="2491" spans="1:40" hidden="1">
      <c r="A2491" s="123" t="s">
        <v>83</v>
      </c>
      <c r="B2491" s="36" t="s">
        <v>1170</v>
      </c>
      <c r="C2491" s="117">
        <v>5410624</v>
      </c>
      <c r="D2491" s="165">
        <v>45777</v>
      </c>
      <c r="E2491" s="117" t="s">
        <v>102</v>
      </c>
      <c r="F2491" s="36" t="str">
        <f>IFERROR(VLOOKUP(Table1[[#This Row],[Part Number]],DATABASE_FG!$C$6:D12480,2,FALSE)," ")</f>
        <v xml:space="preserve">080814913-8011 </v>
      </c>
      <c r="G2491" s="117">
        <f>IFERROR(_xlfn.XLOOKUP(Table1[[#This Row],[Part Number]],Table3[Part number],Table3[Drawing
 Revision]),"")</f>
        <v>0</v>
      </c>
      <c r="H2491" s="118" cm="1">
        <f t="array" ref="H2491">IFERROR(INDEX(PDB!$C:$AT,MATCH(E2491,PDB!$B:$B,0),MATCH(YEAR(K2491),0+PDB!$C$1:$AT$1,0)),"")</f>
        <v>4.8099999999999996</v>
      </c>
      <c r="I2491" s="36">
        <v>160</v>
      </c>
      <c r="J2491" s="125">
        <f>IFERROR(Table1[[#This Row],[Quantity]]*Table1[[#This Row],[Price/Unit
EUR]]," ")</f>
        <v>769.59999999999991</v>
      </c>
      <c r="K2491" s="126">
        <v>45958</v>
      </c>
      <c r="L2491" s="36">
        <f>WEEKNUM(Table1[[#This Row],[ETA
As requested
dd.mm.yyyy]])</f>
        <v>44</v>
      </c>
      <c r="M2491" s="36">
        <f>YEAR(Table1[[#This Row],[ETA
As requested
dd.mm.yyyy]])</f>
        <v>2025</v>
      </c>
      <c r="N2491" s="36">
        <f>IFERROR(INDEX(DATABASE_FG!$H$5:$H$367, MATCH(E2491, DATABASE_FG!$C$5:$C$367, 0)), " ")</f>
        <v>0</v>
      </c>
      <c r="O2491" s="129" t="str">
        <f>IF(E2491&lt;&gt;"", _xlfn.XLOOKUP(E2491, DATABASE_FG!C:C, DATABASE_FG!F:F), " ")</f>
        <v>Ghidaje</v>
      </c>
      <c r="P2491" s="36">
        <f>IFERROR(INDEX(DATABASE_FG!$G$5:$G$367, MATCH(E2491, DATABASE_FG!$C$5:$C$367, 0)), "Not Found")</f>
        <v>0</v>
      </c>
      <c r="Q2491" s="36"/>
      <c r="R2491" s="125" t="s">
        <v>678</v>
      </c>
      <c r="S2491" s="123">
        <f>Table1[[#This Row],[Quantity]]/48</f>
        <v>3.3333333333333335</v>
      </c>
      <c r="T2491" s="36"/>
      <c r="U2491" s="36"/>
      <c r="V2491" s="36"/>
      <c r="W2491" s="129"/>
      <c r="X2491" s="36"/>
      <c r="Y2491" s="36"/>
      <c r="Z2491" s="36"/>
      <c r="AA2491" s="125" t="s">
        <v>121</v>
      </c>
      <c r="AB2491" s="173">
        <v>45944</v>
      </c>
      <c r="AC2491" s="119">
        <v>2025238</v>
      </c>
      <c r="AD2491" s="36">
        <f t="shared" si="273"/>
        <v>5410624</v>
      </c>
      <c r="AE2491" s="36" t="str">
        <f t="shared" si="274"/>
        <v>TK.KWVE30-B-A-S-0038-WW1</v>
      </c>
      <c r="AF2491" s="36">
        <v>160</v>
      </c>
      <c r="AG2491" s="120">
        <f t="shared" si="272"/>
        <v>769.59999999999991</v>
      </c>
      <c r="AH2491" s="36"/>
      <c r="AI2491" s="124"/>
      <c r="AJ2491" s="122" t="s">
        <v>4346</v>
      </c>
      <c r="AK2491" s="129" t="str">
        <f t="shared" ca="1" si="276"/>
        <v>On Time</v>
      </c>
      <c r="AL2491" s="268" t="str">
        <f t="shared" si="275"/>
        <v>October</v>
      </c>
      <c r="AM2491" s="133">
        <f>YEAR(Table1[[#This Row],[ETA
As requested
dd.mm.yyyy]])</f>
        <v>2025</v>
      </c>
      <c r="AN2491" s="191"/>
    </row>
    <row r="2492" spans="1:40" hidden="1">
      <c r="A2492" s="123" t="s">
        <v>83</v>
      </c>
      <c r="B2492" s="36" t="s">
        <v>1170</v>
      </c>
      <c r="C2492" s="117">
        <v>5410624</v>
      </c>
      <c r="D2492" s="165">
        <v>45777</v>
      </c>
      <c r="E2492" s="117" t="s">
        <v>102</v>
      </c>
      <c r="F2492" s="36" t="str">
        <f>IFERROR(VLOOKUP(Table1[[#This Row],[Part Number]],DATABASE_FG!$C$6:D12481,2,FALSE)," ")</f>
        <v xml:space="preserve">080814913-8011 </v>
      </c>
      <c r="G2492" s="117">
        <f>IFERROR(_xlfn.XLOOKUP(Table1[[#This Row],[Part Number]],Table3[Part number],Table3[Drawing
 Revision]),"")</f>
        <v>0</v>
      </c>
      <c r="H2492" s="118" cm="1">
        <f t="array" ref="H2492">IFERROR(INDEX(PDB!$C:$AT,MATCH(E2492,PDB!$B:$B,0),MATCH(YEAR(K2492),0+PDB!$C$1:$AT$1,0)),"")</f>
        <v>4.8099999999999996</v>
      </c>
      <c r="I2492" s="36">
        <f>400-38-160</f>
        <v>202</v>
      </c>
      <c r="J2492" s="125">
        <f>IFERROR(Table1[[#This Row],[Quantity]]*Table1[[#This Row],[Price/Unit
EUR]]," ")</f>
        <v>971.61999999999989</v>
      </c>
      <c r="K2492" s="126">
        <v>45958</v>
      </c>
      <c r="L2492" s="36">
        <f>WEEKNUM(Table1[[#This Row],[ETA
As requested
dd.mm.yyyy]])</f>
        <v>44</v>
      </c>
      <c r="M2492" s="36">
        <f>YEAR(Table1[[#This Row],[ETA
As requested
dd.mm.yyyy]])</f>
        <v>2025</v>
      </c>
      <c r="N2492" s="36">
        <f>IFERROR(INDEX(DATABASE_FG!$H$5:$H$367, MATCH(E2492, DATABASE_FG!$C$5:$C$367, 0)), " ")</f>
        <v>0</v>
      </c>
      <c r="O2492" s="129" t="str">
        <f>IF(E2492&lt;&gt;"", _xlfn.XLOOKUP(E2492, DATABASE_FG!C:C, DATABASE_FG!F:F), " ")</f>
        <v>Ghidaje</v>
      </c>
      <c r="P2492" s="36">
        <f>IFERROR(INDEX(DATABASE_FG!$G$5:$G$367, MATCH(E2492, DATABASE_FG!$C$5:$C$367, 0)), "Not Found")</f>
        <v>0</v>
      </c>
      <c r="Q2492" s="36"/>
      <c r="R2492" s="125" t="s">
        <v>678</v>
      </c>
      <c r="S2492" s="123">
        <f>Table1[[#This Row],[Quantity]]/48</f>
        <v>4.208333333333333</v>
      </c>
      <c r="T2492" s="36"/>
      <c r="U2492" s="36"/>
      <c r="V2492" s="36"/>
      <c r="W2492" s="129"/>
      <c r="X2492" s="36"/>
      <c r="Y2492" s="36"/>
      <c r="Z2492" s="36"/>
      <c r="AA2492" s="125" t="s">
        <v>121</v>
      </c>
      <c r="AB2492" s="173">
        <v>45946</v>
      </c>
      <c r="AC2492" s="119" t="s">
        <v>4351</v>
      </c>
      <c r="AD2492" s="36">
        <f t="shared" si="273"/>
        <v>5410624</v>
      </c>
      <c r="AE2492" s="36" t="str">
        <f t="shared" si="274"/>
        <v>TK.KWVE30-B-A-S-0038-WW1</v>
      </c>
      <c r="AF2492" s="36">
        <v>202</v>
      </c>
      <c r="AG2492" s="120">
        <f t="shared" si="272"/>
        <v>971.61999999999989</v>
      </c>
      <c r="AH2492" s="36"/>
      <c r="AI2492" s="124"/>
      <c r="AJ2492" s="122" t="s">
        <v>4367</v>
      </c>
      <c r="AK2492" s="129" t="str">
        <f t="shared" ca="1" si="276"/>
        <v>On Time</v>
      </c>
      <c r="AL2492" s="268" t="str">
        <f t="shared" si="275"/>
        <v>October</v>
      </c>
      <c r="AM2492" s="133">
        <f>YEAR(Table1[[#This Row],[ETA
As requested
dd.mm.yyyy]])</f>
        <v>2025</v>
      </c>
    </row>
    <row r="2493" spans="1:40" hidden="1">
      <c r="A2493" s="123" t="s">
        <v>83</v>
      </c>
      <c r="B2493" s="36" t="s">
        <v>1170</v>
      </c>
      <c r="C2493" s="117">
        <v>5410624</v>
      </c>
      <c r="D2493" s="165">
        <v>45777</v>
      </c>
      <c r="E2493" s="117" t="s">
        <v>102</v>
      </c>
      <c r="F2493" s="36" t="str">
        <f>IFERROR(VLOOKUP(Table1[[#This Row],[Part Number]],DATABASE_FG!$C$6:D12482,2,FALSE)," ")</f>
        <v xml:space="preserve">080814913-8011 </v>
      </c>
      <c r="G2493" s="117">
        <f>IFERROR(_xlfn.XLOOKUP(Table1[[#This Row],[Part Number]],Table3[Part number],Table3[Drawing
 Revision]),"")</f>
        <v>0</v>
      </c>
      <c r="H2493" s="118" cm="1">
        <f t="array" ref="H2493">IFERROR(INDEX(PDB!$C:$AT,MATCH(E2493,PDB!$B:$B,0),MATCH(YEAR(K2493),0+PDB!$C$1:$AT$1,0)),"")</f>
        <v>4.8099999999999996</v>
      </c>
      <c r="I2493" s="36">
        <v>146</v>
      </c>
      <c r="J2493" s="125">
        <f>IFERROR(Table1[[#This Row],[Quantity]]*Table1[[#This Row],[Price/Unit
EUR]]," ")</f>
        <v>702.26</v>
      </c>
      <c r="K2493" s="126">
        <v>45960</v>
      </c>
      <c r="L2493" s="36">
        <f>WEEKNUM(Table1[[#This Row],[ETA
As requested
dd.mm.yyyy]])</f>
        <v>44</v>
      </c>
      <c r="M2493" s="36">
        <f>YEAR(Table1[[#This Row],[ETA
As requested
dd.mm.yyyy]])</f>
        <v>2025</v>
      </c>
      <c r="N2493" s="36">
        <f>IFERROR(INDEX(DATABASE_FG!$H$5:$H$367, MATCH(E2493, DATABASE_FG!$C$5:$C$367, 0)), " ")</f>
        <v>0</v>
      </c>
      <c r="O2493" s="129" t="str">
        <f>IF(E2493&lt;&gt;"", _xlfn.XLOOKUP(E2493, DATABASE_FG!C:C, DATABASE_FG!F:F), " ")</f>
        <v>Ghidaje</v>
      </c>
      <c r="P2493" s="36">
        <f>IFERROR(INDEX(DATABASE_FG!$G$5:$G$367, MATCH(E2493, DATABASE_FG!$C$5:$C$367, 0)), "Not Found")</f>
        <v>0</v>
      </c>
      <c r="Q2493" s="36"/>
      <c r="R2493" s="125" t="s">
        <v>678</v>
      </c>
      <c r="S2493" s="123">
        <f>Table1[[#This Row],[Quantity]]/48</f>
        <v>3.0416666666666665</v>
      </c>
      <c r="T2493" s="36"/>
      <c r="U2493" s="36"/>
      <c r="V2493" s="36"/>
      <c r="W2493" s="129"/>
      <c r="X2493" s="36"/>
      <c r="Y2493" s="36"/>
      <c r="Z2493" s="36"/>
      <c r="AA2493" s="125" t="s">
        <v>121</v>
      </c>
      <c r="AB2493" s="173">
        <v>45946</v>
      </c>
      <c r="AC2493" s="119" t="s">
        <v>4351</v>
      </c>
      <c r="AD2493" s="36">
        <f t="shared" si="273"/>
        <v>5410624</v>
      </c>
      <c r="AE2493" s="36" t="str">
        <f t="shared" si="274"/>
        <v>TK.KWVE30-B-A-S-0038-WW1</v>
      </c>
      <c r="AF2493" s="36">
        <v>146</v>
      </c>
      <c r="AG2493" s="120">
        <f t="shared" si="272"/>
        <v>702.26</v>
      </c>
      <c r="AH2493" s="36"/>
      <c r="AI2493" s="124"/>
      <c r="AJ2493" s="122" t="s">
        <v>4367</v>
      </c>
      <c r="AK2493" s="129" t="str">
        <f t="shared" ca="1" si="276"/>
        <v>On Time</v>
      </c>
      <c r="AL2493" s="268" t="str">
        <f t="shared" si="275"/>
        <v>October</v>
      </c>
      <c r="AM2493" s="133">
        <f>YEAR(Table1[[#This Row],[ETA
As requested
dd.mm.yyyy]])</f>
        <v>2025</v>
      </c>
      <c r="AN2493" s="191"/>
    </row>
    <row r="2494" spans="1:40" hidden="1">
      <c r="A2494" s="123" t="s">
        <v>83</v>
      </c>
      <c r="B2494" s="36" t="s">
        <v>1170</v>
      </c>
      <c r="C2494" s="117">
        <v>5410624</v>
      </c>
      <c r="D2494" s="165">
        <v>45777</v>
      </c>
      <c r="E2494" s="117" t="s">
        <v>102</v>
      </c>
      <c r="F2494" s="36" t="str">
        <f>IFERROR(VLOOKUP(Table1[[#This Row],[Part Number]],DATABASE_FG!$C$6:D12483,2,FALSE)," ")</f>
        <v xml:space="preserve">080814913-8011 </v>
      </c>
      <c r="G2494" s="117">
        <f>IFERROR(_xlfn.XLOOKUP(Table1[[#This Row],[Part Number]],Table3[Part number],Table3[Drawing
 Revision]),"")</f>
        <v>0</v>
      </c>
      <c r="H2494" s="118" cm="1">
        <f t="array" ref="H2494">IFERROR(INDEX(PDB!$C:$AT,MATCH(E2494,PDB!$B:$B,0),MATCH(YEAR(K2494),0+PDB!$C$1:$AT$1,0)),"")</f>
        <v>4.8099999999999996</v>
      </c>
      <c r="I2494" s="36">
        <f>200-146</f>
        <v>54</v>
      </c>
      <c r="J2494" s="125">
        <f>IFERROR(Table1[[#This Row],[Quantity]]*Table1[[#This Row],[Price/Unit
EUR]]," ")</f>
        <v>259.73999999999995</v>
      </c>
      <c r="K2494" s="126">
        <v>45960</v>
      </c>
      <c r="L2494" s="36">
        <f>WEEKNUM(Table1[[#This Row],[ETA
As requested
dd.mm.yyyy]])</f>
        <v>44</v>
      </c>
      <c r="M2494" s="36">
        <f>YEAR(Table1[[#This Row],[ETA
As requested
dd.mm.yyyy]])</f>
        <v>2025</v>
      </c>
      <c r="N2494" s="36">
        <f>IFERROR(INDEX(DATABASE_FG!$H$5:$H$367, MATCH(E2494, DATABASE_FG!$C$5:$C$367, 0)), " ")</f>
        <v>0</v>
      </c>
      <c r="O2494" s="129" t="str">
        <f>IF(E2494&lt;&gt;"", _xlfn.XLOOKUP(E2494, DATABASE_FG!C:C, DATABASE_FG!F:F), " ")</f>
        <v>Ghidaje</v>
      </c>
      <c r="P2494" s="36">
        <f>IFERROR(INDEX(DATABASE_FG!$G$5:$G$367, MATCH(E2494, DATABASE_FG!$C$5:$C$367, 0)), "Not Found")</f>
        <v>0</v>
      </c>
      <c r="Q2494" s="36"/>
      <c r="R2494" s="125" t="s">
        <v>678</v>
      </c>
      <c r="S2494" s="123">
        <f>Table1[[#This Row],[Quantity]]/48</f>
        <v>1.125</v>
      </c>
      <c r="T2494" s="36"/>
      <c r="U2494" s="36"/>
      <c r="V2494" s="36"/>
      <c r="W2494" s="129"/>
      <c r="X2494" s="36"/>
      <c r="Y2494" s="36"/>
      <c r="Z2494" s="36"/>
      <c r="AA2494" s="125" t="s">
        <v>121</v>
      </c>
      <c r="AB2494" s="173">
        <v>45947</v>
      </c>
      <c r="AC2494" s="119" t="s">
        <v>4357</v>
      </c>
      <c r="AD2494" s="36">
        <f t="shared" si="273"/>
        <v>5410624</v>
      </c>
      <c r="AE2494" s="36" t="str">
        <f t="shared" si="274"/>
        <v>TK.KWVE30-B-A-S-0038-WW1</v>
      </c>
      <c r="AF2494" s="36">
        <v>54</v>
      </c>
      <c r="AG2494" s="120">
        <f t="shared" si="272"/>
        <v>259.73999999999995</v>
      </c>
      <c r="AH2494" s="36"/>
      <c r="AI2494" s="124"/>
      <c r="AJ2494" s="122" t="s">
        <v>4373</v>
      </c>
      <c r="AK2494" s="129" t="str">
        <f t="shared" ca="1" si="276"/>
        <v>On Time</v>
      </c>
      <c r="AL2494" s="268" t="str">
        <f t="shared" si="275"/>
        <v>October</v>
      </c>
      <c r="AM2494" s="133">
        <f>YEAR(Table1[[#This Row],[ETA
As requested
dd.mm.yyyy]])</f>
        <v>2025</v>
      </c>
    </row>
    <row r="2495" spans="1:40" hidden="1">
      <c r="A2495" s="123" t="s">
        <v>83</v>
      </c>
      <c r="B2495" s="36" t="s">
        <v>1170</v>
      </c>
      <c r="C2495" s="117">
        <v>5410624</v>
      </c>
      <c r="D2495" s="165">
        <v>45951</v>
      </c>
      <c r="E2495" s="117" t="s">
        <v>102</v>
      </c>
      <c r="F2495" s="36" t="str">
        <f>IFERROR(VLOOKUP(Table1[[#This Row],[Part Number]],DATABASE_FG!$C$6:D12484,2,FALSE)," ")</f>
        <v xml:space="preserve">080814913-8011 </v>
      </c>
      <c r="G2495" s="117">
        <f>IFERROR(_xlfn.XLOOKUP(Table1[[#This Row],[Part Number]],Table3[Part number],Table3[Drawing
 Revision]),"")</f>
        <v>0</v>
      </c>
      <c r="H2495" s="118" cm="1">
        <f t="array" ref="H2495">IFERROR(INDEX(PDB!$C:$AT,MATCH(E2495,PDB!$B:$B,0),MATCH(YEAR(K2495),0+PDB!$C$1:$AT$1,0)),"")</f>
        <v>4.8099999999999996</v>
      </c>
      <c r="I2495" s="36">
        <v>300</v>
      </c>
      <c r="J2495" s="125">
        <f>IFERROR(Table1[[#This Row],[Quantity]]*Table1[[#This Row],[Price/Unit
EUR]]," ")</f>
        <v>1442.9999999999998</v>
      </c>
      <c r="K2495" s="126">
        <v>45965</v>
      </c>
      <c r="L2495" s="36">
        <f>WEEKNUM(Table1[[#This Row],[ETA
As requested
dd.mm.yyyy]])</f>
        <v>45</v>
      </c>
      <c r="M2495" s="36">
        <f>YEAR(Table1[[#This Row],[ETA
As requested
dd.mm.yyyy]])</f>
        <v>2025</v>
      </c>
      <c r="N2495" s="36">
        <f>IFERROR(INDEX(DATABASE_FG!$H$5:$H$367, MATCH(E2495, DATABASE_FG!$C$5:$C$367, 0)), " ")</f>
        <v>0</v>
      </c>
      <c r="O2495" s="129" t="str">
        <f>IF(E2495&lt;&gt;"", _xlfn.XLOOKUP(E2495, DATABASE_FG!C:C, DATABASE_FG!F:F), " ")</f>
        <v>Ghidaje</v>
      </c>
      <c r="P2495" s="36">
        <f>IFERROR(INDEX(DATABASE_FG!$G$5:$G$367, MATCH(E2495, DATABASE_FG!$C$5:$C$367, 0)), "Not Found")</f>
        <v>0</v>
      </c>
      <c r="Q2495" s="36"/>
      <c r="R2495" s="125" t="s">
        <v>678</v>
      </c>
      <c r="S2495" s="123">
        <f>Table1[[#This Row],[Quantity]]/48</f>
        <v>6.25</v>
      </c>
      <c r="T2495" s="36"/>
      <c r="U2495" s="36"/>
      <c r="V2495" s="36"/>
      <c r="W2495" s="129"/>
      <c r="X2495" s="36"/>
      <c r="Y2495" s="36"/>
      <c r="Z2495" s="36"/>
      <c r="AA2495" s="125" t="s">
        <v>3</v>
      </c>
      <c r="AB2495" s="173"/>
      <c r="AC2495" s="119"/>
      <c r="AD2495" s="36" t="str">
        <f t="shared" si="273"/>
        <v/>
      </c>
      <c r="AE2495" s="36" t="str">
        <f t="shared" si="274"/>
        <v/>
      </c>
      <c r="AF2495" s="36"/>
      <c r="AG2495" s="120">
        <f t="shared" ref="AG2495:AG2558" si="277">AF2495*H2495</f>
        <v>0</v>
      </c>
      <c r="AH2495" s="36"/>
      <c r="AI2495" s="124"/>
      <c r="AJ2495" s="122"/>
      <c r="AK2495" s="129" t="str">
        <f t="shared" ca="1" si="276"/>
        <v>Late</v>
      </c>
      <c r="AL2495" s="268" t="str">
        <f t="shared" si="275"/>
        <v>November</v>
      </c>
      <c r="AM2495" s="133">
        <f>YEAR(Table1[[#This Row],[ETA
As requested
dd.mm.yyyy]])</f>
        <v>2025</v>
      </c>
    </row>
    <row r="2496" spans="1:40" hidden="1">
      <c r="A2496" s="123" t="s">
        <v>83</v>
      </c>
      <c r="B2496" s="36" t="s">
        <v>2464</v>
      </c>
      <c r="C2496" s="117">
        <v>5410624</v>
      </c>
      <c r="D2496" s="165">
        <v>45777</v>
      </c>
      <c r="E2496" s="117" t="s">
        <v>102</v>
      </c>
      <c r="F2496" s="36" t="str">
        <f>IFERROR(VLOOKUP(Table1[[#This Row],[Part Number]],DATABASE_FG!$C$6:D12485,2,FALSE)," ")</f>
        <v xml:space="preserve">080814913-8011 </v>
      </c>
      <c r="G2496" s="117">
        <f>IFERROR(_xlfn.XLOOKUP(Table1[[#This Row],[Part Number]],Table3[Part number],Table3[Drawing
 Revision]),"")</f>
        <v>0</v>
      </c>
      <c r="H2496" s="118" cm="1">
        <f t="array" ref="H2496">IFERROR(INDEX(PDB!$C:$AT,MATCH(E2496,PDB!$B:$B,0),MATCH(YEAR(K2496),0+PDB!$C$1:$AT$1,0)),"")</f>
        <v>4.8099999999999996</v>
      </c>
      <c r="I2496" s="36">
        <v>900</v>
      </c>
      <c r="J2496" s="125">
        <f>IFERROR(Table1[[#This Row],[Quantity]]*Table1[[#This Row],[Price/Unit
EUR]]," ")</f>
        <v>4329</v>
      </c>
      <c r="K2496" s="126">
        <v>46011</v>
      </c>
      <c r="L2496" s="36">
        <f>WEEKNUM(Table1[[#This Row],[ETA
As requested
dd.mm.yyyy]])</f>
        <v>51</v>
      </c>
      <c r="M2496" s="36">
        <f>YEAR(Table1[[#This Row],[ETA
As requested
dd.mm.yyyy]])</f>
        <v>2025</v>
      </c>
      <c r="N2496" s="36">
        <f>IFERROR(INDEX(DATABASE_FG!$H$5:$H$367, MATCH(E2496, DATABASE_FG!$C$5:$C$367, 0)), " ")</f>
        <v>0</v>
      </c>
      <c r="O2496" s="129" t="str">
        <f>IF(E2496&lt;&gt;"", _xlfn.XLOOKUP(E2496, DATABASE_FG!C:C, DATABASE_FG!F:F), " ")</f>
        <v>Ghidaje</v>
      </c>
      <c r="P2496" s="36">
        <f>IFERROR(INDEX(DATABASE_FG!$G$5:$G$367, MATCH(E2496, DATABASE_FG!$C$5:$C$367, 0)), "Not Found")</f>
        <v>0</v>
      </c>
      <c r="Q2496" s="36"/>
      <c r="R2496" s="125" t="s">
        <v>678</v>
      </c>
      <c r="S2496" s="123">
        <f>Table1[[#This Row],[Quantity]]/48</f>
        <v>18.75</v>
      </c>
      <c r="T2496" s="36"/>
      <c r="U2496" s="36"/>
      <c r="V2496" s="36"/>
      <c r="W2496" s="129"/>
      <c r="X2496" s="36"/>
      <c r="Y2496" s="36"/>
      <c r="Z2496" s="36"/>
      <c r="AA2496" s="125" t="s">
        <v>3</v>
      </c>
      <c r="AB2496" s="172"/>
      <c r="AC2496" s="119"/>
      <c r="AD2496" s="36" t="str">
        <f t="shared" si="273"/>
        <v/>
      </c>
      <c r="AE2496" s="36" t="str">
        <f t="shared" si="274"/>
        <v/>
      </c>
      <c r="AF2496" s="36"/>
      <c r="AG2496" s="120">
        <f t="shared" si="277"/>
        <v>0</v>
      </c>
      <c r="AH2496" s="36"/>
      <c r="AI2496" s="124"/>
      <c r="AJ2496" s="122"/>
      <c r="AK2496" s="129" t="str">
        <f t="shared" ca="1" si="276"/>
        <v/>
      </c>
      <c r="AL2496" s="268" t="str">
        <f t="shared" si="275"/>
        <v>December</v>
      </c>
      <c r="AM2496" s="133">
        <f>YEAR(Table1[[#This Row],[ETA
As requested
dd.mm.yyyy]])</f>
        <v>2025</v>
      </c>
    </row>
    <row r="2497" spans="1:39" hidden="1">
      <c r="A2497" s="123" t="s">
        <v>83</v>
      </c>
      <c r="B2497" s="36" t="s">
        <v>1170</v>
      </c>
      <c r="C2497" s="117">
        <v>36635985</v>
      </c>
      <c r="D2497" s="165">
        <v>45400</v>
      </c>
      <c r="E2497" s="117" t="s">
        <v>103</v>
      </c>
      <c r="F2497" s="36" t="str">
        <f>IFERROR(VLOOKUP(Table1[[#This Row],[Part Number]],DATABASE_FG!$C$6:D12486,2,FALSE)," ")</f>
        <v>080817246-8011</v>
      </c>
      <c r="G2497" s="117">
        <f>IFERROR(_xlfn.XLOOKUP(Table1[[#This Row],[Part Number]],Table3[Part number],Table3[Drawing
 Revision]),"")</f>
        <v>0</v>
      </c>
      <c r="H2497" s="118" cm="1">
        <f t="array" ref="H2497">IFERROR(INDEX(PDB!$C:$AT,MATCH(E2497,PDB!$B:$B,0),MATCH(YEAR(K2497),0+PDB!$C$1:$AT$1,0)),"")</f>
        <v>6.08</v>
      </c>
      <c r="I2497" s="36">
        <v>50</v>
      </c>
      <c r="J2497" s="125">
        <f>IFERROR(Table1[[#This Row],[Quantity]]*Table1[[#This Row],[Price/Unit
EUR]]," ")</f>
        <v>304</v>
      </c>
      <c r="K2497" s="126">
        <v>45419</v>
      </c>
      <c r="L2497" s="36">
        <f>WEEKNUM(Table1[[#This Row],[ETA
As requested
dd.mm.yyyy]])</f>
        <v>19</v>
      </c>
      <c r="M2497" s="36">
        <f>YEAR(Table1[[#This Row],[ETA
As requested
dd.mm.yyyy]])</f>
        <v>2024</v>
      </c>
      <c r="N2497" s="36">
        <f>IFERROR(INDEX(DATABASE_FG!$H$5:$H$367, MATCH(E2497, DATABASE_FG!$C$5:$C$367, 0)), " ")</f>
        <v>0</v>
      </c>
      <c r="O2497" s="129" t="str">
        <f>IF(E2497&lt;&gt;"", _xlfn.XLOOKUP(E2497, DATABASE_FG!C:C, DATABASE_FG!F:F), " ")</f>
        <v>Ghidaje</v>
      </c>
      <c r="P2497" s="36">
        <f>IFERROR(INDEX(DATABASE_FG!$G$5:$G$367, MATCH(E2497, DATABASE_FG!$C$5:$C$367, 0)), "Not Found")</f>
        <v>0</v>
      </c>
      <c r="Q2497" s="36"/>
      <c r="R2497" s="125" t="s">
        <v>678</v>
      </c>
      <c r="S2497" s="123">
        <f>IFERROR(INDEX(DATABASE_FG!$L$5:$L$367, MATCH(E2497, DATABASE_FG!$C$5:$C$367, 0)), " ")</f>
        <v>42</v>
      </c>
      <c r="T2497" s="36" t="s">
        <v>679</v>
      </c>
      <c r="U2497" s="36"/>
      <c r="V2497" s="36"/>
      <c r="W2497" s="129"/>
      <c r="X2497" s="36"/>
      <c r="Y2497" s="36"/>
      <c r="Z2497" s="36">
        <v>241907</v>
      </c>
      <c r="AA2497" s="125" t="s">
        <v>121</v>
      </c>
      <c r="AB2497" s="172">
        <v>45432</v>
      </c>
      <c r="AC2497" s="119">
        <v>2024506</v>
      </c>
      <c r="AD2497" s="36">
        <f t="shared" si="273"/>
        <v>36635985</v>
      </c>
      <c r="AE2497" s="36" t="str">
        <f t="shared" si="274"/>
        <v>TK.KWVE30-B-A-SL-0038-WW1</v>
      </c>
      <c r="AF2497" s="36">
        <v>50</v>
      </c>
      <c r="AG2497" s="120">
        <f t="shared" si="277"/>
        <v>304</v>
      </c>
      <c r="AH2497" s="36"/>
      <c r="AI2497" s="124"/>
      <c r="AJ2497" s="122" t="s">
        <v>1467</v>
      </c>
      <c r="AK2497" s="129" t="str">
        <f t="shared" ca="1" si="276"/>
        <v>Late</v>
      </c>
      <c r="AL2497" s="268" t="str">
        <f t="shared" si="275"/>
        <v>May</v>
      </c>
      <c r="AM2497" s="133">
        <f>YEAR(Table1[[#This Row],[ETA
As requested
dd.mm.yyyy]])</f>
        <v>2024</v>
      </c>
    </row>
    <row r="2498" spans="1:39" hidden="1">
      <c r="A2498" s="123" t="s">
        <v>83</v>
      </c>
      <c r="B2498" s="36" t="s">
        <v>1170</v>
      </c>
      <c r="C2498" s="117">
        <v>36635987</v>
      </c>
      <c r="D2498" s="165">
        <v>45400</v>
      </c>
      <c r="E2498" s="117" t="s">
        <v>103</v>
      </c>
      <c r="F2498" s="36" t="str">
        <f>IFERROR(VLOOKUP(Table1[[#This Row],[Part Number]],DATABASE_FG!$C$6:D12487,2,FALSE)," ")</f>
        <v>080817246-8011</v>
      </c>
      <c r="G2498" s="117">
        <f>IFERROR(_xlfn.XLOOKUP(Table1[[#This Row],[Part Number]],Table3[Part number],Table3[Drawing
 Revision]),"")</f>
        <v>0</v>
      </c>
      <c r="H2498" s="118" cm="1">
        <f t="array" ref="H2498">IFERROR(INDEX(PDB!$C:$AT,MATCH(E2498,PDB!$B:$B,0),MATCH(YEAR(K2498),0+PDB!$C$1:$AT$1,0)),"")</f>
        <v>6.08</v>
      </c>
      <c r="I2498" s="36">
        <v>50</v>
      </c>
      <c r="J2498" s="125">
        <f>IFERROR(Table1[[#This Row],[Quantity]]*Table1[[#This Row],[Price/Unit
EUR]]," ")</f>
        <v>304</v>
      </c>
      <c r="K2498" s="126">
        <v>45421</v>
      </c>
      <c r="L2498" s="36">
        <f>WEEKNUM(Table1[[#This Row],[ETA
As requested
dd.mm.yyyy]])</f>
        <v>19</v>
      </c>
      <c r="M2498" s="36">
        <f>YEAR(Table1[[#This Row],[ETA
As requested
dd.mm.yyyy]])</f>
        <v>2024</v>
      </c>
      <c r="N2498" s="36">
        <f>IFERROR(INDEX(DATABASE_FG!$H$5:$H$367, MATCH(E2498, DATABASE_FG!$C$5:$C$367, 0)), " ")</f>
        <v>0</v>
      </c>
      <c r="O2498" s="129" t="str">
        <f>IF(E2498&lt;&gt;"", _xlfn.XLOOKUP(E2498, DATABASE_FG!C:C, DATABASE_FG!F:F), " ")</f>
        <v>Ghidaje</v>
      </c>
      <c r="P2498" s="36">
        <f>IFERROR(INDEX(DATABASE_FG!$G$5:$G$367, MATCH(E2498, DATABASE_FG!$C$5:$C$367, 0)), "Not Found")</f>
        <v>0</v>
      </c>
      <c r="Q2498" s="36"/>
      <c r="R2498" s="125" t="s">
        <v>678</v>
      </c>
      <c r="S2498" s="123">
        <f>IFERROR(INDEX(DATABASE_FG!$L$5:$L$367, MATCH(E2498, DATABASE_FG!$C$5:$C$367, 0)), " ")</f>
        <v>42</v>
      </c>
      <c r="T2498" s="36" t="s">
        <v>679</v>
      </c>
      <c r="U2498" s="36"/>
      <c r="V2498" s="36"/>
      <c r="W2498" s="129"/>
      <c r="X2498" s="36"/>
      <c r="Y2498" s="36"/>
      <c r="Z2498" s="36">
        <v>241907</v>
      </c>
      <c r="AA2498" s="125" t="s">
        <v>121</v>
      </c>
      <c r="AB2498" s="172">
        <v>45432</v>
      </c>
      <c r="AC2498" s="119">
        <v>2024507</v>
      </c>
      <c r="AD2498" s="36">
        <f t="shared" si="273"/>
        <v>36635987</v>
      </c>
      <c r="AE2498" s="36" t="str">
        <f t="shared" si="274"/>
        <v>TK.KWVE30-B-A-SL-0038-WW1</v>
      </c>
      <c r="AF2498" s="36">
        <v>50</v>
      </c>
      <c r="AG2498" s="120">
        <f t="shared" si="277"/>
        <v>304</v>
      </c>
      <c r="AH2498" s="36"/>
      <c r="AI2498" s="124"/>
      <c r="AJ2498" s="122" t="s">
        <v>1494</v>
      </c>
      <c r="AK2498" s="129" t="str">
        <f t="shared" ca="1" si="276"/>
        <v>Late</v>
      </c>
      <c r="AL2498" s="268" t="str">
        <f t="shared" si="275"/>
        <v>May</v>
      </c>
      <c r="AM2498" s="133">
        <f>YEAR(Table1[[#This Row],[ETA
As requested
dd.mm.yyyy]])</f>
        <v>2024</v>
      </c>
    </row>
    <row r="2499" spans="1:39" hidden="1">
      <c r="A2499" s="123" t="s">
        <v>83</v>
      </c>
      <c r="B2499" s="36" t="s">
        <v>1170</v>
      </c>
      <c r="C2499" s="117">
        <v>36635994</v>
      </c>
      <c r="D2499" s="165">
        <v>45400</v>
      </c>
      <c r="E2499" s="117" t="s">
        <v>103</v>
      </c>
      <c r="F2499" s="36" t="str">
        <f>IFERROR(VLOOKUP(Table1[[#This Row],[Part Number]],DATABASE_FG!$C$6:D12488,2,FALSE)," ")</f>
        <v>080817246-8011</v>
      </c>
      <c r="G2499" s="117">
        <f>IFERROR(_xlfn.XLOOKUP(Table1[[#This Row],[Part Number]],Table3[Part number],Table3[Drawing
 Revision]),"")</f>
        <v>0</v>
      </c>
      <c r="H2499" s="118" cm="1">
        <f t="array" ref="H2499">IFERROR(INDEX(PDB!$C:$AT,MATCH(E2499,PDB!$B:$B,0),MATCH(YEAR(K2499),0+PDB!$C$1:$AT$1,0)),"")</f>
        <v>6.08</v>
      </c>
      <c r="I2499" s="36">
        <v>50</v>
      </c>
      <c r="J2499" s="125">
        <f>IFERROR(Table1[[#This Row],[Quantity]]*Table1[[#This Row],[Price/Unit
EUR]]," ")</f>
        <v>304</v>
      </c>
      <c r="K2499" s="126">
        <v>45426</v>
      </c>
      <c r="L2499" s="36">
        <f>WEEKNUM(Table1[[#This Row],[ETA
As requested
dd.mm.yyyy]])</f>
        <v>20</v>
      </c>
      <c r="M2499" s="36">
        <f>YEAR(Table1[[#This Row],[ETA
As requested
dd.mm.yyyy]])</f>
        <v>2024</v>
      </c>
      <c r="N2499" s="36">
        <f>IFERROR(INDEX(DATABASE_FG!$H$5:$H$367, MATCH(E2499, DATABASE_FG!$C$5:$C$367, 0)), " ")</f>
        <v>0</v>
      </c>
      <c r="O2499" s="129" t="str">
        <f>IF(E2499&lt;&gt;"", _xlfn.XLOOKUP(E2499, DATABASE_FG!C:C, DATABASE_FG!F:F), " ")</f>
        <v>Ghidaje</v>
      </c>
      <c r="P2499" s="36">
        <f>IFERROR(INDEX(DATABASE_FG!$G$5:$G$367, MATCH(E2499, DATABASE_FG!$C$5:$C$367, 0)), "Not Found")</f>
        <v>0</v>
      </c>
      <c r="Q2499" s="36"/>
      <c r="R2499" s="125" t="s">
        <v>678</v>
      </c>
      <c r="S2499" s="123">
        <f>IFERROR(INDEX(DATABASE_FG!$L$5:$L$367, MATCH(E2499, DATABASE_FG!$C$5:$C$367, 0)), " ")</f>
        <v>42</v>
      </c>
      <c r="T2499" s="36" t="s">
        <v>679</v>
      </c>
      <c r="U2499" s="36"/>
      <c r="V2499" s="36"/>
      <c r="W2499" s="129"/>
      <c r="X2499" s="36"/>
      <c r="Y2499" s="36"/>
      <c r="Z2499" s="36">
        <v>242004</v>
      </c>
      <c r="AA2499" s="125" t="s">
        <v>121</v>
      </c>
      <c r="AB2499" s="172">
        <v>45433</v>
      </c>
      <c r="AC2499" s="119">
        <v>2024515</v>
      </c>
      <c r="AD2499" s="36">
        <f t="shared" si="273"/>
        <v>36635994</v>
      </c>
      <c r="AE2499" s="36" t="str">
        <f t="shared" si="274"/>
        <v>TK.KWVE30-B-A-SL-0038-WW1</v>
      </c>
      <c r="AF2499" s="36">
        <v>50</v>
      </c>
      <c r="AG2499" s="120">
        <f t="shared" si="277"/>
        <v>304</v>
      </c>
      <c r="AH2499" s="36"/>
      <c r="AI2499" s="124"/>
      <c r="AJ2499" s="122" t="s">
        <v>1508</v>
      </c>
      <c r="AK2499" s="129" t="str">
        <f t="shared" ca="1" si="276"/>
        <v>Late</v>
      </c>
      <c r="AL2499" s="268" t="str">
        <f t="shared" si="275"/>
        <v>May</v>
      </c>
      <c r="AM2499" s="133">
        <f>YEAR(Table1[[#This Row],[ETA
As requested
dd.mm.yyyy]])</f>
        <v>2024</v>
      </c>
    </row>
    <row r="2500" spans="1:39" hidden="1">
      <c r="A2500" s="123" t="s">
        <v>83</v>
      </c>
      <c r="B2500" s="36" t="s">
        <v>1170</v>
      </c>
      <c r="C2500" s="117">
        <v>36636000</v>
      </c>
      <c r="D2500" s="165">
        <v>45400</v>
      </c>
      <c r="E2500" s="117" t="s">
        <v>103</v>
      </c>
      <c r="F2500" s="36" t="str">
        <f>IFERROR(VLOOKUP(Table1[[#This Row],[Part Number]],DATABASE_FG!$C$6:D12489,2,FALSE)," ")</f>
        <v>080817246-8011</v>
      </c>
      <c r="G2500" s="117">
        <f>IFERROR(_xlfn.XLOOKUP(Table1[[#This Row],[Part Number]],Table3[Part number],Table3[Drawing
 Revision]),"")</f>
        <v>0</v>
      </c>
      <c r="H2500" s="118" cm="1">
        <f t="array" ref="H2500">IFERROR(INDEX(PDB!$C:$AT,MATCH(E2500,PDB!$B:$B,0),MATCH(YEAR(K2500),0+PDB!$C$1:$AT$1,0)),"")</f>
        <v>6.08</v>
      </c>
      <c r="I2500" s="36">
        <v>50</v>
      </c>
      <c r="J2500" s="125">
        <f>IFERROR(Table1[[#This Row],[Quantity]]*Table1[[#This Row],[Price/Unit
EUR]]," ")</f>
        <v>304</v>
      </c>
      <c r="K2500" s="126">
        <v>45428</v>
      </c>
      <c r="L2500" s="36">
        <f>WEEKNUM(Table1[[#This Row],[ETA
As requested
dd.mm.yyyy]])</f>
        <v>20</v>
      </c>
      <c r="M2500" s="36">
        <f>YEAR(Table1[[#This Row],[ETA
As requested
dd.mm.yyyy]])</f>
        <v>2024</v>
      </c>
      <c r="N2500" s="36">
        <f>IFERROR(INDEX(DATABASE_FG!$H$5:$H$367, MATCH(E2500, DATABASE_FG!$C$5:$C$367, 0)), " ")</f>
        <v>0</v>
      </c>
      <c r="O2500" s="129" t="str">
        <f>IF(E2500&lt;&gt;"", _xlfn.XLOOKUP(E2500, DATABASE_FG!C:C, DATABASE_FG!F:F), " ")</f>
        <v>Ghidaje</v>
      </c>
      <c r="P2500" s="36">
        <f>IFERROR(INDEX(DATABASE_FG!$G$5:$G$367, MATCH(E2500, DATABASE_FG!$C$5:$C$367, 0)), "Not Found")</f>
        <v>0</v>
      </c>
      <c r="Q2500" s="36"/>
      <c r="R2500" s="125" t="s">
        <v>678</v>
      </c>
      <c r="S2500" s="123">
        <f>IFERROR(INDEX(DATABASE_FG!$L$5:$L$367, MATCH(E2500, DATABASE_FG!$C$5:$C$367, 0)), " ")</f>
        <v>42</v>
      </c>
      <c r="T2500" s="36" t="s">
        <v>679</v>
      </c>
      <c r="U2500" s="36"/>
      <c r="V2500" s="36"/>
      <c r="W2500" s="129"/>
      <c r="X2500" s="36"/>
      <c r="Y2500" s="36"/>
      <c r="Z2500" s="36">
        <v>242004</v>
      </c>
      <c r="AA2500" s="125" t="s">
        <v>121</v>
      </c>
      <c r="AB2500" s="172">
        <v>45434</v>
      </c>
      <c r="AC2500" s="119">
        <v>2024516</v>
      </c>
      <c r="AD2500" s="36">
        <f t="shared" si="273"/>
        <v>36636000</v>
      </c>
      <c r="AE2500" s="36" t="str">
        <f t="shared" si="274"/>
        <v>TK.KWVE30-B-A-SL-0038-WW1</v>
      </c>
      <c r="AF2500" s="36">
        <v>50</v>
      </c>
      <c r="AG2500" s="120">
        <f t="shared" si="277"/>
        <v>304</v>
      </c>
      <c r="AH2500" s="36"/>
      <c r="AI2500" s="124"/>
      <c r="AJ2500" s="122" t="s">
        <v>1515</v>
      </c>
      <c r="AK2500" s="129" t="str">
        <f t="shared" ca="1" si="276"/>
        <v>Late</v>
      </c>
      <c r="AL2500" s="268" t="str">
        <f t="shared" si="275"/>
        <v>May</v>
      </c>
      <c r="AM2500" s="133">
        <f>YEAR(Table1[[#This Row],[ETA
As requested
dd.mm.yyyy]])</f>
        <v>2024</v>
      </c>
    </row>
    <row r="2501" spans="1:39" hidden="1">
      <c r="A2501" s="123" t="s">
        <v>83</v>
      </c>
      <c r="B2501" s="36" t="s">
        <v>1170</v>
      </c>
      <c r="C2501" s="117">
        <v>36636009</v>
      </c>
      <c r="D2501" s="165">
        <v>45400</v>
      </c>
      <c r="E2501" s="117" t="s">
        <v>103</v>
      </c>
      <c r="F2501" s="36" t="str">
        <f>IFERROR(VLOOKUP(Table1[[#This Row],[Part Number]],DATABASE_FG!$C$6:D12490,2,FALSE)," ")</f>
        <v>080817246-8011</v>
      </c>
      <c r="G2501" s="117">
        <f>IFERROR(_xlfn.XLOOKUP(Table1[[#This Row],[Part Number]],Table3[Part number],Table3[Drawing
 Revision]),"")</f>
        <v>0</v>
      </c>
      <c r="H2501" s="118" cm="1">
        <f t="array" ref="H2501">IFERROR(INDEX(PDB!$C:$AT,MATCH(E2501,PDB!$B:$B,0),MATCH(YEAR(K2501),0+PDB!$C$1:$AT$1,0)),"")</f>
        <v>6.08</v>
      </c>
      <c r="I2501" s="36">
        <v>50</v>
      </c>
      <c r="J2501" s="125">
        <f>IFERROR(Table1[[#This Row],[Quantity]]*Table1[[#This Row],[Price/Unit
EUR]]," ")</f>
        <v>304</v>
      </c>
      <c r="K2501" s="126">
        <v>45433</v>
      </c>
      <c r="L2501" s="36">
        <f>WEEKNUM(Table1[[#This Row],[ETA
As requested
dd.mm.yyyy]])</f>
        <v>21</v>
      </c>
      <c r="M2501" s="36">
        <f>YEAR(Table1[[#This Row],[ETA
As requested
dd.mm.yyyy]])</f>
        <v>2024</v>
      </c>
      <c r="N2501" s="36">
        <f>IFERROR(INDEX(DATABASE_FG!$H$5:$H$367, MATCH(E2501, DATABASE_FG!$C$5:$C$367, 0)), " ")</f>
        <v>0</v>
      </c>
      <c r="O2501" s="129" t="str">
        <f>IF(E2501&lt;&gt;"", _xlfn.XLOOKUP(E2501, DATABASE_FG!C:C, DATABASE_FG!F:F), " ")</f>
        <v>Ghidaje</v>
      </c>
      <c r="P2501" s="36">
        <f>IFERROR(INDEX(DATABASE_FG!$G$5:$G$367, MATCH(E2501, DATABASE_FG!$C$5:$C$367, 0)), "Not Found")</f>
        <v>0</v>
      </c>
      <c r="Q2501" s="36"/>
      <c r="R2501" s="125" t="s">
        <v>678</v>
      </c>
      <c r="S2501" s="123">
        <f>IFERROR(INDEX(DATABASE_FG!$L$5:$L$367, MATCH(E2501, DATABASE_FG!$C$5:$C$367, 0)), " ")</f>
        <v>42</v>
      </c>
      <c r="T2501" s="36" t="s">
        <v>679</v>
      </c>
      <c r="U2501" s="36"/>
      <c r="V2501" s="36"/>
      <c r="W2501" s="129"/>
      <c r="X2501" s="36"/>
      <c r="Y2501" s="36"/>
      <c r="Z2501" s="36">
        <v>242004</v>
      </c>
      <c r="AA2501" s="125" t="s">
        <v>121</v>
      </c>
      <c r="AB2501" s="172">
        <v>45434</v>
      </c>
      <c r="AC2501" s="119">
        <v>2024525</v>
      </c>
      <c r="AD2501" s="36">
        <f t="shared" si="273"/>
        <v>36636009</v>
      </c>
      <c r="AE2501" s="36" t="str">
        <f t="shared" si="274"/>
        <v>TK.KWVE30-B-A-SL-0038-WW1</v>
      </c>
      <c r="AF2501" s="36">
        <v>50</v>
      </c>
      <c r="AG2501" s="120">
        <f t="shared" si="277"/>
        <v>304</v>
      </c>
      <c r="AH2501" s="36"/>
      <c r="AI2501" s="124"/>
      <c r="AJ2501" s="122" t="s">
        <v>1529</v>
      </c>
      <c r="AK2501" s="129" t="str">
        <f t="shared" ca="1" si="276"/>
        <v>On Time</v>
      </c>
      <c r="AL2501" s="268" t="str">
        <f t="shared" si="275"/>
        <v>May</v>
      </c>
      <c r="AM2501" s="133">
        <f>YEAR(Table1[[#This Row],[ETA
As requested
dd.mm.yyyy]])</f>
        <v>2024</v>
      </c>
    </row>
    <row r="2502" spans="1:39" hidden="1">
      <c r="A2502" s="123" t="s">
        <v>83</v>
      </c>
      <c r="B2502" s="36" t="s">
        <v>1170</v>
      </c>
      <c r="C2502" s="117">
        <v>36636013</v>
      </c>
      <c r="D2502" s="165">
        <v>45400</v>
      </c>
      <c r="E2502" s="117" t="s">
        <v>103</v>
      </c>
      <c r="F2502" s="36" t="str">
        <f>IFERROR(VLOOKUP(Table1[[#This Row],[Part Number]],DATABASE_FG!$C$6:D12491,2,FALSE)," ")</f>
        <v>080817246-8011</v>
      </c>
      <c r="G2502" s="117">
        <f>IFERROR(_xlfn.XLOOKUP(Table1[[#This Row],[Part Number]],Table3[Part number],Table3[Drawing
 Revision]),"")</f>
        <v>0</v>
      </c>
      <c r="H2502" s="118" cm="1">
        <f t="array" ref="H2502">IFERROR(INDEX(PDB!$C:$AT,MATCH(E2502,PDB!$B:$B,0),MATCH(YEAR(K2502),0+PDB!$C$1:$AT$1,0)),"")</f>
        <v>6.08</v>
      </c>
      <c r="I2502" s="36">
        <v>50</v>
      </c>
      <c r="J2502" s="125">
        <f>IFERROR(Table1[[#This Row],[Quantity]]*Table1[[#This Row],[Price/Unit
EUR]]," ")</f>
        <v>304</v>
      </c>
      <c r="K2502" s="126">
        <v>45435</v>
      </c>
      <c r="L2502" s="36">
        <f>WEEKNUM(Table1[[#This Row],[ETA
As requested
dd.mm.yyyy]])</f>
        <v>21</v>
      </c>
      <c r="M2502" s="36">
        <f>YEAR(Table1[[#This Row],[ETA
As requested
dd.mm.yyyy]])</f>
        <v>2024</v>
      </c>
      <c r="N2502" s="36">
        <f>IFERROR(INDEX(DATABASE_FG!$H$5:$H$367, MATCH(E2502, DATABASE_FG!$C$5:$C$367, 0)), " ")</f>
        <v>0</v>
      </c>
      <c r="O2502" s="129" t="str">
        <f>IF(E2502&lt;&gt;"", _xlfn.XLOOKUP(E2502, DATABASE_FG!C:C, DATABASE_FG!F:F), " ")</f>
        <v>Ghidaje</v>
      </c>
      <c r="P2502" s="36">
        <f>IFERROR(INDEX(DATABASE_FG!$G$5:$G$367, MATCH(E2502, DATABASE_FG!$C$5:$C$367, 0)), "Not Found")</f>
        <v>0</v>
      </c>
      <c r="Q2502" s="36"/>
      <c r="R2502" s="125" t="s">
        <v>678</v>
      </c>
      <c r="S2502" s="123">
        <f>IFERROR(INDEX(DATABASE_FG!$L$5:$L$367, MATCH(E2502, DATABASE_FG!$C$5:$C$367, 0)), " ")</f>
        <v>42</v>
      </c>
      <c r="T2502" s="36" t="s">
        <v>679</v>
      </c>
      <c r="U2502" s="36"/>
      <c r="V2502" s="36"/>
      <c r="W2502" s="129"/>
      <c r="X2502" s="36"/>
      <c r="Y2502" s="36"/>
      <c r="Z2502" s="36" t="s">
        <v>1543</v>
      </c>
      <c r="AA2502" s="125" t="s">
        <v>121</v>
      </c>
      <c r="AB2502" s="172">
        <v>45434</v>
      </c>
      <c r="AC2502" s="119">
        <v>2024526</v>
      </c>
      <c r="AD2502" s="36">
        <f t="shared" si="273"/>
        <v>36636013</v>
      </c>
      <c r="AE2502" s="36" t="str">
        <f t="shared" si="274"/>
        <v>TK.KWVE30-B-A-SL-0038-WW1</v>
      </c>
      <c r="AF2502" s="36">
        <v>50</v>
      </c>
      <c r="AG2502" s="120">
        <f t="shared" si="277"/>
        <v>304</v>
      </c>
      <c r="AH2502" s="36"/>
      <c r="AI2502" s="124"/>
      <c r="AJ2502" s="122" t="s">
        <v>1544</v>
      </c>
      <c r="AK2502" s="129" t="str">
        <f t="shared" ca="1" si="276"/>
        <v>On Time</v>
      </c>
      <c r="AL2502" s="268" t="str">
        <f t="shared" si="275"/>
        <v>May</v>
      </c>
      <c r="AM2502" s="133">
        <f>YEAR(Table1[[#This Row],[ETA
As requested
dd.mm.yyyy]])</f>
        <v>2024</v>
      </c>
    </row>
    <row r="2503" spans="1:39" hidden="1">
      <c r="A2503" s="123" t="s">
        <v>83</v>
      </c>
      <c r="B2503" s="36" t="s">
        <v>1170</v>
      </c>
      <c r="C2503" s="117">
        <v>36636016</v>
      </c>
      <c r="D2503" s="165">
        <v>45400</v>
      </c>
      <c r="E2503" s="117" t="s">
        <v>103</v>
      </c>
      <c r="F2503" s="36" t="str">
        <f>IFERROR(VLOOKUP(Table1[[#This Row],[Part Number]],DATABASE_FG!$C$6:D12492,2,FALSE)," ")</f>
        <v>080817246-8011</v>
      </c>
      <c r="G2503" s="117">
        <f>IFERROR(_xlfn.XLOOKUP(Table1[[#This Row],[Part Number]],Table3[Part number],Table3[Drawing
 Revision]),"")</f>
        <v>0</v>
      </c>
      <c r="H2503" s="118" cm="1">
        <f t="array" ref="H2503">IFERROR(INDEX(PDB!$C:$AT,MATCH(E2503,PDB!$B:$B,0),MATCH(YEAR(K2503),0+PDB!$C$1:$AT$1,0)),"")</f>
        <v>6.08</v>
      </c>
      <c r="I2503" s="36">
        <v>50</v>
      </c>
      <c r="J2503" s="125">
        <f>IFERROR(Table1[[#This Row],[Quantity]]*Table1[[#This Row],[Price/Unit
EUR]]," ")</f>
        <v>304</v>
      </c>
      <c r="K2503" s="126">
        <v>45440</v>
      </c>
      <c r="L2503" s="36">
        <f>WEEKNUM(Table1[[#This Row],[ETA
As requested
dd.mm.yyyy]])</f>
        <v>22</v>
      </c>
      <c r="M2503" s="36">
        <f>YEAR(Table1[[#This Row],[ETA
As requested
dd.mm.yyyy]])</f>
        <v>2024</v>
      </c>
      <c r="N2503" s="36">
        <f>IFERROR(INDEX(DATABASE_FG!$H$5:$H$367, MATCH(E2503, DATABASE_FG!$C$5:$C$367, 0)), " ")</f>
        <v>0</v>
      </c>
      <c r="O2503" s="129" t="str">
        <f>IF(E2503&lt;&gt;"", _xlfn.XLOOKUP(E2503, DATABASE_FG!C:C, DATABASE_FG!F:F), " ")</f>
        <v>Ghidaje</v>
      </c>
      <c r="P2503" s="36">
        <f>IFERROR(INDEX(DATABASE_FG!$G$5:$G$367, MATCH(E2503, DATABASE_FG!$C$5:$C$367, 0)), "Not Found")</f>
        <v>0</v>
      </c>
      <c r="Q2503" s="36"/>
      <c r="R2503" s="125" t="s">
        <v>678</v>
      </c>
      <c r="S2503" s="123">
        <f>IFERROR(INDEX(DATABASE_FG!$L$5:$L$367, MATCH(E2503, DATABASE_FG!$C$5:$C$367, 0)), " ")</f>
        <v>42</v>
      </c>
      <c r="T2503" s="36" t="s">
        <v>679</v>
      </c>
      <c r="U2503" s="36"/>
      <c r="V2503" s="36"/>
      <c r="W2503" s="129"/>
      <c r="X2503" s="36"/>
      <c r="Y2503" s="36"/>
      <c r="Z2503" s="36">
        <v>242110</v>
      </c>
      <c r="AA2503" s="125" t="s">
        <v>121</v>
      </c>
      <c r="AB2503" s="172">
        <v>45434</v>
      </c>
      <c r="AC2503" s="119">
        <v>2024527</v>
      </c>
      <c r="AD2503" s="36">
        <f t="shared" si="273"/>
        <v>36636016</v>
      </c>
      <c r="AE2503" s="36" t="str">
        <f t="shared" si="274"/>
        <v>TK.KWVE30-B-A-SL-0038-WW1</v>
      </c>
      <c r="AF2503" s="36">
        <v>10</v>
      </c>
      <c r="AG2503" s="120">
        <f t="shared" si="277"/>
        <v>60.8</v>
      </c>
      <c r="AH2503" s="36"/>
      <c r="AI2503" s="124"/>
      <c r="AJ2503" s="122" t="s">
        <v>1570</v>
      </c>
      <c r="AK2503" s="129" t="str">
        <f t="shared" ca="1" si="276"/>
        <v>On Time</v>
      </c>
      <c r="AL2503" s="268" t="str">
        <f t="shared" si="275"/>
        <v>May</v>
      </c>
      <c r="AM2503" s="133">
        <f>YEAR(Table1[[#This Row],[ETA
As requested
dd.mm.yyyy]])</f>
        <v>2024</v>
      </c>
    </row>
    <row r="2504" spans="1:39" hidden="1">
      <c r="A2504" s="123" t="s">
        <v>83</v>
      </c>
      <c r="B2504" s="36" t="s">
        <v>1170</v>
      </c>
      <c r="C2504" s="117">
        <v>36636016</v>
      </c>
      <c r="D2504" s="165">
        <v>45400</v>
      </c>
      <c r="E2504" s="117" t="s">
        <v>103</v>
      </c>
      <c r="F2504" s="36" t="str">
        <f>IFERROR(VLOOKUP(Table1[[#This Row],[Part Number]],DATABASE_FG!$C$6:D12493,2,FALSE)," ")</f>
        <v>080817246-8011</v>
      </c>
      <c r="G2504" s="117">
        <f>IFERROR(_xlfn.XLOOKUP(Table1[[#This Row],[Part Number]],Table3[Part number],Table3[Drawing
 Revision]),"")</f>
        <v>0</v>
      </c>
      <c r="H2504" s="118" cm="1">
        <f t="array" ref="H2504">IFERROR(INDEX(PDB!$C:$AT,MATCH(E2504,PDB!$B:$B,0),MATCH(YEAR(K2504),0+PDB!$C$1:$AT$1,0)),"")</f>
        <v>6.08</v>
      </c>
      <c r="I2504" s="36">
        <v>0</v>
      </c>
      <c r="J2504" s="125">
        <f>IFERROR(Table1[[#This Row],[Quantity]]*Table1[[#This Row],[Price/Unit
EUR]]," ")</f>
        <v>0</v>
      </c>
      <c r="K2504" s="126">
        <v>45440</v>
      </c>
      <c r="L2504" s="36">
        <f>WEEKNUM(Table1[[#This Row],[ETA
As requested
dd.mm.yyyy]])</f>
        <v>22</v>
      </c>
      <c r="M2504" s="36">
        <f>YEAR(Table1[[#This Row],[ETA
As requested
dd.mm.yyyy]])</f>
        <v>2024</v>
      </c>
      <c r="N2504" s="36">
        <f>IFERROR(INDEX(DATABASE_FG!$H$5:$H$367, MATCH(E2504, DATABASE_FG!$C$5:$C$367, 0)), " ")</f>
        <v>0</v>
      </c>
      <c r="O2504" s="129" t="str">
        <f>IF(E2504&lt;&gt;"", _xlfn.XLOOKUP(E2504, DATABASE_FG!C:C, DATABASE_FG!F:F), " ")</f>
        <v>Ghidaje</v>
      </c>
      <c r="P2504" s="36">
        <f>IFERROR(INDEX(DATABASE_FG!$G$5:$G$367, MATCH(E2504, DATABASE_FG!$C$5:$C$367, 0)), "Not Found")</f>
        <v>0</v>
      </c>
      <c r="Q2504" s="36"/>
      <c r="R2504" s="125" t="s">
        <v>678</v>
      </c>
      <c r="S2504" s="123">
        <f>IFERROR(INDEX(DATABASE_FG!$L$5:$L$367, MATCH(E2504, DATABASE_FG!$C$5:$C$367, 0)), " ")</f>
        <v>42</v>
      </c>
      <c r="T2504" s="36" t="s">
        <v>679</v>
      </c>
      <c r="U2504" s="36"/>
      <c r="V2504" s="36"/>
      <c r="W2504" s="129"/>
      <c r="X2504" s="36"/>
      <c r="Y2504" s="36"/>
      <c r="Z2504" s="36"/>
      <c r="AA2504" s="125" t="s">
        <v>121</v>
      </c>
      <c r="AB2504" s="172">
        <v>45435</v>
      </c>
      <c r="AC2504" s="119">
        <v>2024531</v>
      </c>
      <c r="AD2504" s="36">
        <f t="shared" si="273"/>
        <v>36636016</v>
      </c>
      <c r="AE2504" s="36" t="str">
        <f t="shared" si="274"/>
        <v>TK.KWVE30-B-A-SL-0038-WW1</v>
      </c>
      <c r="AF2504" s="36">
        <v>40</v>
      </c>
      <c r="AG2504" s="120">
        <f t="shared" si="277"/>
        <v>243.2</v>
      </c>
      <c r="AH2504" s="36"/>
      <c r="AI2504" s="124"/>
      <c r="AJ2504" s="122" t="s">
        <v>1571</v>
      </c>
      <c r="AK2504" s="129" t="str">
        <f t="shared" ca="1" si="276"/>
        <v>On Time</v>
      </c>
      <c r="AL2504" s="268" t="str">
        <f t="shared" si="275"/>
        <v>May</v>
      </c>
      <c r="AM2504" s="133">
        <f>YEAR(Table1[[#This Row],[ETA
As requested
dd.mm.yyyy]])</f>
        <v>2024</v>
      </c>
    </row>
    <row r="2505" spans="1:39" hidden="1">
      <c r="A2505" s="123" t="s">
        <v>83</v>
      </c>
      <c r="B2505" s="36" t="s">
        <v>1170</v>
      </c>
      <c r="C2505" s="117">
        <v>36861707</v>
      </c>
      <c r="D2505" s="165">
        <v>45440</v>
      </c>
      <c r="E2505" s="117" t="s">
        <v>103</v>
      </c>
      <c r="F2505" s="36" t="str">
        <f>IFERROR(VLOOKUP(Table1[[#This Row],[Part Number]],DATABASE_FG!$C$6:D12494,2,FALSE)," ")</f>
        <v>080817246-8011</v>
      </c>
      <c r="G2505" s="117">
        <f>IFERROR(_xlfn.XLOOKUP(Table1[[#This Row],[Part Number]],Table3[Part number],Table3[Drawing
 Revision]),"")</f>
        <v>0</v>
      </c>
      <c r="H2505" s="118" cm="1">
        <f t="array" ref="H2505">IFERROR(INDEX(PDB!$C:$AT,MATCH(E2505,PDB!$B:$B,0),MATCH(YEAR(K2505),0+PDB!$C$1:$AT$1,0)),"")</f>
        <v>6.08</v>
      </c>
      <c r="I2505" s="36">
        <v>100</v>
      </c>
      <c r="J2505" s="125">
        <f>IFERROR(Table1[[#This Row],[Quantity]]*Table1[[#This Row],[Price/Unit
EUR]]," ")</f>
        <v>608</v>
      </c>
      <c r="K2505" s="126">
        <v>45447</v>
      </c>
      <c r="L2505" s="36">
        <f>WEEKNUM(Table1[[#This Row],[ETA
As requested
dd.mm.yyyy]])</f>
        <v>23</v>
      </c>
      <c r="M2505" s="36">
        <f>YEAR(Table1[[#This Row],[ETA
As requested
dd.mm.yyyy]])</f>
        <v>2024</v>
      </c>
      <c r="N2505" s="36">
        <f>IFERROR(INDEX(DATABASE_FG!$H$5:$H$367, MATCH(E2505, DATABASE_FG!$C$5:$C$367, 0)), " ")</f>
        <v>0</v>
      </c>
      <c r="O2505" s="129" t="str">
        <f>IF(E2505&lt;&gt;"", _xlfn.XLOOKUP(E2505, DATABASE_FG!C:C, DATABASE_FG!F:F), " ")</f>
        <v>Ghidaje</v>
      </c>
      <c r="P2505" s="36">
        <f>IFERROR(INDEX(DATABASE_FG!$G$5:$G$367, MATCH(E2505, DATABASE_FG!$C$5:$C$367, 0)), "Not Found")</f>
        <v>0</v>
      </c>
      <c r="Q2505" s="36"/>
      <c r="R2505" s="125" t="s">
        <v>678</v>
      </c>
      <c r="S2505" s="123">
        <f>IFERROR(INDEX(DATABASE_FG!$L$5:$L$367, MATCH(E2505, DATABASE_FG!$C$5:$C$367, 0)), " ")</f>
        <v>42</v>
      </c>
      <c r="T2505" s="36" t="s">
        <v>679</v>
      </c>
      <c r="U2505" s="36"/>
      <c r="V2505" s="36"/>
      <c r="W2505" s="129"/>
      <c r="X2505" s="36"/>
      <c r="Y2505" s="36"/>
      <c r="Z2505" s="36">
        <v>242402</v>
      </c>
      <c r="AA2505" s="125" t="s">
        <v>121</v>
      </c>
      <c r="AB2505" s="172">
        <v>45462</v>
      </c>
      <c r="AC2505" s="119">
        <v>2024686</v>
      </c>
      <c r="AD2505" s="36">
        <f t="shared" si="273"/>
        <v>36861707</v>
      </c>
      <c r="AE2505" s="36" t="str">
        <f t="shared" si="274"/>
        <v>TK.KWVE30-B-A-SL-0038-WW1</v>
      </c>
      <c r="AF2505" s="36">
        <v>100</v>
      </c>
      <c r="AG2505" s="120">
        <f t="shared" si="277"/>
        <v>608</v>
      </c>
      <c r="AH2505" s="36"/>
      <c r="AI2505" s="124"/>
      <c r="AJ2505" s="122" t="s">
        <v>1617</v>
      </c>
      <c r="AK2505" s="129" t="str">
        <f t="shared" ca="1" si="276"/>
        <v>Late</v>
      </c>
      <c r="AL2505" s="268" t="str">
        <f t="shared" si="275"/>
        <v>June</v>
      </c>
      <c r="AM2505" s="133">
        <f>YEAR(Table1[[#This Row],[ETA
As requested
dd.mm.yyyy]])</f>
        <v>2024</v>
      </c>
    </row>
    <row r="2506" spans="1:39" hidden="1">
      <c r="A2506" s="123" t="s">
        <v>83</v>
      </c>
      <c r="B2506" s="36" t="s">
        <v>1170</v>
      </c>
      <c r="C2506" s="117">
        <v>36861707</v>
      </c>
      <c r="D2506" s="165">
        <v>45440</v>
      </c>
      <c r="E2506" s="117" t="s">
        <v>103</v>
      </c>
      <c r="F2506" s="36" t="str">
        <f>IFERROR(VLOOKUP(Table1[[#This Row],[Part Number]],DATABASE_FG!$C$6:D12495,2,FALSE)," ")</f>
        <v>080817246-8011</v>
      </c>
      <c r="G2506" s="117">
        <f>IFERROR(_xlfn.XLOOKUP(Table1[[#This Row],[Part Number]],Table3[Part number],Table3[Drawing
 Revision]),"")</f>
        <v>0</v>
      </c>
      <c r="H2506" s="118" cm="1">
        <f t="array" ref="H2506">IFERROR(INDEX(PDB!$C:$AT,MATCH(E2506,PDB!$B:$B,0),MATCH(YEAR(K2506),0+PDB!$C$1:$AT$1,0)),"")</f>
        <v>6.08</v>
      </c>
      <c r="I2506" s="36">
        <v>100</v>
      </c>
      <c r="J2506" s="125">
        <f>IFERROR(Table1[[#This Row],[Quantity]]*Table1[[#This Row],[Price/Unit
EUR]]," ")</f>
        <v>608</v>
      </c>
      <c r="K2506" s="126">
        <v>45449</v>
      </c>
      <c r="L2506" s="36">
        <f>WEEKNUM(Table1[[#This Row],[ETA
As requested
dd.mm.yyyy]])</f>
        <v>23</v>
      </c>
      <c r="M2506" s="36">
        <f>YEAR(Table1[[#This Row],[ETA
As requested
dd.mm.yyyy]])</f>
        <v>2024</v>
      </c>
      <c r="N2506" s="36">
        <f>IFERROR(INDEX(DATABASE_FG!$H$5:$H$367, MATCH(E2506, DATABASE_FG!$C$5:$C$367, 0)), " ")</f>
        <v>0</v>
      </c>
      <c r="O2506" s="129" t="str">
        <f>IF(E2506&lt;&gt;"", _xlfn.XLOOKUP(E2506, DATABASE_FG!C:C, DATABASE_FG!F:F), " ")</f>
        <v>Ghidaje</v>
      </c>
      <c r="P2506" s="36">
        <f>IFERROR(INDEX(DATABASE_FG!$G$5:$G$367, MATCH(E2506, DATABASE_FG!$C$5:$C$367, 0)), "Not Found")</f>
        <v>0</v>
      </c>
      <c r="Q2506" s="36"/>
      <c r="R2506" s="125" t="s">
        <v>678</v>
      </c>
      <c r="S2506" s="123">
        <f>IFERROR(INDEX(DATABASE_FG!$L$5:$L$367, MATCH(E2506, DATABASE_FG!$C$5:$C$367, 0)), " ")</f>
        <v>42</v>
      </c>
      <c r="T2506" s="36" t="s">
        <v>679</v>
      </c>
      <c r="U2506" s="36"/>
      <c r="V2506" s="36"/>
      <c r="W2506" s="129"/>
      <c r="X2506" s="36"/>
      <c r="Y2506" s="36"/>
      <c r="Z2506" s="36">
        <v>242402</v>
      </c>
      <c r="AA2506" s="125" t="s">
        <v>121</v>
      </c>
      <c r="AB2506" s="172">
        <v>45462</v>
      </c>
      <c r="AC2506" s="119">
        <v>2024686</v>
      </c>
      <c r="AD2506" s="36">
        <f t="shared" si="273"/>
        <v>36861707</v>
      </c>
      <c r="AE2506" s="36" t="str">
        <f t="shared" si="274"/>
        <v>TK.KWVE30-B-A-SL-0038-WW1</v>
      </c>
      <c r="AF2506" s="36">
        <v>21</v>
      </c>
      <c r="AG2506" s="120">
        <f t="shared" si="277"/>
        <v>127.68</v>
      </c>
      <c r="AH2506" s="36"/>
      <c r="AI2506" s="124"/>
      <c r="AJ2506" s="122" t="s">
        <v>1617</v>
      </c>
      <c r="AK2506" s="129" t="str">
        <f t="shared" ca="1" si="276"/>
        <v>Late</v>
      </c>
      <c r="AL2506" s="268" t="str">
        <f t="shared" si="275"/>
        <v>June</v>
      </c>
      <c r="AM2506" s="133">
        <f>YEAR(Table1[[#This Row],[ETA
As requested
dd.mm.yyyy]])</f>
        <v>2024</v>
      </c>
    </row>
    <row r="2507" spans="1:39" hidden="1">
      <c r="A2507" s="123" t="s">
        <v>83</v>
      </c>
      <c r="B2507" s="36" t="s">
        <v>1170</v>
      </c>
      <c r="C2507" s="117">
        <v>36861707</v>
      </c>
      <c r="D2507" s="165">
        <v>45440</v>
      </c>
      <c r="E2507" s="117" t="s">
        <v>103</v>
      </c>
      <c r="F2507" s="36" t="str">
        <f>IFERROR(VLOOKUP(Table1[[#This Row],[Part Number]],DATABASE_FG!$C$6:D12496,2,FALSE)," ")</f>
        <v>080817246-8011</v>
      </c>
      <c r="G2507" s="117">
        <f>IFERROR(_xlfn.XLOOKUP(Table1[[#This Row],[Part Number]],Table3[Part number],Table3[Drawing
 Revision]),"")</f>
        <v>0</v>
      </c>
      <c r="H2507" s="118" cm="1">
        <f t="array" ref="H2507">IFERROR(INDEX(PDB!$C:$AT,MATCH(E2507,PDB!$B:$B,0),MATCH(YEAR(K2507),0+PDB!$C$1:$AT$1,0)),"")</f>
        <v>6.08</v>
      </c>
      <c r="I2507" s="36">
        <v>0</v>
      </c>
      <c r="J2507" s="125">
        <f>IFERROR(Table1[[#This Row],[Quantity]]*Table1[[#This Row],[Price/Unit
EUR]]," ")</f>
        <v>0</v>
      </c>
      <c r="K2507" s="126">
        <v>45449</v>
      </c>
      <c r="L2507" s="36">
        <f>WEEKNUM(Table1[[#This Row],[ETA
As requested
dd.mm.yyyy]])</f>
        <v>23</v>
      </c>
      <c r="M2507" s="36">
        <f>YEAR(Table1[[#This Row],[ETA
As requested
dd.mm.yyyy]])</f>
        <v>2024</v>
      </c>
      <c r="N2507" s="36">
        <f>IFERROR(INDEX(DATABASE_FG!$H$5:$H$367, MATCH(E2507, DATABASE_FG!$C$5:$C$367, 0)), " ")</f>
        <v>0</v>
      </c>
      <c r="O2507" s="129" t="str">
        <f>IF(E2507&lt;&gt;"", _xlfn.XLOOKUP(E2507, DATABASE_FG!C:C, DATABASE_FG!F:F), " ")</f>
        <v>Ghidaje</v>
      </c>
      <c r="P2507" s="36">
        <f>IFERROR(INDEX(DATABASE_FG!$G$5:$G$367, MATCH(E2507, DATABASE_FG!$C$5:$C$367, 0)), "Not Found")</f>
        <v>0</v>
      </c>
      <c r="Q2507" s="36"/>
      <c r="R2507" s="125" t="s">
        <v>678</v>
      </c>
      <c r="S2507" s="123">
        <f>Table1[[#This Row],[Quantity]]/48</f>
        <v>0</v>
      </c>
      <c r="T2507" s="36" t="s">
        <v>679</v>
      </c>
      <c r="U2507" s="36"/>
      <c r="V2507" s="36"/>
      <c r="W2507" s="129"/>
      <c r="X2507" s="36"/>
      <c r="Y2507" s="36"/>
      <c r="Z2507" s="36"/>
      <c r="AA2507" s="125" t="s">
        <v>121</v>
      </c>
      <c r="AB2507" s="172">
        <v>45462</v>
      </c>
      <c r="AC2507" s="119">
        <v>2024696</v>
      </c>
      <c r="AD2507" s="36">
        <f t="shared" si="273"/>
        <v>36861707</v>
      </c>
      <c r="AE2507" s="36" t="str">
        <f t="shared" si="274"/>
        <v>TK.KWVE30-B-A-SL-0038-WW1</v>
      </c>
      <c r="AF2507" s="36">
        <v>67</v>
      </c>
      <c r="AG2507" s="120">
        <f t="shared" si="277"/>
        <v>407.36</v>
      </c>
      <c r="AH2507" s="36"/>
      <c r="AI2507" s="124"/>
      <c r="AJ2507" s="122" t="s">
        <v>1634</v>
      </c>
      <c r="AK2507" s="129" t="str">
        <f t="shared" ca="1" si="276"/>
        <v>Late</v>
      </c>
      <c r="AL2507" s="268" t="str">
        <f t="shared" si="275"/>
        <v>June</v>
      </c>
      <c r="AM2507" s="133">
        <f>YEAR(Table1[[#This Row],[ETA
As requested
dd.mm.yyyy]])</f>
        <v>2024</v>
      </c>
    </row>
    <row r="2508" spans="1:39" hidden="1">
      <c r="A2508" s="123" t="s">
        <v>83</v>
      </c>
      <c r="B2508" s="36" t="s">
        <v>1635</v>
      </c>
      <c r="C2508" s="117">
        <v>36861707</v>
      </c>
      <c r="D2508" s="165">
        <v>45440</v>
      </c>
      <c r="E2508" s="117" t="s">
        <v>103</v>
      </c>
      <c r="F2508" s="36" t="str">
        <f>IFERROR(VLOOKUP(Table1[[#This Row],[Part Number]],DATABASE_FG!$C$6:D12497,2,FALSE)," ")</f>
        <v>080817246-8011</v>
      </c>
      <c r="G2508" s="117">
        <f>IFERROR(_xlfn.XLOOKUP(Table1[[#This Row],[Part Number]],Table3[Part number],Table3[Drawing
 Revision]),"")</f>
        <v>0</v>
      </c>
      <c r="H2508" s="118" cm="1">
        <f t="array" ref="H2508">IFERROR(INDEX(PDB!$C:$AT,MATCH(E2508,PDB!$B:$B,0),MATCH(YEAR(K2508),0+PDB!$C$1:$AT$1,0)),"")</f>
        <v>6.08</v>
      </c>
      <c r="I2508" s="36">
        <v>0</v>
      </c>
      <c r="J2508" s="125">
        <f>IFERROR(Table1[[#This Row],[Quantity]]*Table1[[#This Row],[Price/Unit
EUR]]," ")</f>
        <v>0</v>
      </c>
      <c r="K2508" s="126">
        <v>45449</v>
      </c>
      <c r="L2508" s="36">
        <f>WEEKNUM(Table1[[#This Row],[ETA
As requested
dd.mm.yyyy]])</f>
        <v>23</v>
      </c>
      <c r="M2508" s="36">
        <f>YEAR(Table1[[#This Row],[ETA
As requested
dd.mm.yyyy]])</f>
        <v>2024</v>
      </c>
      <c r="N2508" s="36">
        <f>IFERROR(INDEX(DATABASE_FG!$H$5:$H$367, MATCH(E2508, DATABASE_FG!$C$5:$C$367, 0)), " ")</f>
        <v>0</v>
      </c>
      <c r="O2508" s="129" t="str">
        <f>IF(E2508&lt;&gt;"", _xlfn.XLOOKUP(E2508, DATABASE_FG!C:C, DATABASE_FG!F:F), " ")</f>
        <v>Ghidaje</v>
      </c>
      <c r="P2508" s="36">
        <f>IFERROR(INDEX(DATABASE_FG!$G$5:$G$367, MATCH(E2508, DATABASE_FG!$C$5:$C$367, 0)), "Not Found")</f>
        <v>0</v>
      </c>
      <c r="Q2508" s="36"/>
      <c r="R2508" s="125" t="s">
        <v>678</v>
      </c>
      <c r="S2508" s="123">
        <f>Table1[[#This Row],[Quantity]]/48</f>
        <v>0</v>
      </c>
      <c r="T2508" s="36" t="s">
        <v>679</v>
      </c>
      <c r="U2508" s="36"/>
      <c r="V2508" s="36"/>
      <c r="W2508" s="129"/>
      <c r="X2508" s="36"/>
      <c r="Y2508" s="36"/>
      <c r="Z2508" s="36"/>
      <c r="AA2508" s="125" t="s">
        <v>121</v>
      </c>
      <c r="AB2508" s="172">
        <v>45464</v>
      </c>
      <c r="AC2508" s="119">
        <v>2024711</v>
      </c>
      <c r="AD2508" s="36">
        <f t="shared" si="273"/>
        <v>36861707</v>
      </c>
      <c r="AE2508" s="36" t="str">
        <f t="shared" si="274"/>
        <v>TK.KWVE30-B-A-SL-0038-WW1</v>
      </c>
      <c r="AF2508" s="36">
        <v>12</v>
      </c>
      <c r="AG2508" s="120">
        <f t="shared" si="277"/>
        <v>72.960000000000008</v>
      </c>
      <c r="AH2508" s="36"/>
      <c r="AI2508" s="124"/>
      <c r="AJ2508" s="122" t="s">
        <v>1636</v>
      </c>
      <c r="AK2508" s="129" t="str">
        <f t="shared" ca="1" si="276"/>
        <v>Late</v>
      </c>
      <c r="AL2508" s="268" t="str">
        <f t="shared" si="275"/>
        <v>June</v>
      </c>
      <c r="AM2508" s="133">
        <f>YEAR(Table1[[#This Row],[ETA
As requested
dd.mm.yyyy]])</f>
        <v>2024</v>
      </c>
    </row>
    <row r="2509" spans="1:39" hidden="1">
      <c r="A2509" s="123" t="s">
        <v>83</v>
      </c>
      <c r="B2509" s="36" t="s">
        <v>1170</v>
      </c>
      <c r="C2509" s="117">
        <v>36861715</v>
      </c>
      <c r="D2509" s="165">
        <v>45440</v>
      </c>
      <c r="E2509" s="117" t="s">
        <v>103</v>
      </c>
      <c r="F2509" s="36" t="str">
        <f>IFERROR(VLOOKUP(Table1[[#This Row],[Part Number]],DATABASE_FG!$C$6:D12498,2,FALSE)," ")</f>
        <v>080817246-8011</v>
      </c>
      <c r="G2509" s="117">
        <f>IFERROR(_xlfn.XLOOKUP(Table1[[#This Row],[Part Number]],Table3[Part number],Table3[Drawing
 Revision]),"")</f>
        <v>0</v>
      </c>
      <c r="H2509" s="118" cm="1">
        <f t="array" ref="H2509">IFERROR(INDEX(PDB!$C:$AT,MATCH(E2509,PDB!$B:$B,0),MATCH(YEAR(K2509),0+PDB!$C$1:$AT$1,0)),"")</f>
        <v>6.08</v>
      </c>
      <c r="I2509" s="36">
        <v>50</v>
      </c>
      <c r="J2509" s="125">
        <f>IFERROR(Table1[[#This Row],[Quantity]]*Table1[[#This Row],[Price/Unit
EUR]]," ")</f>
        <v>304</v>
      </c>
      <c r="K2509" s="126">
        <v>45454</v>
      </c>
      <c r="L2509" s="36">
        <f>WEEKNUM(Table1[[#This Row],[ETA
As requested
dd.mm.yyyy]])</f>
        <v>24</v>
      </c>
      <c r="M2509" s="36">
        <f>YEAR(Table1[[#This Row],[ETA
As requested
dd.mm.yyyy]])</f>
        <v>2024</v>
      </c>
      <c r="N2509" s="36">
        <f>IFERROR(INDEX(DATABASE_FG!$H$5:$H$367, MATCH(E2509, DATABASE_FG!$C$5:$C$367, 0)), " ")</f>
        <v>0</v>
      </c>
      <c r="O2509" s="129" t="str">
        <f>IF(E2509&lt;&gt;"", _xlfn.XLOOKUP(E2509, DATABASE_FG!C:C, DATABASE_FG!F:F), " ")</f>
        <v>Ghidaje</v>
      </c>
      <c r="P2509" s="36">
        <f>IFERROR(INDEX(DATABASE_FG!$G$5:$G$367, MATCH(E2509, DATABASE_FG!$C$5:$C$367, 0)), "Not Found")</f>
        <v>0</v>
      </c>
      <c r="Q2509" s="36"/>
      <c r="R2509" s="125" t="s">
        <v>678</v>
      </c>
      <c r="S2509" s="123">
        <f>IFERROR(INDEX(DATABASE_FG!$L$5:$L$367, MATCH(E2509, DATABASE_FG!$C$5:$C$367, 0)), " ")</f>
        <v>42</v>
      </c>
      <c r="T2509" s="36" t="s">
        <v>679</v>
      </c>
      <c r="U2509" s="36"/>
      <c r="V2509" s="36"/>
      <c r="W2509" s="129"/>
      <c r="X2509" s="36"/>
      <c r="Y2509" s="36"/>
      <c r="Z2509" s="36">
        <v>242402</v>
      </c>
      <c r="AA2509" s="125" t="s">
        <v>121</v>
      </c>
      <c r="AB2509" s="172">
        <v>45464</v>
      </c>
      <c r="AC2509" s="119">
        <v>2024712</v>
      </c>
      <c r="AD2509" s="36">
        <f t="shared" si="273"/>
        <v>36861715</v>
      </c>
      <c r="AE2509" s="36" t="str">
        <f t="shared" si="274"/>
        <v>TK.KWVE30-B-A-SL-0038-WW1</v>
      </c>
      <c r="AF2509" s="36">
        <v>50</v>
      </c>
      <c r="AG2509" s="120">
        <f t="shared" si="277"/>
        <v>304</v>
      </c>
      <c r="AH2509" s="36"/>
      <c r="AI2509" s="124"/>
      <c r="AJ2509" s="122" t="s">
        <v>1655</v>
      </c>
      <c r="AK2509" s="129" t="str">
        <f t="shared" ca="1" si="276"/>
        <v>Late</v>
      </c>
      <c r="AL2509" s="268" t="str">
        <f t="shared" si="275"/>
        <v>June</v>
      </c>
      <c r="AM2509" s="133">
        <f>YEAR(Table1[[#This Row],[ETA
As requested
dd.mm.yyyy]])</f>
        <v>2024</v>
      </c>
    </row>
    <row r="2510" spans="1:39" hidden="1">
      <c r="A2510" s="123" t="s">
        <v>83</v>
      </c>
      <c r="B2510" s="36" t="s">
        <v>1170</v>
      </c>
      <c r="C2510" s="117">
        <v>36861715</v>
      </c>
      <c r="D2510" s="165">
        <v>45440</v>
      </c>
      <c r="E2510" s="117" t="s">
        <v>103</v>
      </c>
      <c r="F2510" s="36" t="str">
        <f>IFERROR(VLOOKUP(Table1[[#This Row],[Part Number]],DATABASE_FG!$C$6:D12499,2,FALSE)," ")</f>
        <v>080817246-8011</v>
      </c>
      <c r="G2510" s="117">
        <f>IFERROR(_xlfn.XLOOKUP(Table1[[#This Row],[Part Number]],Table3[Part number],Table3[Drawing
 Revision]),"")</f>
        <v>0</v>
      </c>
      <c r="H2510" s="118" cm="1">
        <f t="array" ref="H2510">IFERROR(INDEX(PDB!$C:$AT,MATCH(E2510,PDB!$B:$B,0),MATCH(YEAR(K2510),0+PDB!$C$1:$AT$1,0)),"")</f>
        <v>6.08</v>
      </c>
      <c r="I2510" s="36">
        <v>50</v>
      </c>
      <c r="J2510" s="125">
        <f>IFERROR(Table1[[#This Row],[Quantity]]*Table1[[#This Row],[Price/Unit
EUR]]," ")</f>
        <v>304</v>
      </c>
      <c r="K2510" s="126">
        <v>45456</v>
      </c>
      <c r="L2510" s="36">
        <f>WEEKNUM(Table1[[#This Row],[ETA
As requested
dd.mm.yyyy]])</f>
        <v>24</v>
      </c>
      <c r="M2510" s="36">
        <f>YEAR(Table1[[#This Row],[ETA
As requested
dd.mm.yyyy]])</f>
        <v>2024</v>
      </c>
      <c r="N2510" s="36">
        <f>IFERROR(INDEX(DATABASE_FG!$H$5:$H$367, MATCH(E2510, DATABASE_FG!$C$5:$C$367, 0)), " ")</f>
        <v>0</v>
      </c>
      <c r="O2510" s="129" t="str">
        <f>IF(E2510&lt;&gt;"", _xlfn.XLOOKUP(E2510, DATABASE_FG!C:C, DATABASE_FG!F:F), " ")</f>
        <v>Ghidaje</v>
      </c>
      <c r="P2510" s="36">
        <f>IFERROR(INDEX(DATABASE_FG!$G$5:$G$367, MATCH(E2510, DATABASE_FG!$C$5:$C$367, 0)), "Not Found")</f>
        <v>0</v>
      </c>
      <c r="Q2510" s="36"/>
      <c r="R2510" s="125" t="s">
        <v>678</v>
      </c>
      <c r="S2510" s="123">
        <f>IFERROR(INDEX(DATABASE_FG!$L$5:$L$367, MATCH(E2510, DATABASE_FG!$C$5:$C$367, 0)), " ")</f>
        <v>42</v>
      </c>
      <c r="T2510" s="36" t="s">
        <v>679</v>
      </c>
      <c r="U2510" s="36"/>
      <c r="V2510" s="36"/>
      <c r="W2510" s="129"/>
      <c r="X2510" s="36"/>
      <c r="Y2510" s="36"/>
      <c r="Z2510" s="36">
        <v>242402</v>
      </c>
      <c r="AA2510" s="125" t="s">
        <v>121</v>
      </c>
      <c r="AB2510" s="172">
        <v>45464</v>
      </c>
      <c r="AC2510" s="119">
        <v>2024712</v>
      </c>
      <c r="AD2510" s="36">
        <f t="shared" ref="AD2510:AD2573" si="278">IF(NOT(ISBLANK(AC2510)), C2510, "")</f>
        <v>36861715</v>
      </c>
      <c r="AE2510" s="36" t="str">
        <f t="shared" ref="AE2510:AE2573" si="279">IF(NOT(ISBLANK(AC2510)), E2510, "")</f>
        <v>TK.KWVE30-B-A-SL-0038-WW1</v>
      </c>
      <c r="AF2510" s="36">
        <v>41</v>
      </c>
      <c r="AG2510" s="120">
        <f t="shared" si="277"/>
        <v>249.28</v>
      </c>
      <c r="AH2510" s="36"/>
      <c r="AI2510" s="124"/>
      <c r="AJ2510" s="122" t="s">
        <v>1655</v>
      </c>
      <c r="AK2510" s="129" t="str">
        <f t="shared" ca="1" si="276"/>
        <v>Late</v>
      </c>
      <c r="AL2510" s="268" t="str">
        <f t="shared" si="275"/>
        <v>June</v>
      </c>
      <c r="AM2510" s="133">
        <f>YEAR(Table1[[#This Row],[ETA
As requested
dd.mm.yyyy]])</f>
        <v>2024</v>
      </c>
    </row>
    <row r="2511" spans="1:39" hidden="1">
      <c r="A2511" s="123" t="s">
        <v>83</v>
      </c>
      <c r="B2511" s="36" t="s">
        <v>1170</v>
      </c>
      <c r="C2511" s="117">
        <v>36861715</v>
      </c>
      <c r="D2511" s="165">
        <v>45440</v>
      </c>
      <c r="E2511" s="117" t="s">
        <v>103</v>
      </c>
      <c r="F2511" s="36" t="str">
        <f>IFERROR(VLOOKUP(Table1[[#This Row],[Part Number]],DATABASE_FG!$C$6:D12500,2,FALSE)," ")</f>
        <v>080817246-8011</v>
      </c>
      <c r="G2511" s="117">
        <f>IFERROR(_xlfn.XLOOKUP(Table1[[#This Row],[Part Number]],Table3[Part number],Table3[Drawing
 Revision]),"")</f>
        <v>0</v>
      </c>
      <c r="H2511" s="118" cm="1">
        <f t="array" ref="H2511">IFERROR(INDEX(PDB!$C:$AT,MATCH(E2511,PDB!$B:$B,0),MATCH(YEAR(K2511),0+PDB!$C$1:$AT$1,0)),"")</f>
        <v>6.08</v>
      </c>
      <c r="I2511" s="36">
        <v>0</v>
      </c>
      <c r="J2511" s="125">
        <f>IFERROR(Table1[[#This Row],[Quantity]]*Table1[[#This Row],[Price/Unit
EUR]]," ")</f>
        <v>0</v>
      </c>
      <c r="K2511" s="126">
        <v>45456</v>
      </c>
      <c r="L2511" s="36">
        <f>WEEKNUM(Table1[[#This Row],[ETA
As requested
dd.mm.yyyy]])</f>
        <v>24</v>
      </c>
      <c r="M2511" s="36">
        <f>YEAR(Table1[[#This Row],[ETA
As requested
dd.mm.yyyy]])</f>
        <v>2024</v>
      </c>
      <c r="N2511" s="36">
        <f>IFERROR(INDEX(DATABASE_FG!$H$5:$H$367, MATCH(E2511, DATABASE_FG!$C$5:$C$367, 0)), " ")</f>
        <v>0</v>
      </c>
      <c r="O2511" s="129" t="str">
        <f>IF(E2511&lt;&gt;"", _xlfn.XLOOKUP(E2511, DATABASE_FG!C:C, DATABASE_FG!F:F), " ")</f>
        <v>Ghidaje</v>
      </c>
      <c r="P2511" s="36">
        <f>IFERROR(INDEX(DATABASE_FG!$G$5:$G$367, MATCH(E2511, DATABASE_FG!$C$5:$C$367, 0)), "Not Found")</f>
        <v>0</v>
      </c>
      <c r="Q2511" s="36"/>
      <c r="R2511" s="125" t="s">
        <v>678</v>
      </c>
      <c r="S2511" s="123">
        <f>Table1[[#This Row],[Quantity]]/48</f>
        <v>0</v>
      </c>
      <c r="T2511" s="36" t="s">
        <v>679</v>
      </c>
      <c r="U2511" s="36"/>
      <c r="V2511" s="36"/>
      <c r="W2511" s="129"/>
      <c r="X2511" s="36"/>
      <c r="Y2511" s="36"/>
      <c r="Z2511" s="36"/>
      <c r="AA2511" s="125" t="s">
        <v>121</v>
      </c>
      <c r="AB2511" s="172">
        <v>45468</v>
      </c>
      <c r="AC2511" s="119">
        <v>2024717</v>
      </c>
      <c r="AD2511" s="36">
        <f t="shared" si="278"/>
        <v>36861715</v>
      </c>
      <c r="AE2511" s="36" t="str">
        <f t="shared" si="279"/>
        <v>TK.KWVE30-B-A-SL-0038-WW1</v>
      </c>
      <c r="AF2511" s="36">
        <v>9</v>
      </c>
      <c r="AG2511" s="120">
        <f t="shared" si="277"/>
        <v>54.72</v>
      </c>
      <c r="AH2511" s="36"/>
      <c r="AI2511" s="124"/>
      <c r="AJ2511" s="122" t="s">
        <v>1685</v>
      </c>
      <c r="AK2511" s="129" t="str">
        <f t="shared" ca="1" si="276"/>
        <v>Late</v>
      </c>
      <c r="AL2511" s="268" t="str">
        <f t="shared" si="275"/>
        <v>June</v>
      </c>
      <c r="AM2511" s="133">
        <f>YEAR(Table1[[#This Row],[ETA
As requested
dd.mm.yyyy]])</f>
        <v>2024</v>
      </c>
    </row>
    <row r="2512" spans="1:39" hidden="1">
      <c r="A2512" s="123" t="s">
        <v>83</v>
      </c>
      <c r="B2512" s="36" t="s">
        <v>1170</v>
      </c>
      <c r="C2512" s="117">
        <v>36861729</v>
      </c>
      <c r="D2512" s="165">
        <v>45440</v>
      </c>
      <c r="E2512" s="117" t="s">
        <v>103</v>
      </c>
      <c r="F2512" s="36" t="str">
        <f>IFERROR(VLOOKUP(Table1[[#This Row],[Part Number]],DATABASE_FG!$C$6:D12501,2,FALSE)," ")</f>
        <v>080817246-8011</v>
      </c>
      <c r="G2512" s="117">
        <f>IFERROR(_xlfn.XLOOKUP(Table1[[#This Row],[Part Number]],Table3[Part number],Table3[Drawing
 Revision]),"")</f>
        <v>0</v>
      </c>
      <c r="H2512" s="118" cm="1">
        <f t="array" ref="H2512">IFERROR(INDEX(PDB!$C:$AT,MATCH(E2512,PDB!$B:$B,0),MATCH(YEAR(K2512),0+PDB!$C$1:$AT$1,0)),"")</f>
        <v>6.08</v>
      </c>
      <c r="I2512" s="36">
        <v>75</v>
      </c>
      <c r="J2512" s="125">
        <f>IFERROR(Table1[[#This Row],[Quantity]]*Table1[[#This Row],[Price/Unit
EUR]]," ")</f>
        <v>456</v>
      </c>
      <c r="K2512" s="126">
        <v>45461</v>
      </c>
      <c r="L2512" s="36">
        <f>WEEKNUM(Table1[[#This Row],[ETA
As requested
dd.mm.yyyy]])</f>
        <v>25</v>
      </c>
      <c r="M2512" s="36">
        <f>YEAR(Table1[[#This Row],[ETA
As requested
dd.mm.yyyy]])</f>
        <v>2024</v>
      </c>
      <c r="N2512" s="36">
        <f>IFERROR(INDEX(DATABASE_FG!$H$5:$H$367, MATCH(E2512, DATABASE_FG!$C$5:$C$367, 0)), " ")</f>
        <v>0</v>
      </c>
      <c r="O2512" s="129" t="str">
        <f>IF(E2512&lt;&gt;"", _xlfn.XLOOKUP(E2512, DATABASE_FG!C:C, DATABASE_FG!F:F), " ")</f>
        <v>Ghidaje</v>
      </c>
      <c r="P2512" s="36">
        <f>IFERROR(INDEX(DATABASE_FG!$G$5:$G$367, MATCH(E2512, DATABASE_FG!$C$5:$C$367, 0)), "Not Found")</f>
        <v>0</v>
      </c>
      <c r="Q2512" s="36"/>
      <c r="R2512" s="125" t="s">
        <v>678</v>
      </c>
      <c r="S2512" s="123">
        <f>IFERROR(INDEX(DATABASE_FG!$L$5:$L$367, MATCH(E2512, DATABASE_FG!$C$5:$C$367, 0)), " ")</f>
        <v>42</v>
      </c>
      <c r="T2512" s="36" t="s">
        <v>679</v>
      </c>
      <c r="U2512" s="36"/>
      <c r="V2512" s="36"/>
      <c r="W2512" s="129"/>
      <c r="X2512" s="36"/>
      <c r="Y2512" s="36"/>
      <c r="Z2512" s="36">
        <v>242402</v>
      </c>
      <c r="AA2512" s="125" t="s">
        <v>121</v>
      </c>
      <c r="AB2512" s="172">
        <v>45468</v>
      </c>
      <c r="AC2512" s="119">
        <v>2024718</v>
      </c>
      <c r="AD2512" s="36">
        <f t="shared" si="278"/>
        <v>36861729</v>
      </c>
      <c r="AE2512" s="36" t="str">
        <f t="shared" si="279"/>
        <v>TK.KWVE30-B-A-SL-0038-WW1</v>
      </c>
      <c r="AF2512" s="36">
        <v>75</v>
      </c>
      <c r="AG2512" s="120">
        <f t="shared" si="277"/>
        <v>456</v>
      </c>
      <c r="AH2512" s="36"/>
      <c r="AI2512" s="124"/>
      <c r="AJ2512" s="122"/>
      <c r="AK2512" s="129" t="str">
        <f t="shared" ca="1" si="276"/>
        <v>Late</v>
      </c>
      <c r="AL2512" s="268" t="str">
        <f t="shared" si="275"/>
        <v>June</v>
      </c>
      <c r="AM2512" s="133">
        <f>YEAR(Table1[[#This Row],[ETA
As requested
dd.mm.yyyy]])</f>
        <v>2024</v>
      </c>
    </row>
    <row r="2513" spans="1:39" hidden="1">
      <c r="A2513" s="123" t="s">
        <v>83</v>
      </c>
      <c r="B2513" s="36" t="s">
        <v>1170</v>
      </c>
      <c r="C2513" s="117">
        <v>36861729</v>
      </c>
      <c r="D2513" s="165">
        <v>45440</v>
      </c>
      <c r="E2513" s="117" t="s">
        <v>103</v>
      </c>
      <c r="F2513" s="36" t="str">
        <f>IFERROR(VLOOKUP(Table1[[#This Row],[Part Number]],DATABASE_FG!$C$6:D12502,2,FALSE)," ")</f>
        <v>080817246-8011</v>
      </c>
      <c r="G2513" s="117">
        <f>IFERROR(_xlfn.XLOOKUP(Table1[[#This Row],[Part Number]],Table3[Part number],Table3[Drawing
 Revision]),"")</f>
        <v>0</v>
      </c>
      <c r="H2513" s="118" cm="1">
        <f t="array" ref="H2513">IFERROR(INDEX(PDB!$C:$AT,MATCH(E2513,PDB!$B:$B,0),MATCH(YEAR(K2513),0+PDB!$C$1:$AT$1,0)),"")</f>
        <v>6.08</v>
      </c>
      <c r="I2513" s="36">
        <v>75</v>
      </c>
      <c r="J2513" s="125">
        <f>IFERROR(Table1[[#This Row],[Quantity]]*Table1[[#This Row],[Price/Unit
EUR]]," ")</f>
        <v>456</v>
      </c>
      <c r="K2513" s="126">
        <v>45463</v>
      </c>
      <c r="L2513" s="36">
        <f>WEEKNUM(Table1[[#This Row],[ETA
As requested
dd.mm.yyyy]])</f>
        <v>25</v>
      </c>
      <c r="M2513" s="36">
        <f>YEAR(Table1[[#This Row],[ETA
As requested
dd.mm.yyyy]])</f>
        <v>2024</v>
      </c>
      <c r="N2513" s="36">
        <f>IFERROR(INDEX(DATABASE_FG!$H$5:$H$367, MATCH(E2513, DATABASE_FG!$C$5:$C$367, 0)), " ")</f>
        <v>0</v>
      </c>
      <c r="O2513" s="129" t="str">
        <f>IF(E2513&lt;&gt;"", _xlfn.XLOOKUP(E2513, DATABASE_FG!C:C, DATABASE_FG!F:F), " ")</f>
        <v>Ghidaje</v>
      </c>
      <c r="P2513" s="36">
        <f>IFERROR(INDEX(DATABASE_FG!$G$5:$G$367, MATCH(E2513, DATABASE_FG!$C$5:$C$367, 0)), "Not Found")</f>
        <v>0</v>
      </c>
      <c r="Q2513" s="36"/>
      <c r="R2513" s="125" t="s">
        <v>678</v>
      </c>
      <c r="S2513" s="123">
        <f>IFERROR(INDEX(DATABASE_FG!$L$5:$L$367, MATCH(E2513, DATABASE_FG!$C$5:$C$367, 0)), " ")</f>
        <v>42</v>
      </c>
      <c r="T2513" s="36" t="s">
        <v>679</v>
      </c>
      <c r="U2513" s="36"/>
      <c r="V2513" s="36"/>
      <c r="W2513" s="129"/>
      <c r="X2513" s="36"/>
      <c r="Y2513" s="36"/>
      <c r="Z2513" s="36">
        <v>242402</v>
      </c>
      <c r="AA2513" s="125" t="s">
        <v>121</v>
      </c>
      <c r="AB2513" s="172">
        <v>45468</v>
      </c>
      <c r="AC2513" s="119">
        <v>2024718</v>
      </c>
      <c r="AD2513" s="36">
        <f t="shared" si="278"/>
        <v>36861729</v>
      </c>
      <c r="AE2513" s="36" t="str">
        <f t="shared" si="279"/>
        <v>TK.KWVE30-B-A-SL-0038-WW1</v>
      </c>
      <c r="AF2513" s="36">
        <v>44</v>
      </c>
      <c r="AG2513" s="120">
        <f t="shared" si="277"/>
        <v>267.52</v>
      </c>
      <c r="AH2513" s="36"/>
      <c r="AI2513" s="124"/>
      <c r="AJ2513" s="122" t="s">
        <v>1709</v>
      </c>
      <c r="AK2513" s="129" t="str">
        <f t="shared" ca="1" si="276"/>
        <v>Late</v>
      </c>
      <c r="AL2513" s="268" t="str">
        <f t="shared" si="275"/>
        <v>June</v>
      </c>
      <c r="AM2513" s="133">
        <f>YEAR(Table1[[#This Row],[ETA
As requested
dd.mm.yyyy]])</f>
        <v>2024</v>
      </c>
    </row>
    <row r="2514" spans="1:39" hidden="1">
      <c r="A2514" s="123" t="s">
        <v>83</v>
      </c>
      <c r="B2514" s="36" t="s">
        <v>1170</v>
      </c>
      <c r="C2514" s="117">
        <v>36861729</v>
      </c>
      <c r="D2514" s="165">
        <v>45440</v>
      </c>
      <c r="E2514" s="117" t="s">
        <v>103</v>
      </c>
      <c r="F2514" s="36" t="str">
        <f>IFERROR(VLOOKUP(Table1[[#This Row],[Part Number]],DATABASE_FG!$C$6:D12503,2,FALSE)," ")</f>
        <v>080817246-8011</v>
      </c>
      <c r="G2514" s="117">
        <f>IFERROR(_xlfn.XLOOKUP(Table1[[#This Row],[Part Number]],Table3[Part number],Table3[Drawing
 Revision]),"")</f>
        <v>0</v>
      </c>
      <c r="H2514" s="118" cm="1">
        <f t="array" ref="H2514">IFERROR(INDEX(PDB!$C:$AT,MATCH(E2514,PDB!$B:$B,0),MATCH(YEAR(K2514),0+PDB!$C$1:$AT$1,0)),"")</f>
        <v>6.08</v>
      </c>
      <c r="I2514" s="36">
        <v>0</v>
      </c>
      <c r="J2514" s="125">
        <f>IFERROR(Table1[[#This Row],[Quantity]]*Table1[[#This Row],[Price/Unit
EUR]]," ")</f>
        <v>0</v>
      </c>
      <c r="K2514" s="126">
        <v>45463</v>
      </c>
      <c r="L2514" s="36">
        <f>WEEKNUM(Table1[[#This Row],[ETA
As requested
dd.mm.yyyy]])</f>
        <v>25</v>
      </c>
      <c r="M2514" s="36">
        <f>YEAR(Table1[[#This Row],[ETA
As requested
dd.mm.yyyy]])</f>
        <v>2024</v>
      </c>
      <c r="N2514" s="36">
        <f>IFERROR(INDEX(DATABASE_FG!$H$5:$H$367, MATCH(E2514, DATABASE_FG!$C$5:$C$367, 0)), " ")</f>
        <v>0</v>
      </c>
      <c r="O2514" s="129" t="str">
        <f>IF(E2514&lt;&gt;"", _xlfn.XLOOKUP(E2514, DATABASE_FG!C:C, DATABASE_FG!F:F), " ")</f>
        <v>Ghidaje</v>
      </c>
      <c r="P2514" s="36">
        <f>IFERROR(INDEX(DATABASE_FG!$G$5:$G$367, MATCH(E2514, DATABASE_FG!$C$5:$C$367, 0)), "Not Found")</f>
        <v>0</v>
      </c>
      <c r="Q2514" s="36"/>
      <c r="R2514" s="125" t="s">
        <v>678</v>
      </c>
      <c r="S2514" s="123">
        <f>Table1[[#This Row],[Quantity]]/48</f>
        <v>0</v>
      </c>
      <c r="T2514" s="36" t="s">
        <v>679</v>
      </c>
      <c r="U2514" s="36"/>
      <c r="V2514" s="36"/>
      <c r="W2514" s="129"/>
      <c r="X2514" s="36"/>
      <c r="Y2514" s="36"/>
      <c r="Z2514" s="36"/>
      <c r="AA2514" s="125" t="s">
        <v>121</v>
      </c>
      <c r="AB2514" s="172">
        <v>45469</v>
      </c>
      <c r="AC2514" s="119">
        <v>2024727</v>
      </c>
      <c r="AD2514" s="36">
        <f t="shared" si="278"/>
        <v>36861729</v>
      </c>
      <c r="AE2514" s="36" t="str">
        <f t="shared" si="279"/>
        <v>TK.KWVE30-B-A-SL-0038-WW1</v>
      </c>
      <c r="AF2514" s="36">
        <v>31</v>
      </c>
      <c r="AG2514" s="120">
        <f t="shared" si="277"/>
        <v>188.48</v>
      </c>
      <c r="AH2514" s="36"/>
      <c r="AI2514" s="124"/>
      <c r="AJ2514" s="122" t="s">
        <v>1710</v>
      </c>
      <c r="AK2514" s="129" t="str">
        <f t="shared" ca="1" si="276"/>
        <v>Late</v>
      </c>
      <c r="AL2514" s="268" t="str">
        <f t="shared" si="275"/>
        <v>June</v>
      </c>
      <c r="AM2514" s="133">
        <f>YEAR(Table1[[#This Row],[ETA
As requested
dd.mm.yyyy]])</f>
        <v>2024</v>
      </c>
    </row>
    <row r="2515" spans="1:39" hidden="1">
      <c r="A2515" s="123" t="s">
        <v>83</v>
      </c>
      <c r="B2515" s="36" t="s">
        <v>1170</v>
      </c>
      <c r="C2515" s="117">
        <v>36861741</v>
      </c>
      <c r="D2515" s="165">
        <v>45440</v>
      </c>
      <c r="E2515" s="117" t="s">
        <v>103</v>
      </c>
      <c r="F2515" s="36" t="str">
        <f>IFERROR(VLOOKUP(Table1[[#This Row],[Part Number]],DATABASE_FG!$C$6:D12504,2,FALSE)," ")</f>
        <v>080817246-8011</v>
      </c>
      <c r="G2515" s="117">
        <f>IFERROR(_xlfn.XLOOKUP(Table1[[#This Row],[Part Number]],Table3[Part number],Table3[Drawing
 Revision]),"")</f>
        <v>0</v>
      </c>
      <c r="H2515" s="118" cm="1">
        <f t="array" ref="H2515">IFERROR(INDEX(PDB!$C:$AT,MATCH(E2515,PDB!$B:$B,0),MATCH(YEAR(K2515),0+PDB!$C$1:$AT$1,0)),"")</f>
        <v>6.08</v>
      </c>
      <c r="I2515" s="36">
        <v>75</v>
      </c>
      <c r="J2515" s="125">
        <f>IFERROR(Table1[[#This Row],[Quantity]]*Table1[[#This Row],[Price/Unit
EUR]]," ")</f>
        <v>456</v>
      </c>
      <c r="K2515" s="126">
        <v>45468</v>
      </c>
      <c r="L2515" s="36">
        <f>WEEKNUM(Table1[[#This Row],[ETA
As requested
dd.mm.yyyy]])</f>
        <v>26</v>
      </c>
      <c r="M2515" s="36">
        <f>YEAR(Table1[[#This Row],[ETA
As requested
dd.mm.yyyy]])</f>
        <v>2024</v>
      </c>
      <c r="N2515" s="36">
        <f>IFERROR(INDEX(DATABASE_FG!$H$5:$H$367, MATCH(E2515, DATABASE_FG!$C$5:$C$367, 0)), " ")</f>
        <v>0</v>
      </c>
      <c r="O2515" s="129" t="str">
        <f>IF(E2515&lt;&gt;"", _xlfn.XLOOKUP(E2515, DATABASE_FG!C:C, DATABASE_FG!F:F), " ")</f>
        <v>Ghidaje</v>
      </c>
      <c r="P2515" s="36">
        <f>IFERROR(INDEX(DATABASE_FG!$G$5:$G$367, MATCH(E2515, DATABASE_FG!$C$5:$C$367, 0)), "Not Found")</f>
        <v>0</v>
      </c>
      <c r="Q2515" s="36"/>
      <c r="R2515" s="125" t="s">
        <v>678</v>
      </c>
      <c r="S2515" s="123">
        <f>IFERROR(INDEX(DATABASE_FG!$L$5:$L$367, MATCH(E2515, DATABASE_FG!$C$5:$C$367, 0)), " ")</f>
        <v>42</v>
      </c>
      <c r="T2515" s="36" t="s">
        <v>679</v>
      </c>
      <c r="U2515" s="36"/>
      <c r="V2515" s="36"/>
      <c r="W2515" s="129"/>
      <c r="X2515" s="36"/>
      <c r="Y2515" s="36"/>
      <c r="Z2515" s="36">
        <v>242402</v>
      </c>
      <c r="AA2515" s="125" t="s">
        <v>121</v>
      </c>
      <c r="AB2515" s="172">
        <v>45469</v>
      </c>
      <c r="AC2515" s="119">
        <v>2024728</v>
      </c>
      <c r="AD2515" s="36">
        <f t="shared" si="278"/>
        <v>36861741</v>
      </c>
      <c r="AE2515" s="36" t="str">
        <f t="shared" si="279"/>
        <v>TK.KWVE30-B-A-SL-0038-WW1</v>
      </c>
      <c r="AF2515" s="36">
        <v>65</v>
      </c>
      <c r="AG2515" s="120">
        <f t="shared" si="277"/>
        <v>395.2</v>
      </c>
      <c r="AH2515" s="36"/>
      <c r="AI2515" s="124"/>
      <c r="AJ2515" s="122" t="s">
        <v>1725</v>
      </c>
      <c r="AK2515" s="129" t="str">
        <f t="shared" ca="1" si="276"/>
        <v>On Time</v>
      </c>
      <c r="AL2515" s="268" t="str">
        <f t="shared" si="275"/>
        <v>June</v>
      </c>
      <c r="AM2515" s="133">
        <f>YEAR(Table1[[#This Row],[ETA
As requested
dd.mm.yyyy]])</f>
        <v>2024</v>
      </c>
    </row>
    <row r="2516" spans="1:39" hidden="1">
      <c r="A2516" s="123" t="s">
        <v>83</v>
      </c>
      <c r="B2516" s="36" t="s">
        <v>1170</v>
      </c>
      <c r="C2516" s="117">
        <v>36861741</v>
      </c>
      <c r="D2516" s="165">
        <v>45440</v>
      </c>
      <c r="E2516" s="117" t="s">
        <v>103</v>
      </c>
      <c r="F2516" s="36" t="str">
        <f>IFERROR(VLOOKUP(Table1[[#This Row],[Part Number]],DATABASE_FG!$C$6:D12505,2,FALSE)," ")</f>
        <v>080817246-8011</v>
      </c>
      <c r="G2516" s="117">
        <f>IFERROR(_xlfn.XLOOKUP(Table1[[#This Row],[Part Number]],Table3[Part number],Table3[Drawing
 Revision]),"")</f>
        <v>0</v>
      </c>
      <c r="H2516" s="118" cm="1">
        <f t="array" ref="H2516">IFERROR(INDEX(PDB!$C:$AT,MATCH(E2516,PDB!$B:$B,0),MATCH(YEAR(K2516),0+PDB!$C$1:$AT$1,0)),"")</f>
        <v>6.08</v>
      </c>
      <c r="I2516" s="36">
        <v>0</v>
      </c>
      <c r="J2516" s="125">
        <f>IFERROR(Table1[[#This Row],[Quantity]]*Table1[[#This Row],[Price/Unit
EUR]]," ")</f>
        <v>0</v>
      </c>
      <c r="K2516" s="126">
        <v>45468</v>
      </c>
      <c r="L2516" s="36">
        <f>WEEKNUM(Table1[[#This Row],[ETA
As requested
dd.mm.yyyy]])</f>
        <v>26</v>
      </c>
      <c r="M2516" s="36">
        <f>YEAR(Table1[[#This Row],[ETA
As requested
dd.mm.yyyy]])</f>
        <v>2024</v>
      </c>
      <c r="N2516" s="36">
        <f>IFERROR(INDEX(DATABASE_FG!$H$5:$H$367, MATCH(E2516, DATABASE_FG!$C$5:$C$367, 0)), " ")</f>
        <v>0</v>
      </c>
      <c r="O2516" s="129" t="str">
        <f>IF(E2516&lt;&gt;"", _xlfn.XLOOKUP(E2516, DATABASE_FG!C:C, DATABASE_FG!F:F), " ")</f>
        <v>Ghidaje</v>
      </c>
      <c r="P2516" s="36">
        <f>IFERROR(INDEX(DATABASE_FG!$G$5:$G$367, MATCH(E2516, DATABASE_FG!$C$5:$C$367, 0)), "Not Found")</f>
        <v>0</v>
      </c>
      <c r="Q2516" s="36"/>
      <c r="R2516" s="125" t="s">
        <v>678</v>
      </c>
      <c r="S2516" s="123">
        <f>Table1[[#This Row],[Quantity]]/48</f>
        <v>0</v>
      </c>
      <c r="T2516" s="36" t="s">
        <v>679</v>
      </c>
      <c r="U2516" s="36"/>
      <c r="V2516" s="36"/>
      <c r="W2516" s="129"/>
      <c r="X2516" s="36"/>
      <c r="Y2516" s="36"/>
      <c r="Z2516" s="36"/>
      <c r="AA2516" s="125" t="s">
        <v>121</v>
      </c>
      <c r="AB2516" s="172">
        <v>45469</v>
      </c>
      <c r="AC2516" s="119">
        <v>20232174</v>
      </c>
      <c r="AD2516" s="36">
        <f t="shared" si="278"/>
        <v>36861741</v>
      </c>
      <c r="AE2516" s="36" t="str">
        <f t="shared" si="279"/>
        <v>TK.KWVE30-B-A-SL-0038-WW1</v>
      </c>
      <c r="AF2516" s="36">
        <v>10</v>
      </c>
      <c r="AG2516" s="120">
        <f t="shared" si="277"/>
        <v>60.8</v>
      </c>
      <c r="AH2516" s="36"/>
      <c r="AI2516" s="124"/>
      <c r="AJ2516" s="122" t="s">
        <v>1726</v>
      </c>
      <c r="AK2516" s="129" t="str">
        <f t="shared" ca="1" si="276"/>
        <v>On Time</v>
      </c>
      <c r="AL2516" s="268" t="str">
        <f t="shared" si="275"/>
        <v>June</v>
      </c>
      <c r="AM2516" s="133">
        <f>YEAR(Table1[[#This Row],[ETA
As requested
dd.mm.yyyy]])</f>
        <v>2024</v>
      </c>
    </row>
    <row r="2517" spans="1:39" hidden="1">
      <c r="A2517" s="123" t="s">
        <v>83</v>
      </c>
      <c r="B2517" s="36" t="s">
        <v>1170</v>
      </c>
      <c r="C2517" s="117">
        <v>36861741</v>
      </c>
      <c r="D2517" s="165">
        <v>45440</v>
      </c>
      <c r="E2517" s="117" t="s">
        <v>103</v>
      </c>
      <c r="F2517" s="36" t="str">
        <f>IFERROR(VLOOKUP(Table1[[#This Row],[Part Number]],DATABASE_FG!$C$6:D12506,2,FALSE)," ")</f>
        <v>080817246-8011</v>
      </c>
      <c r="G2517" s="117">
        <f>IFERROR(_xlfn.XLOOKUP(Table1[[#This Row],[Part Number]],Table3[Part number],Table3[Drawing
 Revision]),"")</f>
        <v>0</v>
      </c>
      <c r="H2517" s="118" cm="1">
        <f t="array" ref="H2517">IFERROR(INDEX(PDB!$C:$AT,MATCH(E2517,PDB!$B:$B,0),MATCH(YEAR(K2517),0+PDB!$C$1:$AT$1,0)),"")</f>
        <v>6.08</v>
      </c>
      <c r="I2517" s="36">
        <v>52</v>
      </c>
      <c r="J2517" s="125">
        <f>IFERROR(Table1[[#This Row],[Quantity]]*Table1[[#This Row],[Price/Unit
EUR]]," ")</f>
        <v>316.16000000000003</v>
      </c>
      <c r="K2517" s="126">
        <v>45470</v>
      </c>
      <c r="L2517" s="36">
        <f>WEEKNUM(Table1[[#This Row],[ETA
As requested
dd.mm.yyyy]])</f>
        <v>26</v>
      </c>
      <c r="M2517" s="36">
        <f>YEAR(Table1[[#This Row],[ETA
As requested
dd.mm.yyyy]])</f>
        <v>2024</v>
      </c>
      <c r="N2517" s="36">
        <f>IFERROR(INDEX(DATABASE_FG!$H$5:$H$367, MATCH(E2517, DATABASE_FG!$C$5:$C$367, 0)), " ")</f>
        <v>0</v>
      </c>
      <c r="O2517" s="129" t="str">
        <f>IF(E2517&lt;&gt;"", _xlfn.XLOOKUP(E2517, DATABASE_FG!C:C, DATABASE_FG!F:F), " ")</f>
        <v>Ghidaje</v>
      </c>
      <c r="P2517" s="36">
        <f>IFERROR(INDEX(DATABASE_FG!$G$5:$G$367, MATCH(E2517, DATABASE_FG!$C$5:$C$367, 0)), "Not Found")</f>
        <v>0</v>
      </c>
      <c r="Q2517" s="36"/>
      <c r="R2517" s="125" t="s">
        <v>678</v>
      </c>
      <c r="S2517" s="123">
        <f>IFERROR(INDEX(DATABASE_FG!$L$5:$L$367, MATCH(E2517, DATABASE_FG!$C$5:$C$367, 0)), " ")</f>
        <v>42</v>
      </c>
      <c r="T2517" s="36" t="s">
        <v>679</v>
      </c>
      <c r="U2517" s="36"/>
      <c r="V2517" s="36"/>
      <c r="W2517" s="129"/>
      <c r="X2517" s="36"/>
      <c r="Y2517" s="36"/>
      <c r="Z2517" s="36">
        <v>242402</v>
      </c>
      <c r="AA2517" s="125" t="s">
        <v>121</v>
      </c>
      <c r="AB2517" s="172">
        <v>45469</v>
      </c>
      <c r="AC2517" s="119">
        <v>20232174</v>
      </c>
      <c r="AD2517" s="36">
        <f t="shared" si="278"/>
        <v>36861741</v>
      </c>
      <c r="AE2517" s="36" t="str">
        <f t="shared" si="279"/>
        <v>TK.KWVE30-B-A-SL-0038-WW1</v>
      </c>
      <c r="AF2517" s="36">
        <v>52</v>
      </c>
      <c r="AG2517" s="120">
        <f t="shared" si="277"/>
        <v>316.16000000000003</v>
      </c>
      <c r="AH2517" s="36"/>
      <c r="AI2517" s="124"/>
      <c r="AJ2517" s="122" t="s">
        <v>1726</v>
      </c>
      <c r="AK2517" s="129" t="str">
        <f t="shared" ca="1" si="276"/>
        <v>On Time</v>
      </c>
      <c r="AL2517" s="268" t="str">
        <f t="shared" si="275"/>
        <v>June</v>
      </c>
      <c r="AM2517" s="133">
        <f>YEAR(Table1[[#This Row],[ETA
As requested
dd.mm.yyyy]])</f>
        <v>2024</v>
      </c>
    </row>
    <row r="2518" spans="1:39" hidden="1">
      <c r="A2518" s="123" t="s">
        <v>83</v>
      </c>
      <c r="B2518" s="36" t="s">
        <v>1170</v>
      </c>
      <c r="C2518" s="117">
        <v>36861741</v>
      </c>
      <c r="D2518" s="165">
        <v>45440</v>
      </c>
      <c r="E2518" s="117" t="s">
        <v>103</v>
      </c>
      <c r="F2518" s="36" t="str">
        <f>IFERROR(VLOOKUP(Table1[[#This Row],[Part Number]],DATABASE_FG!$C$6:D12507,2,FALSE)," ")</f>
        <v>080817246-8011</v>
      </c>
      <c r="G2518" s="117">
        <f>IFERROR(_xlfn.XLOOKUP(Table1[[#This Row],[Part Number]],Table3[Part number],Table3[Drawing
 Revision]),"")</f>
        <v>0</v>
      </c>
      <c r="H2518" s="118" cm="1">
        <f t="array" ref="H2518">IFERROR(INDEX(PDB!$C:$AT,MATCH(E2518,PDB!$B:$B,0),MATCH(YEAR(K2518),0+PDB!$C$1:$AT$1,0)),"")</f>
        <v>6.08</v>
      </c>
      <c r="I2518" s="36">
        <v>0</v>
      </c>
      <c r="J2518" s="125">
        <f>IFERROR(Table1[[#This Row],[Quantity]]*Table1[[#This Row],[Price/Unit
EUR]]," ")</f>
        <v>0</v>
      </c>
      <c r="K2518" s="126">
        <v>45470</v>
      </c>
      <c r="L2518" s="36">
        <f>WEEKNUM(Table1[[#This Row],[ETA
As requested
dd.mm.yyyy]])</f>
        <v>26</v>
      </c>
      <c r="M2518" s="36">
        <f>YEAR(Table1[[#This Row],[ETA
As requested
dd.mm.yyyy]])</f>
        <v>2024</v>
      </c>
      <c r="N2518" s="36">
        <f>IFERROR(INDEX(DATABASE_FG!$H$5:$H$367, MATCH(E2518, DATABASE_FG!$C$5:$C$367, 0)), " ")</f>
        <v>0</v>
      </c>
      <c r="O2518" s="129" t="str">
        <f>IF(E2518&lt;&gt;"", _xlfn.XLOOKUP(E2518, DATABASE_FG!C:C, DATABASE_FG!F:F), " ")</f>
        <v>Ghidaje</v>
      </c>
      <c r="P2518" s="36">
        <f>IFERROR(INDEX(DATABASE_FG!$G$5:$G$367, MATCH(E2518, DATABASE_FG!$C$5:$C$367, 0)), "Not Found")</f>
        <v>0</v>
      </c>
      <c r="Q2518" s="36"/>
      <c r="R2518" s="125" t="s">
        <v>678</v>
      </c>
      <c r="S2518" s="123">
        <f>Table1[[#This Row],[Quantity]]/48</f>
        <v>0</v>
      </c>
      <c r="T2518" s="36" t="s">
        <v>679</v>
      </c>
      <c r="U2518" s="36"/>
      <c r="V2518" s="36"/>
      <c r="W2518" s="129"/>
      <c r="X2518" s="36"/>
      <c r="Y2518" s="36"/>
      <c r="Z2518" s="36"/>
      <c r="AA2518" s="125" t="s">
        <v>121</v>
      </c>
      <c r="AB2518" s="346">
        <v>45475</v>
      </c>
      <c r="AC2518" s="347">
        <v>2024766</v>
      </c>
      <c r="AD2518" s="158">
        <f t="shared" si="278"/>
        <v>36861741</v>
      </c>
      <c r="AE2518" s="36" t="str">
        <f t="shared" si="279"/>
        <v>TK.KWVE30-B-A-SL-0038-WW1</v>
      </c>
      <c r="AF2518" s="36">
        <v>0</v>
      </c>
      <c r="AG2518" s="120">
        <f t="shared" si="277"/>
        <v>0</v>
      </c>
      <c r="AH2518" s="36">
        <v>23</v>
      </c>
      <c r="AI2518" s="124"/>
      <c r="AJ2518" s="122"/>
      <c r="AK2518" s="129" t="str">
        <f t="shared" ca="1" si="276"/>
        <v>Late</v>
      </c>
      <c r="AL2518" s="268" t="str">
        <f t="shared" si="275"/>
        <v>June</v>
      </c>
      <c r="AM2518" s="133">
        <f>YEAR(Table1[[#This Row],[ETA
As requested
dd.mm.yyyy]])</f>
        <v>2024</v>
      </c>
    </row>
    <row r="2519" spans="1:39" hidden="1">
      <c r="A2519" s="123" t="s">
        <v>83</v>
      </c>
      <c r="B2519" s="36" t="s">
        <v>1170</v>
      </c>
      <c r="C2519" s="117">
        <v>36861741</v>
      </c>
      <c r="D2519" s="165">
        <v>45440</v>
      </c>
      <c r="E2519" s="117" t="s">
        <v>103</v>
      </c>
      <c r="F2519" s="36" t="str">
        <f>IFERROR(VLOOKUP(Table1[[#This Row],[Part Number]],DATABASE_FG!$C$6:D12508,2,FALSE)," ")</f>
        <v>080817246-8011</v>
      </c>
      <c r="G2519" s="117">
        <f>IFERROR(_xlfn.XLOOKUP(Table1[[#This Row],[Part Number]],Table3[Part number],Table3[Drawing
 Revision]),"")</f>
        <v>0</v>
      </c>
      <c r="H2519" s="118" cm="1">
        <f t="array" ref="H2519">IFERROR(INDEX(PDB!$C:$AT,MATCH(E2519,PDB!$B:$B,0),MATCH(YEAR(K2519),0+PDB!$C$1:$AT$1,0)),"")</f>
        <v>6.08</v>
      </c>
      <c r="I2519" s="36">
        <v>23</v>
      </c>
      <c r="J2519" s="125">
        <f>IFERROR(Table1[[#This Row],[Quantity]]*Table1[[#This Row],[Price/Unit
EUR]]," ")</f>
        <v>139.84</v>
      </c>
      <c r="K2519" s="126">
        <v>45470</v>
      </c>
      <c r="L2519" s="36">
        <f>WEEKNUM(Table1[[#This Row],[ETA
As requested
dd.mm.yyyy]])</f>
        <v>26</v>
      </c>
      <c r="M2519" s="36">
        <f>YEAR(Table1[[#This Row],[ETA
As requested
dd.mm.yyyy]])</f>
        <v>2024</v>
      </c>
      <c r="N2519" s="36">
        <f>IFERROR(INDEX(DATABASE_FG!$H$5:$H$367, MATCH(E2519, DATABASE_FG!$C$5:$C$367, 0)), " ")</f>
        <v>0</v>
      </c>
      <c r="O2519" s="129" t="str">
        <f>IF(E2519&lt;&gt;"", _xlfn.XLOOKUP(E2519, DATABASE_FG!C:C, DATABASE_FG!F:F), " ")</f>
        <v>Ghidaje</v>
      </c>
      <c r="P2519" s="36">
        <f>IFERROR(INDEX(DATABASE_FG!$G$5:$G$367, MATCH(E2519, DATABASE_FG!$C$5:$C$367, 0)), "Not Found")</f>
        <v>0</v>
      </c>
      <c r="Q2519" s="36"/>
      <c r="R2519" s="125" t="s">
        <v>678</v>
      </c>
      <c r="S2519" s="123">
        <f>Table1[[#This Row],[Quantity]]/48</f>
        <v>0.47916666666666669</v>
      </c>
      <c r="T2519" s="36" t="s">
        <v>679</v>
      </c>
      <c r="U2519" s="36"/>
      <c r="V2519" s="36"/>
      <c r="W2519" s="129"/>
      <c r="X2519" s="36"/>
      <c r="Y2519" s="36"/>
      <c r="Z2519" s="36"/>
      <c r="AA2519" s="125" t="s">
        <v>121</v>
      </c>
      <c r="AB2519" s="165">
        <v>45488</v>
      </c>
      <c r="AC2519" s="119">
        <v>2024855</v>
      </c>
      <c r="AD2519" s="36">
        <f t="shared" si="278"/>
        <v>36861741</v>
      </c>
      <c r="AE2519" s="122" t="str">
        <f t="shared" si="279"/>
        <v>TK.KWVE30-B-A-SL-0038-WW1</v>
      </c>
      <c r="AF2519" s="36">
        <v>23</v>
      </c>
      <c r="AG2519" s="120">
        <f t="shared" si="277"/>
        <v>139.84</v>
      </c>
      <c r="AH2519" s="36"/>
      <c r="AI2519" s="124"/>
      <c r="AJ2519" s="122" t="s">
        <v>1738</v>
      </c>
      <c r="AK2519" s="129" t="str">
        <f t="shared" ca="1" si="276"/>
        <v>Late</v>
      </c>
      <c r="AL2519" s="268" t="str">
        <f t="shared" si="275"/>
        <v>June</v>
      </c>
      <c r="AM2519" s="133">
        <f>YEAR(Table1[[#This Row],[ETA
As requested
dd.mm.yyyy]])</f>
        <v>2024</v>
      </c>
    </row>
    <row r="2520" spans="1:39" hidden="1">
      <c r="A2520" s="123" t="s">
        <v>83</v>
      </c>
      <c r="B2520" s="36" t="s">
        <v>1170</v>
      </c>
      <c r="C2520" s="117">
        <v>37069150</v>
      </c>
      <c r="D2520" s="165">
        <v>45471</v>
      </c>
      <c r="E2520" s="117" t="s">
        <v>103</v>
      </c>
      <c r="F2520" s="36" t="str">
        <f>IFERROR(VLOOKUP(Table1[[#This Row],[Part Number]],DATABASE_FG!$C$6:D12509,2,FALSE)," ")</f>
        <v>080817246-8011</v>
      </c>
      <c r="G2520" s="117">
        <f>IFERROR(_xlfn.XLOOKUP(Table1[[#This Row],[Part Number]],Table3[Part number],Table3[Drawing
 Revision]),"")</f>
        <v>0</v>
      </c>
      <c r="H2520" s="118" cm="1">
        <f t="array" ref="H2520">IFERROR(INDEX(PDB!$C:$AT,MATCH(E2520,PDB!$B:$B,0),MATCH(YEAR(K2520),0+PDB!$C$1:$AT$1,0)),"")</f>
        <v>6.08</v>
      </c>
      <c r="I2520" s="36">
        <v>50</v>
      </c>
      <c r="J2520" s="155">
        <f>IFERROR(Table1[[#This Row],[Quantity]]*Table1[[#This Row],[Price/Unit
EUR]]," ")</f>
        <v>304</v>
      </c>
      <c r="K2520" s="126">
        <v>45475</v>
      </c>
      <c r="L2520" s="36">
        <f>WEEKNUM(Table1[[#This Row],[ETA
As requested
dd.mm.yyyy]])</f>
        <v>27</v>
      </c>
      <c r="M2520" s="36">
        <f>YEAR(Table1[[#This Row],[ETA
As requested
dd.mm.yyyy]])</f>
        <v>2024</v>
      </c>
      <c r="N2520" s="36">
        <f>IFERROR(INDEX(DATABASE_FG!$H$5:$H$367, MATCH(E2520, DATABASE_FG!$C$5:$C$367, 0)), " ")</f>
        <v>0</v>
      </c>
      <c r="O2520" s="129" t="str">
        <f>IF(E2520&lt;&gt;"", _xlfn.XLOOKUP(E2520, DATABASE_FG!C:C, DATABASE_FG!F:F), " ")</f>
        <v>Ghidaje</v>
      </c>
      <c r="P2520" s="36">
        <f>IFERROR(INDEX(DATABASE_FG!$G$5:$G$367, MATCH(E2520, DATABASE_FG!$C$5:$C$367, 0)), "Not Found")</f>
        <v>0</v>
      </c>
      <c r="Q2520" s="36"/>
      <c r="R2520" s="125" t="s">
        <v>678</v>
      </c>
      <c r="S2520" s="123">
        <f>IFERROR(INDEX(DATABASE_FG!$L$5:$L$367, MATCH(E2520, DATABASE_FG!$C$5:$C$367, 0)), " ")</f>
        <v>42</v>
      </c>
      <c r="T2520" s="36" t="s">
        <v>679</v>
      </c>
      <c r="U2520" s="36"/>
      <c r="V2520" s="36"/>
      <c r="W2520" s="129"/>
      <c r="X2520" s="36"/>
      <c r="Y2520" s="36"/>
      <c r="Z2520" s="36">
        <v>242810</v>
      </c>
      <c r="AA2520" s="125" t="s">
        <v>121</v>
      </c>
      <c r="AB2520" s="172">
        <v>45488</v>
      </c>
      <c r="AC2520" s="161">
        <v>2024852</v>
      </c>
      <c r="AD2520" s="129">
        <f t="shared" si="278"/>
        <v>37069150</v>
      </c>
      <c r="AE2520" s="36" t="str">
        <f t="shared" si="279"/>
        <v>TK.KWVE30-B-A-SL-0038-WW1</v>
      </c>
      <c r="AF2520" s="36">
        <v>50</v>
      </c>
      <c r="AG2520" s="120">
        <f t="shared" si="277"/>
        <v>304</v>
      </c>
      <c r="AH2520" s="36"/>
      <c r="AI2520" s="124"/>
      <c r="AJ2520" s="122" t="s">
        <v>1759</v>
      </c>
      <c r="AK2520" s="129" t="str">
        <f t="shared" ca="1" si="276"/>
        <v>Late</v>
      </c>
      <c r="AL2520" s="268" t="str">
        <f t="shared" si="275"/>
        <v>July</v>
      </c>
      <c r="AM2520" s="133">
        <f>YEAR(Table1[[#This Row],[ETA
As requested
dd.mm.yyyy]])</f>
        <v>2024</v>
      </c>
    </row>
    <row r="2521" spans="1:39" hidden="1">
      <c r="A2521" s="123" t="s">
        <v>83</v>
      </c>
      <c r="B2521" s="36" t="s">
        <v>1170</v>
      </c>
      <c r="C2521" s="117">
        <v>37069154</v>
      </c>
      <c r="D2521" s="165">
        <v>45471</v>
      </c>
      <c r="E2521" s="117" t="s">
        <v>103</v>
      </c>
      <c r="F2521" s="36" t="str">
        <f>IFERROR(VLOOKUP(Table1[[#This Row],[Part Number]],DATABASE_FG!$C$6:D12510,2,FALSE)," ")</f>
        <v>080817246-8011</v>
      </c>
      <c r="G2521" s="117">
        <f>IFERROR(_xlfn.XLOOKUP(Table1[[#This Row],[Part Number]],Table3[Part number],Table3[Drawing
 Revision]),"")</f>
        <v>0</v>
      </c>
      <c r="H2521" s="118" cm="1">
        <f t="array" ref="H2521">IFERROR(INDEX(PDB!$C:$AT,MATCH(E2521,PDB!$B:$B,0),MATCH(YEAR(K2521),0+PDB!$C$1:$AT$1,0)),"")</f>
        <v>6.08</v>
      </c>
      <c r="I2521" s="36">
        <v>50</v>
      </c>
      <c r="J2521" s="155">
        <f>IFERROR(Table1[[#This Row],[Quantity]]*Table1[[#This Row],[Price/Unit
EUR]]," ")</f>
        <v>304</v>
      </c>
      <c r="K2521" s="126">
        <v>45482</v>
      </c>
      <c r="L2521" s="36">
        <f>WEEKNUM(Table1[[#This Row],[ETA
As requested
dd.mm.yyyy]])</f>
        <v>28</v>
      </c>
      <c r="M2521" s="36">
        <f>YEAR(Table1[[#This Row],[ETA
As requested
dd.mm.yyyy]])</f>
        <v>2024</v>
      </c>
      <c r="N2521" s="36">
        <f>IFERROR(INDEX(DATABASE_FG!$H$5:$H$367, MATCH(E2521, DATABASE_FG!$C$5:$C$367, 0)), " ")</f>
        <v>0</v>
      </c>
      <c r="O2521" s="129" t="str">
        <f>IF(E2521&lt;&gt;"", _xlfn.XLOOKUP(E2521, DATABASE_FG!C:C, DATABASE_FG!F:F), " ")</f>
        <v>Ghidaje</v>
      </c>
      <c r="P2521" s="36">
        <f>IFERROR(INDEX(DATABASE_FG!$G$5:$G$367, MATCH(E2521, DATABASE_FG!$C$5:$C$367, 0)), "Not Found")</f>
        <v>0</v>
      </c>
      <c r="Q2521" s="36"/>
      <c r="R2521" s="125" t="s">
        <v>678</v>
      </c>
      <c r="S2521" s="123">
        <f>IFERROR(INDEX(DATABASE_FG!$L$5:$L$367, MATCH(E2521, DATABASE_FG!$C$5:$C$367, 0)), " ")</f>
        <v>42</v>
      </c>
      <c r="T2521" s="36" t="s">
        <v>679</v>
      </c>
      <c r="U2521" s="36"/>
      <c r="V2521" s="36"/>
      <c r="W2521" s="129"/>
      <c r="X2521" s="36"/>
      <c r="Y2521" s="36"/>
      <c r="Z2521" s="36">
        <v>242810</v>
      </c>
      <c r="AA2521" s="125" t="s">
        <v>121</v>
      </c>
      <c r="AB2521" s="172">
        <v>45489</v>
      </c>
      <c r="AC2521" s="119">
        <v>2024858</v>
      </c>
      <c r="AD2521" s="36">
        <f t="shared" si="278"/>
        <v>37069154</v>
      </c>
      <c r="AE2521" s="36" t="str">
        <f t="shared" si="279"/>
        <v>TK.KWVE30-B-A-SL-0038-WW1</v>
      </c>
      <c r="AF2521" s="36">
        <v>50</v>
      </c>
      <c r="AG2521" s="120">
        <f t="shared" si="277"/>
        <v>304</v>
      </c>
      <c r="AH2521" s="36"/>
      <c r="AI2521" s="124"/>
      <c r="AJ2521" s="122" t="s">
        <v>1806</v>
      </c>
      <c r="AK2521" s="129" t="str">
        <f t="shared" ca="1" si="276"/>
        <v>Late</v>
      </c>
      <c r="AL2521" s="268" t="str">
        <f t="shared" si="275"/>
        <v>July</v>
      </c>
      <c r="AM2521" s="133">
        <f>YEAR(Table1[[#This Row],[ETA
As requested
dd.mm.yyyy]])</f>
        <v>2024</v>
      </c>
    </row>
    <row r="2522" spans="1:39" hidden="1">
      <c r="A2522" s="123" t="s">
        <v>83</v>
      </c>
      <c r="B2522" s="36" t="s">
        <v>1170</v>
      </c>
      <c r="C2522" s="117">
        <v>37069157</v>
      </c>
      <c r="D2522" s="165">
        <v>45471</v>
      </c>
      <c r="E2522" s="117" t="s">
        <v>103</v>
      </c>
      <c r="F2522" s="36" t="str">
        <f>IFERROR(VLOOKUP(Table1[[#This Row],[Part Number]],DATABASE_FG!$C$6:D12511,2,FALSE)," ")</f>
        <v>080817246-8011</v>
      </c>
      <c r="G2522" s="117">
        <f>IFERROR(_xlfn.XLOOKUP(Table1[[#This Row],[Part Number]],Table3[Part number],Table3[Drawing
 Revision]),"")</f>
        <v>0</v>
      </c>
      <c r="H2522" s="118" cm="1">
        <f t="array" ref="H2522">IFERROR(INDEX(PDB!$C:$AT,MATCH(E2522,PDB!$B:$B,0),MATCH(YEAR(K2522),0+PDB!$C$1:$AT$1,0)),"")</f>
        <v>6.08</v>
      </c>
      <c r="I2522" s="36">
        <v>50</v>
      </c>
      <c r="J2522" s="155">
        <f>IFERROR(Table1[[#This Row],[Quantity]]*Table1[[#This Row],[Price/Unit
EUR]]," ")</f>
        <v>304</v>
      </c>
      <c r="K2522" s="126">
        <v>45489</v>
      </c>
      <c r="L2522" s="36">
        <f>WEEKNUM(Table1[[#This Row],[ETA
As requested
dd.mm.yyyy]])</f>
        <v>29</v>
      </c>
      <c r="M2522" s="36">
        <f>YEAR(Table1[[#This Row],[ETA
As requested
dd.mm.yyyy]])</f>
        <v>2024</v>
      </c>
      <c r="N2522" s="36">
        <f>IFERROR(INDEX(DATABASE_FG!$H$5:$H$367, MATCH(E2522, DATABASE_FG!$C$5:$C$367, 0)), " ")</f>
        <v>0</v>
      </c>
      <c r="O2522" s="129" t="str">
        <f>IF(E2522&lt;&gt;"", _xlfn.XLOOKUP(E2522, DATABASE_FG!C:C, DATABASE_FG!F:F), " ")</f>
        <v>Ghidaje</v>
      </c>
      <c r="P2522" s="36">
        <f>IFERROR(INDEX(DATABASE_FG!$G$5:$G$367, MATCH(E2522, DATABASE_FG!$C$5:$C$367, 0)), "Not Found")</f>
        <v>0</v>
      </c>
      <c r="Q2522" s="36"/>
      <c r="R2522" s="125" t="s">
        <v>678</v>
      </c>
      <c r="S2522" s="123">
        <f>IFERROR(INDEX(DATABASE_FG!$L$5:$L$367, MATCH(E2522, DATABASE_FG!$C$5:$C$367, 0)), " ")</f>
        <v>42</v>
      </c>
      <c r="T2522" s="36" t="s">
        <v>679</v>
      </c>
      <c r="U2522" s="36"/>
      <c r="V2522" s="36"/>
      <c r="W2522" s="129"/>
      <c r="X2522" s="36"/>
      <c r="Y2522" s="36"/>
      <c r="Z2522" s="36">
        <v>242810</v>
      </c>
      <c r="AA2522" s="125" t="s">
        <v>121</v>
      </c>
      <c r="AB2522" s="172">
        <v>45489</v>
      </c>
      <c r="AC2522" s="119">
        <v>2024859</v>
      </c>
      <c r="AD2522" s="36">
        <f t="shared" si="278"/>
        <v>37069157</v>
      </c>
      <c r="AE2522" s="36" t="str">
        <f t="shared" si="279"/>
        <v>TK.KWVE30-B-A-SL-0038-WW1</v>
      </c>
      <c r="AF2522" s="36">
        <v>50</v>
      </c>
      <c r="AG2522" s="120">
        <f t="shared" si="277"/>
        <v>304</v>
      </c>
      <c r="AH2522" s="36"/>
      <c r="AI2522" s="124"/>
      <c r="AJ2522" s="122" t="s">
        <v>1842</v>
      </c>
      <c r="AK2522" s="129" t="str">
        <f t="shared" ca="1" si="276"/>
        <v>On Time</v>
      </c>
      <c r="AL2522" s="268" t="str">
        <f t="shared" si="275"/>
        <v>July</v>
      </c>
      <c r="AM2522" s="133">
        <f>YEAR(Table1[[#This Row],[ETA
As requested
dd.mm.yyyy]])</f>
        <v>2024</v>
      </c>
    </row>
    <row r="2523" spans="1:39" hidden="1">
      <c r="A2523" s="123" t="s">
        <v>83</v>
      </c>
      <c r="B2523" s="36" t="s">
        <v>1170</v>
      </c>
      <c r="C2523" s="117">
        <v>37521087</v>
      </c>
      <c r="D2523" s="165">
        <v>45527</v>
      </c>
      <c r="E2523" s="117" t="s">
        <v>103</v>
      </c>
      <c r="F2523" s="36" t="str">
        <f>IFERROR(VLOOKUP(Table1[[#This Row],[Part Number]],DATABASE_FG!$C$6:D12512,2,FALSE)," ")</f>
        <v>080817246-8011</v>
      </c>
      <c r="G2523" s="117">
        <f>IFERROR(_xlfn.XLOOKUP(Table1[[#This Row],[Part Number]],Table3[Part number],Table3[Drawing
 Revision]),"")</f>
        <v>0</v>
      </c>
      <c r="H2523" s="118" cm="1">
        <f t="array" ref="H2523">IFERROR(INDEX(PDB!$C:$AT,MATCH(E2523,PDB!$B:$B,0),MATCH(YEAR(K2523),0+PDB!$C$1:$AT$1,0)),"")</f>
        <v>6.08</v>
      </c>
      <c r="I2523" s="36">
        <v>100</v>
      </c>
      <c r="J2523" s="155">
        <f>IFERROR(Table1[[#This Row],[Quantity]]*Table1[[#This Row],[Price/Unit
EUR]]," ")</f>
        <v>608</v>
      </c>
      <c r="K2523" s="126">
        <v>45566</v>
      </c>
      <c r="L2523" s="36">
        <f>WEEKNUM(Table1[[#This Row],[ETA
As requested
dd.mm.yyyy]])</f>
        <v>40</v>
      </c>
      <c r="M2523" s="36">
        <f>YEAR(Table1[[#This Row],[ETA
As requested
dd.mm.yyyy]])</f>
        <v>2024</v>
      </c>
      <c r="N2523" s="36">
        <f>IFERROR(INDEX(DATABASE_FG!$H$5:$H$367, MATCH(E2523, DATABASE_FG!$C$5:$C$367, 0)), " ")</f>
        <v>0</v>
      </c>
      <c r="O2523" s="129" t="str">
        <f>IF(E2523&lt;&gt;"", _xlfn.XLOOKUP(E2523, DATABASE_FG!C:C, DATABASE_FG!F:F), " ")</f>
        <v>Ghidaje</v>
      </c>
      <c r="P2523" s="36">
        <f>IFERROR(INDEX(DATABASE_FG!$G$5:$G$367, MATCH(E2523, DATABASE_FG!$C$5:$C$367, 0)), "Not Found")</f>
        <v>0</v>
      </c>
      <c r="Q2523" s="36"/>
      <c r="R2523" s="125" t="s">
        <v>678</v>
      </c>
      <c r="S2523" s="123">
        <f>IFERROR(INDEX(DATABASE_FG!$L$5:$L$367, MATCH(E2523, DATABASE_FG!$C$5:$C$367, 0)), " ")</f>
        <v>42</v>
      </c>
      <c r="T2523" s="36" t="s">
        <v>679</v>
      </c>
      <c r="U2523" s="36"/>
      <c r="V2523" s="36"/>
      <c r="W2523" s="129"/>
      <c r="X2523" s="36"/>
      <c r="Y2523" s="36"/>
      <c r="Z2523" s="36"/>
      <c r="AA2523" s="125" t="s">
        <v>121</v>
      </c>
      <c r="AB2523" s="172">
        <v>45566</v>
      </c>
      <c r="AC2523" s="119">
        <v>202401183</v>
      </c>
      <c r="AD2523" s="36">
        <f t="shared" si="278"/>
        <v>37521087</v>
      </c>
      <c r="AE2523" s="36" t="str">
        <f t="shared" si="279"/>
        <v>TK.KWVE30-B-A-SL-0038-WW1</v>
      </c>
      <c r="AF2523" s="36">
        <v>100</v>
      </c>
      <c r="AG2523" s="120">
        <f t="shared" si="277"/>
        <v>608</v>
      </c>
      <c r="AH2523" s="36"/>
      <c r="AI2523" s="124"/>
      <c r="AJ2523" s="122" t="s">
        <v>2409</v>
      </c>
      <c r="AK2523" s="129" t="str">
        <f t="shared" ca="1" si="276"/>
        <v>On Time</v>
      </c>
      <c r="AL2523" s="268" t="str">
        <f t="shared" si="275"/>
        <v>October</v>
      </c>
      <c r="AM2523" s="133">
        <f>YEAR(Table1[[#This Row],[ETA
As requested
dd.mm.yyyy]])</f>
        <v>2024</v>
      </c>
    </row>
    <row r="2524" spans="1:39" hidden="1">
      <c r="A2524" s="123" t="s">
        <v>83</v>
      </c>
      <c r="B2524" s="36" t="s">
        <v>1170</v>
      </c>
      <c r="C2524" s="117">
        <v>36861707</v>
      </c>
      <c r="D2524" s="165">
        <v>45440</v>
      </c>
      <c r="E2524" s="117" t="s">
        <v>103</v>
      </c>
      <c r="F2524" s="36" t="str">
        <f>IFERROR(VLOOKUP(Table1[[#This Row],[Part Number]],DATABASE_FG!$C$6:D12513,2,FALSE)," ")</f>
        <v>080817246-8011</v>
      </c>
      <c r="G2524" s="117">
        <f>IFERROR(_xlfn.XLOOKUP(Table1[[#This Row],[Part Number]],Table3[Part number],Table3[Drawing
 Revision]),"")</f>
        <v>0</v>
      </c>
      <c r="H2524" s="118" cm="1">
        <f t="array" ref="H2524">IFERROR(INDEX(PDB!$C:$AT,MATCH(E2524,PDB!$B:$B,0),MATCH(YEAR(K2524),0+PDB!$C$1:$AT$1,0)),"")</f>
        <v>6.08</v>
      </c>
      <c r="I2524" s="36">
        <v>8</v>
      </c>
      <c r="J2524" s="155">
        <f>IFERROR(Table1[[#This Row],[Quantity]]*Table1[[#This Row],[Price/Unit
EUR]]," ")</f>
        <v>48.64</v>
      </c>
      <c r="K2524" s="126">
        <v>45566</v>
      </c>
      <c r="L2524" s="36">
        <f>WEEKNUM(Table1[[#This Row],[ETA
As requested
dd.mm.yyyy]])</f>
        <v>40</v>
      </c>
      <c r="M2524" s="36">
        <f>YEAR(Table1[[#This Row],[ETA
As requested
dd.mm.yyyy]])</f>
        <v>2024</v>
      </c>
      <c r="N2524" s="36">
        <f>IFERROR(INDEX(DATABASE_FG!$H$5:$H$367, MATCH(E2524, DATABASE_FG!$C$5:$C$367, 0)), " ")</f>
        <v>0</v>
      </c>
      <c r="O2524" s="129" t="str">
        <f>IF(E2524&lt;&gt;"", _xlfn.XLOOKUP(E2524, DATABASE_FG!C:C, DATABASE_FG!F:F), " ")</f>
        <v>Ghidaje</v>
      </c>
      <c r="P2524" s="36">
        <f>IFERROR(INDEX(DATABASE_FG!$G$5:$G$367, MATCH(E2524, DATABASE_FG!$C$5:$C$367, 0)), "Not Found")</f>
        <v>0</v>
      </c>
      <c r="Q2524" s="36"/>
      <c r="R2524" s="125" t="s">
        <v>678</v>
      </c>
      <c r="S2524" s="123">
        <f>IFERROR(INDEX(DATABASE_FG!$L$5:$L$367, MATCH(E2524, DATABASE_FG!$C$5:$C$367, 0)), " ")</f>
        <v>42</v>
      </c>
      <c r="T2524" s="36" t="s">
        <v>679</v>
      </c>
      <c r="U2524" s="36"/>
      <c r="V2524" s="36"/>
      <c r="W2524" s="129"/>
      <c r="X2524" s="36"/>
      <c r="Y2524" s="36"/>
      <c r="Z2524" s="36"/>
      <c r="AA2524" s="125" t="s">
        <v>121</v>
      </c>
      <c r="AB2524" s="172">
        <v>45674</v>
      </c>
      <c r="AC2524" s="119" t="s">
        <v>2417</v>
      </c>
      <c r="AD2524" s="36">
        <f t="shared" si="278"/>
        <v>36861707</v>
      </c>
      <c r="AE2524" s="36" t="str">
        <f t="shared" si="279"/>
        <v>TK.KWVE30-B-A-SL-0038-WW1</v>
      </c>
      <c r="AF2524" s="36">
        <v>8</v>
      </c>
      <c r="AG2524" s="120">
        <f t="shared" si="277"/>
        <v>48.64</v>
      </c>
      <c r="AH2524" s="36"/>
      <c r="AI2524" s="124"/>
      <c r="AJ2524" s="122" t="s">
        <v>2418</v>
      </c>
      <c r="AK2524" s="129" t="str">
        <f t="shared" ca="1" si="276"/>
        <v>Late</v>
      </c>
      <c r="AL2524" s="268" t="str">
        <f t="shared" si="275"/>
        <v>October</v>
      </c>
      <c r="AM2524" s="133">
        <f>YEAR(Table1[[#This Row],[ETA
As requested
dd.mm.yyyy]])</f>
        <v>2024</v>
      </c>
    </row>
    <row r="2525" spans="1:39" hidden="1">
      <c r="A2525" s="123" t="s">
        <v>83</v>
      </c>
      <c r="B2525" s="36" t="s">
        <v>1170</v>
      </c>
      <c r="C2525" s="117">
        <v>37521087</v>
      </c>
      <c r="D2525" s="165">
        <v>45527</v>
      </c>
      <c r="E2525" s="117" t="s">
        <v>103</v>
      </c>
      <c r="F2525" s="36" t="str">
        <f>IFERROR(VLOOKUP(Table1[[#This Row],[Part Number]],DATABASE_FG!$C$6:D12514,2,FALSE)," ")</f>
        <v>080817246-8011</v>
      </c>
      <c r="G2525" s="117">
        <f>IFERROR(_xlfn.XLOOKUP(Table1[[#This Row],[Part Number]],Table3[Part number],Table3[Drawing
 Revision]),"")</f>
        <v>0</v>
      </c>
      <c r="H2525" s="118" cm="1">
        <f t="array" ref="H2525">IFERROR(INDEX(PDB!$C:$AT,MATCH(E2525,PDB!$B:$B,0),MATCH(YEAR(K2525),0+PDB!$C$1:$AT$1,0)),"")</f>
        <v>6.08</v>
      </c>
      <c r="I2525" s="36">
        <v>100</v>
      </c>
      <c r="J2525" s="155">
        <f>IFERROR(Table1[[#This Row],[Quantity]]*Table1[[#This Row],[Price/Unit
EUR]]," ")</f>
        <v>608</v>
      </c>
      <c r="K2525" s="126">
        <v>45573</v>
      </c>
      <c r="L2525" s="36">
        <f>WEEKNUM(Table1[[#This Row],[ETA
As requested
dd.mm.yyyy]])</f>
        <v>41</v>
      </c>
      <c r="M2525" s="36">
        <f>YEAR(Table1[[#This Row],[ETA
As requested
dd.mm.yyyy]])</f>
        <v>2024</v>
      </c>
      <c r="N2525" s="36">
        <f>IFERROR(INDEX(DATABASE_FG!$H$5:$H$367, MATCH(E2525, DATABASE_FG!$C$5:$C$367, 0)), " ")</f>
        <v>0</v>
      </c>
      <c r="O2525" s="129" t="str">
        <f>IF(E2525&lt;&gt;"", _xlfn.XLOOKUP(E2525, DATABASE_FG!C:C, DATABASE_FG!F:F), " ")</f>
        <v>Ghidaje</v>
      </c>
      <c r="P2525" s="36">
        <f>IFERROR(INDEX(DATABASE_FG!$G$5:$G$367, MATCH(E2525, DATABASE_FG!$C$5:$C$367, 0)), "Not Found")</f>
        <v>0</v>
      </c>
      <c r="Q2525" s="36"/>
      <c r="R2525" s="125" t="s">
        <v>678</v>
      </c>
      <c r="S2525" s="123">
        <f>IFERROR(INDEX(DATABASE_FG!$L$5:$L$367, MATCH(E2525, DATABASE_FG!$C$5:$C$367, 0)), " ")</f>
        <v>42</v>
      </c>
      <c r="T2525" s="36" t="s">
        <v>679</v>
      </c>
      <c r="U2525" s="36"/>
      <c r="V2525" s="36"/>
      <c r="W2525" s="129"/>
      <c r="X2525" s="36"/>
      <c r="Y2525" s="36"/>
      <c r="Z2525" s="36"/>
      <c r="AA2525" s="125" t="s">
        <v>121</v>
      </c>
      <c r="AB2525" s="173">
        <v>45566</v>
      </c>
      <c r="AC2525" s="119">
        <v>202401183</v>
      </c>
      <c r="AD2525" s="36">
        <f t="shared" si="278"/>
        <v>37521087</v>
      </c>
      <c r="AE2525" s="36" t="str">
        <f t="shared" si="279"/>
        <v>TK.KWVE30-B-A-SL-0038-WW1</v>
      </c>
      <c r="AF2525" s="36">
        <v>19</v>
      </c>
      <c r="AG2525" s="120">
        <f t="shared" si="277"/>
        <v>115.52</v>
      </c>
      <c r="AH2525" s="36"/>
      <c r="AI2525" s="124"/>
      <c r="AJ2525" s="122" t="s">
        <v>2409</v>
      </c>
      <c r="AK2525" s="129" t="str">
        <f t="shared" ca="1" si="276"/>
        <v>On Time</v>
      </c>
      <c r="AL2525" s="268" t="str">
        <f t="shared" si="275"/>
        <v>October</v>
      </c>
      <c r="AM2525" s="133">
        <f>YEAR(Table1[[#This Row],[ETA
As requested
dd.mm.yyyy]])</f>
        <v>2024</v>
      </c>
    </row>
    <row r="2526" spans="1:39" hidden="1">
      <c r="A2526" s="123" t="s">
        <v>83</v>
      </c>
      <c r="B2526" s="36" t="s">
        <v>1170</v>
      </c>
      <c r="C2526" s="117">
        <v>37521087</v>
      </c>
      <c r="D2526" s="165">
        <v>45527</v>
      </c>
      <c r="E2526" s="117" t="s">
        <v>103</v>
      </c>
      <c r="F2526" s="36" t="str">
        <f>IFERROR(VLOOKUP(Table1[[#This Row],[Part Number]],DATABASE_FG!$C$6:D12515,2,FALSE)," ")</f>
        <v>080817246-8011</v>
      </c>
      <c r="G2526" s="117">
        <f>IFERROR(_xlfn.XLOOKUP(Table1[[#This Row],[Part Number]],Table3[Part number],Table3[Drawing
 Revision]),"")</f>
        <v>0</v>
      </c>
      <c r="H2526" s="118" cm="1">
        <f t="array" ref="H2526">IFERROR(INDEX(PDB!$C:$AT,MATCH(E2526,PDB!$B:$B,0),MATCH(YEAR(K2526),0+PDB!$C$1:$AT$1,0)),"")</f>
        <v>6.08</v>
      </c>
      <c r="I2526" s="36">
        <v>0</v>
      </c>
      <c r="J2526" s="155">
        <f>IFERROR(Table1[[#This Row],[Quantity]]*Table1[[#This Row],[Price/Unit
EUR]]," ")</f>
        <v>0</v>
      </c>
      <c r="K2526" s="126">
        <v>45573</v>
      </c>
      <c r="L2526" s="36">
        <f>WEEKNUM(Table1[[#This Row],[ETA
As requested
dd.mm.yyyy]])</f>
        <v>41</v>
      </c>
      <c r="M2526" s="36">
        <f>YEAR(Table1[[#This Row],[ETA
As requested
dd.mm.yyyy]])</f>
        <v>2024</v>
      </c>
      <c r="N2526" s="36">
        <f>IFERROR(INDEX(DATABASE_FG!$H$5:$H$367, MATCH(E2526, DATABASE_FG!$C$5:$C$367, 0)), " ")</f>
        <v>0</v>
      </c>
      <c r="O2526" s="129" t="str">
        <f>IF(E2526&lt;&gt;"", _xlfn.XLOOKUP(E2526, DATABASE_FG!C:C, DATABASE_FG!F:F), " ")</f>
        <v>Ghidaje</v>
      </c>
      <c r="P2526" s="36">
        <f>IFERROR(INDEX(DATABASE_FG!$G$5:$G$367, MATCH(E2526, DATABASE_FG!$C$5:$C$367, 0)), "Not Found")</f>
        <v>0</v>
      </c>
      <c r="Q2526" s="36"/>
      <c r="R2526" s="125" t="s">
        <v>678</v>
      </c>
      <c r="S2526" s="123">
        <f>IFERROR(INDEX(DATABASE_FG!$L$5:$L$367, MATCH(E2526, DATABASE_FG!$C$5:$C$367, 0)), " ")</f>
        <v>42</v>
      </c>
      <c r="T2526" s="36" t="s">
        <v>679</v>
      </c>
      <c r="U2526" s="36"/>
      <c r="V2526" s="36"/>
      <c r="W2526" s="129"/>
      <c r="X2526" s="36"/>
      <c r="Y2526" s="36"/>
      <c r="Z2526" s="36"/>
      <c r="AA2526" s="125" t="s">
        <v>121</v>
      </c>
      <c r="AB2526" s="172">
        <v>45573</v>
      </c>
      <c r="AC2526" s="119">
        <v>202401228</v>
      </c>
      <c r="AD2526" s="36">
        <f t="shared" si="278"/>
        <v>37521087</v>
      </c>
      <c r="AE2526" s="36" t="str">
        <f t="shared" si="279"/>
        <v>TK.KWVE30-B-A-SL-0038-WW1</v>
      </c>
      <c r="AF2526" s="36">
        <v>81</v>
      </c>
      <c r="AG2526" s="120">
        <f t="shared" si="277"/>
        <v>492.48</v>
      </c>
      <c r="AH2526" s="36"/>
      <c r="AI2526" s="124"/>
      <c r="AJ2526" s="122" t="s">
        <v>2446</v>
      </c>
      <c r="AK2526" s="129" t="str">
        <f t="shared" ca="1" si="276"/>
        <v>On Time</v>
      </c>
      <c r="AL2526" s="268" t="str">
        <f t="shared" si="275"/>
        <v>October</v>
      </c>
      <c r="AM2526" s="133">
        <f>YEAR(Table1[[#This Row],[ETA
As requested
dd.mm.yyyy]])</f>
        <v>2024</v>
      </c>
    </row>
    <row r="2527" spans="1:39" hidden="1">
      <c r="A2527" s="123" t="s">
        <v>83</v>
      </c>
      <c r="B2527" s="36" t="s">
        <v>1170</v>
      </c>
      <c r="C2527" s="117">
        <v>37672812</v>
      </c>
      <c r="D2527" s="165">
        <v>45553</v>
      </c>
      <c r="E2527" s="117" t="s">
        <v>103</v>
      </c>
      <c r="F2527" s="36" t="str">
        <f>IFERROR(VLOOKUP(Table1[[#This Row],[Part Number]],DATABASE_FG!$C$6:D12516,2,FALSE)," ")</f>
        <v>080817246-8011</v>
      </c>
      <c r="G2527" s="117">
        <f>IFERROR(_xlfn.XLOOKUP(Table1[[#This Row],[Part Number]],Table3[Part number],Table3[Drawing
 Revision]),"")</f>
        <v>0</v>
      </c>
      <c r="H2527" s="118" cm="1">
        <f t="array" ref="H2527">IFERROR(INDEX(PDB!$C:$AT,MATCH(E2527,PDB!$B:$B,0),MATCH(YEAR(K2527),0+PDB!$C$1:$AT$1,0)),"")</f>
        <v>6.08</v>
      </c>
      <c r="I2527" s="36">
        <v>100</v>
      </c>
      <c r="J2527" s="155">
        <f>IFERROR(Table1[[#This Row],[Quantity]]*Table1[[#This Row],[Price/Unit
EUR]]," ")</f>
        <v>608</v>
      </c>
      <c r="K2527" s="126">
        <v>45580</v>
      </c>
      <c r="L2527" s="36">
        <f>WEEKNUM(Table1[[#This Row],[ETA
As requested
dd.mm.yyyy]])</f>
        <v>42</v>
      </c>
      <c r="M2527" s="36">
        <f>YEAR(Table1[[#This Row],[ETA
As requested
dd.mm.yyyy]])</f>
        <v>2024</v>
      </c>
      <c r="N2527" s="36">
        <f>IFERROR(INDEX(DATABASE_FG!$H$5:$H$367, MATCH(E2527, DATABASE_FG!$C$5:$C$367, 0)), " ")</f>
        <v>0</v>
      </c>
      <c r="O2527" s="129" t="str">
        <f>IF(E2527&lt;&gt;"", _xlfn.XLOOKUP(E2527, DATABASE_FG!C:C, DATABASE_FG!F:F), " ")</f>
        <v>Ghidaje</v>
      </c>
      <c r="P2527" s="36">
        <f>IFERROR(INDEX(DATABASE_FG!$G$5:$G$367, MATCH(E2527, DATABASE_FG!$C$5:$C$367, 0)), "Not Found")</f>
        <v>0</v>
      </c>
      <c r="Q2527" s="36"/>
      <c r="R2527" s="125" t="s">
        <v>678</v>
      </c>
      <c r="S2527" s="123">
        <f>IFERROR(INDEX(DATABASE_FG!$L$5:$L$367, MATCH(E2527, DATABASE_FG!$C$5:$C$367, 0)), " ")</f>
        <v>42</v>
      </c>
      <c r="T2527" s="36" t="s">
        <v>679</v>
      </c>
      <c r="U2527" s="36"/>
      <c r="V2527" s="36"/>
      <c r="W2527" s="129"/>
      <c r="X2527" s="36"/>
      <c r="Y2527" s="36"/>
      <c r="Z2527" s="36"/>
      <c r="AA2527" s="125" t="s">
        <v>121</v>
      </c>
      <c r="AB2527" s="172">
        <v>45573</v>
      </c>
      <c r="AC2527" s="119">
        <v>202401230</v>
      </c>
      <c r="AD2527" s="36">
        <f t="shared" si="278"/>
        <v>37672812</v>
      </c>
      <c r="AE2527" s="36" t="str">
        <f t="shared" si="279"/>
        <v>TK.KWVE30-B-A-SL-0038-WW1</v>
      </c>
      <c r="AF2527" s="36">
        <v>100</v>
      </c>
      <c r="AG2527" s="120">
        <f t="shared" si="277"/>
        <v>608</v>
      </c>
      <c r="AH2527" s="36"/>
      <c r="AI2527" s="124"/>
      <c r="AJ2527" s="122" t="s">
        <v>2467</v>
      </c>
      <c r="AK2527" s="129" t="str">
        <f t="shared" ca="1" si="276"/>
        <v>On Time</v>
      </c>
      <c r="AL2527" s="268" t="str">
        <f t="shared" si="275"/>
        <v>October</v>
      </c>
      <c r="AM2527" s="133">
        <f>YEAR(Table1[[#This Row],[ETA
As requested
dd.mm.yyyy]])</f>
        <v>2024</v>
      </c>
    </row>
    <row r="2528" spans="1:39" hidden="1">
      <c r="A2528" s="123" t="s">
        <v>83</v>
      </c>
      <c r="B2528" s="36" t="s">
        <v>1170</v>
      </c>
      <c r="C2528" s="117">
        <v>37672813</v>
      </c>
      <c r="D2528" s="165">
        <v>45553</v>
      </c>
      <c r="E2528" s="117" t="s">
        <v>103</v>
      </c>
      <c r="F2528" s="36" t="str">
        <f>IFERROR(VLOOKUP(Table1[[#This Row],[Part Number]],DATABASE_FG!$C$6:D12517,2,FALSE)," ")</f>
        <v>080817246-8011</v>
      </c>
      <c r="G2528" s="117">
        <f>IFERROR(_xlfn.XLOOKUP(Table1[[#This Row],[Part Number]],Table3[Part number],Table3[Drawing
 Revision]),"")</f>
        <v>0</v>
      </c>
      <c r="H2528" s="118" cm="1">
        <f t="array" ref="H2528">IFERROR(INDEX(PDB!$C:$AT,MATCH(E2528,PDB!$B:$B,0),MATCH(YEAR(K2528),0+PDB!$C$1:$AT$1,0)),"")</f>
        <v>6.08</v>
      </c>
      <c r="I2528" s="36">
        <v>50</v>
      </c>
      <c r="J2528" s="155">
        <f>IFERROR(Table1[[#This Row],[Quantity]]*Table1[[#This Row],[Price/Unit
EUR]]," ")</f>
        <v>304</v>
      </c>
      <c r="K2528" s="126">
        <v>45587</v>
      </c>
      <c r="L2528" s="36">
        <f>WEEKNUM(Table1[[#This Row],[ETA
As requested
dd.mm.yyyy]])</f>
        <v>43</v>
      </c>
      <c r="M2528" s="36">
        <f>YEAR(Table1[[#This Row],[ETA
As requested
dd.mm.yyyy]])</f>
        <v>2024</v>
      </c>
      <c r="N2528" s="36">
        <f>IFERROR(INDEX(DATABASE_FG!$H$5:$H$367, MATCH(E2528, DATABASE_FG!$C$5:$C$367, 0)), " ")</f>
        <v>0</v>
      </c>
      <c r="O2528" s="129" t="str">
        <f>IF(E2528&lt;&gt;"", _xlfn.XLOOKUP(E2528, DATABASE_FG!C:C, DATABASE_FG!F:F), " ")</f>
        <v>Ghidaje</v>
      </c>
      <c r="P2528" s="36">
        <f>IFERROR(INDEX(DATABASE_FG!$G$5:$G$367, MATCH(E2528, DATABASE_FG!$C$5:$C$367, 0)), "Not Found")</f>
        <v>0</v>
      </c>
      <c r="Q2528" s="36"/>
      <c r="R2528" s="125" t="s">
        <v>678</v>
      </c>
      <c r="S2528" s="123">
        <f>IFERROR(INDEX(DATABASE_FG!$L$5:$L$367, MATCH(E2528, DATABASE_FG!$C$5:$C$367, 0)), " ")</f>
        <v>42</v>
      </c>
      <c r="T2528" s="36" t="s">
        <v>679</v>
      </c>
      <c r="U2528" s="36"/>
      <c r="V2528" s="36"/>
      <c r="W2528" s="129"/>
      <c r="X2528" s="36"/>
      <c r="Y2528" s="36"/>
      <c r="Z2528" s="36"/>
      <c r="AA2528" s="125" t="s">
        <v>121</v>
      </c>
      <c r="AB2528" s="172">
        <v>45573</v>
      </c>
      <c r="AC2528" s="119">
        <v>202401231</v>
      </c>
      <c r="AD2528" s="36">
        <f t="shared" si="278"/>
        <v>37672813</v>
      </c>
      <c r="AE2528" s="36" t="str">
        <f t="shared" si="279"/>
        <v>TK.KWVE30-B-A-SL-0038-WW1</v>
      </c>
      <c r="AF2528" s="36">
        <v>50</v>
      </c>
      <c r="AG2528" s="120">
        <f t="shared" si="277"/>
        <v>304</v>
      </c>
      <c r="AH2528" s="36"/>
      <c r="AI2528" s="124"/>
      <c r="AJ2528" s="122" t="s">
        <v>2503</v>
      </c>
      <c r="AK2528" s="129" t="str">
        <f t="shared" ca="1" si="276"/>
        <v>On Time</v>
      </c>
      <c r="AL2528" s="268" t="str">
        <f t="shared" si="275"/>
        <v>October</v>
      </c>
      <c r="AM2528" s="133">
        <f>YEAR(Table1[[#This Row],[ETA
As requested
dd.mm.yyyy]])</f>
        <v>2024</v>
      </c>
    </row>
    <row r="2529" spans="1:39" hidden="1">
      <c r="A2529" s="123" t="s">
        <v>83</v>
      </c>
      <c r="B2529" s="36" t="s">
        <v>1170</v>
      </c>
      <c r="C2529" s="117">
        <v>37672814</v>
      </c>
      <c r="D2529" s="165">
        <v>45553</v>
      </c>
      <c r="E2529" s="117" t="s">
        <v>103</v>
      </c>
      <c r="F2529" s="36" t="str">
        <f>IFERROR(VLOOKUP(Table1[[#This Row],[Part Number]],DATABASE_FG!$C$6:D12518,2,FALSE)," ")</f>
        <v>080817246-8011</v>
      </c>
      <c r="G2529" s="117">
        <f>IFERROR(_xlfn.XLOOKUP(Table1[[#This Row],[Part Number]],Table3[Part number],Table3[Drawing
 Revision]),"")</f>
        <v>0</v>
      </c>
      <c r="H2529" s="118" cm="1">
        <f t="array" ref="H2529">IFERROR(INDEX(PDB!$C:$AT,MATCH(E2529,PDB!$B:$B,0),MATCH(YEAR(K2529),0+PDB!$C$1:$AT$1,0)),"")</f>
        <v>6.08</v>
      </c>
      <c r="I2529" s="36">
        <v>54</v>
      </c>
      <c r="J2529" s="155">
        <f>IFERROR(Table1[[#This Row],[Quantity]]*Table1[[#This Row],[Price/Unit
EUR]]," ")</f>
        <v>328.32</v>
      </c>
      <c r="K2529" s="126">
        <v>45594</v>
      </c>
      <c r="L2529" s="36">
        <f>WEEKNUM(Table1[[#This Row],[ETA
As requested
dd.mm.yyyy]])</f>
        <v>44</v>
      </c>
      <c r="M2529" s="36">
        <f>YEAR(Table1[[#This Row],[ETA
As requested
dd.mm.yyyy]])</f>
        <v>2024</v>
      </c>
      <c r="N2529" s="36">
        <f>IFERROR(INDEX(DATABASE_FG!$H$5:$H$367, MATCH(E2529, DATABASE_FG!$C$5:$C$367, 0)), " ")</f>
        <v>0</v>
      </c>
      <c r="O2529" s="129" t="str">
        <f>IF(E2529&lt;&gt;"", _xlfn.XLOOKUP(E2529, DATABASE_FG!C:C, DATABASE_FG!F:F), " ")</f>
        <v>Ghidaje</v>
      </c>
      <c r="P2529" s="36">
        <f>IFERROR(INDEX(DATABASE_FG!$G$5:$G$367, MATCH(E2529, DATABASE_FG!$C$5:$C$367, 0)), "Not Found")</f>
        <v>0</v>
      </c>
      <c r="Q2529" s="36"/>
      <c r="R2529" s="125" t="s">
        <v>678</v>
      </c>
      <c r="S2529" s="123">
        <f>IFERROR(INDEX(DATABASE_FG!$L$5:$L$367, MATCH(E2529, DATABASE_FG!$C$5:$C$367, 0)), " ")</f>
        <v>42</v>
      </c>
      <c r="T2529" s="36" t="s">
        <v>679</v>
      </c>
      <c r="U2529" s="36"/>
      <c r="V2529" s="36"/>
      <c r="W2529" s="129"/>
      <c r="X2529" s="36"/>
      <c r="Y2529" s="36"/>
      <c r="Z2529" s="36"/>
      <c r="AA2529" s="125" t="s">
        <v>121</v>
      </c>
      <c r="AB2529" s="172">
        <v>45573</v>
      </c>
      <c r="AC2529" s="119">
        <v>202401232</v>
      </c>
      <c r="AD2529" s="36">
        <f t="shared" si="278"/>
        <v>37672814</v>
      </c>
      <c r="AE2529" s="36" t="str">
        <f t="shared" si="279"/>
        <v>TK.KWVE30-B-A-SL-0038-WW1</v>
      </c>
      <c r="AF2529" s="36">
        <v>54</v>
      </c>
      <c r="AG2529" s="120">
        <f t="shared" si="277"/>
        <v>328.32</v>
      </c>
      <c r="AH2529" s="36"/>
      <c r="AI2529" s="124"/>
      <c r="AJ2529" s="122" t="s">
        <v>2526</v>
      </c>
      <c r="AK2529" s="129" t="str">
        <f t="shared" ca="1" si="276"/>
        <v>On Time</v>
      </c>
      <c r="AL2529" s="268" t="str">
        <f t="shared" si="275"/>
        <v>October</v>
      </c>
      <c r="AM2529" s="133">
        <f>YEAR(Table1[[#This Row],[ETA
As requested
dd.mm.yyyy]])</f>
        <v>2024</v>
      </c>
    </row>
    <row r="2530" spans="1:39" hidden="1">
      <c r="A2530" s="123" t="s">
        <v>83</v>
      </c>
      <c r="B2530" s="36" t="s">
        <v>1170</v>
      </c>
      <c r="C2530" s="117">
        <v>37871646</v>
      </c>
      <c r="D2530" s="165">
        <v>45587</v>
      </c>
      <c r="E2530" s="117" t="s">
        <v>103</v>
      </c>
      <c r="F2530" s="36" t="str">
        <f>IFERROR(VLOOKUP(Table1[[#This Row],[Part Number]],DATABASE_FG!$C$6:D12519,2,FALSE)," ")</f>
        <v>080817246-8011</v>
      </c>
      <c r="G2530" s="117">
        <f>IFERROR(_xlfn.XLOOKUP(Table1[[#This Row],[Part Number]],Table3[Part number],Table3[Drawing
 Revision]),"")</f>
        <v>0</v>
      </c>
      <c r="H2530" s="118" cm="1">
        <f t="array" ref="H2530">IFERROR(INDEX(PDB!$C:$AT,MATCH(E2530,PDB!$B:$B,0),MATCH(YEAR(K2530),0+PDB!$C$1:$AT$1,0)),"")</f>
        <v>6.08</v>
      </c>
      <c r="I2530" s="36">
        <v>200</v>
      </c>
      <c r="J2530" s="155">
        <f>IFERROR(Table1[[#This Row],[Quantity]]*Table1[[#This Row],[Price/Unit
EUR]]," ")</f>
        <v>1216</v>
      </c>
      <c r="K2530" s="126">
        <v>45601</v>
      </c>
      <c r="L2530" s="36">
        <f>WEEKNUM(Table1[[#This Row],[ETA
As requested
dd.mm.yyyy]])</f>
        <v>45</v>
      </c>
      <c r="M2530" s="36">
        <f>YEAR(Table1[[#This Row],[ETA
As requested
dd.mm.yyyy]])</f>
        <v>2024</v>
      </c>
      <c r="N2530" s="36">
        <f>IFERROR(INDEX(DATABASE_FG!$H$5:$H$367, MATCH(E2530, DATABASE_FG!$C$5:$C$367, 0)), " ")</f>
        <v>0</v>
      </c>
      <c r="O2530" s="129" t="str">
        <f>IF(E2530&lt;&gt;"", _xlfn.XLOOKUP(E2530, DATABASE_FG!C:C, DATABASE_FG!F:F), " ")</f>
        <v>Ghidaje</v>
      </c>
      <c r="P2530" s="36">
        <f>IFERROR(INDEX(DATABASE_FG!$G$5:$G$367, MATCH(E2530, DATABASE_FG!$C$5:$C$367, 0)), "Not Found")</f>
        <v>0</v>
      </c>
      <c r="Q2530" s="36"/>
      <c r="R2530" s="125" t="s">
        <v>678</v>
      </c>
      <c r="S2530" s="123">
        <f>IFERROR(INDEX(DATABASE_FG!$L$5:$L$367, MATCH(E2530, DATABASE_FG!$C$5:$C$367, 0)), " ")</f>
        <v>42</v>
      </c>
      <c r="T2530" s="36" t="s">
        <v>679</v>
      </c>
      <c r="U2530" s="36"/>
      <c r="V2530" s="36"/>
      <c r="W2530" s="129"/>
      <c r="X2530" s="36" t="s">
        <v>2555</v>
      </c>
      <c r="Y2530" s="36"/>
      <c r="Z2530" s="36"/>
      <c r="AA2530" s="125" t="s">
        <v>121</v>
      </c>
      <c r="AB2530" s="172">
        <v>45614</v>
      </c>
      <c r="AC2530" s="119">
        <v>202401399</v>
      </c>
      <c r="AD2530" s="36">
        <f t="shared" si="278"/>
        <v>37871646</v>
      </c>
      <c r="AE2530" s="36" t="str">
        <f t="shared" si="279"/>
        <v>TK.KWVE30-B-A-SL-0038-WW1</v>
      </c>
      <c r="AF2530" s="36">
        <v>200</v>
      </c>
      <c r="AG2530" s="120">
        <f t="shared" si="277"/>
        <v>1216</v>
      </c>
      <c r="AH2530" s="36"/>
      <c r="AI2530" s="124"/>
      <c r="AJ2530" s="122" t="s">
        <v>2556</v>
      </c>
      <c r="AK2530" s="129" t="str">
        <f t="shared" ca="1" si="276"/>
        <v>Late</v>
      </c>
      <c r="AL2530" s="268" t="str">
        <f t="shared" si="275"/>
        <v>November</v>
      </c>
      <c r="AM2530" s="133">
        <f>YEAR(Table1[[#This Row],[ETA
As requested
dd.mm.yyyy]])</f>
        <v>2024</v>
      </c>
    </row>
    <row r="2531" spans="1:39" hidden="1">
      <c r="A2531" s="123" t="s">
        <v>83</v>
      </c>
      <c r="B2531" s="36" t="s">
        <v>1170</v>
      </c>
      <c r="C2531" s="117">
        <v>37871646</v>
      </c>
      <c r="D2531" s="165">
        <v>45587</v>
      </c>
      <c r="E2531" s="117" t="s">
        <v>103</v>
      </c>
      <c r="F2531" s="36" t="str">
        <f>IFERROR(VLOOKUP(Table1[[#This Row],[Part Number]],DATABASE_FG!$C$6:D12520,2,FALSE)," ")</f>
        <v>080817246-8011</v>
      </c>
      <c r="G2531" s="117">
        <f>IFERROR(_xlfn.XLOOKUP(Table1[[#This Row],[Part Number]],Table3[Part number],Table3[Drawing
 Revision]),"")</f>
        <v>0</v>
      </c>
      <c r="H2531" s="118" cm="1">
        <f t="array" ref="H2531">IFERROR(INDEX(PDB!$C:$AT,MATCH(E2531,PDB!$B:$B,0),MATCH(YEAR(K2531),0+PDB!$C$1:$AT$1,0)),"")</f>
        <v>6.08</v>
      </c>
      <c r="I2531" s="36">
        <v>56</v>
      </c>
      <c r="J2531" s="155">
        <f>IFERROR(Table1[[#This Row],[Quantity]]*Table1[[#This Row],[Price/Unit
EUR]]," ")</f>
        <v>340.48</v>
      </c>
      <c r="K2531" s="126">
        <v>45608</v>
      </c>
      <c r="L2531" s="36">
        <f>WEEKNUM(Table1[[#This Row],[ETA
As requested
dd.mm.yyyy]])</f>
        <v>46</v>
      </c>
      <c r="M2531" s="36">
        <f>YEAR(Table1[[#This Row],[ETA
As requested
dd.mm.yyyy]])</f>
        <v>2024</v>
      </c>
      <c r="N2531" s="36">
        <f>IFERROR(INDEX(DATABASE_FG!$H$5:$H$367, MATCH(E2531, DATABASE_FG!$C$5:$C$367, 0)), " ")</f>
        <v>0</v>
      </c>
      <c r="O2531" s="129" t="str">
        <f>IF(E2531&lt;&gt;"", _xlfn.XLOOKUP(E2531, DATABASE_FG!C:C, DATABASE_FG!F:F), " ")</f>
        <v>Ghidaje</v>
      </c>
      <c r="P2531" s="36">
        <f>IFERROR(INDEX(DATABASE_FG!$G$5:$G$367, MATCH(E2531, DATABASE_FG!$C$5:$C$367, 0)), "Not Found")</f>
        <v>0</v>
      </c>
      <c r="Q2531" s="36"/>
      <c r="R2531" s="125" t="s">
        <v>678</v>
      </c>
      <c r="S2531" s="123">
        <f>IFERROR(INDEX(DATABASE_FG!$L$5:$L$367, MATCH(E2531, DATABASE_FG!$C$5:$C$367, 0)), " ")</f>
        <v>42</v>
      </c>
      <c r="T2531" s="36" t="s">
        <v>679</v>
      </c>
      <c r="U2531" s="36"/>
      <c r="V2531" s="36"/>
      <c r="W2531" s="129"/>
      <c r="X2531" s="36"/>
      <c r="Y2531" s="36"/>
      <c r="Z2531" s="36"/>
      <c r="AA2531" s="125" t="s">
        <v>121</v>
      </c>
      <c r="AB2531" s="172">
        <v>45614</v>
      </c>
      <c r="AC2531" s="119">
        <v>202401399</v>
      </c>
      <c r="AD2531" s="36">
        <f t="shared" si="278"/>
        <v>37871646</v>
      </c>
      <c r="AE2531" s="36" t="str">
        <f t="shared" si="279"/>
        <v>TK.KWVE30-B-A-SL-0038-WW1</v>
      </c>
      <c r="AF2531" s="36">
        <v>56</v>
      </c>
      <c r="AG2531" s="120">
        <f t="shared" si="277"/>
        <v>340.48</v>
      </c>
      <c r="AH2531" s="36"/>
      <c r="AI2531" s="124"/>
      <c r="AJ2531" s="122" t="s">
        <v>2556</v>
      </c>
      <c r="AK2531" s="129" t="str">
        <f t="shared" ca="1" si="276"/>
        <v>Late</v>
      </c>
      <c r="AL2531" s="268" t="str">
        <f t="shared" si="275"/>
        <v>November</v>
      </c>
      <c r="AM2531" s="133">
        <f>YEAR(Table1[[#This Row],[ETA
As requested
dd.mm.yyyy]])</f>
        <v>2024</v>
      </c>
    </row>
    <row r="2532" spans="1:39" hidden="1">
      <c r="A2532" s="123" t="s">
        <v>83</v>
      </c>
      <c r="B2532" s="36" t="s">
        <v>1170</v>
      </c>
      <c r="C2532" s="117">
        <v>37871646</v>
      </c>
      <c r="D2532" s="165">
        <v>45587</v>
      </c>
      <c r="E2532" s="117" t="s">
        <v>103</v>
      </c>
      <c r="F2532" s="36" t="str">
        <f>IFERROR(VLOOKUP(Table1[[#This Row],[Part Number]],DATABASE_FG!$C$6:D12521,2,FALSE)," ")</f>
        <v>080817246-8011</v>
      </c>
      <c r="G2532" s="117">
        <f>IFERROR(_xlfn.XLOOKUP(Table1[[#This Row],[Part Number]],Table3[Part number],Table3[Drawing
 Revision]),"")</f>
        <v>0</v>
      </c>
      <c r="H2532" s="118" cm="1">
        <f t="array" ref="H2532">IFERROR(INDEX(PDB!$C:$AT,MATCH(E2532,PDB!$B:$B,0),MATCH(YEAR(K2532),0+PDB!$C$1:$AT$1,0)),"")</f>
        <v>6.08</v>
      </c>
      <c r="I2532" s="36">
        <f>200-56</f>
        <v>144</v>
      </c>
      <c r="J2532" s="155">
        <f>IFERROR(Table1[[#This Row],[Quantity]]*Table1[[#This Row],[Price/Unit
EUR]]," ")</f>
        <v>875.52</v>
      </c>
      <c r="K2532" s="126">
        <v>45608</v>
      </c>
      <c r="L2532" s="36">
        <f>WEEKNUM(Table1[[#This Row],[ETA
As requested
dd.mm.yyyy]])</f>
        <v>46</v>
      </c>
      <c r="M2532" s="36">
        <f>YEAR(Table1[[#This Row],[ETA
As requested
dd.mm.yyyy]])</f>
        <v>2024</v>
      </c>
      <c r="N2532" s="36">
        <f>IFERROR(INDEX(DATABASE_FG!$H$5:$H$367, MATCH(E2532, DATABASE_FG!$C$5:$C$367, 0)), " ")</f>
        <v>0</v>
      </c>
      <c r="O2532" s="129" t="str">
        <f>IF(E2532&lt;&gt;"", _xlfn.XLOOKUP(E2532, DATABASE_FG!C:C, DATABASE_FG!F:F), " ")</f>
        <v>Ghidaje</v>
      </c>
      <c r="P2532" s="36">
        <f>IFERROR(INDEX(DATABASE_FG!$G$5:$G$367, MATCH(E2532, DATABASE_FG!$C$5:$C$367, 0)), "Not Found")</f>
        <v>0</v>
      </c>
      <c r="Q2532" s="36"/>
      <c r="R2532" s="125" t="s">
        <v>678</v>
      </c>
      <c r="S2532" s="123">
        <f>IFERROR(INDEX(DATABASE_FG!$L$5:$L$367, MATCH(E2532, DATABASE_FG!$C$5:$C$367, 0)), " ")</f>
        <v>42</v>
      </c>
      <c r="T2532" s="36" t="s">
        <v>679</v>
      </c>
      <c r="U2532" s="36"/>
      <c r="V2532" s="36"/>
      <c r="W2532" s="129"/>
      <c r="X2532" s="36"/>
      <c r="Y2532" s="36"/>
      <c r="Z2532" s="36"/>
      <c r="AA2532" s="125" t="s">
        <v>121</v>
      </c>
      <c r="AB2532" s="172">
        <v>45617</v>
      </c>
      <c r="AC2532" s="119">
        <v>20242011</v>
      </c>
      <c r="AD2532" s="36">
        <f t="shared" si="278"/>
        <v>37871646</v>
      </c>
      <c r="AE2532" s="36" t="str">
        <f t="shared" si="279"/>
        <v>TK.KWVE30-B-A-SL-0038-WW1</v>
      </c>
      <c r="AF2532" s="36">
        <v>144</v>
      </c>
      <c r="AG2532" s="120">
        <f t="shared" si="277"/>
        <v>875.52</v>
      </c>
      <c r="AH2532" s="36"/>
      <c r="AI2532" s="124"/>
      <c r="AJ2532" s="122" t="s">
        <v>2586</v>
      </c>
      <c r="AK2532" s="129" t="str">
        <f t="shared" ca="1" si="276"/>
        <v>Late</v>
      </c>
      <c r="AL2532" s="268" t="str">
        <f t="shared" si="275"/>
        <v>November</v>
      </c>
      <c r="AM2532" s="133">
        <f>YEAR(Table1[[#This Row],[ETA
As requested
dd.mm.yyyy]])</f>
        <v>2024</v>
      </c>
    </row>
    <row r="2533" spans="1:39" hidden="1">
      <c r="A2533" s="123" t="s">
        <v>83</v>
      </c>
      <c r="B2533" s="36" t="s">
        <v>1170</v>
      </c>
      <c r="C2533" s="117">
        <v>37871646</v>
      </c>
      <c r="D2533" s="165">
        <v>45587</v>
      </c>
      <c r="E2533" s="117" t="s">
        <v>103</v>
      </c>
      <c r="F2533" s="36" t="str">
        <f>IFERROR(VLOOKUP(Table1[[#This Row],[Part Number]],DATABASE_FG!$C$6:D12522,2,FALSE)," ")</f>
        <v>080817246-8011</v>
      </c>
      <c r="G2533" s="117">
        <f>IFERROR(_xlfn.XLOOKUP(Table1[[#This Row],[Part Number]],Table3[Part number],Table3[Drawing
 Revision]),"")</f>
        <v>0</v>
      </c>
      <c r="H2533" s="118" cm="1">
        <f t="array" ref="H2533">IFERROR(INDEX(PDB!$C:$AT,MATCH(E2533,PDB!$B:$B,0),MATCH(YEAR(K2533),0+PDB!$C$1:$AT$1,0)),"")</f>
        <v>6.08</v>
      </c>
      <c r="I2533" s="36">
        <f>186-144</f>
        <v>42</v>
      </c>
      <c r="J2533" s="155">
        <f>IFERROR(Table1[[#This Row],[Quantity]]*Table1[[#This Row],[Price/Unit
EUR]]," ")</f>
        <v>255.36</v>
      </c>
      <c r="K2533" s="126">
        <v>45615</v>
      </c>
      <c r="L2533" s="36">
        <f>WEEKNUM(Table1[[#This Row],[ETA
As requested
dd.mm.yyyy]])</f>
        <v>47</v>
      </c>
      <c r="M2533" s="36">
        <f>YEAR(Table1[[#This Row],[ETA
As requested
dd.mm.yyyy]])</f>
        <v>2024</v>
      </c>
      <c r="N2533" s="36">
        <f>IFERROR(INDEX(DATABASE_FG!$H$5:$H$367, MATCH(E2533, DATABASE_FG!$C$5:$C$367, 0)), " ")</f>
        <v>0</v>
      </c>
      <c r="O2533" s="129" t="str">
        <f>IF(E2533&lt;&gt;"", _xlfn.XLOOKUP(E2533, DATABASE_FG!C:C, DATABASE_FG!F:F), " ")</f>
        <v>Ghidaje</v>
      </c>
      <c r="P2533" s="36">
        <f>IFERROR(INDEX(DATABASE_FG!$G$5:$G$367, MATCH(E2533, DATABASE_FG!$C$5:$C$367, 0)), "Not Found")</f>
        <v>0</v>
      </c>
      <c r="Q2533" s="36"/>
      <c r="R2533" s="125" t="s">
        <v>678</v>
      </c>
      <c r="S2533" s="123">
        <f>IFERROR(INDEX(DATABASE_FG!$L$5:$L$367, MATCH(E2533, DATABASE_FG!$C$5:$C$367, 0)), " ")</f>
        <v>42</v>
      </c>
      <c r="T2533" s="36" t="s">
        <v>679</v>
      </c>
      <c r="U2533" s="36"/>
      <c r="V2533" s="36"/>
      <c r="W2533" s="129"/>
      <c r="X2533" s="36"/>
      <c r="Y2533" s="36"/>
      <c r="Z2533" s="36"/>
      <c r="AA2533" s="125" t="s">
        <v>121</v>
      </c>
      <c r="AB2533" s="172">
        <v>45617</v>
      </c>
      <c r="AC2533" s="119">
        <v>20242011</v>
      </c>
      <c r="AD2533" s="36">
        <f t="shared" si="278"/>
        <v>37871646</v>
      </c>
      <c r="AE2533" s="36" t="str">
        <f t="shared" si="279"/>
        <v>TK.KWVE30-B-A-SL-0038-WW1</v>
      </c>
      <c r="AF2533" s="36">
        <v>42</v>
      </c>
      <c r="AG2533" s="120">
        <f t="shared" si="277"/>
        <v>255.36</v>
      </c>
      <c r="AH2533" s="36"/>
      <c r="AI2533" s="124"/>
      <c r="AJ2533" s="122" t="s">
        <v>2586</v>
      </c>
      <c r="AK2533" s="129" t="str">
        <f t="shared" ca="1" si="276"/>
        <v>On Time</v>
      </c>
      <c r="AL2533" s="268" t="str">
        <f t="shared" si="275"/>
        <v>November</v>
      </c>
      <c r="AM2533" s="133">
        <f>YEAR(Table1[[#This Row],[ETA
As requested
dd.mm.yyyy]])</f>
        <v>2024</v>
      </c>
    </row>
    <row r="2534" spans="1:39" hidden="1">
      <c r="A2534" s="123" t="s">
        <v>83</v>
      </c>
      <c r="B2534" s="36" t="s">
        <v>1170</v>
      </c>
      <c r="C2534" s="117">
        <v>37871646</v>
      </c>
      <c r="D2534" s="165">
        <v>45587</v>
      </c>
      <c r="E2534" s="117" t="s">
        <v>103</v>
      </c>
      <c r="F2534" s="36" t="str">
        <f>IFERROR(VLOOKUP(Table1[[#This Row],[Part Number]],DATABASE_FG!$C$6:D12523,2,FALSE)," ")</f>
        <v>080817246-8011</v>
      </c>
      <c r="G2534" s="117">
        <f>IFERROR(_xlfn.XLOOKUP(Table1[[#This Row],[Part Number]],Table3[Part number],Table3[Drawing
 Revision]),"")</f>
        <v>0</v>
      </c>
      <c r="H2534" s="118" cm="1">
        <f t="array" ref="H2534">IFERROR(INDEX(PDB!$C:$AT,MATCH(E2534,PDB!$B:$B,0),MATCH(YEAR(K2534),0+PDB!$C$1:$AT$1,0)),"")</f>
        <v>6.08</v>
      </c>
      <c r="I2534" s="36">
        <v>31</v>
      </c>
      <c r="J2534" s="155">
        <f>IFERROR(Table1[[#This Row],[Quantity]]*Table1[[#This Row],[Price/Unit
EUR]]," ")</f>
        <v>188.48</v>
      </c>
      <c r="K2534" s="126">
        <v>45615</v>
      </c>
      <c r="L2534" s="36">
        <f>WEEKNUM(Table1[[#This Row],[ETA
As requested
dd.mm.yyyy]])</f>
        <v>47</v>
      </c>
      <c r="M2534" s="36">
        <f>YEAR(Table1[[#This Row],[ETA
As requested
dd.mm.yyyy]])</f>
        <v>2024</v>
      </c>
      <c r="N2534" s="36">
        <f>IFERROR(INDEX(DATABASE_FG!$H$5:$H$367, MATCH(E2534, DATABASE_FG!$C$5:$C$367, 0)), " ")</f>
        <v>0</v>
      </c>
      <c r="O2534" s="129" t="str">
        <f>IF(E2534&lt;&gt;"", _xlfn.XLOOKUP(E2534, DATABASE_FG!C:C, DATABASE_FG!F:F), " ")</f>
        <v>Ghidaje</v>
      </c>
      <c r="P2534" s="36">
        <f>IFERROR(INDEX(DATABASE_FG!$G$5:$G$367, MATCH(E2534, DATABASE_FG!$C$5:$C$367, 0)), "Not Found")</f>
        <v>0</v>
      </c>
      <c r="Q2534" s="36"/>
      <c r="R2534" s="125" t="s">
        <v>678</v>
      </c>
      <c r="S2534" s="123">
        <f>IFERROR(INDEX(DATABASE_FG!$L$5:$L$367, MATCH(E2534, DATABASE_FG!$C$5:$C$367, 0)), " ")</f>
        <v>42</v>
      </c>
      <c r="T2534" s="36" t="s">
        <v>679</v>
      </c>
      <c r="U2534" s="36"/>
      <c r="V2534" s="36"/>
      <c r="W2534" s="129"/>
      <c r="X2534" s="36"/>
      <c r="Y2534" s="36"/>
      <c r="Z2534" s="36"/>
      <c r="AA2534" s="125" t="s">
        <v>121</v>
      </c>
      <c r="AB2534" s="172">
        <v>45617</v>
      </c>
      <c r="AC2534" s="119">
        <v>20242012</v>
      </c>
      <c r="AD2534" s="36">
        <f t="shared" si="278"/>
        <v>37871646</v>
      </c>
      <c r="AE2534" s="36" t="str">
        <f t="shared" si="279"/>
        <v>TK.KWVE30-B-A-SL-0038-WW1</v>
      </c>
      <c r="AF2534" s="36">
        <v>31</v>
      </c>
      <c r="AG2534" s="120">
        <f t="shared" si="277"/>
        <v>188.48</v>
      </c>
      <c r="AH2534" s="36"/>
      <c r="AI2534" s="124"/>
      <c r="AJ2534" s="122" t="s">
        <v>2609</v>
      </c>
      <c r="AK2534" s="129" t="str">
        <f t="shared" ca="1" si="276"/>
        <v>On Time</v>
      </c>
      <c r="AL2534" s="268" t="str">
        <f t="shared" si="275"/>
        <v>November</v>
      </c>
      <c r="AM2534" s="133">
        <f>YEAR(Table1[[#This Row],[ETA
As requested
dd.mm.yyyy]])</f>
        <v>2024</v>
      </c>
    </row>
    <row r="2535" spans="1:39" hidden="1">
      <c r="A2535" s="123" t="s">
        <v>83</v>
      </c>
      <c r="B2535" s="36" t="s">
        <v>1170</v>
      </c>
      <c r="C2535" s="117">
        <v>37871646</v>
      </c>
      <c r="D2535" s="165">
        <v>45587</v>
      </c>
      <c r="E2535" s="117" t="s">
        <v>103</v>
      </c>
      <c r="F2535" s="36" t="str">
        <f>IFERROR(VLOOKUP(Table1[[#This Row],[Part Number]],DATABASE_FG!$C$6:D12524,2,FALSE)," ")</f>
        <v>080817246-8011</v>
      </c>
      <c r="G2535" s="117">
        <f>IFERROR(_xlfn.XLOOKUP(Table1[[#This Row],[Part Number]],Table3[Part number],Table3[Drawing
 Revision]),"")</f>
        <v>0</v>
      </c>
      <c r="H2535" s="118" cm="1">
        <f t="array" ref="H2535">IFERROR(INDEX(PDB!$C:$AT,MATCH(E2535,PDB!$B:$B,0),MATCH(YEAR(K2535),0+PDB!$C$1:$AT$1,0)),"")</f>
        <v>6.08</v>
      </c>
      <c r="I2535" s="36">
        <f>200-42-31</f>
        <v>127</v>
      </c>
      <c r="J2535" s="155">
        <f>IFERROR(Table1[[#This Row],[Quantity]]*Table1[[#This Row],[Price/Unit
EUR]]," ")</f>
        <v>772.16</v>
      </c>
      <c r="K2535" s="126">
        <v>45615</v>
      </c>
      <c r="L2535" s="36">
        <f>WEEKNUM(Table1[[#This Row],[ETA
As requested
dd.mm.yyyy]])</f>
        <v>47</v>
      </c>
      <c r="M2535" s="36">
        <f>YEAR(Table1[[#This Row],[ETA
As requested
dd.mm.yyyy]])</f>
        <v>2024</v>
      </c>
      <c r="N2535" s="36">
        <f>IFERROR(INDEX(DATABASE_FG!$H$5:$H$367, MATCH(E2535, DATABASE_FG!$C$5:$C$367, 0)), " ")</f>
        <v>0</v>
      </c>
      <c r="O2535" s="129" t="str">
        <f>IF(E2535&lt;&gt;"", _xlfn.XLOOKUP(E2535, DATABASE_FG!C:C, DATABASE_FG!F:F), " ")</f>
        <v>Ghidaje</v>
      </c>
      <c r="P2535" s="36">
        <f>IFERROR(INDEX(DATABASE_FG!$G$5:$G$367, MATCH(E2535, DATABASE_FG!$C$5:$C$367, 0)), "Not Found")</f>
        <v>0</v>
      </c>
      <c r="Q2535" s="36"/>
      <c r="R2535" s="125" t="s">
        <v>678</v>
      </c>
      <c r="S2535" s="123">
        <f>IFERROR(INDEX(DATABASE_FG!$L$5:$L$367, MATCH(E2535, DATABASE_FG!$C$5:$C$367, 0)), " ")</f>
        <v>42</v>
      </c>
      <c r="T2535" s="36" t="s">
        <v>679</v>
      </c>
      <c r="U2535" s="36"/>
      <c r="V2535" s="36"/>
      <c r="W2535" s="129"/>
      <c r="X2535" s="36"/>
      <c r="Y2535" s="36"/>
      <c r="Z2535" s="36"/>
      <c r="AA2535" s="125" t="s">
        <v>121</v>
      </c>
      <c r="AB2535" s="172">
        <v>45623</v>
      </c>
      <c r="AC2535" s="119">
        <v>202401429</v>
      </c>
      <c r="AD2535" s="36">
        <f t="shared" si="278"/>
        <v>37871646</v>
      </c>
      <c r="AE2535" s="36" t="str">
        <f t="shared" si="279"/>
        <v>TK.KWVE30-B-A-SL-0038-WW1</v>
      </c>
      <c r="AF2535" s="36">
        <v>127</v>
      </c>
      <c r="AG2535" s="120">
        <f t="shared" si="277"/>
        <v>772.16</v>
      </c>
      <c r="AH2535" s="36"/>
      <c r="AI2535" s="124"/>
      <c r="AJ2535" s="122" t="s">
        <v>2611</v>
      </c>
      <c r="AK2535" s="129" t="str">
        <f t="shared" ca="1" si="276"/>
        <v>Late</v>
      </c>
      <c r="AL2535" s="268" t="str">
        <f t="shared" si="275"/>
        <v>November</v>
      </c>
      <c r="AM2535" s="133">
        <f>YEAR(Table1[[#This Row],[ETA
As requested
dd.mm.yyyy]])</f>
        <v>2024</v>
      </c>
    </row>
    <row r="2536" spans="1:39" hidden="1">
      <c r="A2536" s="123" t="s">
        <v>83</v>
      </c>
      <c r="B2536" s="36" t="s">
        <v>1170</v>
      </c>
      <c r="C2536" s="117">
        <v>38036681</v>
      </c>
      <c r="D2536" s="165">
        <v>45614</v>
      </c>
      <c r="E2536" s="117" t="s">
        <v>103</v>
      </c>
      <c r="F2536" s="36" t="str">
        <f>IFERROR(VLOOKUP(Table1[[#This Row],[Part Number]],DATABASE_FG!$C$6:D12525,2,FALSE)," ")</f>
        <v>080817246-8011</v>
      </c>
      <c r="G2536" s="117">
        <f>IFERROR(_xlfn.XLOOKUP(Table1[[#This Row],[Part Number]],Table3[Part number],Table3[Drawing
 Revision]),"")</f>
        <v>0</v>
      </c>
      <c r="H2536" s="118" cm="1">
        <f t="array" ref="H2536">IFERROR(INDEX(PDB!$C:$AT,MATCH(E2536,PDB!$B:$B,0),MATCH(YEAR(K2536),0+PDB!$C$1:$AT$1,0)),"")</f>
        <v>6.08</v>
      </c>
      <c r="I2536" s="36">
        <v>150</v>
      </c>
      <c r="J2536" s="155">
        <f>IFERROR(Table1[[#This Row],[Quantity]]*Table1[[#This Row],[Price/Unit
EUR]]," ")</f>
        <v>912</v>
      </c>
      <c r="K2536" s="126">
        <v>45629</v>
      </c>
      <c r="L2536" s="36">
        <f>WEEKNUM(Table1[[#This Row],[ETA
As requested
dd.mm.yyyy]])</f>
        <v>49</v>
      </c>
      <c r="M2536" s="36">
        <f>YEAR(Table1[[#This Row],[ETA
As requested
dd.mm.yyyy]])</f>
        <v>2024</v>
      </c>
      <c r="N2536" s="36">
        <f>IFERROR(INDEX(DATABASE_FG!$H$5:$H$367, MATCH(E2536, DATABASE_FG!$C$5:$C$367, 0)), " ")</f>
        <v>0</v>
      </c>
      <c r="O2536" s="129" t="str">
        <f>IF(E2536&lt;&gt;"", _xlfn.XLOOKUP(E2536, DATABASE_FG!C:C, DATABASE_FG!F:F), " ")</f>
        <v>Ghidaje</v>
      </c>
      <c r="P2536" s="36">
        <f>IFERROR(INDEX(DATABASE_FG!$G$5:$G$367, MATCH(E2536, DATABASE_FG!$C$5:$C$367, 0)), "Not Found")</f>
        <v>0</v>
      </c>
      <c r="Q2536" s="36"/>
      <c r="R2536" s="125" t="s">
        <v>678</v>
      </c>
      <c r="S2536" s="123">
        <f>IFERROR(INDEX(DATABASE_FG!$L$5:$L$367, MATCH(E2536, DATABASE_FG!$C$5:$C$367, 0)), " ")</f>
        <v>42</v>
      </c>
      <c r="T2536" s="36" t="s">
        <v>679</v>
      </c>
      <c r="U2536" s="36"/>
      <c r="V2536" s="36"/>
      <c r="W2536" s="129"/>
      <c r="X2536" s="36"/>
      <c r="Y2536" s="36"/>
      <c r="Z2536" s="36"/>
      <c r="AA2536" s="125" t="s">
        <v>121</v>
      </c>
      <c r="AB2536" s="172">
        <v>45629</v>
      </c>
      <c r="AC2536" s="119">
        <v>202401458</v>
      </c>
      <c r="AD2536" s="36">
        <f t="shared" si="278"/>
        <v>38036681</v>
      </c>
      <c r="AE2536" s="36" t="str">
        <f t="shared" si="279"/>
        <v>TK.KWVE30-B-A-SL-0038-WW1</v>
      </c>
      <c r="AF2536" s="36">
        <v>150</v>
      </c>
      <c r="AG2536" s="120">
        <f t="shared" si="277"/>
        <v>912</v>
      </c>
      <c r="AH2536" s="36"/>
      <c r="AI2536" s="124"/>
      <c r="AJ2536" s="122" t="s">
        <v>2640</v>
      </c>
      <c r="AK2536" s="129" t="str">
        <f t="shared" ca="1" si="276"/>
        <v>On Time</v>
      </c>
      <c r="AL2536" s="268" t="str">
        <f t="shared" si="275"/>
        <v>December</v>
      </c>
      <c r="AM2536" s="133">
        <f>YEAR(Table1[[#This Row],[ETA
As requested
dd.mm.yyyy]])</f>
        <v>2024</v>
      </c>
    </row>
    <row r="2537" spans="1:39" hidden="1">
      <c r="A2537" s="123" t="s">
        <v>83</v>
      </c>
      <c r="B2537" s="36" t="s">
        <v>1170</v>
      </c>
      <c r="C2537" s="117">
        <v>38036681</v>
      </c>
      <c r="D2537" s="165">
        <v>45614</v>
      </c>
      <c r="E2537" s="117" t="s">
        <v>103</v>
      </c>
      <c r="F2537" s="36" t="str">
        <f>IFERROR(VLOOKUP(Table1[[#This Row],[Part Number]],DATABASE_FG!$C$6:D12526,2,FALSE)," ")</f>
        <v>080817246-8011</v>
      </c>
      <c r="G2537" s="117">
        <f>IFERROR(_xlfn.XLOOKUP(Table1[[#This Row],[Part Number]],Table3[Part number],Table3[Drawing
 Revision]),"")</f>
        <v>0</v>
      </c>
      <c r="H2537" s="118" cm="1">
        <f t="array" ref="H2537">IFERROR(INDEX(PDB!$C:$AT,MATCH(E2537,PDB!$B:$B,0),MATCH(YEAR(K2537),0+PDB!$C$1:$AT$1,0)),"")</f>
        <v>6.08</v>
      </c>
      <c r="I2537" s="36">
        <v>150</v>
      </c>
      <c r="J2537" s="155">
        <f>IFERROR(Table1[[#This Row],[Quantity]]*Table1[[#This Row],[Price/Unit
EUR]]," ")</f>
        <v>912</v>
      </c>
      <c r="K2537" s="126">
        <v>45636</v>
      </c>
      <c r="L2537" s="36">
        <f>WEEKNUM(Table1[[#This Row],[ETA
As requested
dd.mm.yyyy]])</f>
        <v>50</v>
      </c>
      <c r="M2537" s="36">
        <f>YEAR(Table1[[#This Row],[ETA
As requested
dd.mm.yyyy]])</f>
        <v>2024</v>
      </c>
      <c r="N2537" s="36">
        <f>IFERROR(INDEX(DATABASE_FG!$H$5:$H$367, MATCH(E2537, DATABASE_FG!$C$5:$C$367, 0)), " ")</f>
        <v>0</v>
      </c>
      <c r="O2537" s="129" t="str">
        <f>IF(E2537&lt;&gt;"", _xlfn.XLOOKUP(E2537, DATABASE_FG!C:C, DATABASE_FG!F:F), " ")</f>
        <v>Ghidaje</v>
      </c>
      <c r="P2537" s="36">
        <f>IFERROR(INDEX(DATABASE_FG!$G$5:$G$367, MATCH(E2537, DATABASE_FG!$C$5:$C$367, 0)), "Not Found")</f>
        <v>0</v>
      </c>
      <c r="Q2537" s="36"/>
      <c r="R2537" s="125" t="s">
        <v>678</v>
      </c>
      <c r="S2537" s="123">
        <f>IFERROR(INDEX(DATABASE_FG!$L$5:$L$367, MATCH(E2537, DATABASE_FG!$C$5:$C$367, 0)), " ")</f>
        <v>42</v>
      </c>
      <c r="T2537" s="36" t="s">
        <v>679</v>
      </c>
      <c r="U2537" s="36"/>
      <c r="V2537" s="36"/>
      <c r="W2537" s="129"/>
      <c r="X2537" s="36"/>
      <c r="Y2537" s="36"/>
      <c r="Z2537" s="36"/>
      <c r="AA2537" s="125" t="s">
        <v>121</v>
      </c>
      <c r="AB2537" s="172">
        <v>45629</v>
      </c>
      <c r="AC2537" s="119">
        <v>202401458</v>
      </c>
      <c r="AD2537" s="36">
        <f t="shared" si="278"/>
        <v>38036681</v>
      </c>
      <c r="AE2537" s="36" t="str">
        <f t="shared" si="279"/>
        <v>TK.KWVE30-B-A-SL-0038-WW1</v>
      </c>
      <c r="AF2537" s="36">
        <v>150</v>
      </c>
      <c r="AG2537" s="120">
        <f t="shared" si="277"/>
        <v>912</v>
      </c>
      <c r="AH2537" s="36"/>
      <c r="AI2537" s="124"/>
      <c r="AJ2537" s="122" t="s">
        <v>2640</v>
      </c>
      <c r="AK2537" s="129" t="str">
        <f t="shared" ca="1" si="276"/>
        <v>On Time</v>
      </c>
      <c r="AL2537" s="268" t="str">
        <f t="shared" si="275"/>
        <v>December</v>
      </c>
      <c r="AM2537" s="133">
        <f>YEAR(Table1[[#This Row],[ETA
As requested
dd.mm.yyyy]])</f>
        <v>2024</v>
      </c>
    </row>
    <row r="2538" spans="1:39" hidden="1">
      <c r="A2538" s="123" t="s">
        <v>83</v>
      </c>
      <c r="B2538" s="36" t="s">
        <v>1170</v>
      </c>
      <c r="C2538" s="117">
        <v>38215983</v>
      </c>
      <c r="D2538" s="165">
        <v>45635</v>
      </c>
      <c r="E2538" s="117" t="s">
        <v>103</v>
      </c>
      <c r="F2538" s="36" t="str">
        <f>IFERROR(VLOOKUP(Table1[[#This Row],[Part Number]],DATABASE_FG!$C$6:D12527,2,FALSE)," ")</f>
        <v>080817246-8011</v>
      </c>
      <c r="G2538" s="117">
        <f>IFERROR(_xlfn.XLOOKUP(Table1[[#This Row],[Part Number]],Table3[Part number],Table3[Drawing
 Revision]),"")</f>
        <v>0</v>
      </c>
      <c r="H2538" s="118" cm="1">
        <f t="array" ref="H2538">IFERROR(INDEX(PDB!$C:$AT,MATCH(E2538,PDB!$B:$B,0),MATCH(YEAR(K2538),0+PDB!$C$1:$AT$1,0)),"")</f>
        <v>6.08</v>
      </c>
      <c r="I2538" s="36">
        <v>150</v>
      </c>
      <c r="J2538" s="155">
        <f>IFERROR(Table1[[#This Row],[Quantity]]*Table1[[#This Row],[Price/Unit
EUR]]," ")</f>
        <v>912</v>
      </c>
      <c r="K2538" s="126">
        <v>45666</v>
      </c>
      <c r="L2538" s="36">
        <f>WEEKNUM(Table1[[#This Row],[ETA
As requested
dd.mm.yyyy]])</f>
        <v>2</v>
      </c>
      <c r="M2538" s="36">
        <f>YEAR(Table1[[#This Row],[ETA
As requested
dd.mm.yyyy]])</f>
        <v>2025</v>
      </c>
      <c r="N2538" s="36">
        <f>IFERROR(INDEX(DATABASE_FG!$H$5:$H$367, MATCH(E2538, DATABASE_FG!$C$5:$C$367, 0)), " ")</f>
        <v>0</v>
      </c>
      <c r="O2538" s="129" t="str">
        <f>IF(E2538&lt;&gt;"", _xlfn.XLOOKUP(E2538, DATABASE_FG!C:C, DATABASE_FG!F:F), " ")</f>
        <v>Ghidaje</v>
      </c>
      <c r="P2538" s="36">
        <f>IFERROR(INDEX(DATABASE_FG!$G$5:$G$367, MATCH(E2538, DATABASE_FG!$C$5:$C$367, 0)), "Not Found")</f>
        <v>0</v>
      </c>
      <c r="Q2538" s="36"/>
      <c r="R2538" s="125" t="s">
        <v>678</v>
      </c>
      <c r="S2538" s="123">
        <f>IFERROR(INDEX(DATABASE_FG!$L$5:$L$367, MATCH(E2538, DATABASE_FG!$C$5:$C$367, 0)), " ")</f>
        <v>42</v>
      </c>
      <c r="T2538" s="36" t="s">
        <v>679</v>
      </c>
      <c r="U2538" s="36"/>
      <c r="V2538" s="36"/>
      <c r="W2538" s="129"/>
      <c r="X2538" s="36"/>
      <c r="Y2538" s="36"/>
      <c r="Z2538" s="36"/>
      <c r="AA2538" s="125" t="s">
        <v>121</v>
      </c>
      <c r="AB2538" s="172">
        <v>45667</v>
      </c>
      <c r="AC2538" s="119" t="s">
        <v>2691</v>
      </c>
      <c r="AD2538" s="36">
        <f t="shared" si="278"/>
        <v>38215983</v>
      </c>
      <c r="AE2538" s="36" t="str">
        <f t="shared" si="279"/>
        <v>TK.KWVE30-B-A-SL-0038-WW1</v>
      </c>
      <c r="AF2538" s="36">
        <v>150</v>
      </c>
      <c r="AG2538" s="120">
        <f t="shared" si="277"/>
        <v>912</v>
      </c>
      <c r="AH2538" s="36"/>
      <c r="AI2538" s="124"/>
      <c r="AJ2538" s="122" t="s">
        <v>2692</v>
      </c>
      <c r="AK2538" s="129" t="str">
        <f t="shared" ca="1" si="276"/>
        <v>On Time</v>
      </c>
      <c r="AL2538" s="268" t="str">
        <f t="shared" si="275"/>
        <v>January</v>
      </c>
      <c r="AM2538" s="133">
        <f>YEAR(Table1[[#This Row],[ETA
As requested
dd.mm.yyyy]])</f>
        <v>2025</v>
      </c>
    </row>
    <row r="2539" spans="1:39" hidden="1">
      <c r="A2539" s="123" t="s">
        <v>83</v>
      </c>
      <c r="B2539" s="36" t="s">
        <v>1170</v>
      </c>
      <c r="C2539" s="117">
        <v>38397723</v>
      </c>
      <c r="D2539" s="165">
        <v>45667</v>
      </c>
      <c r="E2539" s="117" t="s">
        <v>103</v>
      </c>
      <c r="F2539" s="36" t="str">
        <f>IFERROR(VLOOKUP(Table1[[#This Row],[Part Number]],DATABASE_FG!$C$6:D12528,2,FALSE)," ")</f>
        <v>080817246-8011</v>
      </c>
      <c r="G2539" s="117">
        <f>IFERROR(_xlfn.XLOOKUP(Table1[[#This Row],[Part Number]],Table3[Part number],Table3[Drawing
 Revision]),"")</f>
        <v>0</v>
      </c>
      <c r="H2539" s="118" cm="1">
        <f t="array" ref="H2539">IFERROR(INDEX(PDB!$C:$AT,MATCH(E2539,PDB!$B:$B,0),MATCH(YEAR(K2539),0+PDB!$C$1:$AT$1,0)),"")</f>
        <v>6.08</v>
      </c>
      <c r="I2539" s="36">
        <v>6</v>
      </c>
      <c r="J2539" s="155">
        <f>IFERROR(Table1[[#This Row],[Quantity]]*Table1[[#This Row],[Price/Unit
EUR]]," ")</f>
        <v>36.480000000000004</v>
      </c>
      <c r="K2539" s="126">
        <v>45680</v>
      </c>
      <c r="L2539" s="36">
        <f>WEEKNUM(Table1[[#This Row],[ETA
As requested
dd.mm.yyyy]])</f>
        <v>4</v>
      </c>
      <c r="M2539" s="36">
        <f>YEAR(Table1[[#This Row],[ETA
As requested
dd.mm.yyyy]])</f>
        <v>2025</v>
      </c>
      <c r="N2539" s="36">
        <f>IFERROR(INDEX(DATABASE_FG!$H$5:$H$367, MATCH(E2539, DATABASE_FG!$C$5:$C$367, 0)), " ")</f>
        <v>0</v>
      </c>
      <c r="O2539" s="129" t="str">
        <f>IF(E2539&lt;&gt;"", _xlfn.XLOOKUP(E2539, DATABASE_FG!C:C, DATABASE_FG!F:F), " ")</f>
        <v>Ghidaje</v>
      </c>
      <c r="P2539" s="36">
        <f>IFERROR(INDEX(DATABASE_FG!$G$5:$G$367, MATCH(E2539, DATABASE_FG!$C$5:$C$367, 0)), "Not Found")</f>
        <v>0</v>
      </c>
      <c r="Q2539" s="36"/>
      <c r="R2539" s="125" t="s">
        <v>678</v>
      </c>
      <c r="S2539" s="123">
        <f>IFERROR(INDEX(DATABASE_FG!$L$5:$L$367, MATCH(E2539, DATABASE_FG!$C$5:$C$367, 0)), " ")</f>
        <v>42</v>
      </c>
      <c r="T2539" s="36" t="s">
        <v>679</v>
      </c>
      <c r="U2539" s="36"/>
      <c r="V2539" s="36"/>
      <c r="W2539" s="129"/>
      <c r="X2539" s="36"/>
      <c r="Y2539" s="36"/>
      <c r="Z2539" s="36"/>
      <c r="AA2539" s="125" t="s">
        <v>121</v>
      </c>
      <c r="AB2539" s="172">
        <v>45671</v>
      </c>
      <c r="AC2539" s="119" t="s">
        <v>2746</v>
      </c>
      <c r="AD2539" s="36">
        <f t="shared" si="278"/>
        <v>38397723</v>
      </c>
      <c r="AE2539" s="36" t="str">
        <f t="shared" si="279"/>
        <v>TK.KWVE30-B-A-SL-0038-WW1</v>
      </c>
      <c r="AF2539" s="36">
        <v>6</v>
      </c>
      <c r="AG2539" s="120">
        <f t="shared" si="277"/>
        <v>36.480000000000004</v>
      </c>
      <c r="AH2539" s="36"/>
      <c r="AI2539" s="124"/>
      <c r="AJ2539" s="122" t="s">
        <v>2747</v>
      </c>
      <c r="AK2539" s="129" t="str">
        <f t="shared" ca="1" si="276"/>
        <v>On Time</v>
      </c>
      <c r="AL2539" s="268" t="str">
        <f t="shared" si="275"/>
        <v>January</v>
      </c>
      <c r="AM2539" s="133">
        <f>YEAR(Table1[[#This Row],[ETA
As requested
dd.mm.yyyy]])</f>
        <v>2025</v>
      </c>
    </row>
    <row r="2540" spans="1:39" hidden="1">
      <c r="A2540" s="123" t="s">
        <v>83</v>
      </c>
      <c r="B2540" s="36" t="s">
        <v>1170</v>
      </c>
      <c r="C2540" s="117">
        <v>38397723</v>
      </c>
      <c r="D2540" s="165">
        <v>45667</v>
      </c>
      <c r="E2540" s="117" t="s">
        <v>103</v>
      </c>
      <c r="F2540" s="36" t="str">
        <f>IFERROR(VLOOKUP(Table1[[#This Row],[Part Number]],DATABASE_FG!$C$6:D12529,2,FALSE)," ")</f>
        <v>080817246-8011</v>
      </c>
      <c r="G2540" s="117">
        <f>IFERROR(_xlfn.XLOOKUP(Table1[[#This Row],[Part Number]],Table3[Part number],Table3[Drawing
 Revision]),"")</f>
        <v>0</v>
      </c>
      <c r="H2540" s="118" cm="1">
        <f t="array" ref="H2540">IFERROR(INDEX(PDB!$C:$AT,MATCH(E2540,PDB!$B:$B,0),MATCH(YEAR(K2540),0+PDB!$C$1:$AT$1,0)),"")</f>
        <v>6.08</v>
      </c>
      <c r="I2540" s="36">
        <v>121</v>
      </c>
      <c r="J2540" s="155">
        <f>IFERROR(Table1[[#This Row],[Quantity]]*Table1[[#This Row],[Price/Unit
EUR]]," ")</f>
        <v>735.68000000000006</v>
      </c>
      <c r="K2540" s="126">
        <v>45680</v>
      </c>
      <c r="L2540" s="36">
        <f>WEEKNUM(Table1[[#This Row],[ETA
As requested
dd.mm.yyyy]])</f>
        <v>4</v>
      </c>
      <c r="M2540" s="36">
        <f>YEAR(Table1[[#This Row],[ETA
As requested
dd.mm.yyyy]])</f>
        <v>2025</v>
      </c>
      <c r="N2540" s="36">
        <f>IFERROR(INDEX(DATABASE_FG!$H$5:$H$367, MATCH(E2540, DATABASE_FG!$C$5:$C$367, 0)), " ")</f>
        <v>0</v>
      </c>
      <c r="O2540" s="129" t="str">
        <f>IF(E2540&lt;&gt;"", _xlfn.XLOOKUP(E2540, DATABASE_FG!C:C, DATABASE_FG!F:F), " ")</f>
        <v>Ghidaje</v>
      </c>
      <c r="P2540" s="36">
        <f>IFERROR(INDEX(DATABASE_FG!$G$5:$G$367, MATCH(E2540, DATABASE_FG!$C$5:$C$367, 0)), "Not Found")</f>
        <v>0</v>
      </c>
      <c r="Q2540" s="36"/>
      <c r="R2540" s="125" t="s">
        <v>678</v>
      </c>
      <c r="S2540" s="123">
        <f>IFERROR(INDEX(DATABASE_FG!$L$5:$L$367, MATCH(E2540, DATABASE_FG!$C$5:$C$367, 0)), " ")</f>
        <v>42</v>
      </c>
      <c r="T2540" s="36" t="s">
        <v>679</v>
      </c>
      <c r="U2540" s="36"/>
      <c r="V2540" s="36"/>
      <c r="W2540" s="129"/>
      <c r="X2540" s="36"/>
      <c r="Y2540" s="36"/>
      <c r="Z2540" s="36"/>
      <c r="AA2540" s="125" t="s">
        <v>121</v>
      </c>
      <c r="AB2540" s="172">
        <v>45671</v>
      </c>
      <c r="AC2540" s="119" t="s">
        <v>2748</v>
      </c>
      <c r="AD2540" s="36">
        <f t="shared" si="278"/>
        <v>38397723</v>
      </c>
      <c r="AE2540" s="36" t="str">
        <f t="shared" si="279"/>
        <v>TK.KWVE30-B-A-SL-0038-WW1</v>
      </c>
      <c r="AF2540" s="36">
        <v>121</v>
      </c>
      <c r="AG2540" s="120">
        <f t="shared" si="277"/>
        <v>735.68000000000006</v>
      </c>
      <c r="AH2540" s="36"/>
      <c r="AI2540" s="124"/>
      <c r="AJ2540" s="122" t="s">
        <v>2749</v>
      </c>
      <c r="AK2540" s="129" t="str">
        <f t="shared" ca="1" si="276"/>
        <v>On Time</v>
      </c>
      <c r="AL2540" s="268" t="str">
        <f t="shared" si="275"/>
        <v>January</v>
      </c>
      <c r="AM2540" s="133">
        <f>YEAR(Table1[[#This Row],[ETA
As requested
dd.mm.yyyy]])</f>
        <v>2025</v>
      </c>
    </row>
    <row r="2541" spans="1:39" hidden="1">
      <c r="A2541" s="123" t="s">
        <v>83</v>
      </c>
      <c r="B2541" s="36" t="s">
        <v>1170</v>
      </c>
      <c r="C2541" s="117">
        <v>38397723</v>
      </c>
      <c r="D2541" s="165">
        <v>45667</v>
      </c>
      <c r="E2541" s="117" t="s">
        <v>103</v>
      </c>
      <c r="F2541" s="36" t="str">
        <f>IFERROR(VLOOKUP(Table1[[#This Row],[Part Number]],DATABASE_FG!$C$6:D12530,2,FALSE)," ")</f>
        <v>080817246-8011</v>
      </c>
      <c r="G2541" s="117">
        <f>IFERROR(_xlfn.XLOOKUP(Table1[[#This Row],[Part Number]],Table3[Part number],Table3[Drawing
 Revision]),"")</f>
        <v>0</v>
      </c>
      <c r="H2541" s="118" cm="1">
        <f t="array" ref="H2541">IFERROR(INDEX(PDB!$C:$AT,MATCH(E2541,PDB!$B:$B,0),MATCH(YEAR(K2541),0+PDB!$C$1:$AT$1,0)),"")</f>
        <v>6.08</v>
      </c>
      <c r="I2541" s="36">
        <v>16</v>
      </c>
      <c r="J2541" s="155">
        <f>IFERROR(Table1[[#This Row],[Quantity]]*Table1[[#This Row],[Price/Unit
EUR]]," ")</f>
        <v>97.28</v>
      </c>
      <c r="K2541" s="126">
        <v>45680</v>
      </c>
      <c r="L2541" s="36">
        <f>WEEKNUM(Table1[[#This Row],[ETA
As requested
dd.mm.yyyy]])</f>
        <v>4</v>
      </c>
      <c r="M2541" s="36">
        <f>YEAR(Table1[[#This Row],[ETA
As requested
dd.mm.yyyy]])</f>
        <v>2025</v>
      </c>
      <c r="N2541" s="36">
        <f>IFERROR(INDEX(DATABASE_FG!$H$5:$H$367, MATCH(E2541, DATABASE_FG!$C$5:$C$367, 0)), " ")</f>
        <v>0</v>
      </c>
      <c r="O2541" s="129" t="str">
        <f>IF(E2541&lt;&gt;"", _xlfn.XLOOKUP(E2541, DATABASE_FG!C:C, DATABASE_FG!F:F), " ")</f>
        <v>Ghidaje</v>
      </c>
      <c r="P2541" s="36">
        <f>IFERROR(INDEX(DATABASE_FG!$G$5:$G$367, MATCH(E2541, DATABASE_FG!$C$5:$C$367, 0)), "Not Found")</f>
        <v>0</v>
      </c>
      <c r="Q2541" s="36"/>
      <c r="R2541" s="125" t="s">
        <v>678</v>
      </c>
      <c r="S2541" s="123">
        <f>IFERROR(INDEX(DATABASE_FG!$L$5:$L$367, MATCH(E2541, DATABASE_FG!$C$5:$C$367, 0)), " ")</f>
        <v>42</v>
      </c>
      <c r="T2541" s="36" t="s">
        <v>679</v>
      </c>
      <c r="U2541" s="36"/>
      <c r="V2541" s="36"/>
      <c r="W2541" s="129"/>
      <c r="X2541" s="36"/>
      <c r="Y2541" s="36"/>
      <c r="Z2541" s="36"/>
      <c r="AA2541" s="125" t="s">
        <v>121</v>
      </c>
      <c r="AB2541" s="172">
        <v>45674</v>
      </c>
      <c r="AC2541" s="119" t="s">
        <v>2750</v>
      </c>
      <c r="AD2541" s="36">
        <f t="shared" si="278"/>
        <v>38397723</v>
      </c>
      <c r="AE2541" s="36" t="str">
        <f t="shared" si="279"/>
        <v>TK.KWVE30-B-A-SL-0038-WW1</v>
      </c>
      <c r="AF2541" s="36">
        <v>16</v>
      </c>
      <c r="AG2541" s="120">
        <f t="shared" si="277"/>
        <v>97.28</v>
      </c>
      <c r="AH2541" s="36"/>
      <c r="AI2541" s="124"/>
      <c r="AJ2541" s="122" t="s">
        <v>2751</v>
      </c>
      <c r="AK2541" s="129" t="str">
        <f t="shared" ca="1" si="276"/>
        <v>On Time</v>
      </c>
      <c r="AL2541" s="268" t="str">
        <f t="shared" si="275"/>
        <v>January</v>
      </c>
      <c r="AM2541" s="133">
        <f>YEAR(Table1[[#This Row],[ETA
As requested
dd.mm.yyyy]])</f>
        <v>2025</v>
      </c>
    </row>
    <row r="2542" spans="1:39" hidden="1">
      <c r="A2542" s="123" t="s">
        <v>83</v>
      </c>
      <c r="B2542" s="36" t="s">
        <v>1170</v>
      </c>
      <c r="C2542" s="117">
        <v>38397723</v>
      </c>
      <c r="D2542" s="165">
        <v>45667</v>
      </c>
      <c r="E2542" s="117" t="s">
        <v>103</v>
      </c>
      <c r="F2542" s="36" t="str">
        <f>IFERROR(VLOOKUP(Table1[[#This Row],[Part Number]],DATABASE_FG!$C$6:D12531,2,FALSE)," ")</f>
        <v>080817246-8011</v>
      </c>
      <c r="G2542" s="117">
        <f>IFERROR(_xlfn.XLOOKUP(Table1[[#This Row],[Part Number]],Table3[Part number],Table3[Drawing
 Revision]),"")</f>
        <v>0</v>
      </c>
      <c r="H2542" s="118" cm="1">
        <f t="array" ref="H2542">IFERROR(INDEX(PDB!$C:$AT,MATCH(E2542,PDB!$B:$B,0),MATCH(YEAR(K2542),0+PDB!$C$1:$AT$1,0)),"")</f>
        <v>6.08</v>
      </c>
      <c r="I2542" s="36">
        <v>90</v>
      </c>
      <c r="J2542" s="155">
        <f>IFERROR(Table1[[#This Row],[Quantity]]*Table1[[#This Row],[Price/Unit
EUR]]," ")</f>
        <v>547.20000000000005</v>
      </c>
      <c r="K2542" s="126">
        <v>45680</v>
      </c>
      <c r="L2542" s="36">
        <f>WEEKNUM(Table1[[#This Row],[ETA
As requested
dd.mm.yyyy]])</f>
        <v>4</v>
      </c>
      <c r="M2542" s="36">
        <f>YEAR(Table1[[#This Row],[ETA
As requested
dd.mm.yyyy]])</f>
        <v>2025</v>
      </c>
      <c r="N2542" s="36">
        <f>IFERROR(INDEX(DATABASE_FG!$H$5:$H$367, MATCH(E2542, DATABASE_FG!$C$5:$C$367, 0)), " ")</f>
        <v>0</v>
      </c>
      <c r="O2542" s="129" t="str">
        <f>IF(E2542&lt;&gt;"", _xlfn.XLOOKUP(E2542, DATABASE_FG!C:C, DATABASE_FG!F:F), " ")</f>
        <v>Ghidaje</v>
      </c>
      <c r="P2542" s="36">
        <f>IFERROR(INDEX(DATABASE_FG!$G$5:$G$367, MATCH(E2542, DATABASE_FG!$C$5:$C$367, 0)), "Not Found")</f>
        <v>0</v>
      </c>
      <c r="Q2542" s="36"/>
      <c r="R2542" s="125" t="s">
        <v>678</v>
      </c>
      <c r="S2542" s="123">
        <f>IFERROR(INDEX(DATABASE_FG!$L$5:$L$367, MATCH(E2542, DATABASE_FG!$C$5:$C$367, 0)), " ")</f>
        <v>42</v>
      </c>
      <c r="T2542" s="36" t="s">
        <v>679</v>
      </c>
      <c r="U2542" s="36"/>
      <c r="V2542" s="36"/>
      <c r="W2542" s="129"/>
      <c r="X2542" s="36"/>
      <c r="Y2542" s="36"/>
      <c r="Z2542" s="36"/>
      <c r="AA2542" s="125" t="s">
        <v>121</v>
      </c>
      <c r="AB2542" s="172">
        <v>45684</v>
      </c>
      <c r="AC2542" s="119" t="s">
        <v>2756</v>
      </c>
      <c r="AD2542" s="36">
        <f t="shared" si="278"/>
        <v>38397723</v>
      </c>
      <c r="AE2542" s="36" t="str">
        <f t="shared" si="279"/>
        <v>TK.KWVE30-B-A-SL-0038-WW1</v>
      </c>
      <c r="AF2542" s="36">
        <v>90</v>
      </c>
      <c r="AG2542" s="120">
        <f t="shared" si="277"/>
        <v>547.20000000000005</v>
      </c>
      <c r="AH2542" s="36"/>
      <c r="AI2542" s="124"/>
      <c r="AJ2542" s="122"/>
      <c r="AK2542" s="129" t="str">
        <f t="shared" ca="1" si="276"/>
        <v>Late</v>
      </c>
      <c r="AL2542" s="268" t="str">
        <f t="shared" si="275"/>
        <v>January</v>
      </c>
      <c r="AM2542" s="133">
        <f>YEAR(Table1[[#This Row],[ETA
As requested
dd.mm.yyyy]])</f>
        <v>2025</v>
      </c>
    </row>
    <row r="2543" spans="1:39" hidden="1">
      <c r="A2543" s="123" t="s">
        <v>83</v>
      </c>
      <c r="B2543" s="36" t="s">
        <v>1170</v>
      </c>
      <c r="C2543" s="117">
        <v>38397723</v>
      </c>
      <c r="D2543" s="165">
        <v>45667</v>
      </c>
      <c r="E2543" s="117" t="s">
        <v>103</v>
      </c>
      <c r="F2543" s="36" t="str">
        <f>IFERROR(VLOOKUP(Table1[[#This Row],[Part Number]],DATABASE_FG!$C$6:D12532,2,FALSE)," ")</f>
        <v>080817246-8011</v>
      </c>
      <c r="G2543" s="117">
        <f>IFERROR(_xlfn.XLOOKUP(Table1[[#This Row],[Part Number]],Table3[Part number],Table3[Drawing
 Revision]),"")</f>
        <v>0</v>
      </c>
      <c r="H2543" s="118" cm="1">
        <f t="array" ref="H2543">IFERROR(INDEX(PDB!$C:$AT,MATCH(E2543,PDB!$B:$B,0),MATCH(YEAR(K2543),0+PDB!$C$1:$AT$1,0)),"")</f>
        <v>6.08</v>
      </c>
      <c r="I2543" s="36">
        <f>273-16-90</f>
        <v>167</v>
      </c>
      <c r="J2543" s="155">
        <f>IFERROR(Table1[[#This Row],[Quantity]]*Table1[[#This Row],[Price/Unit
EUR]]," ")</f>
        <v>1015.36</v>
      </c>
      <c r="K2543" s="126">
        <v>45680</v>
      </c>
      <c r="L2543" s="36">
        <f>WEEKNUM(Table1[[#This Row],[ETA
As requested
dd.mm.yyyy]])</f>
        <v>4</v>
      </c>
      <c r="M2543" s="36">
        <f>YEAR(Table1[[#This Row],[ETA
As requested
dd.mm.yyyy]])</f>
        <v>2025</v>
      </c>
      <c r="N2543" s="36">
        <f>IFERROR(INDEX(DATABASE_FG!$H$5:$H$367, MATCH(E2543, DATABASE_FG!$C$5:$C$367, 0)), " ")</f>
        <v>0</v>
      </c>
      <c r="O2543" s="129" t="str">
        <f>IF(E2543&lt;&gt;"", _xlfn.XLOOKUP(E2543, DATABASE_FG!C:C, DATABASE_FG!F:F), " ")</f>
        <v>Ghidaje</v>
      </c>
      <c r="P2543" s="36">
        <f>IFERROR(INDEX(DATABASE_FG!$G$5:$G$367, MATCH(E2543, DATABASE_FG!$C$5:$C$367, 0)), "Not Found")</f>
        <v>0</v>
      </c>
      <c r="Q2543" s="36"/>
      <c r="R2543" s="125" t="s">
        <v>678</v>
      </c>
      <c r="S2543" s="123">
        <f>IFERROR(INDEX(DATABASE_FG!$L$5:$L$367, MATCH(E2543, DATABASE_FG!$C$5:$C$367, 0)), " ")</f>
        <v>42</v>
      </c>
      <c r="T2543" s="36" t="s">
        <v>679</v>
      </c>
      <c r="U2543" s="36"/>
      <c r="V2543" s="36"/>
      <c r="W2543" s="129"/>
      <c r="X2543" s="36"/>
      <c r="Y2543" s="36"/>
      <c r="Z2543" s="36"/>
      <c r="AA2543" s="125" t="s">
        <v>121</v>
      </c>
      <c r="AB2543" s="172">
        <v>45686</v>
      </c>
      <c r="AC2543" s="119">
        <v>25111</v>
      </c>
      <c r="AD2543" s="36">
        <f t="shared" si="278"/>
        <v>38397723</v>
      </c>
      <c r="AE2543" s="36" t="str">
        <f t="shared" si="279"/>
        <v>TK.KWVE30-B-A-SL-0038-WW1</v>
      </c>
      <c r="AF2543" s="36">
        <v>167</v>
      </c>
      <c r="AG2543" s="120">
        <f t="shared" si="277"/>
        <v>1015.36</v>
      </c>
      <c r="AH2543" s="36"/>
      <c r="AI2543" s="124"/>
      <c r="AJ2543" s="122" t="s">
        <v>2757</v>
      </c>
      <c r="AK2543" s="129" t="str">
        <f t="shared" ca="1" si="276"/>
        <v>Late</v>
      </c>
      <c r="AL2543" s="268" t="str">
        <f t="shared" si="275"/>
        <v>January</v>
      </c>
      <c r="AM2543" s="133">
        <f>YEAR(Table1[[#This Row],[ETA
As requested
dd.mm.yyyy]])</f>
        <v>2025</v>
      </c>
    </row>
    <row r="2544" spans="1:39" hidden="1">
      <c r="A2544" s="123" t="s">
        <v>83</v>
      </c>
      <c r="B2544" s="36" t="s">
        <v>1170</v>
      </c>
      <c r="C2544" s="117">
        <v>38474523</v>
      </c>
      <c r="D2544" s="165">
        <v>45679</v>
      </c>
      <c r="E2544" s="117" t="s">
        <v>103</v>
      </c>
      <c r="F2544" s="36" t="str">
        <f>IFERROR(VLOOKUP(Table1[[#This Row],[Part Number]],DATABASE_FG!$C$6:D12533,2,FALSE)," ")</f>
        <v>080817246-8011</v>
      </c>
      <c r="G2544" s="117">
        <f>IFERROR(_xlfn.XLOOKUP(Table1[[#This Row],[Part Number]],Table3[Part number],Table3[Drawing
 Revision]),"")</f>
        <v>0</v>
      </c>
      <c r="H2544" s="118" cm="1">
        <f t="array" ref="H2544">IFERROR(INDEX(PDB!$C:$AT,MATCH(E2544,PDB!$B:$B,0),MATCH(YEAR(K2544),0+PDB!$C$1:$AT$1,0)),"")</f>
        <v>6.08</v>
      </c>
      <c r="I2544" s="36">
        <v>194</v>
      </c>
      <c r="J2544" s="155">
        <f>IFERROR(Table1[[#This Row],[Quantity]]*Table1[[#This Row],[Price/Unit
EUR]]," ")</f>
        <v>1179.52</v>
      </c>
      <c r="K2544" s="126">
        <v>45694</v>
      </c>
      <c r="L2544" s="36">
        <f>WEEKNUM(Table1[[#This Row],[ETA
As requested
dd.mm.yyyy]])</f>
        <v>6</v>
      </c>
      <c r="M2544" s="36">
        <f>YEAR(Table1[[#This Row],[ETA
As requested
dd.mm.yyyy]])</f>
        <v>2025</v>
      </c>
      <c r="N2544" s="36">
        <f>IFERROR(INDEX(DATABASE_FG!$H$5:$H$367, MATCH(E2544, DATABASE_FG!$C$5:$C$367, 0)), " ")</f>
        <v>0</v>
      </c>
      <c r="O2544" s="129" t="str">
        <f>IF(E2544&lt;&gt;"", _xlfn.XLOOKUP(E2544, DATABASE_FG!C:C, DATABASE_FG!F:F), " ")</f>
        <v>Ghidaje</v>
      </c>
      <c r="P2544" s="36">
        <f>IFERROR(INDEX(DATABASE_FG!$G$5:$G$367, MATCH(E2544, DATABASE_FG!$C$5:$C$367, 0)), "Not Found")</f>
        <v>0</v>
      </c>
      <c r="Q2544" s="36"/>
      <c r="R2544" s="125" t="s">
        <v>678</v>
      </c>
      <c r="S2544" s="123">
        <f>IFERROR(INDEX(DATABASE_FG!$L$5:$L$367, MATCH(E2544, DATABASE_FG!$C$5:$C$367, 0)), " ")</f>
        <v>42</v>
      </c>
      <c r="T2544" s="36" t="s">
        <v>679</v>
      </c>
      <c r="U2544" s="36"/>
      <c r="V2544" s="36"/>
      <c r="W2544" s="129"/>
      <c r="X2544" s="36"/>
      <c r="Y2544" s="36"/>
      <c r="Z2544" s="36"/>
      <c r="AA2544" s="125" t="s">
        <v>121</v>
      </c>
      <c r="AB2544" s="172">
        <v>45691</v>
      </c>
      <c r="AC2544" s="119">
        <v>25138</v>
      </c>
      <c r="AD2544" s="36">
        <f t="shared" si="278"/>
        <v>38474523</v>
      </c>
      <c r="AE2544" s="36" t="str">
        <f t="shared" si="279"/>
        <v>TK.KWVE30-B-A-SL-0038-WW1</v>
      </c>
      <c r="AF2544" s="36">
        <v>194</v>
      </c>
      <c r="AG2544" s="120">
        <f t="shared" si="277"/>
        <v>1179.52</v>
      </c>
      <c r="AH2544" s="36"/>
      <c r="AI2544" s="124"/>
      <c r="AJ2544" s="122" t="s">
        <v>2770</v>
      </c>
      <c r="AK2544" s="129" t="str">
        <f t="shared" ca="1" si="276"/>
        <v>On Time</v>
      </c>
      <c r="AL2544" s="268" t="str">
        <f t="shared" si="275"/>
        <v>February</v>
      </c>
      <c r="AM2544" s="133">
        <f>YEAR(Table1[[#This Row],[ETA
As requested
dd.mm.yyyy]])</f>
        <v>2025</v>
      </c>
    </row>
    <row r="2545" spans="1:39" hidden="1">
      <c r="A2545" s="123" t="s">
        <v>83</v>
      </c>
      <c r="B2545" s="36" t="s">
        <v>1170</v>
      </c>
      <c r="C2545" s="117">
        <v>38474523</v>
      </c>
      <c r="D2545" s="165">
        <v>45679</v>
      </c>
      <c r="E2545" s="117" t="s">
        <v>103</v>
      </c>
      <c r="F2545" s="36" t="str">
        <f>IFERROR(VLOOKUP(Table1[[#This Row],[Part Number]],DATABASE_FG!$C$6:D12534,2,FALSE)," ")</f>
        <v>080817246-8011</v>
      </c>
      <c r="G2545" s="117">
        <f>IFERROR(_xlfn.XLOOKUP(Table1[[#This Row],[Part Number]],Table3[Part number],Table3[Drawing
 Revision]),"")</f>
        <v>0</v>
      </c>
      <c r="H2545" s="118" cm="1">
        <f t="array" ref="H2545">IFERROR(INDEX(PDB!$C:$AT,MATCH(E2545,PDB!$B:$B,0),MATCH(YEAR(K2545),0+PDB!$C$1:$AT$1,0)),"")</f>
        <v>6.08</v>
      </c>
      <c r="I2545" s="36">
        <f>200-194</f>
        <v>6</v>
      </c>
      <c r="J2545" s="155">
        <f>IFERROR(Table1[[#This Row],[Quantity]]*Table1[[#This Row],[Price/Unit
EUR]]," ")</f>
        <v>36.480000000000004</v>
      </c>
      <c r="K2545" s="126">
        <v>45694</v>
      </c>
      <c r="L2545" s="36">
        <f>WEEKNUM(Table1[[#This Row],[ETA
As requested
dd.mm.yyyy]])</f>
        <v>6</v>
      </c>
      <c r="M2545" s="36">
        <f>YEAR(Table1[[#This Row],[ETA
As requested
dd.mm.yyyy]])</f>
        <v>2025</v>
      </c>
      <c r="N2545" s="36">
        <f>IFERROR(INDEX(DATABASE_FG!$H$5:$H$367, MATCH(E2545, DATABASE_FG!$C$5:$C$367, 0)), " ")</f>
        <v>0</v>
      </c>
      <c r="O2545" s="129" t="str">
        <f>IF(E2545&lt;&gt;"", _xlfn.XLOOKUP(E2545, DATABASE_FG!C:C, DATABASE_FG!F:F), " ")</f>
        <v>Ghidaje</v>
      </c>
      <c r="P2545" s="36">
        <f>IFERROR(INDEX(DATABASE_FG!$G$5:$G$367, MATCH(E2545, DATABASE_FG!$C$5:$C$367, 0)), "Not Found")</f>
        <v>0</v>
      </c>
      <c r="Q2545" s="36"/>
      <c r="R2545" s="125" t="s">
        <v>678</v>
      </c>
      <c r="S2545" s="123">
        <f>IFERROR(INDEX(DATABASE_FG!$L$5:$L$367, MATCH(E2545, DATABASE_FG!$C$5:$C$367, 0)), " ")</f>
        <v>42</v>
      </c>
      <c r="T2545" s="36" t="s">
        <v>679</v>
      </c>
      <c r="U2545" s="36"/>
      <c r="V2545" s="36"/>
      <c r="W2545" s="129"/>
      <c r="X2545" s="36"/>
      <c r="Y2545" s="36"/>
      <c r="Z2545" s="36"/>
      <c r="AA2545" s="125" t="s">
        <v>121</v>
      </c>
      <c r="AB2545" s="172">
        <v>45694</v>
      </c>
      <c r="AC2545" s="119">
        <v>25156</v>
      </c>
      <c r="AD2545" s="36">
        <f t="shared" si="278"/>
        <v>38474523</v>
      </c>
      <c r="AE2545" s="36" t="str">
        <f t="shared" si="279"/>
        <v>TK.KWVE30-B-A-SL-0038-WW1</v>
      </c>
      <c r="AF2545" s="36">
        <v>6</v>
      </c>
      <c r="AG2545" s="120">
        <f t="shared" si="277"/>
        <v>36.480000000000004</v>
      </c>
      <c r="AH2545" s="36"/>
      <c r="AI2545" s="124"/>
      <c r="AJ2545" s="122" t="s">
        <v>2773</v>
      </c>
      <c r="AK2545" s="129" t="str">
        <f t="shared" ca="1" si="276"/>
        <v>On Time</v>
      </c>
      <c r="AL2545" s="268" t="str">
        <f t="shared" si="275"/>
        <v>February</v>
      </c>
      <c r="AM2545" s="133">
        <f>YEAR(Table1[[#This Row],[ETA
As requested
dd.mm.yyyy]])</f>
        <v>2025</v>
      </c>
    </row>
    <row r="2546" spans="1:39" hidden="1">
      <c r="A2546" s="123" t="s">
        <v>83</v>
      </c>
      <c r="B2546" s="36" t="s">
        <v>1170</v>
      </c>
      <c r="C2546" s="117">
        <v>38474523</v>
      </c>
      <c r="D2546" s="165">
        <v>45679</v>
      </c>
      <c r="E2546" s="117" t="s">
        <v>103</v>
      </c>
      <c r="F2546" s="36" t="str">
        <f>IFERROR(VLOOKUP(Table1[[#This Row],[Part Number]],DATABASE_FG!$C$6:D12535,2,FALSE)," ")</f>
        <v>080817246-8011</v>
      </c>
      <c r="G2546" s="117">
        <f>IFERROR(_xlfn.XLOOKUP(Table1[[#This Row],[Part Number]],Table3[Part number],Table3[Drawing
 Revision]),"")</f>
        <v>0</v>
      </c>
      <c r="H2546" s="118" cm="1">
        <f t="array" ref="H2546">IFERROR(INDEX(PDB!$C:$AT,MATCH(E2546,PDB!$B:$B,0),MATCH(YEAR(K2546),0+PDB!$C$1:$AT$1,0)),"")</f>
        <v>6.08</v>
      </c>
      <c r="I2546" s="36">
        <v>19</v>
      </c>
      <c r="J2546" s="155">
        <f>IFERROR(Table1[[#This Row],[Quantity]]*Table1[[#This Row],[Price/Unit
EUR]]," ")</f>
        <v>115.52</v>
      </c>
      <c r="K2546" s="126">
        <v>45701</v>
      </c>
      <c r="L2546" s="36">
        <f>WEEKNUM(Table1[[#This Row],[ETA
As requested
dd.mm.yyyy]])</f>
        <v>7</v>
      </c>
      <c r="M2546" s="36">
        <f>YEAR(Table1[[#This Row],[ETA
As requested
dd.mm.yyyy]])</f>
        <v>2025</v>
      </c>
      <c r="N2546" s="36">
        <f>IFERROR(INDEX(DATABASE_FG!$H$5:$H$367, MATCH(E2546, DATABASE_FG!$C$5:$C$367, 0)), " ")</f>
        <v>0</v>
      </c>
      <c r="O2546" s="129" t="str">
        <f>IF(E2546&lt;&gt;"", _xlfn.XLOOKUP(E2546, DATABASE_FG!C:C, DATABASE_FG!F:F), " ")</f>
        <v>Ghidaje</v>
      </c>
      <c r="P2546" s="36">
        <f>IFERROR(INDEX(DATABASE_FG!$G$5:$G$367, MATCH(E2546, DATABASE_FG!$C$5:$C$367, 0)), "Not Found")</f>
        <v>0</v>
      </c>
      <c r="Q2546" s="36"/>
      <c r="R2546" s="125" t="s">
        <v>678</v>
      </c>
      <c r="S2546" s="123">
        <f>IFERROR(INDEX(DATABASE_FG!$L$5:$L$367, MATCH(E2546, DATABASE_FG!$C$5:$C$367, 0)), " ")</f>
        <v>42</v>
      </c>
      <c r="T2546" s="36" t="s">
        <v>679</v>
      </c>
      <c r="U2546" s="36"/>
      <c r="V2546" s="36"/>
      <c r="W2546" s="129"/>
      <c r="X2546" s="36"/>
      <c r="Y2546" s="36"/>
      <c r="Z2546" s="36"/>
      <c r="AA2546" s="125" t="s">
        <v>121</v>
      </c>
      <c r="AB2546" s="172">
        <v>45694</v>
      </c>
      <c r="AC2546" s="119">
        <v>25156</v>
      </c>
      <c r="AD2546" s="36">
        <f t="shared" si="278"/>
        <v>38474523</v>
      </c>
      <c r="AE2546" s="36" t="str">
        <f t="shared" si="279"/>
        <v>TK.KWVE30-B-A-SL-0038-WW1</v>
      </c>
      <c r="AF2546" s="36">
        <v>19</v>
      </c>
      <c r="AG2546" s="120">
        <f t="shared" si="277"/>
        <v>115.52</v>
      </c>
      <c r="AH2546" s="36"/>
      <c r="AI2546" s="124"/>
      <c r="AJ2546" s="122" t="s">
        <v>2773</v>
      </c>
      <c r="AK2546" s="129" t="str">
        <f t="shared" ca="1" si="276"/>
        <v>On Time</v>
      </c>
      <c r="AL2546" s="268" t="str">
        <f t="shared" si="275"/>
        <v>February</v>
      </c>
      <c r="AM2546" s="133">
        <f>YEAR(Table1[[#This Row],[ETA
As requested
dd.mm.yyyy]])</f>
        <v>2025</v>
      </c>
    </row>
    <row r="2547" spans="1:39" hidden="1">
      <c r="A2547" s="123" t="s">
        <v>83</v>
      </c>
      <c r="B2547" s="36" t="s">
        <v>1170</v>
      </c>
      <c r="C2547" s="117">
        <v>38474523</v>
      </c>
      <c r="D2547" s="165">
        <v>45679</v>
      </c>
      <c r="E2547" s="117" t="s">
        <v>103</v>
      </c>
      <c r="F2547" s="36" t="str">
        <f>IFERROR(VLOOKUP(Table1[[#This Row],[Part Number]],DATABASE_FG!$C$6:D12536,2,FALSE)," ")</f>
        <v>080817246-8011</v>
      </c>
      <c r="G2547" s="117">
        <f>IFERROR(_xlfn.XLOOKUP(Table1[[#This Row],[Part Number]],Table3[Part number],Table3[Drawing
 Revision]),"")</f>
        <v>0</v>
      </c>
      <c r="H2547" s="118" cm="1">
        <f t="array" ref="H2547">IFERROR(INDEX(PDB!$C:$AT,MATCH(E2547,PDB!$B:$B,0),MATCH(YEAR(K2547),0+PDB!$C$1:$AT$1,0)),"")</f>
        <v>6.08</v>
      </c>
      <c r="I2547" s="36">
        <f>100-19</f>
        <v>81</v>
      </c>
      <c r="J2547" s="155">
        <f>IFERROR(Table1[[#This Row],[Quantity]]*Table1[[#This Row],[Price/Unit
EUR]]," ")</f>
        <v>492.48</v>
      </c>
      <c r="K2547" s="126">
        <v>45701</v>
      </c>
      <c r="L2547" s="36">
        <f>WEEKNUM(Table1[[#This Row],[ETA
As requested
dd.mm.yyyy]])</f>
        <v>7</v>
      </c>
      <c r="M2547" s="36">
        <f>YEAR(Table1[[#This Row],[ETA
As requested
dd.mm.yyyy]])</f>
        <v>2025</v>
      </c>
      <c r="N2547" s="36">
        <f>IFERROR(INDEX(DATABASE_FG!$H$5:$H$367, MATCH(E2547, DATABASE_FG!$C$5:$C$367, 0)), " ")</f>
        <v>0</v>
      </c>
      <c r="O2547" s="129" t="str">
        <f>IF(E2547&lt;&gt;"", _xlfn.XLOOKUP(E2547, DATABASE_FG!C:C, DATABASE_FG!F:F), " ")</f>
        <v>Ghidaje</v>
      </c>
      <c r="P2547" s="36">
        <f>IFERROR(INDEX(DATABASE_FG!$G$5:$G$367, MATCH(E2547, DATABASE_FG!$C$5:$C$367, 0)), "Not Found")</f>
        <v>0</v>
      </c>
      <c r="Q2547" s="36"/>
      <c r="R2547" s="125" t="s">
        <v>678</v>
      </c>
      <c r="S2547" s="123">
        <f>IFERROR(INDEX(DATABASE_FG!$L$5:$L$367, MATCH(E2547, DATABASE_FG!$C$5:$C$367, 0)), " ")</f>
        <v>42</v>
      </c>
      <c r="T2547" s="36" t="s">
        <v>679</v>
      </c>
      <c r="U2547" s="36"/>
      <c r="V2547" s="36"/>
      <c r="W2547" s="129"/>
      <c r="X2547" s="36"/>
      <c r="Y2547" s="36"/>
      <c r="Z2547" s="36"/>
      <c r="AA2547" s="125" t="s">
        <v>121</v>
      </c>
      <c r="AB2547" s="172">
        <v>45705</v>
      </c>
      <c r="AC2547" s="119">
        <v>25213</v>
      </c>
      <c r="AD2547" s="36">
        <f t="shared" si="278"/>
        <v>38474523</v>
      </c>
      <c r="AE2547" s="36" t="str">
        <f t="shared" si="279"/>
        <v>TK.KWVE30-B-A-SL-0038-WW1</v>
      </c>
      <c r="AF2547" s="36">
        <v>81</v>
      </c>
      <c r="AG2547" s="120">
        <f t="shared" si="277"/>
        <v>492.48</v>
      </c>
      <c r="AH2547" s="36"/>
      <c r="AI2547" s="124"/>
      <c r="AJ2547" s="122" t="s">
        <v>2801</v>
      </c>
      <c r="AK2547" s="129" t="str">
        <f t="shared" ca="1" si="276"/>
        <v>Late</v>
      </c>
      <c r="AL2547" s="268" t="str">
        <f t="shared" si="275"/>
        <v>February</v>
      </c>
      <c r="AM2547" s="133">
        <f>YEAR(Table1[[#This Row],[ETA
As requested
dd.mm.yyyy]])</f>
        <v>2025</v>
      </c>
    </row>
    <row r="2548" spans="1:39" hidden="1">
      <c r="A2548" s="123" t="s">
        <v>83</v>
      </c>
      <c r="B2548" s="36" t="s">
        <v>1170</v>
      </c>
      <c r="C2548" s="117">
        <v>38474523</v>
      </c>
      <c r="D2548" s="165">
        <v>45679</v>
      </c>
      <c r="E2548" s="117" t="s">
        <v>103</v>
      </c>
      <c r="F2548" s="36" t="str">
        <f>IFERROR(VLOOKUP(Table1[[#This Row],[Part Number]],DATABASE_FG!$C$6:D12537,2,FALSE)," ")</f>
        <v>080817246-8011</v>
      </c>
      <c r="G2548" s="117">
        <f>IFERROR(_xlfn.XLOOKUP(Table1[[#This Row],[Part Number]],Table3[Part number],Table3[Drawing
 Revision]),"")</f>
        <v>0</v>
      </c>
      <c r="H2548" s="118" cm="1">
        <f t="array" ref="H2548">IFERROR(INDEX(PDB!$C:$AT,MATCH(E2548,PDB!$B:$B,0),MATCH(YEAR(K2548),0+PDB!$C$1:$AT$1,0)),"")</f>
        <v>6.08</v>
      </c>
      <c r="I2548" s="36">
        <v>6</v>
      </c>
      <c r="J2548" s="155">
        <f>IFERROR(Table1[[#This Row],[Quantity]]*Table1[[#This Row],[Price/Unit
EUR]]," ")</f>
        <v>36.480000000000004</v>
      </c>
      <c r="K2548" s="126">
        <v>45701</v>
      </c>
      <c r="L2548" s="36">
        <f>WEEKNUM(Table1[[#This Row],[ETA
As requested
dd.mm.yyyy]])</f>
        <v>7</v>
      </c>
      <c r="M2548" s="36">
        <f>YEAR(Table1[[#This Row],[ETA
As requested
dd.mm.yyyy]])</f>
        <v>2025</v>
      </c>
      <c r="N2548" s="36">
        <f>IFERROR(INDEX(DATABASE_FG!$H$5:$H$367, MATCH(E2548, DATABASE_FG!$C$5:$C$367, 0)), " ")</f>
        <v>0</v>
      </c>
      <c r="O2548" s="129" t="str">
        <f>IF(E2548&lt;&gt;"", _xlfn.XLOOKUP(E2548, DATABASE_FG!C:C, DATABASE_FG!F:F), " ")</f>
        <v>Ghidaje</v>
      </c>
      <c r="P2548" s="36">
        <f>IFERROR(INDEX(DATABASE_FG!$G$5:$G$367, MATCH(E2548, DATABASE_FG!$C$5:$C$367, 0)), "Not Found")</f>
        <v>0</v>
      </c>
      <c r="Q2548" s="36"/>
      <c r="R2548" s="125" t="s">
        <v>678</v>
      </c>
      <c r="S2548" s="123">
        <f>IFERROR(INDEX(DATABASE_FG!$L$5:$L$367, MATCH(E2548, DATABASE_FG!$C$5:$C$367, 0)), " ")</f>
        <v>42</v>
      </c>
      <c r="T2548" s="36" t="s">
        <v>679</v>
      </c>
      <c r="U2548" s="36"/>
      <c r="V2548" s="36"/>
      <c r="W2548" s="129"/>
      <c r="X2548" s="36"/>
      <c r="Y2548" s="36" t="s">
        <v>121</v>
      </c>
      <c r="Z2548" s="36"/>
      <c r="AA2548" s="125" t="s">
        <v>121</v>
      </c>
      <c r="AB2548" s="172">
        <v>45705</v>
      </c>
      <c r="AC2548" s="119">
        <v>25213</v>
      </c>
      <c r="AD2548" s="36">
        <f t="shared" si="278"/>
        <v>38474523</v>
      </c>
      <c r="AE2548" s="36" t="str">
        <f t="shared" si="279"/>
        <v>TK.KWVE30-B-A-SL-0038-WW1</v>
      </c>
      <c r="AF2548" s="36">
        <v>6</v>
      </c>
      <c r="AG2548" s="120">
        <f t="shared" si="277"/>
        <v>36.480000000000004</v>
      </c>
      <c r="AH2548" s="36"/>
      <c r="AI2548" s="124"/>
      <c r="AJ2548" s="122" t="s">
        <v>2801</v>
      </c>
      <c r="AK2548" s="129" t="str">
        <f t="shared" ca="1" si="276"/>
        <v>Late</v>
      </c>
      <c r="AL2548" s="268" t="str">
        <f t="shared" si="275"/>
        <v>February</v>
      </c>
      <c r="AM2548" s="133">
        <f>YEAR(Table1[[#This Row],[ETA
As requested
dd.mm.yyyy]])</f>
        <v>2025</v>
      </c>
    </row>
    <row r="2549" spans="1:39" hidden="1">
      <c r="A2549" s="123" t="s">
        <v>83</v>
      </c>
      <c r="B2549" s="36" t="s">
        <v>1170</v>
      </c>
      <c r="C2549" s="117">
        <v>38474523</v>
      </c>
      <c r="D2549" s="165">
        <v>45679</v>
      </c>
      <c r="E2549" s="117" t="s">
        <v>103</v>
      </c>
      <c r="F2549" s="36" t="str">
        <f>IFERROR(VLOOKUP(Table1[[#This Row],[Part Number]],DATABASE_FG!$C$6:D12538,2,FALSE)," ")</f>
        <v>080817246-8011</v>
      </c>
      <c r="G2549" s="117">
        <f>IFERROR(_xlfn.XLOOKUP(Table1[[#This Row],[Part Number]],Table3[Part number],Table3[Drawing
 Revision]),"")</f>
        <v>0</v>
      </c>
      <c r="H2549" s="118" cm="1">
        <f t="array" ref="H2549">IFERROR(INDEX(PDB!$C:$AT,MATCH(E2549,PDB!$B:$B,0),MATCH(YEAR(K2549),0+PDB!$C$1:$AT$1,0)),"")</f>
        <v>6.08</v>
      </c>
      <c r="I2549" s="36">
        <v>93</v>
      </c>
      <c r="J2549" s="155">
        <f>IFERROR(Table1[[#This Row],[Quantity]]*Table1[[#This Row],[Price/Unit
EUR]]," ")</f>
        <v>565.44000000000005</v>
      </c>
      <c r="K2549" s="126">
        <v>45701</v>
      </c>
      <c r="L2549" s="36">
        <f>WEEKNUM(Table1[[#This Row],[ETA
As requested
dd.mm.yyyy]])</f>
        <v>7</v>
      </c>
      <c r="M2549" s="36">
        <f>YEAR(Table1[[#This Row],[ETA
As requested
dd.mm.yyyy]])</f>
        <v>2025</v>
      </c>
      <c r="N2549" s="36">
        <f>IFERROR(INDEX(DATABASE_FG!$H$5:$H$367, MATCH(E2549, DATABASE_FG!$C$5:$C$367, 0)), " ")</f>
        <v>0</v>
      </c>
      <c r="O2549" s="129" t="str">
        <f>IF(E2549&lt;&gt;"", _xlfn.XLOOKUP(E2549, DATABASE_FG!C:C, DATABASE_FG!F:F), " ")</f>
        <v>Ghidaje</v>
      </c>
      <c r="P2549" s="36">
        <f>IFERROR(INDEX(DATABASE_FG!$G$5:$G$367, MATCH(E2549, DATABASE_FG!$C$5:$C$367, 0)), "Not Found")</f>
        <v>0</v>
      </c>
      <c r="Q2549" s="36"/>
      <c r="R2549" s="125" t="s">
        <v>678</v>
      </c>
      <c r="S2549" s="123">
        <f>IFERROR(INDEX(DATABASE_FG!$L$5:$L$367, MATCH(E2549, DATABASE_FG!$C$5:$C$367, 0)), " ")</f>
        <v>42</v>
      </c>
      <c r="T2549" s="36" t="s">
        <v>679</v>
      </c>
      <c r="U2549" s="36"/>
      <c r="V2549" s="36"/>
      <c r="W2549" s="129"/>
      <c r="X2549" s="36"/>
      <c r="Y2549" s="36" t="s">
        <v>121</v>
      </c>
      <c r="Z2549" s="36"/>
      <c r="AA2549" s="125" t="s">
        <v>121</v>
      </c>
      <c r="AB2549" s="172">
        <v>45706</v>
      </c>
      <c r="AC2549" s="119">
        <v>25230</v>
      </c>
      <c r="AD2549" s="36">
        <f t="shared" si="278"/>
        <v>38474523</v>
      </c>
      <c r="AE2549" s="36" t="str">
        <f t="shared" si="279"/>
        <v>TK.KWVE30-B-A-SL-0038-WW1</v>
      </c>
      <c r="AF2549" s="36">
        <v>93</v>
      </c>
      <c r="AG2549" s="120">
        <f t="shared" si="277"/>
        <v>565.44000000000005</v>
      </c>
      <c r="AH2549" s="36"/>
      <c r="AI2549" s="124"/>
      <c r="AJ2549" s="122" t="s">
        <v>2803</v>
      </c>
      <c r="AK2549" s="129" t="str">
        <f t="shared" ca="1" si="276"/>
        <v>Late</v>
      </c>
      <c r="AL2549" s="268" t="str">
        <f t="shared" ref="AL2549:AL2612" si="280">TEXT(K2549,"mmmm")</f>
        <v>February</v>
      </c>
      <c r="AM2549" s="133">
        <f>YEAR(Table1[[#This Row],[ETA
As requested
dd.mm.yyyy]])</f>
        <v>2025</v>
      </c>
    </row>
    <row r="2550" spans="1:39" hidden="1">
      <c r="A2550" s="123" t="s">
        <v>83</v>
      </c>
      <c r="B2550" s="36" t="s">
        <v>1170</v>
      </c>
      <c r="C2550" s="117">
        <v>38474523</v>
      </c>
      <c r="D2550" s="165">
        <v>45679</v>
      </c>
      <c r="E2550" s="117" t="s">
        <v>103</v>
      </c>
      <c r="F2550" s="36" t="str">
        <f>IFERROR(VLOOKUP(Table1[[#This Row],[Part Number]],DATABASE_FG!$C$6:D12539,2,FALSE)," ")</f>
        <v>080817246-8011</v>
      </c>
      <c r="G2550" s="117">
        <f>IFERROR(_xlfn.XLOOKUP(Table1[[#This Row],[Part Number]],Table3[Part number],Table3[Drawing
 Revision]),"")</f>
        <v>0</v>
      </c>
      <c r="H2550" s="118" cm="1">
        <f t="array" ref="H2550">IFERROR(INDEX(PDB!$C:$AT,MATCH(E2550,PDB!$B:$B,0),MATCH(YEAR(K2550),0+PDB!$C$1:$AT$1,0)),"")</f>
        <v>6.08</v>
      </c>
      <c r="I2550" s="36">
        <v>100</v>
      </c>
      <c r="J2550" s="155">
        <f>IFERROR(Table1[[#This Row],[Quantity]]*Table1[[#This Row],[Price/Unit
EUR]]," ")</f>
        <v>608</v>
      </c>
      <c r="K2550" s="126">
        <v>45701</v>
      </c>
      <c r="L2550" s="36">
        <f>WEEKNUM(Table1[[#This Row],[ETA
As requested
dd.mm.yyyy]])</f>
        <v>7</v>
      </c>
      <c r="M2550" s="36">
        <f>YEAR(Table1[[#This Row],[ETA
As requested
dd.mm.yyyy]])</f>
        <v>2025</v>
      </c>
      <c r="N2550" s="36">
        <f>IFERROR(INDEX(DATABASE_FG!$H$5:$H$367, MATCH(E2550, DATABASE_FG!$C$5:$C$367, 0)), " ")</f>
        <v>0</v>
      </c>
      <c r="O2550" s="129" t="str">
        <f>IF(E2550&lt;&gt;"", _xlfn.XLOOKUP(E2550, DATABASE_FG!C:C, DATABASE_FG!F:F), " ")</f>
        <v>Ghidaje</v>
      </c>
      <c r="P2550" s="36">
        <f>IFERROR(INDEX(DATABASE_FG!$G$5:$G$367, MATCH(E2550, DATABASE_FG!$C$5:$C$367, 0)), "Not Found")</f>
        <v>0</v>
      </c>
      <c r="Q2550" s="36"/>
      <c r="R2550" s="125" t="s">
        <v>678</v>
      </c>
      <c r="S2550" s="123">
        <f>IFERROR(INDEX(DATABASE_FG!$L$5:$L$367, MATCH(E2550, DATABASE_FG!$C$5:$C$367, 0)), " ")</f>
        <v>42</v>
      </c>
      <c r="T2550" s="36" t="s">
        <v>679</v>
      </c>
      <c r="U2550" s="36"/>
      <c r="V2550" s="36"/>
      <c r="W2550" s="129"/>
      <c r="X2550" s="36"/>
      <c r="Y2550" s="36" t="s">
        <v>121</v>
      </c>
      <c r="Z2550" s="36"/>
      <c r="AA2550" s="125" t="s">
        <v>121</v>
      </c>
      <c r="AB2550" s="172">
        <v>45707</v>
      </c>
      <c r="AC2550" s="119" t="s">
        <v>2804</v>
      </c>
      <c r="AD2550" s="36">
        <f t="shared" si="278"/>
        <v>38474523</v>
      </c>
      <c r="AE2550" s="36" t="str">
        <f t="shared" si="279"/>
        <v>TK.KWVE30-B-A-SL-0038-WW1</v>
      </c>
      <c r="AF2550" s="36">
        <v>100</v>
      </c>
      <c r="AG2550" s="120">
        <f t="shared" si="277"/>
        <v>608</v>
      </c>
      <c r="AH2550" s="36"/>
      <c r="AI2550" s="124"/>
      <c r="AJ2550" s="122" t="s">
        <v>2805</v>
      </c>
      <c r="AK2550" s="129" t="str">
        <f t="shared" ca="1" si="276"/>
        <v>Late</v>
      </c>
      <c r="AL2550" s="268" t="str">
        <f t="shared" si="280"/>
        <v>February</v>
      </c>
      <c r="AM2550" s="133">
        <f>YEAR(Table1[[#This Row],[ETA
As requested
dd.mm.yyyy]])</f>
        <v>2025</v>
      </c>
    </row>
    <row r="2551" spans="1:39" hidden="1">
      <c r="A2551" s="123" t="s">
        <v>83</v>
      </c>
      <c r="B2551" s="36" t="s">
        <v>1170</v>
      </c>
      <c r="C2551" s="117">
        <v>38474523</v>
      </c>
      <c r="D2551" s="165">
        <v>45679</v>
      </c>
      <c r="E2551" s="117" t="s">
        <v>103</v>
      </c>
      <c r="F2551" s="36" t="str">
        <f>IFERROR(VLOOKUP(Table1[[#This Row],[Part Number]],DATABASE_FG!$C$6:D12540,2,FALSE)," ")</f>
        <v>080817246-8011</v>
      </c>
      <c r="G2551" s="117">
        <f>IFERROR(_xlfn.XLOOKUP(Table1[[#This Row],[Part Number]],Table3[Part number],Table3[Drawing
 Revision]),"")</f>
        <v>0</v>
      </c>
      <c r="H2551" s="118" cm="1">
        <f t="array" ref="H2551">IFERROR(INDEX(PDB!$C:$AT,MATCH(E2551,PDB!$B:$B,0),MATCH(YEAR(K2551),0+PDB!$C$1:$AT$1,0)),"")</f>
        <v>6.08</v>
      </c>
      <c r="I2551" s="36">
        <f>200-6-93-100</f>
        <v>1</v>
      </c>
      <c r="J2551" s="155">
        <f>IFERROR(Table1[[#This Row],[Quantity]]*Table1[[#This Row],[Price/Unit
EUR]]," ")</f>
        <v>6.08</v>
      </c>
      <c r="K2551" s="126">
        <v>45701</v>
      </c>
      <c r="L2551" s="36">
        <f>WEEKNUM(Table1[[#This Row],[ETA
As requested
dd.mm.yyyy]])</f>
        <v>7</v>
      </c>
      <c r="M2551" s="36">
        <f>YEAR(Table1[[#This Row],[ETA
As requested
dd.mm.yyyy]])</f>
        <v>2025</v>
      </c>
      <c r="N2551" s="36">
        <f>IFERROR(INDEX(DATABASE_FG!$H$5:$H$367, MATCH(E2551, DATABASE_FG!$C$5:$C$367, 0)), " ")</f>
        <v>0</v>
      </c>
      <c r="O2551" s="129" t="str">
        <f>IF(E2551&lt;&gt;"", _xlfn.XLOOKUP(E2551, DATABASE_FG!C:C, DATABASE_FG!F:F), " ")</f>
        <v>Ghidaje</v>
      </c>
      <c r="P2551" s="36">
        <f>IFERROR(INDEX(DATABASE_FG!$G$5:$G$367, MATCH(E2551, DATABASE_FG!$C$5:$C$367, 0)), "Not Found")</f>
        <v>0</v>
      </c>
      <c r="Q2551" s="36"/>
      <c r="R2551" s="125" t="s">
        <v>678</v>
      </c>
      <c r="S2551" s="123">
        <f>IFERROR(INDEX(DATABASE_FG!$L$5:$L$367, MATCH(E2551, DATABASE_FG!$C$5:$C$367, 0)), " ")</f>
        <v>42</v>
      </c>
      <c r="T2551" s="36" t="s">
        <v>679</v>
      </c>
      <c r="U2551" s="36"/>
      <c r="V2551" s="36"/>
      <c r="W2551" s="129"/>
      <c r="X2551" s="36"/>
      <c r="Y2551" s="36" t="s">
        <v>121</v>
      </c>
      <c r="Z2551" s="36"/>
      <c r="AA2551" s="125" t="s">
        <v>121</v>
      </c>
      <c r="AB2551" s="172">
        <v>45708</v>
      </c>
      <c r="AC2551" s="119">
        <v>25240</v>
      </c>
      <c r="AD2551" s="36">
        <f t="shared" si="278"/>
        <v>38474523</v>
      </c>
      <c r="AE2551" s="36" t="str">
        <f t="shared" si="279"/>
        <v>TK.KWVE30-B-A-SL-0038-WW1</v>
      </c>
      <c r="AF2551" s="36">
        <v>1</v>
      </c>
      <c r="AG2551" s="120">
        <f t="shared" si="277"/>
        <v>6.08</v>
      </c>
      <c r="AH2551" s="36"/>
      <c r="AI2551" s="124"/>
      <c r="AJ2551" s="122" t="s">
        <v>2809</v>
      </c>
      <c r="AK2551" s="129" t="str">
        <f t="shared" ca="1" si="276"/>
        <v>Late</v>
      </c>
      <c r="AL2551" s="268" t="str">
        <f t="shared" si="280"/>
        <v>February</v>
      </c>
      <c r="AM2551" s="133">
        <f>YEAR(Table1[[#This Row],[ETA
As requested
dd.mm.yyyy]])</f>
        <v>2025</v>
      </c>
    </row>
    <row r="2552" spans="1:39" hidden="1">
      <c r="A2552" s="123" t="s">
        <v>83</v>
      </c>
      <c r="B2552" s="36" t="s">
        <v>1170</v>
      </c>
      <c r="C2552" s="117">
        <v>38474523</v>
      </c>
      <c r="D2552" s="165">
        <v>45679</v>
      </c>
      <c r="E2552" s="117" t="s">
        <v>103</v>
      </c>
      <c r="F2552" s="36" t="str">
        <f>IFERROR(VLOOKUP(Table1[[#This Row],[Part Number]],DATABASE_FG!$C$6:D12541,2,FALSE)," ")</f>
        <v>080817246-8011</v>
      </c>
      <c r="G2552" s="117">
        <f>IFERROR(_xlfn.XLOOKUP(Table1[[#This Row],[Part Number]],Table3[Part number],Table3[Drawing
 Revision]),"")</f>
        <v>0</v>
      </c>
      <c r="H2552" s="118" cm="1">
        <f t="array" ref="H2552">IFERROR(INDEX(PDB!$C:$AT,MATCH(E2552,PDB!$B:$B,0),MATCH(YEAR(K2552),0+PDB!$C$1:$AT$1,0)),"")</f>
        <v>6.08</v>
      </c>
      <c r="I2552" s="36">
        <v>63</v>
      </c>
      <c r="J2552" s="155">
        <f>IFERROR(Table1[[#This Row],[Quantity]]*Table1[[#This Row],[Price/Unit
EUR]]," ")</f>
        <v>383.04</v>
      </c>
      <c r="K2552" s="126">
        <v>45706</v>
      </c>
      <c r="L2552" s="36">
        <f>WEEKNUM(Table1[[#This Row],[ETA
As requested
dd.mm.yyyy]])</f>
        <v>8</v>
      </c>
      <c r="M2552" s="36">
        <f>YEAR(Table1[[#This Row],[ETA
As requested
dd.mm.yyyy]])</f>
        <v>2025</v>
      </c>
      <c r="N2552" s="36">
        <f>IFERROR(INDEX(DATABASE_FG!$H$5:$H$367, MATCH(E2552, DATABASE_FG!$C$5:$C$367, 0)), " ")</f>
        <v>0</v>
      </c>
      <c r="O2552" s="129" t="str">
        <f>IF(E2552&lt;&gt;"", _xlfn.XLOOKUP(E2552, DATABASE_FG!C:C, DATABASE_FG!F:F), " ")</f>
        <v>Ghidaje</v>
      </c>
      <c r="P2552" s="36">
        <f>IFERROR(INDEX(DATABASE_FG!$G$5:$G$367, MATCH(E2552, DATABASE_FG!$C$5:$C$367, 0)), "Not Found")</f>
        <v>0</v>
      </c>
      <c r="Q2552" s="36"/>
      <c r="R2552" s="125" t="s">
        <v>678</v>
      </c>
      <c r="S2552" s="123">
        <f>IFERROR(INDEX(DATABASE_FG!$L$5:$L$367, MATCH(E2552, DATABASE_FG!$C$5:$C$367, 0)), " ")</f>
        <v>42</v>
      </c>
      <c r="T2552" s="36" t="s">
        <v>679</v>
      </c>
      <c r="U2552" s="36"/>
      <c r="V2552" s="36"/>
      <c r="W2552" s="129"/>
      <c r="X2552" s="36"/>
      <c r="Y2552" s="36"/>
      <c r="Z2552" s="36"/>
      <c r="AA2552" s="125" t="s">
        <v>121</v>
      </c>
      <c r="AB2552" s="172">
        <v>45708</v>
      </c>
      <c r="AC2552" s="119">
        <v>25240</v>
      </c>
      <c r="AD2552" s="36">
        <f t="shared" si="278"/>
        <v>38474523</v>
      </c>
      <c r="AE2552" s="36" t="str">
        <f t="shared" si="279"/>
        <v>TK.KWVE30-B-A-SL-0038-WW1</v>
      </c>
      <c r="AF2552" s="36">
        <v>63</v>
      </c>
      <c r="AG2552" s="120">
        <f t="shared" si="277"/>
        <v>383.04</v>
      </c>
      <c r="AH2552" s="36"/>
      <c r="AI2552" s="124"/>
      <c r="AJ2552" s="122" t="s">
        <v>2809</v>
      </c>
      <c r="AK2552" s="129" t="str">
        <f t="shared" ref="AK2552:AK2615" ca="1" si="281">IF(AB2552="", IF(K2552 &lt; TODAY(), "Late", ""), IF(AB2552 &lt;= K2552 + 2, "On Time", "Late"))</f>
        <v>On Time</v>
      </c>
      <c r="AL2552" s="268" t="str">
        <f t="shared" si="280"/>
        <v>February</v>
      </c>
      <c r="AM2552" s="133">
        <f>YEAR(Table1[[#This Row],[ETA
As requested
dd.mm.yyyy]])</f>
        <v>2025</v>
      </c>
    </row>
    <row r="2553" spans="1:39" hidden="1">
      <c r="A2553" s="123" t="s">
        <v>83</v>
      </c>
      <c r="B2553" s="36" t="s">
        <v>1170</v>
      </c>
      <c r="C2553" s="117">
        <v>38474523</v>
      </c>
      <c r="D2553" s="165">
        <v>45679</v>
      </c>
      <c r="E2553" s="117" t="s">
        <v>103</v>
      </c>
      <c r="F2553" s="36" t="str">
        <f>IFERROR(VLOOKUP(Table1[[#This Row],[Part Number]],DATABASE_FG!$C$6:D12542,2,FALSE)," ")</f>
        <v>080817246-8011</v>
      </c>
      <c r="G2553" s="117">
        <f>IFERROR(_xlfn.XLOOKUP(Table1[[#This Row],[Part Number]],Table3[Part number],Table3[Drawing
 Revision]),"")</f>
        <v>0</v>
      </c>
      <c r="H2553" s="118" cm="1">
        <f t="array" ref="H2553">IFERROR(INDEX(PDB!$C:$AT,MATCH(E2553,PDB!$B:$B,0),MATCH(YEAR(K2553),0+PDB!$C$1:$AT$1,0)),"")</f>
        <v>6.08</v>
      </c>
      <c r="I2553" s="36">
        <v>72</v>
      </c>
      <c r="J2553" s="155">
        <f>IFERROR(Table1[[#This Row],[Quantity]]*Table1[[#This Row],[Price/Unit
EUR]]," ")</f>
        <v>437.76</v>
      </c>
      <c r="K2553" s="126">
        <v>45706</v>
      </c>
      <c r="L2553" s="36">
        <f>WEEKNUM(Table1[[#This Row],[ETA
As requested
dd.mm.yyyy]])</f>
        <v>8</v>
      </c>
      <c r="M2553" s="36">
        <f>YEAR(Table1[[#This Row],[ETA
As requested
dd.mm.yyyy]])</f>
        <v>2025</v>
      </c>
      <c r="N2553" s="36">
        <f>IFERROR(INDEX(DATABASE_FG!$H$5:$H$367, MATCH(E2553, DATABASE_FG!$C$5:$C$367, 0)), " ")</f>
        <v>0</v>
      </c>
      <c r="O2553" s="129" t="str">
        <f>IF(E2553&lt;&gt;"", _xlfn.XLOOKUP(E2553, DATABASE_FG!C:C, DATABASE_FG!F:F), " ")</f>
        <v>Ghidaje</v>
      </c>
      <c r="P2553" s="36">
        <f>IFERROR(INDEX(DATABASE_FG!$G$5:$G$367, MATCH(E2553, DATABASE_FG!$C$5:$C$367, 0)), "Not Found")</f>
        <v>0</v>
      </c>
      <c r="Q2553" s="36"/>
      <c r="R2553" s="125" t="s">
        <v>678</v>
      </c>
      <c r="S2553" s="123">
        <f>IFERROR(INDEX(DATABASE_FG!$L$5:$L$367, MATCH(E2553, DATABASE_FG!$C$5:$C$367, 0)), " ")</f>
        <v>42</v>
      </c>
      <c r="T2553" s="36" t="s">
        <v>679</v>
      </c>
      <c r="U2553" s="36"/>
      <c r="V2553" s="36"/>
      <c r="W2553" s="129"/>
      <c r="X2553" s="36"/>
      <c r="Y2553" s="36"/>
      <c r="Z2553" s="36"/>
      <c r="AA2553" s="125" t="s">
        <v>121</v>
      </c>
      <c r="AB2553" s="172">
        <v>45709</v>
      </c>
      <c r="AC2553" s="119">
        <v>25250</v>
      </c>
      <c r="AD2553" s="36">
        <f t="shared" si="278"/>
        <v>38474523</v>
      </c>
      <c r="AE2553" s="36" t="str">
        <f t="shared" si="279"/>
        <v>TK.KWVE30-B-A-SL-0038-WW1</v>
      </c>
      <c r="AF2553" s="36">
        <v>72</v>
      </c>
      <c r="AG2553" s="120">
        <f t="shared" si="277"/>
        <v>437.76</v>
      </c>
      <c r="AH2553" s="36"/>
      <c r="AI2553" s="124"/>
      <c r="AJ2553" s="122" t="s">
        <v>2822</v>
      </c>
      <c r="AK2553" s="129" t="str">
        <f t="shared" ca="1" si="281"/>
        <v>Late</v>
      </c>
      <c r="AL2553" s="268" t="str">
        <f t="shared" si="280"/>
        <v>February</v>
      </c>
      <c r="AM2553" s="133">
        <f>YEAR(Table1[[#This Row],[ETA
As requested
dd.mm.yyyy]])</f>
        <v>2025</v>
      </c>
    </row>
    <row r="2554" spans="1:39" hidden="1">
      <c r="A2554" s="123" t="s">
        <v>83</v>
      </c>
      <c r="B2554" s="36" t="s">
        <v>1170</v>
      </c>
      <c r="C2554" s="117">
        <v>38474523</v>
      </c>
      <c r="D2554" s="165">
        <v>45679</v>
      </c>
      <c r="E2554" s="117" t="s">
        <v>103</v>
      </c>
      <c r="F2554" s="36" t="str">
        <f>IFERROR(VLOOKUP(Table1[[#This Row],[Part Number]],DATABASE_FG!$C$6:D12543,2,FALSE)," ")</f>
        <v>080817246-8011</v>
      </c>
      <c r="G2554" s="117">
        <f>IFERROR(_xlfn.XLOOKUP(Table1[[#This Row],[Part Number]],Table3[Part number],Table3[Drawing
 Revision]),"")</f>
        <v>0</v>
      </c>
      <c r="H2554" s="118" cm="1">
        <f t="array" ref="H2554">IFERROR(INDEX(PDB!$C:$AT,MATCH(E2554,PDB!$B:$B,0),MATCH(YEAR(K2554),0+PDB!$C$1:$AT$1,0)),"")</f>
        <v>6.08</v>
      </c>
      <c r="I2554" s="36">
        <v>110</v>
      </c>
      <c r="J2554" s="155">
        <f>IFERROR(Table1[[#This Row],[Quantity]]*Table1[[#This Row],[Price/Unit
EUR]]," ")</f>
        <v>668.8</v>
      </c>
      <c r="K2554" s="126">
        <v>45706</v>
      </c>
      <c r="L2554" s="36">
        <f>WEEKNUM(Table1[[#This Row],[ETA
As requested
dd.mm.yyyy]])</f>
        <v>8</v>
      </c>
      <c r="M2554" s="36">
        <f>YEAR(Table1[[#This Row],[ETA
As requested
dd.mm.yyyy]])</f>
        <v>2025</v>
      </c>
      <c r="N2554" s="36">
        <f>IFERROR(INDEX(DATABASE_FG!$H$5:$H$367, MATCH(E2554, DATABASE_FG!$C$5:$C$367, 0)), " ")</f>
        <v>0</v>
      </c>
      <c r="O2554" s="129" t="str">
        <f>IF(E2554&lt;&gt;"", _xlfn.XLOOKUP(E2554, DATABASE_FG!C:C, DATABASE_FG!F:F), " ")</f>
        <v>Ghidaje</v>
      </c>
      <c r="P2554" s="36">
        <f>IFERROR(INDEX(DATABASE_FG!$G$5:$G$367, MATCH(E2554, DATABASE_FG!$C$5:$C$367, 0)), "Not Found")</f>
        <v>0</v>
      </c>
      <c r="Q2554" s="36"/>
      <c r="R2554" s="125" t="s">
        <v>678</v>
      </c>
      <c r="S2554" s="123">
        <f>IFERROR(INDEX(DATABASE_FG!$L$5:$L$367, MATCH(E2554, DATABASE_FG!$C$5:$C$367, 0)), " ")</f>
        <v>42</v>
      </c>
      <c r="T2554" s="36" t="s">
        <v>679</v>
      </c>
      <c r="U2554" s="36"/>
      <c r="V2554" s="36"/>
      <c r="W2554" s="129"/>
      <c r="X2554" s="36"/>
      <c r="Y2554" s="36"/>
      <c r="Z2554" s="36"/>
      <c r="AA2554" s="125" t="s">
        <v>121</v>
      </c>
      <c r="AB2554" s="172">
        <v>45713</v>
      </c>
      <c r="AC2554" s="119">
        <v>25265</v>
      </c>
      <c r="AD2554" s="36">
        <f t="shared" si="278"/>
        <v>38474523</v>
      </c>
      <c r="AE2554" s="36" t="str">
        <f t="shared" si="279"/>
        <v>TK.KWVE30-B-A-SL-0038-WW1</v>
      </c>
      <c r="AF2554" s="36">
        <v>110</v>
      </c>
      <c r="AG2554" s="120">
        <f t="shared" si="277"/>
        <v>668.8</v>
      </c>
      <c r="AH2554" s="36"/>
      <c r="AI2554" s="124"/>
      <c r="AJ2554" s="122" t="s">
        <v>2823</v>
      </c>
      <c r="AK2554" s="129" t="str">
        <f t="shared" ca="1" si="281"/>
        <v>Late</v>
      </c>
      <c r="AL2554" s="268" t="str">
        <f t="shared" si="280"/>
        <v>February</v>
      </c>
      <c r="AM2554" s="133">
        <f>YEAR(Table1[[#This Row],[ETA
As requested
dd.mm.yyyy]])</f>
        <v>2025</v>
      </c>
    </row>
    <row r="2555" spans="1:39" hidden="1">
      <c r="A2555" s="123" t="s">
        <v>83</v>
      </c>
      <c r="B2555" s="36" t="s">
        <v>1170</v>
      </c>
      <c r="C2555" s="117">
        <v>38474523</v>
      </c>
      <c r="D2555" s="165">
        <v>45679</v>
      </c>
      <c r="E2555" s="117" t="s">
        <v>103</v>
      </c>
      <c r="F2555" s="36" t="str">
        <f>IFERROR(VLOOKUP(Table1[[#This Row],[Part Number]],DATABASE_FG!$C$6:D12544,2,FALSE)," ")</f>
        <v>080817246-8011</v>
      </c>
      <c r="G2555" s="117">
        <f>IFERROR(_xlfn.XLOOKUP(Table1[[#This Row],[Part Number]],Table3[Part number],Table3[Drawing
 Revision]),"")</f>
        <v>0</v>
      </c>
      <c r="H2555" s="118" cm="1">
        <f t="array" ref="H2555">IFERROR(INDEX(PDB!$C:$AT,MATCH(E2555,PDB!$B:$B,0),MATCH(YEAR(K2555),0+PDB!$C$1:$AT$1,0)),"")</f>
        <v>6.08</v>
      </c>
      <c r="I2555" s="36">
        <f>300-63-72-110</f>
        <v>55</v>
      </c>
      <c r="J2555" s="155">
        <f>IFERROR(Table1[[#This Row],[Quantity]]*Table1[[#This Row],[Price/Unit
EUR]]," ")</f>
        <v>334.4</v>
      </c>
      <c r="K2555" s="126">
        <v>45706</v>
      </c>
      <c r="L2555" s="36">
        <f>WEEKNUM(Table1[[#This Row],[ETA
As requested
dd.mm.yyyy]])</f>
        <v>8</v>
      </c>
      <c r="M2555" s="36">
        <f>YEAR(Table1[[#This Row],[ETA
As requested
dd.mm.yyyy]])</f>
        <v>2025</v>
      </c>
      <c r="N2555" s="36">
        <f>IFERROR(INDEX(DATABASE_FG!$H$5:$H$367, MATCH(E2555, DATABASE_FG!$C$5:$C$367, 0)), " ")</f>
        <v>0</v>
      </c>
      <c r="O2555" s="129" t="str">
        <f>IF(E2555&lt;&gt;"", _xlfn.XLOOKUP(E2555, DATABASE_FG!C:C, DATABASE_FG!F:F), " ")</f>
        <v>Ghidaje</v>
      </c>
      <c r="P2555" s="36">
        <f>IFERROR(INDEX(DATABASE_FG!$G$5:$G$367, MATCH(E2555, DATABASE_FG!$C$5:$C$367, 0)), "Not Found")</f>
        <v>0</v>
      </c>
      <c r="Q2555" s="36"/>
      <c r="R2555" s="125" t="s">
        <v>678</v>
      </c>
      <c r="S2555" s="123">
        <f>IFERROR(INDEX(DATABASE_FG!$L$5:$L$367, MATCH(E2555, DATABASE_FG!$C$5:$C$367, 0)), " ")</f>
        <v>42</v>
      </c>
      <c r="T2555" s="36" t="s">
        <v>679</v>
      </c>
      <c r="U2555" s="36"/>
      <c r="V2555" s="36"/>
      <c r="W2555" s="129"/>
      <c r="X2555" s="36"/>
      <c r="Y2555" s="36"/>
      <c r="Z2555" s="36"/>
      <c r="AA2555" s="125" t="s">
        <v>121</v>
      </c>
      <c r="AB2555" s="172">
        <v>45715</v>
      </c>
      <c r="AC2555" s="119">
        <v>25275</v>
      </c>
      <c r="AD2555" s="36">
        <f t="shared" si="278"/>
        <v>38474523</v>
      </c>
      <c r="AE2555" s="36" t="str">
        <f t="shared" si="279"/>
        <v>TK.KWVE30-B-A-SL-0038-WW1</v>
      </c>
      <c r="AF2555" s="36">
        <v>55</v>
      </c>
      <c r="AG2555" s="120">
        <f t="shared" si="277"/>
        <v>334.4</v>
      </c>
      <c r="AH2555" s="36"/>
      <c r="AI2555" s="124"/>
      <c r="AJ2555" s="122" t="s">
        <v>2824</v>
      </c>
      <c r="AK2555" s="129" t="str">
        <f t="shared" ca="1" si="281"/>
        <v>Late</v>
      </c>
      <c r="AL2555" s="268" t="str">
        <f t="shared" si="280"/>
        <v>February</v>
      </c>
      <c r="AM2555" s="133">
        <f>YEAR(Table1[[#This Row],[ETA
As requested
dd.mm.yyyy]])</f>
        <v>2025</v>
      </c>
    </row>
    <row r="2556" spans="1:39" hidden="1">
      <c r="A2556" s="123" t="s">
        <v>83</v>
      </c>
      <c r="B2556" s="36" t="s">
        <v>1170</v>
      </c>
      <c r="C2556" s="117">
        <v>38676803</v>
      </c>
      <c r="D2556" s="165">
        <v>45709</v>
      </c>
      <c r="E2556" s="117" t="s">
        <v>103</v>
      </c>
      <c r="F2556" s="36" t="str">
        <f>IFERROR(VLOOKUP(Table1[[#This Row],[Part Number]],DATABASE_FG!$C$6:D12545,2,FALSE)," ")</f>
        <v>080817246-8011</v>
      </c>
      <c r="G2556" s="117">
        <f>IFERROR(_xlfn.XLOOKUP(Table1[[#This Row],[Part Number]],Table3[Part number],Table3[Drawing
 Revision]),"")</f>
        <v>0</v>
      </c>
      <c r="H2556" s="118" cm="1">
        <f t="array" ref="H2556">IFERROR(INDEX(PDB!$C:$AT,MATCH(E2556,PDB!$B:$B,0),MATCH(YEAR(K2556),0+PDB!$C$1:$AT$1,0)),"")</f>
        <v>6.08</v>
      </c>
      <c r="I2556" s="36">
        <v>6</v>
      </c>
      <c r="J2556" s="155">
        <f>IFERROR(Table1[[#This Row],[Quantity]]*Table1[[#This Row],[Price/Unit
EUR]]," ")</f>
        <v>36.480000000000004</v>
      </c>
      <c r="K2556" s="126">
        <v>45720</v>
      </c>
      <c r="L2556" s="36">
        <f>WEEKNUM(Table1[[#This Row],[ETA
As requested
dd.mm.yyyy]])</f>
        <v>10</v>
      </c>
      <c r="M2556" s="36">
        <f>YEAR(Table1[[#This Row],[ETA
As requested
dd.mm.yyyy]])</f>
        <v>2025</v>
      </c>
      <c r="N2556" s="36">
        <f>IFERROR(INDEX(DATABASE_FG!$H$5:$H$367, MATCH(E2556, DATABASE_FG!$C$5:$C$367, 0)), " ")</f>
        <v>0</v>
      </c>
      <c r="O2556" s="129" t="str">
        <f>IF(E2556&lt;&gt;"", _xlfn.XLOOKUP(E2556, DATABASE_FG!C:C, DATABASE_FG!F:F), " ")</f>
        <v>Ghidaje</v>
      </c>
      <c r="P2556" s="36">
        <f>IFERROR(INDEX(DATABASE_FG!$G$5:$G$367, MATCH(E2556, DATABASE_FG!$C$5:$C$367, 0)), "Not Found")</f>
        <v>0</v>
      </c>
      <c r="Q2556" s="36"/>
      <c r="R2556" s="125" t="s">
        <v>678</v>
      </c>
      <c r="S2556" s="123">
        <f>IFERROR(INDEX(DATABASE_FG!$L$5:$L$367, MATCH(E2556, DATABASE_FG!$C$5:$C$367, 0)), " ")</f>
        <v>42</v>
      </c>
      <c r="T2556" s="36" t="s">
        <v>679</v>
      </c>
      <c r="U2556" s="36"/>
      <c r="V2556" s="36"/>
      <c r="W2556" s="129"/>
      <c r="X2556" s="36"/>
      <c r="Y2556" s="36"/>
      <c r="Z2556" s="36"/>
      <c r="AA2556" s="125" t="s">
        <v>121</v>
      </c>
      <c r="AB2556" s="172">
        <v>45720</v>
      </c>
      <c r="AC2556" s="119">
        <v>25303</v>
      </c>
      <c r="AD2556" s="36">
        <f t="shared" si="278"/>
        <v>38676803</v>
      </c>
      <c r="AE2556" s="36" t="str">
        <f t="shared" si="279"/>
        <v>TK.KWVE30-B-A-SL-0038-WW1</v>
      </c>
      <c r="AF2556" s="36">
        <v>6</v>
      </c>
      <c r="AG2556" s="120">
        <f t="shared" si="277"/>
        <v>36.480000000000004</v>
      </c>
      <c r="AH2556" s="36"/>
      <c r="AI2556" s="124"/>
      <c r="AJ2556" s="122" t="s">
        <v>2917</v>
      </c>
      <c r="AK2556" s="129" t="str">
        <f t="shared" ca="1" si="281"/>
        <v>On Time</v>
      </c>
      <c r="AL2556" s="268" t="str">
        <f t="shared" si="280"/>
        <v>March</v>
      </c>
      <c r="AM2556" s="133">
        <f>YEAR(Table1[[#This Row],[ETA
As requested
dd.mm.yyyy]])</f>
        <v>2025</v>
      </c>
    </row>
    <row r="2557" spans="1:39" hidden="1">
      <c r="A2557" s="123" t="s">
        <v>83</v>
      </c>
      <c r="B2557" s="36" t="s">
        <v>1170</v>
      </c>
      <c r="C2557" s="117">
        <v>38676803</v>
      </c>
      <c r="D2557" s="165">
        <v>45709</v>
      </c>
      <c r="E2557" s="117" t="s">
        <v>103</v>
      </c>
      <c r="F2557" s="36" t="str">
        <f>IFERROR(VLOOKUP(Table1[[#This Row],[Part Number]],DATABASE_FG!$C$6:D12546,2,FALSE)," ")</f>
        <v>080817246-8011</v>
      </c>
      <c r="G2557" s="117">
        <f>IFERROR(_xlfn.XLOOKUP(Table1[[#This Row],[Part Number]],Table3[Part number],Table3[Drawing
 Revision]),"")</f>
        <v>0</v>
      </c>
      <c r="H2557" s="118" cm="1">
        <f t="array" ref="H2557">IFERROR(INDEX(PDB!$C:$AT,MATCH(E2557,PDB!$B:$B,0),MATCH(YEAR(K2557),0+PDB!$C$1:$AT$1,0)),"")</f>
        <v>6.08</v>
      </c>
      <c r="I2557" s="36">
        <v>80</v>
      </c>
      <c r="J2557" s="155">
        <f>IFERROR(Table1[[#This Row],[Quantity]]*Table1[[#This Row],[Price/Unit
EUR]]," ")</f>
        <v>486.4</v>
      </c>
      <c r="K2557" s="126">
        <v>45720</v>
      </c>
      <c r="L2557" s="36">
        <f>WEEKNUM(Table1[[#This Row],[ETA
As requested
dd.mm.yyyy]])</f>
        <v>10</v>
      </c>
      <c r="M2557" s="36">
        <f>YEAR(Table1[[#This Row],[ETA
As requested
dd.mm.yyyy]])</f>
        <v>2025</v>
      </c>
      <c r="N2557" s="36">
        <f>IFERROR(INDEX(DATABASE_FG!$H$5:$H$367, MATCH(E2557, DATABASE_FG!$C$5:$C$367, 0)), " ")</f>
        <v>0</v>
      </c>
      <c r="O2557" s="129" t="str">
        <f>IF(E2557&lt;&gt;"", _xlfn.XLOOKUP(E2557, DATABASE_FG!C:C, DATABASE_FG!F:F), " ")</f>
        <v>Ghidaje</v>
      </c>
      <c r="P2557" s="36">
        <f>IFERROR(INDEX(DATABASE_FG!$G$5:$G$367, MATCH(E2557, DATABASE_FG!$C$5:$C$367, 0)), "Not Found")</f>
        <v>0</v>
      </c>
      <c r="Q2557" s="36"/>
      <c r="R2557" s="125" t="s">
        <v>678</v>
      </c>
      <c r="S2557" s="123">
        <f>IFERROR(INDEX(DATABASE_FG!$L$5:$L$367, MATCH(E2557, DATABASE_FG!$C$5:$C$367, 0)), " ")</f>
        <v>42</v>
      </c>
      <c r="T2557" s="36" t="s">
        <v>679</v>
      </c>
      <c r="U2557" s="36"/>
      <c r="V2557" s="36"/>
      <c r="W2557" s="129"/>
      <c r="X2557" s="36"/>
      <c r="Y2557" s="36"/>
      <c r="Z2557" s="36"/>
      <c r="AA2557" s="125" t="s">
        <v>121</v>
      </c>
      <c r="AB2557" s="172">
        <v>45722</v>
      </c>
      <c r="AC2557" s="119">
        <v>25333</v>
      </c>
      <c r="AD2557" s="36">
        <f t="shared" si="278"/>
        <v>38676803</v>
      </c>
      <c r="AE2557" s="36" t="str">
        <f t="shared" si="279"/>
        <v>TK.KWVE30-B-A-SL-0038-WW1</v>
      </c>
      <c r="AF2557" s="36">
        <v>80</v>
      </c>
      <c r="AG2557" s="120">
        <f t="shared" si="277"/>
        <v>486.4</v>
      </c>
      <c r="AH2557" s="36"/>
      <c r="AI2557" s="124"/>
      <c r="AJ2557" s="122" t="s">
        <v>2922</v>
      </c>
      <c r="AK2557" s="129" t="str">
        <f t="shared" ca="1" si="281"/>
        <v>On Time</v>
      </c>
      <c r="AL2557" s="268" t="str">
        <f t="shared" si="280"/>
        <v>March</v>
      </c>
      <c r="AM2557" s="133">
        <f>YEAR(Table1[[#This Row],[ETA
As requested
dd.mm.yyyy]])</f>
        <v>2025</v>
      </c>
    </row>
    <row r="2558" spans="1:39" hidden="1">
      <c r="A2558" s="123" t="s">
        <v>83</v>
      </c>
      <c r="B2558" s="36" t="s">
        <v>1170</v>
      </c>
      <c r="C2558" s="117">
        <v>38676803</v>
      </c>
      <c r="D2558" s="165">
        <v>45709</v>
      </c>
      <c r="E2558" s="117" t="s">
        <v>103</v>
      </c>
      <c r="F2558" s="36" t="str">
        <f>IFERROR(VLOOKUP(Table1[[#This Row],[Part Number]],DATABASE_FG!$C$6:D12547,2,FALSE)," ")</f>
        <v>080817246-8011</v>
      </c>
      <c r="G2558" s="117">
        <f>IFERROR(_xlfn.XLOOKUP(Table1[[#This Row],[Part Number]],Table3[Part number],Table3[Drawing
 Revision]),"")</f>
        <v>0</v>
      </c>
      <c r="H2558" s="118" cm="1">
        <f t="array" ref="H2558">IFERROR(INDEX(PDB!$C:$AT,MATCH(E2558,PDB!$B:$B,0),MATCH(YEAR(K2558),0+PDB!$C$1:$AT$1,0)),"")</f>
        <v>6.08</v>
      </c>
      <c r="I2558" s="36">
        <f>150-6-80</f>
        <v>64</v>
      </c>
      <c r="J2558" s="155">
        <f>IFERROR(Table1[[#This Row],[Quantity]]*Table1[[#This Row],[Price/Unit
EUR]]," ")</f>
        <v>389.12</v>
      </c>
      <c r="K2558" s="126">
        <v>45720</v>
      </c>
      <c r="L2558" s="36">
        <f>WEEKNUM(Table1[[#This Row],[ETA
As requested
dd.mm.yyyy]])</f>
        <v>10</v>
      </c>
      <c r="M2558" s="36">
        <f>YEAR(Table1[[#This Row],[ETA
As requested
dd.mm.yyyy]])</f>
        <v>2025</v>
      </c>
      <c r="N2558" s="36">
        <f>IFERROR(INDEX(DATABASE_FG!$H$5:$H$367, MATCH(E2558, DATABASE_FG!$C$5:$C$367, 0)), " ")</f>
        <v>0</v>
      </c>
      <c r="O2558" s="129" t="str">
        <f>IF(E2558&lt;&gt;"", _xlfn.XLOOKUP(E2558, DATABASE_FG!C:C, DATABASE_FG!F:F), " ")</f>
        <v>Ghidaje</v>
      </c>
      <c r="P2558" s="36">
        <f>IFERROR(INDEX(DATABASE_FG!$G$5:$G$367, MATCH(E2558, DATABASE_FG!$C$5:$C$367, 0)), "Not Found")</f>
        <v>0</v>
      </c>
      <c r="Q2558" s="36"/>
      <c r="R2558" s="125" t="s">
        <v>678</v>
      </c>
      <c r="S2558" s="123">
        <f>IFERROR(INDEX(DATABASE_FG!$L$5:$L$367, MATCH(E2558, DATABASE_FG!$C$5:$C$367, 0)), " ")</f>
        <v>42</v>
      </c>
      <c r="T2558" s="36" t="s">
        <v>679</v>
      </c>
      <c r="U2558" s="36"/>
      <c r="V2558" s="36"/>
      <c r="W2558" s="129"/>
      <c r="X2558" s="36"/>
      <c r="Y2558" s="36"/>
      <c r="Z2558" s="36"/>
      <c r="AA2558" s="125" t="s">
        <v>121</v>
      </c>
      <c r="AB2558" s="172">
        <v>45727</v>
      </c>
      <c r="AC2558" s="119">
        <v>25357</v>
      </c>
      <c r="AD2558" s="36">
        <f t="shared" si="278"/>
        <v>38676803</v>
      </c>
      <c r="AE2558" s="36" t="str">
        <f t="shared" si="279"/>
        <v>TK.KWVE30-B-A-SL-0038-WW1</v>
      </c>
      <c r="AF2558" s="36">
        <v>64</v>
      </c>
      <c r="AG2558" s="120">
        <f t="shared" si="277"/>
        <v>389.12</v>
      </c>
      <c r="AH2558" s="36"/>
      <c r="AI2558" s="124"/>
      <c r="AJ2558" s="122" t="s">
        <v>2924</v>
      </c>
      <c r="AK2558" s="129" t="str">
        <f t="shared" ca="1" si="281"/>
        <v>Late</v>
      </c>
      <c r="AL2558" s="268" t="str">
        <f t="shared" si="280"/>
        <v>March</v>
      </c>
      <c r="AM2558" s="133">
        <f>YEAR(Table1[[#This Row],[ETA
As requested
dd.mm.yyyy]])</f>
        <v>2025</v>
      </c>
    </row>
    <row r="2559" spans="1:39" hidden="1">
      <c r="A2559" s="123" t="s">
        <v>83</v>
      </c>
      <c r="B2559" s="36" t="s">
        <v>1170</v>
      </c>
      <c r="C2559" s="117">
        <v>38676803</v>
      </c>
      <c r="D2559" s="165">
        <v>45709</v>
      </c>
      <c r="E2559" s="117" t="s">
        <v>103</v>
      </c>
      <c r="F2559" s="36" t="str">
        <f>IFERROR(VLOOKUP(Table1[[#This Row],[Part Number]],DATABASE_FG!$C$6:D12548,2,FALSE)," ")</f>
        <v>080817246-8011</v>
      </c>
      <c r="G2559" s="117">
        <f>IFERROR(_xlfn.XLOOKUP(Table1[[#This Row],[Part Number]],Table3[Part number],Table3[Drawing
 Revision]),"")</f>
        <v>0</v>
      </c>
      <c r="H2559" s="118" cm="1">
        <f t="array" ref="H2559">IFERROR(INDEX(PDB!$C:$AT,MATCH(E2559,PDB!$B:$B,0),MATCH(YEAR(K2559),0+PDB!$C$1:$AT$1,0)),"")</f>
        <v>6.08</v>
      </c>
      <c r="I2559" s="36">
        <v>150</v>
      </c>
      <c r="J2559" s="155">
        <f>IFERROR(Table1[[#This Row],[Quantity]]*Table1[[#This Row],[Price/Unit
EUR]]," ")</f>
        <v>912</v>
      </c>
      <c r="K2559" s="126">
        <v>45727</v>
      </c>
      <c r="L2559" s="36">
        <f>WEEKNUM(Table1[[#This Row],[ETA
As requested
dd.mm.yyyy]])</f>
        <v>11</v>
      </c>
      <c r="M2559" s="36">
        <f>YEAR(Table1[[#This Row],[ETA
As requested
dd.mm.yyyy]])</f>
        <v>2025</v>
      </c>
      <c r="N2559" s="36">
        <f>IFERROR(INDEX(DATABASE_FG!$H$5:$H$367, MATCH(E2559, DATABASE_FG!$C$5:$C$367, 0)), " ")</f>
        <v>0</v>
      </c>
      <c r="O2559" s="129" t="str">
        <f>IF(E2559&lt;&gt;"", _xlfn.XLOOKUP(E2559, DATABASE_FG!C:C, DATABASE_FG!F:F), " ")</f>
        <v>Ghidaje</v>
      </c>
      <c r="P2559" s="36">
        <f>IFERROR(INDEX(DATABASE_FG!$G$5:$G$367, MATCH(E2559, DATABASE_FG!$C$5:$C$367, 0)), "Not Found")</f>
        <v>0</v>
      </c>
      <c r="Q2559" s="36"/>
      <c r="R2559" s="125" t="s">
        <v>678</v>
      </c>
      <c r="S2559" s="123">
        <f>IFERROR(INDEX(DATABASE_FG!$L$5:$L$367, MATCH(E2559, DATABASE_FG!$C$5:$C$367, 0)), " ")</f>
        <v>42</v>
      </c>
      <c r="T2559" s="36" t="s">
        <v>679</v>
      </c>
      <c r="U2559" s="36"/>
      <c r="V2559" s="36"/>
      <c r="W2559" s="129"/>
      <c r="X2559" s="36"/>
      <c r="Y2559" s="36"/>
      <c r="Z2559" s="36"/>
      <c r="AA2559" s="125" t="s">
        <v>121</v>
      </c>
      <c r="AB2559" s="172">
        <v>45727</v>
      </c>
      <c r="AC2559" s="119">
        <v>25357</v>
      </c>
      <c r="AD2559" s="36">
        <f t="shared" si="278"/>
        <v>38676803</v>
      </c>
      <c r="AE2559" s="36" t="str">
        <f t="shared" si="279"/>
        <v>TK.KWVE30-B-A-SL-0038-WW1</v>
      </c>
      <c r="AF2559" s="36">
        <v>150</v>
      </c>
      <c r="AG2559" s="120">
        <f t="shared" ref="AG2559:AG2622" si="282">AF2559*H2559</f>
        <v>912</v>
      </c>
      <c r="AH2559" s="36"/>
      <c r="AI2559" s="124"/>
      <c r="AJ2559" s="122" t="s">
        <v>2924</v>
      </c>
      <c r="AK2559" s="129" t="str">
        <f t="shared" ca="1" si="281"/>
        <v>On Time</v>
      </c>
      <c r="AL2559" s="268" t="str">
        <f t="shared" si="280"/>
        <v>March</v>
      </c>
      <c r="AM2559" s="133">
        <f>YEAR(Table1[[#This Row],[ETA
As requested
dd.mm.yyyy]])</f>
        <v>2025</v>
      </c>
    </row>
    <row r="2560" spans="1:39" hidden="1">
      <c r="A2560" s="123" t="s">
        <v>83</v>
      </c>
      <c r="B2560" s="36" t="s">
        <v>1170</v>
      </c>
      <c r="C2560" s="117">
        <v>38676803</v>
      </c>
      <c r="D2560" s="165">
        <v>45709</v>
      </c>
      <c r="E2560" s="117" t="s">
        <v>103</v>
      </c>
      <c r="F2560" s="36" t="str">
        <f>IFERROR(VLOOKUP(Table1[[#This Row],[Part Number]],DATABASE_FG!$C$6:D12549,2,FALSE)," ")</f>
        <v>080817246-8011</v>
      </c>
      <c r="G2560" s="117">
        <f>IFERROR(_xlfn.XLOOKUP(Table1[[#This Row],[Part Number]],Table3[Part number],Table3[Drawing
 Revision]),"")</f>
        <v>0</v>
      </c>
      <c r="H2560" s="118" cm="1">
        <f t="array" ref="H2560">IFERROR(INDEX(PDB!$C:$AT,MATCH(E2560,PDB!$B:$B,0),MATCH(YEAR(K2560),0+PDB!$C$1:$AT$1,0)),"")</f>
        <v>6.08</v>
      </c>
      <c r="I2560" s="36">
        <v>64</v>
      </c>
      <c r="J2560" s="125">
        <f>IFERROR(Table1[[#This Row],[Quantity]]*Table1[[#This Row],[Price/Unit
EUR]]," ")</f>
        <v>389.12</v>
      </c>
      <c r="K2560" s="126">
        <v>45734</v>
      </c>
      <c r="L2560" s="36">
        <f>WEEKNUM(Table1[[#This Row],[ETA
As requested
dd.mm.yyyy]])</f>
        <v>12</v>
      </c>
      <c r="M2560" s="36">
        <f>YEAR(Table1[[#This Row],[ETA
As requested
dd.mm.yyyy]])</f>
        <v>2025</v>
      </c>
      <c r="N2560" s="36">
        <f>IFERROR(INDEX(DATABASE_FG!$H$5:$H$367, MATCH(E2560, DATABASE_FG!$C$5:$C$367, 0)), " ")</f>
        <v>0</v>
      </c>
      <c r="O2560" s="129" t="str">
        <f>IF(E2560&lt;&gt;"", _xlfn.XLOOKUP(E2560, DATABASE_FG!C:C, DATABASE_FG!F:F), " ")</f>
        <v>Ghidaje</v>
      </c>
      <c r="P2560" s="129">
        <f>IFERROR(INDEX(DATABASE_FG!$G$5:$G$367, MATCH(E2560, DATABASE_FG!$C$5:$C$367, 0)), "Not Found")</f>
        <v>0</v>
      </c>
      <c r="Q2560" s="36"/>
      <c r="R2560" s="125" t="s">
        <v>678</v>
      </c>
      <c r="S2560" s="123">
        <f>IFERROR(INDEX(DATABASE_FG!$L$5:$L$367, MATCH(E2560, DATABASE_FG!$C$5:$C$367, 0)), " ")</f>
        <v>42</v>
      </c>
      <c r="T2560" s="36" t="s">
        <v>679</v>
      </c>
      <c r="U2560" s="36"/>
      <c r="V2560" s="36"/>
      <c r="W2560" s="129"/>
      <c r="X2560" s="36"/>
      <c r="Y2560" s="36"/>
      <c r="Z2560" s="36"/>
      <c r="AA2560" s="125" t="s">
        <v>121</v>
      </c>
      <c r="AB2560" s="173">
        <v>45726</v>
      </c>
      <c r="AC2560" s="119">
        <v>25359</v>
      </c>
      <c r="AD2560" s="36">
        <f t="shared" si="278"/>
        <v>38676803</v>
      </c>
      <c r="AE2560" s="36" t="str">
        <f t="shared" si="279"/>
        <v>TK.KWVE30-B-A-SL-0038-WW1</v>
      </c>
      <c r="AF2560" s="36">
        <v>64</v>
      </c>
      <c r="AG2560" s="120">
        <f t="shared" si="282"/>
        <v>389.12</v>
      </c>
      <c r="AH2560" s="36"/>
      <c r="AI2560" s="124"/>
      <c r="AJ2560" s="122" t="s">
        <v>2964</v>
      </c>
      <c r="AK2560" s="129" t="str">
        <f t="shared" ca="1" si="281"/>
        <v>On Time</v>
      </c>
      <c r="AL2560" s="268" t="str">
        <f t="shared" si="280"/>
        <v>March</v>
      </c>
      <c r="AM2560" s="133">
        <f>YEAR(Table1[[#This Row],[ETA
As requested
dd.mm.yyyy]])</f>
        <v>2025</v>
      </c>
    </row>
    <row r="2561" spans="1:40" hidden="1">
      <c r="A2561" s="123" t="s">
        <v>83</v>
      </c>
      <c r="B2561" s="36" t="s">
        <v>1170</v>
      </c>
      <c r="C2561" s="117">
        <v>38676803</v>
      </c>
      <c r="D2561" s="165">
        <v>45709</v>
      </c>
      <c r="E2561" s="117" t="s">
        <v>103</v>
      </c>
      <c r="F2561" s="36" t="str">
        <f>IFERROR(VLOOKUP(Table1[[#This Row],[Part Number]],DATABASE_FG!$C$6:D12550,2,FALSE)," ")</f>
        <v>080817246-8011</v>
      </c>
      <c r="G2561" s="117">
        <f>IFERROR(_xlfn.XLOOKUP(Table1[[#This Row],[Part Number]],Table3[Part number],Table3[Drawing
 Revision]),"")</f>
        <v>0</v>
      </c>
      <c r="H2561" s="118" cm="1">
        <f t="array" ref="H2561">IFERROR(INDEX(PDB!$C:$AT,MATCH(E2561,PDB!$B:$B,0),MATCH(YEAR(K2561),0+PDB!$C$1:$AT$1,0)),"")</f>
        <v>6.08</v>
      </c>
      <c r="I2561" s="36">
        <v>49</v>
      </c>
      <c r="J2561" s="125">
        <f>IFERROR(Table1[[#This Row],[Quantity]]*Table1[[#This Row],[Price/Unit
EUR]]," ")</f>
        <v>297.92</v>
      </c>
      <c r="K2561" s="126">
        <v>45734</v>
      </c>
      <c r="L2561" s="36">
        <f>WEEKNUM(Table1[[#This Row],[ETA
As requested
dd.mm.yyyy]])</f>
        <v>12</v>
      </c>
      <c r="M2561" s="36">
        <f>YEAR(Table1[[#This Row],[ETA
As requested
dd.mm.yyyy]])</f>
        <v>2025</v>
      </c>
      <c r="N2561" s="36">
        <f>IFERROR(INDEX(DATABASE_FG!$H$5:$H$367, MATCH(E2561, DATABASE_FG!$C$5:$C$367, 0)), " ")</f>
        <v>0</v>
      </c>
      <c r="O2561" s="129" t="str">
        <f>IF(E2561&lt;&gt;"", _xlfn.XLOOKUP(E2561, DATABASE_FG!C:C, DATABASE_FG!F:F), " ")</f>
        <v>Ghidaje</v>
      </c>
      <c r="P2561" s="129">
        <f>IFERROR(INDEX(DATABASE_FG!$G$5:$G$367, MATCH(E2561, DATABASE_FG!$C$5:$C$367, 0)), "Not Found")</f>
        <v>0</v>
      </c>
      <c r="Q2561" s="36"/>
      <c r="R2561" s="125" t="s">
        <v>678</v>
      </c>
      <c r="S2561" s="123">
        <f>IFERROR(INDEX(DATABASE_FG!$L$5:$L$367, MATCH(E2561, DATABASE_FG!$C$5:$C$367, 0)), " ")</f>
        <v>42</v>
      </c>
      <c r="T2561" s="36" t="s">
        <v>679</v>
      </c>
      <c r="U2561" s="36"/>
      <c r="V2561" s="36"/>
      <c r="W2561" s="129"/>
      <c r="X2561" s="36"/>
      <c r="Y2561" s="36"/>
      <c r="Z2561" s="36"/>
      <c r="AA2561" s="125" t="s">
        <v>121</v>
      </c>
      <c r="AB2561" s="173">
        <v>45729</v>
      </c>
      <c r="AC2561" s="119">
        <v>25371</v>
      </c>
      <c r="AD2561" s="36">
        <f t="shared" si="278"/>
        <v>38676803</v>
      </c>
      <c r="AE2561" s="36" t="str">
        <f t="shared" si="279"/>
        <v>TK.KWVE30-B-A-SL-0038-WW1</v>
      </c>
      <c r="AF2561" s="36">
        <v>49</v>
      </c>
      <c r="AG2561" s="120">
        <f t="shared" si="282"/>
        <v>297.92</v>
      </c>
      <c r="AH2561" s="36"/>
      <c r="AI2561" s="124"/>
      <c r="AJ2561" s="122" t="s">
        <v>2966</v>
      </c>
      <c r="AK2561" s="129" t="str">
        <f t="shared" ca="1" si="281"/>
        <v>On Time</v>
      </c>
      <c r="AL2561" s="268" t="str">
        <f t="shared" si="280"/>
        <v>March</v>
      </c>
      <c r="AM2561" s="133">
        <f>YEAR(Table1[[#This Row],[ETA
As requested
dd.mm.yyyy]])</f>
        <v>2025</v>
      </c>
    </row>
    <row r="2562" spans="1:40" s="76" customFormat="1" hidden="1">
      <c r="A2562" s="123" t="s">
        <v>83</v>
      </c>
      <c r="B2562" s="36" t="s">
        <v>1170</v>
      </c>
      <c r="C2562" s="117">
        <v>38676803</v>
      </c>
      <c r="D2562" s="165">
        <v>45709</v>
      </c>
      <c r="E2562" s="117" t="s">
        <v>103</v>
      </c>
      <c r="F2562" s="36" t="str">
        <f>IFERROR(VLOOKUP(Table1[[#This Row],[Part Number]],DATABASE_FG!$C$6:D12551,2,FALSE)," ")</f>
        <v>080817246-8011</v>
      </c>
      <c r="G2562" s="117">
        <f>IFERROR(_xlfn.XLOOKUP(Table1[[#This Row],[Part Number]],Table3[Part number],Table3[Drawing
 Revision]),"")</f>
        <v>0</v>
      </c>
      <c r="H2562" s="118" cm="1">
        <f t="array" ref="H2562">IFERROR(INDEX(PDB!$C:$AT,MATCH(E2562,PDB!$B:$B,0),MATCH(YEAR(K2562),0+PDB!$C$1:$AT$1,0)),"")</f>
        <v>6.08</v>
      </c>
      <c r="I2562" s="36">
        <f>150-64-49</f>
        <v>37</v>
      </c>
      <c r="J2562" s="125">
        <f>IFERROR(Table1[[#This Row],[Quantity]]*Table1[[#This Row],[Price/Unit
EUR]]," ")</f>
        <v>224.96</v>
      </c>
      <c r="K2562" s="126">
        <v>45734</v>
      </c>
      <c r="L2562" s="36">
        <f>WEEKNUM(Table1[[#This Row],[ETA
As requested
dd.mm.yyyy]])</f>
        <v>12</v>
      </c>
      <c r="M2562" s="36">
        <f>YEAR(Table1[[#This Row],[ETA
As requested
dd.mm.yyyy]])</f>
        <v>2025</v>
      </c>
      <c r="N2562" s="36">
        <f>IFERROR(INDEX(DATABASE_FG!$H$5:$H$367, MATCH(E2562, DATABASE_FG!$C$5:$C$367, 0)), " ")</f>
        <v>0</v>
      </c>
      <c r="O2562" s="129" t="str">
        <f>IF(E2562&lt;&gt;"", _xlfn.XLOOKUP(E2562, DATABASE_FG!C:C, DATABASE_FG!F:F), " ")</f>
        <v>Ghidaje</v>
      </c>
      <c r="P2562" s="129">
        <f>IFERROR(INDEX(DATABASE_FG!$G$5:$G$367, MATCH(E2562, DATABASE_FG!$C$5:$C$367, 0)), "Not Found")</f>
        <v>0</v>
      </c>
      <c r="Q2562" s="36"/>
      <c r="R2562" s="125" t="s">
        <v>678</v>
      </c>
      <c r="S2562" s="123">
        <f>IFERROR(INDEX(DATABASE_FG!$L$5:$L$367, MATCH(E2562, DATABASE_FG!$C$5:$C$367, 0)), " ")</f>
        <v>42</v>
      </c>
      <c r="T2562" s="36" t="s">
        <v>679</v>
      </c>
      <c r="U2562" s="36"/>
      <c r="V2562" s="36"/>
      <c r="W2562" s="129"/>
      <c r="X2562" s="36"/>
      <c r="Y2562" s="36"/>
      <c r="Z2562" s="36"/>
      <c r="AA2562" s="125" t="s">
        <v>121</v>
      </c>
      <c r="AB2562" s="172">
        <v>45734</v>
      </c>
      <c r="AC2562" s="119">
        <v>25397</v>
      </c>
      <c r="AD2562" s="36">
        <f t="shared" si="278"/>
        <v>38676803</v>
      </c>
      <c r="AE2562" s="36" t="str">
        <f t="shared" si="279"/>
        <v>TK.KWVE30-B-A-SL-0038-WW1</v>
      </c>
      <c r="AF2562" s="36">
        <v>37</v>
      </c>
      <c r="AG2562" s="120">
        <f t="shared" si="282"/>
        <v>224.96</v>
      </c>
      <c r="AH2562" s="36"/>
      <c r="AI2562" s="124"/>
      <c r="AJ2562" s="122" t="s">
        <v>2970</v>
      </c>
      <c r="AK2562" s="129" t="str">
        <f t="shared" ca="1" si="281"/>
        <v>On Time</v>
      </c>
      <c r="AL2562" s="268" t="str">
        <f t="shared" si="280"/>
        <v>March</v>
      </c>
      <c r="AM2562" s="133">
        <f>YEAR(Table1[[#This Row],[ETA
As requested
dd.mm.yyyy]])</f>
        <v>2025</v>
      </c>
      <c r="AN2562"/>
    </row>
    <row r="2563" spans="1:40" s="76" customFormat="1" hidden="1">
      <c r="A2563" s="123" t="s">
        <v>83</v>
      </c>
      <c r="B2563" s="36" t="s">
        <v>1170</v>
      </c>
      <c r="C2563" s="117">
        <v>5410625</v>
      </c>
      <c r="D2563" s="165">
        <v>45734</v>
      </c>
      <c r="E2563" s="117" t="s">
        <v>103</v>
      </c>
      <c r="F2563" s="36" t="str">
        <f>IFERROR(VLOOKUP(Table1[[#This Row],[Part Number]],DATABASE_FG!$C$6:D12552,2,FALSE)," ")</f>
        <v>080817246-8011</v>
      </c>
      <c r="G2563" s="117">
        <f>IFERROR(_xlfn.XLOOKUP(Table1[[#This Row],[Part Number]],Table3[Part number],Table3[Drawing
 Revision]),"")</f>
        <v>0</v>
      </c>
      <c r="H2563" s="118" cm="1">
        <f t="array" ref="H2563">IFERROR(INDEX(PDB!$C:$AT,MATCH(E2563,PDB!$B:$B,0),MATCH(YEAR(K2563),0+PDB!$C$1:$AT$1,0)),"")</f>
        <v>6.08</v>
      </c>
      <c r="I2563" s="36">
        <v>53</v>
      </c>
      <c r="J2563" s="125">
        <f>IFERROR(Table1[[#This Row],[Quantity]]*Table1[[#This Row],[Price/Unit
EUR]]," ")</f>
        <v>322.24</v>
      </c>
      <c r="K2563" s="126">
        <v>45755</v>
      </c>
      <c r="L2563" s="36">
        <f>WEEKNUM(Table1[[#This Row],[ETA
As requested
dd.mm.yyyy]])</f>
        <v>15</v>
      </c>
      <c r="M2563" s="36">
        <f>YEAR(Table1[[#This Row],[ETA
As requested
dd.mm.yyyy]])</f>
        <v>2025</v>
      </c>
      <c r="N2563" s="36">
        <f>IFERROR(INDEX(DATABASE_FG!$H$5:$H$367, MATCH(E2563, DATABASE_FG!$C$5:$C$367, 0)), " ")</f>
        <v>0</v>
      </c>
      <c r="O2563" s="129" t="str">
        <f>IF(E2563&lt;&gt;"", _xlfn.XLOOKUP(E2563, DATABASE_FG!C:C, DATABASE_FG!F:F), " ")</f>
        <v>Ghidaje</v>
      </c>
      <c r="P2563" s="129">
        <f>IFERROR(INDEX(DATABASE_FG!$G$5:$G$367, MATCH(E2563, DATABASE_FG!$C$5:$C$367, 0)), "Not Found")</f>
        <v>0</v>
      </c>
      <c r="Q2563" s="36"/>
      <c r="R2563" s="125" t="s">
        <v>678</v>
      </c>
      <c r="S2563" s="123">
        <f>IFERROR(INDEX(DATABASE_FG!$L$5:$L$367, MATCH(E2563, DATABASE_FG!$C$5:$C$367, 0)), " ")</f>
        <v>42</v>
      </c>
      <c r="T2563" s="36" t="s">
        <v>679</v>
      </c>
      <c r="U2563" s="36"/>
      <c r="V2563" s="36"/>
      <c r="W2563" s="129"/>
      <c r="X2563" s="36"/>
      <c r="Y2563" s="36"/>
      <c r="Z2563" s="36"/>
      <c r="AA2563" s="125" t="s">
        <v>121</v>
      </c>
      <c r="AB2563" s="172">
        <v>45748</v>
      </c>
      <c r="AC2563" s="119" t="s">
        <v>3057</v>
      </c>
      <c r="AD2563" s="36">
        <f t="shared" si="278"/>
        <v>5410625</v>
      </c>
      <c r="AE2563" s="36" t="str">
        <f t="shared" si="279"/>
        <v>TK.KWVE30-B-A-SL-0038-WW1</v>
      </c>
      <c r="AF2563" s="36">
        <v>53</v>
      </c>
      <c r="AG2563" s="120">
        <f t="shared" si="282"/>
        <v>322.24</v>
      </c>
      <c r="AH2563" s="36"/>
      <c r="AI2563" s="124"/>
      <c r="AJ2563" s="122" t="s">
        <v>3058</v>
      </c>
      <c r="AK2563" s="129" t="str">
        <f t="shared" ca="1" si="281"/>
        <v>On Time</v>
      </c>
      <c r="AL2563" s="268" t="str">
        <f t="shared" si="280"/>
        <v>April</v>
      </c>
      <c r="AM2563" s="133">
        <f>YEAR(Table1[[#This Row],[ETA
As requested
dd.mm.yyyy]])</f>
        <v>2025</v>
      </c>
      <c r="AN2563"/>
    </row>
    <row r="2564" spans="1:40" s="76" customFormat="1" hidden="1">
      <c r="A2564" s="123" t="s">
        <v>83</v>
      </c>
      <c r="B2564" s="36" t="s">
        <v>1170</v>
      </c>
      <c r="C2564" s="117">
        <v>5410625</v>
      </c>
      <c r="D2564" s="165">
        <v>45734</v>
      </c>
      <c r="E2564" s="117" t="s">
        <v>103</v>
      </c>
      <c r="F2564" s="36" t="str">
        <f>IFERROR(VLOOKUP(Table1[[#This Row],[Part Number]],DATABASE_FG!$C$6:D12553,2,FALSE)," ")</f>
        <v>080817246-8011</v>
      </c>
      <c r="G2564" s="117">
        <f>IFERROR(_xlfn.XLOOKUP(Table1[[#This Row],[Part Number]],Table3[Part number],Table3[Drawing
 Revision]),"")</f>
        <v>0</v>
      </c>
      <c r="H2564" s="118" cm="1">
        <f t="array" ref="H2564">IFERROR(INDEX(PDB!$C:$AT,MATCH(E2564,PDB!$B:$B,0),MATCH(YEAR(K2564),0+PDB!$C$1:$AT$1,0)),"")</f>
        <v>6.08</v>
      </c>
      <c r="I2564" s="36">
        <v>91</v>
      </c>
      <c r="J2564" s="125">
        <f>IFERROR(Table1[[#This Row],[Quantity]]*Table1[[#This Row],[Price/Unit
EUR]]," ")</f>
        <v>553.28</v>
      </c>
      <c r="K2564" s="126">
        <v>45755</v>
      </c>
      <c r="L2564" s="36">
        <f>WEEKNUM(Table1[[#This Row],[ETA
As requested
dd.mm.yyyy]])</f>
        <v>15</v>
      </c>
      <c r="M2564" s="36">
        <f>YEAR(Table1[[#This Row],[ETA
As requested
dd.mm.yyyy]])</f>
        <v>2025</v>
      </c>
      <c r="N2564" s="36">
        <f>IFERROR(INDEX(DATABASE_FG!$H$5:$H$367, MATCH(E2564, DATABASE_FG!$C$5:$C$367, 0)), " ")</f>
        <v>0</v>
      </c>
      <c r="O2564" s="129" t="str">
        <f>IF(E2564&lt;&gt;"", _xlfn.XLOOKUP(E2564, DATABASE_FG!C:C, DATABASE_FG!F:F), " ")</f>
        <v>Ghidaje</v>
      </c>
      <c r="P2564" s="129">
        <f>IFERROR(INDEX(DATABASE_FG!$G$5:$G$367, MATCH(E2564, DATABASE_FG!$C$5:$C$367, 0)), "Not Found")</f>
        <v>0</v>
      </c>
      <c r="Q2564" s="36"/>
      <c r="R2564" s="125" t="s">
        <v>678</v>
      </c>
      <c r="S2564" s="123">
        <f>IFERROR(INDEX(DATABASE_FG!$L$5:$L$367, MATCH(E2564, DATABASE_FG!$C$5:$C$367, 0)), " ")</f>
        <v>42</v>
      </c>
      <c r="T2564" s="36" t="s">
        <v>679</v>
      </c>
      <c r="U2564" s="36"/>
      <c r="V2564" s="36"/>
      <c r="W2564" s="129"/>
      <c r="X2564" s="36"/>
      <c r="Y2564" s="36"/>
      <c r="Z2564" s="36"/>
      <c r="AA2564" s="125" t="s">
        <v>121</v>
      </c>
      <c r="AB2564" s="172">
        <v>45758</v>
      </c>
      <c r="AC2564" s="119">
        <v>25580</v>
      </c>
      <c r="AD2564" s="36">
        <f t="shared" si="278"/>
        <v>5410625</v>
      </c>
      <c r="AE2564" s="36" t="str">
        <f t="shared" si="279"/>
        <v>TK.KWVE30-B-A-SL-0038-WW1</v>
      </c>
      <c r="AF2564" s="36">
        <v>91</v>
      </c>
      <c r="AG2564" s="120">
        <f t="shared" si="282"/>
        <v>553.28</v>
      </c>
      <c r="AH2564" s="36"/>
      <c r="AI2564" s="124"/>
      <c r="AJ2564" s="122" t="s">
        <v>3061</v>
      </c>
      <c r="AK2564" s="129" t="str">
        <f t="shared" ca="1" si="281"/>
        <v>Late</v>
      </c>
      <c r="AL2564" s="268" t="str">
        <f t="shared" si="280"/>
        <v>April</v>
      </c>
      <c r="AM2564" s="133">
        <f>YEAR(Table1[[#This Row],[ETA
As requested
dd.mm.yyyy]])</f>
        <v>2025</v>
      </c>
      <c r="AN2564"/>
    </row>
    <row r="2565" spans="1:40" s="76" customFormat="1" hidden="1">
      <c r="A2565" s="123" t="s">
        <v>83</v>
      </c>
      <c r="B2565" s="36" t="s">
        <v>1170</v>
      </c>
      <c r="C2565" s="117">
        <v>5410625</v>
      </c>
      <c r="D2565" s="165">
        <v>45734</v>
      </c>
      <c r="E2565" s="117" t="s">
        <v>103</v>
      </c>
      <c r="F2565" s="36" t="str">
        <f>IFERROR(VLOOKUP(Table1[[#This Row],[Part Number]],DATABASE_FG!$C$6:D12554,2,FALSE)," ")</f>
        <v>080817246-8011</v>
      </c>
      <c r="G2565" s="117">
        <f>IFERROR(_xlfn.XLOOKUP(Table1[[#This Row],[Part Number]],Table3[Part number],Table3[Drawing
 Revision]),"")</f>
        <v>0</v>
      </c>
      <c r="H2565" s="118" cm="1">
        <f t="array" ref="H2565">IFERROR(INDEX(PDB!$C:$AT,MATCH(E2565,PDB!$B:$B,0),MATCH(YEAR(K2565),0+PDB!$C$1:$AT$1,0)),"")</f>
        <v>6.08</v>
      </c>
      <c r="I2565" s="36">
        <v>148</v>
      </c>
      <c r="J2565" s="155">
        <f>IFERROR(Table1[[#This Row],[Quantity]]*Table1[[#This Row],[Price/Unit
EUR]]," ")</f>
        <v>899.84</v>
      </c>
      <c r="K2565" s="126">
        <v>45755</v>
      </c>
      <c r="L2565" s="36">
        <f>WEEKNUM(Table1[[#This Row],[ETA
As requested
dd.mm.yyyy]])</f>
        <v>15</v>
      </c>
      <c r="M2565" s="36">
        <f>YEAR(Table1[[#This Row],[ETA
As requested
dd.mm.yyyy]])</f>
        <v>2025</v>
      </c>
      <c r="N2565" s="36">
        <f>IFERROR(INDEX(DATABASE_FG!$H$5:$H$367, MATCH(E2565, DATABASE_FG!$C$5:$C$367, 0)), " ")</f>
        <v>0</v>
      </c>
      <c r="O2565" s="129" t="str">
        <f>IF(E2565&lt;&gt;"", _xlfn.XLOOKUP(E2565, DATABASE_FG!C:C, DATABASE_FG!F:F), " ")</f>
        <v>Ghidaje</v>
      </c>
      <c r="P2565" s="36">
        <f>IFERROR(INDEX(DATABASE_FG!$G$5:$G$367, MATCH(E2565, DATABASE_FG!$C$5:$C$367, 0)), "Not Found")</f>
        <v>0</v>
      </c>
      <c r="Q2565" s="36"/>
      <c r="R2565" s="125" t="s">
        <v>678</v>
      </c>
      <c r="S2565" s="123">
        <f>IFERROR(INDEX(DATABASE_FG!$L$5:$L$367, MATCH(E2565, DATABASE_FG!$C$5:$C$367, 0)), " ")</f>
        <v>42</v>
      </c>
      <c r="T2565" s="36" t="s">
        <v>679</v>
      </c>
      <c r="U2565" s="36"/>
      <c r="V2565" s="36"/>
      <c r="W2565" s="129"/>
      <c r="X2565" s="36"/>
      <c r="Y2565" s="36"/>
      <c r="Z2565" s="36"/>
      <c r="AA2565" s="125" t="s">
        <v>121</v>
      </c>
      <c r="AB2565" s="172">
        <v>45762</v>
      </c>
      <c r="AC2565" s="119">
        <v>25608</v>
      </c>
      <c r="AD2565" s="36">
        <f t="shared" si="278"/>
        <v>5410625</v>
      </c>
      <c r="AE2565" s="36" t="str">
        <f t="shared" si="279"/>
        <v>TK.KWVE30-B-A-SL-0038-WW1</v>
      </c>
      <c r="AF2565" s="36">
        <v>148</v>
      </c>
      <c r="AG2565" s="120">
        <f t="shared" si="282"/>
        <v>899.84</v>
      </c>
      <c r="AH2565" s="36"/>
      <c r="AI2565" s="124"/>
      <c r="AJ2565" s="122" t="s">
        <v>3062</v>
      </c>
      <c r="AK2565" s="129" t="str">
        <f t="shared" ca="1" si="281"/>
        <v>Late</v>
      </c>
      <c r="AL2565" s="268" t="str">
        <f t="shared" si="280"/>
        <v>April</v>
      </c>
      <c r="AM2565" s="133">
        <f>YEAR(Table1[[#This Row],[ETA
As requested
dd.mm.yyyy]])</f>
        <v>2025</v>
      </c>
      <c r="AN2565"/>
    </row>
    <row r="2566" spans="1:40" s="76" customFormat="1" hidden="1">
      <c r="A2566" s="123" t="s">
        <v>83</v>
      </c>
      <c r="B2566" s="36" t="s">
        <v>1170</v>
      </c>
      <c r="C2566" s="117">
        <v>5410625</v>
      </c>
      <c r="D2566" s="165">
        <v>45734</v>
      </c>
      <c r="E2566" s="117" t="s">
        <v>103</v>
      </c>
      <c r="F2566" s="36" t="str">
        <f>IFERROR(VLOOKUP(Table1[[#This Row],[Part Number]],DATABASE_FG!$C$6:D12555,2,FALSE)," ")</f>
        <v>080817246-8011</v>
      </c>
      <c r="G2566" s="117">
        <f>IFERROR(_xlfn.XLOOKUP(Table1[[#This Row],[Part Number]],Table3[Part number],Table3[Drawing
 Revision]),"")</f>
        <v>0</v>
      </c>
      <c r="H2566" s="118" cm="1">
        <f t="array" ref="H2566">IFERROR(INDEX(PDB!$C:$AT,MATCH(E2566,PDB!$B:$B,0),MATCH(YEAR(K2566),0+PDB!$C$1:$AT$1,0)),"")</f>
        <v>6.08</v>
      </c>
      <c r="I2566" s="36">
        <v>128</v>
      </c>
      <c r="J2566" s="125">
        <f>IFERROR(Table1[[#This Row],[Quantity]]*Table1[[#This Row],[Price/Unit
EUR]]," ")</f>
        <v>778.24</v>
      </c>
      <c r="K2566" s="126">
        <v>45762</v>
      </c>
      <c r="L2566" s="36">
        <f>WEEKNUM(Table1[[#This Row],[ETA
As requested
dd.mm.yyyy]])</f>
        <v>16</v>
      </c>
      <c r="M2566" s="36">
        <f>YEAR(Table1[[#This Row],[ETA
As requested
dd.mm.yyyy]])</f>
        <v>2025</v>
      </c>
      <c r="N2566" s="36">
        <f>IFERROR(INDEX(DATABASE_FG!$H$5:$H$367, MATCH(E2566, DATABASE_FG!$C$5:$C$367, 0)), " ")</f>
        <v>0</v>
      </c>
      <c r="O2566" s="129" t="str">
        <f>IF(E2566&lt;&gt;"", _xlfn.XLOOKUP(E2566, DATABASE_FG!C:C, DATABASE_FG!F:F), " ")</f>
        <v>Ghidaje</v>
      </c>
      <c r="P2566" s="129">
        <f>IFERROR(INDEX(DATABASE_FG!$G$5:$G$367, MATCH(E2566, DATABASE_FG!$C$5:$C$367, 0)), "Not Found")</f>
        <v>0</v>
      </c>
      <c r="Q2566" s="36"/>
      <c r="R2566" s="125" t="s">
        <v>678</v>
      </c>
      <c r="S2566" s="123">
        <f>IFERROR(INDEX(DATABASE_FG!$L$5:$L$367, MATCH(E2566, DATABASE_FG!$C$5:$C$367, 0)), " ")</f>
        <v>42</v>
      </c>
      <c r="T2566" s="36" t="s">
        <v>679</v>
      </c>
      <c r="U2566" s="36"/>
      <c r="V2566" s="36"/>
      <c r="W2566" s="129"/>
      <c r="X2566" s="36"/>
      <c r="Y2566" s="36"/>
      <c r="Z2566" s="36"/>
      <c r="AA2566" s="125" t="s">
        <v>121</v>
      </c>
      <c r="AB2566" s="172">
        <v>45764</v>
      </c>
      <c r="AC2566" s="119">
        <v>25628</v>
      </c>
      <c r="AD2566" s="36">
        <f t="shared" si="278"/>
        <v>5410625</v>
      </c>
      <c r="AE2566" s="36" t="str">
        <f t="shared" si="279"/>
        <v>TK.KWVE30-B-A-SL-0038-WW1</v>
      </c>
      <c r="AF2566" s="36">
        <v>128</v>
      </c>
      <c r="AG2566" s="120">
        <f t="shared" si="282"/>
        <v>778.24</v>
      </c>
      <c r="AH2566" s="36"/>
      <c r="AI2566" s="124"/>
      <c r="AJ2566" s="122" t="s">
        <v>3074</v>
      </c>
      <c r="AK2566" s="129" t="str">
        <f t="shared" ca="1" si="281"/>
        <v>On Time</v>
      </c>
      <c r="AL2566" s="268" t="str">
        <f t="shared" si="280"/>
        <v>April</v>
      </c>
      <c r="AM2566" s="133">
        <f>YEAR(Table1[[#This Row],[ETA
As requested
dd.mm.yyyy]])</f>
        <v>2025</v>
      </c>
      <c r="AN2566"/>
    </row>
    <row r="2567" spans="1:40" hidden="1">
      <c r="A2567" s="123" t="s">
        <v>83</v>
      </c>
      <c r="B2567" s="36" t="s">
        <v>1170</v>
      </c>
      <c r="C2567" s="117">
        <v>5410625</v>
      </c>
      <c r="D2567" s="165">
        <v>45734</v>
      </c>
      <c r="E2567" s="117" t="s">
        <v>103</v>
      </c>
      <c r="F2567" s="36" t="str">
        <f>IFERROR(VLOOKUP(Table1[[#This Row],[Part Number]],DATABASE_FG!$C$6:D12556,2,FALSE)," ")</f>
        <v>080817246-8011</v>
      </c>
      <c r="G2567" s="117">
        <f>IFERROR(_xlfn.XLOOKUP(Table1[[#This Row],[Part Number]],Table3[Part number],Table3[Drawing
 Revision]),"")</f>
        <v>0</v>
      </c>
      <c r="H2567" s="118" cm="1">
        <f t="array" ref="H2567">IFERROR(INDEX(PDB!$C:$AT,MATCH(E2567,PDB!$B:$B,0),MATCH(YEAR(K2567),0+PDB!$C$1:$AT$1,0)),"")</f>
        <v>6.08</v>
      </c>
      <c r="I2567" s="36">
        <v>64</v>
      </c>
      <c r="J2567" s="125">
        <f>IFERROR(Table1[[#This Row],[Quantity]]*Table1[[#This Row],[Price/Unit
EUR]]," ")</f>
        <v>389.12</v>
      </c>
      <c r="K2567" s="126">
        <v>45762</v>
      </c>
      <c r="L2567" s="36">
        <f>WEEKNUM(Table1[[#This Row],[ETA
As requested
dd.mm.yyyy]])</f>
        <v>16</v>
      </c>
      <c r="M2567" s="36">
        <f>YEAR(Table1[[#This Row],[ETA
As requested
dd.mm.yyyy]])</f>
        <v>2025</v>
      </c>
      <c r="N2567" s="36">
        <f>IFERROR(INDEX(DATABASE_FG!$H$5:$H$367, MATCH(E2567, DATABASE_FG!$C$5:$C$367, 0)), " ")</f>
        <v>0</v>
      </c>
      <c r="O2567" s="129" t="str">
        <f>IF(E2567&lt;&gt;"", _xlfn.XLOOKUP(E2567, DATABASE_FG!C:C, DATABASE_FG!F:F), " ")</f>
        <v>Ghidaje</v>
      </c>
      <c r="P2567" s="129">
        <f>IFERROR(INDEX(DATABASE_FG!$G$5:$G$367, MATCH(E2567, DATABASE_FG!$C$5:$C$367, 0)), "Not Found")</f>
        <v>0</v>
      </c>
      <c r="Q2567" s="36"/>
      <c r="R2567" s="125" t="s">
        <v>678</v>
      </c>
      <c r="S2567" s="123">
        <f>IFERROR(INDEX(DATABASE_FG!$L$5:$L$367, MATCH(E2567, DATABASE_FG!$C$5:$C$367, 0)), " ")</f>
        <v>42</v>
      </c>
      <c r="T2567" s="36" t="s">
        <v>679</v>
      </c>
      <c r="U2567" s="36"/>
      <c r="V2567" s="36"/>
      <c r="W2567" s="129"/>
      <c r="X2567" s="36"/>
      <c r="Y2567" s="36"/>
      <c r="Z2567" s="36"/>
      <c r="AA2567" s="125" t="s">
        <v>121</v>
      </c>
      <c r="AB2567" s="172">
        <v>45769</v>
      </c>
      <c r="AC2567" s="119">
        <v>25655</v>
      </c>
      <c r="AD2567" s="36">
        <f t="shared" si="278"/>
        <v>5410625</v>
      </c>
      <c r="AE2567" s="36" t="str">
        <f t="shared" si="279"/>
        <v>TK.KWVE30-B-A-SL-0038-WW1</v>
      </c>
      <c r="AF2567" s="36">
        <v>64</v>
      </c>
      <c r="AG2567" s="120">
        <f t="shared" si="282"/>
        <v>389.12</v>
      </c>
      <c r="AH2567" s="36"/>
      <c r="AI2567" s="124"/>
      <c r="AJ2567" s="122" t="s">
        <v>3075</v>
      </c>
      <c r="AK2567" s="129" t="str">
        <f t="shared" ca="1" si="281"/>
        <v>Late</v>
      </c>
      <c r="AL2567" s="268" t="str">
        <f t="shared" si="280"/>
        <v>April</v>
      </c>
      <c r="AM2567" s="133">
        <f>YEAR(Table1[[#This Row],[ETA
As requested
dd.mm.yyyy]])</f>
        <v>2025</v>
      </c>
    </row>
    <row r="2568" spans="1:40" hidden="1">
      <c r="A2568" s="123" t="s">
        <v>83</v>
      </c>
      <c r="B2568" s="36" t="s">
        <v>1170</v>
      </c>
      <c r="C2568" s="117">
        <v>5410625</v>
      </c>
      <c r="D2568" s="165">
        <v>45734</v>
      </c>
      <c r="E2568" s="117" t="s">
        <v>103</v>
      </c>
      <c r="F2568" s="36" t="str">
        <f>IFERROR(VLOOKUP(Table1[[#This Row],[Part Number]],DATABASE_FG!$C$6:D12557,2,FALSE)," ")</f>
        <v>080817246-8011</v>
      </c>
      <c r="G2568" s="117">
        <f>IFERROR(_xlfn.XLOOKUP(Table1[[#This Row],[Part Number]],Table3[Part number],Table3[Drawing
 Revision]),"")</f>
        <v>0</v>
      </c>
      <c r="H2568" s="118" cm="1">
        <f t="array" ref="H2568">IFERROR(INDEX(PDB!$C:$AT,MATCH(E2568,PDB!$B:$B,0),MATCH(YEAR(K2568),0+PDB!$C$1:$AT$1,0)),"")</f>
        <v>6.08</v>
      </c>
      <c r="I2568" s="36">
        <f>308-128-64</f>
        <v>116</v>
      </c>
      <c r="J2568" s="125">
        <f>IFERROR(Table1[[#This Row],[Quantity]]*Table1[[#This Row],[Price/Unit
EUR]]," ")</f>
        <v>705.28</v>
      </c>
      <c r="K2568" s="126">
        <v>45769</v>
      </c>
      <c r="L2568" s="36">
        <f>WEEKNUM(Table1[[#This Row],[ETA
As requested
dd.mm.yyyy]])</f>
        <v>17</v>
      </c>
      <c r="M2568" s="36">
        <f>YEAR(Table1[[#This Row],[ETA
As requested
dd.mm.yyyy]])</f>
        <v>2025</v>
      </c>
      <c r="N2568" s="36">
        <f>IFERROR(INDEX(DATABASE_FG!$H$5:$H$367, MATCH(E2568, DATABASE_FG!$C$5:$C$367, 0)), " ")</f>
        <v>0</v>
      </c>
      <c r="O2568" s="129" t="str">
        <f>IF(E2568&lt;&gt;"", _xlfn.XLOOKUP(E2568, DATABASE_FG!C:C, DATABASE_FG!F:F), " ")</f>
        <v>Ghidaje</v>
      </c>
      <c r="P2568" s="129">
        <f>IFERROR(INDEX(DATABASE_FG!$G$5:$G$367, MATCH(E2568, DATABASE_FG!$C$5:$C$367, 0)), "Not Found")</f>
        <v>0</v>
      </c>
      <c r="Q2568" s="36"/>
      <c r="R2568" s="125" t="s">
        <v>678</v>
      </c>
      <c r="S2568" s="123">
        <f>IFERROR(INDEX(DATABASE_FG!$L$5:$L$367, MATCH(E2568, DATABASE_FG!$C$5:$C$367, 0)), " ")</f>
        <v>42</v>
      </c>
      <c r="T2568" s="36" t="s">
        <v>679</v>
      </c>
      <c r="U2568" s="36"/>
      <c r="V2568" s="36"/>
      <c r="W2568" s="129"/>
      <c r="X2568" s="36"/>
      <c r="Y2568" s="36"/>
      <c r="Z2568" s="36"/>
      <c r="AA2568" s="125" t="s">
        <v>121</v>
      </c>
      <c r="AB2568" s="172">
        <v>45771</v>
      </c>
      <c r="AC2568" s="119">
        <v>25664</v>
      </c>
      <c r="AD2568" s="36">
        <f t="shared" si="278"/>
        <v>5410625</v>
      </c>
      <c r="AE2568" s="36" t="str">
        <f t="shared" si="279"/>
        <v>TK.KWVE30-B-A-SL-0038-WW1</v>
      </c>
      <c r="AF2568" s="36">
        <v>116</v>
      </c>
      <c r="AG2568" s="120">
        <f t="shared" si="282"/>
        <v>705.28</v>
      </c>
      <c r="AH2568" s="36"/>
      <c r="AI2568" s="124"/>
      <c r="AJ2568" s="122" t="s">
        <v>3112</v>
      </c>
      <c r="AK2568" s="129" t="str">
        <f t="shared" ca="1" si="281"/>
        <v>On Time</v>
      </c>
      <c r="AL2568" s="268" t="str">
        <f t="shared" si="280"/>
        <v>April</v>
      </c>
      <c r="AM2568" s="133">
        <f>YEAR(Table1[[#This Row],[ETA
As requested
dd.mm.yyyy]])</f>
        <v>2025</v>
      </c>
    </row>
    <row r="2569" spans="1:40" hidden="1">
      <c r="A2569" s="123" t="s">
        <v>83</v>
      </c>
      <c r="B2569" s="36" t="s">
        <v>1170</v>
      </c>
      <c r="C2569" s="117">
        <v>5410625</v>
      </c>
      <c r="D2569" s="165">
        <v>45777</v>
      </c>
      <c r="E2569" s="117" t="s">
        <v>103</v>
      </c>
      <c r="F2569" s="36" t="str">
        <f>IFERROR(VLOOKUP(Table1[[#This Row],[Part Number]],DATABASE_FG!$C$6:D12558,2,FALSE)," ")</f>
        <v>080817246-8011</v>
      </c>
      <c r="G2569" s="117">
        <f>IFERROR(_xlfn.XLOOKUP(Table1[[#This Row],[Part Number]],Table3[Part number],Table3[Drawing
 Revision]),"")</f>
        <v>0</v>
      </c>
      <c r="H2569" s="118" cm="1">
        <f t="array" ref="H2569">IFERROR(INDEX(PDB!$C:$AT,MATCH(E2569,PDB!$B:$B,0),MATCH(YEAR(K2569),0+PDB!$C$1:$AT$1,0)),"")</f>
        <v>6.08</v>
      </c>
      <c r="I2569" s="36">
        <v>246</v>
      </c>
      <c r="J2569" s="125">
        <f>IFERROR(Table1[[#This Row],[Quantity]]*Table1[[#This Row],[Price/Unit
EUR]]," ")</f>
        <v>1495.68</v>
      </c>
      <c r="K2569" s="126">
        <v>45782</v>
      </c>
      <c r="L2569" s="36">
        <f>WEEKNUM(Table1[[#This Row],[ETA
As requested
dd.mm.yyyy]])</f>
        <v>19</v>
      </c>
      <c r="M2569" s="36">
        <f>YEAR(Table1[[#This Row],[ETA
As requested
dd.mm.yyyy]])</f>
        <v>2025</v>
      </c>
      <c r="N2569" s="36">
        <f>IFERROR(INDEX(DATABASE_FG!$H$5:$H$367, MATCH(E2569, DATABASE_FG!$C$5:$C$367, 0)), " ")</f>
        <v>0</v>
      </c>
      <c r="O2569" s="129" t="str">
        <f>IF(E2569&lt;&gt;"", _xlfn.XLOOKUP(E2569, DATABASE_FG!C:C, DATABASE_FG!F:F), " ")</f>
        <v>Ghidaje</v>
      </c>
      <c r="P2569" s="129">
        <f>IFERROR(INDEX(DATABASE_FG!$G$5:$G$367, MATCH(E2569, DATABASE_FG!$C$5:$C$367, 0)), "Not Found")</f>
        <v>0</v>
      </c>
      <c r="Q2569" s="36"/>
      <c r="R2569" s="125" t="s">
        <v>678</v>
      </c>
      <c r="S2569" s="123">
        <f>IFERROR(INDEX(DATABASE_FG!$L$5:$L$367, MATCH(E2569, DATABASE_FG!$C$5:$C$367, 0)), " ")</f>
        <v>42</v>
      </c>
      <c r="T2569" s="36" t="s">
        <v>679</v>
      </c>
      <c r="U2569" s="36"/>
      <c r="V2569" s="36"/>
      <c r="W2569" s="129"/>
      <c r="X2569" s="36"/>
      <c r="Y2569" s="36"/>
      <c r="Z2569" s="36"/>
      <c r="AA2569" s="125" t="s">
        <v>121</v>
      </c>
      <c r="AB2569" s="172">
        <v>45783</v>
      </c>
      <c r="AC2569" s="119">
        <v>25731</v>
      </c>
      <c r="AD2569" s="36">
        <f t="shared" si="278"/>
        <v>5410625</v>
      </c>
      <c r="AE2569" s="36" t="str">
        <f t="shared" si="279"/>
        <v>TK.KWVE30-B-A-SL-0038-WW1</v>
      </c>
      <c r="AF2569" s="36">
        <v>246</v>
      </c>
      <c r="AG2569" s="120">
        <f t="shared" si="282"/>
        <v>1495.68</v>
      </c>
      <c r="AH2569" s="36"/>
      <c r="AI2569" s="124"/>
      <c r="AJ2569" s="122" t="s">
        <v>3146</v>
      </c>
      <c r="AK2569" s="129" t="str">
        <f t="shared" ca="1" si="281"/>
        <v>On Time</v>
      </c>
      <c r="AL2569" s="268" t="str">
        <f t="shared" si="280"/>
        <v>May</v>
      </c>
      <c r="AM2569" s="133">
        <f>YEAR(Table1[[#This Row],[ETA
As requested
dd.mm.yyyy]])</f>
        <v>2025</v>
      </c>
    </row>
    <row r="2570" spans="1:40" hidden="1">
      <c r="A2570" s="123" t="s">
        <v>83</v>
      </c>
      <c r="B2570" s="36" t="s">
        <v>1170</v>
      </c>
      <c r="C2570" s="117">
        <v>5410625</v>
      </c>
      <c r="D2570" s="165">
        <v>45777</v>
      </c>
      <c r="E2570" s="117" t="s">
        <v>103</v>
      </c>
      <c r="F2570" s="36" t="str">
        <f>IFERROR(VLOOKUP(Table1[[#This Row],[Part Number]],DATABASE_FG!$C$6:D12559,2,FALSE)," ")</f>
        <v>080817246-8011</v>
      </c>
      <c r="G2570" s="117">
        <f>IFERROR(_xlfn.XLOOKUP(Table1[[#This Row],[Part Number]],Table3[Part number],Table3[Drawing
 Revision]),"")</f>
        <v>0</v>
      </c>
      <c r="H2570" s="118" cm="1">
        <f t="array" ref="H2570">IFERROR(INDEX(PDB!$C:$AT,MATCH(E2570,PDB!$B:$B,0),MATCH(YEAR(K2570),0+PDB!$C$1:$AT$1,0)),"")</f>
        <v>6.08</v>
      </c>
      <c r="I2570" s="36">
        <v>97</v>
      </c>
      <c r="J2570" s="125">
        <f>IFERROR(Table1[[#This Row],[Quantity]]*Table1[[#This Row],[Price/Unit
EUR]]," ")</f>
        <v>589.76</v>
      </c>
      <c r="K2570" s="126">
        <v>45782</v>
      </c>
      <c r="L2570" s="36">
        <f>WEEKNUM(Table1[[#This Row],[ETA
As requested
dd.mm.yyyy]])</f>
        <v>19</v>
      </c>
      <c r="M2570" s="36">
        <f>YEAR(Table1[[#This Row],[ETA
As requested
dd.mm.yyyy]])</f>
        <v>2025</v>
      </c>
      <c r="N2570" s="36">
        <f>IFERROR(INDEX(DATABASE_FG!$H$5:$H$367, MATCH(E2570, DATABASE_FG!$C$5:$C$367, 0)), " ")</f>
        <v>0</v>
      </c>
      <c r="O2570" s="129" t="str">
        <f>IF(E2570&lt;&gt;"", _xlfn.XLOOKUP(E2570, DATABASE_FG!C:C, DATABASE_FG!F:F), " ")</f>
        <v>Ghidaje</v>
      </c>
      <c r="P2570" s="129">
        <f>IFERROR(INDEX(DATABASE_FG!$G$5:$G$367, MATCH(E2570, DATABASE_FG!$C$5:$C$367, 0)), "Not Found")</f>
        <v>0</v>
      </c>
      <c r="Q2570" s="36"/>
      <c r="R2570" s="125"/>
      <c r="S2570" s="123">
        <f>Table1[[#This Row],[Quantity]]/48</f>
        <v>2.0208333333333335</v>
      </c>
      <c r="T2570" s="36"/>
      <c r="U2570" s="36"/>
      <c r="V2570" s="36"/>
      <c r="W2570" s="129"/>
      <c r="X2570" s="36"/>
      <c r="Y2570" s="36"/>
      <c r="Z2570" s="36"/>
      <c r="AA2570" s="125" t="s">
        <v>121</v>
      </c>
      <c r="AB2570" s="172">
        <v>45840</v>
      </c>
      <c r="AC2570" s="119">
        <v>260031</v>
      </c>
      <c r="AD2570" s="36">
        <f t="shared" si="278"/>
        <v>5410625</v>
      </c>
      <c r="AE2570" s="36" t="str">
        <f t="shared" si="279"/>
        <v>TK.KWVE30-B-A-SL-0038-WW1</v>
      </c>
      <c r="AF2570" s="36">
        <v>97</v>
      </c>
      <c r="AG2570" s="120">
        <f t="shared" si="282"/>
        <v>589.76</v>
      </c>
      <c r="AH2570" s="36"/>
      <c r="AI2570" s="124"/>
      <c r="AJ2570" s="122" t="s">
        <v>3151</v>
      </c>
      <c r="AK2570" s="129" t="str">
        <f t="shared" ca="1" si="281"/>
        <v>Late</v>
      </c>
      <c r="AL2570" s="268" t="str">
        <f t="shared" si="280"/>
        <v>May</v>
      </c>
      <c r="AM2570" s="133">
        <f>YEAR(Table1[[#This Row],[ETA
As requested
dd.mm.yyyy]])</f>
        <v>2025</v>
      </c>
    </row>
    <row r="2571" spans="1:40" hidden="1">
      <c r="A2571" s="123" t="s">
        <v>83</v>
      </c>
      <c r="B2571" s="36" t="s">
        <v>1170</v>
      </c>
      <c r="C2571" s="117">
        <v>5410625</v>
      </c>
      <c r="D2571" s="165">
        <v>45777</v>
      </c>
      <c r="E2571" s="117" t="s">
        <v>103</v>
      </c>
      <c r="F2571" s="36" t="str">
        <f>IFERROR(VLOOKUP(Table1[[#This Row],[Part Number]],DATABASE_FG!$C$6:D12560,2,FALSE)," ")</f>
        <v>080817246-8011</v>
      </c>
      <c r="G2571" s="117">
        <f>IFERROR(_xlfn.XLOOKUP(Table1[[#This Row],[Part Number]],Table3[Part number],Table3[Drawing
 Revision]),"")</f>
        <v>0</v>
      </c>
      <c r="H2571" s="118" cm="1">
        <f t="array" ref="H2571">IFERROR(INDEX(PDB!$C:$AT,MATCH(E2571,PDB!$B:$B,0),MATCH(YEAR(K2571),0+PDB!$C$1:$AT$1,0)),"")</f>
        <v>6.08</v>
      </c>
      <c r="I2571" s="36">
        <v>50</v>
      </c>
      <c r="J2571" s="125">
        <f>IFERROR(Table1[[#This Row],[Quantity]]*Table1[[#This Row],[Price/Unit
EUR]]," ")</f>
        <v>304</v>
      </c>
      <c r="K2571" s="126">
        <v>45782</v>
      </c>
      <c r="L2571" s="36">
        <f>WEEKNUM(Table1[[#This Row],[ETA
As requested
dd.mm.yyyy]])</f>
        <v>19</v>
      </c>
      <c r="M2571" s="36">
        <f>YEAR(Table1[[#This Row],[ETA
As requested
dd.mm.yyyy]])</f>
        <v>2025</v>
      </c>
      <c r="N2571" s="36">
        <f>IFERROR(INDEX(DATABASE_FG!$H$5:$H$367, MATCH(E2571, DATABASE_FG!$C$5:$C$367, 0)), " ")</f>
        <v>0</v>
      </c>
      <c r="O2571" s="129" t="str">
        <f>IF(E2571&lt;&gt;"", _xlfn.XLOOKUP(E2571, DATABASE_FG!C:C, DATABASE_FG!F:F), " ")</f>
        <v>Ghidaje</v>
      </c>
      <c r="P2571" s="129">
        <f>IFERROR(INDEX(DATABASE_FG!$G$5:$G$367, MATCH(E2571, DATABASE_FG!$C$5:$C$367, 0)), "Not Found")</f>
        <v>0</v>
      </c>
      <c r="Q2571" s="36"/>
      <c r="R2571" s="125" t="s">
        <v>678</v>
      </c>
      <c r="S2571" s="123">
        <f>IFERROR(INDEX(DATABASE_FG!$L$5:$L$367, MATCH(E2571, DATABASE_FG!$C$5:$C$367, 0)), " ")</f>
        <v>42</v>
      </c>
      <c r="T2571" s="36" t="s">
        <v>679</v>
      </c>
      <c r="U2571" s="36"/>
      <c r="V2571" s="36"/>
      <c r="W2571" s="129"/>
      <c r="X2571" s="36"/>
      <c r="Y2571" s="36"/>
      <c r="Z2571" s="36"/>
      <c r="AA2571" s="125" t="s">
        <v>121</v>
      </c>
      <c r="AB2571" s="172">
        <v>45840</v>
      </c>
      <c r="AC2571" s="119">
        <v>251002</v>
      </c>
      <c r="AD2571" s="36">
        <f t="shared" si="278"/>
        <v>5410625</v>
      </c>
      <c r="AE2571" s="36" t="str">
        <f t="shared" si="279"/>
        <v>TK.KWVE30-B-A-SL-0038-WW1</v>
      </c>
      <c r="AF2571" s="36">
        <v>50</v>
      </c>
      <c r="AG2571" s="120">
        <f t="shared" si="282"/>
        <v>304</v>
      </c>
      <c r="AH2571" s="36"/>
      <c r="AI2571" s="124"/>
      <c r="AJ2571" s="122" t="s">
        <v>3152</v>
      </c>
      <c r="AK2571" s="129" t="str">
        <f t="shared" ca="1" si="281"/>
        <v>Late</v>
      </c>
      <c r="AL2571" s="268" t="str">
        <f t="shared" si="280"/>
        <v>May</v>
      </c>
      <c r="AM2571" s="133">
        <f>YEAR(Table1[[#This Row],[ETA
As requested
dd.mm.yyyy]])</f>
        <v>2025</v>
      </c>
    </row>
    <row r="2572" spans="1:40" hidden="1">
      <c r="A2572" s="123" t="s">
        <v>83</v>
      </c>
      <c r="B2572" s="36" t="s">
        <v>1170</v>
      </c>
      <c r="C2572" s="117">
        <v>5410625</v>
      </c>
      <c r="D2572" s="165">
        <v>45777</v>
      </c>
      <c r="E2572" s="117" t="s">
        <v>103</v>
      </c>
      <c r="F2572" s="36" t="str">
        <f>IFERROR(VLOOKUP(Table1[[#This Row],[Part Number]],DATABASE_FG!$C$6:D12561,2,FALSE)," ")</f>
        <v>080817246-8011</v>
      </c>
      <c r="G2572" s="117">
        <f>IFERROR(_xlfn.XLOOKUP(Table1[[#This Row],[Part Number]],Table3[Part number],Table3[Drawing
 Revision]),"")</f>
        <v>0</v>
      </c>
      <c r="H2572" s="118" cm="1">
        <f t="array" ref="H2572">IFERROR(INDEX(PDB!$C:$AT,MATCH(E2572,PDB!$B:$B,0),MATCH(YEAR(K2572),0+PDB!$C$1:$AT$1,0)),"")</f>
        <v>6.08</v>
      </c>
      <c r="I2572" s="36">
        <f>100-46-50</f>
        <v>4</v>
      </c>
      <c r="J2572" s="125">
        <f>IFERROR(Table1[[#This Row],[Quantity]]*Table1[[#This Row],[Price/Unit
EUR]]," ")</f>
        <v>24.32</v>
      </c>
      <c r="K2572" s="126">
        <v>45796</v>
      </c>
      <c r="L2572" s="36">
        <f>WEEKNUM(Table1[[#This Row],[ETA
As requested
dd.mm.yyyy]])</f>
        <v>21</v>
      </c>
      <c r="M2572" s="36">
        <f>YEAR(Table1[[#This Row],[ETA
As requested
dd.mm.yyyy]])</f>
        <v>2025</v>
      </c>
      <c r="N2572" s="36">
        <f>IFERROR(INDEX(DATABASE_FG!$H$5:$H$367, MATCH(E2572, DATABASE_FG!$C$5:$C$367, 0)), " ")</f>
        <v>0</v>
      </c>
      <c r="O2572" s="129" t="str">
        <f>IF(E2572&lt;&gt;"", _xlfn.XLOOKUP(E2572, DATABASE_FG!C:C, DATABASE_FG!F:F), " ")</f>
        <v>Ghidaje</v>
      </c>
      <c r="P2572" s="129">
        <f>IFERROR(INDEX(DATABASE_FG!$G$5:$G$367, MATCH(E2572, DATABASE_FG!$C$5:$C$367, 0)), "Not Found")</f>
        <v>0</v>
      </c>
      <c r="Q2572" s="36"/>
      <c r="R2572" s="125" t="s">
        <v>678</v>
      </c>
      <c r="S2572" s="123">
        <f>IFERROR(INDEX(DATABASE_FG!$L$5:$L$367, MATCH(E2572, DATABASE_FG!$C$5:$C$367, 0)), " ")</f>
        <v>42</v>
      </c>
      <c r="T2572" s="36" t="s">
        <v>679</v>
      </c>
      <c r="U2572" s="36"/>
      <c r="V2572" s="36"/>
      <c r="W2572" s="129"/>
      <c r="X2572" s="36"/>
      <c r="Y2572" s="36"/>
      <c r="Z2572" s="36"/>
      <c r="AA2572" s="125" t="s">
        <v>121</v>
      </c>
      <c r="AB2572" s="172">
        <v>45840</v>
      </c>
      <c r="AC2572" s="119">
        <v>260031</v>
      </c>
      <c r="AD2572" s="36">
        <f t="shared" si="278"/>
        <v>5410625</v>
      </c>
      <c r="AE2572" s="36" t="str">
        <f t="shared" si="279"/>
        <v>TK.KWVE30-B-A-SL-0038-WW1</v>
      </c>
      <c r="AF2572" s="36">
        <v>4</v>
      </c>
      <c r="AG2572" s="120">
        <f t="shared" si="282"/>
        <v>24.32</v>
      </c>
      <c r="AH2572" s="36"/>
      <c r="AI2572" s="124"/>
      <c r="AJ2572" s="122" t="s">
        <v>3151</v>
      </c>
      <c r="AK2572" s="129" t="str">
        <f t="shared" ca="1" si="281"/>
        <v>Late</v>
      </c>
      <c r="AL2572" s="268" t="str">
        <f t="shared" si="280"/>
        <v>May</v>
      </c>
      <c r="AM2572" s="133">
        <f>YEAR(Table1[[#This Row],[ETA
As requested
dd.mm.yyyy]])</f>
        <v>2025</v>
      </c>
    </row>
    <row r="2573" spans="1:40" hidden="1">
      <c r="A2573" s="123" t="s">
        <v>83</v>
      </c>
      <c r="B2573" s="36" t="s">
        <v>1170</v>
      </c>
      <c r="C2573" s="117">
        <v>5410625</v>
      </c>
      <c r="D2573" s="165">
        <v>45777</v>
      </c>
      <c r="E2573" s="117" t="s">
        <v>103</v>
      </c>
      <c r="F2573" s="36" t="str">
        <f>IFERROR(VLOOKUP(Table1[[#This Row],[Part Number]],DATABASE_FG!$C$6:D12562,2,FALSE)," ")</f>
        <v>080817246-8011</v>
      </c>
      <c r="G2573" s="117">
        <f>IFERROR(_xlfn.XLOOKUP(Table1[[#This Row],[Part Number]],Table3[Part number],Table3[Drawing
 Revision]),"")</f>
        <v>0</v>
      </c>
      <c r="H2573" s="118" cm="1">
        <f t="array" ref="H2573">IFERROR(INDEX(PDB!$C:$AT,MATCH(E2573,PDB!$B:$B,0),MATCH(YEAR(K2573),0+PDB!$C$1:$AT$1,0)),"")</f>
        <v>6.08</v>
      </c>
      <c r="I2573" s="36">
        <v>80</v>
      </c>
      <c r="J2573" s="125">
        <f>IFERROR(Table1[[#This Row],[Quantity]]*Table1[[#This Row],[Price/Unit
EUR]]," ")</f>
        <v>486.4</v>
      </c>
      <c r="K2573" s="126">
        <v>45796</v>
      </c>
      <c r="L2573" s="36">
        <f>WEEKNUM(Table1[[#This Row],[ETA
As requested
dd.mm.yyyy]])</f>
        <v>21</v>
      </c>
      <c r="M2573" s="36">
        <f>YEAR(Table1[[#This Row],[ETA
As requested
dd.mm.yyyy]])</f>
        <v>2025</v>
      </c>
      <c r="N2573" s="36">
        <f>IFERROR(INDEX(DATABASE_FG!$H$5:$H$367, MATCH(E2573, DATABASE_FG!$C$5:$C$367, 0)), " ")</f>
        <v>0</v>
      </c>
      <c r="O2573" s="129" t="str">
        <f>IF(E2573&lt;&gt;"", _xlfn.XLOOKUP(E2573, DATABASE_FG!C:C, DATABASE_FG!F:F), " ")</f>
        <v>Ghidaje</v>
      </c>
      <c r="P2573" s="129">
        <f>IFERROR(INDEX(DATABASE_FG!$G$5:$G$367, MATCH(E2573, DATABASE_FG!$C$5:$C$367, 0)), "Not Found")</f>
        <v>0</v>
      </c>
      <c r="Q2573" s="36"/>
      <c r="R2573" s="125" t="s">
        <v>678</v>
      </c>
      <c r="S2573" s="123">
        <f>IFERROR(INDEX(DATABASE_FG!$L$5:$L$367, MATCH(E2573, DATABASE_FG!$C$5:$C$367, 0)), " ")</f>
        <v>42</v>
      </c>
      <c r="T2573" s="36"/>
      <c r="U2573" s="36"/>
      <c r="V2573" s="36"/>
      <c r="W2573" s="129"/>
      <c r="X2573" s="36"/>
      <c r="Y2573" s="36"/>
      <c r="Z2573" s="36"/>
      <c r="AA2573" s="125" t="s">
        <v>121</v>
      </c>
      <c r="AB2573" s="173">
        <v>45842</v>
      </c>
      <c r="AC2573" s="119">
        <v>251035</v>
      </c>
      <c r="AD2573" s="36">
        <f t="shared" si="278"/>
        <v>5410625</v>
      </c>
      <c r="AE2573" s="36" t="str">
        <f t="shared" si="279"/>
        <v>TK.KWVE30-B-A-SL-0038-WW1</v>
      </c>
      <c r="AF2573" s="36">
        <v>80</v>
      </c>
      <c r="AG2573" s="120">
        <f t="shared" si="282"/>
        <v>486.4</v>
      </c>
      <c r="AH2573" s="36"/>
      <c r="AI2573" s="124"/>
      <c r="AJ2573" s="122" t="s">
        <v>3201</v>
      </c>
      <c r="AK2573" s="129" t="str">
        <f t="shared" ca="1" si="281"/>
        <v>Late</v>
      </c>
      <c r="AL2573" s="268" t="str">
        <f t="shared" si="280"/>
        <v>May</v>
      </c>
      <c r="AM2573" s="133">
        <f>YEAR(Table1[[#This Row],[ETA
As requested
dd.mm.yyyy]])</f>
        <v>2025</v>
      </c>
    </row>
    <row r="2574" spans="1:40" hidden="1">
      <c r="A2574" s="123" t="s">
        <v>83</v>
      </c>
      <c r="B2574" s="36" t="s">
        <v>1170</v>
      </c>
      <c r="C2574" s="117">
        <v>5410625</v>
      </c>
      <c r="D2574" s="165">
        <v>45806</v>
      </c>
      <c r="E2574" s="117" t="s">
        <v>103</v>
      </c>
      <c r="F2574" s="36" t="str">
        <f>IFERROR(VLOOKUP(Table1[[#This Row],[Part Number]],DATABASE_FG!$C$6:D12563,2,FALSE)," ")</f>
        <v>080817246-8011</v>
      </c>
      <c r="G2574" s="117">
        <f>IFERROR(_xlfn.XLOOKUP(Table1[[#This Row],[Part Number]],Table3[Part number],Table3[Drawing
 Revision]),"")</f>
        <v>0</v>
      </c>
      <c r="H2574" s="118" cm="1">
        <f t="array" ref="H2574">IFERROR(INDEX(PDB!$C:$AT,MATCH(E2574,PDB!$B:$B,0),MATCH(YEAR(K2574),0+PDB!$C$1:$AT$1,0)),"")</f>
        <v>6.08</v>
      </c>
      <c r="I2574" s="36">
        <f>200-97+9-80+80</f>
        <v>112</v>
      </c>
      <c r="J2574" s="125">
        <f>IFERROR(Table1[[#This Row],[Quantity]]*Table1[[#This Row],[Price/Unit
EUR]]," ")</f>
        <v>680.96</v>
      </c>
      <c r="K2574" s="126">
        <v>45811</v>
      </c>
      <c r="L2574" s="36">
        <f>WEEKNUM(Table1[[#This Row],[ETA
As requested
dd.mm.yyyy]])</f>
        <v>23</v>
      </c>
      <c r="M2574" s="36">
        <f>YEAR(Table1[[#This Row],[ETA
As requested
dd.mm.yyyy]])</f>
        <v>2025</v>
      </c>
      <c r="N2574" s="36">
        <f>IFERROR(INDEX(DATABASE_FG!$H$5:$H$367, MATCH(E2574, DATABASE_FG!$C$5:$C$367, 0)), " ")</f>
        <v>0</v>
      </c>
      <c r="O2574" s="129" t="str">
        <f>IF(E2574&lt;&gt;"", _xlfn.XLOOKUP(E2574, DATABASE_FG!C:C, DATABASE_FG!F:F), " ")</f>
        <v>Ghidaje</v>
      </c>
      <c r="P2574" s="36">
        <f>IFERROR(INDEX(DATABASE_FG!$G$5:$G$367, MATCH(E2574, DATABASE_FG!$C$5:$C$367, 0)), "Not Found")</f>
        <v>0</v>
      </c>
      <c r="Q2574" s="36"/>
      <c r="R2574" s="125" t="s">
        <v>678</v>
      </c>
      <c r="S2574" s="123">
        <f>IFERROR(INDEX(DATABASE_FG!$L$5:$L$367, MATCH(E2574, DATABASE_FG!$C$5:$C$367, 0)), " ")</f>
        <v>42</v>
      </c>
      <c r="T2574" s="36" t="s">
        <v>679</v>
      </c>
      <c r="U2574" s="36"/>
      <c r="V2574" s="36"/>
      <c r="W2574" s="129"/>
      <c r="X2574" s="36"/>
      <c r="Y2574" s="36"/>
      <c r="Z2574" s="36"/>
      <c r="AA2574" s="125" t="s">
        <v>121</v>
      </c>
      <c r="AB2574" s="173">
        <v>45838</v>
      </c>
      <c r="AC2574" s="119">
        <v>260008</v>
      </c>
      <c r="AD2574" s="36">
        <f t="shared" ref="AD2574:AD2635" si="283">IF(NOT(ISBLANK(AC2574)), C2574, "")</f>
        <v>5410625</v>
      </c>
      <c r="AE2574" s="36" t="str">
        <f t="shared" ref="AE2574:AE2635" si="284">IF(NOT(ISBLANK(AC2574)), E2574, "")</f>
        <v>TK.KWVE30-B-A-SL-0038-WW1</v>
      </c>
      <c r="AF2574" s="36">
        <v>112</v>
      </c>
      <c r="AG2574" s="120">
        <f t="shared" si="282"/>
        <v>680.96</v>
      </c>
      <c r="AH2574" s="36"/>
      <c r="AI2574" s="124"/>
      <c r="AJ2574" s="122" t="s">
        <v>3233</v>
      </c>
      <c r="AK2574" s="129" t="str">
        <f t="shared" ca="1" si="281"/>
        <v>Late</v>
      </c>
      <c r="AL2574" s="268" t="str">
        <f t="shared" si="280"/>
        <v>June</v>
      </c>
      <c r="AM2574" s="133">
        <f>YEAR(Table1[[#This Row],[ETA
As requested
dd.mm.yyyy]])</f>
        <v>2025</v>
      </c>
    </row>
    <row r="2575" spans="1:40" hidden="1">
      <c r="A2575" s="123" t="s">
        <v>83</v>
      </c>
      <c r="B2575" s="36" t="s">
        <v>1170</v>
      </c>
      <c r="C2575" s="117">
        <v>5410625</v>
      </c>
      <c r="D2575" s="165">
        <v>45806</v>
      </c>
      <c r="E2575" s="117" t="s">
        <v>103</v>
      </c>
      <c r="F2575" s="36" t="str">
        <f>IFERROR(VLOOKUP(Table1[[#This Row],[Part Number]],DATABASE_FG!$C$6:D12564,2,FALSE)," ")</f>
        <v>080817246-8011</v>
      </c>
      <c r="G2575" s="117">
        <f>IFERROR(_xlfn.XLOOKUP(Table1[[#This Row],[Part Number]],Table3[Part number],Table3[Drawing
 Revision]),"")</f>
        <v>0</v>
      </c>
      <c r="H2575" s="118" cm="1">
        <f t="array" ref="H2575">IFERROR(INDEX(PDB!$C:$AT,MATCH(E2575,PDB!$B:$B,0),MATCH(YEAR(K2575),0+PDB!$C$1:$AT$1,0)),"")</f>
        <v>6.08</v>
      </c>
      <c r="I2575" s="36">
        <f>150-9-29</f>
        <v>112</v>
      </c>
      <c r="J2575" s="125">
        <f>IFERROR(Table1[[#This Row],[Quantity]]*Table1[[#This Row],[Price/Unit
EUR]]," ")</f>
        <v>680.96</v>
      </c>
      <c r="K2575" s="126">
        <v>45848</v>
      </c>
      <c r="L2575" s="36">
        <f>WEEKNUM(Table1[[#This Row],[ETA
As requested
dd.mm.yyyy]])</f>
        <v>28</v>
      </c>
      <c r="M2575" s="36">
        <f>YEAR(Table1[[#This Row],[ETA
As requested
dd.mm.yyyy]])</f>
        <v>2025</v>
      </c>
      <c r="N2575" s="36">
        <f>IFERROR(INDEX(DATABASE_FG!$H$5:$H$367, MATCH(E2575, DATABASE_FG!$C$5:$C$367, 0)), " ")</f>
        <v>0</v>
      </c>
      <c r="O2575" s="129" t="str">
        <f>IF(E2575&lt;&gt;"", _xlfn.XLOOKUP(E2575, DATABASE_FG!C:C, DATABASE_FG!F:F), " ")</f>
        <v>Ghidaje</v>
      </c>
      <c r="P2575" s="36">
        <f>IFERROR(INDEX(DATABASE_FG!$G$5:$G$367, MATCH(E2575, DATABASE_FG!$C$5:$C$367, 0)), "Not Found")</f>
        <v>0</v>
      </c>
      <c r="Q2575" s="36"/>
      <c r="R2575" s="125" t="s">
        <v>678</v>
      </c>
      <c r="S2575" s="123">
        <f>Table1[[#This Row],[Quantity]]/48</f>
        <v>2.3333333333333335</v>
      </c>
      <c r="T2575" s="36"/>
      <c r="U2575" s="36"/>
      <c r="V2575" s="36"/>
      <c r="W2575" s="129"/>
      <c r="X2575" s="36"/>
      <c r="Y2575" s="36"/>
      <c r="Z2575" s="36"/>
      <c r="AA2575" s="125" t="s">
        <v>121</v>
      </c>
      <c r="AB2575" s="173">
        <v>45841</v>
      </c>
      <c r="AC2575" s="119">
        <v>251010</v>
      </c>
      <c r="AD2575" s="36">
        <f t="shared" si="283"/>
        <v>5410625</v>
      </c>
      <c r="AE2575" s="36" t="str">
        <f t="shared" si="284"/>
        <v>TK.KWVE30-B-A-SL-0038-WW1</v>
      </c>
      <c r="AF2575" s="36">
        <v>112</v>
      </c>
      <c r="AG2575" s="120">
        <f t="shared" si="282"/>
        <v>680.96</v>
      </c>
      <c r="AH2575" s="36"/>
      <c r="AI2575" s="124"/>
      <c r="AJ2575" s="122" t="s">
        <v>3410</v>
      </c>
      <c r="AK2575" s="129" t="str">
        <f t="shared" ca="1" si="281"/>
        <v>On Time</v>
      </c>
      <c r="AL2575" s="268" t="str">
        <f t="shared" si="280"/>
        <v>July</v>
      </c>
      <c r="AM2575" s="133">
        <f>YEAR(Table1[[#This Row],[ETA
As requested
dd.mm.yyyy]])</f>
        <v>2025</v>
      </c>
    </row>
    <row r="2576" spans="1:40" hidden="1">
      <c r="A2576" s="123" t="s">
        <v>83</v>
      </c>
      <c r="B2576" s="36" t="s">
        <v>1170</v>
      </c>
      <c r="C2576" s="117">
        <v>5410625</v>
      </c>
      <c r="D2576" s="165">
        <v>45806</v>
      </c>
      <c r="E2576" s="117" t="s">
        <v>103</v>
      </c>
      <c r="F2576" s="36" t="str">
        <f>IFERROR(VLOOKUP(Table1[[#This Row],[Part Number]],DATABASE_FG!$C$6:D12565,2,FALSE)," ")</f>
        <v>080817246-8011</v>
      </c>
      <c r="G2576" s="117">
        <f>IFERROR(_xlfn.XLOOKUP(Table1[[#This Row],[Part Number]],Table3[Part number],Table3[Drawing
 Revision]),"")</f>
        <v>0</v>
      </c>
      <c r="H2576" s="118" cm="1">
        <f t="array" ref="H2576">IFERROR(INDEX(PDB!$C:$AT,MATCH(E2576,PDB!$B:$B,0),MATCH(YEAR(K2576),0+PDB!$C$1:$AT$1,0)),"")</f>
        <v>6.08</v>
      </c>
      <c r="I2576" s="36">
        <f>150+29-80+5</f>
        <v>104</v>
      </c>
      <c r="J2576" s="125">
        <f>IFERROR(Table1[[#This Row],[Quantity]]*Table1[[#This Row],[Price/Unit
EUR]]," ")</f>
        <v>632.32000000000005</v>
      </c>
      <c r="K2576" s="126">
        <v>45852</v>
      </c>
      <c r="L2576" s="36">
        <f>WEEKNUM(Table1[[#This Row],[ETA
As requested
dd.mm.yyyy]])</f>
        <v>29</v>
      </c>
      <c r="M2576" s="36">
        <f>YEAR(Table1[[#This Row],[ETA
As requested
dd.mm.yyyy]])</f>
        <v>2025</v>
      </c>
      <c r="N2576" s="36">
        <f>IFERROR(INDEX(DATABASE_FG!$H$5:$H$367, MATCH(E2576, DATABASE_FG!$C$5:$C$367, 0)), " ")</f>
        <v>0</v>
      </c>
      <c r="O2576" s="129" t="str">
        <f>IF(E2576&lt;&gt;"", _xlfn.XLOOKUP(E2576, DATABASE_FG!C:C, DATABASE_FG!F:F), " ")</f>
        <v>Ghidaje</v>
      </c>
      <c r="P2576" s="36">
        <f>IFERROR(INDEX(DATABASE_FG!$G$5:$G$367, MATCH(E2576, DATABASE_FG!$C$5:$C$367, 0)), "Not Found")</f>
        <v>0</v>
      </c>
      <c r="Q2576" s="36"/>
      <c r="R2576" s="125" t="s">
        <v>678</v>
      </c>
      <c r="S2576" s="123">
        <f>Table1[[#This Row],[Quantity]]/48</f>
        <v>2.1666666666666665</v>
      </c>
      <c r="T2576" s="36"/>
      <c r="U2576" s="36"/>
      <c r="V2576" s="36"/>
      <c r="W2576" s="129"/>
      <c r="X2576" s="36"/>
      <c r="Y2576" s="36"/>
      <c r="Z2576" s="36"/>
      <c r="AA2576" s="125" t="s">
        <v>121</v>
      </c>
      <c r="AB2576" s="173">
        <v>45845</v>
      </c>
      <c r="AC2576" s="119">
        <v>251038</v>
      </c>
      <c r="AD2576" s="36">
        <f t="shared" si="283"/>
        <v>5410625</v>
      </c>
      <c r="AE2576" s="36" t="str">
        <f t="shared" si="284"/>
        <v>TK.KWVE30-B-A-SL-0038-WW1</v>
      </c>
      <c r="AF2576" s="36">
        <v>104</v>
      </c>
      <c r="AG2576" s="120">
        <f t="shared" si="282"/>
        <v>632.32000000000005</v>
      </c>
      <c r="AH2576" s="36"/>
      <c r="AI2576" s="124"/>
      <c r="AJ2576" s="122" t="s">
        <v>3418</v>
      </c>
      <c r="AK2576" s="129" t="str">
        <f t="shared" ca="1" si="281"/>
        <v>On Time</v>
      </c>
      <c r="AL2576" s="268" t="str">
        <f t="shared" si="280"/>
        <v>July</v>
      </c>
      <c r="AM2576" s="133">
        <f>YEAR(Table1[[#This Row],[ETA
As requested
dd.mm.yyyy]])</f>
        <v>2025</v>
      </c>
    </row>
    <row r="2577" spans="1:39" hidden="1">
      <c r="A2577" s="123" t="s">
        <v>83</v>
      </c>
      <c r="B2577" s="36" t="s">
        <v>1170</v>
      </c>
      <c r="C2577" s="117">
        <v>5410625</v>
      </c>
      <c r="D2577" s="165">
        <v>45806</v>
      </c>
      <c r="E2577" s="117" t="s">
        <v>103</v>
      </c>
      <c r="F2577" s="36" t="str">
        <f>IFERROR(VLOOKUP(Table1[[#This Row],[Part Number]],DATABASE_FG!$C$6:D12566,2,FALSE)," ")</f>
        <v>080817246-8011</v>
      </c>
      <c r="G2577" s="117">
        <f>IFERROR(_xlfn.XLOOKUP(Table1[[#This Row],[Part Number]],Table3[Part number],Table3[Drawing
 Revision]),"")</f>
        <v>0</v>
      </c>
      <c r="H2577" s="118" cm="1">
        <f t="array" ref="H2577">IFERROR(INDEX(PDB!$C:$AT,MATCH(E2577,PDB!$B:$B,0),MATCH(YEAR(K2577),0+PDB!$C$1:$AT$1,0)),"")</f>
        <v>6.08</v>
      </c>
      <c r="I2577" s="36">
        <v>100</v>
      </c>
      <c r="J2577" s="125">
        <f>IFERROR(Table1[[#This Row],[Quantity]]*Table1[[#This Row],[Price/Unit
EUR]]," ")</f>
        <v>608</v>
      </c>
      <c r="K2577" s="126">
        <v>45852</v>
      </c>
      <c r="L2577" s="36">
        <f>WEEKNUM(Table1[[#This Row],[ETA
As requested
dd.mm.yyyy]])</f>
        <v>29</v>
      </c>
      <c r="M2577" s="36">
        <f>YEAR(Table1[[#This Row],[ETA
As requested
dd.mm.yyyy]])</f>
        <v>2025</v>
      </c>
      <c r="N2577" s="36">
        <f>IFERROR(INDEX(DATABASE_FG!$H$5:$H$367, MATCH(E2577, DATABASE_FG!$C$5:$C$367, 0)), " ")</f>
        <v>0</v>
      </c>
      <c r="O2577" s="129" t="str">
        <f>IF(E2577&lt;&gt;"", _xlfn.XLOOKUP(E2577, DATABASE_FG!C:C, DATABASE_FG!F:F), " ")</f>
        <v>Ghidaje</v>
      </c>
      <c r="P2577" s="36">
        <f>IFERROR(INDEX(DATABASE_FG!$G$5:$G$367, MATCH(E2577, DATABASE_FG!$C$5:$C$367, 0)), "Not Found")</f>
        <v>0</v>
      </c>
      <c r="Q2577" s="36"/>
      <c r="R2577" s="125" t="s">
        <v>678</v>
      </c>
      <c r="S2577" s="123">
        <f>Table1[[#This Row],[Quantity]]/48</f>
        <v>2.0833333333333335</v>
      </c>
      <c r="T2577" s="36"/>
      <c r="U2577" s="36"/>
      <c r="V2577" s="36"/>
      <c r="W2577" s="129"/>
      <c r="X2577" s="36"/>
      <c r="Y2577" s="36"/>
      <c r="Z2577" s="36"/>
      <c r="AA2577" s="125" t="s">
        <v>121</v>
      </c>
      <c r="AB2577" s="173">
        <v>45846</v>
      </c>
      <c r="AC2577" s="119">
        <v>251045</v>
      </c>
      <c r="AD2577" s="36">
        <f t="shared" si="283"/>
        <v>5410625</v>
      </c>
      <c r="AE2577" s="36" t="str">
        <f t="shared" si="284"/>
        <v>TK.KWVE30-B-A-SL-0038-WW1</v>
      </c>
      <c r="AF2577" s="36">
        <v>100</v>
      </c>
      <c r="AG2577" s="120">
        <f t="shared" si="282"/>
        <v>608</v>
      </c>
      <c r="AH2577" s="36"/>
      <c r="AI2577" s="124"/>
      <c r="AJ2577" s="122" t="s">
        <v>3419</v>
      </c>
      <c r="AK2577" s="129" t="str">
        <f t="shared" ca="1" si="281"/>
        <v>On Time</v>
      </c>
      <c r="AL2577" s="268" t="str">
        <f t="shared" si="280"/>
        <v>July</v>
      </c>
      <c r="AM2577" s="133">
        <f>YEAR(Table1[[#This Row],[ETA
As requested
dd.mm.yyyy]])</f>
        <v>2025</v>
      </c>
    </row>
    <row r="2578" spans="1:39" hidden="1">
      <c r="A2578" s="123" t="s">
        <v>83</v>
      </c>
      <c r="B2578" s="36" t="s">
        <v>1170</v>
      </c>
      <c r="C2578" s="117">
        <v>5410625</v>
      </c>
      <c r="D2578" s="165">
        <v>45806</v>
      </c>
      <c r="E2578" s="117" t="s">
        <v>103</v>
      </c>
      <c r="F2578" s="36" t="str">
        <f>IFERROR(VLOOKUP(Table1[[#This Row],[Part Number]],DATABASE_FG!$C$6:D12567,2,FALSE)," ")</f>
        <v>080817246-8011</v>
      </c>
      <c r="G2578" s="117">
        <f>IFERROR(_xlfn.XLOOKUP(Table1[[#This Row],[Part Number]],Table3[Part number],Table3[Drawing
 Revision]),"")</f>
        <v>0</v>
      </c>
      <c r="H2578" s="118" cm="1">
        <f t="array" ref="H2578">IFERROR(INDEX(PDB!$C:$AT,MATCH(E2578,PDB!$B:$B,0),MATCH(YEAR(K2578),0+PDB!$C$1:$AT$1,0)),"")</f>
        <v>6.08</v>
      </c>
      <c r="I2578" s="36">
        <f>150-5-100+39</f>
        <v>84</v>
      </c>
      <c r="J2578" s="125">
        <f>IFERROR(Table1[[#This Row],[Quantity]]*Table1[[#This Row],[Price/Unit
EUR]]," ")</f>
        <v>510.72</v>
      </c>
      <c r="K2578" s="126">
        <v>45859</v>
      </c>
      <c r="L2578" s="36">
        <f>WEEKNUM(Table1[[#This Row],[ETA
As requested
dd.mm.yyyy]])</f>
        <v>30</v>
      </c>
      <c r="M2578" s="36">
        <f>YEAR(Table1[[#This Row],[ETA
As requested
dd.mm.yyyy]])</f>
        <v>2025</v>
      </c>
      <c r="N2578" s="36">
        <f>IFERROR(INDEX(DATABASE_FG!$H$5:$H$367, MATCH(E2578, DATABASE_FG!$C$5:$C$367, 0)), " ")</f>
        <v>0</v>
      </c>
      <c r="O2578" s="129" t="str">
        <f>IF(E2578&lt;&gt;"", _xlfn.XLOOKUP(E2578, DATABASE_FG!C:C, DATABASE_FG!F:F), " ")</f>
        <v>Ghidaje</v>
      </c>
      <c r="P2578" s="36">
        <f>IFERROR(INDEX(DATABASE_FG!$G$5:$G$367, MATCH(E2578, DATABASE_FG!$C$5:$C$367, 0)), "Not Found")</f>
        <v>0</v>
      </c>
      <c r="Q2578" s="36"/>
      <c r="R2578" s="125" t="s">
        <v>678</v>
      </c>
      <c r="S2578" s="123">
        <f>Table1[[#This Row],[Quantity]]/48</f>
        <v>1.75</v>
      </c>
      <c r="T2578" s="36"/>
      <c r="U2578" s="36"/>
      <c r="V2578" s="36"/>
      <c r="W2578" s="129"/>
      <c r="X2578" s="36"/>
      <c r="Y2578" s="36"/>
      <c r="Z2578" s="36"/>
      <c r="AA2578" s="125" t="s">
        <v>121</v>
      </c>
      <c r="AB2578" s="173">
        <v>45847</v>
      </c>
      <c r="AC2578" s="119" t="s">
        <v>3442</v>
      </c>
      <c r="AD2578" s="36">
        <f t="shared" si="283"/>
        <v>5410625</v>
      </c>
      <c r="AE2578" s="36" t="str">
        <f t="shared" si="284"/>
        <v>TK.KWVE30-B-A-SL-0038-WW1</v>
      </c>
      <c r="AF2578" s="36">
        <v>84</v>
      </c>
      <c r="AG2578" s="120">
        <f t="shared" si="282"/>
        <v>510.72</v>
      </c>
      <c r="AH2578" s="36"/>
      <c r="AI2578" s="124"/>
      <c r="AJ2578" s="122" t="s">
        <v>3443</v>
      </c>
      <c r="AK2578" s="129" t="str">
        <f t="shared" ca="1" si="281"/>
        <v>On Time</v>
      </c>
      <c r="AL2578" s="268" t="str">
        <f t="shared" si="280"/>
        <v>July</v>
      </c>
      <c r="AM2578" s="133">
        <f>YEAR(Table1[[#This Row],[ETA
As requested
dd.mm.yyyy]])</f>
        <v>2025</v>
      </c>
    </row>
    <row r="2579" spans="1:39" hidden="1">
      <c r="A2579" s="123" t="s">
        <v>83</v>
      </c>
      <c r="B2579" s="36" t="s">
        <v>1170</v>
      </c>
      <c r="C2579" s="117">
        <v>5410625</v>
      </c>
      <c r="D2579" s="165">
        <v>45806</v>
      </c>
      <c r="E2579" s="117" t="s">
        <v>103</v>
      </c>
      <c r="F2579" s="36" t="str">
        <f>IFERROR(VLOOKUP(Table1[[#This Row],[Part Number]],DATABASE_FG!$C$6:D12568,2,FALSE)," ")</f>
        <v>080817246-8011</v>
      </c>
      <c r="G2579" s="117">
        <f>IFERROR(_xlfn.XLOOKUP(Table1[[#This Row],[Part Number]],Table3[Part number],Table3[Drawing
 Revision]),"")</f>
        <v>0</v>
      </c>
      <c r="H2579" s="118" cm="1">
        <f t="array" ref="H2579">IFERROR(INDEX(PDB!$C:$AT,MATCH(E2579,PDB!$B:$B,0),MATCH(YEAR(K2579),0+PDB!$C$1:$AT$1,0)),"")</f>
        <v>6.08</v>
      </c>
      <c r="I2579" s="36">
        <v>80</v>
      </c>
      <c r="J2579" s="125">
        <f>IFERROR(Table1[[#This Row],[Quantity]]*Table1[[#This Row],[Price/Unit
EUR]]," ")</f>
        <v>486.4</v>
      </c>
      <c r="K2579" s="126">
        <v>45859</v>
      </c>
      <c r="L2579" s="36">
        <f>WEEKNUM(Table1[[#This Row],[ETA
As requested
dd.mm.yyyy]])</f>
        <v>30</v>
      </c>
      <c r="M2579" s="36">
        <f>YEAR(Table1[[#This Row],[ETA
As requested
dd.mm.yyyy]])</f>
        <v>2025</v>
      </c>
      <c r="N2579" s="36">
        <f>IFERROR(INDEX(DATABASE_FG!$H$5:$H$367, MATCH(E2579, DATABASE_FG!$C$5:$C$367, 0)), " ")</f>
        <v>0</v>
      </c>
      <c r="O2579" s="129" t="str">
        <f>IF(E2579&lt;&gt;"", _xlfn.XLOOKUP(E2579, DATABASE_FG!C:C, DATABASE_FG!F:F), " ")</f>
        <v>Ghidaje</v>
      </c>
      <c r="P2579" s="36">
        <f>IFERROR(INDEX(DATABASE_FG!$G$5:$G$367, MATCH(E2579, DATABASE_FG!$C$5:$C$367, 0)), "Not Found")</f>
        <v>0</v>
      </c>
      <c r="Q2579" s="36"/>
      <c r="R2579" s="125" t="s">
        <v>678</v>
      </c>
      <c r="S2579" s="123">
        <f>Table1[[#This Row],[Quantity]]/48</f>
        <v>1.6666666666666667</v>
      </c>
      <c r="T2579" s="36"/>
      <c r="U2579" s="36"/>
      <c r="V2579" s="36"/>
      <c r="W2579" s="129"/>
      <c r="X2579" s="36"/>
      <c r="Y2579" s="36"/>
      <c r="Z2579" s="36"/>
      <c r="AA2579" s="125" t="s">
        <v>121</v>
      </c>
      <c r="AB2579" s="172">
        <v>45848</v>
      </c>
      <c r="AC2579" s="119" t="s">
        <v>3444</v>
      </c>
      <c r="AD2579" s="36">
        <f t="shared" si="283"/>
        <v>5410625</v>
      </c>
      <c r="AE2579" s="36" t="str">
        <f t="shared" si="284"/>
        <v>TK.KWVE30-B-A-SL-0038-WW1</v>
      </c>
      <c r="AF2579" s="36">
        <v>80</v>
      </c>
      <c r="AG2579" s="120">
        <f t="shared" si="282"/>
        <v>486.4</v>
      </c>
      <c r="AH2579" s="36"/>
      <c r="AI2579" s="124"/>
      <c r="AJ2579" s="122" t="s">
        <v>3445</v>
      </c>
      <c r="AK2579" s="129" t="str">
        <f t="shared" ca="1" si="281"/>
        <v>On Time</v>
      </c>
      <c r="AL2579" s="268" t="str">
        <f t="shared" si="280"/>
        <v>July</v>
      </c>
      <c r="AM2579" s="133">
        <f>YEAR(Table1[[#This Row],[ETA
As requested
dd.mm.yyyy]])</f>
        <v>2025</v>
      </c>
    </row>
    <row r="2580" spans="1:39" hidden="1">
      <c r="A2580" s="123" t="s">
        <v>83</v>
      </c>
      <c r="B2580" s="36" t="s">
        <v>1170</v>
      </c>
      <c r="C2580" s="117">
        <v>5410625</v>
      </c>
      <c r="D2580" s="165">
        <v>45806</v>
      </c>
      <c r="E2580" s="117" t="s">
        <v>103</v>
      </c>
      <c r="F2580" s="36" t="str">
        <f>IFERROR(VLOOKUP(Table1[[#This Row],[Part Number]],DATABASE_FG!$C$6:D12569,2,FALSE)," ")</f>
        <v>080817246-8011</v>
      </c>
      <c r="G2580" s="117">
        <f>IFERROR(_xlfn.XLOOKUP(Table1[[#This Row],[Part Number]],Table3[Part number],Table3[Drawing
 Revision]),"")</f>
        <v>0</v>
      </c>
      <c r="H2580" s="118" cm="1">
        <f t="array" ref="H2580">IFERROR(INDEX(PDB!$C:$AT,MATCH(E2580,PDB!$B:$B,0),MATCH(YEAR(K2580),0+PDB!$C$1:$AT$1,0)),"")</f>
        <v>6.08</v>
      </c>
      <c r="I2580" s="36">
        <f>150-39-80+65</f>
        <v>96</v>
      </c>
      <c r="J2580" s="125">
        <f>IFERROR(Table1[[#This Row],[Quantity]]*Table1[[#This Row],[Price/Unit
EUR]]," ")</f>
        <v>583.68000000000006</v>
      </c>
      <c r="K2580" s="126">
        <v>45868</v>
      </c>
      <c r="L2580" s="36">
        <f>WEEKNUM(Table1[[#This Row],[ETA
As requested
dd.mm.yyyy]])</f>
        <v>31</v>
      </c>
      <c r="M2580" s="36">
        <f>YEAR(Table1[[#This Row],[ETA
As requested
dd.mm.yyyy]])</f>
        <v>2025</v>
      </c>
      <c r="N2580" s="36">
        <f>IFERROR(INDEX(DATABASE_FG!$H$5:$H$367, MATCH(E2580, DATABASE_FG!$C$5:$C$367, 0)), " ")</f>
        <v>0</v>
      </c>
      <c r="O2580" s="129" t="str">
        <f>IF(E2580&lt;&gt;"", _xlfn.XLOOKUP(E2580, DATABASE_FG!C:C, DATABASE_FG!F:F), " ")</f>
        <v>Ghidaje</v>
      </c>
      <c r="P2580" s="36">
        <f>IFERROR(INDEX(DATABASE_FG!$G$5:$G$367, MATCH(E2580, DATABASE_FG!$C$5:$C$367, 0)), "Not Found")</f>
        <v>0</v>
      </c>
      <c r="Q2580" s="36"/>
      <c r="R2580" s="125" t="s">
        <v>678</v>
      </c>
      <c r="S2580" s="123">
        <f>Table1[[#This Row],[Quantity]]/48</f>
        <v>2</v>
      </c>
      <c r="T2580" s="36"/>
      <c r="U2580" s="36"/>
      <c r="V2580" s="36"/>
      <c r="W2580" s="129"/>
      <c r="X2580" s="36"/>
      <c r="Y2580" s="36"/>
      <c r="Z2580" s="36"/>
      <c r="AA2580" s="125" t="s">
        <v>121</v>
      </c>
      <c r="AB2580" s="172">
        <v>45849</v>
      </c>
      <c r="AC2580" s="119" t="s">
        <v>3467</v>
      </c>
      <c r="AD2580" s="36">
        <f t="shared" si="283"/>
        <v>5410625</v>
      </c>
      <c r="AE2580" s="36" t="str">
        <f t="shared" si="284"/>
        <v>TK.KWVE30-B-A-SL-0038-WW1</v>
      </c>
      <c r="AF2580" s="36">
        <v>96</v>
      </c>
      <c r="AG2580" s="120">
        <f t="shared" si="282"/>
        <v>583.68000000000006</v>
      </c>
      <c r="AH2580" s="36"/>
      <c r="AI2580" s="124"/>
      <c r="AJ2580" s="122" t="s">
        <v>3468</v>
      </c>
      <c r="AK2580" s="129" t="str">
        <f t="shared" ca="1" si="281"/>
        <v>On Time</v>
      </c>
      <c r="AL2580" s="268" t="str">
        <f t="shared" si="280"/>
        <v>July</v>
      </c>
      <c r="AM2580" s="133">
        <f>YEAR(Table1[[#This Row],[ETA
As requested
dd.mm.yyyy]])</f>
        <v>2025</v>
      </c>
    </row>
    <row r="2581" spans="1:39" hidden="1">
      <c r="A2581" s="123" t="s">
        <v>83</v>
      </c>
      <c r="B2581" s="36" t="s">
        <v>1170</v>
      </c>
      <c r="C2581" s="117">
        <v>5410625</v>
      </c>
      <c r="D2581" s="165">
        <v>45806</v>
      </c>
      <c r="E2581" s="117" t="s">
        <v>103</v>
      </c>
      <c r="F2581" s="36" t="str">
        <f>IFERROR(VLOOKUP(Table1[[#This Row],[Part Number]],DATABASE_FG!$C$6:D12570,2,FALSE)," ")</f>
        <v>080817246-8011</v>
      </c>
      <c r="G2581" s="117">
        <f>IFERROR(_xlfn.XLOOKUP(Table1[[#This Row],[Part Number]],Table3[Part number],Table3[Drawing
 Revision]),"")</f>
        <v>0</v>
      </c>
      <c r="H2581" s="118" cm="1">
        <f t="array" ref="H2581">IFERROR(INDEX(PDB!$C:$AT,MATCH(E2581,PDB!$B:$B,0),MATCH(YEAR(K2581),0+PDB!$C$1:$AT$1,0)),"")</f>
        <v>6.08</v>
      </c>
      <c r="I2581" s="36">
        <v>96</v>
      </c>
      <c r="J2581" s="125">
        <f>IFERROR(Table1[[#This Row],[Quantity]]*Table1[[#This Row],[Price/Unit
EUR]]," ")</f>
        <v>583.68000000000006</v>
      </c>
      <c r="K2581" s="126">
        <v>45868</v>
      </c>
      <c r="L2581" s="36">
        <f>WEEKNUM(Table1[[#This Row],[ETA
As requested
dd.mm.yyyy]])</f>
        <v>31</v>
      </c>
      <c r="M2581" s="36">
        <f>YEAR(Table1[[#This Row],[ETA
As requested
dd.mm.yyyy]])</f>
        <v>2025</v>
      </c>
      <c r="N2581" s="36">
        <f>IFERROR(INDEX(DATABASE_FG!$H$5:$H$367, MATCH(E2581, DATABASE_FG!$C$5:$C$367, 0)), " ")</f>
        <v>0</v>
      </c>
      <c r="O2581" s="129" t="str">
        <f>IF(E2581&lt;&gt;"", _xlfn.XLOOKUP(E2581, DATABASE_FG!C:C, DATABASE_FG!F:F), " ")</f>
        <v>Ghidaje</v>
      </c>
      <c r="P2581" s="36">
        <f>IFERROR(INDEX(DATABASE_FG!$G$5:$G$367, MATCH(E2581, DATABASE_FG!$C$5:$C$367, 0)), "Not Found")</f>
        <v>0</v>
      </c>
      <c r="Q2581" s="36"/>
      <c r="R2581" s="125" t="s">
        <v>678</v>
      </c>
      <c r="S2581" s="123">
        <f>Table1[[#This Row],[Quantity]]/48</f>
        <v>2</v>
      </c>
      <c r="T2581" s="36"/>
      <c r="U2581" s="36"/>
      <c r="V2581" s="36"/>
      <c r="W2581" s="129"/>
      <c r="X2581" s="36"/>
      <c r="Y2581" s="36"/>
      <c r="Z2581" s="36"/>
      <c r="AA2581" s="125" t="s">
        <v>121</v>
      </c>
      <c r="AB2581" s="172">
        <v>45852</v>
      </c>
      <c r="AC2581" s="119" t="s">
        <v>3469</v>
      </c>
      <c r="AD2581" s="36">
        <f t="shared" si="283"/>
        <v>5410625</v>
      </c>
      <c r="AE2581" s="36" t="str">
        <f t="shared" si="284"/>
        <v>TK.KWVE30-B-A-SL-0038-WW1</v>
      </c>
      <c r="AF2581" s="36">
        <v>96</v>
      </c>
      <c r="AG2581" s="120">
        <f t="shared" si="282"/>
        <v>583.68000000000006</v>
      </c>
      <c r="AH2581" s="36"/>
      <c r="AI2581" s="124"/>
      <c r="AJ2581" s="122" t="s">
        <v>3470</v>
      </c>
      <c r="AK2581" s="129" t="str">
        <f t="shared" ca="1" si="281"/>
        <v>On Time</v>
      </c>
      <c r="AL2581" s="268" t="str">
        <f t="shared" si="280"/>
        <v>July</v>
      </c>
      <c r="AM2581" s="133">
        <f>YEAR(Table1[[#This Row],[ETA
As requested
dd.mm.yyyy]])</f>
        <v>2025</v>
      </c>
    </row>
    <row r="2582" spans="1:39" hidden="1">
      <c r="A2582" s="123" t="s">
        <v>83</v>
      </c>
      <c r="B2582" s="36" t="s">
        <v>1170</v>
      </c>
      <c r="C2582" s="117">
        <v>5410625</v>
      </c>
      <c r="D2582" s="165">
        <v>45806</v>
      </c>
      <c r="E2582" s="117" t="s">
        <v>103</v>
      </c>
      <c r="F2582" s="36" t="str">
        <f>IFERROR(VLOOKUP(Table1[[#This Row],[Part Number]],DATABASE_FG!$C$6:D12571,2,FALSE)," ")</f>
        <v>080817246-8011</v>
      </c>
      <c r="G2582" s="117">
        <f>IFERROR(_xlfn.XLOOKUP(Table1[[#This Row],[Part Number]],Table3[Part number],Table3[Drawing
 Revision]),"")</f>
        <v>0</v>
      </c>
      <c r="H2582" s="118" cm="1">
        <f t="array" ref="H2582">IFERROR(INDEX(PDB!$C:$AT,MATCH(E2582,PDB!$B:$B,0),MATCH(YEAR(K2582),0+PDB!$C$1:$AT$1,0)),"")</f>
        <v>6.08</v>
      </c>
      <c r="I2582" s="36">
        <v>64</v>
      </c>
      <c r="J2582" s="125">
        <f>IFERROR(Table1[[#This Row],[Quantity]]*Table1[[#This Row],[Price/Unit
EUR]]," ")</f>
        <v>389.12</v>
      </c>
      <c r="K2582" s="126">
        <v>45868</v>
      </c>
      <c r="L2582" s="36">
        <f>WEEKNUM(Table1[[#This Row],[ETA
As requested
dd.mm.yyyy]])</f>
        <v>31</v>
      </c>
      <c r="M2582" s="36">
        <f>YEAR(Table1[[#This Row],[ETA
As requested
dd.mm.yyyy]])</f>
        <v>2025</v>
      </c>
      <c r="N2582" s="36">
        <f>IFERROR(INDEX(DATABASE_FG!$H$5:$H$367, MATCH(E2582, DATABASE_FG!$C$5:$C$367, 0)), " ")</f>
        <v>0</v>
      </c>
      <c r="O2582" s="129" t="str">
        <f>IF(E2582&lt;&gt;"", _xlfn.XLOOKUP(E2582, DATABASE_FG!C:C, DATABASE_FG!F:F), " ")</f>
        <v>Ghidaje</v>
      </c>
      <c r="P2582" s="36">
        <f>IFERROR(INDEX(DATABASE_FG!$G$5:$G$367, MATCH(E2582, DATABASE_FG!$C$5:$C$367, 0)), "Not Found")</f>
        <v>0</v>
      </c>
      <c r="Q2582" s="36"/>
      <c r="R2582" s="125" t="s">
        <v>678</v>
      </c>
      <c r="S2582" s="123">
        <f>Table1[[#This Row],[Quantity]]/48</f>
        <v>1.3333333333333333</v>
      </c>
      <c r="T2582" s="36"/>
      <c r="U2582" s="36"/>
      <c r="V2582" s="36"/>
      <c r="W2582" s="129"/>
      <c r="X2582" s="36"/>
      <c r="Y2582" s="36"/>
      <c r="Z2582" s="36"/>
      <c r="AA2582" s="125" t="s">
        <v>121</v>
      </c>
      <c r="AB2582" s="172">
        <v>45853</v>
      </c>
      <c r="AC2582" s="119" t="s">
        <v>3471</v>
      </c>
      <c r="AD2582" s="36">
        <f t="shared" si="283"/>
        <v>5410625</v>
      </c>
      <c r="AE2582" s="36" t="str">
        <f t="shared" si="284"/>
        <v>TK.KWVE30-B-A-SL-0038-WW1</v>
      </c>
      <c r="AF2582" s="36">
        <v>64</v>
      </c>
      <c r="AG2582" s="120">
        <f t="shared" si="282"/>
        <v>389.12</v>
      </c>
      <c r="AH2582" s="36"/>
      <c r="AI2582" s="124"/>
      <c r="AJ2582" s="122" t="s">
        <v>3472</v>
      </c>
      <c r="AK2582" s="129" t="str">
        <f t="shared" ca="1" si="281"/>
        <v>On Time</v>
      </c>
      <c r="AL2582" s="268" t="str">
        <f t="shared" si="280"/>
        <v>July</v>
      </c>
      <c r="AM2582" s="133">
        <f>YEAR(Table1[[#This Row],[ETA
As requested
dd.mm.yyyy]])</f>
        <v>2025</v>
      </c>
    </row>
    <row r="2583" spans="1:39" hidden="1">
      <c r="A2583" s="123" t="s">
        <v>83</v>
      </c>
      <c r="B2583" s="36" t="s">
        <v>1170</v>
      </c>
      <c r="C2583" s="117">
        <v>5410625</v>
      </c>
      <c r="D2583" s="165">
        <v>45806</v>
      </c>
      <c r="E2583" s="117" t="s">
        <v>103</v>
      </c>
      <c r="F2583" s="36" t="str">
        <f>IFERROR(VLOOKUP(Table1[[#This Row],[Part Number]],DATABASE_FG!$C$6:D12572,2,FALSE)," ")</f>
        <v>080817246-8011</v>
      </c>
      <c r="G2583" s="117">
        <f>IFERROR(_xlfn.XLOOKUP(Table1[[#This Row],[Part Number]],Table3[Part number],Table3[Drawing
 Revision]),"")</f>
        <v>0</v>
      </c>
      <c r="H2583" s="118" cm="1">
        <f t="array" ref="H2583">IFERROR(INDEX(PDB!$C:$AT,MATCH(E2583,PDB!$B:$B,0),MATCH(YEAR(K2583),0+PDB!$C$1:$AT$1,0)),"")</f>
        <v>6.08</v>
      </c>
      <c r="I2583" s="36">
        <v>96</v>
      </c>
      <c r="J2583" s="125">
        <f>IFERROR(Table1[[#This Row],[Quantity]]*Table1[[#This Row],[Price/Unit
EUR]]," ")</f>
        <v>583.68000000000006</v>
      </c>
      <c r="K2583" s="126">
        <v>45868</v>
      </c>
      <c r="L2583" s="36">
        <f>WEEKNUM(Table1[[#This Row],[ETA
As requested
dd.mm.yyyy]])</f>
        <v>31</v>
      </c>
      <c r="M2583" s="36">
        <f>YEAR(Table1[[#This Row],[ETA
As requested
dd.mm.yyyy]])</f>
        <v>2025</v>
      </c>
      <c r="N2583" s="36">
        <f>IFERROR(INDEX(DATABASE_FG!$H$5:$H$367, MATCH(E2583, DATABASE_FG!$C$5:$C$367, 0)), " ")</f>
        <v>0</v>
      </c>
      <c r="O2583" s="129" t="str">
        <f>IF(E2583&lt;&gt;"", _xlfn.XLOOKUP(E2583, DATABASE_FG!C:C, DATABASE_FG!F:F), " ")</f>
        <v>Ghidaje</v>
      </c>
      <c r="P2583" s="36">
        <f>IFERROR(INDEX(DATABASE_FG!$G$5:$G$367, MATCH(E2583, DATABASE_FG!$C$5:$C$367, 0)), "Not Found")</f>
        <v>0</v>
      </c>
      <c r="Q2583" s="36"/>
      <c r="R2583" s="125" t="s">
        <v>678</v>
      </c>
      <c r="S2583" s="123">
        <f>Table1[[#This Row],[Quantity]]/48</f>
        <v>2</v>
      </c>
      <c r="T2583" s="36"/>
      <c r="U2583" s="36"/>
      <c r="V2583" s="36"/>
      <c r="W2583" s="129"/>
      <c r="X2583" s="36"/>
      <c r="Y2583" s="36"/>
      <c r="Z2583" s="36"/>
      <c r="AA2583" s="125" t="s">
        <v>121</v>
      </c>
      <c r="AB2583" s="172">
        <v>45854</v>
      </c>
      <c r="AC2583" s="119" t="s">
        <v>3473</v>
      </c>
      <c r="AD2583" s="36">
        <f t="shared" si="283"/>
        <v>5410625</v>
      </c>
      <c r="AE2583" s="36" t="str">
        <f t="shared" si="284"/>
        <v>TK.KWVE30-B-A-SL-0038-WW1</v>
      </c>
      <c r="AF2583" s="36">
        <v>96</v>
      </c>
      <c r="AG2583" s="120">
        <f t="shared" si="282"/>
        <v>583.68000000000006</v>
      </c>
      <c r="AH2583" s="36"/>
      <c r="AI2583" s="124"/>
      <c r="AJ2583" s="122" t="s">
        <v>3474</v>
      </c>
      <c r="AK2583" s="129" t="str">
        <f t="shared" ca="1" si="281"/>
        <v>On Time</v>
      </c>
      <c r="AL2583" s="268" t="str">
        <f t="shared" si="280"/>
        <v>July</v>
      </c>
      <c r="AM2583" s="133">
        <f>YEAR(Table1[[#This Row],[ETA
As requested
dd.mm.yyyy]])</f>
        <v>2025</v>
      </c>
    </row>
    <row r="2584" spans="1:39" hidden="1">
      <c r="A2584" s="123" t="s">
        <v>83</v>
      </c>
      <c r="B2584" s="36" t="s">
        <v>1170</v>
      </c>
      <c r="C2584" s="117">
        <v>5410625</v>
      </c>
      <c r="D2584" s="165">
        <v>45806</v>
      </c>
      <c r="E2584" s="117" t="s">
        <v>103</v>
      </c>
      <c r="F2584" s="36" t="str">
        <f>IFERROR(VLOOKUP(Table1[[#This Row],[Part Number]],DATABASE_FG!$C$6:D12573,2,FALSE)," ")</f>
        <v>080817246-8011</v>
      </c>
      <c r="G2584" s="117">
        <f>IFERROR(_xlfn.XLOOKUP(Table1[[#This Row],[Part Number]],Table3[Part number],Table3[Drawing
 Revision]),"")</f>
        <v>0</v>
      </c>
      <c r="H2584" s="118" cm="1">
        <f t="array" ref="H2584">IFERROR(INDEX(PDB!$C:$AT,MATCH(E2584,PDB!$B:$B,0),MATCH(YEAR(K2584),0+PDB!$C$1:$AT$1,0)),"")</f>
        <v>6.08</v>
      </c>
      <c r="I2584" s="36">
        <v>96</v>
      </c>
      <c r="J2584" s="125">
        <f>IFERROR(Table1[[#This Row],[Quantity]]*Table1[[#This Row],[Price/Unit
EUR]]," ")</f>
        <v>583.68000000000006</v>
      </c>
      <c r="K2584" s="126">
        <v>45868</v>
      </c>
      <c r="L2584" s="36">
        <f>WEEKNUM(Table1[[#This Row],[ETA
As requested
dd.mm.yyyy]])</f>
        <v>31</v>
      </c>
      <c r="M2584" s="36">
        <f>YEAR(Table1[[#This Row],[ETA
As requested
dd.mm.yyyy]])</f>
        <v>2025</v>
      </c>
      <c r="N2584" s="36">
        <f>IFERROR(INDEX(DATABASE_FG!$H$5:$H$367, MATCH(E2584, DATABASE_FG!$C$5:$C$367, 0)), " ")</f>
        <v>0</v>
      </c>
      <c r="O2584" s="129" t="str">
        <f>IF(E2584&lt;&gt;"", _xlfn.XLOOKUP(E2584, DATABASE_FG!C:C, DATABASE_FG!F:F), " ")</f>
        <v>Ghidaje</v>
      </c>
      <c r="P2584" s="36">
        <f>IFERROR(INDEX(DATABASE_FG!$G$5:$G$367, MATCH(E2584, DATABASE_FG!$C$5:$C$367, 0)), "Not Found")</f>
        <v>0</v>
      </c>
      <c r="Q2584" s="36"/>
      <c r="R2584" s="125" t="s">
        <v>678</v>
      </c>
      <c r="S2584" s="123">
        <f>Table1[[#This Row],[Quantity]]/48</f>
        <v>2</v>
      </c>
      <c r="T2584" s="36"/>
      <c r="U2584" s="36"/>
      <c r="V2584" s="36"/>
      <c r="W2584" s="129"/>
      <c r="X2584" s="36"/>
      <c r="Y2584" s="36"/>
      <c r="Z2584" s="36"/>
      <c r="AA2584" s="125" t="s">
        <v>121</v>
      </c>
      <c r="AB2584" s="172">
        <v>45856</v>
      </c>
      <c r="AC2584" s="119" t="s">
        <v>3475</v>
      </c>
      <c r="AD2584" s="36">
        <f t="shared" si="283"/>
        <v>5410625</v>
      </c>
      <c r="AE2584" s="36" t="str">
        <f t="shared" si="284"/>
        <v>TK.KWVE30-B-A-SL-0038-WW1</v>
      </c>
      <c r="AF2584" s="36">
        <v>96</v>
      </c>
      <c r="AG2584" s="120">
        <f t="shared" si="282"/>
        <v>583.68000000000006</v>
      </c>
      <c r="AH2584" s="36"/>
      <c r="AI2584" s="124"/>
      <c r="AJ2584" s="122" t="s">
        <v>3476</v>
      </c>
      <c r="AK2584" s="129" t="str">
        <f t="shared" ca="1" si="281"/>
        <v>On Time</v>
      </c>
      <c r="AL2584" s="268" t="str">
        <f t="shared" si="280"/>
        <v>July</v>
      </c>
      <c r="AM2584" s="133">
        <f>YEAR(Table1[[#This Row],[ETA
As requested
dd.mm.yyyy]])</f>
        <v>2025</v>
      </c>
    </row>
    <row r="2585" spans="1:39" hidden="1">
      <c r="A2585" s="123" t="s">
        <v>83</v>
      </c>
      <c r="B2585" s="36" t="s">
        <v>1170</v>
      </c>
      <c r="C2585" s="117">
        <v>5410625</v>
      </c>
      <c r="D2585" s="165">
        <v>45806</v>
      </c>
      <c r="E2585" s="117" t="s">
        <v>103</v>
      </c>
      <c r="F2585" s="36" t="str">
        <f>IFERROR(VLOOKUP(Table1[[#This Row],[Part Number]],DATABASE_FG!$C$6:D12574,2,FALSE)," ")</f>
        <v>080817246-8011</v>
      </c>
      <c r="G2585" s="117">
        <f>IFERROR(_xlfn.XLOOKUP(Table1[[#This Row],[Part Number]],Table3[Part number],Table3[Drawing
 Revision]),"")</f>
        <v>0</v>
      </c>
      <c r="H2585" s="118" cm="1">
        <f t="array" ref="H2585">IFERROR(INDEX(PDB!$C:$AT,MATCH(E2585,PDB!$B:$B,0),MATCH(YEAR(K2585),0+PDB!$C$1:$AT$1,0)),"")</f>
        <v>6.08</v>
      </c>
      <c r="I2585" s="36">
        <f>450-65-96-64-96-96+46</f>
        <v>79</v>
      </c>
      <c r="J2585" s="125">
        <f>IFERROR(Table1[[#This Row],[Quantity]]*Table1[[#This Row],[Price/Unit
EUR]]," ")</f>
        <v>480.32</v>
      </c>
      <c r="K2585" s="126">
        <v>45868</v>
      </c>
      <c r="L2585" s="36">
        <f>WEEKNUM(Table1[[#This Row],[ETA
As requested
dd.mm.yyyy]])</f>
        <v>31</v>
      </c>
      <c r="M2585" s="36">
        <f>YEAR(Table1[[#This Row],[ETA
As requested
dd.mm.yyyy]])</f>
        <v>2025</v>
      </c>
      <c r="N2585" s="36">
        <f>IFERROR(INDEX(DATABASE_FG!$H$5:$H$367, MATCH(E2585, DATABASE_FG!$C$5:$C$367, 0)), " ")</f>
        <v>0</v>
      </c>
      <c r="O2585" s="129" t="str">
        <f>IF(E2585&lt;&gt;"", _xlfn.XLOOKUP(E2585, DATABASE_FG!C:C, DATABASE_FG!F:F), " ")</f>
        <v>Ghidaje</v>
      </c>
      <c r="P2585" s="36">
        <f>IFERROR(INDEX(DATABASE_FG!$G$5:$G$367, MATCH(E2585, DATABASE_FG!$C$5:$C$367, 0)), "Not Found")</f>
        <v>0</v>
      </c>
      <c r="Q2585" s="36"/>
      <c r="R2585" s="125" t="s">
        <v>678</v>
      </c>
      <c r="S2585" s="123">
        <f>Table1[[#This Row],[Quantity]]/48</f>
        <v>1.6458333333333333</v>
      </c>
      <c r="T2585" s="36"/>
      <c r="U2585" s="36"/>
      <c r="V2585" s="36"/>
      <c r="W2585" s="129"/>
      <c r="X2585" s="36"/>
      <c r="Y2585" s="36"/>
      <c r="Z2585" s="36"/>
      <c r="AA2585" s="125" t="s">
        <v>121</v>
      </c>
      <c r="AB2585" s="172">
        <v>45856</v>
      </c>
      <c r="AC2585" s="119" t="s">
        <v>3477</v>
      </c>
      <c r="AD2585" s="36">
        <f t="shared" si="283"/>
        <v>5410625</v>
      </c>
      <c r="AE2585" s="36" t="str">
        <f t="shared" si="284"/>
        <v>TK.KWVE30-B-A-SL-0038-WW1</v>
      </c>
      <c r="AF2585" s="36">
        <v>79</v>
      </c>
      <c r="AG2585" s="120">
        <f t="shared" si="282"/>
        <v>480.32</v>
      </c>
      <c r="AH2585" s="36"/>
      <c r="AI2585" s="124"/>
      <c r="AJ2585" s="122" t="s">
        <v>3478</v>
      </c>
      <c r="AK2585" s="129" t="str">
        <f t="shared" ca="1" si="281"/>
        <v>On Time</v>
      </c>
      <c r="AL2585" s="268" t="str">
        <f t="shared" si="280"/>
        <v>July</v>
      </c>
      <c r="AM2585" s="133">
        <f>YEAR(Table1[[#This Row],[ETA
As requested
dd.mm.yyyy]])</f>
        <v>2025</v>
      </c>
    </row>
    <row r="2586" spans="1:39" hidden="1">
      <c r="A2586" s="123" t="s">
        <v>83</v>
      </c>
      <c r="B2586" s="36" t="s">
        <v>1170</v>
      </c>
      <c r="C2586" s="117">
        <v>5410625</v>
      </c>
      <c r="D2586" s="165">
        <v>45806</v>
      </c>
      <c r="E2586" s="117" t="s">
        <v>103</v>
      </c>
      <c r="F2586" s="36" t="str">
        <f>IFERROR(VLOOKUP(Table1[[#This Row],[Part Number]],DATABASE_FG!$C$6:D12575,2,FALSE)," ")</f>
        <v>080817246-8011</v>
      </c>
      <c r="G2586" s="117">
        <f>IFERROR(_xlfn.XLOOKUP(Table1[[#This Row],[Part Number]],Table3[Part number],Table3[Drawing
 Revision]),"")</f>
        <v>0</v>
      </c>
      <c r="H2586" s="118" cm="1">
        <f t="array" ref="H2586">IFERROR(INDEX(PDB!$C:$AT,MATCH(E2586,PDB!$B:$B,0),MATCH(YEAR(K2586),0+PDB!$C$1:$AT$1,0)),"")</f>
        <v>6.08</v>
      </c>
      <c r="I2586" s="36">
        <v>64</v>
      </c>
      <c r="J2586" s="125">
        <f>IFERROR(Table1[[#This Row],[Quantity]]*Table1[[#This Row],[Price/Unit
EUR]]," ")</f>
        <v>389.12</v>
      </c>
      <c r="K2586" s="126">
        <v>45868</v>
      </c>
      <c r="L2586" s="36">
        <f>WEEKNUM(Table1[[#This Row],[ETA
As requested
dd.mm.yyyy]])</f>
        <v>31</v>
      </c>
      <c r="M2586" s="36">
        <f>YEAR(Table1[[#This Row],[ETA
As requested
dd.mm.yyyy]])</f>
        <v>2025</v>
      </c>
      <c r="N2586" s="36">
        <f>IFERROR(INDEX(DATABASE_FG!$H$5:$H$367, MATCH(E2586, DATABASE_FG!$C$5:$C$367, 0)), " ")</f>
        <v>0</v>
      </c>
      <c r="O2586" s="129" t="str">
        <f>IF(E2586&lt;&gt;"", _xlfn.XLOOKUP(E2586, DATABASE_FG!C:C, DATABASE_FG!F:F), " ")</f>
        <v>Ghidaje</v>
      </c>
      <c r="P2586" s="36">
        <f>IFERROR(INDEX(DATABASE_FG!$G$5:$G$367, MATCH(E2586, DATABASE_FG!$C$5:$C$367, 0)), "Not Found")</f>
        <v>0</v>
      </c>
      <c r="Q2586" s="36"/>
      <c r="R2586" s="125" t="s">
        <v>678</v>
      </c>
      <c r="S2586" s="123">
        <f>Table1[[#This Row],[Quantity]]/48</f>
        <v>1.3333333333333333</v>
      </c>
      <c r="T2586" s="36"/>
      <c r="U2586" s="36"/>
      <c r="V2586" s="36"/>
      <c r="W2586" s="129"/>
      <c r="X2586" s="36"/>
      <c r="Y2586" s="36"/>
      <c r="Z2586" s="36"/>
      <c r="AA2586" s="125" t="s">
        <v>121</v>
      </c>
      <c r="AB2586" s="172">
        <v>45859</v>
      </c>
      <c r="AC2586" s="119" t="s">
        <v>3479</v>
      </c>
      <c r="AD2586" s="36">
        <f t="shared" si="283"/>
        <v>5410625</v>
      </c>
      <c r="AE2586" s="36" t="str">
        <f t="shared" si="284"/>
        <v>TK.KWVE30-B-A-SL-0038-WW1</v>
      </c>
      <c r="AF2586" s="36">
        <v>64</v>
      </c>
      <c r="AG2586" s="120">
        <f t="shared" si="282"/>
        <v>389.12</v>
      </c>
      <c r="AH2586" s="36"/>
      <c r="AI2586" s="124"/>
      <c r="AJ2586" s="122" t="s">
        <v>3480</v>
      </c>
      <c r="AK2586" s="129" t="str">
        <f t="shared" ca="1" si="281"/>
        <v>On Time</v>
      </c>
      <c r="AL2586" s="268" t="str">
        <f t="shared" si="280"/>
        <v>July</v>
      </c>
      <c r="AM2586" s="133">
        <f>YEAR(Table1[[#This Row],[ETA
As requested
dd.mm.yyyy]])</f>
        <v>2025</v>
      </c>
    </row>
    <row r="2587" spans="1:39" hidden="1">
      <c r="A2587" s="123" t="s">
        <v>83</v>
      </c>
      <c r="B2587" s="36" t="s">
        <v>1170</v>
      </c>
      <c r="C2587" s="117">
        <v>5410625</v>
      </c>
      <c r="D2587" s="165">
        <v>45806</v>
      </c>
      <c r="E2587" s="117" t="s">
        <v>103</v>
      </c>
      <c r="F2587" s="36" t="str">
        <f>IFERROR(VLOOKUP(Table1[[#This Row],[Part Number]],DATABASE_FG!$C$6:D12576,2,FALSE)," ")</f>
        <v>080817246-8011</v>
      </c>
      <c r="G2587" s="117">
        <f>IFERROR(_xlfn.XLOOKUP(Table1[[#This Row],[Part Number]],Table3[Part number],Table3[Drawing
 Revision]),"")</f>
        <v>0</v>
      </c>
      <c r="H2587" s="118" cm="1">
        <f t="array" ref="H2587">IFERROR(INDEX(PDB!$C:$AT,MATCH(E2587,PDB!$B:$B,0),MATCH(YEAR(K2587),0+PDB!$C$1:$AT$1,0)),"")</f>
        <v>6.08</v>
      </c>
      <c r="I2587" s="36">
        <v>52</v>
      </c>
      <c r="J2587" s="125">
        <f>IFERROR(Table1[[#This Row],[Quantity]]*Table1[[#This Row],[Price/Unit
EUR]]," ")</f>
        <v>316.16000000000003</v>
      </c>
      <c r="K2587" s="126">
        <v>45868</v>
      </c>
      <c r="L2587" s="36">
        <f>WEEKNUM(Table1[[#This Row],[ETA
As requested
dd.mm.yyyy]])</f>
        <v>31</v>
      </c>
      <c r="M2587" s="36">
        <f>YEAR(Table1[[#This Row],[ETA
As requested
dd.mm.yyyy]])</f>
        <v>2025</v>
      </c>
      <c r="N2587" s="36">
        <f>IFERROR(INDEX(DATABASE_FG!$H$5:$H$367, MATCH(E2587, DATABASE_FG!$C$5:$C$367, 0)), " ")</f>
        <v>0</v>
      </c>
      <c r="O2587" s="129" t="str">
        <f>IF(E2587&lt;&gt;"", _xlfn.XLOOKUP(E2587, DATABASE_FG!C:C, DATABASE_FG!F:F), " ")</f>
        <v>Ghidaje</v>
      </c>
      <c r="P2587" s="36">
        <f>IFERROR(INDEX(DATABASE_FG!$G$5:$G$367, MATCH(E2587, DATABASE_FG!$C$5:$C$367, 0)), "Not Found")</f>
        <v>0</v>
      </c>
      <c r="Q2587" s="36"/>
      <c r="R2587" s="125" t="s">
        <v>678</v>
      </c>
      <c r="S2587" s="123">
        <f>Table1[[#This Row],[Quantity]]/48</f>
        <v>1.0833333333333333</v>
      </c>
      <c r="T2587" s="36"/>
      <c r="U2587" s="36"/>
      <c r="V2587" s="36"/>
      <c r="W2587" s="129"/>
      <c r="X2587" s="36"/>
      <c r="Y2587" s="36"/>
      <c r="Z2587" s="36"/>
      <c r="AA2587" s="125" t="s">
        <v>121</v>
      </c>
      <c r="AB2587" s="172">
        <v>45860</v>
      </c>
      <c r="AC2587" s="119" t="s">
        <v>3481</v>
      </c>
      <c r="AD2587" s="36">
        <f t="shared" si="283"/>
        <v>5410625</v>
      </c>
      <c r="AE2587" s="36" t="str">
        <f t="shared" si="284"/>
        <v>TK.KWVE30-B-A-SL-0038-WW1</v>
      </c>
      <c r="AF2587" s="36">
        <v>52</v>
      </c>
      <c r="AG2587" s="120">
        <f t="shared" si="282"/>
        <v>316.16000000000003</v>
      </c>
      <c r="AH2587" s="36"/>
      <c r="AI2587" s="124"/>
      <c r="AJ2587" s="122" t="s">
        <v>3482</v>
      </c>
      <c r="AK2587" s="129" t="str">
        <f t="shared" ca="1" si="281"/>
        <v>On Time</v>
      </c>
      <c r="AL2587" s="268" t="str">
        <f t="shared" si="280"/>
        <v>July</v>
      </c>
      <c r="AM2587" s="133">
        <f>YEAR(Table1[[#This Row],[ETA
As requested
dd.mm.yyyy]])</f>
        <v>2025</v>
      </c>
    </row>
    <row r="2588" spans="1:39" hidden="1">
      <c r="A2588" s="123" t="s">
        <v>83</v>
      </c>
      <c r="B2588" s="36" t="s">
        <v>1170</v>
      </c>
      <c r="C2588" s="117">
        <v>5410625</v>
      </c>
      <c r="D2588" s="165">
        <v>45806</v>
      </c>
      <c r="E2588" s="117" t="s">
        <v>103</v>
      </c>
      <c r="F2588" s="36" t="str">
        <f>IFERROR(VLOOKUP(Table1[[#This Row],[Part Number]],DATABASE_FG!$C$6:D12577,2,FALSE)," ")</f>
        <v>080817246-8011</v>
      </c>
      <c r="G2588" s="117">
        <f>IFERROR(_xlfn.XLOOKUP(Table1[[#This Row],[Part Number]],Table3[Part number],Table3[Drawing
 Revision]),"")</f>
        <v>0</v>
      </c>
      <c r="H2588" s="118" cm="1">
        <f t="array" ref="H2588">IFERROR(INDEX(PDB!$C:$AT,MATCH(E2588,PDB!$B:$B,0),MATCH(YEAR(K2588),0+PDB!$C$1:$AT$1,0)),"")</f>
        <v>6.08</v>
      </c>
      <c r="I2588" s="36">
        <v>84</v>
      </c>
      <c r="J2588" s="125">
        <f>IFERROR(Table1[[#This Row],[Quantity]]*Table1[[#This Row],[Price/Unit
EUR]]," ")</f>
        <v>510.72</v>
      </c>
      <c r="K2588" s="126">
        <v>45868</v>
      </c>
      <c r="L2588" s="36">
        <f>WEEKNUM(Table1[[#This Row],[ETA
As requested
dd.mm.yyyy]])</f>
        <v>31</v>
      </c>
      <c r="M2588" s="36">
        <f>YEAR(Table1[[#This Row],[ETA
As requested
dd.mm.yyyy]])</f>
        <v>2025</v>
      </c>
      <c r="N2588" s="36">
        <f>IFERROR(INDEX(DATABASE_FG!$H$5:$H$367, MATCH(E2588, DATABASE_FG!$C$5:$C$367, 0)), " ")</f>
        <v>0</v>
      </c>
      <c r="O2588" s="129" t="str">
        <f>IF(E2588&lt;&gt;"", _xlfn.XLOOKUP(E2588, DATABASE_FG!C:C, DATABASE_FG!F:F), " ")</f>
        <v>Ghidaje</v>
      </c>
      <c r="P2588" s="36">
        <f>IFERROR(INDEX(DATABASE_FG!$G$5:$G$367, MATCH(E2588, DATABASE_FG!$C$5:$C$367, 0)), "Not Found")</f>
        <v>0</v>
      </c>
      <c r="Q2588" s="36"/>
      <c r="R2588" s="125" t="s">
        <v>678</v>
      </c>
      <c r="S2588" s="123">
        <f>Table1[[#This Row],[Quantity]]/48</f>
        <v>1.75</v>
      </c>
      <c r="T2588" s="36"/>
      <c r="U2588" s="36"/>
      <c r="V2588" s="36"/>
      <c r="W2588" s="129"/>
      <c r="X2588" s="36"/>
      <c r="Y2588" s="36"/>
      <c r="Z2588" s="36"/>
      <c r="AA2588" s="125" t="s">
        <v>121</v>
      </c>
      <c r="AB2588" s="172">
        <v>45861</v>
      </c>
      <c r="AC2588" s="119" t="s">
        <v>3483</v>
      </c>
      <c r="AD2588" s="36">
        <f t="shared" si="283"/>
        <v>5410625</v>
      </c>
      <c r="AE2588" s="36" t="str">
        <f t="shared" si="284"/>
        <v>TK.KWVE30-B-A-SL-0038-WW1</v>
      </c>
      <c r="AF2588" s="36">
        <v>84</v>
      </c>
      <c r="AG2588" s="120">
        <f t="shared" si="282"/>
        <v>510.72</v>
      </c>
      <c r="AH2588" s="36"/>
      <c r="AI2588" s="124"/>
      <c r="AJ2588" s="122" t="s">
        <v>3484</v>
      </c>
      <c r="AK2588" s="129" t="str">
        <f t="shared" ca="1" si="281"/>
        <v>On Time</v>
      </c>
      <c r="AL2588" s="268" t="str">
        <f t="shared" si="280"/>
        <v>July</v>
      </c>
      <c r="AM2588" s="133">
        <f>YEAR(Table1[[#This Row],[ETA
As requested
dd.mm.yyyy]])</f>
        <v>2025</v>
      </c>
    </row>
    <row r="2589" spans="1:39" hidden="1">
      <c r="A2589" s="123" t="s">
        <v>83</v>
      </c>
      <c r="B2589" s="36" t="s">
        <v>1170</v>
      </c>
      <c r="C2589" s="117">
        <v>5410625</v>
      </c>
      <c r="D2589" s="165">
        <v>45806</v>
      </c>
      <c r="E2589" s="117" t="s">
        <v>103</v>
      </c>
      <c r="F2589" s="36" t="str">
        <f>IFERROR(VLOOKUP(Table1[[#This Row],[Part Number]],DATABASE_FG!$C$6:D12578,2,FALSE)," ")</f>
        <v>080817246-8011</v>
      </c>
      <c r="G2589" s="117">
        <f>IFERROR(_xlfn.XLOOKUP(Table1[[#This Row],[Part Number]],Table3[Part number],Table3[Drawing
 Revision]),"")</f>
        <v>0</v>
      </c>
      <c r="H2589" s="118" cm="1">
        <f t="array" ref="H2589">IFERROR(INDEX(PDB!$C:$AT,MATCH(E2589,PDB!$B:$B,0),MATCH(YEAR(K2589),0+PDB!$C$1:$AT$1,0)),"")</f>
        <v>6.08</v>
      </c>
      <c r="I2589" s="36">
        <v>81</v>
      </c>
      <c r="J2589" s="125">
        <f>IFERROR(Table1[[#This Row],[Quantity]]*Table1[[#This Row],[Price/Unit
EUR]]," ")</f>
        <v>492.48</v>
      </c>
      <c r="K2589" s="126">
        <v>45887</v>
      </c>
      <c r="L2589" s="36">
        <f>WEEKNUM(Table1[[#This Row],[ETA
As requested
dd.mm.yyyy]])</f>
        <v>34</v>
      </c>
      <c r="M2589" s="36">
        <f>YEAR(Table1[[#This Row],[ETA
As requested
dd.mm.yyyy]])</f>
        <v>2025</v>
      </c>
      <c r="N2589" s="36">
        <f>IFERROR(INDEX(DATABASE_FG!$H$5:$H$367, MATCH(E2589, DATABASE_FG!$C$5:$C$367, 0)), " ")</f>
        <v>0</v>
      </c>
      <c r="O2589" s="129" t="str">
        <f>IF(E2589&lt;&gt;"", _xlfn.XLOOKUP(E2589, DATABASE_FG!C:C, DATABASE_FG!F:F), " ")</f>
        <v>Ghidaje</v>
      </c>
      <c r="P2589" s="36">
        <f>IFERROR(INDEX(DATABASE_FG!$G$5:$G$367, MATCH(E2589, DATABASE_FG!$C$5:$C$367, 0)), "Not Found")</f>
        <v>0</v>
      </c>
      <c r="Q2589" s="36"/>
      <c r="R2589" s="125" t="s">
        <v>678</v>
      </c>
      <c r="S2589" s="123">
        <f>Table1[[#This Row],[Quantity]]/48</f>
        <v>1.6875</v>
      </c>
      <c r="T2589" s="36"/>
      <c r="U2589" s="36"/>
      <c r="V2589" s="36"/>
      <c r="W2589" s="129"/>
      <c r="X2589" s="36"/>
      <c r="Y2589" s="36"/>
      <c r="Z2589" s="36"/>
      <c r="AA2589" s="125" t="s">
        <v>121</v>
      </c>
      <c r="AB2589" s="172">
        <v>45862</v>
      </c>
      <c r="AC2589" s="119">
        <v>202547</v>
      </c>
      <c r="AD2589" s="36">
        <f t="shared" si="283"/>
        <v>5410625</v>
      </c>
      <c r="AE2589" s="36" t="str">
        <f t="shared" si="284"/>
        <v>TK.KWVE30-B-A-SL-0038-WW1</v>
      </c>
      <c r="AF2589" s="36">
        <v>81</v>
      </c>
      <c r="AG2589" s="120">
        <f t="shared" si="282"/>
        <v>492.48</v>
      </c>
      <c r="AH2589" s="36"/>
      <c r="AI2589" s="124"/>
      <c r="AJ2589" s="122" t="s">
        <v>3548</v>
      </c>
      <c r="AK2589" s="129" t="str">
        <f t="shared" ca="1" si="281"/>
        <v>On Time</v>
      </c>
      <c r="AL2589" s="268" t="str">
        <f t="shared" si="280"/>
        <v>August</v>
      </c>
      <c r="AM2589" s="133">
        <f>YEAR(Table1[[#This Row],[ETA
As requested
dd.mm.yyyy]])</f>
        <v>2025</v>
      </c>
    </row>
    <row r="2590" spans="1:39" hidden="1">
      <c r="A2590" s="123" t="s">
        <v>83</v>
      </c>
      <c r="B2590" s="36" t="s">
        <v>1170</v>
      </c>
      <c r="C2590" s="117">
        <v>5410625</v>
      </c>
      <c r="D2590" s="165">
        <v>45806</v>
      </c>
      <c r="E2590" s="117" t="s">
        <v>103</v>
      </c>
      <c r="F2590" s="36" t="str">
        <f>IFERROR(VLOOKUP(Table1[[#This Row],[Part Number]],DATABASE_FG!$C$6:D12579,2,FALSE)," ")</f>
        <v>080817246-8011</v>
      </c>
      <c r="G2590" s="117">
        <f>IFERROR(_xlfn.XLOOKUP(Table1[[#This Row],[Part Number]],Table3[Part number],Table3[Drawing
 Revision]),"")</f>
        <v>0</v>
      </c>
      <c r="H2590" s="118" cm="1">
        <f t="array" ref="H2590">IFERROR(INDEX(PDB!$C:$AT,MATCH(E2590,PDB!$B:$B,0),MATCH(YEAR(K2590),0+PDB!$C$1:$AT$1,0)),"")</f>
        <v>6.08</v>
      </c>
      <c r="I2590" s="36">
        <v>47</v>
      </c>
      <c r="J2590" s="125">
        <f>IFERROR(Table1[[#This Row],[Quantity]]*Table1[[#This Row],[Price/Unit
EUR]]," ")</f>
        <v>285.76</v>
      </c>
      <c r="K2590" s="126">
        <v>45887</v>
      </c>
      <c r="L2590" s="36">
        <f>WEEKNUM(Table1[[#This Row],[ETA
As requested
dd.mm.yyyy]])</f>
        <v>34</v>
      </c>
      <c r="M2590" s="36">
        <f>YEAR(Table1[[#This Row],[ETA
As requested
dd.mm.yyyy]])</f>
        <v>2025</v>
      </c>
      <c r="N2590" s="36">
        <f>IFERROR(INDEX(DATABASE_FG!$H$5:$H$367, MATCH(E2590, DATABASE_FG!$C$5:$C$367, 0)), " ")</f>
        <v>0</v>
      </c>
      <c r="O2590" s="129" t="str">
        <f>IF(E2590&lt;&gt;"", _xlfn.XLOOKUP(E2590, DATABASE_FG!C:C, DATABASE_FG!F:F), " ")</f>
        <v>Ghidaje</v>
      </c>
      <c r="P2590" s="36">
        <f>IFERROR(INDEX(DATABASE_FG!$G$5:$G$367, MATCH(E2590, DATABASE_FG!$C$5:$C$367, 0)), "Not Found")</f>
        <v>0</v>
      </c>
      <c r="Q2590" s="36"/>
      <c r="R2590" s="125" t="s">
        <v>678</v>
      </c>
      <c r="S2590" s="123">
        <f>Table1[[#This Row],[Quantity]]/48</f>
        <v>0.97916666666666663</v>
      </c>
      <c r="T2590" s="36"/>
      <c r="U2590" s="36"/>
      <c r="V2590" s="36"/>
      <c r="W2590" s="129"/>
      <c r="X2590" s="36"/>
      <c r="Y2590" s="36"/>
      <c r="Z2590" s="36"/>
      <c r="AA2590" s="125" t="s">
        <v>121</v>
      </c>
      <c r="AB2590" s="172">
        <v>45863</v>
      </c>
      <c r="AC2590" s="119">
        <v>202555</v>
      </c>
      <c r="AD2590" s="36">
        <f t="shared" si="283"/>
        <v>5410625</v>
      </c>
      <c r="AE2590" s="36" t="str">
        <f t="shared" si="284"/>
        <v>TK.KWVE30-B-A-SL-0038-WW1</v>
      </c>
      <c r="AF2590" s="36">
        <v>47</v>
      </c>
      <c r="AG2590" s="120">
        <f t="shared" si="282"/>
        <v>285.76</v>
      </c>
      <c r="AH2590" s="36"/>
      <c r="AI2590" s="124"/>
      <c r="AJ2590" s="122" t="s">
        <v>3549</v>
      </c>
      <c r="AK2590" s="129" t="str">
        <f t="shared" ca="1" si="281"/>
        <v>On Time</v>
      </c>
      <c r="AL2590" s="268" t="str">
        <f t="shared" si="280"/>
        <v>August</v>
      </c>
      <c r="AM2590" s="133">
        <f>YEAR(Table1[[#This Row],[ETA
As requested
dd.mm.yyyy]])</f>
        <v>2025</v>
      </c>
    </row>
    <row r="2591" spans="1:39" hidden="1">
      <c r="A2591" s="123" t="s">
        <v>83</v>
      </c>
      <c r="B2591" s="36" t="s">
        <v>1170</v>
      </c>
      <c r="C2591" s="117">
        <v>5410625</v>
      </c>
      <c r="D2591" s="165">
        <v>45806</v>
      </c>
      <c r="E2591" s="117" t="s">
        <v>103</v>
      </c>
      <c r="F2591" s="36" t="str">
        <f>IFERROR(VLOOKUP(Table1[[#This Row],[Part Number]],DATABASE_FG!$C$6:D12580,2,FALSE)," ")</f>
        <v>080817246-8011</v>
      </c>
      <c r="G2591" s="117">
        <f>IFERROR(_xlfn.XLOOKUP(Table1[[#This Row],[Part Number]],Table3[Part number],Table3[Drawing
 Revision]),"")</f>
        <v>0</v>
      </c>
      <c r="H2591" s="118" cm="1">
        <f t="array" ref="H2591">IFERROR(INDEX(PDB!$C:$AT,MATCH(E2591,PDB!$B:$B,0),MATCH(YEAR(K2591),0+PDB!$C$1:$AT$1,0)),"")</f>
        <v>6.08</v>
      </c>
      <c r="I2591" s="36">
        <v>77</v>
      </c>
      <c r="J2591" s="125">
        <f>IFERROR(Table1[[#This Row],[Quantity]]*Table1[[#This Row],[Price/Unit
EUR]]," ")</f>
        <v>468.16</v>
      </c>
      <c r="K2591" s="126">
        <v>45887</v>
      </c>
      <c r="L2591" s="36">
        <f>WEEKNUM(Table1[[#This Row],[ETA
As requested
dd.mm.yyyy]])</f>
        <v>34</v>
      </c>
      <c r="M2591" s="36">
        <f>YEAR(Table1[[#This Row],[ETA
As requested
dd.mm.yyyy]])</f>
        <v>2025</v>
      </c>
      <c r="N2591" s="36">
        <f>IFERROR(INDEX(DATABASE_FG!$H$5:$H$367, MATCH(E2591, DATABASE_FG!$C$5:$C$367, 0)), " ")</f>
        <v>0</v>
      </c>
      <c r="O2591" s="129" t="str">
        <f>IF(E2591&lt;&gt;"", _xlfn.XLOOKUP(E2591, DATABASE_FG!C:C, DATABASE_FG!F:F), " ")</f>
        <v>Ghidaje</v>
      </c>
      <c r="P2591" s="36">
        <f>IFERROR(INDEX(DATABASE_FG!$G$5:$G$367, MATCH(E2591, DATABASE_FG!$C$5:$C$367, 0)), "Not Found")</f>
        <v>0</v>
      </c>
      <c r="Q2591" s="36"/>
      <c r="R2591" s="125" t="s">
        <v>678</v>
      </c>
      <c r="S2591" s="123">
        <f>Table1[[#This Row],[Quantity]]/48</f>
        <v>1.6041666666666667</v>
      </c>
      <c r="T2591" s="36"/>
      <c r="U2591" s="36"/>
      <c r="V2591" s="36"/>
      <c r="W2591" s="129"/>
      <c r="X2591" s="36"/>
      <c r="Y2591" s="36"/>
      <c r="Z2591" s="36"/>
      <c r="AA2591" s="125" t="s">
        <v>121</v>
      </c>
      <c r="AB2591" s="172">
        <v>45867</v>
      </c>
      <c r="AC2591" s="119" t="s">
        <v>3550</v>
      </c>
      <c r="AD2591" s="36">
        <f t="shared" si="283"/>
        <v>5410625</v>
      </c>
      <c r="AE2591" s="36" t="str">
        <f t="shared" si="284"/>
        <v>TK.KWVE30-B-A-SL-0038-WW1</v>
      </c>
      <c r="AF2591" s="36">
        <v>77</v>
      </c>
      <c r="AG2591" s="120">
        <f t="shared" si="282"/>
        <v>468.16</v>
      </c>
      <c r="AH2591" s="36"/>
      <c r="AI2591" s="124"/>
      <c r="AJ2591" s="122" t="s">
        <v>3551</v>
      </c>
      <c r="AK2591" s="129" t="str">
        <f t="shared" ca="1" si="281"/>
        <v>On Time</v>
      </c>
      <c r="AL2591" s="268" t="str">
        <f t="shared" si="280"/>
        <v>August</v>
      </c>
      <c r="AM2591" s="133">
        <f>YEAR(Table1[[#This Row],[ETA
As requested
dd.mm.yyyy]])</f>
        <v>2025</v>
      </c>
    </row>
    <row r="2592" spans="1:39" hidden="1">
      <c r="A2592" s="123" t="s">
        <v>83</v>
      </c>
      <c r="B2592" s="36" t="s">
        <v>1170</v>
      </c>
      <c r="C2592" s="117">
        <v>5410625</v>
      </c>
      <c r="D2592" s="165">
        <v>45806</v>
      </c>
      <c r="E2592" s="117" t="s">
        <v>103</v>
      </c>
      <c r="F2592" s="36" t="str">
        <f>IFERROR(VLOOKUP(Table1[[#This Row],[Part Number]],DATABASE_FG!$C$6:D12581,2,FALSE)," ")</f>
        <v>080817246-8011</v>
      </c>
      <c r="G2592" s="117">
        <f>IFERROR(_xlfn.XLOOKUP(Table1[[#This Row],[Part Number]],Table3[Part number],Table3[Drawing
 Revision]),"")</f>
        <v>0</v>
      </c>
      <c r="H2592" s="118" cm="1">
        <f t="array" ref="H2592">IFERROR(INDEX(PDB!$C:$AT,MATCH(E2592,PDB!$B:$B,0),MATCH(YEAR(K2592),0+PDB!$C$1:$AT$1,0)),"")</f>
        <v>6.08</v>
      </c>
      <c r="I2592" s="36">
        <v>42</v>
      </c>
      <c r="J2592" s="125">
        <f>IFERROR(Table1[[#This Row],[Quantity]]*Table1[[#This Row],[Price/Unit
EUR]]," ")</f>
        <v>255.36</v>
      </c>
      <c r="K2592" s="126">
        <v>45887</v>
      </c>
      <c r="L2592" s="36">
        <f>WEEKNUM(Table1[[#This Row],[ETA
As requested
dd.mm.yyyy]])</f>
        <v>34</v>
      </c>
      <c r="M2592" s="36">
        <f>YEAR(Table1[[#This Row],[ETA
As requested
dd.mm.yyyy]])</f>
        <v>2025</v>
      </c>
      <c r="N2592" s="36">
        <f>IFERROR(INDEX(DATABASE_FG!$H$5:$H$367, MATCH(E2592, DATABASE_FG!$C$5:$C$367, 0)), " ")</f>
        <v>0</v>
      </c>
      <c r="O2592" s="129" t="str">
        <f>IF(E2592&lt;&gt;"", _xlfn.XLOOKUP(E2592, DATABASE_FG!C:C, DATABASE_FG!F:F), " ")</f>
        <v>Ghidaje</v>
      </c>
      <c r="P2592" s="36">
        <f>IFERROR(INDEX(DATABASE_FG!$G$5:$G$367, MATCH(E2592, DATABASE_FG!$C$5:$C$367, 0)), "Not Found")</f>
        <v>0</v>
      </c>
      <c r="Q2592" s="36"/>
      <c r="R2592" s="125" t="s">
        <v>678</v>
      </c>
      <c r="S2592" s="123">
        <f>Table1[[#This Row],[Quantity]]/48</f>
        <v>0.875</v>
      </c>
      <c r="T2592" s="36"/>
      <c r="U2592" s="36"/>
      <c r="V2592" s="36"/>
      <c r="W2592" s="129"/>
      <c r="X2592" s="36"/>
      <c r="Y2592" s="36"/>
      <c r="Z2592" s="36"/>
      <c r="AA2592" s="125" t="s">
        <v>121</v>
      </c>
      <c r="AB2592" s="172">
        <v>45868</v>
      </c>
      <c r="AC2592" s="119" t="s">
        <v>3552</v>
      </c>
      <c r="AD2592" s="36">
        <f t="shared" si="283"/>
        <v>5410625</v>
      </c>
      <c r="AE2592" s="36" t="str">
        <f t="shared" si="284"/>
        <v>TK.KWVE30-B-A-SL-0038-WW1</v>
      </c>
      <c r="AF2592" s="36">
        <v>42</v>
      </c>
      <c r="AG2592" s="120">
        <f t="shared" si="282"/>
        <v>255.36</v>
      </c>
      <c r="AH2592" s="36"/>
      <c r="AI2592" s="124"/>
      <c r="AJ2592" s="122" t="s">
        <v>3553</v>
      </c>
      <c r="AK2592" s="129" t="str">
        <f t="shared" ca="1" si="281"/>
        <v>On Time</v>
      </c>
      <c r="AL2592" s="268" t="str">
        <f t="shared" si="280"/>
        <v>August</v>
      </c>
      <c r="AM2592" s="133">
        <f>YEAR(Table1[[#This Row],[ETA
As requested
dd.mm.yyyy]])</f>
        <v>2025</v>
      </c>
    </row>
    <row r="2593" spans="1:40" hidden="1">
      <c r="A2593" s="123" t="s">
        <v>83</v>
      </c>
      <c r="B2593" s="36" t="s">
        <v>1170</v>
      </c>
      <c r="C2593" s="117">
        <v>5410625</v>
      </c>
      <c r="D2593" s="165">
        <v>45806</v>
      </c>
      <c r="E2593" s="159" t="s">
        <v>103</v>
      </c>
      <c r="F2593" s="36" t="str">
        <f>IFERROR(VLOOKUP(Table1[[#This Row],[Part Number]],DATABASE_FG!$C$6:D12582,2,FALSE)," ")</f>
        <v>080817246-8011</v>
      </c>
      <c r="G2593" s="117">
        <f>IFERROR(_xlfn.XLOOKUP(Table1[[#This Row],[Part Number]],Table3[Part number],Table3[Drawing
 Revision]),"")</f>
        <v>0</v>
      </c>
      <c r="H2593" s="348" cm="1">
        <f t="array" ref="H2593">IFERROR(INDEX(PDB!$C:$AT,MATCH(E2593,PDB!$B:$B,0),MATCH(YEAR(K2593),0+PDB!$C$1:$AT$1,0)),"")</f>
        <v>6.08</v>
      </c>
      <c r="I2593" s="158">
        <v>96</v>
      </c>
      <c r="J2593" s="125">
        <f>IFERROR(Table1[[#This Row],[Quantity]]*Table1[[#This Row],[Price/Unit
EUR]]," ")</f>
        <v>583.68000000000006</v>
      </c>
      <c r="K2593" s="126">
        <v>45887</v>
      </c>
      <c r="L2593" s="36">
        <f>WEEKNUM(Table1[[#This Row],[ETA
As requested
dd.mm.yyyy]])</f>
        <v>34</v>
      </c>
      <c r="M2593" s="36">
        <f>YEAR(Table1[[#This Row],[ETA
As requested
dd.mm.yyyy]])</f>
        <v>2025</v>
      </c>
      <c r="N2593" s="36">
        <f>IFERROR(INDEX(DATABASE_FG!$H$5:$H$367, MATCH(E2593, DATABASE_FG!$C$5:$C$367, 0)), " ")</f>
        <v>0</v>
      </c>
      <c r="O2593" s="129" t="str">
        <f>IF(E2593&lt;&gt;"", _xlfn.XLOOKUP(E2593, DATABASE_FG!C:C, DATABASE_FG!F:F), " ")</f>
        <v>Ghidaje</v>
      </c>
      <c r="P2593" s="36">
        <f>IFERROR(INDEX(DATABASE_FG!$G$5:$G$367, MATCH(E2593, DATABASE_FG!$C$5:$C$367, 0)), "Not Found")</f>
        <v>0</v>
      </c>
      <c r="Q2593" s="36"/>
      <c r="R2593" s="125" t="s">
        <v>678</v>
      </c>
      <c r="S2593" s="123">
        <f>Table1[[#This Row],[Quantity]]/48</f>
        <v>2</v>
      </c>
      <c r="T2593" s="36"/>
      <c r="U2593" s="36"/>
      <c r="V2593" s="36"/>
      <c r="W2593" s="129"/>
      <c r="X2593" s="36"/>
      <c r="Y2593" s="36"/>
      <c r="Z2593" s="36"/>
      <c r="AA2593" s="125" t="s">
        <v>121</v>
      </c>
      <c r="AB2593" s="346">
        <v>45870</v>
      </c>
      <c r="AC2593" s="347" t="s">
        <v>3554</v>
      </c>
      <c r="AD2593" s="158">
        <f t="shared" si="283"/>
        <v>5410625</v>
      </c>
      <c r="AE2593" s="36" t="str">
        <f t="shared" si="284"/>
        <v>TK.KWVE30-B-A-SL-0038-WW1</v>
      </c>
      <c r="AF2593" s="36">
        <v>96</v>
      </c>
      <c r="AG2593" s="120">
        <f t="shared" si="282"/>
        <v>583.68000000000006</v>
      </c>
      <c r="AH2593" s="36"/>
      <c r="AI2593" s="124"/>
      <c r="AJ2593" s="122" t="s">
        <v>3555</v>
      </c>
      <c r="AK2593" s="129" t="str">
        <f t="shared" ca="1" si="281"/>
        <v>On Time</v>
      </c>
      <c r="AL2593" s="268" t="str">
        <f t="shared" si="280"/>
        <v>August</v>
      </c>
      <c r="AM2593" s="133">
        <f>YEAR(Table1[[#This Row],[ETA
As requested
dd.mm.yyyy]])</f>
        <v>2025</v>
      </c>
    </row>
    <row r="2594" spans="1:40" hidden="1">
      <c r="A2594" s="123" t="s">
        <v>83</v>
      </c>
      <c r="B2594" s="36" t="s">
        <v>1170</v>
      </c>
      <c r="C2594" s="117">
        <v>5410625</v>
      </c>
      <c r="D2594" s="190">
        <v>45806</v>
      </c>
      <c r="E2594" s="117" t="s">
        <v>103</v>
      </c>
      <c r="F2594" s="36" t="str">
        <f>IFERROR(VLOOKUP(Table1[[#This Row],[Part Number]],DATABASE_FG!$C$6:D12583,2,FALSE)," ")</f>
        <v>080817246-8011</v>
      </c>
      <c r="G2594" s="117">
        <f>IFERROR(_xlfn.XLOOKUP(Table1[[#This Row],[Part Number]],Table3[Part number],Table3[Drawing
 Revision]),"")</f>
        <v>0</v>
      </c>
      <c r="H2594" s="118" cm="1">
        <f t="array" ref="H2594">IFERROR(INDEX(PDB!$C:$AT,MATCH(E2594,PDB!$B:$B,0),MATCH(YEAR(K2594),0+PDB!$C$1:$AT$1,0)),"")</f>
        <v>6.08</v>
      </c>
      <c r="I2594" s="36">
        <v>173</v>
      </c>
      <c r="J2594" s="352">
        <f>IFERROR(Table1[[#This Row],[Quantity]]*Table1[[#This Row],[Price/Unit
EUR]]," ")</f>
        <v>1051.8399999999999</v>
      </c>
      <c r="K2594" s="126">
        <v>45887</v>
      </c>
      <c r="L2594" s="36">
        <f>WEEKNUM(Table1[[#This Row],[ETA
As requested
dd.mm.yyyy]])</f>
        <v>34</v>
      </c>
      <c r="M2594" s="36">
        <f>YEAR(Table1[[#This Row],[ETA
As requested
dd.mm.yyyy]])</f>
        <v>2025</v>
      </c>
      <c r="N2594" s="36">
        <f>IFERROR(INDEX(DATABASE_FG!$H$5:$H$367, MATCH(E2594, DATABASE_FG!$C$5:$C$367, 0)), " ")</f>
        <v>0</v>
      </c>
      <c r="O2594" s="129" t="str">
        <f>IF(E2594&lt;&gt;"", _xlfn.XLOOKUP(E2594, DATABASE_FG!C:C, DATABASE_FG!F:F), " ")</f>
        <v>Ghidaje</v>
      </c>
      <c r="P2594" s="36">
        <f>IFERROR(INDEX(DATABASE_FG!$G$5:$G$367, MATCH(E2594, DATABASE_FG!$C$5:$C$367, 0)), "Not Found")</f>
        <v>0</v>
      </c>
      <c r="Q2594" s="36"/>
      <c r="R2594" s="125" t="s">
        <v>678</v>
      </c>
      <c r="S2594" s="123">
        <f>Table1[[#This Row],[Quantity]]/48</f>
        <v>3.6041666666666665</v>
      </c>
      <c r="T2594" s="36"/>
      <c r="U2594" s="36"/>
      <c r="V2594" s="36"/>
      <c r="W2594" s="129"/>
      <c r="X2594" s="36"/>
      <c r="Y2594" s="36"/>
      <c r="Z2594" s="36"/>
      <c r="AA2594" s="125" t="s">
        <v>121</v>
      </c>
      <c r="AB2594" s="166">
        <v>45874</v>
      </c>
      <c r="AC2594" s="347" t="s">
        <v>3556</v>
      </c>
      <c r="AD2594" s="158">
        <f t="shared" si="283"/>
        <v>5410625</v>
      </c>
      <c r="AE2594" s="122" t="str">
        <f t="shared" si="284"/>
        <v>TK.KWVE30-B-A-SL-0038-WW1</v>
      </c>
      <c r="AF2594" s="36">
        <v>173</v>
      </c>
      <c r="AG2594" s="120">
        <f t="shared" si="282"/>
        <v>1051.8399999999999</v>
      </c>
      <c r="AH2594" s="36"/>
      <c r="AI2594" s="124"/>
      <c r="AJ2594" s="122" t="s">
        <v>3557</v>
      </c>
      <c r="AK2594" s="129" t="str">
        <f t="shared" ca="1" si="281"/>
        <v>On Time</v>
      </c>
      <c r="AL2594" s="268" t="str">
        <f t="shared" si="280"/>
        <v>August</v>
      </c>
      <c r="AM2594" s="133">
        <f>YEAR(Table1[[#This Row],[ETA
As requested
dd.mm.yyyy]])</f>
        <v>2025</v>
      </c>
    </row>
    <row r="2595" spans="1:40" hidden="1">
      <c r="A2595" s="123" t="s">
        <v>83</v>
      </c>
      <c r="B2595" s="36" t="s">
        <v>1170</v>
      </c>
      <c r="C2595" s="117">
        <v>5410625</v>
      </c>
      <c r="D2595" s="165">
        <v>45806</v>
      </c>
      <c r="E2595" s="154" t="s">
        <v>103</v>
      </c>
      <c r="F2595" s="36" t="str">
        <f>IFERROR(VLOOKUP(Table1[[#This Row],[Part Number]],DATABASE_FG!$C$6:D12584,2,FALSE)," ")</f>
        <v>080817246-8011</v>
      </c>
      <c r="G2595" s="117">
        <f>IFERROR(_xlfn.XLOOKUP(Table1[[#This Row],[Part Number]],Table3[Part number],Table3[Drawing
 Revision]),"")</f>
        <v>0</v>
      </c>
      <c r="H2595" s="350" cm="1">
        <f t="array" ref="H2595">IFERROR(INDEX(PDB!$C:$AT,MATCH(E2595,PDB!$B:$B,0),MATCH(YEAR(K2595),0+PDB!$C$1:$AT$1,0)),"")</f>
        <v>6.08</v>
      </c>
      <c r="I2595" s="129">
        <f>740-52-84-81-47-77-42-96-173</f>
        <v>88</v>
      </c>
      <c r="J2595" s="125">
        <f>IFERROR(Table1[[#This Row],[Quantity]]*Table1[[#This Row],[Price/Unit
EUR]]," ")</f>
        <v>535.04</v>
      </c>
      <c r="K2595" s="126">
        <v>45887</v>
      </c>
      <c r="L2595" s="36">
        <f>WEEKNUM(Table1[[#This Row],[ETA
As requested
dd.mm.yyyy]])</f>
        <v>34</v>
      </c>
      <c r="M2595" s="36">
        <f>YEAR(Table1[[#This Row],[ETA
As requested
dd.mm.yyyy]])</f>
        <v>2025</v>
      </c>
      <c r="N2595" s="36">
        <f>IFERROR(INDEX(DATABASE_FG!$H$5:$H$367, MATCH(E2595, DATABASE_FG!$C$5:$C$367, 0)), " ")</f>
        <v>0</v>
      </c>
      <c r="O2595" s="129" t="str">
        <f>IF(E2595&lt;&gt;"", _xlfn.XLOOKUP(E2595, DATABASE_FG!C:C, DATABASE_FG!F:F), " ")</f>
        <v>Ghidaje</v>
      </c>
      <c r="P2595" s="36">
        <f>IFERROR(INDEX(DATABASE_FG!$G$5:$G$367, MATCH(E2595, DATABASE_FG!$C$5:$C$367, 0)), "Not Found")</f>
        <v>0</v>
      </c>
      <c r="Q2595" s="36"/>
      <c r="R2595" s="125" t="s">
        <v>678</v>
      </c>
      <c r="S2595" s="123">
        <f>Table1[[#This Row],[Quantity]]/48</f>
        <v>1.8333333333333333</v>
      </c>
      <c r="T2595" s="36"/>
      <c r="U2595" s="36"/>
      <c r="V2595" s="36"/>
      <c r="W2595" s="129"/>
      <c r="X2595" s="36"/>
      <c r="Y2595" s="36"/>
      <c r="Z2595" s="36"/>
      <c r="AA2595" s="125" t="s">
        <v>121</v>
      </c>
      <c r="AB2595" s="165">
        <v>45876</v>
      </c>
      <c r="AC2595" s="119" t="s">
        <v>3558</v>
      </c>
      <c r="AD2595" s="36">
        <f t="shared" si="283"/>
        <v>5410625</v>
      </c>
      <c r="AE2595" s="122" t="str">
        <f t="shared" si="284"/>
        <v>TK.KWVE30-B-A-SL-0038-WW1</v>
      </c>
      <c r="AF2595" s="36">
        <v>88</v>
      </c>
      <c r="AG2595" s="120">
        <f t="shared" si="282"/>
        <v>535.04</v>
      </c>
      <c r="AH2595" s="36"/>
      <c r="AI2595" s="124"/>
      <c r="AJ2595" s="122" t="s">
        <v>3559</v>
      </c>
      <c r="AK2595" s="129" t="str">
        <f t="shared" ca="1" si="281"/>
        <v>On Time</v>
      </c>
      <c r="AL2595" s="268" t="str">
        <f t="shared" si="280"/>
        <v>August</v>
      </c>
      <c r="AM2595" s="133">
        <f>YEAR(Table1[[#This Row],[ETA
As requested
dd.mm.yyyy]])</f>
        <v>2025</v>
      </c>
    </row>
    <row r="2596" spans="1:40" hidden="1">
      <c r="A2596" s="123" t="s">
        <v>83</v>
      </c>
      <c r="B2596" s="36" t="s">
        <v>1170</v>
      </c>
      <c r="C2596" s="117">
        <v>5410625</v>
      </c>
      <c r="D2596" s="165">
        <v>45806</v>
      </c>
      <c r="E2596" s="117" t="s">
        <v>103</v>
      </c>
      <c r="F2596" s="36" t="str">
        <f>IFERROR(VLOOKUP(Table1[[#This Row],[Part Number]],DATABASE_FG!$C$6:D12585,2,FALSE)," ")</f>
        <v>080817246-8011</v>
      </c>
      <c r="G2596" s="117">
        <f>IFERROR(_xlfn.XLOOKUP(Table1[[#This Row],[Part Number]],Table3[Part number],Table3[Drawing
 Revision]),"")</f>
        <v>0</v>
      </c>
      <c r="H2596" s="118" cm="1">
        <f t="array" ref="H2596">IFERROR(INDEX(PDB!$C:$AT,MATCH(E2596,PDB!$B:$B,0),MATCH(YEAR(K2596),0+PDB!$C$1:$AT$1,0)),"")</f>
        <v>6.08</v>
      </c>
      <c r="I2596" s="36">
        <v>56</v>
      </c>
      <c r="J2596" s="125">
        <f>IFERROR(Table1[[#This Row],[Quantity]]*Table1[[#This Row],[Price/Unit
EUR]]," ")</f>
        <v>340.48</v>
      </c>
      <c r="K2596" s="126">
        <v>45887</v>
      </c>
      <c r="L2596" s="36">
        <f>WEEKNUM(Table1[[#This Row],[ETA
As requested
dd.mm.yyyy]])</f>
        <v>34</v>
      </c>
      <c r="M2596" s="36">
        <f>YEAR(Table1[[#This Row],[ETA
As requested
dd.mm.yyyy]])</f>
        <v>2025</v>
      </c>
      <c r="N2596" s="36">
        <f>IFERROR(INDEX(DATABASE_FG!$H$5:$H$367, MATCH(E2596, DATABASE_FG!$C$5:$C$367, 0)), " ")</f>
        <v>0</v>
      </c>
      <c r="O2596" s="129" t="str">
        <f>IF(E2596&lt;&gt;"", _xlfn.XLOOKUP(E2596, DATABASE_FG!C:C, DATABASE_FG!F:F), " ")</f>
        <v>Ghidaje</v>
      </c>
      <c r="P2596" s="36">
        <f>IFERROR(INDEX(DATABASE_FG!$G$5:$G$367, MATCH(E2596, DATABASE_FG!$C$5:$C$367, 0)), "Not Found")</f>
        <v>0</v>
      </c>
      <c r="Q2596" s="36"/>
      <c r="R2596" s="125" t="s">
        <v>678</v>
      </c>
      <c r="S2596" s="123">
        <f>Table1[[#This Row],[Quantity]]/48</f>
        <v>1.1666666666666667</v>
      </c>
      <c r="T2596" s="36"/>
      <c r="U2596" s="36"/>
      <c r="V2596" s="36"/>
      <c r="W2596" s="129"/>
      <c r="X2596" s="36"/>
      <c r="Y2596" s="36"/>
      <c r="Z2596" s="36"/>
      <c r="AA2596" s="125" t="s">
        <v>121</v>
      </c>
      <c r="AB2596" s="172">
        <v>45876</v>
      </c>
      <c r="AC2596" s="161" t="s">
        <v>3558</v>
      </c>
      <c r="AD2596" s="129">
        <f t="shared" si="283"/>
        <v>5410625</v>
      </c>
      <c r="AE2596" s="36" t="str">
        <f t="shared" si="284"/>
        <v>TK.KWVE30-B-A-SL-0038-WW1</v>
      </c>
      <c r="AF2596" s="36">
        <v>56</v>
      </c>
      <c r="AG2596" s="120">
        <f t="shared" si="282"/>
        <v>340.48</v>
      </c>
      <c r="AH2596" s="36"/>
      <c r="AI2596" s="124"/>
      <c r="AJ2596" s="122" t="s">
        <v>3559</v>
      </c>
      <c r="AK2596" s="129" t="str">
        <f t="shared" ca="1" si="281"/>
        <v>On Time</v>
      </c>
      <c r="AL2596" s="268" t="str">
        <f t="shared" si="280"/>
        <v>August</v>
      </c>
      <c r="AM2596" s="133">
        <f>YEAR(Table1[[#This Row],[ETA
As requested
dd.mm.yyyy]])</f>
        <v>2025</v>
      </c>
    </row>
    <row r="2597" spans="1:40" hidden="1">
      <c r="A2597" s="123" t="s">
        <v>83</v>
      </c>
      <c r="B2597" s="36" t="s">
        <v>1170</v>
      </c>
      <c r="C2597" s="117">
        <v>5410625</v>
      </c>
      <c r="D2597" s="165">
        <v>45806</v>
      </c>
      <c r="E2597" s="117" t="s">
        <v>103</v>
      </c>
      <c r="F2597" s="36" t="str">
        <f>IFERROR(VLOOKUP(Table1[[#This Row],[Part Number]],DATABASE_FG!$C$6:D12586,2,FALSE)," ")</f>
        <v>080817246-8011</v>
      </c>
      <c r="G2597" s="117">
        <f>IFERROR(_xlfn.XLOOKUP(Table1[[#This Row],[Part Number]],Table3[Part number],Table3[Drawing
 Revision]),"")</f>
        <v>0</v>
      </c>
      <c r="H2597" s="118" cm="1">
        <f t="array" ref="H2597">IFERROR(INDEX(PDB!$C:$AT,MATCH(E2597,PDB!$B:$B,0),MATCH(YEAR(K2597),0+PDB!$C$1:$AT$1,0)),"")</f>
        <v>6.08</v>
      </c>
      <c r="I2597" s="36">
        <v>56</v>
      </c>
      <c r="J2597" s="125">
        <f>IFERROR(Table1[[#This Row],[Quantity]]*Table1[[#This Row],[Price/Unit
EUR]]," ")</f>
        <v>340.48</v>
      </c>
      <c r="K2597" s="126">
        <v>45909</v>
      </c>
      <c r="L2597" s="36">
        <f>WEEKNUM(Table1[[#This Row],[ETA
As requested
dd.mm.yyyy]])</f>
        <v>37</v>
      </c>
      <c r="M2597" s="36">
        <f>YEAR(Table1[[#This Row],[ETA
As requested
dd.mm.yyyy]])</f>
        <v>2025</v>
      </c>
      <c r="N2597" s="36">
        <f>IFERROR(INDEX(DATABASE_FG!$H$5:$H$367, MATCH(E2597, DATABASE_FG!$C$5:$C$367, 0)), " ")</f>
        <v>0</v>
      </c>
      <c r="O2597" s="129" t="str">
        <f>IF(E2597&lt;&gt;"", _xlfn.XLOOKUP(E2597, DATABASE_FG!C:C, DATABASE_FG!F:F), " ")</f>
        <v>Ghidaje</v>
      </c>
      <c r="P2597" s="36">
        <f>IFERROR(INDEX(DATABASE_FG!$G$5:$G$367, MATCH(E2597, DATABASE_FG!$C$5:$C$367, 0)), "Not Found")</f>
        <v>0</v>
      </c>
      <c r="Q2597" s="36"/>
      <c r="R2597" s="125" t="s">
        <v>678</v>
      </c>
      <c r="S2597" s="123">
        <f>Table1[[#This Row],[Quantity]]/48</f>
        <v>1.1666666666666667</v>
      </c>
      <c r="T2597" s="36"/>
      <c r="U2597" s="36"/>
      <c r="V2597" s="36"/>
      <c r="W2597" s="129"/>
      <c r="X2597" s="36"/>
      <c r="Y2597" s="36"/>
      <c r="Z2597" s="36"/>
      <c r="AA2597" s="125" t="s">
        <v>121</v>
      </c>
      <c r="AB2597" s="172">
        <v>45883</v>
      </c>
      <c r="AC2597" s="119" t="s">
        <v>3667</v>
      </c>
      <c r="AD2597" s="36">
        <f t="shared" si="283"/>
        <v>5410625</v>
      </c>
      <c r="AE2597" s="36" t="str">
        <f t="shared" si="284"/>
        <v>TK.KWVE30-B-A-SL-0038-WW1</v>
      </c>
      <c r="AF2597" s="36">
        <v>56</v>
      </c>
      <c r="AG2597" s="120">
        <f t="shared" si="282"/>
        <v>340.48</v>
      </c>
      <c r="AH2597" s="36"/>
      <c r="AI2597" s="124"/>
      <c r="AJ2597" s="122" t="s">
        <v>3668</v>
      </c>
      <c r="AK2597" s="129" t="str">
        <f t="shared" ca="1" si="281"/>
        <v>On Time</v>
      </c>
      <c r="AL2597" s="268" t="str">
        <f t="shared" si="280"/>
        <v>September</v>
      </c>
      <c r="AM2597" s="133">
        <f>YEAR(Table1[[#This Row],[ETA
As requested
dd.mm.yyyy]])</f>
        <v>2025</v>
      </c>
    </row>
    <row r="2598" spans="1:40" hidden="1">
      <c r="A2598" s="123" t="s">
        <v>83</v>
      </c>
      <c r="B2598" s="36" t="s">
        <v>1170</v>
      </c>
      <c r="C2598" s="117">
        <v>5410625</v>
      </c>
      <c r="D2598" s="165">
        <v>45806</v>
      </c>
      <c r="E2598" s="117" t="s">
        <v>103</v>
      </c>
      <c r="F2598" s="36" t="str">
        <f>IFERROR(VLOOKUP(Table1[[#This Row],[Part Number]],DATABASE_FG!$C$6:D12587,2,FALSE)," ")</f>
        <v>080817246-8011</v>
      </c>
      <c r="G2598" s="117">
        <f>IFERROR(_xlfn.XLOOKUP(Table1[[#This Row],[Part Number]],Table3[Part number],Table3[Drawing
 Revision]),"")</f>
        <v>0</v>
      </c>
      <c r="H2598" s="118" cm="1">
        <f t="array" ref="H2598">IFERROR(INDEX(PDB!$C:$AT,MATCH(E2598,PDB!$B:$B,0),MATCH(YEAR(K2598),0+PDB!$C$1:$AT$1,0)),"")</f>
        <v>6.08</v>
      </c>
      <c r="I2598" s="36">
        <f>150-56</f>
        <v>94</v>
      </c>
      <c r="J2598" s="125">
        <f>IFERROR(Table1[[#This Row],[Quantity]]*Table1[[#This Row],[Price/Unit
EUR]]," ")</f>
        <v>571.52</v>
      </c>
      <c r="K2598" s="126">
        <v>45909</v>
      </c>
      <c r="L2598" s="36">
        <f>WEEKNUM(Table1[[#This Row],[ETA
As requested
dd.mm.yyyy]])</f>
        <v>37</v>
      </c>
      <c r="M2598" s="36">
        <f>YEAR(Table1[[#This Row],[ETA
As requested
dd.mm.yyyy]])</f>
        <v>2025</v>
      </c>
      <c r="N2598" s="36">
        <f>IFERROR(INDEX(DATABASE_FG!$H$5:$H$367, MATCH(E2598, DATABASE_FG!$C$5:$C$367, 0)), " ")</f>
        <v>0</v>
      </c>
      <c r="O2598" s="129" t="str">
        <f>IF(E2598&lt;&gt;"", _xlfn.XLOOKUP(E2598, DATABASE_FG!C:C, DATABASE_FG!F:F), " ")</f>
        <v>Ghidaje</v>
      </c>
      <c r="P2598" s="36">
        <f>IFERROR(INDEX(DATABASE_FG!$G$5:$G$367, MATCH(E2598, DATABASE_FG!$C$5:$C$367, 0)), "Not Found")</f>
        <v>0</v>
      </c>
      <c r="Q2598" s="36"/>
      <c r="R2598" s="125" t="s">
        <v>678</v>
      </c>
      <c r="S2598" s="123">
        <f>Table1[[#This Row],[Quantity]]/48</f>
        <v>1.9583333333333333</v>
      </c>
      <c r="T2598" s="36"/>
      <c r="U2598" s="36"/>
      <c r="V2598" s="36"/>
      <c r="W2598" s="129"/>
      <c r="X2598" s="36"/>
      <c r="Y2598" s="36"/>
      <c r="Z2598" s="36"/>
      <c r="AA2598" s="125" t="s">
        <v>121</v>
      </c>
      <c r="AB2598" s="172">
        <v>45899</v>
      </c>
      <c r="AC2598" s="119" t="s">
        <v>3669</v>
      </c>
      <c r="AD2598" s="36">
        <f t="shared" si="283"/>
        <v>5410625</v>
      </c>
      <c r="AE2598" s="36" t="str">
        <f t="shared" si="284"/>
        <v>TK.KWVE30-B-A-SL-0038-WW1</v>
      </c>
      <c r="AF2598" s="36">
        <v>94</v>
      </c>
      <c r="AG2598" s="120">
        <f t="shared" si="282"/>
        <v>571.52</v>
      </c>
      <c r="AH2598" s="36"/>
      <c r="AI2598" s="124"/>
      <c r="AJ2598" s="122" t="s">
        <v>3670</v>
      </c>
      <c r="AK2598" s="129" t="str">
        <f t="shared" ca="1" si="281"/>
        <v>On Time</v>
      </c>
      <c r="AL2598" s="268" t="str">
        <f t="shared" si="280"/>
        <v>September</v>
      </c>
      <c r="AM2598" s="133">
        <f>YEAR(Table1[[#This Row],[ETA
As requested
dd.mm.yyyy]])</f>
        <v>2025</v>
      </c>
    </row>
    <row r="2599" spans="1:40" hidden="1">
      <c r="A2599" s="123" t="s">
        <v>83</v>
      </c>
      <c r="B2599" s="36" t="s">
        <v>1170</v>
      </c>
      <c r="C2599" s="117">
        <v>5410625</v>
      </c>
      <c r="D2599" s="165">
        <v>45806</v>
      </c>
      <c r="E2599" s="117" t="s">
        <v>103</v>
      </c>
      <c r="F2599" s="36" t="str">
        <f>IFERROR(VLOOKUP(Table1[[#This Row],[Part Number]],DATABASE_FG!$C$6:D12588,2,FALSE)," ")</f>
        <v>080817246-8011</v>
      </c>
      <c r="G2599" s="117">
        <f>IFERROR(_xlfn.XLOOKUP(Table1[[#This Row],[Part Number]],Table3[Part number],Table3[Drawing
 Revision]),"")</f>
        <v>0</v>
      </c>
      <c r="H2599" s="118" cm="1">
        <f t="array" ref="H2599">IFERROR(INDEX(PDB!$C:$AT,MATCH(E2599,PDB!$B:$B,0),MATCH(YEAR(K2599),0+PDB!$C$1:$AT$1,0)),"")</f>
        <v>6.08</v>
      </c>
      <c r="I2599" s="36">
        <v>78</v>
      </c>
      <c r="J2599" s="125">
        <f>IFERROR(Table1[[#This Row],[Quantity]]*Table1[[#This Row],[Price/Unit
EUR]]," ")</f>
        <v>474.24</v>
      </c>
      <c r="K2599" s="126">
        <v>45918</v>
      </c>
      <c r="L2599" s="36">
        <f>WEEKNUM(Table1[[#This Row],[ETA
As requested
dd.mm.yyyy]])</f>
        <v>38</v>
      </c>
      <c r="M2599" s="36">
        <f>YEAR(Table1[[#This Row],[ETA
As requested
dd.mm.yyyy]])</f>
        <v>2025</v>
      </c>
      <c r="N2599" s="36">
        <f>IFERROR(INDEX(DATABASE_FG!$H$5:$H$367, MATCH(E2599, DATABASE_FG!$C$5:$C$367, 0)), " ")</f>
        <v>0</v>
      </c>
      <c r="O2599" s="129" t="str">
        <f>IF(E2599&lt;&gt;"", _xlfn.XLOOKUP(E2599, DATABASE_FG!C:C, DATABASE_FG!F:F), " ")</f>
        <v>Ghidaje</v>
      </c>
      <c r="P2599" s="36">
        <f>IFERROR(INDEX(DATABASE_FG!$G$5:$G$367, MATCH(E2599, DATABASE_FG!$C$5:$C$367, 0)), "Not Found")</f>
        <v>0</v>
      </c>
      <c r="Q2599" s="36"/>
      <c r="R2599" s="125" t="s">
        <v>678</v>
      </c>
      <c r="S2599" s="123">
        <f>Table1[[#This Row],[Quantity]]/48</f>
        <v>1.625</v>
      </c>
      <c r="T2599" s="36"/>
      <c r="U2599" s="36"/>
      <c r="V2599" s="36"/>
      <c r="W2599" s="129"/>
      <c r="X2599" s="36"/>
      <c r="Y2599" s="36"/>
      <c r="Z2599" s="36"/>
      <c r="AA2599" s="125" t="s">
        <v>121</v>
      </c>
      <c r="AB2599" s="173">
        <v>45899</v>
      </c>
      <c r="AC2599" s="119" t="s">
        <v>3669</v>
      </c>
      <c r="AD2599" s="36">
        <f t="shared" si="283"/>
        <v>5410625</v>
      </c>
      <c r="AE2599" s="36" t="str">
        <f t="shared" si="284"/>
        <v>TK.KWVE30-B-A-SL-0038-WW1</v>
      </c>
      <c r="AF2599" s="36">
        <v>78</v>
      </c>
      <c r="AG2599" s="120">
        <f t="shared" si="282"/>
        <v>474.24</v>
      </c>
      <c r="AH2599" s="36"/>
      <c r="AI2599" s="124"/>
      <c r="AJ2599" s="122" t="s">
        <v>3670</v>
      </c>
      <c r="AK2599" s="129" t="str">
        <f t="shared" ca="1" si="281"/>
        <v>On Time</v>
      </c>
      <c r="AL2599" s="268" t="str">
        <f t="shared" si="280"/>
        <v>September</v>
      </c>
      <c r="AM2599" s="133">
        <f>YEAR(Table1[[#This Row],[ETA
As requested
dd.mm.yyyy]])</f>
        <v>2025</v>
      </c>
    </row>
    <row r="2600" spans="1:40" hidden="1">
      <c r="A2600" s="123" t="s">
        <v>83</v>
      </c>
      <c r="B2600" s="36" t="s">
        <v>1170</v>
      </c>
      <c r="C2600" s="117">
        <v>5410625</v>
      </c>
      <c r="D2600" s="165">
        <v>45806</v>
      </c>
      <c r="E2600" s="117" t="s">
        <v>103</v>
      </c>
      <c r="F2600" s="36" t="str">
        <f>IFERROR(VLOOKUP(Table1[[#This Row],[Part Number]],DATABASE_FG!$C$6:D12589,2,FALSE)," ")</f>
        <v>080817246-8011</v>
      </c>
      <c r="G2600" s="117">
        <f>IFERROR(_xlfn.XLOOKUP(Table1[[#This Row],[Part Number]],Table3[Part number],Table3[Drawing
 Revision]),"")</f>
        <v>0</v>
      </c>
      <c r="H2600" s="118" cm="1">
        <f t="array" ref="H2600">IFERROR(INDEX(PDB!$C:$AT,MATCH(E2600,PDB!$B:$B,0),MATCH(YEAR(K2600),0+PDB!$C$1:$AT$1,0)),"")</f>
        <v>6.08</v>
      </c>
      <c r="I2600" s="36">
        <v>28</v>
      </c>
      <c r="J2600" s="125">
        <f>IFERROR(Table1[[#This Row],[Quantity]]*Table1[[#This Row],[Price/Unit
EUR]]," ")</f>
        <v>170.24</v>
      </c>
      <c r="K2600" s="126">
        <v>45918</v>
      </c>
      <c r="L2600" s="36">
        <f>WEEKNUM(Table1[[#This Row],[ETA
As requested
dd.mm.yyyy]])</f>
        <v>38</v>
      </c>
      <c r="M2600" s="36">
        <f>YEAR(Table1[[#This Row],[ETA
As requested
dd.mm.yyyy]])</f>
        <v>2025</v>
      </c>
      <c r="N2600" s="36">
        <f>IFERROR(INDEX(DATABASE_FG!$H$5:$H$367, MATCH(E2600, DATABASE_FG!$C$5:$C$367, 0)), " ")</f>
        <v>0</v>
      </c>
      <c r="O2600" s="129" t="str">
        <f>IF(E2600&lt;&gt;"", _xlfn.XLOOKUP(E2600, DATABASE_FG!C:C, DATABASE_FG!F:F), " ")</f>
        <v>Ghidaje</v>
      </c>
      <c r="P2600" s="36">
        <f>IFERROR(INDEX(DATABASE_FG!$G$5:$G$367, MATCH(E2600, DATABASE_FG!$C$5:$C$367, 0)), "Not Found")</f>
        <v>0</v>
      </c>
      <c r="Q2600" s="36"/>
      <c r="R2600" s="125" t="s">
        <v>678</v>
      </c>
      <c r="S2600" s="123">
        <f>Table1[[#This Row],[Quantity]]/48</f>
        <v>0.58333333333333337</v>
      </c>
      <c r="T2600" s="36"/>
      <c r="U2600" s="36"/>
      <c r="V2600" s="36"/>
      <c r="W2600" s="129"/>
      <c r="X2600" s="36"/>
      <c r="Y2600" s="36"/>
      <c r="Z2600" s="36"/>
      <c r="AA2600" s="125" t="s">
        <v>121</v>
      </c>
      <c r="AB2600" s="173">
        <v>45902</v>
      </c>
      <c r="AC2600" s="119" t="s">
        <v>3697</v>
      </c>
      <c r="AD2600" s="36">
        <f t="shared" si="283"/>
        <v>5410625</v>
      </c>
      <c r="AE2600" s="36" t="str">
        <f t="shared" si="284"/>
        <v>TK.KWVE30-B-A-SL-0038-WW1</v>
      </c>
      <c r="AF2600" s="36">
        <v>28</v>
      </c>
      <c r="AG2600" s="120">
        <f t="shared" si="282"/>
        <v>170.24</v>
      </c>
      <c r="AH2600" s="36"/>
      <c r="AI2600" s="124"/>
      <c r="AJ2600" s="122" t="s">
        <v>3698</v>
      </c>
      <c r="AK2600" s="129" t="str">
        <f t="shared" ca="1" si="281"/>
        <v>On Time</v>
      </c>
      <c r="AL2600" s="268" t="str">
        <f t="shared" si="280"/>
        <v>September</v>
      </c>
      <c r="AM2600" s="133">
        <f>YEAR(Table1[[#This Row],[ETA
As requested
dd.mm.yyyy]])</f>
        <v>2025</v>
      </c>
    </row>
    <row r="2601" spans="1:40" hidden="1">
      <c r="A2601" s="123" t="s">
        <v>83</v>
      </c>
      <c r="B2601" s="36" t="s">
        <v>1170</v>
      </c>
      <c r="C2601" s="117">
        <v>5410625</v>
      </c>
      <c r="D2601" s="165">
        <v>45806</v>
      </c>
      <c r="E2601" s="117" t="s">
        <v>103</v>
      </c>
      <c r="F2601" s="36" t="str">
        <f>IFERROR(VLOOKUP(Table1[[#This Row],[Part Number]],DATABASE_FG!$C$6:D12590,2,FALSE)," ")</f>
        <v>080817246-8011</v>
      </c>
      <c r="G2601" s="117">
        <f>IFERROR(_xlfn.XLOOKUP(Table1[[#This Row],[Part Number]],Table3[Part number],Table3[Drawing
 Revision]),"")</f>
        <v>0</v>
      </c>
      <c r="H2601" s="118" cm="1">
        <f t="array" ref="H2601">IFERROR(INDEX(PDB!$C:$AT,MATCH(E2601,PDB!$B:$B,0),MATCH(YEAR(K2601),0+PDB!$C$1:$AT$1,0)),"")</f>
        <v>6.08</v>
      </c>
      <c r="I2601" s="36">
        <v>150</v>
      </c>
      <c r="J2601" s="125">
        <f>IFERROR(Table1[[#This Row],[Quantity]]*Table1[[#This Row],[Price/Unit
EUR]]," ")</f>
        <v>912</v>
      </c>
      <c r="K2601" s="126">
        <v>45943</v>
      </c>
      <c r="L2601" s="36">
        <f>WEEKNUM(Table1[[#This Row],[ETA
As requested
dd.mm.yyyy]])</f>
        <v>42</v>
      </c>
      <c r="M2601" s="36">
        <f>YEAR(Table1[[#This Row],[ETA
As requested
dd.mm.yyyy]])</f>
        <v>2025</v>
      </c>
      <c r="N2601" s="36">
        <f>IFERROR(INDEX(DATABASE_FG!$H$5:$H$367, MATCH(E2601, DATABASE_FG!$C$5:$C$367, 0)), " ")</f>
        <v>0</v>
      </c>
      <c r="O2601" s="129" t="str">
        <f>IF(E2601&lt;&gt;"", _xlfn.XLOOKUP(E2601, DATABASE_FG!C:C, DATABASE_FG!F:F), " ")</f>
        <v>Ghidaje</v>
      </c>
      <c r="P2601" s="36">
        <f>IFERROR(INDEX(DATABASE_FG!$G$5:$G$367, MATCH(E2601, DATABASE_FG!$C$5:$C$367, 0)), "Not Found")</f>
        <v>0</v>
      </c>
      <c r="Q2601" s="36"/>
      <c r="R2601" s="125" t="s">
        <v>678</v>
      </c>
      <c r="S2601" s="123">
        <f>Table1[[#This Row],[Quantity]]/48</f>
        <v>3.125</v>
      </c>
      <c r="T2601" s="36"/>
      <c r="U2601" s="36"/>
      <c r="V2601" s="36"/>
      <c r="W2601" s="129"/>
      <c r="X2601" s="36"/>
      <c r="Y2601" s="36"/>
      <c r="Z2601" s="36"/>
      <c r="AA2601" s="125" t="s">
        <v>121</v>
      </c>
      <c r="AB2601" s="173">
        <v>45932</v>
      </c>
      <c r="AC2601" s="119" t="s">
        <v>3810</v>
      </c>
      <c r="AD2601" s="36">
        <f t="shared" si="283"/>
        <v>5410625</v>
      </c>
      <c r="AE2601" s="36" t="str">
        <f t="shared" si="284"/>
        <v>TK.KWVE30-B-A-SL-0038-WW1</v>
      </c>
      <c r="AF2601" s="36">
        <v>150</v>
      </c>
      <c r="AG2601" s="120">
        <f t="shared" si="282"/>
        <v>912</v>
      </c>
      <c r="AH2601" s="36"/>
      <c r="AI2601" s="124"/>
      <c r="AJ2601" s="122" t="s">
        <v>3811</v>
      </c>
      <c r="AK2601" s="129" t="str">
        <f t="shared" ca="1" si="281"/>
        <v>On Time</v>
      </c>
      <c r="AL2601" s="268" t="str">
        <f t="shared" si="280"/>
        <v>October</v>
      </c>
      <c r="AM2601" s="133">
        <f>YEAR(Table1[[#This Row],[ETA
As requested
dd.mm.yyyy]])</f>
        <v>2025</v>
      </c>
    </row>
    <row r="2602" spans="1:40" hidden="1">
      <c r="A2602" s="123" t="s">
        <v>83</v>
      </c>
      <c r="B2602" s="36" t="s">
        <v>1170</v>
      </c>
      <c r="C2602" s="117">
        <v>5410625</v>
      </c>
      <c r="D2602" s="165">
        <v>45806</v>
      </c>
      <c r="E2602" s="159" t="s">
        <v>103</v>
      </c>
      <c r="F2602" s="36" t="str">
        <f>IFERROR(VLOOKUP(Table1[[#This Row],[Part Number]],DATABASE_FG!$C$6:D12591,2,FALSE)," ")</f>
        <v>080817246-8011</v>
      </c>
      <c r="G2602" s="117">
        <f>IFERROR(_xlfn.XLOOKUP(Table1[[#This Row],[Part Number]],Table3[Part number],Table3[Drawing
 Revision]),"")</f>
        <v>0</v>
      </c>
      <c r="H2602" s="118" cm="1">
        <f t="array" ref="H2602">IFERROR(INDEX(PDB!$C:$AT,MATCH(E2602,PDB!$B:$B,0),MATCH(YEAR(K2602),0+PDB!$C$1:$AT$1,0)),"")</f>
        <v>6.08</v>
      </c>
      <c r="I2602" s="36">
        <v>150</v>
      </c>
      <c r="J2602" s="125">
        <f>IFERROR(Table1[[#This Row],[Quantity]]*Table1[[#This Row],[Price/Unit
EUR]]," ")</f>
        <v>912</v>
      </c>
      <c r="K2602" s="126">
        <v>45950</v>
      </c>
      <c r="L2602" s="36">
        <f>WEEKNUM(Table1[[#This Row],[ETA
As requested
dd.mm.yyyy]])</f>
        <v>43</v>
      </c>
      <c r="M2602" s="36">
        <f>YEAR(Table1[[#This Row],[ETA
As requested
dd.mm.yyyy]])</f>
        <v>2025</v>
      </c>
      <c r="N2602" s="36">
        <f>IFERROR(INDEX(DATABASE_FG!$H$5:$H$367, MATCH(E2602, DATABASE_FG!$C$5:$C$367, 0)), " ")</f>
        <v>0</v>
      </c>
      <c r="O2602" s="129" t="str">
        <f>IF(E2602&lt;&gt;"", _xlfn.XLOOKUP(E2602, DATABASE_FG!C:C, DATABASE_FG!F:F), " ")</f>
        <v>Ghidaje</v>
      </c>
      <c r="P2602" s="36">
        <f>IFERROR(INDEX(DATABASE_FG!$G$5:$G$367, MATCH(E2602, DATABASE_FG!$C$5:$C$367, 0)), "Not Found")</f>
        <v>0</v>
      </c>
      <c r="Q2602" s="36"/>
      <c r="R2602" s="125" t="s">
        <v>678</v>
      </c>
      <c r="S2602" s="123">
        <f>Table1[[#This Row],[Quantity]]/48</f>
        <v>3.125</v>
      </c>
      <c r="T2602" s="36"/>
      <c r="U2602" s="36"/>
      <c r="V2602" s="36"/>
      <c r="W2602" s="129"/>
      <c r="X2602" s="36"/>
      <c r="Y2602" s="36"/>
      <c r="Z2602" s="36"/>
      <c r="AA2602" s="125" t="s">
        <v>121</v>
      </c>
      <c r="AB2602" s="173">
        <v>45932</v>
      </c>
      <c r="AC2602" s="119" t="s">
        <v>3810</v>
      </c>
      <c r="AD2602" s="36">
        <f t="shared" si="283"/>
        <v>5410625</v>
      </c>
      <c r="AE2602" s="36" t="str">
        <f t="shared" si="284"/>
        <v>TK.KWVE30-B-A-SL-0038-WW1</v>
      </c>
      <c r="AF2602" s="36">
        <v>150</v>
      </c>
      <c r="AG2602" s="120">
        <f t="shared" si="282"/>
        <v>912</v>
      </c>
      <c r="AH2602" s="36"/>
      <c r="AI2602" s="124"/>
      <c r="AJ2602" s="122" t="s">
        <v>3811</v>
      </c>
      <c r="AK2602" s="129" t="str">
        <f t="shared" ca="1" si="281"/>
        <v>On Time</v>
      </c>
      <c r="AL2602" s="268" t="str">
        <f t="shared" si="280"/>
        <v>October</v>
      </c>
      <c r="AM2602" s="133">
        <f>YEAR(Table1[[#This Row],[ETA
As requested
dd.mm.yyyy]])</f>
        <v>2025</v>
      </c>
    </row>
    <row r="2603" spans="1:40" hidden="1">
      <c r="A2603" s="123" t="s">
        <v>83</v>
      </c>
      <c r="B2603" s="36" t="s">
        <v>1170</v>
      </c>
      <c r="C2603" s="117">
        <v>5410625</v>
      </c>
      <c r="D2603" s="190">
        <v>45951</v>
      </c>
      <c r="E2603" s="117" t="s">
        <v>103</v>
      </c>
      <c r="F2603" s="36" t="str">
        <f>IFERROR(VLOOKUP(Table1[[#This Row],[Part Number]],DATABASE_FG!$C$6:D12592,2,FALSE)," ")</f>
        <v>080817246-8011</v>
      </c>
      <c r="G2603" s="117">
        <f>IFERROR(_xlfn.XLOOKUP(Table1[[#This Row],[Part Number]],Table3[Part number],Table3[Drawing
 Revision]),"")</f>
        <v>0</v>
      </c>
      <c r="H2603" s="118" cm="1">
        <f t="array" ref="H2603">IFERROR(INDEX(PDB!$C:$AT,MATCH(E2603,PDB!$B:$B,0),MATCH(YEAR(K2603),0+PDB!$C$1:$AT$1,0)),"")</f>
        <v>6.08</v>
      </c>
      <c r="I2603" s="36">
        <v>100</v>
      </c>
      <c r="J2603" s="125">
        <f>IFERROR(Table1[[#This Row],[Quantity]]*Table1[[#This Row],[Price/Unit
EUR]]," ")</f>
        <v>608</v>
      </c>
      <c r="K2603" s="126">
        <v>45964</v>
      </c>
      <c r="L2603" s="36">
        <f>WEEKNUM(Table1[[#This Row],[ETA
As requested
dd.mm.yyyy]])</f>
        <v>45</v>
      </c>
      <c r="M2603" s="36">
        <f>YEAR(Table1[[#This Row],[ETA
As requested
dd.mm.yyyy]])</f>
        <v>2025</v>
      </c>
      <c r="N2603" s="36">
        <f>IFERROR(INDEX(DATABASE_FG!$H$5:$H$367, MATCH(E2603, DATABASE_FG!$C$5:$C$367, 0)), " ")</f>
        <v>0</v>
      </c>
      <c r="O2603" s="129" t="str">
        <f>IF(E2603&lt;&gt;"", _xlfn.XLOOKUP(E2603, DATABASE_FG!C:C, DATABASE_FG!F:F), " ")</f>
        <v>Ghidaje</v>
      </c>
      <c r="P2603" s="36">
        <f>IFERROR(INDEX(DATABASE_FG!$G$5:$G$367, MATCH(E2603, DATABASE_FG!$C$5:$C$367, 0)), "Not Found")</f>
        <v>0</v>
      </c>
      <c r="Q2603" s="36"/>
      <c r="R2603" s="125" t="s">
        <v>678</v>
      </c>
      <c r="S2603" s="123">
        <f>Table1[[#This Row],[Quantity]]/48</f>
        <v>2.0833333333333335</v>
      </c>
      <c r="T2603" s="36"/>
      <c r="U2603" s="36"/>
      <c r="V2603" s="36"/>
      <c r="W2603" s="129"/>
      <c r="X2603" s="36"/>
      <c r="Y2603" s="36"/>
      <c r="Z2603" s="36"/>
      <c r="AA2603" s="125" t="s">
        <v>3</v>
      </c>
      <c r="AB2603" s="172"/>
      <c r="AC2603" s="119"/>
      <c r="AD2603" s="36" t="str">
        <f t="shared" si="283"/>
        <v/>
      </c>
      <c r="AE2603" s="36" t="str">
        <f t="shared" si="284"/>
        <v/>
      </c>
      <c r="AF2603" s="36"/>
      <c r="AG2603" s="120">
        <f t="shared" si="282"/>
        <v>0</v>
      </c>
      <c r="AH2603" s="36"/>
      <c r="AI2603" s="124"/>
      <c r="AJ2603" s="122"/>
      <c r="AK2603" s="129" t="str">
        <f t="shared" ca="1" si="281"/>
        <v>Late</v>
      </c>
      <c r="AL2603" s="268" t="str">
        <f t="shared" si="280"/>
        <v>November</v>
      </c>
      <c r="AM2603" s="133">
        <f>YEAR(Table1[[#This Row],[ETA
As requested
dd.mm.yyyy]])</f>
        <v>2025</v>
      </c>
    </row>
    <row r="2604" spans="1:40" hidden="1">
      <c r="A2604" s="123" t="s">
        <v>83</v>
      </c>
      <c r="B2604" s="36" t="s">
        <v>2464</v>
      </c>
      <c r="C2604" s="117">
        <v>5410625</v>
      </c>
      <c r="D2604" s="165">
        <v>45806</v>
      </c>
      <c r="E2604" s="117" t="s">
        <v>103</v>
      </c>
      <c r="F2604" s="36" t="str">
        <f>IFERROR(VLOOKUP(Table1[[#This Row],[Part Number]],DATABASE_FG!$C$6:D12593,2,FALSE)," ")</f>
        <v>080817246-8011</v>
      </c>
      <c r="G2604" s="117">
        <f>IFERROR(_xlfn.XLOOKUP(Table1[[#This Row],[Part Number]],Table3[Part number],Table3[Drawing
 Revision]),"")</f>
        <v>0</v>
      </c>
      <c r="H2604" s="118" cm="1">
        <f t="array" ref="H2604">IFERROR(INDEX(PDB!$C:$AT,MATCH(E2604,PDB!$B:$B,0),MATCH(YEAR(K2604),0+PDB!$C$1:$AT$1,0)),"")</f>
        <v>6.08</v>
      </c>
      <c r="I2604" s="36">
        <v>300</v>
      </c>
      <c r="J2604" s="125">
        <f>IFERROR(Table1[[#This Row],[Quantity]]*Table1[[#This Row],[Price/Unit
EUR]]," ")</f>
        <v>1824</v>
      </c>
      <c r="K2604" s="126">
        <v>46011</v>
      </c>
      <c r="L2604" s="36">
        <f>WEEKNUM(Table1[[#This Row],[ETA
As requested
dd.mm.yyyy]])</f>
        <v>51</v>
      </c>
      <c r="M2604" s="36">
        <f>YEAR(Table1[[#This Row],[ETA
As requested
dd.mm.yyyy]])</f>
        <v>2025</v>
      </c>
      <c r="N2604" s="36">
        <f>IFERROR(INDEX(DATABASE_FG!$H$5:$H$367, MATCH(E2604, DATABASE_FG!$C$5:$C$367, 0)), " ")</f>
        <v>0</v>
      </c>
      <c r="O2604" s="129" t="str">
        <f>IF(E2604&lt;&gt;"", _xlfn.XLOOKUP(E2604, DATABASE_FG!C:C, DATABASE_FG!F:F), " ")</f>
        <v>Ghidaje</v>
      </c>
      <c r="P2604" s="36">
        <f>IFERROR(INDEX(DATABASE_FG!$G$5:$G$367, MATCH(E2604, DATABASE_FG!$C$5:$C$367, 0)), "Not Found")</f>
        <v>0</v>
      </c>
      <c r="Q2604" s="36"/>
      <c r="R2604" s="125" t="s">
        <v>678</v>
      </c>
      <c r="S2604" s="123">
        <f>Table1[[#This Row],[Quantity]]/48</f>
        <v>6.25</v>
      </c>
      <c r="T2604" s="36"/>
      <c r="U2604" s="36"/>
      <c r="V2604" s="36"/>
      <c r="W2604" s="129"/>
      <c r="X2604" s="36"/>
      <c r="Y2604" s="36"/>
      <c r="Z2604" s="36"/>
      <c r="AA2604" s="125" t="s">
        <v>3</v>
      </c>
      <c r="AB2604" s="172"/>
      <c r="AC2604" s="119"/>
      <c r="AD2604" s="36" t="str">
        <f t="shared" si="283"/>
        <v/>
      </c>
      <c r="AE2604" s="36" t="str">
        <f t="shared" si="284"/>
        <v/>
      </c>
      <c r="AF2604" s="36"/>
      <c r="AG2604" s="120">
        <f t="shared" si="282"/>
        <v>0</v>
      </c>
      <c r="AH2604" s="36"/>
      <c r="AI2604" s="124"/>
      <c r="AJ2604" s="122"/>
      <c r="AK2604" s="129" t="str">
        <f t="shared" ca="1" si="281"/>
        <v/>
      </c>
      <c r="AL2604" s="268" t="str">
        <f t="shared" si="280"/>
        <v>December</v>
      </c>
      <c r="AM2604" s="133">
        <f>YEAR(Table1[[#This Row],[ETA
As requested
dd.mm.yyyy]])</f>
        <v>2025</v>
      </c>
    </row>
    <row r="2605" spans="1:40" hidden="1">
      <c r="A2605" s="123" t="s">
        <v>83</v>
      </c>
      <c r="B2605" s="36" t="s">
        <v>1170</v>
      </c>
      <c r="C2605" s="117">
        <v>37673019</v>
      </c>
      <c r="D2605" s="190">
        <v>45695</v>
      </c>
      <c r="E2605" s="117" t="s">
        <v>104</v>
      </c>
      <c r="F2605" s="36" t="str">
        <f>IFERROR(VLOOKUP(Table1[[#This Row],[Part Number]],DATABASE_FG!$C$6:D12594,2,FALSE)," ")</f>
        <v xml:space="preserve">074104748-8011 </v>
      </c>
      <c r="G2605" s="117" t="str">
        <f>IFERROR(_xlfn.XLOOKUP(Table1[[#This Row],[Part Number]],Table3[Part number],Table3[Drawing
 Revision]),"")</f>
        <v>00</v>
      </c>
      <c r="H2605" s="118" cm="1">
        <f t="array" ref="H2605">IFERROR(INDEX(PDB!$C:$AT,MATCH(E2605,PDB!$B:$B,0),MATCH(YEAR(K2605),0+PDB!$C$1:$AT$1,0)),"")</f>
        <v>8</v>
      </c>
      <c r="I2605" s="36">
        <v>5</v>
      </c>
      <c r="J2605" s="125">
        <f>IFERROR(Table1[[#This Row],[Quantity]]*Table1[[#This Row],[Price/Unit
EUR]]," ")</f>
        <v>40</v>
      </c>
      <c r="K2605" s="126">
        <v>45628</v>
      </c>
      <c r="L2605" s="36">
        <f>WEEKNUM(Table1[[#This Row],[ETA
As requested
dd.mm.yyyy]])</f>
        <v>49</v>
      </c>
      <c r="M2605" s="36">
        <f>YEAR(Table1[[#This Row],[ETA
As requested
dd.mm.yyyy]])</f>
        <v>2024</v>
      </c>
      <c r="N2605" s="36">
        <f>IFERROR(INDEX(DATABASE_FG!$H$5:$H$367, MATCH(E2605, DATABASE_FG!$C$5:$C$367, 0)), " ")</f>
        <v>0</v>
      </c>
      <c r="O2605" s="129" t="str">
        <f>IF(E2605&lt;&gt;"", _xlfn.XLOOKUP(E2605, DATABASE_FG!C:C, DATABASE_FG!F:F), " ")</f>
        <v>Ghidaje</v>
      </c>
      <c r="P2605" s="36">
        <f>IFERROR(INDEX(DATABASE_FG!$G$5:$G$367, MATCH(E2605, DATABASE_FG!$C$5:$C$367, 0)), "Not Found")</f>
        <v>0</v>
      </c>
      <c r="Q2605" s="36"/>
      <c r="R2605" s="125" t="s">
        <v>680</v>
      </c>
      <c r="S2605" s="123">
        <f>Table1[[#This Row],[Quantity]]/48</f>
        <v>0.10416666666666667</v>
      </c>
      <c r="T2605" s="36" t="s">
        <v>679</v>
      </c>
      <c r="U2605" s="36"/>
      <c r="V2605" s="36"/>
      <c r="W2605" s="129"/>
      <c r="X2605" s="36"/>
      <c r="Y2605" s="36"/>
      <c r="Z2605" s="36"/>
      <c r="AA2605" s="125" t="s">
        <v>121</v>
      </c>
      <c r="AB2605" s="172">
        <v>45814</v>
      </c>
      <c r="AC2605" s="119">
        <v>25893</v>
      </c>
      <c r="AD2605" s="36">
        <f t="shared" si="283"/>
        <v>37673019</v>
      </c>
      <c r="AE2605" s="36" t="str">
        <f t="shared" si="284"/>
        <v>TK.KWVE35-B-A-L-0038-WW1</v>
      </c>
      <c r="AF2605" s="36">
        <v>5</v>
      </c>
      <c r="AG2605" s="120">
        <f t="shared" si="282"/>
        <v>40</v>
      </c>
      <c r="AH2605" s="36"/>
      <c r="AI2605" s="124" t="s">
        <v>2636</v>
      </c>
      <c r="AJ2605" s="122" t="s">
        <v>2637</v>
      </c>
      <c r="AK2605" s="129" t="str">
        <f t="shared" ca="1" si="281"/>
        <v>Late</v>
      </c>
      <c r="AL2605" s="268" t="str">
        <f t="shared" si="280"/>
        <v>December</v>
      </c>
      <c r="AM2605" s="133">
        <f>YEAR(Table1[[#This Row],[ETA
As requested
dd.mm.yyyy]])</f>
        <v>2024</v>
      </c>
    </row>
    <row r="2606" spans="1:40" hidden="1">
      <c r="A2606" s="123" t="s">
        <v>83</v>
      </c>
      <c r="B2606" s="36" t="s">
        <v>1170</v>
      </c>
      <c r="C2606" s="117">
        <v>37673019</v>
      </c>
      <c r="D2606" s="190">
        <v>45937</v>
      </c>
      <c r="E2606" s="117" t="s">
        <v>104</v>
      </c>
      <c r="F2606" s="36" t="str">
        <f>IFERROR(VLOOKUP(Table1[[#This Row],[Part Number]],DATABASE_FG!$C$6:D12595,2,FALSE)," ")</f>
        <v xml:space="preserve">074104748-8011 </v>
      </c>
      <c r="G2606" s="117" t="str">
        <f>IFERROR(_xlfn.XLOOKUP(Table1[[#This Row],[Part Number]],Table3[Part number],Table3[Drawing
 Revision]),"")</f>
        <v>00</v>
      </c>
      <c r="H2606" s="118" cm="1">
        <f t="array" ref="H2606">IFERROR(INDEX(PDB!$C:$AT,MATCH(E2606,PDB!$B:$B,0),MATCH(YEAR(K2606),0+PDB!$C$1:$AT$1,0)),"")</f>
        <v>8</v>
      </c>
      <c r="I2606" s="36">
        <v>5</v>
      </c>
      <c r="J2606" s="125">
        <f>IFERROR(Table1[[#This Row],[Quantity]]*Table1[[#This Row],[Price/Unit
EUR]]," ")</f>
        <v>40</v>
      </c>
      <c r="K2606" s="126">
        <v>45960</v>
      </c>
      <c r="L2606" s="36">
        <f>WEEKNUM(Table1[[#This Row],[ETA
As requested
dd.mm.yyyy]])</f>
        <v>44</v>
      </c>
      <c r="M2606" s="36">
        <f>YEAR(Table1[[#This Row],[ETA
As requested
dd.mm.yyyy]])</f>
        <v>2025</v>
      </c>
      <c r="N2606" s="36">
        <f>IFERROR(INDEX(DATABASE_FG!$H$5:$H$367, MATCH(E2606, DATABASE_FG!$C$5:$C$367, 0)), " ")</f>
        <v>0</v>
      </c>
      <c r="O2606" s="129" t="str">
        <f>IF(E2606&lt;&gt;"", _xlfn.XLOOKUP(E2606, DATABASE_FG!C:C, DATABASE_FG!F:F), " ")</f>
        <v>Ghidaje</v>
      </c>
      <c r="P2606" s="36">
        <f>IFERROR(INDEX(DATABASE_FG!$G$5:$G$367, MATCH(E2606, DATABASE_FG!$C$5:$C$367, 0)), "Not Found")</f>
        <v>0</v>
      </c>
      <c r="Q2606" s="36"/>
      <c r="R2606" s="125" t="s">
        <v>680</v>
      </c>
      <c r="S2606" s="123">
        <f>Table1[[#This Row],[Quantity]]/48</f>
        <v>0.10416666666666667</v>
      </c>
      <c r="T2606" s="36"/>
      <c r="U2606" s="36"/>
      <c r="V2606" s="36"/>
      <c r="W2606" s="129"/>
      <c r="X2606" s="36"/>
      <c r="Y2606" s="36"/>
      <c r="Z2606" s="36"/>
      <c r="AA2606" s="125" t="s">
        <v>121</v>
      </c>
      <c r="AB2606" s="172">
        <v>45960</v>
      </c>
      <c r="AC2606" s="119"/>
      <c r="AD2606" s="36" t="str">
        <f t="shared" si="283"/>
        <v/>
      </c>
      <c r="AE2606" s="36" t="str">
        <f t="shared" si="284"/>
        <v/>
      </c>
      <c r="AF2606" s="36"/>
      <c r="AG2606" s="120">
        <f t="shared" si="282"/>
        <v>0</v>
      </c>
      <c r="AH2606" s="36"/>
      <c r="AI2606" s="124" t="s">
        <v>4361</v>
      </c>
      <c r="AJ2606" s="122"/>
      <c r="AK2606" s="129" t="str">
        <f t="shared" ca="1" si="281"/>
        <v>On Time</v>
      </c>
      <c r="AL2606" s="268" t="str">
        <f t="shared" si="280"/>
        <v>October</v>
      </c>
      <c r="AM2606" s="133">
        <f>YEAR(Table1[[#This Row],[ETA
As requested
dd.mm.yyyy]])</f>
        <v>2025</v>
      </c>
      <c r="AN2606" s="191"/>
    </row>
    <row r="2607" spans="1:40" hidden="1">
      <c r="A2607" s="123" t="s">
        <v>83</v>
      </c>
      <c r="B2607" s="36" t="s">
        <v>1170</v>
      </c>
      <c r="C2607" s="117">
        <v>37673019</v>
      </c>
      <c r="D2607" s="190">
        <v>45695</v>
      </c>
      <c r="E2607" s="117" t="s">
        <v>104</v>
      </c>
      <c r="F2607" s="36" t="str">
        <f>IFERROR(VLOOKUP(Table1[[#This Row],[Part Number]],DATABASE_FG!$C$6:D12596,2,FALSE)," ")</f>
        <v xml:space="preserve">074104748-8011 </v>
      </c>
      <c r="G2607" s="117" t="str">
        <f>IFERROR(_xlfn.XLOOKUP(Table1[[#This Row],[Part Number]],Table3[Part number],Table3[Drawing
 Revision]),"")</f>
        <v>00</v>
      </c>
      <c r="H2607" s="118" cm="1">
        <f t="array" ref="H2607">IFERROR(INDEX(PDB!$C:$AT,MATCH(E2607,PDB!$B:$B,0),MATCH(YEAR(K2607),0+PDB!$C$1:$AT$1,0)),"")</f>
        <v>8</v>
      </c>
      <c r="I2607" s="36">
        <v>1700</v>
      </c>
      <c r="J2607" s="125">
        <f>IFERROR(Table1[[#This Row],[Quantity]]*Table1[[#This Row],[Price/Unit
EUR]]," ")</f>
        <v>13600</v>
      </c>
      <c r="K2607" s="126">
        <v>45982</v>
      </c>
      <c r="L2607" s="36">
        <f>WEEKNUM(Table1[[#This Row],[ETA
As requested
dd.mm.yyyy]])</f>
        <v>47</v>
      </c>
      <c r="M2607" s="36">
        <f>YEAR(Table1[[#This Row],[ETA
As requested
dd.mm.yyyy]])</f>
        <v>2025</v>
      </c>
      <c r="N2607" s="36">
        <f>IFERROR(INDEX(DATABASE_FG!$H$5:$H$367, MATCH(E2607, DATABASE_FG!$C$5:$C$367, 0)), " ")</f>
        <v>0</v>
      </c>
      <c r="O2607" s="129" t="str">
        <f>IF(E2607&lt;&gt;"", _xlfn.XLOOKUP(E2607, DATABASE_FG!C:C, DATABASE_FG!F:F), " ")</f>
        <v>Ghidaje</v>
      </c>
      <c r="P2607" s="36">
        <f>IFERROR(INDEX(DATABASE_FG!$G$5:$G$367, MATCH(E2607, DATABASE_FG!$C$5:$C$367, 0)), "Not Found")</f>
        <v>0</v>
      </c>
      <c r="Q2607" s="36"/>
      <c r="R2607" s="125" t="s">
        <v>680</v>
      </c>
      <c r="S2607" s="123" t="s">
        <v>121</v>
      </c>
      <c r="T2607" s="36">
        <v>45933</v>
      </c>
      <c r="U2607" s="36" t="s">
        <v>2961</v>
      </c>
      <c r="V2607" s="36">
        <v>37673019</v>
      </c>
      <c r="W2607" s="129" t="s">
        <v>104</v>
      </c>
      <c r="X2607" s="36">
        <v>5</v>
      </c>
      <c r="Y2607" s="36">
        <v>40</v>
      </c>
      <c r="Z2607" s="36"/>
      <c r="AA2607" s="125" t="s">
        <v>3</v>
      </c>
      <c r="AB2607" s="172"/>
      <c r="AC2607" s="119"/>
      <c r="AD2607" s="36" t="str">
        <f t="shared" si="283"/>
        <v/>
      </c>
      <c r="AE2607" s="36" t="str">
        <f t="shared" si="284"/>
        <v/>
      </c>
      <c r="AF2607" s="36"/>
      <c r="AG2607" s="120">
        <f t="shared" si="282"/>
        <v>0</v>
      </c>
      <c r="AH2607" s="36"/>
      <c r="AI2607" s="124"/>
      <c r="AJ2607" s="122"/>
      <c r="AK2607" s="129" t="str">
        <f t="shared" ca="1" si="281"/>
        <v/>
      </c>
      <c r="AL2607" s="268" t="str">
        <f t="shared" si="280"/>
        <v>November</v>
      </c>
      <c r="AM2607" s="133">
        <f>YEAR(Table1[[#This Row],[ETA
As requested
dd.mm.yyyy]])</f>
        <v>2025</v>
      </c>
      <c r="AN2607" s="191"/>
    </row>
    <row r="2608" spans="1:40" hidden="1">
      <c r="A2608" s="123" t="s">
        <v>83</v>
      </c>
      <c r="B2608" s="36" t="s">
        <v>1170</v>
      </c>
      <c r="C2608" s="117">
        <v>37673019</v>
      </c>
      <c r="D2608" s="190">
        <v>45695</v>
      </c>
      <c r="E2608" s="117" t="s">
        <v>104</v>
      </c>
      <c r="F2608" s="36" t="str">
        <f>IFERROR(VLOOKUP(Table1[[#This Row],[Part Number]],DATABASE_FG!$C$6:D12597,2,FALSE)," ")</f>
        <v xml:space="preserve">074104748-8011 </v>
      </c>
      <c r="G2608" s="117" t="str">
        <f>IFERROR(_xlfn.XLOOKUP(Table1[[#This Row],[Part Number]],Table3[Part number],Table3[Drawing
 Revision]),"")</f>
        <v>00</v>
      </c>
      <c r="H2608" s="118" cm="1">
        <f t="array" ref="H2608">IFERROR(INDEX(PDB!$C:$AT,MATCH(E2608,PDB!$B:$B,0),MATCH(YEAR(K2608),0+PDB!$C$1:$AT$1,0)),"")</f>
        <v>8</v>
      </c>
      <c r="I2608" s="36">
        <v>5</v>
      </c>
      <c r="J2608" s="125">
        <f>IFERROR(Table1[[#This Row],[Quantity]]*Table1[[#This Row],[Price/Unit
EUR]]," ")</f>
        <v>40</v>
      </c>
      <c r="K2608" s="126">
        <v>45733</v>
      </c>
      <c r="L2608" s="36">
        <f>WEEKNUM(Table1[[#This Row],[ETA
As requested
dd.mm.yyyy]])</f>
        <v>12</v>
      </c>
      <c r="M2608" s="36">
        <f>YEAR(Table1[[#This Row],[ETA
As requested
dd.mm.yyyy]])</f>
        <v>2025</v>
      </c>
      <c r="N2608" s="36">
        <f>IFERROR(INDEX(DATABASE_FG!$H$5:$H$367, MATCH(E2608, DATABASE_FG!$C$5:$C$367, 0)), " ")</f>
        <v>0</v>
      </c>
      <c r="O2608" s="129" t="str">
        <f>IF(E2608&lt;&gt;"", _xlfn.XLOOKUP(E2608, DATABASE_FG!C:C, DATABASE_FG!F:F), " ")</f>
        <v>Ghidaje</v>
      </c>
      <c r="P2608" s="129">
        <f>IFERROR(INDEX(DATABASE_FG!$G$5:$G$367, MATCH(E2608, DATABASE_FG!$C$5:$C$367, 0)), "Not Found")</f>
        <v>0</v>
      </c>
      <c r="Q2608" s="36"/>
      <c r="R2608" s="125" t="s">
        <v>680</v>
      </c>
      <c r="S2608" s="123">
        <f>IFERROR(INDEX(DATABASE_FG!$L$5:$L$367, MATCH(E2608, DATABASE_FG!$C$5:$C$367, 0)), " ")</f>
        <v>0</v>
      </c>
      <c r="T2608" s="36" t="s">
        <v>679</v>
      </c>
      <c r="U2608" s="36"/>
      <c r="V2608" s="36"/>
      <c r="W2608" s="129"/>
      <c r="X2608" s="36"/>
      <c r="Y2608" s="36"/>
      <c r="Z2608" s="36"/>
      <c r="AA2608" s="125" t="s">
        <v>121</v>
      </c>
      <c r="AB2608" s="172">
        <v>45933</v>
      </c>
      <c r="AC2608" s="119" t="s">
        <v>2961</v>
      </c>
      <c r="AD2608" s="36">
        <f t="shared" si="283"/>
        <v>37673019</v>
      </c>
      <c r="AE2608" s="36" t="str">
        <f t="shared" si="284"/>
        <v>TK.KWVE35-B-A-L-0038-WW1</v>
      </c>
      <c r="AF2608" s="36">
        <v>5</v>
      </c>
      <c r="AG2608" s="120">
        <f t="shared" si="282"/>
        <v>40</v>
      </c>
      <c r="AH2608" s="36"/>
      <c r="AI2608" s="124" t="s">
        <v>2962</v>
      </c>
      <c r="AJ2608" s="122" t="s">
        <v>2963</v>
      </c>
      <c r="AK2608" s="129" t="str">
        <f t="shared" ca="1" si="281"/>
        <v>Late</v>
      </c>
      <c r="AL2608" s="268" t="str">
        <f t="shared" si="280"/>
        <v>March</v>
      </c>
      <c r="AM2608" s="133">
        <f>YEAR(Table1[[#This Row],[ETA
As requested
dd.mm.yyyy]])</f>
        <v>2025</v>
      </c>
    </row>
    <row r="2609" spans="1:40" hidden="1">
      <c r="A2609" s="123" t="s">
        <v>131</v>
      </c>
      <c r="B2609" s="36" t="s">
        <v>1170</v>
      </c>
      <c r="C2609" s="117" t="s">
        <v>1330</v>
      </c>
      <c r="D2609" s="190">
        <v>45365</v>
      </c>
      <c r="E2609" s="223" t="s">
        <v>316</v>
      </c>
      <c r="F2609" s="36">
        <f>IFERROR(VLOOKUP(Table1[[#This Row],[Part Number]],DATABASE_FG!$C$6:D12598,2,FALSE)," ")</f>
        <v>0</v>
      </c>
      <c r="G2609" s="117">
        <f>IFERROR(_xlfn.XLOOKUP(Table1[[#This Row],[Part Number]],Table3[Part number],Table3[Drawing
 Revision]),"")</f>
        <v>0</v>
      </c>
      <c r="H2609" s="118" t="str" cm="1">
        <f t="array" ref="H2609">IFERROR(INDEX(PDB!$C:$AT,MATCH(E2609,PDB!$B:$B,0),MATCH(YEAR(K2609),0+PDB!$C$1:$AT$1,0)),"")</f>
        <v/>
      </c>
      <c r="I2609" s="36">
        <v>10</v>
      </c>
      <c r="J2609" s="125" t="str">
        <f>IFERROR(Table1[[#This Row],[Quantity]]*Table1[[#This Row],[Price/Unit
EUR]]," ")</f>
        <v xml:space="preserve"> </v>
      </c>
      <c r="K2609" s="126">
        <v>45397</v>
      </c>
      <c r="L2609" s="36">
        <f>WEEKNUM(Table1[[#This Row],[ETA
As requested
dd.mm.yyyy]])</f>
        <v>16</v>
      </c>
      <c r="M2609" s="36">
        <f>YEAR(Table1[[#This Row],[ETA
As requested
dd.mm.yyyy]])</f>
        <v>2024</v>
      </c>
      <c r="N2609" s="36">
        <f>IFERROR(INDEX(DATABASE_FG!$H$5:$H$367, MATCH(E2609, DATABASE_FG!$C$5:$C$367, 0)), " ")</f>
        <v>0</v>
      </c>
      <c r="O2609" s="129">
        <f>IF(E2609&lt;&gt;"", _xlfn.XLOOKUP(E2609, DATABASE_FG!C:C, DATABASE_FG!F:F), " ")</f>
        <v>0</v>
      </c>
      <c r="P2609" s="129">
        <f>IFERROR(INDEX(DATABASE_FG!$G$5:$G$367, MATCH(E2609, DATABASE_FG!$C$5:$C$367, 0)), "Not Found")</f>
        <v>0</v>
      </c>
      <c r="Q2609" s="36"/>
      <c r="R2609" s="125" t="s">
        <v>678</v>
      </c>
      <c r="S2609" s="123">
        <f>IFERROR(INDEX(DATABASE_FG!$L$5:$L$367, MATCH(E2609, DATABASE_FG!$C$5:$C$367, 0)), " ")</f>
        <v>42</v>
      </c>
      <c r="T2609" s="36" t="s">
        <v>679</v>
      </c>
      <c r="U2609" s="36"/>
      <c r="V2609" s="36"/>
      <c r="W2609" s="129"/>
      <c r="X2609" s="36"/>
      <c r="Y2609" s="36"/>
      <c r="Z2609" s="36">
        <v>241408</v>
      </c>
      <c r="AA2609" s="125" t="s">
        <v>121</v>
      </c>
      <c r="AB2609" s="173">
        <v>45386</v>
      </c>
      <c r="AC2609" s="119">
        <v>2024310</v>
      </c>
      <c r="AD2609" s="36" t="str">
        <f t="shared" si="283"/>
        <v>PASRO20240101</v>
      </c>
      <c r="AE2609" s="36" t="str">
        <f t="shared" si="284"/>
        <v>X-111127-01</v>
      </c>
      <c r="AF2609" s="36">
        <v>10</v>
      </c>
      <c r="AG2609" s="120" t="e">
        <f t="shared" si="282"/>
        <v>#VALUE!</v>
      </c>
      <c r="AH2609" s="36"/>
      <c r="AI2609" s="124"/>
      <c r="AJ2609" s="122" t="s">
        <v>1331</v>
      </c>
      <c r="AK2609" s="129" t="str">
        <f t="shared" ca="1" si="281"/>
        <v>On Time</v>
      </c>
      <c r="AL2609" s="268" t="str">
        <f t="shared" si="280"/>
        <v>April</v>
      </c>
      <c r="AM2609" s="133">
        <f>YEAR(Table1[[#This Row],[ETA
As requested
dd.mm.yyyy]])</f>
        <v>2024</v>
      </c>
    </row>
    <row r="2610" spans="1:40" hidden="1">
      <c r="A2610" s="123" t="s">
        <v>131</v>
      </c>
      <c r="B2610" s="36" t="s">
        <v>1170</v>
      </c>
      <c r="C2610" s="117" t="s">
        <v>2761</v>
      </c>
      <c r="D2610" s="190">
        <v>45671</v>
      </c>
      <c r="E2610" s="223" t="s">
        <v>2762</v>
      </c>
      <c r="F2610" s="36" t="str">
        <f>IFERROR(VLOOKUP(Table1[[#This Row],[Part Number]],DATABASE_FG!$C$6:D12599,2,FALSE)," ")</f>
        <v xml:space="preserve"> </v>
      </c>
      <c r="G2610" s="117" t="str">
        <f>IFERROR(_xlfn.XLOOKUP(Table1[[#This Row],[Part Number]],Table3[Part number],Table3[Drawing
 Revision]),"")</f>
        <v/>
      </c>
      <c r="H2610" s="118">
        <v>76.5</v>
      </c>
      <c r="I2610" s="36">
        <v>30</v>
      </c>
      <c r="J2610" s="125">
        <f>IFERROR(Table1[[#This Row],[Quantity]]*Table1[[#This Row],[Price/Unit
EUR]]," ")</f>
        <v>2295</v>
      </c>
      <c r="K2610" s="126">
        <v>45680</v>
      </c>
      <c r="L2610" s="36">
        <f>WEEKNUM(Table1[[#This Row],[ETA
As requested
dd.mm.yyyy]])</f>
        <v>4</v>
      </c>
      <c r="M2610" s="36">
        <f>YEAR(Table1[[#This Row],[ETA
As requested
dd.mm.yyyy]])</f>
        <v>2025</v>
      </c>
      <c r="N2610" s="36" t="str">
        <f>IFERROR(INDEX(DATABASE_FG!$H$5:$H$367, MATCH(E2610, DATABASE_FG!$C$5:$C$367, 0)), " ")</f>
        <v xml:space="preserve"> </v>
      </c>
      <c r="O2610" s="129" t="e">
        <f>IF(E2610&lt;&gt;"", _xlfn.XLOOKUP(E2610, DATABASE_FG!C:C, DATABASE_FG!F:F), " ")</f>
        <v>#N/A</v>
      </c>
      <c r="P2610" s="129" t="str">
        <f>IFERROR(INDEX(DATABASE_FG!$G$5:$G$367, MATCH(E2610, DATABASE_FG!$C$5:$C$367, 0)), "Not Found")</f>
        <v>Not Found</v>
      </c>
      <c r="Q2610" s="36"/>
      <c r="R2610" s="125" t="s">
        <v>678</v>
      </c>
      <c r="S2610" s="123">
        <v>14</v>
      </c>
      <c r="T2610" s="36"/>
      <c r="U2610" s="36"/>
      <c r="V2610" s="36"/>
      <c r="W2610" s="129"/>
      <c r="X2610" s="36"/>
      <c r="Y2610" s="36"/>
      <c r="Z2610" s="36"/>
      <c r="AA2610" s="125" t="s">
        <v>121</v>
      </c>
      <c r="AB2610" s="173">
        <v>45694</v>
      </c>
      <c r="AC2610" s="119">
        <v>25152</v>
      </c>
      <c r="AD2610" s="36" t="str">
        <f t="shared" si="283"/>
        <v>PASRO20250003</v>
      </c>
      <c r="AE2610" s="36" t="str">
        <f t="shared" si="284"/>
        <v>X-111879-01 REV 02</v>
      </c>
      <c r="AF2610" s="36">
        <v>29</v>
      </c>
      <c r="AG2610" s="120">
        <f t="shared" si="282"/>
        <v>2218.5</v>
      </c>
      <c r="AH2610" s="36">
        <v>1</v>
      </c>
      <c r="AI2610" s="124"/>
      <c r="AJ2610" s="122" t="s">
        <v>2763</v>
      </c>
      <c r="AK2610" s="129" t="str">
        <f t="shared" ca="1" si="281"/>
        <v>Late</v>
      </c>
      <c r="AL2610" s="268" t="str">
        <f t="shared" si="280"/>
        <v>January</v>
      </c>
      <c r="AM2610" s="133">
        <f>YEAR(Table1[[#This Row],[ETA
As requested
dd.mm.yyyy]])</f>
        <v>2025</v>
      </c>
    </row>
    <row r="2611" spans="1:40" hidden="1">
      <c r="A2611" s="123" t="s">
        <v>131</v>
      </c>
      <c r="B2611" s="36" t="s">
        <v>1170</v>
      </c>
      <c r="C2611" s="117" t="s">
        <v>1332</v>
      </c>
      <c r="D2611" s="165">
        <v>45386</v>
      </c>
      <c r="E2611" s="223" t="s">
        <v>322</v>
      </c>
      <c r="F2611" s="36">
        <f>IFERROR(VLOOKUP(Table1[[#This Row],[Part Number]],DATABASE_FG!$C$6:D12600,2,FALSE)," ")</f>
        <v>0</v>
      </c>
      <c r="G2611" s="117">
        <f>IFERROR(_xlfn.XLOOKUP(Table1[[#This Row],[Part Number]],Table3[Part number],Table3[Drawing
 Revision]),"")</f>
        <v>0</v>
      </c>
      <c r="H2611" s="118" cm="1">
        <f t="array" ref="H2611">IFERROR(INDEX(PDB!$C:$AT,MATCH(E2611,PDB!$B:$B,0),MATCH(YEAR(K2611),0+PDB!$C$1:$AT$1,0)),"")</f>
        <v>142.5</v>
      </c>
      <c r="I2611" s="36">
        <v>2</v>
      </c>
      <c r="J2611" s="125">
        <f>IFERROR(Table1[[#This Row],[Quantity]]*Table1[[#This Row],[Price/Unit
EUR]]," ")</f>
        <v>285</v>
      </c>
      <c r="K2611" s="126">
        <v>45397</v>
      </c>
      <c r="L2611" s="36">
        <f>WEEKNUM(Table1[[#This Row],[ETA
As requested
dd.mm.yyyy]])</f>
        <v>16</v>
      </c>
      <c r="M2611" s="36">
        <f>YEAR(Table1[[#This Row],[ETA
As requested
dd.mm.yyyy]])</f>
        <v>2024</v>
      </c>
      <c r="N2611" s="36">
        <f>IFERROR(INDEX(DATABASE_FG!$H$5:$H$367, MATCH(E2611, DATABASE_FG!$C$5:$C$367, 0)), " ")</f>
        <v>0</v>
      </c>
      <c r="O2611" s="129">
        <f>IF(E2611&lt;&gt;"", _xlfn.XLOOKUP(E2611, DATABASE_FG!C:C, DATABASE_FG!F:F), " ")</f>
        <v>0</v>
      </c>
      <c r="P2611" s="129">
        <f>IFERROR(INDEX(DATABASE_FG!$G$5:$G$367, MATCH(E2611, DATABASE_FG!$C$5:$C$367, 0)), "Not Found")</f>
        <v>0</v>
      </c>
      <c r="Q2611" s="36"/>
      <c r="R2611" s="125" t="s">
        <v>678</v>
      </c>
      <c r="S2611" s="123">
        <f>IFERROR(INDEX(DATABASE_FG!$L$5:$L$367, MATCH(E2611, DATABASE_FG!$C$5:$C$367, 0)), " ")</f>
        <v>42</v>
      </c>
      <c r="T2611" s="36" t="s">
        <v>679</v>
      </c>
      <c r="U2611" s="36"/>
      <c r="V2611" s="36"/>
      <c r="W2611" s="129"/>
      <c r="X2611" s="36"/>
      <c r="Y2611" s="36"/>
      <c r="Z2611" s="36">
        <v>241415</v>
      </c>
      <c r="AA2611" s="125" t="s">
        <v>677</v>
      </c>
      <c r="AB2611" s="172">
        <v>45391</v>
      </c>
      <c r="AC2611" s="119">
        <v>2024318</v>
      </c>
      <c r="AD2611" s="36" t="str">
        <f t="shared" si="283"/>
        <v>PASRO20240104</v>
      </c>
      <c r="AE2611" s="36" t="str">
        <f t="shared" si="284"/>
        <v>X-275071-01</v>
      </c>
      <c r="AF2611" s="36">
        <v>2</v>
      </c>
      <c r="AG2611" s="120">
        <f t="shared" si="282"/>
        <v>285</v>
      </c>
      <c r="AH2611" s="36"/>
      <c r="AI2611" s="124"/>
      <c r="AJ2611" s="122" t="s">
        <v>1333</v>
      </c>
      <c r="AK2611" s="129" t="str">
        <f t="shared" ca="1" si="281"/>
        <v>On Time</v>
      </c>
      <c r="AL2611" s="268" t="str">
        <f t="shared" si="280"/>
        <v>April</v>
      </c>
      <c r="AM2611" s="133">
        <f>YEAR(Table1[[#This Row],[ETA
As requested
dd.mm.yyyy]])</f>
        <v>2024</v>
      </c>
    </row>
    <row r="2612" spans="1:40" hidden="1">
      <c r="A2612" s="123" t="s">
        <v>58</v>
      </c>
      <c r="B2612" s="36" t="s">
        <v>1170</v>
      </c>
      <c r="C2612" s="117" t="s">
        <v>1498</v>
      </c>
      <c r="D2612" s="165">
        <v>45422</v>
      </c>
      <c r="E2612" s="223" t="s">
        <v>712</v>
      </c>
      <c r="F2612" s="36" t="str">
        <f>IFERROR(VLOOKUP(Table1[[#This Row],[Part Number]],DATABASE_FG!$C$6:D12601,2,FALSE)," ")</f>
        <v>Pinion conico (CAF) LEFT</v>
      </c>
      <c r="G2612" s="117" t="str">
        <f>IFERROR(_xlfn.XLOOKUP(Table1[[#This Row],[Part Number]],Table3[Part number],Table3[Drawing
 Revision]),"")</f>
        <v>C</v>
      </c>
      <c r="H2612" s="118" t="str" cm="1">
        <f t="array" ref="H2612">IFERROR(INDEX(PDB!$C:$AT,MATCH(E2612,PDB!$B:$B,0),MATCH(YEAR(K2612),0+PDB!$C$1:$AT$1,0)),"")</f>
        <v/>
      </c>
      <c r="I2612" s="36">
        <v>39</v>
      </c>
      <c r="J2612" s="125" t="str">
        <f>IFERROR(Table1[[#This Row],[Quantity]]*Table1[[#This Row],[Price/Unit
EUR]]," ")</f>
        <v xml:space="preserve"> </v>
      </c>
      <c r="K2612" s="126">
        <v>45425</v>
      </c>
      <c r="L2612" s="36">
        <f>WEEKNUM(Table1[[#This Row],[ETA
As requested
dd.mm.yyyy]])</f>
        <v>20</v>
      </c>
      <c r="M2612" s="36">
        <f>YEAR(Table1[[#This Row],[ETA
As requested
dd.mm.yyyy]])</f>
        <v>2024</v>
      </c>
      <c r="N2612" s="36">
        <f>IFERROR(INDEX(DATABASE_FG!$H$5:$H$367, MATCH(E2612, DATABASE_FG!$C$5:$C$367, 0)), " ")</f>
        <v>0</v>
      </c>
      <c r="O2612" s="129" t="str">
        <f>IF(E2612&lt;&gt;"", _xlfn.XLOOKUP(E2612, DATABASE_FG!C:C, DATABASE_FG!F:F), " ")</f>
        <v>Pinion</v>
      </c>
      <c r="P2612" s="129">
        <f>IFERROR(INDEX(DATABASE_FG!$G$5:$G$367, MATCH(E2612, DATABASE_FG!$C$5:$C$367, 0)), "Not Found")</f>
        <v>0</v>
      </c>
      <c r="Q2612" s="36"/>
      <c r="R2612" s="125" t="s">
        <v>678</v>
      </c>
      <c r="S2612" s="123">
        <f>IFERROR(INDEX(DATABASE_FG!$L$5:$L$367, MATCH(E2612, DATABASE_FG!$C$5:$C$367, 0)), " ")</f>
        <v>42</v>
      </c>
      <c r="T2612" s="36" t="s">
        <v>679</v>
      </c>
      <c r="U2612" s="36"/>
      <c r="V2612" s="36"/>
      <c r="W2612" s="129"/>
      <c r="X2612" s="36"/>
      <c r="Y2612" s="36"/>
      <c r="Z2612" s="36">
        <v>242011</v>
      </c>
      <c r="AA2612" s="125" t="s">
        <v>121</v>
      </c>
      <c r="AB2612" s="172">
        <v>45435</v>
      </c>
      <c r="AC2612" s="119">
        <v>2024528</v>
      </c>
      <c r="AD2612" s="36" t="str">
        <f t="shared" si="283"/>
        <v>RA119068</v>
      </c>
      <c r="AE2612" s="36" t="str">
        <f t="shared" si="284"/>
        <v>XR100546</v>
      </c>
      <c r="AF2612" s="36">
        <v>39</v>
      </c>
      <c r="AG2612" s="120" t="e">
        <f t="shared" si="282"/>
        <v>#VALUE!</v>
      </c>
      <c r="AH2612" s="36"/>
      <c r="AI2612" s="124"/>
      <c r="AJ2612" s="122" t="s">
        <v>1500</v>
      </c>
      <c r="AK2612" s="129" t="str">
        <f t="shared" ca="1" si="281"/>
        <v>Late</v>
      </c>
      <c r="AL2612" s="268" t="str">
        <f t="shared" si="280"/>
        <v>May</v>
      </c>
      <c r="AM2612" s="133">
        <f>YEAR(Table1[[#This Row],[ETA
As requested
dd.mm.yyyy]])</f>
        <v>2024</v>
      </c>
    </row>
    <row r="2613" spans="1:40" hidden="1">
      <c r="A2613" s="123" t="s">
        <v>58</v>
      </c>
      <c r="B2613" s="36" t="s">
        <v>1170</v>
      </c>
      <c r="C2613" s="117" t="s">
        <v>1374</v>
      </c>
      <c r="D2613" s="190">
        <v>45399</v>
      </c>
      <c r="E2613" s="349" t="s">
        <v>346</v>
      </c>
      <c r="F2613" s="36" t="str">
        <f>IFERROR(VLOOKUP(Table1[[#This Row],[Part Number]],DATABASE_FG!$C$6:D12602,2,FALSE)," ")</f>
        <v>Pinion conico (CAF) LEFT</v>
      </c>
      <c r="G2613" s="117" t="str">
        <f>IFERROR(_xlfn.XLOOKUP(Table1[[#This Row],[Part Number]],Table3[Part number],Table3[Drawing
 Revision]),"")</f>
        <v>C</v>
      </c>
      <c r="H2613" s="348" t="str" cm="1">
        <f t="array" ref="H2613">IFERROR(INDEX(PDB!$C:$AT,MATCH(E2613,PDB!$B:$B,0),MATCH(YEAR(K2613),0+PDB!$C$1:$AT$1,0)),"")</f>
        <v/>
      </c>
      <c r="I2613" s="158">
        <v>40</v>
      </c>
      <c r="J2613" s="125" t="str">
        <f>IFERROR(Table1[[#This Row],[Quantity]]*Table1[[#This Row],[Price/Unit
EUR]]," ")</f>
        <v xml:space="preserve"> </v>
      </c>
      <c r="K2613" s="126">
        <v>45406</v>
      </c>
      <c r="L2613" s="36">
        <f>WEEKNUM(Table1[[#This Row],[ETA
As requested
dd.mm.yyyy]])</f>
        <v>17</v>
      </c>
      <c r="M2613" s="36">
        <f>YEAR(Table1[[#This Row],[ETA
As requested
dd.mm.yyyy]])</f>
        <v>2024</v>
      </c>
      <c r="N2613" s="36">
        <f>IFERROR(INDEX(DATABASE_FG!$H$5:$H$367, MATCH(E2613, DATABASE_FG!$C$5:$C$367, 0)), " ")</f>
        <v>0</v>
      </c>
      <c r="O2613" s="129" t="str">
        <f>IF(E2613&lt;&gt;"", _xlfn.XLOOKUP(E2613, DATABASE_FG!C:C, DATABASE_FG!F:F), " ")</f>
        <v>Pinion</v>
      </c>
      <c r="P2613" s="129">
        <f>IFERROR(INDEX(DATABASE_FG!$G$5:$G$367, MATCH(E2613, DATABASE_FG!$C$5:$C$367, 0)), "Not Found")</f>
        <v>0</v>
      </c>
      <c r="Q2613" s="36"/>
      <c r="R2613" s="125" t="s">
        <v>678</v>
      </c>
      <c r="S2613" s="123">
        <f>IFERROR(INDEX(DATABASE_FG!$L$5:$L$367, MATCH(E2613, DATABASE_FG!$C$5:$C$367, 0)), " ")</f>
        <v>42</v>
      </c>
      <c r="T2613" s="36" t="s">
        <v>679</v>
      </c>
      <c r="U2613" s="36"/>
      <c r="V2613" s="36"/>
      <c r="W2613" s="129"/>
      <c r="X2613" s="36"/>
      <c r="Y2613" s="36"/>
      <c r="Z2613" s="36">
        <v>241721</v>
      </c>
      <c r="AA2613" s="125" t="s">
        <v>121</v>
      </c>
      <c r="AB2613" s="346">
        <v>45429</v>
      </c>
      <c r="AC2613" s="72">
        <v>2024499</v>
      </c>
      <c r="AD2613" s="158" t="str">
        <f t="shared" si="283"/>
        <v>RA118782</v>
      </c>
      <c r="AE2613" s="36" t="str">
        <f t="shared" si="284"/>
        <v>XR100548</v>
      </c>
      <c r="AF2613" s="36">
        <v>40</v>
      </c>
      <c r="AG2613" s="120" t="e">
        <f t="shared" si="282"/>
        <v>#VALUE!</v>
      </c>
      <c r="AH2613" s="36"/>
      <c r="AI2613" s="124"/>
      <c r="AJ2613" s="122" t="s">
        <v>1399</v>
      </c>
      <c r="AK2613" s="129" t="str">
        <f t="shared" ca="1" si="281"/>
        <v>Late</v>
      </c>
      <c r="AL2613" s="268" t="str">
        <f t="shared" ref="AL2613:AL2635" si="285">TEXT(K2613,"mmmm")</f>
        <v>April</v>
      </c>
      <c r="AM2613" s="133">
        <f>YEAR(Table1[[#This Row],[ETA
As requested
dd.mm.yyyy]])</f>
        <v>2024</v>
      </c>
    </row>
    <row r="2614" spans="1:40" hidden="1">
      <c r="A2614" s="123" t="s">
        <v>83</v>
      </c>
      <c r="B2614" s="36" t="s">
        <v>1170</v>
      </c>
      <c r="C2614" s="117">
        <v>36755266</v>
      </c>
      <c r="D2614" s="190">
        <v>45421</v>
      </c>
      <c r="E2614" s="117" t="s">
        <v>1643</v>
      </c>
      <c r="F2614" s="36" t="str">
        <f>IFERROR(VLOOKUP(Table1[[#This Row],[Part Number]],DATABASE_FG!$C$6:D12603,2,FALSE)," ")</f>
        <v xml:space="preserve">302086803-0000 </v>
      </c>
      <c r="G2614" s="117" t="str">
        <f>IFERROR(_xlfn.XLOOKUP(Table1[[#This Row],[Part Number]],Table3[Part number],Table3[Drawing
 Revision]),"")</f>
        <v>AD</v>
      </c>
      <c r="H2614" s="118" cm="1">
        <f t="array" ref="H2614">IFERROR(INDEX(PDB!$C:$AT,MATCH(E2614,PDB!$B:$B,0),MATCH(YEAR(K2614),0+PDB!$C$1:$AT$1,0)),"")</f>
        <v>30.31</v>
      </c>
      <c r="I2614" s="36">
        <v>5</v>
      </c>
      <c r="J2614" s="352">
        <f>IFERROR(Table1[[#This Row],[Quantity]]*Table1[[#This Row],[Price/Unit
EUR]]," ")</f>
        <v>151.54999999999998</v>
      </c>
      <c r="K2614" s="126">
        <v>45453</v>
      </c>
      <c r="L2614" s="36">
        <f>WEEKNUM(Table1[[#This Row],[ETA
As requested
dd.mm.yyyy]])</f>
        <v>24</v>
      </c>
      <c r="M2614" s="36">
        <f>YEAR(Table1[[#This Row],[ETA
As requested
dd.mm.yyyy]])</f>
        <v>2024</v>
      </c>
      <c r="N2614" s="36">
        <f>IFERROR(INDEX(DATABASE_FG!$H$5:$H$367, MATCH(E2614, DATABASE_FG!$C$5:$C$367, 0)), " ")</f>
        <v>0</v>
      </c>
      <c r="O2614" s="129" t="str">
        <f>IF(E2614&lt;&gt;"", _xlfn.XLOOKUP(E2614, DATABASE_FG!C:C, DATABASE_FG!F:F), " ")</f>
        <v>Strunjire moale</v>
      </c>
      <c r="P2614" s="129">
        <f>IFERROR(INDEX(DATABASE_FG!$G$5:$G$367, MATCH(E2614, DATABASE_FG!$C$5:$C$367, 0)), "Not Found")</f>
        <v>50</v>
      </c>
      <c r="Q2614" s="36"/>
      <c r="R2614" s="125" t="s">
        <v>680</v>
      </c>
      <c r="S2614" s="123">
        <f>IFERROR(INDEX(DATABASE_FG!$L$5:$L$367, MATCH(E2614, DATABASE_FG!$C$5:$C$367, 0)), " ")</f>
        <v>42</v>
      </c>
      <c r="T2614" s="36" t="s">
        <v>679</v>
      </c>
      <c r="U2614" s="36"/>
      <c r="V2614" s="36"/>
      <c r="W2614" s="129"/>
      <c r="X2614" s="36"/>
      <c r="Y2614" s="36"/>
      <c r="Z2614" s="36">
        <v>242304</v>
      </c>
      <c r="AA2614" s="125" t="s">
        <v>121</v>
      </c>
      <c r="AB2614" s="165">
        <v>45496</v>
      </c>
      <c r="AC2614" s="119">
        <v>2024906</v>
      </c>
      <c r="AD2614" s="36">
        <f t="shared" si="283"/>
        <v>36755266</v>
      </c>
      <c r="AE2614" s="122" t="str">
        <f t="shared" si="284"/>
        <v>XU080264-10/2-DRE</v>
      </c>
      <c r="AF2614" s="36">
        <v>5</v>
      </c>
      <c r="AG2614" s="120">
        <f t="shared" si="282"/>
        <v>151.54999999999998</v>
      </c>
      <c r="AH2614" s="36"/>
      <c r="AI2614" s="124"/>
      <c r="AJ2614" s="122" t="s">
        <v>1645</v>
      </c>
      <c r="AK2614" s="129" t="str">
        <f t="shared" ca="1" si="281"/>
        <v>Late</v>
      </c>
      <c r="AL2614" s="268" t="str">
        <f t="shared" si="285"/>
        <v>June</v>
      </c>
      <c r="AM2614" s="133">
        <f>YEAR(Table1[[#This Row],[ETA
As requested
dd.mm.yyyy]])</f>
        <v>2024</v>
      </c>
    </row>
    <row r="2615" spans="1:40" hidden="1">
      <c r="A2615" s="123" t="s">
        <v>83</v>
      </c>
      <c r="B2615" s="36" t="s">
        <v>1170</v>
      </c>
      <c r="C2615" s="117">
        <v>36755266</v>
      </c>
      <c r="D2615" s="190">
        <v>45421</v>
      </c>
      <c r="E2615" s="117" t="s">
        <v>1643</v>
      </c>
      <c r="F2615" s="36" t="str">
        <f>IFERROR(VLOOKUP(Table1[[#This Row],[Part Number]],DATABASE_FG!$C$6:D12604,2,FALSE)," ")</f>
        <v xml:space="preserve">302086803-0000 </v>
      </c>
      <c r="G2615" s="117" t="str">
        <f>IFERROR(_xlfn.XLOOKUP(Table1[[#This Row],[Part Number]],Table3[Part number],Table3[Drawing
 Revision]),"")</f>
        <v>AD</v>
      </c>
      <c r="H2615" s="118" cm="1">
        <f t="array" ref="H2615">IFERROR(INDEX(PDB!$C:$AT,MATCH(E2615,PDB!$B:$B,0),MATCH(YEAR(K2615),0+PDB!$C$1:$AT$1,0)),"")</f>
        <v>30.31</v>
      </c>
      <c r="I2615" s="36">
        <v>23</v>
      </c>
      <c r="J2615" s="352">
        <f>IFERROR(Table1[[#This Row],[Quantity]]*Table1[[#This Row],[Price/Unit
EUR]]," ")</f>
        <v>697.13</v>
      </c>
      <c r="K2615" s="126">
        <v>45453</v>
      </c>
      <c r="L2615" s="36">
        <f>WEEKNUM(Table1[[#This Row],[ETA
As requested
dd.mm.yyyy]])</f>
        <v>24</v>
      </c>
      <c r="M2615" s="36">
        <f>YEAR(Table1[[#This Row],[ETA
As requested
dd.mm.yyyy]])</f>
        <v>2024</v>
      </c>
      <c r="N2615" s="36">
        <f>IFERROR(INDEX(DATABASE_FG!$H$5:$H$367, MATCH(E2615, DATABASE_FG!$C$5:$C$367, 0)), " ")</f>
        <v>0</v>
      </c>
      <c r="O2615" s="129" t="str">
        <f>IF(E2615&lt;&gt;"", _xlfn.XLOOKUP(E2615, DATABASE_FG!C:C, DATABASE_FG!F:F), " ")</f>
        <v>Strunjire moale</v>
      </c>
      <c r="P2615" s="129">
        <f>IFERROR(INDEX(DATABASE_FG!$G$5:$G$367, MATCH(E2615, DATABASE_FG!$C$5:$C$367, 0)), "Not Found")</f>
        <v>50</v>
      </c>
      <c r="Q2615" s="36"/>
      <c r="R2615" s="125" t="s">
        <v>680</v>
      </c>
      <c r="S2615" s="123">
        <f>IFERROR(INDEX(DATABASE_FG!$L$5:$L$367, MATCH(E2615, DATABASE_FG!$C$5:$C$367, 0)), " ")</f>
        <v>42</v>
      </c>
      <c r="T2615" s="36" t="s">
        <v>679</v>
      </c>
      <c r="U2615" s="36"/>
      <c r="V2615" s="36"/>
      <c r="W2615" s="129"/>
      <c r="X2615" s="36"/>
      <c r="Y2615" s="36"/>
      <c r="Z2615" s="36">
        <v>242305</v>
      </c>
      <c r="AA2615" s="125" t="s">
        <v>121</v>
      </c>
      <c r="AB2615" s="165">
        <v>45496</v>
      </c>
      <c r="AC2615" s="119">
        <v>2024906</v>
      </c>
      <c r="AD2615" s="36">
        <f t="shared" si="283"/>
        <v>36755266</v>
      </c>
      <c r="AE2615" s="122" t="str">
        <f t="shared" si="284"/>
        <v>XU080264-10/2-DRE</v>
      </c>
      <c r="AF2615" s="36">
        <v>17</v>
      </c>
      <c r="AG2615" s="120">
        <f t="shared" si="282"/>
        <v>515.27</v>
      </c>
      <c r="AH2615" s="36">
        <v>6</v>
      </c>
      <c r="AI2615" s="124" t="s">
        <v>1646</v>
      </c>
      <c r="AJ2615" s="122" t="s">
        <v>1645</v>
      </c>
      <c r="AK2615" s="129" t="str">
        <f t="shared" ca="1" si="281"/>
        <v>Late</v>
      </c>
      <c r="AL2615" s="268" t="str">
        <f t="shared" si="285"/>
        <v>June</v>
      </c>
      <c r="AM2615" s="133">
        <f>YEAR(Table1[[#This Row],[ETA
As requested
dd.mm.yyyy]])</f>
        <v>2024</v>
      </c>
    </row>
    <row r="2616" spans="1:40" hidden="1">
      <c r="A2616" s="123" t="s">
        <v>83</v>
      </c>
      <c r="B2616" s="36" t="s">
        <v>1170</v>
      </c>
      <c r="C2616" s="117">
        <v>37365158</v>
      </c>
      <c r="D2616" s="165">
        <v>45503</v>
      </c>
      <c r="E2616" s="351" t="s">
        <v>1643</v>
      </c>
      <c r="F2616" s="36" t="str">
        <f>IFERROR(VLOOKUP(Table1[[#This Row],[Part Number]],DATABASE_FG!$C$6:D12605,2,FALSE)," ")</f>
        <v xml:space="preserve">302086803-0000 </v>
      </c>
      <c r="G2616" s="117" t="str">
        <f>IFERROR(_xlfn.XLOOKUP(Table1[[#This Row],[Part Number]],Table3[Part number],Table3[Drawing
 Revision]),"")</f>
        <v>AD</v>
      </c>
      <c r="H2616" s="118" cm="1">
        <f t="array" ref="H2616">IFERROR(INDEX(PDB!$C:$AT,MATCH(E2616,PDB!$B:$B,0),MATCH(YEAR(K2616),0+PDB!$C$1:$AT$1,0)),"")</f>
        <v>30.31</v>
      </c>
      <c r="I2616" s="129">
        <v>28</v>
      </c>
      <c r="J2616" s="125">
        <f>IFERROR(Table1[[#This Row],[Quantity]]*Table1[[#This Row],[Price/Unit
EUR]]," ")</f>
        <v>848.68</v>
      </c>
      <c r="K2616" s="126">
        <v>45524</v>
      </c>
      <c r="L2616" s="36">
        <f>WEEKNUM(Table1[[#This Row],[ETA
As requested
dd.mm.yyyy]])</f>
        <v>34</v>
      </c>
      <c r="M2616" s="36">
        <f>YEAR(Table1[[#This Row],[ETA
As requested
dd.mm.yyyy]])</f>
        <v>2024</v>
      </c>
      <c r="N2616" s="36">
        <f>IFERROR(INDEX(DATABASE_FG!$H$5:$H$367, MATCH(E2616, DATABASE_FG!$C$5:$C$367, 0)), " ")</f>
        <v>0</v>
      </c>
      <c r="O2616" s="129" t="str">
        <f>IF(E2616&lt;&gt;"", _xlfn.XLOOKUP(E2616, DATABASE_FG!C:C, DATABASE_FG!F:F), " ")</f>
        <v>Strunjire moale</v>
      </c>
      <c r="P2616" s="129">
        <f>IFERROR(INDEX(DATABASE_FG!$G$5:$G$367, MATCH(E2616, DATABASE_FG!$C$5:$C$367, 0)), "Not Found")</f>
        <v>50</v>
      </c>
      <c r="Q2616" s="36"/>
      <c r="R2616" s="125" t="s">
        <v>680</v>
      </c>
      <c r="S2616" s="123">
        <f>IFERROR(INDEX(DATABASE_FG!$L$5:$L$367, MATCH(E2616, DATABASE_FG!$C$5:$C$367, 0)), " ")</f>
        <v>42</v>
      </c>
      <c r="T2616" s="36" t="s">
        <v>679</v>
      </c>
      <c r="U2616" s="36"/>
      <c r="V2616" s="36"/>
      <c r="W2616" s="129"/>
      <c r="X2616" s="36"/>
      <c r="Y2616" s="36"/>
      <c r="Z2616" s="36"/>
      <c r="AA2616" s="125" t="s">
        <v>121</v>
      </c>
      <c r="AB2616" s="172">
        <v>45525</v>
      </c>
      <c r="AC2616" s="72">
        <v>202401051</v>
      </c>
      <c r="AD2616" s="129">
        <f t="shared" si="283"/>
        <v>37365158</v>
      </c>
      <c r="AE2616" s="36" t="str">
        <f t="shared" si="284"/>
        <v>XU080264-10/2-DRE</v>
      </c>
      <c r="AF2616" s="36">
        <v>23</v>
      </c>
      <c r="AG2616" s="120">
        <f t="shared" si="282"/>
        <v>697.13</v>
      </c>
      <c r="AH2616" s="36">
        <v>5</v>
      </c>
      <c r="AI2616" s="124" t="s">
        <v>2105</v>
      </c>
      <c r="AJ2616" s="122" t="s">
        <v>2106</v>
      </c>
      <c r="AK2616" s="129" t="str">
        <f t="shared" ref="AK2616:AK2635" ca="1" si="286">IF(AB2616="", IF(K2616 &lt; TODAY(), "Late", ""), IF(AB2616 &lt;= K2616 + 2, "On Time", "Late"))</f>
        <v>On Time</v>
      </c>
      <c r="AL2616" s="268" t="str">
        <f t="shared" si="285"/>
        <v>August</v>
      </c>
      <c r="AM2616" s="133">
        <f>YEAR(Table1[[#This Row],[ETA
As requested
dd.mm.yyyy]])</f>
        <v>2024</v>
      </c>
    </row>
    <row r="2617" spans="1:40" hidden="1">
      <c r="A2617" s="123" t="s">
        <v>83</v>
      </c>
      <c r="B2617" s="36" t="s">
        <v>1170</v>
      </c>
      <c r="C2617" s="117">
        <v>37759578</v>
      </c>
      <c r="D2617" s="190">
        <v>45447</v>
      </c>
      <c r="E2617" s="223" t="s">
        <v>1643</v>
      </c>
      <c r="F2617" s="36" t="str">
        <f>IFERROR(VLOOKUP(Table1[[#This Row],[Part Number]],DATABASE_FG!$C$6:D12606,2,FALSE)," ")</f>
        <v xml:space="preserve">302086803-0000 </v>
      </c>
      <c r="G2617" s="117" t="str">
        <f>IFERROR(_xlfn.XLOOKUP(Table1[[#This Row],[Part Number]],Table3[Part number],Table3[Drawing
 Revision]),"")</f>
        <v>AD</v>
      </c>
      <c r="H2617" s="118" cm="1">
        <f t="array" ref="H2617">IFERROR(INDEX(PDB!$C:$AT,MATCH(E2617,PDB!$B:$B,0),MATCH(YEAR(K2617),0+PDB!$C$1:$AT$1,0)),"")</f>
        <v>30.31</v>
      </c>
      <c r="I2617" s="36">
        <v>94</v>
      </c>
      <c r="J2617" s="125">
        <f>IFERROR(Table1[[#This Row],[Quantity]]*Table1[[#This Row],[Price/Unit
EUR]]," ")</f>
        <v>2849.14</v>
      </c>
      <c r="K2617" s="126">
        <v>45585</v>
      </c>
      <c r="L2617" s="36">
        <f>WEEKNUM(Table1[[#This Row],[ETA
As requested
dd.mm.yyyy]])</f>
        <v>43</v>
      </c>
      <c r="M2617" s="36">
        <f>YEAR(Table1[[#This Row],[ETA
As requested
dd.mm.yyyy]])</f>
        <v>2024</v>
      </c>
      <c r="N2617" s="36">
        <f>IFERROR(INDEX(DATABASE_FG!$H$5:$H$367, MATCH(E2617, DATABASE_FG!$C$5:$C$367, 0)), " ")</f>
        <v>0</v>
      </c>
      <c r="O2617" s="129" t="str">
        <f>IF(E2617&lt;&gt;"", _xlfn.XLOOKUP(E2617, DATABASE_FG!C:C, DATABASE_FG!F:F), " ")</f>
        <v>Strunjire moale</v>
      </c>
      <c r="P2617" s="129">
        <f>IFERROR(INDEX(DATABASE_FG!$G$5:$G$367, MATCH(E2617, DATABASE_FG!$C$5:$C$367, 0)), "Not Found")</f>
        <v>50</v>
      </c>
      <c r="Q2617" s="36"/>
      <c r="R2617" s="125" t="s">
        <v>678</v>
      </c>
      <c r="S2617" s="123">
        <f>IFERROR(INDEX(DATABASE_FG!$L$5:$L$367, MATCH(E2617, DATABASE_FG!$C$5:$C$367, 0)), " ")</f>
        <v>42</v>
      </c>
      <c r="T2617" s="36" t="s">
        <v>679</v>
      </c>
      <c r="U2617" s="36"/>
      <c r="V2617" s="36"/>
      <c r="W2617" s="129"/>
      <c r="X2617" s="36"/>
      <c r="Y2617" s="36"/>
      <c r="Z2617" s="36"/>
      <c r="AA2617" s="125" t="s">
        <v>121</v>
      </c>
      <c r="AB2617" s="346">
        <v>45582</v>
      </c>
      <c r="AC2617" s="72">
        <v>202401241</v>
      </c>
      <c r="AD2617" s="158">
        <f t="shared" si="283"/>
        <v>37759578</v>
      </c>
      <c r="AE2617" s="36" t="str">
        <f t="shared" si="284"/>
        <v>XU080264-10/2-DRE</v>
      </c>
      <c r="AF2617" s="36">
        <v>94</v>
      </c>
      <c r="AG2617" s="120">
        <f t="shared" si="282"/>
        <v>2849.14</v>
      </c>
      <c r="AH2617" s="36">
        <v>5</v>
      </c>
      <c r="AI2617" s="124"/>
      <c r="AJ2617" s="122" t="s">
        <v>2487</v>
      </c>
      <c r="AK2617" s="129" t="str">
        <f t="shared" ca="1" si="286"/>
        <v>On Time</v>
      </c>
      <c r="AL2617" s="268" t="str">
        <f t="shared" si="285"/>
        <v>October</v>
      </c>
      <c r="AM2617" s="133">
        <f>YEAR(Table1[[#This Row],[ETA
As requested
dd.mm.yyyy]])</f>
        <v>2024</v>
      </c>
    </row>
    <row r="2618" spans="1:40" hidden="1">
      <c r="A2618" s="123" t="s">
        <v>83</v>
      </c>
      <c r="B2618" s="36" t="s">
        <v>1170</v>
      </c>
      <c r="C2618" s="180">
        <v>38782051</v>
      </c>
      <c r="D2618" s="165">
        <v>45806</v>
      </c>
      <c r="E2618" s="223" t="s">
        <v>1643</v>
      </c>
      <c r="F2618" s="36" t="str">
        <f>IFERROR(VLOOKUP(Table1[[#This Row],[Part Number]],DATABASE_FG!$C$6:D12607,2,FALSE)," ")</f>
        <v xml:space="preserve">302086803-0000 </v>
      </c>
      <c r="G2618" s="117" t="str">
        <f>IFERROR(_xlfn.XLOOKUP(Table1[[#This Row],[Part Number]],Table3[Part number],Table3[Drawing
 Revision]),"")</f>
        <v>AD</v>
      </c>
      <c r="H2618" s="118" cm="1">
        <f t="array" ref="H2618">IFERROR(INDEX(PDB!$C:$AT,MATCH(E2618,PDB!$B:$B,0),MATCH(YEAR(K2618),0+PDB!$C$1:$AT$1,0)),"")</f>
        <v>30.31</v>
      </c>
      <c r="I2618" s="36">
        <v>42</v>
      </c>
      <c r="J2618" s="125">
        <f>IFERROR(Table1[[#This Row],[Quantity]]*Table1[[#This Row],[Price/Unit
EUR]]," ")</f>
        <v>1273.02</v>
      </c>
      <c r="K2618" s="126">
        <v>45838</v>
      </c>
      <c r="L2618" s="36">
        <f>WEEKNUM(Table1[[#This Row],[ETA
As requested
dd.mm.yyyy]])</f>
        <v>27</v>
      </c>
      <c r="M2618" s="36">
        <f>YEAR(Table1[[#This Row],[ETA
As requested
dd.mm.yyyy]])</f>
        <v>2025</v>
      </c>
      <c r="N2618" s="36">
        <f>IFERROR(INDEX(DATABASE_FG!$H$5:$H$367, MATCH(E2618, DATABASE_FG!$C$5:$C$367, 0)), " ")</f>
        <v>0</v>
      </c>
      <c r="O2618" s="129" t="str">
        <f>IF(E2618&lt;&gt;"", _xlfn.XLOOKUP(E2618, DATABASE_FG!C:C, DATABASE_FG!F:F), " ")</f>
        <v>Strunjire moale</v>
      </c>
      <c r="P2618" s="129">
        <f>IFERROR(INDEX(DATABASE_FG!$G$5:$G$367, MATCH(E2618, DATABASE_FG!$C$5:$C$367, 0)), "Not Found")</f>
        <v>50</v>
      </c>
      <c r="Q2618" s="36"/>
      <c r="R2618" s="125" t="s">
        <v>678</v>
      </c>
      <c r="S2618" s="123">
        <f>Table1[[#This Row],[Quantity]]/48</f>
        <v>0.875</v>
      </c>
      <c r="T2618" s="36"/>
      <c r="U2618" s="36"/>
      <c r="V2618" s="36"/>
      <c r="W2618" s="129"/>
      <c r="X2618" s="36"/>
      <c r="Y2618" s="36"/>
      <c r="Z2618" s="36"/>
      <c r="AA2618" s="125" t="s">
        <v>121</v>
      </c>
      <c r="AB2618" s="165">
        <v>45834</v>
      </c>
      <c r="AC2618" s="119">
        <v>29590</v>
      </c>
      <c r="AD2618" s="36">
        <f t="shared" si="283"/>
        <v>38782051</v>
      </c>
      <c r="AE2618" s="122" t="str">
        <f t="shared" si="284"/>
        <v>XU080264-10/2-DRE</v>
      </c>
      <c r="AF2618" s="36">
        <v>42</v>
      </c>
      <c r="AG2618" s="120">
        <f t="shared" si="282"/>
        <v>1273.02</v>
      </c>
      <c r="AH2618" s="36"/>
      <c r="AI2618" s="124"/>
      <c r="AJ2618" s="122" t="s">
        <v>3360</v>
      </c>
      <c r="AK2618" s="129" t="str">
        <f t="shared" ca="1" si="286"/>
        <v>On Time</v>
      </c>
      <c r="AL2618" s="268" t="str">
        <f t="shared" si="285"/>
        <v>June</v>
      </c>
      <c r="AM2618" s="133">
        <f>YEAR(Table1[[#This Row],[ETA
As requested
dd.mm.yyyy]])</f>
        <v>2025</v>
      </c>
    </row>
    <row r="2619" spans="1:40" hidden="1">
      <c r="A2619" s="177" t="s">
        <v>83</v>
      </c>
      <c r="B2619" s="178" t="s">
        <v>1170</v>
      </c>
      <c r="C2619" s="180">
        <v>38782051</v>
      </c>
      <c r="D2619" s="179">
        <v>45722</v>
      </c>
      <c r="E2619" s="359" t="s">
        <v>1643</v>
      </c>
      <c r="F2619" s="36" t="str">
        <f>IFERROR(VLOOKUP(Table1[[#This Row],[Part Number]],DATABASE_FG!$C$6:D12608,2,FALSE)," ")</f>
        <v xml:space="preserve">302086803-0000 </v>
      </c>
      <c r="G2619" s="117" t="str">
        <f>IFERROR(_xlfn.XLOOKUP(Table1[[#This Row],[Part Number]],Table3[Part number],Table3[Drawing
 Revision]),"")</f>
        <v>AD</v>
      </c>
      <c r="H2619" s="118" cm="1">
        <f t="array" ref="H2619">IFERROR(INDEX(PDB!$C:$AT,MATCH(E2619,PDB!$B:$B,0),MATCH(YEAR(K2619),0+PDB!$C$1:$AT$1,0)),"")</f>
        <v>30.31</v>
      </c>
      <c r="I2619" s="178">
        <v>42</v>
      </c>
      <c r="J2619" s="181">
        <f>IFERROR(Table1[[#This Row],[Quantity]]*Table1[[#This Row],[Price/Unit
EUR]]," ")</f>
        <v>1273.02</v>
      </c>
      <c r="K2619" s="173">
        <v>45838</v>
      </c>
      <c r="L2619" s="36">
        <f>WEEKNUM(Table1[[#This Row],[ETA
As requested
dd.mm.yyyy]])</f>
        <v>27</v>
      </c>
      <c r="M2619" s="36">
        <f>YEAR(Table1[[#This Row],[ETA
As requested
dd.mm.yyyy]])</f>
        <v>2025</v>
      </c>
      <c r="N2619" s="36">
        <f>IFERROR(INDEX(DATABASE_FG!$H$5:$H$367, MATCH(E2619, DATABASE_FG!$C$5:$C$367, 0)), " ")</f>
        <v>0</v>
      </c>
      <c r="O2619" s="129" t="str">
        <f>IF(E2619&lt;&gt;"", _xlfn.XLOOKUP(E2619, DATABASE_FG!C:C, DATABASE_FG!F:F), " ")</f>
        <v>Strunjire moale</v>
      </c>
      <c r="P2619" s="129">
        <f>IFERROR(INDEX(DATABASE_FG!$G$5:$G$367, MATCH(E2619, DATABASE_FG!$C$5:$C$367, 0)), "Not Found")</f>
        <v>50</v>
      </c>
      <c r="Q2619" s="36"/>
      <c r="R2619" s="125" t="s">
        <v>678</v>
      </c>
      <c r="S2619" s="123">
        <f>Table1[[#This Row],[Quantity]]/48</f>
        <v>0.875</v>
      </c>
      <c r="T2619" s="36"/>
      <c r="U2619" s="36"/>
      <c r="V2619" s="178"/>
      <c r="W2619" s="183"/>
      <c r="X2619" s="178"/>
      <c r="Y2619" s="178"/>
      <c r="Z2619" s="178"/>
      <c r="AA2619" s="181" t="s">
        <v>121</v>
      </c>
      <c r="AB2619" s="179">
        <v>45834</v>
      </c>
      <c r="AC2619" s="185">
        <v>29590</v>
      </c>
      <c r="AD2619" s="178">
        <f t="shared" si="283"/>
        <v>38782051</v>
      </c>
      <c r="AE2619" s="186" t="str">
        <f t="shared" si="284"/>
        <v>XU080264-10/2-DRE</v>
      </c>
      <c r="AF2619" s="178">
        <v>42</v>
      </c>
      <c r="AG2619" s="120">
        <f t="shared" si="282"/>
        <v>1273.02</v>
      </c>
      <c r="AH2619" s="178"/>
      <c r="AI2619" s="188"/>
      <c r="AJ2619" s="186"/>
      <c r="AK2619" s="129" t="str">
        <f t="shared" ca="1" si="286"/>
        <v>On Time</v>
      </c>
      <c r="AL2619" s="268" t="str">
        <f t="shared" si="285"/>
        <v>June</v>
      </c>
      <c r="AM2619" s="133">
        <f>YEAR(Table1[[#This Row],[ETA
As requested
dd.mm.yyyy]])</f>
        <v>2025</v>
      </c>
    </row>
    <row r="2620" spans="1:40" hidden="1">
      <c r="A2620" s="123" t="s">
        <v>83</v>
      </c>
      <c r="B2620" s="36" t="s">
        <v>1170</v>
      </c>
      <c r="C2620" s="117">
        <v>37365158</v>
      </c>
      <c r="D2620" s="190">
        <v>45806</v>
      </c>
      <c r="E2620" s="223" t="s">
        <v>1643</v>
      </c>
      <c r="F2620" s="36" t="str">
        <f>IFERROR(VLOOKUP(Table1[[#This Row],[Part Number]],DATABASE_FG!$C$6:D12609,2,FALSE)," ")</f>
        <v xml:space="preserve">302086803-0000 </v>
      </c>
      <c r="G2620" s="117" t="str">
        <f>IFERROR(_xlfn.XLOOKUP(Table1[[#This Row],[Part Number]],Table3[Part number],Table3[Drawing
 Revision]),"")</f>
        <v>AD</v>
      </c>
      <c r="H2620" s="118" cm="1">
        <f t="array" ref="H2620">IFERROR(INDEX(PDB!$C:$AT,MATCH(E2620,PDB!$B:$B,0),MATCH(YEAR(K2620),0+PDB!$C$1:$AT$1,0)),"")</f>
        <v>30.31</v>
      </c>
      <c r="I2620" s="36">
        <v>35</v>
      </c>
      <c r="J2620" s="125">
        <f>IFERROR(Table1[[#This Row],[Quantity]]*Table1[[#This Row],[Price/Unit
EUR]]," ")</f>
        <v>1060.8499999999999</v>
      </c>
      <c r="K2620" s="126">
        <v>45838</v>
      </c>
      <c r="L2620" s="36">
        <f>WEEKNUM(Table1[[#This Row],[ETA
As requested
dd.mm.yyyy]])</f>
        <v>27</v>
      </c>
      <c r="M2620" s="36">
        <f>YEAR(Table1[[#This Row],[ETA
As requested
dd.mm.yyyy]])</f>
        <v>2025</v>
      </c>
      <c r="N2620" s="36">
        <f>IFERROR(INDEX(DATABASE_FG!$H$5:$H$367, MATCH(E2620, DATABASE_FG!$C$5:$C$367, 0)), " ")</f>
        <v>0</v>
      </c>
      <c r="O2620" s="129" t="str">
        <f>IF(E2620&lt;&gt;"", _xlfn.XLOOKUP(E2620, DATABASE_FG!C:C, DATABASE_FG!F:F), " ")</f>
        <v>Strunjire moale</v>
      </c>
      <c r="P2620" s="129">
        <f>IFERROR(INDEX(DATABASE_FG!$G$5:$G$367, MATCH(E2620, DATABASE_FG!$C$5:$C$367, 0)), "Not Found")</f>
        <v>50</v>
      </c>
      <c r="Q2620" s="36"/>
      <c r="R2620" s="125" t="s">
        <v>678</v>
      </c>
      <c r="S2620" s="123">
        <f>Table1[[#This Row],[Quantity]]/48</f>
        <v>0.72916666666666663</v>
      </c>
      <c r="T2620" s="36"/>
      <c r="U2620" s="36"/>
      <c r="V2620" s="36"/>
      <c r="W2620" s="129"/>
      <c r="X2620" s="36"/>
      <c r="Y2620" s="36"/>
      <c r="Z2620" s="36"/>
      <c r="AA2620" s="125" t="s">
        <v>121</v>
      </c>
      <c r="AB2620" s="172">
        <v>45835</v>
      </c>
      <c r="AC2620" s="72">
        <v>260003</v>
      </c>
      <c r="AD2620" s="129">
        <f t="shared" si="283"/>
        <v>37365158</v>
      </c>
      <c r="AE2620" s="36" t="str">
        <f t="shared" si="284"/>
        <v>XU080264-10/2-DRE</v>
      </c>
      <c r="AF2620" s="36">
        <v>35</v>
      </c>
      <c r="AG2620" s="120">
        <f t="shared" si="282"/>
        <v>1060.8499999999999</v>
      </c>
      <c r="AH2620" s="36"/>
      <c r="AI2620" s="124"/>
      <c r="AJ2620" s="122" t="s">
        <v>3364</v>
      </c>
      <c r="AK2620" s="129" t="str">
        <f t="shared" ca="1" si="286"/>
        <v>On Time</v>
      </c>
      <c r="AL2620" s="268" t="str">
        <f t="shared" si="285"/>
        <v>June</v>
      </c>
      <c r="AM2620" s="133">
        <f>YEAR(Table1[[#This Row],[ETA
As requested
dd.mm.yyyy]])</f>
        <v>2025</v>
      </c>
    </row>
    <row r="2621" spans="1:40" hidden="1">
      <c r="A2621" s="123" t="s">
        <v>83</v>
      </c>
      <c r="B2621" s="36" t="s">
        <v>1170</v>
      </c>
      <c r="C2621" s="180">
        <v>38782051</v>
      </c>
      <c r="D2621" s="165">
        <v>45806</v>
      </c>
      <c r="E2621" s="223" t="s">
        <v>1643</v>
      </c>
      <c r="F2621" s="36" t="str">
        <f>IFERROR(VLOOKUP(Table1[[#This Row],[Part Number]],DATABASE_FG!$C$6:D12610,2,FALSE)," ")</f>
        <v xml:space="preserve">302086803-0000 </v>
      </c>
      <c r="G2621" s="117" t="str">
        <f>IFERROR(_xlfn.XLOOKUP(Table1[[#This Row],[Part Number]],Table3[Part number],Table3[Drawing
 Revision]),"")</f>
        <v>AD</v>
      </c>
      <c r="H2621" s="118" cm="1">
        <f t="array" ref="H2621">IFERROR(INDEX(PDB!$C:$AT,MATCH(E2621,PDB!$B:$B,0),MATCH(YEAR(K2621),0+PDB!$C$1:$AT$1,0)),"")</f>
        <v>30.31</v>
      </c>
      <c r="I2621" s="36">
        <v>23</v>
      </c>
      <c r="J2621" s="125">
        <f>IFERROR(Table1[[#This Row],[Quantity]]*Table1[[#This Row],[Price/Unit
EUR]]," ")</f>
        <v>697.13</v>
      </c>
      <c r="K2621" s="126">
        <v>45838</v>
      </c>
      <c r="L2621" s="36">
        <f>WEEKNUM(Table1[[#This Row],[ETA
As requested
dd.mm.yyyy]])</f>
        <v>27</v>
      </c>
      <c r="M2621" s="36">
        <f>YEAR(Table1[[#This Row],[ETA
As requested
dd.mm.yyyy]])</f>
        <v>2025</v>
      </c>
      <c r="N2621" s="36">
        <f>IFERROR(INDEX(DATABASE_FG!$H$5:$H$367, MATCH(E2621, DATABASE_FG!$C$5:$C$367, 0)), " ")</f>
        <v>0</v>
      </c>
      <c r="O2621" s="129" t="str">
        <f>IF(E2621&lt;&gt;"", _xlfn.XLOOKUP(E2621, DATABASE_FG!C:C, DATABASE_FG!F:F), " ")</f>
        <v>Strunjire moale</v>
      </c>
      <c r="P2621" s="129">
        <f>IFERROR(INDEX(DATABASE_FG!$G$5:$G$367, MATCH(E2621, DATABASE_FG!$C$5:$C$367, 0)), "Not Found")</f>
        <v>50</v>
      </c>
      <c r="Q2621" s="36"/>
      <c r="R2621" s="125" t="s">
        <v>678</v>
      </c>
      <c r="S2621" s="123">
        <f>Table1[[#This Row],[Quantity]]/48</f>
        <v>0.47916666666666669</v>
      </c>
      <c r="T2621" s="36" t="s">
        <v>679</v>
      </c>
      <c r="U2621" s="36"/>
      <c r="V2621" s="36"/>
      <c r="W2621" s="129"/>
      <c r="X2621" s="36"/>
      <c r="Y2621" s="36"/>
      <c r="Z2621" s="36"/>
      <c r="AA2621" s="125" t="s">
        <v>121</v>
      </c>
      <c r="AB2621" s="172">
        <v>45838</v>
      </c>
      <c r="AC2621" s="72">
        <v>260007</v>
      </c>
      <c r="AD2621" s="36">
        <f t="shared" si="283"/>
        <v>38782051</v>
      </c>
      <c r="AE2621" s="36" t="str">
        <f t="shared" si="284"/>
        <v>XU080264-10/2-DRE</v>
      </c>
      <c r="AF2621" s="36">
        <v>22</v>
      </c>
      <c r="AG2621" s="120">
        <f t="shared" si="282"/>
        <v>666.81999999999994</v>
      </c>
      <c r="AH2621" s="36">
        <v>3</v>
      </c>
      <c r="AI2621" s="124"/>
      <c r="AJ2621" s="122" t="s">
        <v>3371</v>
      </c>
      <c r="AK2621" s="129" t="str">
        <f t="shared" ca="1" si="286"/>
        <v>On Time</v>
      </c>
      <c r="AL2621" s="268" t="str">
        <f t="shared" si="285"/>
        <v>June</v>
      </c>
      <c r="AM2621" s="133">
        <f>YEAR(Table1[[#This Row],[ETA
As requested
dd.mm.yyyy]])</f>
        <v>2025</v>
      </c>
    </row>
    <row r="2622" spans="1:40" s="191" customFormat="1" hidden="1">
      <c r="A2622" s="123" t="s">
        <v>83</v>
      </c>
      <c r="B2622" s="36" t="s">
        <v>1170</v>
      </c>
      <c r="C2622" s="117">
        <v>36754880</v>
      </c>
      <c r="D2622" s="190">
        <v>45421</v>
      </c>
      <c r="E2622" s="223" t="s">
        <v>446</v>
      </c>
      <c r="F2622" s="36" t="str">
        <f>IFERROR(VLOOKUP(Table1[[#This Row],[Part Number]],DATABASE_FG!$C$6:D12611,2,FALSE)," ")</f>
        <v>302086811-0000</v>
      </c>
      <c r="G2622" s="117" t="str">
        <f>IFERROR(_xlfn.XLOOKUP(Table1[[#This Row],[Part Number]],Table3[Part number],Table3[Drawing
 Revision]),"")</f>
        <v>AC</v>
      </c>
      <c r="H2622" s="118" cm="1">
        <f t="array" ref="H2622">IFERROR(INDEX(PDB!$C:$AT,MATCH(E2622,PDB!$B:$B,0),MATCH(YEAR(K2622),0+PDB!$C$1:$AT$1,0)),"")</f>
        <v>16.63</v>
      </c>
      <c r="I2622" s="36">
        <v>5</v>
      </c>
      <c r="J2622" s="125">
        <f>IFERROR(Table1[[#This Row],[Quantity]]*Table1[[#This Row],[Price/Unit
EUR]]," ")</f>
        <v>83.149999999999991</v>
      </c>
      <c r="K2622" s="126">
        <v>45453</v>
      </c>
      <c r="L2622" s="36">
        <f>WEEKNUM(Table1[[#This Row],[ETA
As requested
dd.mm.yyyy]])</f>
        <v>24</v>
      </c>
      <c r="M2622" s="36">
        <f>YEAR(Table1[[#This Row],[ETA
As requested
dd.mm.yyyy]])</f>
        <v>2024</v>
      </c>
      <c r="N2622" s="36">
        <f>IFERROR(INDEX(DATABASE_FG!$H$5:$H$367, MATCH(E2622, DATABASE_FG!$C$5:$C$367, 0)), " ")</f>
        <v>0</v>
      </c>
      <c r="O2622" s="129" t="str">
        <f>IF(E2622&lt;&gt;"", _xlfn.XLOOKUP(E2622, DATABASE_FG!C:C, DATABASE_FG!F:F), " ")</f>
        <v>Strunjire moale</v>
      </c>
      <c r="P2622" s="129">
        <f>IFERROR(INDEX(DATABASE_FG!$G$5:$G$367, MATCH(E2622, DATABASE_FG!$C$5:$C$367, 0)), "Not Found")</f>
        <v>50</v>
      </c>
      <c r="Q2622" s="36"/>
      <c r="R2622" s="125" t="s">
        <v>680</v>
      </c>
      <c r="S2622" s="123">
        <f>IFERROR(INDEX(DATABASE_FG!$L$5:$L$367, MATCH(E2622, DATABASE_FG!$C$5:$C$367, 0)), " ")</f>
        <v>42</v>
      </c>
      <c r="T2622" s="36" t="s">
        <v>679</v>
      </c>
      <c r="U2622" s="36"/>
      <c r="V2622" s="36"/>
      <c r="W2622" s="129"/>
      <c r="X2622" s="36"/>
      <c r="Y2622" s="36"/>
      <c r="Z2622" s="36">
        <v>242303</v>
      </c>
      <c r="AA2622" s="125" t="s">
        <v>121</v>
      </c>
      <c r="AB2622" s="172">
        <v>45478</v>
      </c>
      <c r="AC2622" s="119">
        <v>2024804</v>
      </c>
      <c r="AD2622" s="36">
        <f t="shared" si="283"/>
        <v>36754880</v>
      </c>
      <c r="AE2622" s="36" t="str">
        <f t="shared" si="284"/>
        <v>XU080264-43-DRE</v>
      </c>
      <c r="AF2622" s="36">
        <v>5</v>
      </c>
      <c r="AG2622" s="120">
        <f t="shared" si="282"/>
        <v>83.149999999999991</v>
      </c>
      <c r="AH2622" s="36"/>
      <c r="AI2622" s="124"/>
      <c r="AJ2622" s="122" t="s">
        <v>1642</v>
      </c>
      <c r="AK2622" s="129" t="str">
        <f t="shared" ca="1" si="286"/>
        <v>Late</v>
      </c>
      <c r="AL2622" s="268" t="str">
        <f t="shared" si="285"/>
        <v>June</v>
      </c>
      <c r="AM2622" s="133">
        <f>YEAR(Table1[[#This Row],[ETA
As requested
dd.mm.yyyy]])</f>
        <v>2024</v>
      </c>
      <c r="AN2622"/>
    </row>
    <row r="2623" spans="1:40" s="191" customFormat="1" hidden="1">
      <c r="A2623" s="123" t="s">
        <v>83</v>
      </c>
      <c r="B2623" s="36" t="s">
        <v>1170</v>
      </c>
      <c r="C2623" s="117">
        <v>36754880</v>
      </c>
      <c r="D2623" s="190">
        <v>45447</v>
      </c>
      <c r="E2623" s="223" t="s">
        <v>446</v>
      </c>
      <c r="F2623" s="36" t="str">
        <f>IFERROR(VLOOKUP(Table1[[#This Row],[Part Number]],DATABASE_FG!$C$6:D12612,2,FALSE)," ")</f>
        <v>302086811-0000</v>
      </c>
      <c r="G2623" s="117" t="str">
        <f>IFERROR(_xlfn.XLOOKUP(Table1[[#This Row],[Part Number]],Table3[Part number],Table3[Drawing
 Revision]),"")</f>
        <v>AC</v>
      </c>
      <c r="H2623" s="118" cm="1">
        <f t="array" ref="H2623">IFERROR(INDEX(PDB!$C:$AT,MATCH(E2623,PDB!$B:$B,0),MATCH(YEAR(K2623),0+PDB!$C$1:$AT$1,0)),"")</f>
        <v>16.63</v>
      </c>
      <c r="I2623" s="36">
        <v>65</v>
      </c>
      <c r="J2623" s="125">
        <f>IFERROR(Table1[[#This Row],[Quantity]]*Table1[[#This Row],[Price/Unit
EUR]]," ")</f>
        <v>1080.95</v>
      </c>
      <c r="K2623" s="126">
        <v>45453</v>
      </c>
      <c r="L2623" s="36">
        <f>WEEKNUM(Table1[[#This Row],[ETA
As requested
dd.mm.yyyy]])</f>
        <v>24</v>
      </c>
      <c r="M2623" s="36">
        <f>YEAR(Table1[[#This Row],[ETA
As requested
dd.mm.yyyy]])</f>
        <v>2024</v>
      </c>
      <c r="N2623" s="36">
        <f>IFERROR(INDEX(DATABASE_FG!$H$5:$H$367, MATCH(E2623, DATABASE_FG!$C$5:$C$367, 0)), " ")</f>
        <v>0</v>
      </c>
      <c r="O2623" s="129" t="str">
        <f>IF(E2623&lt;&gt;"", _xlfn.XLOOKUP(E2623, DATABASE_FG!C:C, DATABASE_FG!F:F), " ")</f>
        <v>Strunjire moale</v>
      </c>
      <c r="P2623" s="129">
        <f>IFERROR(INDEX(DATABASE_FG!$G$5:$G$367, MATCH(E2623, DATABASE_FG!$C$5:$C$367, 0)), "Not Found")</f>
        <v>50</v>
      </c>
      <c r="Q2623" s="36"/>
      <c r="R2623" s="125" t="s">
        <v>680</v>
      </c>
      <c r="S2623" s="123">
        <f>IFERROR(INDEX(DATABASE_FG!$L$5:$L$367, MATCH(E2623, DATABASE_FG!$C$5:$C$367, 0)), " ")</f>
        <v>42</v>
      </c>
      <c r="T2623" s="36" t="s">
        <v>679</v>
      </c>
      <c r="U2623" s="36"/>
      <c r="V2623" s="36"/>
      <c r="W2623" s="129"/>
      <c r="X2623" s="36"/>
      <c r="Y2623" s="36"/>
      <c r="Z2623" s="36">
        <v>242302</v>
      </c>
      <c r="AA2623" s="125" t="s">
        <v>121</v>
      </c>
      <c r="AB2623" s="172">
        <v>45478</v>
      </c>
      <c r="AC2623" s="119">
        <v>2024804</v>
      </c>
      <c r="AD2623" s="36">
        <f t="shared" si="283"/>
        <v>36754880</v>
      </c>
      <c r="AE2623" s="36" t="str">
        <f t="shared" si="284"/>
        <v>XU080264-43-DRE</v>
      </c>
      <c r="AF2623" s="36">
        <v>65</v>
      </c>
      <c r="AG2623" s="120">
        <f t="shared" ref="AG2623:AG2635" si="287">AF2623*H2623</f>
        <v>1080.95</v>
      </c>
      <c r="AH2623" s="36">
        <v>2</v>
      </c>
      <c r="AI2623" s="124"/>
      <c r="AJ2623" s="122" t="s">
        <v>1642</v>
      </c>
      <c r="AK2623" s="129" t="str">
        <f t="shared" ca="1" si="286"/>
        <v>Late</v>
      </c>
      <c r="AL2623" s="268" t="str">
        <f t="shared" si="285"/>
        <v>June</v>
      </c>
      <c r="AM2623" s="133">
        <f>YEAR(Table1[[#This Row],[ETA
As requested
dd.mm.yyyy]])</f>
        <v>2024</v>
      </c>
      <c r="AN2623"/>
    </row>
    <row r="2624" spans="1:40" s="191" customFormat="1" hidden="1">
      <c r="A2624" s="123" t="s">
        <v>83</v>
      </c>
      <c r="B2624" s="36" t="s">
        <v>1170</v>
      </c>
      <c r="C2624" s="117">
        <v>37677887</v>
      </c>
      <c r="D2624" s="165">
        <v>45447</v>
      </c>
      <c r="E2624" s="223" t="s">
        <v>446</v>
      </c>
      <c r="F2624" s="36" t="str">
        <f>IFERROR(VLOOKUP(Table1[[#This Row],[Part Number]],DATABASE_FG!$C$6:D12613,2,FALSE)," ")</f>
        <v>302086811-0000</v>
      </c>
      <c r="G2624" s="117" t="str">
        <f>IFERROR(_xlfn.XLOOKUP(Table1[[#This Row],[Part Number]],Table3[Part number],Table3[Drawing
 Revision]),"")</f>
        <v>AC</v>
      </c>
      <c r="H2624" s="118" cm="1">
        <f t="array" ref="H2624">IFERROR(INDEX(PDB!$C:$AT,MATCH(E2624,PDB!$B:$B,0),MATCH(YEAR(K2624),0+PDB!$C$1:$AT$1,0)),"")</f>
        <v>16.63</v>
      </c>
      <c r="I2624" s="36">
        <v>70</v>
      </c>
      <c r="J2624" s="125">
        <f>IFERROR(Table1[[#This Row],[Quantity]]*Table1[[#This Row],[Price/Unit
EUR]]," ")</f>
        <v>1164.0999999999999</v>
      </c>
      <c r="K2624" s="126">
        <v>45575</v>
      </c>
      <c r="L2624" s="36">
        <f>WEEKNUM(Table1[[#This Row],[ETA
As requested
dd.mm.yyyy]])</f>
        <v>41</v>
      </c>
      <c r="M2624" s="36">
        <f>YEAR(Table1[[#This Row],[ETA
As requested
dd.mm.yyyy]])</f>
        <v>2024</v>
      </c>
      <c r="N2624" s="36">
        <f>IFERROR(INDEX(DATABASE_FG!$H$5:$H$367, MATCH(E2624, DATABASE_FG!$C$5:$C$367, 0)), " ")</f>
        <v>0</v>
      </c>
      <c r="O2624" s="129" t="str">
        <f>IF(E2624&lt;&gt;"", _xlfn.XLOOKUP(E2624, DATABASE_FG!C:C, DATABASE_FG!F:F), " ")</f>
        <v>Strunjire moale</v>
      </c>
      <c r="P2624" s="129">
        <f>IFERROR(INDEX(DATABASE_FG!$G$5:$G$367, MATCH(E2624, DATABASE_FG!$C$5:$C$367, 0)), "Not Found")</f>
        <v>50</v>
      </c>
      <c r="Q2624" s="36"/>
      <c r="R2624" s="125" t="s">
        <v>680</v>
      </c>
      <c r="S2624" s="123">
        <f>IFERROR(INDEX(DATABASE_FG!$L$5:$L$367, MATCH(E2624, DATABASE_FG!$C$5:$C$367, 0)), " ")</f>
        <v>42</v>
      </c>
      <c r="T2624" s="36" t="s">
        <v>679</v>
      </c>
      <c r="U2624" s="36"/>
      <c r="V2624" s="36"/>
      <c r="W2624" s="129"/>
      <c r="X2624" s="36"/>
      <c r="Y2624" s="36"/>
      <c r="Z2624" s="36"/>
      <c r="AA2624" s="125" t="s">
        <v>121</v>
      </c>
      <c r="AB2624" s="172">
        <v>45562</v>
      </c>
      <c r="AC2624" s="119">
        <v>202401174</v>
      </c>
      <c r="AD2624" s="36">
        <f t="shared" si="283"/>
        <v>37677887</v>
      </c>
      <c r="AE2624" s="36" t="str">
        <f t="shared" si="284"/>
        <v>XU080264-43-DRE</v>
      </c>
      <c r="AF2624" s="36">
        <v>70</v>
      </c>
      <c r="AG2624" s="120">
        <f t="shared" si="287"/>
        <v>1164.0999999999999</v>
      </c>
      <c r="AH2624" s="36"/>
      <c r="AI2624" s="124"/>
      <c r="AJ2624" s="122" t="s">
        <v>2459</v>
      </c>
      <c r="AK2624" s="129" t="str">
        <f t="shared" ca="1" si="286"/>
        <v>On Time</v>
      </c>
      <c r="AL2624" s="268" t="str">
        <f t="shared" si="285"/>
        <v>October</v>
      </c>
      <c r="AM2624" s="133">
        <f>YEAR(Table1[[#This Row],[ETA
As requested
dd.mm.yyyy]])</f>
        <v>2024</v>
      </c>
      <c r="AN2624"/>
    </row>
    <row r="2625" spans="1:40" s="191" customFormat="1" hidden="1">
      <c r="A2625" s="123" t="s">
        <v>83</v>
      </c>
      <c r="B2625" s="36" t="s">
        <v>2464</v>
      </c>
      <c r="C2625" s="117">
        <v>37677887</v>
      </c>
      <c r="D2625" s="190">
        <v>45554</v>
      </c>
      <c r="E2625" s="223" t="s">
        <v>446</v>
      </c>
      <c r="F2625" s="36" t="str">
        <f>IFERROR(VLOOKUP(Table1[[#This Row],[Part Number]],DATABASE_FG!$C$6:D12614,2,FALSE)," ")</f>
        <v>302086811-0000</v>
      </c>
      <c r="G2625" s="117" t="str">
        <f>IFERROR(_xlfn.XLOOKUP(Table1[[#This Row],[Part Number]],Table3[Part number],Table3[Drawing
 Revision]),"")</f>
        <v>AC</v>
      </c>
      <c r="H2625" s="118" cm="1">
        <f t="array" ref="H2625">IFERROR(INDEX(PDB!$C:$AT,MATCH(E2625,PDB!$B:$B,0),MATCH(YEAR(K2625),0+PDB!$C$1:$AT$1,0)),"")</f>
        <v>16.63</v>
      </c>
      <c r="I2625" s="36">
        <v>60</v>
      </c>
      <c r="J2625" s="125">
        <f>IFERROR(Table1[[#This Row],[Quantity]]*Table1[[#This Row],[Price/Unit
EUR]]," ")</f>
        <v>997.8</v>
      </c>
      <c r="K2625" s="126">
        <v>45575</v>
      </c>
      <c r="L2625" s="36">
        <f>WEEKNUM(Table1[[#This Row],[ETA
As requested
dd.mm.yyyy]])</f>
        <v>41</v>
      </c>
      <c r="M2625" s="36">
        <f>YEAR(Table1[[#This Row],[ETA
As requested
dd.mm.yyyy]])</f>
        <v>2024</v>
      </c>
      <c r="N2625" s="36">
        <f>IFERROR(INDEX(DATABASE_FG!$H$5:$H$367, MATCH(E2625, DATABASE_FG!$C$5:$C$367, 0)), " ")</f>
        <v>0</v>
      </c>
      <c r="O2625" s="129" t="str">
        <f>IF(E2625&lt;&gt;"", _xlfn.XLOOKUP(E2625, DATABASE_FG!C:C, DATABASE_FG!F:F), " ")</f>
        <v>Strunjire moale</v>
      </c>
      <c r="P2625" s="129">
        <f>IFERROR(INDEX(DATABASE_FG!$G$5:$G$367, MATCH(E2625, DATABASE_FG!$C$5:$C$367, 0)), "Not Found")</f>
        <v>50</v>
      </c>
      <c r="Q2625" s="36"/>
      <c r="R2625" s="125" t="s">
        <v>680</v>
      </c>
      <c r="S2625" s="123">
        <f>IFERROR(INDEX(DATABASE_FG!$L$5:$L$367, MATCH(E2625, DATABASE_FG!$C$5:$C$367, 0)), " ")</f>
        <v>42</v>
      </c>
      <c r="T2625" s="36" t="s">
        <v>679</v>
      </c>
      <c r="U2625" s="36"/>
      <c r="V2625" s="36"/>
      <c r="W2625" s="129"/>
      <c r="X2625" s="36"/>
      <c r="Y2625" s="36"/>
      <c r="Z2625" s="36"/>
      <c r="AA2625" s="125" t="s">
        <v>121</v>
      </c>
      <c r="AB2625" s="172"/>
      <c r="AC2625" s="119"/>
      <c r="AD2625" s="36" t="str">
        <f t="shared" si="283"/>
        <v/>
      </c>
      <c r="AE2625" s="36" t="str">
        <f t="shared" si="284"/>
        <v/>
      </c>
      <c r="AF2625" s="36">
        <v>0</v>
      </c>
      <c r="AG2625" s="120">
        <f t="shared" si="287"/>
        <v>0</v>
      </c>
      <c r="AH2625" s="36"/>
      <c r="AI2625" s="124"/>
      <c r="AJ2625" s="122"/>
      <c r="AK2625" s="129" t="str">
        <f t="shared" ca="1" si="286"/>
        <v>Late</v>
      </c>
      <c r="AL2625" s="268" t="str">
        <f t="shared" si="285"/>
        <v>October</v>
      </c>
      <c r="AM2625" s="133">
        <f>YEAR(Table1[[#This Row],[ETA
As requested
dd.mm.yyyy]])</f>
        <v>2024</v>
      </c>
      <c r="AN2625"/>
    </row>
    <row r="2626" spans="1:40" s="191" customFormat="1" hidden="1">
      <c r="A2626" s="123" t="s">
        <v>83</v>
      </c>
      <c r="B2626" s="36" t="s">
        <v>1170</v>
      </c>
      <c r="C2626" s="180">
        <v>38782047</v>
      </c>
      <c r="D2626" s="190">
        <v>45806</v>
      </c>
      <c r="E2626" s="223" t="s">
        <v>446</v>
      </c>
      <c r="F2626" s="36" t="str">
        <f>IFERROR(VLOOKUP(Table1[[#This Row],[Part Number]],DATABASE_FG!$C$6:D12615,2,FALSE)," ")</f>
        <v>302086811-0000</v>
      </c>
      <c r="G2626" s="117" t="str">
        <f>IFERROR(_xlfn.XLOOKUP(Table1[[#This Row],[Part Number]],Table3[Part number],Table3[Drawing
 Revision]),"")</f>
        <v>AC</v>
      </c>
      <c r="H2626" s="118" cm="1">
        <f t="array" ref="H2626">IFERROR(INDEX(PDB!$C:$AT,MATCH(E2626,PDB!$B:$B,0),MATCH(YEAR(K2626),0+PDB!$C$1:$AT$1,0)),"")</f>
        <v>16.63</v>
      </c>
      <c r="I2626" s="36">
        <v>101</v>
      </c>
      <c r="J2626" s="125">
        <f>IFERROR(Table1[[#This Row],[Quantity]]*Table1[[#This Row],[Price/Unit
EUR]]," ")</f>
        <v>1679.6299999999999</v>
      </c>
      <c r="K2626" s="126">
        <v>45838</v>
      </c>
      <c r="L2626" s="36">
        <f>WEEKNUM(Table1[[#This Row],[ETA
As requested
dd.mm.yyyy]])</f>
        <v>27</v>
      </c>
      <c r="M2626" s="36">
        <f>YEAR(Table1[[#This Row],[ETA
As requested
dd.mm.yyyy]])</f>
        <v>2025</v>
      </c>
      <c r="N2626" s="36">
        <f>IFERROR(INDEX(DATABASE_FG!$H$5:$H$367, MATCH(E2626, DATABASE_FG!$C$5:$C$367, 0)), " ")</f>
        <v>0</v>
      </c>
      <c r="O2626" s="129" t="str">
        <f>IF(E2626&lt;&gt;"", _xlfn.XLOOKUP(E2626, DATABASE_FG!C:C, DATABASE_FG!F:F), " ")</f>
        <v>Strunjire moale</v>
      </c>
      <c r="P2626" s="129">
        <f>IFERROR(INDEX(DATABASE_FG!$G$5:$G$367, MATCH(E2626, DATABASE_FG!$C$5:$C$367, 0)), "Not Found")</f>
        <v>50</v>
      </c>
      <c r="Q2626" s="36"/>
      <c r="R2626" s="125" t="s">
        <v>678</v>
      </c>
      <c r="S2626" s="123">
        <f>Table1[[#This Row],[Quantity]]/48</f>
        <v>2.1041666666666665</v>
      </c>
      <c r="T2626" s="36" t="s">
        <v>679</v>
      </c>
      <c r="U2626" s="36"/>
      <c r="V2626" s="36"/>
      <c r="W2626" s="129"/>
      <c r="X2626" s="36"/>
      <c r="Y2626" s="36"/>
      <c r="Z2626" s="36"/>
      <c r="AA2626" s="125" t="s">
        <v>121</v>
      </c>
      <c r="AB2626" s="172">
        <v>45832</v>
      </c>
      <c r="AC2626" s="119">
        <v>25981</v>
      </c>
      <c r="AD2626" s="36">
        <f t="shared" si="283"/>
        <v>38782047</v>
      </c>
      <c r="AE2626" s="36" t="str">
        <f t="shared" si="284"/>
        <v>XU080264-43-DRE</v>
      </c>
      <c r="AF2626" s="36">
        <v>100</v>
      </c>
      <c r="AG2626" s="120">
        <f t="shared" si="287"/>
        <v>1663</v>
      </c>
      <c r="AH2626" s="36">
        <v>1</v>
      </c>
      <c r="AI2626" s="124"/>
      <c r="AJ2626" s="122" t="s">
        <v>3354</v>
      </c>
      <c r="AK2626" s="129" t="str">
        <f t="shared" ca="1" si="286"/>
        <v>On Time</v>
      </c>
      <c r="AL2626" s="268" t="str">
        <f t="shared" si="285"/>
        <v>June</v>
      </c>
      <c r="AM2626" s="133">
        <f>YEAR(Table1[[#This Row],[ETA
As requested
dd.mm.yyyy]])</f>
        <v>2025</v>
      </c>
      <c r="AN2626"/>
    </row>
    <row r="2627" spans="1:40" s="191" customFormat="1" hidden="1">
      <c r="A2627" s="123" t="s">
        <v>83</v>
      </c>
      <c r="B2627" s="36" t="s">
        <v>1170</v>
      </c>
      <c r="C2627" s="117">
        <v>5364233</v>
      </c>
      <c r="D2627" s="190">
        <v>44816</v>
      </c>
      <c r="E2627" s="223" t="s">
        <v>403</v>
      </c>
      <c r="F2627" s="36" t="str">
        <f>IFERROR(VLOOKUP(Table1[[#This Row],[Part Number]],DATABASE_FG!$C$6:D12616,2,FALSE)," ")</f>
        <v>096213981-0000</v>
      </c>
      <c r="G2627" s="117" t="str">
        <f>IFERROR(_xlfn.XLOOKUP(Table1[[#This Row],[Part Number]],Table3[Part number],Table3[Drawing
 Revision]),"")</f>
        <v>AB</v>
      </c>
      <c r="H2627" s="118" cm="1">
        <f t="array" ref="H2627">IFERROR(INDEX(PDB!$C:$AT,MATCH(E2627,PDB!$B:$B,0),MATCH(YEAR(K2627),0+PDB!$C$1:$AT$1,0)),"")</f>
        <v>9.89</v>
      </c>
      <c r="I2627" s="36">
        <v>100</v>
      </c>
      <c r="J2627" s="125">
        <f>IFERROR(Table1[[#This Row],[Quantity]]*Table1[[#This Row],[Price/Unit
EUR]]," ")</f>
        <v>989</v>
      </c>
      <c r="K2627" s="126">
        <v>45376</v>
      </c>
      <c r="L2627" s="36">
        <f>WEEKNUM(Table1[[#This Row],[ETA
As requested
dd.mm.yyyy]])</f>
        <v>13</v>
      </c>
      <c r="M2627" s="36">
        <f>YEAR(Table1[[#This Row],[ETA
As requested
dd.mm.yyyy]])</f>
        <v>2024</v>
      </c>
      <c r="N2627" s="36">
        <f>IFERROR(INDEX(DATABASE_FG!$H$5:$H$367, MATCH(E2627, DATABASE_FG!$C$5:$C$367, 0)), " ")</f>
        <v>0</v>
      </c>
      <c r="O2627" s="129" t="str">
        <f>IF(E2627&lt;&gt;"", _xlfn.XLOOKUP(E2627, DATABASE_FG!C:C, DATABASE_FG!F:F), " ")</f>
        <v>Strunjire moale</v>
      </c>
      <c r="P2627" s="129">
        <f>IFERROR(INDEX(DATABASE_FG!$G$5:$G$367, MATCH(E2627, DATABASE_FG!$C$5:$C$367, 0)), "Not Found")</f>
        <v>100</v>
      </c>
      <c r="Q2627" s="36"/>
      <c r="R2627" s="125" t="s">
        <v>678</v>
      </c>
      <c r="S2627" s="123">
        <f>IFERROR(INDEX(DATABASE_FG!$L$5:$L$367, MATCH(E2627, DATABASE_FG!$C$5:$C$367, 0)), " ")</f>
        <v>42</v>
      </c>
      <c r="T2627" s="36" t="s">
        <v>679</v>
      </c>
      <c r="U2627" s="36"/>
      <c r="V2627" s="36"/>
      <c r="W2627" s="129"/>
      <c r="X2627" s="36"/>
      <c r="Y2627" s="36"/>
      <c r="Z2627" s="36" t="s">
        <v>1235</v>
      </c>
      <c r="AA2627" s="125" t="s">
        <v>121</v>
      </c>
      <c r="AB2627" s="172">
        <v>45392</v>
      </c>
      <c r="AC2627" s="119">
        <v>2024327</v>
      </c>
      <c r="AD2627" s="36">
        <f t="shared" si="283"/>
        <v>5364233</v>
      </c>
      <c r="AE2627" s="36" t="str">
        <f t="shared" si="284"/>
        <v>XU160260ZT-43-WW1</v>
      </c>
      <c r="AF2627" s="36">
        <v>94</v>
      </c>
      <c r="AG2627" s="120">
        <f t="shared" si="287"/>
        <v>929.66000000000008</v>
      </c>
      <c r="AH2627" s="36">
        <v>6</v>
      </c>
      <c r="AI2627" s="124"/>
      <c r="AJ2627" s="122" t="s">
        <v>1236</v>
      </c>
      <c r="AK2627" s="129" t="str">
        <f t="shared" ca="1" si="286"/>
        <v>Late</v>
      </c>
      <c r="AL2627" s="268" t="str">
        <f t="shared" si="285"/>
        <v>March</v>
      </c>
      <c r="AM2627" s="133">
        <f>YEAR(Table1[[#This Row],[ETA
As requested
dd.mm.yyyy]])</f>
        <v>2024</v>
      </c>
      <c r="AN2627"/>
    </row>
    <row r="2628" spans="1:40" s="191" customFormat="1" hidden="1">
      <c r="A2628" s="123" t="s">
        <v>83</v>
      </c>
      <c r="B2628" s="36" t="s">
        <v>1170</v>
      </c>
      <c r="C2628" s="117">
        <v>5364233</v>
      </c>
      <c r="D2628" s="165">
        <v>45426</v>
      </c>
      <c r="E2628" s="223" t="s">
        <v>403</v>
      </c>
      <c r="F2628" s="36" t="str">
        <f>IFERROR(VLOOKUP(Table1[[#This Row],[Part Number]],DATABASE_FG!$C$6:D12617,2,FALSE)," ")</f>
        <v>096213981-0000</v>
      </c>
      <c r="G2628" s="117" t="str">
        <f>IFERROR(_xlfn.XLOOKUP(Table1[[#This Row],[Part Number]],Table3[Part number],Table3[Drawing
 Revision]),"")</f>
        <v>AB</v>
      </c>
      <c r="H2628" s="118" cm="1">
        <f t="array" ref="H2628">IFERROR(INDEX(PDB!$C:$AT,MATCH(E2628,PDB!$B:$B,0),MATCH(YEAR(K2628),0+PDB!$C$1:$AT$1,0)),"")</f>
        <v>9.89</v>
      </c>
      <c r="I2628" s="36">
        <v>110</v>
      </c>
      <c r="J2628" s="125">
        <f>IFERROR(Table1[[#This Row],[Quantity]]*Table1[[#This Row],[Price/Unit
EUR]]," ")</f>
        <v>1087.9000000000001</v>
      </c>
      <c r="K2628" s="243">
        <v>45495</v>
      </c>
      <c r="L2628" s="36">
        <f>WEEKNUM(Table1[[#This Row],[ETA
As requested
dd.mm.yyyy]])</f>
        <v>30</v>
      </c>
      <c r="M2628" s="36">
        <f>YEAR(Table1[[#This Row],[ETA
As requested
dd.mm.yyyy]])</f>
        <v>2024</v>
      </c>
      <c r="N2628" s="36">
        <f>IFERROR(INDEX(DATABASE_FG!$H$5:$H$367, MATCH(E2628, DATABASE_FG!$C$5:$C$367, 0)), " ")</f>
        <v>0</v>
      </c>
      <c r="O2628" s="129" t="str">
        <f>IF(E2628&lt;&gt;"", _xlfn.XLOOKUP(E2628, DATABASE_FG!C:C, DATABASE_FG!F:F), " ")</f>
        <v>Strunjire moale</v>
      </c>
      <c r="P2628" s="129">
        <f>IFERROR(INDEX(DATABASE_FG!$G$5:$G$367, MATCH(E2628, DATABASE_FG!$C$5:$C$367, 0)), "Not Found")</f>
        <v>100</v>
      </c>
      <c r="Q2628" s="36"/>
      <c r="R2628" s="125" t="s">
        <v>678</v>
      </c>
      <c r="S2628" s="123">
        <f>IFERROR(INDEX(DATABASE_FG!$L$5:$L$367, MATCH(E2628, DATABASE_FG!$C$5:$C$367, 0)), " ")</f>
        <v>42</v>
      </c>
      <c r="T2628" s="36" t="s">
        <v>679</v>
      </c>
      <c r="U2628" s="36"/>
      <c r="V2628" s="36"/>
      <c r="W2628" s="129"/>
      <c r="X2628" s="36"/>
      <c r="Y2628" s="36"/>
      <c r="Z2628" s="36" t="s">
        <v>1851</v>
      </c>
      <c r="AA2628" s="125" t="s">
        <v>121</v>
      </c>
      <c r="AB2628" s="172">
        <v>45498</v>
      </c>
      <c r="AC2628" s="119">
        <v>2024916</v>
      </c>
      <c r="AD2628" s="36">
        <f t="shared" si="283"/>
        <v>5364233</v>
      </c>
      <c r="AE2628" s="36" t="str">
        <f t="shared" si="284"/>
        <v>XU160260ZT-43-WW1</v>
      </c>
      <c r="AF2628" s="36">
        <v>109</v>
      </c>
      <c r="AG2628" s="120">
        <f t="shared" si="287"/>
        <v>1078.01</v>
      </c>
      <c r="AH2628" s="36">
        <v>1</v>
      </c>
      <c r="AI2628" s="124"/>
      <c r="AJ2628" s="122" t="s">
        <v>1852</v>
      </c>
      <c r="AK2628" s="129" t="str">
        <f t="shared" ca="1" si="286"/>
        <v>Late</v>
      </c>
      <c r="AL2628" s="268" t="str">
        <f t="shared" si="285"/>
        <v>July</v>
      </c>
      <c r="AM2628" s="133">
        <f>YEAR(Table1[[#This Row],[ETA
As requested
dd.mm.yyyy]])</f>
        <v>2024</v>
      </c>
      <c r="AN2628"/>
    </row>
    <row r="2629" spans="1:40" s="191" customFormat="1" hidden="1">
      <c r="A2629" s="123" t="s">
        <v>83</v>
      </c>
      <c r="B2629" s="36" t="s">
        <v>1170</v>
      </c>
      <c r="C2629" s="117">
        <v>5409640</v>
      </c>
      <c r="D2629" s="165">
        <v>45547</v>
      </c>
      <c r="E2629" s="223" t="s">
        <v>403</v>
      </c>
      <c r="F2629" s="36" t="str">
        <f>IFERROR(VLOOKUP(Table1[[#This Row],[Part Number]],DATABASE_FG!$C$6:D12618,2,FALSE)," ")</f>
        <v>096213981-0000</v>
      </c>
      <c r="G2629" s="117" t="str">
        <f>IFERROR(_xlfn.XLOOKUP(Table1[[#This Row],[Part Number]],Table3[Part number],Table3[Drawing
 Revision]),"")</f>
        <v>AB</v>
      </c>
      <c r="H2629" s="118" cm="1">
        <f t="array" ref="H2629">IFERROR(INDEX(PDB!$C:$AT,MATCH(E2629,PDB!$B:$B,0),MATCH(YEAR(K2629),0+PDB!$C$1:$AT$1,0)),"")</f>
        <v>9.89</v>
      </c>
      <c r="I2629" s="36">
        <v>117</v>
      </c>
      <c r="J2629" s="125">
        <f>IFERROR(Table1[[#This Row],[Quantity]]*Table1[[#This Row],[Price/Unit
EUR]]," ")</f>
        <v>1157.1300000000001</v>
      </c>
      <c r="K2629" s="243">
        <v>45764</v>
      </c>
      <c r="L2629" s="36">
        <f>WEEKNUM(Table1[[#This Row],[ETA
As requested
dd.mm.yyyy]])</f>
        <v>16</v>
      </c>
      <c r="M2629" s="36">
        <f>YEAR(Table1[[#This Row],[ETA
As requested
dd.mm.yyyy]])</f>
        <v>2025</v>
      </c>
      <c r="N2629" s="36">
        <f>IFERROR(INDEX(DATABASE_FG!$H$5:$H$367, MATCH(E2629, DATABASE_FG!$C$5:$C$367, 0)), " ")</f>
        <v>0</v>
      </c>
      <c r="O2629" s="129" t="str">
        <f>IF(E2629&lt;&gt;"", _xlfn.XLOOKUP(E2629, DATABASE_FG!C:C, DATABASE_FG!F:F), " ")</f>
        <v>Strunjire moale</v>
      </c>
      <c r="P2629" s="129">
        <f>IFERROR(INDEX(DATABASE_FG!$G$5:$G$367, MATCH(E2629, DATABASE_FG!$C$5:$C$367, 0)), "Not Found")</f>
        <v>100</v>
      </c>
      <c r="Q2629" s="36"/>
      <c r="R2629" s="125" t="s">
        <v>678</v>
      </c>
      <c r="S2629" s="123">
        <f>IFERROR(INDEX(DATABASE_FG!$L$5:$L$367, MATCH(E2629, DATABASE_FG!$C$5:$C$367, 0)), " ")</f>
        <v>42</v>
      </c>
      <c r="T2629" s="36" t="s">
        <v>679</v>
      </c>
      <c r="U2629" s="36"/>
      <c r="V2629" s="36"/>
      <c r="W2629" s="129"/>
      <c r="X2629" s="36"/>
      <c r="Y2629" s="36"/>
      <c r="Z2629" s="36"/>
      <c r="AA2629" s="125" t="s">
        <v>121</v>
      </c>
      <c r="AB2629" s="172">
        <v>45804</v>
      </c>
      <c r="AC2629" s="119">
        <v>25838</v>
      </c>
      <c r="AD2629" s="36">
        <f t="shared" si="283"/>
        <v>5409640</v>
      </c>
      <c r="AE2629" s="36" t="str">
        <f t="shared" si="284"/>
        <v>XU160260ZT-43-WW1</v>
      </c>
      <c r="AF2629" s="36">
        <v>115</v>
      </c>
      <c r="AG2629" s="120">
        <f t="shared" si="287"/>
        <v>1137.3500000000001</v>
      </c>
      <c r="AH2629" s="36">
        <v>2</v>
      </c>
      <c r="AI2629" s="124"/>
      <c r="AJ2629" s="122" t="s">
        <v>3096</v>
      </c>
      <c r="AK2629" s="129" t="str">
        <f t="shared" ca="1" si="286"/>
        <v>Late</v>
      </c>
      <c r="AL2629" s="268" t="str">
        <f t="shared" si="285"/>
        <v>April</v>
      </c>
      <c r="AM2629" s="133">
        <f>YEAR(Table1[[#This Row],[ETA
As requested
dd.mm.yyyy]])</f>
        <v>2025</v>
      </c>
      <c r="AN2629"/>
    </row>
    <row r="2630" spans="1:40" s="191" customFormat="1" hidden="1">
      <c r="A2630" s="123" t="s">
        <v>83</v>
      </c>
      <c r="B2630" s="36" t="s">
        <v>2464</v>
      </c>
      <c r="C2630" s="117">
        <v>5409640</v>
      </c>
      <c r="D2630" s="165">
        <v>45547</v>
      </c>
      <c r="E2630" s="223" t="s">
        <v>403</v>
      </c>
      <c r="F2630" s="36" t="str">
        <f>IFERROR(VLOOKUP(Table1[[#This Row],[Part Number]],DATABASE_FG!$C$6:D12619,2,FALSE)," ")</f>
        <v>096213981-0000</v>
      </c>
      <c r="G2630" s="117" t="str">
        <f>IFERROR(_xlfn.XLOOKUP(Table1[[#This Row],[Part Number]],Table3[Part number],Table3[Drawing
 Revision]),"")</f>
        <v>AB</v>
      </c>
      <c r="H2630" s="118" cm="1">
        <f t="array" ref="H2630">IFERROR(INDEX(PDB!$C:$AT,MATCH(E2630,PDB!$B:$B,0),MATCH(YEAR(K2630),0+PDB!$C$1:$AT$1,0)),"")</f>
        <v>9.89</v>
      </c>
      <c r="I2630" s="36">
        <v>51</v>
      </c>
      <c r="J2630" s="125">
        <f>IFERROR(Table1[[#This Row],[Quantity]]*Table1[[#This Row],[Price/Unit
EUR]]," ")</f>
        <v>504.39000000000004</v>
      </c>
      <c r="K2630" s="243">
        <v>45859</v>
      </c>
      <c r="L2630" s="36">
        <f>WEEKNUM(Table1[[#This Row],[ETA
As requested
dd.mm.yyyy]])</f>
        <v>30</v>
      </c>
      <c r="M2630" s="36">
        <f>YEAR(Table1[[#This Row],[ETA
As requested
dd.mm.yyyy]])</f>
        <v>2025</v>
      </c>
      <c r="N2630" s="36">
        <f>IFERROR(INDEX(DATABASE_FG!$H$5:$H$367, MATCH(E2630, DATABASE_FG!$C$5:$C$367, 0)), " ")</f>
        <v>0</v>
      </c>
      <c r="O2630" s="129" t="str">
        <f>IF(E2630&lt;&gt;"", _xlfn.XLOOKUP(E2630, DATABASE_FG!C:C, DATABASE_FG!F:F), " ")</f>
        <v>Strunjire moale</v>
      </c>
      <c r="P2630" s="129">
        <f>IFERROR(INDEX(DATABASE_FG!$G$5:$G$367, MATCH(E2630, DATABASE_FG!$C$5:$C$367, 0)), "Not Found")</f>
        <v>100</v>
      </c>
      <c r="Q2630" s="36"/>
      <c r="R2630" s="125" t="s">
        <v>678</v>
      </c>
      <c r="S2630" s="123">
        <f>IFERROR(INDEX(DATABASE_FG!$L$5:$L$367, MATCH(E2630, DATABASE_FG!$C$5:$C$367, 0)), " ")</f>
        <v>42</v>
      </c>
      <c r="T2630" s="36" t="s">
        <v>679</v>
      </c>
      <c r="U2630" s="36"/>
      <c r="V2630" s="36"/>
      <c r="W2630" s="129"/>
      <c r="X2630" s="36"/>
      <c r="Y2630" s="36"/>
      <c r="Z2630" s="36"/>
      <c r="AA2630" s="125" t="s">
        <v>121</v>
      </c>
      <c r="AB2630" s="172"/>
      <c r="AC2630" s="119"/>
      <c r="AD2630" s="36" t="str">
        <f t="shared" si="283"/>
        <v/>
      </c>
      <c r="AE2630" s="36" t="str">
        <f t="shared" si="284"/>
        <v/>
      </c>
      <c r="AF2630" s="36">
        <v>0</v>
      </c>
      <c r="AG2630" s="120">
        <f t="shared" si="287"/>
        <v>0</v>
      </c>
      <c r="AH2630" s="36"/>
      <c r="AI2630" s="124" t="s">
        <v>2545</v>
      </c>
      <c r="AJ2630" s="122"/>
      <c r="AK2630" s="129" t="str">
        <f t="shared" ca="1" si="286"/>
        <v>Late</v>
      </c>
      <c r="AL2630" s="268" t="str">
        <f t="shared" si="285"/>
        <v>July</v>
      </c>
      <c r="AM2630" s="133">
        <f>YEAR(Table1[[#This Row],[ETA
As requested
dd.mm.yyyy]])</f>
        <v>2025</v>
      </c>
      <c r="AN2630"/>
    </row>
    <row r="2631" spans="1:40" s="191" customFormat="1" hidden="1">
      <c r="A2631" s="123" t="s">
        <v>83</v>
      </c>
      <c r="B2631" s="36" t="s">
        <v>2464</v>
      </c>
      <c r="C2631" s="117">
        <v>5409640</v>
      </c>
      <c r="D2631" s="165">
        <v>45547</v>
      </c>
      <c r="E2631" s="223" t="s">
        <v>403</v>
      </c>
      <c r="F2631" s="36" t="str">
        <f>IFERROR(VLOOKUP(Table1[[#This Row],[Part Number]],DATABASE_FG!$C$6:D12620,2,FALSE)," ")</f>
        <v>096213981-0000</v>
      </c>
      <c r="G2631" s="117" t="str">
        <f>IFERROR(_xlfn.XLOOKUP(Table1[[#This Row],[Part Number]],Table3[Part number],Table3[Drawing
 Revision]),"")</f>
        <v>AB</v>
      </c>
      <c r="H2631" s="118" cm="1">
        <f t="array" ref="H2631">IFERROR(INDEX(PDB!$C:$AT,MATCH(E2631,PDB!$B:$B,0),MATCH(YEAR(K2631),0+PDB!$C$1:$AT$1,0)),"")</f>
        <v>9.89</v>
      </c>
      <c r="I2631" s="36">
        <v>51</v>
      </c>
      <c r="J2631" s="125">
        <f>IFERROR(Table1[[#This Row],[Quantity]]*Table1[[#This Row],[Price/Unit
EUR]]," ")</f>
        <v>504.39000000000004</v>
      </c>
      <c r="K2631" s="243">
        <v>45894</v>
      </c>
      <c r="L2631" s="36">
        <f>WEEKNUM(Table1[[#This Row],[ETA
As requested
dd.mm.yyyy]])</f>
        <v>35</v>
      </c>
      <c r="M2631" s="36">
        <f>YEAR(Table1[[#This Row],[ETA
As requested
dd.mm.yyyy]])</f>
        <v>2025</v>
      </c>
      <c r="N2631" s="36">
        <f>IFERROR(INDEX(DATABASE_FG!$H$5:$H$367, MATCH(E2631, DATABASE_FG!$C$5:$C$367, 0)), " ")</f>
        <v>0</v>
      </c>
      <c r="O2631" s="129" t="str">
        <f>IF(E2631&lt;&gt;"", _xlfn.XLOOKUP(E2631, DATABASE_FG!C:C, DATABASE_FG!F:F), " ")</f>
        <v>Strunjire moale</v>
      </c>
      <c r="P2631" s="129">
        <f>IFERROR(INDEX(DATABASE_FG!$G$5:$G$367, MATCH(E2631, DATABASE_FG!$C$5:$C$367, 0)), "Not Found")</f>
        <v>100</v>
      </c>
      <c r="Q2631" s="36"/>
      <c r="R2631" s="125" t="s">
        <v>678</v>
      </c>
      <c r="S2631" s="123">
        <f>IFERROR(INDEX(DATABASE_FG!$L$5:$L$367, MATCH(E2631, DATABASE_FG!$C$5:$C$367, 0)), " ")</f>
        <v>42</v>
      </c>
      <c r="T2631" s="36" t="s">
        <v>679</v>
      </c>
      <c r="U2631" s="36"/>
      <c r="V2631" s="36"/>
      <c r="W2631" s="129"/>
      <c r="X2631" s="36"/>
      <c r="Y2631" s="36"/>
      <c r="Z2631" s="36"/>
      <c r="AA2631" s="125" t="s">
        <v>121</v>
      </c>
      <c r="AB2631" s="172"/>
      <c r="AC2631" s="119"/>
      <c r="AD2631" s="36" t="str">
        <f t="shared" si="283"/>
        <v/>
      </c>
      <c r="AE2631" s="36" t="str">
        <f t="shared" si="284"/>
        <v/>
      </c>
      <c r="AF2631" s="36">
        <v>0</v>
      </c>
      <c r="AG2631" s="120">
        <f t="shared" si="287"/>
        <v>0</v>
      </c>
      <c r="AH2631" s="36"/>
      <c r="AI2631" s="124" t="s">
        <v>2545</v>
      </c>
      <c r="AJ2631" s="122"/>
      <c r="AK2631" s="129" t="str">
        <f t="shared" ca="1" si="286"/>
        <v>Late</v>
      </c>
      <c r="AL2631" s="268" t="str">
        <f t="shared" si="285"/>
        <v>August</v>
      </c>
      <c r="AM2631" s="133">
        <f>YEAR(Table1[[#This Row],[ETA
As requested
dd.mm.yyyy]])</f>
        <v>2025</v>
      </c>
      <c r="AN2631"/>
    </row>
    <row r="2632" spans="1:40" s="191" customFormat="1" hidden="1">
      <c r="A2632" s="123" t="s">
        <v>83</v>
      </c>
      <c r="B2632" s="36" t="s">
        <v>1170</v>
      </c>
      <c r="C2632" s="117">
        <v>5409640</v>
      </c>
      <c r="D2632" s="165">
        <v>45547</v>
      </c>
      <c r="E2632" s="223" t="s">
        <v>403</v>
      </c>
      <c r="F2632" s="36" t="str">
        <f>IFERROR(VLOOKUP(Table1[[#This Row],[Part Number]],DATABASE_FG!$C$6:D12621,2,FALSE)," ")</f>
        <v>096213981-0000</v>
      </c>
      <c r="G2632" s="117" t="str">
        <f>IFERROR(_xlfn.XLOOKUP(Table1[[#This Row],[Part Number]],Table3[Part number],Table3[Drawing
 Revision]),"")</f>
        <v>AB</v>
      </c>
      <c r="H2632" s="118" cm="1">
        <f t="array" ref="H2632">IFERROR(INDEX(PDB!$C:$AT,MATCH(E2632,PDB!$B:$B,0),MATCH(YEAR(K2632),0+PDB!$C$1:$AT$1,0)),"")</f>
        <v>9.89</v>
      </c>
      <c r="I2632" s="36">
        <v>100</v>
      </c>
      <c r="J2632" s="125">
        <f>IFERROR(Table1[[#This Row],[Quantity]]*Table1[[#This Row],[Price/Unit
EUR]]," ")</f>
        <v>989</v>
      </c>
      <c r="K2632" s="243">
        <v>45899</v>
      </c>
      <c r="L2632" s="36">
        <f>WEEKNUM(Table1[[#This Row],[ETA
As requested
dd.mm.yyyy]])</f>
        <v>35</v>
      </c>
      <c r="M2632" s="36">
        <f>YEAR(Table1[[#This Row],[ETA
As requested
dd.mm.yyyy]])</f>
        <v>2025</v>
      </c>
      <c r="N2632" s="36">
        <f>IFERROR(INDEX(DATABASE_FG!$H$5:$H$367, MATCH(E2632, DATABASE_FG!$C$5:$C$367, 0)), " ")</f>
        <v>0</v>
      </c>
      <c r="O2632" s="129" t="str">
        <f>IF(E2632&lt;&gt;"", _xlfn.XLOOKUP(E2632, DATABASE_FG!C:C, DATABASE_FG!F:F), " ")</f>
        <v>Strunjire moale</v>
      </c>
      <c r="P2632" s="129">
        <f>IFERROR(INDEX(DATABASE_FG!$G$5:$G$367, MATCH(E2632, DATABASE_FG!$C$5:$C$367, 0)), "Not Found")</f>
        <v>100</v>
      </c>
      <c r="Q2632" s="36"/>
      <c r="R2632" s="125" t="s">
        <v>678</v>
      </c>
      <c r="S2632" s="123">
        <f>IFERROR(INDEX(DATABASE_FG!$L$5:$L$367, MATCH(E2632, DATABASE_FG!$C$5:$C$367, 0)), " ")</f>
        <v>42</v>
      </c>
      <c r="T2632" s="36" t="s">
        <v>679</v>
      </c>
      <c r="U2632" s="36"/>
      <c r="V2632" s="36"/>
      <c r="W2632" s="129"/>
      <c r="X2632" s="36"/>
      <c r="Y2632" s="36"/>
      <c r="Z2632" s="36"/>
      <c r="AA2632" s="125" t="s">
        <v>121</v>
      </c>
      <c r="AB2632" s="172">
        <v>45904</v>
      </c>
      <c r="AC2632" s="226" t="s">
        <v>3634</v>
      </c>
      <c r="AD2632" s="36">
        <f t="shared" si="283"/>
        <v>5409640</v>
      </c>
      <c r="AE2632" s="36" t="str">
        <f t="shared" si="284"/>
        <v>XU160260ZT-43-WW1</v>
      </c>
      <c r="AF2632" s="36">
        <v>96</v>
      </c>
      <c r="AG2632" s="120">
        <f t="shared" si="287"/>
        <v>949.44</v>
      </c>
      <c r="AH2632" s="36">
        <v>4</v>
      </c>
      <c r="AI2632" s="124" t="s">
        <v>2545</v>
      </c>
      <c r="AJ2632" s="122" t="s">
        <v>3635</v>
      </c>
      <c r="AK2632" s="129" t="str">
        <f t="shared" ca="1" si="286"/>
        <v>Late</v>
      </c>
      <c r="AL2632" s="268" t="str">
        <f t="shared" si="285"/>
        <v>August</v>
      </c>
      <c r="AM2632" s="133">
        <f>YEAR(Table1[[#This Row],[ETA
As requested
dd.mm.yyyy]])</f>
        <v>2025</v>
      </c>
      <c r="AN2632" s="233"/>
    </row>
    <row r="2633" spans="1:40" s="191" customFormat="1" hidden="1">
      <c r="A2633" s="123" t="s">
        <v>83</v>
      </c>
      <c r="B2633" s="36" t="s">
        <v>2464</v>
      </c>
      <c r="C2633" s="117">
        <v>5409640</v>
      </c>
      <c r="D2633" s="190">
        <v>45547</v>
      </c>
      <c r="E2633" s="223" t="s">
        <v>403</v>
      </c>
      <c r="F2633" s="36" t="str">
        <f>IFERROR(VLOOKUP(Table1[[#This Row],[Part Number]],DATABASE_FG!$C$6:D12622,2,FALSE)," ")</f>
        <v>096213981-0000</v>
      </c>
      <c r="G2633" s="117" t="str">
        <f>IFERROR(_xlfn.XLOOKUP(Table1[[#This Row],[Part Number]],Table3[Part number],Table3[Drawing
 Revision]),"")</f>
        <v>AB</v>
      </c>
      <c r="H2633" s="118" cm="1">
        <f t="array" ref="H2633">IFERROR(INDEX(PDB!$C:$AT,MATCH(E2633,PDB!$B:$B,0),MATCH(YEAR(K2633),0+PDB!$C$1:$AT$1,0)),"")</f>
        <v>9.89</v>
      </c>
      <c r="I2633" s="36">
        <v>51</v>
      </c>
      <c r="J2633" s="125">
        <f>IFERROR(Table1[[#This Row],[Quantity]]*Table1[[#This Row],[Price/Unit
EUR]]," ")</f>
        <v>504.39000000000004</v>
      </c>
      <c r="K2633" s="243">
        <v>45922</v>
      </c>
      <c r="L2633" s="36">
        <f>WEEKNUM(Table1[[#This Row],[ETA
As requested
dd.mm.yyyy]])</f>
        <v>39</v>
      </c>
      <c r="M2633" s="36">
        <f>YEAR(Table1[[#This Row],[ETA
As requested
dd.mm.yyyy]])</f>
        <v>2025</v>
      </c>
      <c r="N2633" s="36">
        <f>IFERROR(INDEX(DATABASE_FG!$H$5:$H$367, MATCH(E2633, DATABASE_FG!$C$5:$C$367, 0)), " ")</f>
        <v>0</v>
      </c>
      <c r="O2633" s="129" t="str">
        <f>IF(E2633&lt;&gt;"", _xlfn.XLOOKUP(E2633, DATABASE_FG!C:C, DATABASE_FG!F:F), " ")</f>
        <v>Strunjire moale</v>
      </c>
      <c r="P2633" s="129">
        <f>IFERROR(INDEX(DATABASE_FG!$G$5:$G$367, MATCH(E2633, DATABASE_FG!$C$5:$C$367, 0)), "Not Found")</f>
        <v>100</v>
      </c>
      <c r="Q2633" s="36"/>
      <c r="R2633" s="125" t="s">
        <v>678</v>
      </c>
      <c r="S2633" s="123">
        <f>IFERROR(INDEX(DATABASE_FG!$L$5:$L$367, MATCH(E2633, DATABASE_FG!$C$5:$C$367, 0)), " ")</f>
        <v>42</v>
      </c>
      <c r="T2633" s="36" t="s">
        <v>679</v>
      </c>
      <c r="U2633" s="36"/>
      <c r="V2633" s="36"/>
      <c r="W2633" s="129"/>
      <c r="X2633" s="36"/>
      <c r="Y2633" s="36"/>
      <c r="Z2633" s="36"/>
      <c r="AA2633" s="125" t="s">
        <v>121</v>
      </c>
      <c r="AB2633" s="172"/>
      <c r="AC2633" s="119"/>
      <c r="AD2633" s="36" t="str">
        <f t="shared" si="283"/>
        <v/>
      </c>
      <c r="AE2633" s="36" t="str">
        <f t="shared" si="284"/>
        <v/>
      </c>
      <c r="AF2633" s="36">
        <v>0</v>
      </c>
      <c r="AG2633" s="120">
        <f t="shared" si="287"/>
        <v>0</v>
      </c>
      <c r="AH2633" s="36"/>
      <c r="AI2633" s="124" t="s">
        <v>2545</v>
      </c>
      <c r="AJ2633" s="122"/>
      <c r="AK2633" s="129" t="str">
        <f t="shared" ca="1" si="286"/>
        <v>Late</v>
      </c>
      <c r="AL2633" s="268" t="str">
        <f t="shared" si="285"/>
        <v>September</v>
      </c>
      <c r="AM2633" s="133">
        <f>YEAR(Table1[[#This Row],[ETA
As requested
dd.mm.yyyy]])</f>
        <v>2025</v>
      </c>
      <c r="AN2633"/>
    </row>
    <row r="2634" spans="1:40" s="191" customFormat="1" hidden="1">
      <c r="A2634" s="123" t="s">
        <v>83</v>
      </c>
      <c r="B2634" s="36" t="s">
        <v>2464</v>
      </c>
      <c r="C2634" s="117">
        <v>5409640</v>
      </c>
      <c r="D2634" s="190">
        <v>45547</v>
      </c>
      <c r="E2634" s="223" t="s">
        <v>403</v>
      </c>
      <c r="F2634" s="36" t="str">
        <f>IFERROR(VLOOKUP(Table1[[#This Row],[Part Number]],DATABASE_FG!$C$6:D12623,2,FALSE)," ")</f>
        <v>096213981-0000</v>
      </c>
      <c r="G2634" s="117" t="str">
        <f>IFERROR(_xlfn.XLOOKUP(Table1[[#This Row],[Part Number]],Table3[Part number],Table3[Drawing
 Revision]),"")</f>
        <v>AB</v>
      </c>
      <c r="H2634" s="118" cm="1">
        <f t="array" ref="H2634">IFERROR(INDEX(PDB!$C:$AT,MATCH(E2634,PDB!$B:$B,0),MATCH(YEAR(K2634),0+PDB!$C$1:$AT$1,0)),"")</f>
        <v>9.89</v>
      </c>
      <c r="I2634" s="36">
        <v>51</v>
      </c>
      <c r="J2634" s="125">
        <f>IFERROR(Table1[[#This Row],[Quantity]]*Table1[[#This Row],[Price/Unit
EUR]]," ")</f>
        <v>504.39000000000004</v>
      </c>
      <c r="K2634" s="243">
        <v>45950</v>
      </c>
      <c r="L2634" s="36">
        <f>WEEKNUM(Table1[[#This Row],[ETA
As requested
dd.mm.yyyy]])</f>
        <v>43</v>
      </c>
      <c r="M2634" s="36">
        <f>YEAR(Table1[[#This Row],[ETA
As requested
dd.mm.yyyy]])</f>
        <v>2025</v>
      </c>
      <c r="N2634" s="36">
        <f>IFERROR(INDEX(DATABASE_FG!$H$5:$H$367, MATCH(E2634, DATABASE_FG!$C$5:$C$367, 0)), " ")</f>
        <v>0</v>
      </c>
      <c r="O2634" s="129" t="str">
        <f>IF(E2634&lt;&gt;"", _xlfn.XLOOKUP(E2634, DATABASE_FG!C:C, DATABASE_FG!F:F), " ")</f>
        <v>Strunjire moale</v>
      </c>
      <c r="P2634" s="129">
        <f>IFERROR(INDEX(DATABASE_FG!$G$5:$G$367, MATCH(E2634, DATABASE_FG!$C$5:$C$367, 0)), "Not Found")</f>
        <v>100</v>
      </c>
      <c r="Q2634" s="36"/>
      <c r="R2634" s="125" t="s">
        <v>678</v>
      </c>
      <c r="S2634" s="123">
        <f>IFERROR(INDEX(DATABASE_FG!$L$5:$L$367, MATCH(E2634, DATABASE_FG!$C$5:$C$367, 0)), " ")</f>
        <v>42</v>
      </c>
      <c r="T2634" s="36" t="s">
        <v>679</v>
      </c>
      <c r="U2634" s="36"/>
      <c r="V2634" s="36"/>
      <c r="W2634" s="129"/>
      <c r="X2634" s="36"/>
      <c r="Y2634" s="36"/>
      <c r="Z2634" s="36"/>
      <c r="AA2634" s="125" t="s">
        <v>121</v>
      </c>
      <c r="AB2634" s="172">
        <v>45950</v>
      </c>
      <c r="AC2634" s="119"/>
      <c r="AD2634" s="36" t="str">
        <f t="shared" si="283"/>
        <v/>
      </c>
      <c r="AE2634" s="36" t="str">
        <f t="shared" si="284"/>
        <v/>
      </c>
      <c r="AF2634" s="36">
        <v>0</v>
      </c>
      <c r="AG2634" s="120">
        <f t="shared" si="287"/>
        <v>0</v>
      </c>
      <c r="AH2634" s="36"/>
      <c r="AI2634" s="124" t="s">
        <v>2545</v>
      </c>
      <c r="AJ2634" s="122"/>
      <c r="AK2634" s="129" t="str">
        <f t="shared" ca="1" si="286"/>
        <v>On Time</v>
      </c>
      <c r="AL2634" s="268" t="str">
        <f t="shared" si="285"/>
        <v>October</v>
      </c>
      <c r="AM2634" s="133">
        <f>YEAR(Table1[[#This Row],[ETA
As requested
dd.mm.yyyy]])</f>
        <v>2025</v>
      </c>
      <c r="AN2634"/>
    </row>
    <row r="2635" spans="1:40" s="191" customFormat="1" hidden="1">
      <c r="A2635" s="123" t="s">
        <v>83</v>
      </c>
      <c r="B2635" s="36" t="s">
        <v>2464</v>
      </c>
      <c r="C2635" s="117">
        <v>5409640</v>
      </c>
      <c r="D2635" s="190">
        <v>45547</v>
      </c>
      <c r="E2635" s="223" t="s">
        <v>403</v>
      </c>
      <c r="F2635" s="36" t="str">
        <f>IFERROR(VLOOKUP(Table1[[#This Row],[Part Number]],DATABASE_FG!$C$6:D12624,2,FALSE)," ")</f>
        <v>096213981-0000</v>
      </c>
      <c r="G2635" s="117" t="str">
        <f>IFERROR(_xlfn.XLOOKUP(Table1[[#This Row],[Part Number]],Table3[Part number],Table3[Drawing
 Revision]),"")</f>
        <v>AB</v>
      </c>
      <c r="H2635" s="118" cm="1">
        <f t="array" ref="H2635">IFERROR(INDEX(PDB!$C:$AT,MATCH(E2635,PDB!$B:$B,0),MATCH(YEAR(K2635),0+PDB!$C$1:$AT$1,0)),"")</f>
        <v>9.89</v>
      </c>
      <c r="I2635" s="36">
        <v>51</v>
      </c>
      <c r="J2635" s="125">
        <f>IFERROR(Table1[[#This Row],[Quantity]]*Table1[[#This Row],[Price/Unit
EUR]]," ")</f>
        <v>504.39000000000004</v>
      </c>
      <c r="K2635" s="243">
        <v>45978</v>
      </c>
      <c r="L2635" s="36">
        <f>WEEKNUM(Table1[[#This Row],[ETA
As requested
dd.mm.yyyy]])</f>
        <v>47</v>
      </c>
      <c r="M2635" s="36">
        <f>YEAR(Table1[[#This Row],[ETA
As requested
dd.mm.yyyy]])</f>
        <v>2025</v>
      </c>
      <c r="N2635" s="36">
        <f>IFERROR(INDEX(DATABASE_FG!$H$5:$H$367, MATCH(E2635, DATABASE_FG!$C$5:$C$367, 0)), " ")</f>
        <v>0</v>
      </c>
      <c r="O2635" s="129" t="str">
        <f>IF(E2635&lt;&gt;"", _xlfn.XLOOKUP(E2635, DATABASE_FG!C:C, DATABASE_FG!F:F), " ")</f>
        <v>Strunjire moale</v>
      </c>
      <c r="P2635" s="129">
        <f>IFERROR(INDEX(DATABASE_FG!$G$5:$G$367, MATCH(E2635, DATABASE_FG!$C$5:$C$367, 0)), "Not Found")</f>
        <v>100</v>
      </c>
      <c r="Q2635" s="36"/>
      <c r="R2635" s="125" t="s">
        <v>678</v>
      </c>
      <c r="S2635" s="123">
        <f>IFERROR(INDEX(DATABASE_FG!$L$5:$L$367, MATCH(E2635, DATABASE_FG!$C$5:$C$367, 0)), " ")</f>
        <v>42</v>
      </c>
      <c r="T2635" s="36" t="s">
        <v>679</v>
      </c>
      <c r="U2635" s="36"/>
      <c r="V2635" s="36"/>
      <c r="W2635" s="129"/>
      <c r="X2635" s="36"/>
      <c r="Y2635" s="36"/>
      <c r="Z2635" s="36"/>
      <c r="AA2635" s="125" t="s">
        <v>121</v>
      </c>
      <c r="AB2635" s="172"/>
      <c r="AC2635" s="119"/>
      <c r="AD2635" s="36" t="str">
        <f t="shared" si="283"/>
        <v/>
      </c>
      <c r="AE2635" s="36" t="str">
        <f t="shared" si="284"/>
        <v/>
      </c>
      <c r="AF2635" s="36">
        <v>0</v>
      </c>
      <c r="AG2635" s="120">
        <f t="shared" si="287"/>
        <v>0</v>
      </c>
      <c r="AH2635" s="36"/>
      <c r="AI2635" s="124" t="s">
        <v>2545</v>
      </c>
      <c r="AJ2635" s="122"/>
      <c r="AK2635" s="129" t="str">
        <f t="shared" ca="1" si="286"/>
        <v/>
      </c>
      <c r="AL2635" s="268" t="str">
        <f t="shared" si="285"/>
        <v>November</v>
      </c>
      <c r="AM2635" s="133">
        <f>YEAR(Table1[[#This Row],[ETA
As requested
dd.mm.yyyy]])</f>
        <v>2025</v>
      </c>
      <c r="AN2635"/>
    </row>
    <row r="2636" spans="1:40" s="191" customFormat="1" hidden="1">
      <c r="A2636" s="228"/>
      <c r="B2636" s="229"/>
      <c r="C2636" s="230"/>
      <c r="D2636" s="237"/>
      <c r="E2636" s="239"/>
      <c r="F2636" s="241"/>
      <c r="G2636" s="242"/>
      <c r="H2636" s="242"/>
      <c r="I2636" s="229"/>
      <c r="J2636" s="231">
        <f>IFERROR(Table1[[#This Row],[Quantity]]*Table1[[#This Row],[Price/Unit
EUR]]," ")</f>
        <v>0</v>
      </c>
      <c r="K2636" s="232"/>
      <c r="L2636" s="232"/>
      <c r="M2636" s="232"/>
      <c r="N2636" s="232"/>
      <c r="O2636" s="232"/>
      <c r="P2636" s="232"/>
      <c r="Q2636" s="232"/>
      <c r="R2636" s="232"/>
      <c r="S2636" s="232"/>
      <c r="T2636" s="232"/>
      <c r="U2636" s="232"/>
      <c r="V2636" s="232"/>
      <c r="W2636" s="232"/>
      <c r="X2636" s="232"/>
      <c r="Y2636" s="232"/>
      <c r="Z2636" s="232"/>
      <c r="AA2636" s="232"/>
      <c r="AB2636" s="246"/>
      <c r="AC2636" s="246"/>
      <c r="AD2636" s="246"/>
      <c r="AE2636" s="246"/>
      <c r="AF2636" s="246"/>
      <c r="AG2636" s="246"/>
      <c r="AH2636" s="246"/>
      <c r="AI2636" s="246"/>
      <c r="AJ2636" s="246"/>
      <c r="AK2636" s="246"/>
      <c r="AL2636" s="267"/>
      <c r="AM2636" s="246"/>
    </row>
    <row r="2637" spans="1:40" s="334" customFormat="1" ht="15" customHeight="1">
      <c r="C2637" s="335"/>
      <c r="D2637" s="336"/>
      <c r="E2637" s="335"/>
      <c r="H2637" s="337"/>
      <c r="S2637"/>
      <c r="T2637"/>
      <c r="U2637"/>
      <c r="V2637"/>
      <c r="W2637"/>
      <c r="X2637"/>
      <c r="Y2637"/>
      <c r="Z2637"/>
      <c r="AB2637" s="336"/>
      <c r="AC2637" s="338"/>
      <c r="AG2637" s="339"/>
    </row>
    <row r="2639" spans="1:40">
      <c r="H2639" s="2" t="s">
        <v>2537</v>
      </c>
      <c r="Q2639" t="s">
        <v>3537</v>
      </c>
      <c r="AC2639"/>
    </row>
    <row r="2640" spans="1:40" ht="15" customHeight="1">
      <c r="E2640" s="189"/>
    </row>
    <row r="2641" spans="3:32" ht="15" customHeight="1">
      <c r="AF2641" s="191"/>
    </row>
    <row r="2642" spans="3:32">
      <c r="AB2642" s="163" t="s">
        <v>3537</v>
      </c>
    </row>
    <row r="2643" spans="3:32">
      <c r="C2643" s="77"/>
    </row>
    <row r="2644" spans="3:32">
      <c r="H2644" s="2" t="s">
        <v>3537</v>
      </c>
      <c r="K2644" t="s">
        <v>3537</v>
      </c>
    </row>
    <row r="2648" spans="3:32" ht="15" customHeight="1">
      <c r="M2648" t="s">
        <v>3537</v>
      </c>
    </row>
    <row r="2653" spans="3:32">
      <c r="G2653" t="s">
        <v>3537</v>
      </c>
    </row>
    <row r="2655" spans="3:32">
      <c r="K2655" t="s">
        <v>3537</v>
      </c>
      <c r="N2655" t="s">
        <v>3537</v>
      </c>
    </row>
  </sheetData>
  <mergeCells count="5">
    <mergeCell ref="A8:I8"/>
    <mergeCell ref="K8:R8"/>
    <mergeCell ref="S8:AA8"/>
    <mergeCell ref="AB8:AI8"/>
    <mergeCell ref="AJ8:AM8"/>
  </mergeCells>
  <phoneticPr fontId="34" type="noConversion"/>
  <conditionalFormatting sqref="B1:B1048576">
    <cfRule type="cellIs" dxfId="33" priority="1" operator="equal">
      <formula>"forecast"</formula>
    </cfRule>
    <cfRule type="cellIs" dxfId="32" priority="2" operator="equal">
      <formula>"firm"</formula>
    </cfRule>
  </conditionalFormatting>
  <conditionalFormatting sqref="AA2637:AA1048576 AA1:AA2635">
    <cfRule type="cellIs" dxfId="31" priority="3" operator="equal">
      <formula>"No"</formula>
    </cfRule>
    <cfRule type="cellIs" dxfId="30" priority="4" operator="equal">
      <formula>"Yes"</formula>
    </cfRule>
  </conditionalFormatting>
  <conditionalFormatting sqref="AK1:AK7 AK2637:AK1048576 AK9:AK2635">
    <cfRule type="cellIs" dxfId="29" priority="5" operator="equal">
      <formula>"Late"</formula>
    </cfRule>
    <cfRule type="cellIs" dxfId="28" priority="6" operator="equal">
      <formula>"On Time"</formula>
    </cfRule>
  </conditionalFormatting>
  <dataValidations count="2">
    <dataValidation type="list" allowBlank="1" showInputMessage="1" showErrorMessage="1" sqref="V1938:V1948 V2637:Y2637 V2638 V2639:W2639 X2638:Y2639 V2640:Y1048576 X1938:Y1948 X1984:Y1992 U1018 U1876 U1983 U1937 V1981:V1982 X730:Y731 V7:Y7 V730:V731 U1949:U1950 V1852:V1875 Y1833:Y1875 X1981:Y1982 V1951:V1979 X1951:Y1979 X1877:Y1936 V1877:V1936 X1993:X2038 Y1997:Y2038 V1828:V1847 X1828:X1875 V1984:V2635 X2039:Y2635 AA10:AA2635" xr:uid="{B867595B-1D7D-442E-A2B9-9881D3C87B3B}">
      <formula1>"Yes,No"</formula1>
    </dataValidation>
    <dataValidation allowBlank="1" showInputMessage="1" showErrorMessage="1" sqref="AA9" xr:uid="{07A4FCF5-D382-4A04-97DF-E7291E775646}"/>
  </dataValidations>
  <hyperlinks>
    <hyperlink ref="AC1654" r:id="rId1" display="AVIZE SI POZE\MARTIE 2024\08.03.2024\AVIZ Bosch RO CDA 4509909328 - 08.03.2024.pdf" xr:uid="{E131AC9E-FFE8-497C-A868-8DE9F250D8D9}"/>
    <hyperlink ref="AC406" r:id="rId2" display="\\192.168.0.252\2.Departament LOGISTICA\LOGISTICA\AVIZE SI POZE\MARTIE 2024\29.03.2024\AIM 2024285-IGW.pdf" xr:uid="{5F058A8A-1EC4-4BA3-820C-20ED5FCC4A86}"/>
    <hyperlink ref="AC581" r:id="rId3" display="\\192.168.0.252\2.Departament LOGISTICA\LOGISTICA\AVIZE SI POZE\MARTIE 2024\27.03.2024\AIM 2024279 - 27.03.2024 cda RA118470 - IGW.pdf" xr:uid="{2D3EA4F2-EB26-4E08-8ECB-1B556F51CD35}"/>
    <hyperlink ref="AC615" r:id="rId4" display="\\192.168.0.252\2.Departament LOGISTICA\LOGISTICA\AVIZE SI POZE\APRILIE 2024\01.04.2024\AIM 2024294 - 01.04.2024 cda 36313644.pdf" xr:uid="{DC01F496-4781-4895-9937-938DA4AC5A3A}"/>
    <hyperlink ref="AC213" r:id="rId5" display="\\192.168.0.252\2.Departament LOGISTICA\LOGISTICA\AVIZE SI POZE\APRILIE 2024\02.04.2024\AIM 2024300 - 02.04.2024 cda 5325142.pdf" xr:uid="{5F2A058B-55E6-4355-93F2-EE9A807BFECC}"/>
    <hyperlink ref="AC312" r:id="rId6" display="\\192.168.0.252\2.Departament LOGISTICA\LOGISTICA\AVIZE SI POZE\APRILIE 2024\02.04.2024\AIM 2024299 - 02.04.2024 cda 36508670.pdf" xr:uid="{1C3F87CB-B500-45A7-A1DF-04C5199C7EA7}"/>
    <hyperlink ref="AC2370" r:id="rId7" display="\\192.168.0.252\2.Departament LOGISTICA\LOGISTICA\AVIZE SI POZE\APRILIE 2024\02.04.2024\AIM 2024301 - 02.04.2024 cda 36508701.pdf" xr:uid="{BC658D24-F9D3-405D-9F36-152CBE1041FC}"/>
    <hyperlink ref="AC2141" r:id="rId8" display="\\192.168.0.252\2.Departament LOGISTICA\LOGISTICA\AVIZE SI POZE\MARTIE 2024\29.03.2024\AIM 2024289-29.03.2024 PO 36340001 SCHAEFFLER.pdf" xr:uid="{EE835656-CF90-4BEC-A307-526FDEDCD9A6}"/>
    <hyperlink ref="AC1597" r:id="rId9" display="\\192.168.0.252\2.Departament LOGISTICA\LOGISTICA\AVIZE SI POZE\APRILIE 2024\4.04.2024\AIM 2024307 - 04.04.2024 cda 5500502907.pdf" xr:uid="{F63A491E-6E3F-43AE-B62F-0A61EB8C636B}"/>
    <hyperlink ref="AC1669" r:id="rId10" display="\\192.168.0.252\2.Departament LOGISTICA\LOGISTICA\AVIZE SI POZE\APRILIE 2024\4.04.2024\AIM2024302 - 04.04.2024 cda 4509909318.pdf" xr:uid="{9E4CA906-C8EF-4F56-AC37-3F454FBB93E8}"/>
    <hyperlink ref="AC2144" r:id="rId11" display="\\192.168.0.252\2.Departament LOGISTICA\LOGISTICA\AVIZE SI POZE\APRILIE 2024\4.04.2024\AIM 2024308 - 04.04.2024 cda 36508929.pdf" xr:uid="{AD1C8242-CF00-4500-9751-3AE8A46B98E7}"/>
    <hyperlink ref="AC2143" r:id="rId12" display="\\192.168.0.252\2.Departament LOGISTICA\LOGISTICA\AVIZE SI POZE\APRILIE 2024\4.04.2024\AIM 2024306 - 04.04.2024 cda 36508924.pdf" xr:uid="{F0A01254-E48A-46BA-AADC-5EDD80B93A72}"/>
    <hyperlink ref="AC2142" r:id="rId13" display="\\192.168.0.252\2.Departament LOGISTICA\LOGISTICA\AVIZE SI POZE\APRILIE 2024\02.04.2024\AIM 2024298 - 02.04.2024 cda 36508920.pdf" xr:uid="{7F073B32-21B1-4652-981E-1FC0362302E4}"/>
    <hyperlink ref="AC2372" r:id="rId14" display="\\192.168.0.252\2.Departament LOGISTICA\LOGISTICA\AVIZE SI POZE\APRILIE 2024\4.04.2024\AIM 2024309 - 04.04.2024 cda 36508720.pdf" xr:uid="{596C2B17-E23B-4CB5-B9BB-C9B078C1F221}"/>
    <hyperlink ref="AC2371" r:id="rId15" display="\\192.168.0.252\2.Departament LOGISTICA\LOGISTICA\AVIZE SI POZE\APRILIE 2024\4.04.2024\AIM 2024305 - 04.04.2024 cda 36508702.pdf" xr:uid="{6330D2BE-FC4E-4575-AF4E-B6C3CAFCA258}"/>
    <hyperlink ref="AC1768" r:id="rId16" display="\\192.168.0.252\2.Departament LOGISTICA\LOGISTICA\AVIZE SI POZE\APRILIE 2024\4.04.2024\AIM 2024303 - 04.04.2024 cda 5500511034.pdf" xr:uid="{12A58846-74F6-4FB2-BE6C-790880CE067D}"/>
    <hyperlink ref="AC1598" r:id="rId17" display="\\192.168.0.252\2.Departament LOGISTICA\LOGISTICA\AVIZE SI POZE\APRILIE 2024\4.04.2024\AIM 2024307 - 04.04.2024 cda 5500502907.pdf" xr:uid="{DF2D42B5-801F-4675-97AE-E39BFA8DA3E9}"/>
  </hyperlinks>
  <pageMargins left="0.7" right="0.7" top="0.75" bottom="0.75" header="0.3" footer="0.3"/>
  <pageSetup paperSize="9" scale="24" fitToHeight="0" orientation="portrait" r:id="rId18"/>
  <headerFooter>
    <oddFooter>&amp;LOLSTRAL HPT&amp;CCode: R-L-01 Edition/ Revision: 0/0&amp;R&amp;P/&amp;P</oddFooter>
  </headerFooter>
  <drawing r:id="rId19"/>
  <legacyDrawing r:id="rId20"/>
  <tableParts count="1">
    <tablePart r:id="rId21"/>
  </tableParts>
  <extLst>
    <ext xmlns:x14="http://schemas.microsoft.com/office/spreadsheetml/2009/9/main" uri="{CCE6A557-97BC-4b89-ADB6-D9C93CAAB3DF}">
      <x14:dataValidations xmlns:xm="http://schemas.microsoft.com/office/excel/2006/main" count="4">
        <x14:dataValidation type="list" allowBlank="1" showInputMessage="1" showErrorMessage="1" xr:uid="{7019BCB6-41E6-42AC-AC17-D99A99ACC134}">
          <x14:formula1>
            <xm:f>list!$G$2:$G$3</xm:f>
          </x14:formula1>
          <xm:sqref>R2139 R2149 R514:R925 R2152:R2158 R2284:R2291 R10:R510 R2420:R2573 R2294:R2418 R2270:R2282 R1876:R2019 R929:R1863</xm:sqref>
        </x14:dataValidation>
        <x14:dataValidation type="list" allowBlank="1" showInputMessage="1" showErrorMessage="1" xr:uid="{8F327F6A-4BA8-4512-9EFA-98B08D2050A7}">
          <x14:formula1>
            <xm:f>list!$E$2:$E$3</xm:f>
          </x14:formula1>
          <xm:sqref>T1860 T1848:T1851 T1753:T1768 T1586 T1122:T1130 T1995 T1588:T1746 T2560:T2573 T865:T1119 T1980 T1772:T1843 T1145:T1584 W10:W2635 T10:T863</xm:sqref>
        </x14:dataValidation>
        <x14:dataValidation type="list" allowBlank="1" showInputMessage="1" showErrorMessage="1" xr:uid="{21DA0EC0-9CF4-44EA-A2E9-F9152C5244E5}">
          <x14:formula1>
            <xm:f>list!$A$2:$A$23</xm:f>
          </x14:formula1>
          <xm:sqref>A1876:A2636 A10:A1862</xm:sqref>
        </x14:dataValidation>
        <x14:dataValidation type="list" allowBlank="1" showInputMessage="1" showErrorMessage="1" xr:uid="{75C99840-9841-4373-BD72-B7A457F97B5F}">
          <x14:formula1>
            <xm:f>DATABASE_FG!$C$4:$C$55502</xm:f>
          </x14:formula1>
          <xm:sqref>E8:E1048576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9059C-8033-4CEE-9070-5DAA9F6230F0}">
  <sheetPr codeName="Sheet9"/>
  <dimension ref="B2:L18"/>
  <sheetViews>
    <sheetView zoomScale="80" zoomScaleNormal="80" workbookViewId="0">
      <selection activeCell="C11" sqref="C11"/>
    </sheetView>
  </sheetViews>
  <sheetFormatPr defaultRowHeight="15"/>
  <cols>
    <col min="1" max="1" width="17" bestFit="1" customWidth="1"/>
    <col min="2" max="2" width="22" bestFit="1" customWidth="1"/>
    <col min="3" max="3" width="16.7109375" bestFit="1" customWidth="1"/>
    <col min="4" max="4" width="8.7109375" bestFit="1" customWidth="1"/>
    <col min="5" max="7" width="11.5703125" bestFit="1" customWidth="1"/>
    <col min="8" max="8" width="11.5703125" customWidth="1"/>
    <col min="9" max="9" width="22" bestFit="1" customWidth="1"/>
    <col min="10" max="10" width="16.7109375" bestFit="1" customWidth="1"/>
    <col min="11" max="11" width="8.7109375" bestFit="1" customWidth="1"/>
    <col min="12" max="12" width="11.5703125" bestFit="1" customWidth="1"/>
    <col min="13" max="13" width="7.42578125" bestFit="1" customWidth="1"/>
    <col min="14" max="14" width="11.5703125" bestFit="1" customWidth="1"/>
    <col min="15" max="15" width="7.28515625" bestFit="1" customWidth="1"/>
    <col min="16" max="16" width="5" bestFit="1" customWidth="1"/>
    <col min="17" max="17" width="8.7109375" bestFit="1" customWidth="1"/>
    <col min="18" max="18" width="7.28515625" bestFit="1" customWidth="1"/>
    <col min="19" max="19" width="8.7109375" bestFit="1" customWidth="1"/>
    <col min="20" max="20" width="7.28515625" bestFit="1" customWidth="1"/>
    <col min="21" max="21" width="8.7109375" bestFit="1" customWidth="1"/>
    <col min="22" max="22" width="7.28515625" bestFit="1" customWidth="1"/>
    <col min="23" max="23" width="5" bestFit="1" customWidth="1"/>
    <col min="24" max="24" width="8.7109375" bestFit="1" customWidth="1"/>
    <col min="25" max="25" width="7.28515625" bestFit="1" customWidth="1"/>
    <col min="26" max="26" width="5" bestFit="1" customWidth="1"/>
    <col min="27" max="27" width="7.28515625" bestFit="1" customWidth="1"/>
    <col min="28" max="28" width="5" bestFit="1" customWidth="1"/>
    <col min="29" max="29" width="8.42578125" bestFit="1" customWidth="1"/>
    <col min="30" max="30" width="5" bestFit="1" customWidth="1"/>
    <col min="31" max="31" width="8.42578125" bestFit="1" customWidth="1"/>
    <col min="32" max="32" width="20.85546875" bestFit="1" customWidth="1"/>
    <col min="33" max="33" width="18.85546875" bestFit="1" customWidth="1"/>
    <col min="34" max="34" width="38.85546875" bestFit="1" customWidth="1"/>
    <col min="35" max="36" width="42" bestFit="1" customWidth="1"/>
    <col min="37" max="37" width="18.42578125" bestFit="1" customWidth="1"/>
    <col min="38" max="39" width="8.7109375" bestFit="1" customWidth="1"/>
    <col min="40" max="43" width="11.5703125" bestFit="1" customWidth="1"/>
  </cols>
  <sheetData>
    <row r="2" spans="2:12">
      <c r="B2" s="70"/>
    </row>
    <row r="6" spans="2:12">
      <c r="B6" s="48" t="s">
        <v>3835</v>
      </c>
      <c r="C6" s="48" t="s">
        <v>3836</v>
      </c>
      <c r="I6" s="48" t="s">
        <v>3835</v>
      </c>
      <c r="J6" s="48" t="s">
        <v>3836</v>
      </c>
    </row>
    <row r="7" spans="2:12">
      <c r="B7" s="48" t="s">
        <v>3837</v>
      </c>
      <c r="C7" t="s">
        <v>3838</v>
      </c>
      <c r="D7" t="s">
        <v>3839</v>
      </c>
      <c r="E7" t="s">
        <v>111</v>
      </c>
      <c r="I7" s="48" t="s">
        <v>3837</v>
      </c>
      <c r="J7" t="s">
        <v>3838</v>
      </c>
      <c r="K7" t="s">
        <v>3839</v>
      </c>
      <c r="L7" t="s">
        <v>111</v>
      </c>
    </row>
    <row r="8" spans="2:12">
      <c r="B8" s="70">
        <v>2025</v>
      </c>
      <c r="C8" s="169"/>
      <c r="D8" s="169"/>
      <c r="E8" s="169"/>
      <c r="H8" s="169"/>
      <c r="I8" s="70">
        <v>2025</v>
      </c>
    </row>
    <row r="9" spans="2:12">
      <c r="B9" s="250" t="s">
        <v>567</v>
      </c>
      <c r="C9" s="169"/>
      <c r="D9" s="169"/>
      <c r="E9" s="169"/>
      <c r="H9" s="169"/>
      <c r="I9" s="250" t="s">
        <v>567</v>
      </c>
    </row>
    <row r="10" spans="2:12">
      <c r="B10" s="252" t="s">
        <v>25</v>
      </c>
      <c r="C10" s="169">
        <v>0.7142857142857143</v>
      </c>
      <c r="D10" s="169">
        <v>0.2857142857142857</v>
      </c>
      <c r="E10" s="169">
        <v>1</v>
      </c>
      <c r="H10" s="169"/>
      <c r="I10" s="252" t="s">
        <v>25</v>
      </c>
      <c r="J10">
        <v>5</v>
      </c>
      <c r="K10">
        <v>2</v>
      </c>
      <c r="L10">
        <v>7</v>
      </c>
    </row>
    <row r="11" spans="2:12">
      <c r="B11" s="252" t="s">
        <v>26</v>
      </c>
      <c r="C11" s="169">
        <v>1</v>
      </c>
      <c r="D11" s="169">
        <v>0</v>
      </c>
      <c r="E11" s="169">
        <v>1</v>
      </c>
      <c r="H11" s="169"/>
      <c r="I11" s="252" t="s">
        <v>26</v>
      </c>
      <c r="J11">
        <v>1</v>
      </c>
      <c r="L11">
        <v>1</v>
      </c>
    </row>
    <row r="12" spans="2:12">
      <c r="B12" s="252" t="s">
        <v>27</v>
      </c>
      <c r="C12" s="169">
        <v>0.56521739130434778</v>
      </c>
      <c r="D12" s="169">
        <v>0.43478260869565216</v>
      </c>
      <c r="E12" s="169">
        <v>1</v>
      </c>
      <c r="H12" s="169"/>
      <c r="I12" s="252" t="s">
        <v>27</v>
      </c>
      <c r="J12">
        <v>13</v>
      </c>
      <c r="K12">
        <v>10</v>
      </c>
      <c r="L12">
        <v>23</v>
      </c>
    </row>
    <row r="13" spans="2:12">
      <c r="B13" s="252" t="s">
        <v>58</v>
      </c>
      <c r="C13" s="169">
        <v>1</v>
      </c>
      <c r="D13" s="169">
        <v>0</v>
      </c>
      <c r="E13" s="169">
        <v>1</v>
      </c>
      <c r="H13" s="169"/>
      <c r="I13" s="252" t="s">
        <v>58</v>
      </c>
      <c r="J13">
        <v>1</v>
      </c>
      <c r="L13">
        <v>1</v>
      </c>
    </row>
    <row r="14" spans="2:12">
      <c r="B14" s="252" t="s">
        <v>83</v>
      </c>
      <c r="C14" s="169">
        <v>0.13924050632911392</v>
      </c>
      <c r="D14" s="169">
        <v>0.86075949367088611</v>
      </c>
      <c r="E14" s="169">
        <v>1</v>
      </c>
      <c r="H14" s="169"/>
      <c r="I14" s="252" t="s">
        <v>83</v>
      </c>
      <c r="J14">
        <v>11</v>
      </c>
      <c r="K14">
        <v>68</v>
      </c>
      <c r="L14">
        <v>79</v>
      </c>
    </row>
    <row r="15" spans="2:12">
      <c r="B15" s="250" t="s">
        <v>4453</v>
      </c>
      <c r="C15" s="169">
        <v>0.27927927927927926</v>
      </c>
      <c r="D15" s="169">
        <v>0.72072072072072069</v>
      </c>
      <c r="E15" s="169">
        <v>1</v>
      </c>
      <c r="H15" s="169"/>
      <c r="I15" s="250" t="s">
        <v>4453</v>
      </c>
      <c r="J15">
        <v>31</v>
      </c>
      <c r="K15">
        <v>80</v>
      </c>
      <c r="L15">
        <v>111</v>
      </c>
    </row>
    <row r="16" spans="2:12">
      <c r="B16" s="70" t="s">
        <v>120</v>
      </c>
      <c r="C16" s="169">
        <v>0.27927927927927926</v>
      </c>
      <c r="D16" s="169">
        <v>0.72072072072072069</v>
      </c>
      <c r="E16" s="169">
        <v>1</v>
      </c>
      <c r="H16" s="169"/>
      <c r="I16" s="70" t="s">
        <v>120</v>
      </c>
      <c r="J16">
        <v>31</v>
      </c>
      <c r="K16">
        <v>80</v>
      </c>
      <c r="L16">
        <v>111</v>
      </c>
    </row>
    <row r="17" spans="2:12">
      <c r="B17" s="70" t="s">
        <v>111</v>
      </c>
      <c r="C17" s="169">
        <v>0.27927927927927926</v>
      </c>
      <c r="D17" s="169">
        <v>0.72072072072072069</v>
      </c>
      <c r="E17" s="169">
        <v>1</v>
      </c>
      <c r="H17" s="169"/>
      <c r="I17" s="70" t="s">
        <v>111</v>
      </c>
      <c r="J17">
        <v>31</v>
      </c>
      <c r="K17">
        <v>80</v>
      </c>
      <c r="L17">
        <v>111</v>
      </c>
    </row>
    <row r="18" spans="2:12">
      <c r="H18" s="169"/>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200DE-817B-4CB0-9BC6-7ABBAB70F529}">
  <sheetPr codeName="Sheet4"/>
  <dimension ref="A1:R447"/>
  <sheetViews>
    <sheetView zoomScaleNormal="100" workbookViewId="0">
      <selection activeCell="G5" sqref="G5"/>
    </sheetView>
  </sheetViews>
  <sheetFormatPr defaultColWidth="8.5703125" defaultRowHeight="15"/>
  <cols>
    <col min="1" max="1" width="23.42578125" bestFit="1" customWidth="1"/>
    <col min="2" max="2" width="34" bestFit="1" customWidth="1"/>
    <col min="3" max="6" width="10.42578125" bestFit="1" customWidth="1"/>
    <col min="7" max="9" width="9.5703125" bestFit="1" customWidth="1"/>
    <col min="10" max="10" width="9.140625"/>
    <col min="11" max="11" width="0" hidden="1" customWidth="1"/>
    <col min="12" max="12" width="22.7109375" style="270" hidden="1" customWidth="1"/>
    <col min="13" max="13" width="17.140625" style="51" hidden="1" customWidth="1"/>
    <col min="14" max="14" width="7.140625" style="51" hidden="1" customWidth="1"/>
    <col min="15" max="18" width="0" style="51" hidden="1" customWidth="1"/>
    <col min="19" max="16384" width="8.5703125" style="51"/>
  </cols>
  <sheetData>
    <row r="1" spans="1:12">
      <c r="A1" s="313" t="s">
        <v>598</v>
      </c>
      <c r="B1" s="313" t="s">
        <v>138</v>
      </c>
      <c r="C1" s="313" t="s">
        <v>3840</v>
      </c>
      <c r="D1" s="313" t="s">
        <v>3841</v>
      </c>
      <c r="E1" s="313" t="s">
        <v>9</v>
      </c>
      <c r="F1" s="313" t="s">
        <v>10</v>
      </c>
      <c r="G1" s="313" t="s">
        <v>3842</v>
      </c>
      <c r="H1" s="313" t="s">
        <v>3843</v>
      </c>
      <c r="I1" s="313" t="s">
        <v>3844</v>
      </c>
      <c r="L1" s="315" t="s">
        <v>3845</v>
      </c>
    </row>
    <row r="2" spans="1:12">
      <c r="A2" s="287" t="s">
        <v>3846</v>
      </c>
      <c r="B2" s="287" t="s">
        <v>106</v>
      </c>
      <c r="C2" s="288">
        <v>36.44</v>
      </c>
      <c r="D2" s="288">
        <v>36.44</v>
      </c>
      <c r="E2" s="288">
        <v>36.44</v>
      </c>
      <c r="F2" s="288">
        <v>36.44</v>
      </c>
      <c r="G2" s="289">
        <v>0</v>
      </c>
      <c r="H2" s="288">
        <v>0</v>
      </c>
      <c r="I2" s="290">
        <v>0</v>
      </c>
    </row>
    <row r="3" spans="1:12">
      <c r="A3" s="287" t="s">
        <v>3846</v>
      </c>
      <c r="B3" s="287" t="s">
        <v>854</v>
      </c>
      <c r="C3" s="288">
        <v>18.37</v>
      </c>
      <c r="D3" s="288">
        <v>18.37</v>
      </c>
      <c r="E3" s="288">
        <v>18.37</v>
      </c>
      <c r="F3" s="288">
        <v>18.37</v>
      </c>
      <c r="G3" s="289">
        <v>0</v>
      </c>
      <c r="H3" s="288">
        <v>0</v>
      </c>
      <c r="I3" s="290">
        <v>0</v>
      </c>
    </row>
    <row r="4" spans="1:12">
      <c r="A4" s="287" t="s">
        <v>3846</v>
      </c>
      <c r="B4" s="287" t="s">
        <v>847</v>
      </c>
      <c r="C4" s="288">
        <v>21.97</v>
      </c>
      <c r="D4" s="288">
        <v>21.97</v>
      </c>
      <c r="E4" s="288">
        <v>21.97</v>
      </c>
      <c r="F4" s="288">
        <v>21.97</v>
      </c>
      <c r="G4" s="289">
        <v>0</v>
      </c>
      <c r="H4" s="288">
        <v>0</v>
      </c>
      <c r="I4" s="290">
        <v>0</v>
      </c>
    </row>
    <row r="5" spans="1:12">
      <c r="A5" s="287" t="s">
        <v>3846</v>
      </c>
      <c r="B5" s="287" t="s">
        <v>326</v>
      </c>
      <c r="C5" s="288">
        <v>18.239999999999998</v>
      </c>
      <c r="D5" s="288">
        <v>18.239999999999998</v>
      </c>
      <c r="E5" s="288">
        <v>18.239999999999998</v>
      </c>
      <c r="F5" s="288">
        <v>18.239999999999998</v>
      </c>
      <c r="G5" s="289">
        <v>0</v>
      </c>
      <c r="H5" s="288">
        <v>0</v>
      </c>
      <c r="I5" s="290">
        <v>0</v>
      </c>
    </row>
    <row r="6" spans="1:12">
      <c r="A6" s="287" t="s">
        <v>3846</v>
      </c>
      <c r="B6" s="287" t="s">
        <v>314</v>
      </c>
      <c r="C6" s="288">
        <v>24.97</v>
      </c>
      <c r="D6" s="288">
        <v>24.97</v>
      </c>
      <c r="E6" s="288">
        <v>24.97</v>
      </c>
      <c r="F6" s="288">
        <v>24.97</v>
      </c>
      <c r="G6" s="289">
        <v>0</v>
      </c>
      <c r="H6" s="288">
        <v>0</v>
      </c>
      <c r="I6" s="290">
        <v>0</v>
      </c>
    </row>
    <row r="7" spans="1:12">
      <c r="A7" s="287" t="s">
        <v>3846</v>
      </c>
      <c r="B7" s="287" t="s">
        <v>274</v>
      </c>
      <c r="C7" s="288">
        <v>18.63</v>
      </c>
      <c r="D7" s="288">
        <v>18.63</v>
      </c>
      <c r="E7" s="288">
        <v>18.63</v>
      </c>
      <c r="F7" s="288">
        <v>18.63</v>
      </c>
      <c r="G7" s="289">
        <v>0</v>
      </c>
      <c r="H7" s="288">
        <v>0</v>
      </c>
      <c r="I7" s="290">
        <v>0</v>
      </c>
    </row>
    <row r="8" spans="1:12">
      <c r="A8" s="287" t="s">
        <v>3846</v>
      </c>
      <c r="B8" s="287" t="s">
        <v>471</v>
      </c>
      <c r="C8" s="288">
        <v>24.63</v>
      </c>
      <c r="D8" s="288">
        <v>24.63</v>
      </c>
      <c r="E8" s="288">
        <v>24.63</v>
      </c>
      <c r="F8" s="288">
        <v>24.63</v>
      </c>
      <c r="G8" s="289">
        <v>0</v>
      </c>
      <c r="H8" s="288">
        <v>0</v>
      </c>
      <c r="I8" s="290">
        <v>0</v>
      </c>
    </row>
    <row r="9" spans="1:12">
      <c r="A9" s="287" t="s">
        <v>3846</v>
      </c>
      <c r="B9" s="287" t="s">
        <v>347</v>
      </c>
      <c r="C9" s="288">
        <v>10.44</v>
      </c>
      <c r="D9" s="288">
        <v>10.44</v>
      </c>
      <c r="E9" s="288">
        <v>10.44</v>
      </c>
      <c r="F9" s="288">
        <v>10.44</v>
      </c>
      <c r="G9" s="289">
        <v>0</v>
      </c>
      <c r="H9" s="288">
        <v>0</v>
      </c>
      <c r="I9" s="290">
        <v>0</v>
      </c>
    </row>
    <row r="10" spans="1:12">
      <c r="A10" s="287" t="s">
        <v>3846</v>
      </c>
      <c r="B10" s="287" t="s">
        <v>408</v>
      </c>
      <c r="C10" s="288">
        <v>12.5</v>
      </c>
      <c r="D10" s="288">
        <v>12.5</v>
      </c>
      <c r="E10" s="288">
        <v>12.5</v>
      </c>
      <c r="F10" s="288">
        <v>12.5</v>
      </c>
      <c r="G10" s="289">
        <v>0</v>
      </c>
      <c r="H10" s="288">
        <v>0</v>
      </c>
      <c r="I10" s="290">
        <v>0</v>
      </c>
    </row>
    <row r="11" spans="1:12">
      <c r="A11" s="287" t="s">
        <v>3846</v>
      </c>
      <c r="B11" s="287" t="s">
        <v>403</v>
      </c>
      <c r="C11" s="288">
        <v>9.89</v>
      </c>
      <c r="D11" s="288">
        <v>9.89</v>
      </c>
      <c r="E11" s="288">
        <v>9.89</v>
      </c>
      <c r="F11" s="288">
        <v>9.89</v>
      </c>
      <c r="G11" s="289">
        <v>0</v>
      </c>
      <c r="H11" s="288">
        <v>0</v>
      </c>
      <c r="I11" s="290">
        <v>0</v>
      </c>
    </row>
    <row r="12" spans="1:12">
      <c r="A12" s="287" t="s">
        <v>3846</v>
      </c>
      <c r="B12" s="287" t="s">
        <v>851</v>
      </c>
      <c r="C12" s="288">
        <v>23.79</v>
      </c>
      <c r="D12" s="288">
        <v>23.79</v>
      </c>
      <c r="E12" s="288">
        <v>23.79</v>
      </c>
      <c r="F12" s="288">
        <v>23.79</v>
      </c>
      <c r="G12" s="289">
        <v>0</v>
      </c>
      <c r="H12" s="288">
        <v>0</v>
      </c>
      <c r="I12" s="290">
        <v>0</v>
      </c>
    </row>
    <row r="13" spans="1:12">
      <c r="A13" s="287" t="s">
        <v>3846</v>
      </c>
      <c r="B13" s="287" t="s">
        <v>818</v>
      </c>
      <c r="C13" s="288">
        <v>12.13</v>
      </c>
      <c r="D13" s="288">
        <v>12.13</v>
      </c>
      <c r="E13" s="288">
        <v>12.13</v>
      </c>
      <c r="F13" s="288">
        <v>12.13</v>
      </c>
      <c r="G13" s="289">
        <v>0</v>
      </c>
      <c r="H13" s="288">
        <v>0</v>
      </c>
      <c r="I13" s="290">
        <v>0</v>
      </c>
    </row>
    <row r="14" spans="1:12">
      <c r="A14" s="287" t="s">
        <v>3846</v>
      </c>
      <c r="B14" s="287" t="s">
        <v>845</v>
      </c>
      <c r="C14" s="288">
        <v>80</v>
      </c>
      <c r="D14" s="288">
        <v>80</v>
      </c>
      <c r="E14" s="288">
        <v>80</v>
      </c>
      <c r="F14" s="288">
        <v>80</v>
      </c>
      <c r="G14" s="289">
        <v>0</v>
      </c>
      <c r="H14" s="288">
        <v>0</v>
      </c>
      <c r="I14" s="290">
        <v>0</v>
      </c>
    </row>
    <row r="15" spans="1:12">
      <c r="A15" s="287" t="s">
        <v>3846</v>
      </c>
      <c r="B15" s="287" t="s">
        <v>3847</v>
      </c>
      <c r="C15" s="288">
        <v>23.3</v>
      </c>
      <c r="D15" s="288">
        <v>23.3</v>
      </c>
      <c r="E15" s="288">
        <v>23.3</v>
      </c>
      <c r="F15" s="288">
        <v>23.3</v>
      </c>
      <c r="G15" s="289">
        <v>0</v>
      </c>
      <c r="H15" s="288">
        <v>0</v>
      </c>
      <c r="I15" s="290">
        <v>0</v>
      </c>
    </row>
    <row r="16" spans="1:12">
      <c r="A16" s="287" t="s">
        <v>3846</v>
      </c>
      <c r="B16" s="287" t="s">
        <v>1237</v>
      </c>
      <c r="C16" s="288">
        <v>9.14</v>
      </c>
      <c r="D16" s="288">
        <v>9.14</v>
      </c>
      <c r="E16" s="288">
        <v>9.14</v>
      </c>
      <c r="F16" s="288">
        <v>9.14</v>
      </c>
      <c r="G16" s="289">
        <v>0</v>
      </c>
      <c r="H16" s="288">
        <v>0</v>
      </c>
      <c r="I16" s="290">
        <v>0</v>
      </c>
    </row>
    <row r="17" spans="1:18">
      <c r="A17" s="287" t="s">
        <v>3846</v>
      </c>
      <c r="B17" s="287" t="s">
        <v>446</v>
      </c>
      <c r="C17" s="288">
        <v>16.63</v>
      </c>
      <c r="D17" s="288">
        <v>16.63</v>
      </c>
      <c r="E17" s="288">
        <v>16.63</v>
      </c>
      <c r="F17" s="288">
        <v>16.63</v>
      </c>
      <c r="G17" s="289">
        <v>0</v>
      </c>
      <c r="H17" s="288">
        <v>0</v>
      </c>
      <c r="I17" s="290">
        <v>0</v>
      </c>
    </row>
    <row r="18" spans="1:18">
      <c r="A18" s="287" t="s">
        <v>3846</v>
      </c>
      <c r="B18" s="287" t="s">
        <v>1643</v>
      </c>
      <c r="C18" s="288">
        <v>30.31</v>
      </c>
      <c r="D18" s="288">
        <v>30.31</v>
      </c>
      <c r="E18" s="288">
        <v>30.31</v>
      </c>
      <c r="F18" s="288">
        <v>30.31</v>
      </c>
      <c r="G18" s="289">
        <v>0</v>
      </c>
      <c r="H18" s="288">
        <v>0</v>
      </c>
      <c r="I18" s="290">
        <v>0</v>
      </c>
    </row>
    <row r="19" spans="1:18">
      <c r="A19" s="287" t="s">
        <v>3846</v>
      </c>
      <c r="B19" s="287" t="s">
        <v>859</v>
      </c>
      <c r="C19" s="288">
        <v>8.93</v>
      </c>
      <c r="D19" s="288">
        <v>8.93</v>
      </c>
      <c r="E19" s="288">
        <v>8.93</v>
      </c>
      <c r="F19" s="288">
        <v>8.93</v>
      </c>
      <c r="G19" s="289">
        <v>0</v>
      </c>
      <c r="H19" s="288">
        <v>0</v>
      </c>
      <c r="I19" s="290">
        <v>0</v>
      </c>
    </row>
    <row r="20" spans="1:18">
      <c r="A20" s="287" t="s">
        <v>3846</v>
      </c>
      <c r="B20" s="287" t="s">
        <v>864</v>
      </c>
      <c r="C20" s="288">
        <v>11.69</v>
      </c>
      <c r="D20" s="288">
        <v>11.69</v>
      </c>
      <c r="E20" s="288">
        <v>11.69</v>
      </c>
      <c r="F20" s="288">
        <v>11.69</v>
      </c>
      <c r="G20" s="289">
        <v>0</v>
      </c>
      <c r="H20" s="288">
        <v>0</v>
      </c>
      <c r="I20" s="290">
        <v>0</v>
      </c>
    </row>
    <row r="21" spans="1:18">
      <c r="A21" s="287" t="s">
        <v>3846</v>
      </c>
      <c r="B21" s="287" t="s">
        <v>339</v>
      </c>
      <c r="C21" s="288">
        <v>10.01</v>
      </c>
      <c r="D21" s="288">
        <v>10.01</v>
      </c>
      <c r="E21" s="288">
        <v>10.01</v>
      </c>
      <c r="F21" s="288">
        <v>10.01</v>
      </c>
      <c r="G21" s="289">
        <v>0</v>
      </c>
      <c r="H21" s="288">
        <v>0</v>
      </c>
      <c r="I21" s="290">
        <v>0</v>
      </c>
    </row>
    <row r="22" spans="1:18">
      <c r="A22" s="287" t="s">
        <v>3846</v>
      </c>
      <c r="B22" s="287" t="s">
        <v>3365</v>
      </c>
      <c r="C22" s="288">
        <v>5.32</v>
      </c>
      <c r="D22" s="288">
        <v>5.32</v>
      </c>
      <c r="E22" s="288">
        <v>5.32</v>
      </c>
      <c r="F22" s="288">
        <v>5.32</v>
      </c>
      <c r="G22" s="289">
        <v>0</v>
      </c>
      <c r="H22" s="288">
        <v>0</v>
      </c>
      <c r="I22" s="290">
        <v>0</v>
      </c>
    </row>
    <row r="23" spans="1:18">
      <c r="A23" s="287" t="s">
        <v>3846</v>
      </c>
      <c r="B23" s="287">
        <v>154805.12100000001</v>
      </c>
      <c r="C23" s="288">
        <v>5.32</v>
      </c>
      <c r="D23" s="288">
        <v>5.32</v>
      </c>
      <c r="E23" s="288">
        <v>5.32</v>
      </c>
      <c r="F23" s="288">
        <v>5.32</v>
      </c>
      <c r="G23" s="289">
        <v>0</v>
      </c>
      <c r="H23" s="288">
        <v>0</v>
      </c>
      <c r="I23" s="290">
        <v>0</v>
      </c>
    </row>
    <row r="24" spans="1:18" ht="15.75" thickBot="1">
      <c r="A24" s="287" t="s">
        <v>3848</v>
      </c>
      <c r="B24" s="287" t="s">
        <v>741</v>
      </c>
      <c r="C24" s="291">
        <v>150</v>
      </c>
      <c r="D24" s="291">
        <v>150</v>
      </c>
      <c r="E24" s="291">
        <v>150</v>
      </c>
      <c r="F24" s="291">
        <v>150</v>
      </c>
      <c r="G24" s="289">
        <v>0</v>
      </c>
      <c r="H24" s="288">
        <v>0</v>
      </c>
      <c r="I24" s="290">
        <v>0</v>
      </c>
      <c r="P24" s="51" t="s">
        <v>3849</v>
      </c>
    </row>
    <row r="25" spans="1:18" ht="15.75" thickBot="1">
      <c r="A25" s="287" t="s">
        <v>3848</v>
      </c>
      <c r="B25" s="287" t="s">
        <v>692</v>
      </c>
      <c r="C25" s="291">
        <v>150</v>
      </c>
      <c r="D25" s="291">
        <v>150</v>
      </c>
      <c r="E25" s="291">
        <v>150</v>
      </c>
      <c r="F25" s="291">
        <v>150</v>
      </c>
      <c r="G25" s="289">
        <v>0</v>
      </c>
      <c r="H25" s="288">
        <v>0</v>
      </c>
      <c r="I25" s="290">
        <v>0</v>
      </c>
      <c r="P25" s="107"/>
      <c r="Q25" s="108" t="s">
        <v>138</v>
      </c>
      <c r="R25" s="109" t="s">
        <v>3850</v>
      </c>
    </row>
    <row r="26" spans="1:18" ht="15.75" thickBot="1">
      <c r="A26" s="287" t="s">
        <v>3848</v>
      </c>
      <c r="B26" s="287" t="s">
        <v>705</v>
      </c>
      <c r="C26" s="291">
        <v>150</v>
      </c>
      <c r="D26" s="291">
        <v>150</v>
      </c>
      <c r="E26" s="291">
        <v>150</v>
      </c>
      <c r="F26" s="291">
        <v>150</v>
      </c>
      <c r="G26" s="289">
        <v>0</v>
      </c>
      <c r="H26" s="288">
        <v>0</v>
      </c>
      <c r="I26" s="290">
        <v>0</v>
      </c>
      <c r="P26" s="110" t="s">
        <v>3851</v>
      </c>
      <c r="Q26" s="111" t="s">
        <v>3852</v>
      </c>
      <c r="R26" s="112">
        <v>6.9</v>
      </c>
    </row>
    <row r="27" spans="1:18" ht="15.75" thickBot="1">
      <c r="A27" s="287" t="s">
        <v>3848</v>
      </c>
      <c r="B27" s="287" t="s">
        <v>717</v>
      </c>
      <c r="C27" s="291">
        <v>150</v>
      </c>
      <c r="D27" s="291">
        <v>150</v>
      </c>
      <c r="E27" s="291">
        <v>150</v>
      </c>
      <c r="F27" s="291">
        <v>150</v>
      </c>
      <c r="G27" s="289">
        <v>0</v>
      </c>
      <c r="H27" s="288">
        <v>0</v>
      </c>
      <c r="I27" s="290">
        <v>0</v>
      </c>
      <c r="P27" s="110" t="s">
        <v>3853</v>
      </c>
      <c r="Q27" s="111" t="s">
        <v>3854</v>
      </c>
      <c r="R27" s="112">
        <v>7.21</v>
      </c>
    </row>
    <row r="28" spans="1:18" ht="15.75" thickBot="1">
      <c r="A28" s="287" t="s">
        <v>3848</v>
      </c>
      <c r="B28" s="287" t="s">
        <v>721</v>
      </c>
      <c r="C28" s="291">
        <v>150</v>
      </c>
      <c r="D28" s="291">
        <v>150</v>
      </c>
      <c r="E28" s="291">
        <v>150</v>
      </c>
      <c r="F28" s="291">
        <v>150</v>
      </c>
      <c r="G28" s="289">
        <v>0</v>
      </c>
      <c r="H28" s="288">
        <v>0</v>
      </c>
      <c r="I28" s="290">
        <v>0</v>
      </c>
      <c r="P28" s="110" t="s">
        <v>3855</v>
      </c>
      <c r="Q28" s="111" t="s">
        <v>3856</v>
      </c>
      <c r="R28" s="113" t="s">
        <v>3857</v>
      </c>
    </row>
    <row r="29" spans="1:18" ht="15.75" thickBot="1">
      <c r="A29" s="287" t="s">
        <v>3848</v>
      </c>
      <c r="B29" s="287" t="s">
        <v>699</v>
      </c>
      <c r="C29" s="291">
        <v>150</v>
      </c>
      <c r="D29" s="291">
        <v>150</v>
      </c>
      <c r="E29" s="291">
        <v>150</v>
      </c>
      <c r="F29" s="291">
        <v>150</v>
      </c>
      <c r="G29" s="289">
        <v>0</v>
      </c>
      <c r="H29" s="288">
        <v>0</v>
      </c>
      <c r="I29" s="290">
        <v>0</v>
      </c>
      <c r="P29" s="110" t="s">
        <v>3858</v>
      </c>
      <c r="Q29" s="111" t="s">
        <v>3859</v>
      </c>
      <c r="R29" s="114" t="s">
        <v>3860</v>
      </c>
    </row>
    <row r="30" spans="1:18" ht="15.75" thickBot="1">
      <c r="A30" s="287" t="s">
        <v>3848</v>
      </c>
      <c r="B30" s="287" t="s">
        <v>703</v>
      </c>
      <c r="C30" s="291">
        <v>150</v>
      </c>
      <c r="D30" s="291">
        <v>150</v>
      </c>
      <c r="E30" s="291">
        <v>150</v>
      </c>
      <c r="F30" s="291">
        <v>150</v>
      </c>
      <c r="G30" s="289">
        <v>0</v>
      </c>
      <c r="H30" s="288">
        <v>0</v>
      </c>
      <c r="I30" s="290">
        <v>0</v>
      </c>
      <c r="P30" s="110" t="s">
        <v>3861</v>
      </c>
      <c r="Q30" s="111" t="s">
        <v>3862</v>
      </c>
      <c r="R30" s="113" t="s">
        <v>3863</v>
      </c>
    </row>
    <row r="31" spans="1:18" ht="15.75" thickBot="1">
      <c r="A31" s="287" t="s">
        <v>3848</v>
      </c>
      <c r="B31" s="287" t="s">
        <v>3864</v>
      </c>
      <c r="C31" s="291">
        <v>150</v>
      </c>
      <c r="D31" s="291">
        <v>150</v>
      </c>
      <c r="E31" s="291">
        <v>150</v>
      </c>
      <c r="F31" s="291">
        <v>150</v>
      </c>
      <c r="G31" s="289">
        <v>0</v>
      </c>
      <c r="H31" s="288">
        <v>0</v>
      </c>
      <c r="I31" s="290">
        <v>0</v>
      </c>
      <c r="P31" s="110" t="s">
        <v>3865</v>
      </c>
      <c r="Q31" s="111" t="s">
        <v>3866</v>
      </c>
      <c r="R31" s="113" t="s">
        <v>3867</v>
      </c>
    </row>
    <row r="32" spans="1:18" ht="15.75" thickBot="1">
      <c r="A32" s="287" t="s">
        <v>3848</v>
      </c>
      <c r="B32" s="292" t="s">
        <v>719</v>
      </c>
      <c r="C32" s="291">
        <v>150</v>
      </c>
      <c r="D32" s="291">
        <v>150</v>
      </c>
      <c r="E32" s="291">
        <v>150</v>
      </c>
      <c r="F32" s="291">
        <v>150</v>
      </c>
      <c r="G32" s="289">
        <v>0</v>
      </c>
      <c r="H32" s="288">
        <v>0</v>
      </c>
      <c r="I32" s="290">
        <v>0</v>
      </c>
      <c r="P32" s="110" t="s">
        <v>3868</v>
      </c>
      <c r="Q32" s="111" t="s">
        <v>3869</v>
      </c>
      <c r="R32" s="113" t="s">
        <v>3870</v>
      </c>
    </row>
    <row r="33" spans="1:18" ht="15.75" thickBot="1">
      <c r="A33" s="287" t="s">
        <v>3848</v>
      </c>
      <c r="B33" s="292" t="s">
        <v>751</v>
      </c>
      <c r="C33" s="291">
        <v>150</v>
      </c>
      <c r="D33" s="291">
        <v>150</v>
      </c>
      <c r="E33" s="291">
        <v>150</v>
      </c>
      <c r="F33" s="291">
        <v>150</v>
      </c>
      <c r="G33" s="289">
        <v>0</v>
      </c>
      <c r="H33" s="288">
        <v>0</v>
      </c>
      <c r="I33" s="290">
        <v>0</v>
      </c>
      <c r="P33" s="110" t="s">
        <v>3871</v>
      </c>
      <c r="Q33" s="111" t="s">
        <v>3872</v>
      </c>
      <c r="R33" s="114" t="s">
        <v>3873</v>
      </c>
    </row>
    <row r="34" spans="1:18" ht="15.75" thickBot="1">
      <c r="A34" s="287" t="s">
        <v>3848</v>
      </c>
      <c r="B34" s="292" t="s">
        <v>161</v>
      </c>
      <c r="C34" s="291">
        <v>150</v>
      </c>
      <c r="D34" s="291">
        <v>150</v>
      </c>
      <c r="E34" s="291">
        <v>150</v>
      </c>
      <c r="F34" s="291">
        <v>150</v>
      </c>
      <c r="G34" s="289">
        <v>0</v>
      </c>
      <c r="H34" s="288">
        <v>0</v>
      </c>
      <c r="I34" s="290">
        <v>0</v>
      </c>
      <c r="P34" s="110" t="s">
        <v>3874</v>
      </c>
      <c r="Q34" s="111" t="s">
        <v>3875</v>
      </c>
      <c r="R34" s="113" t="s">
        <v>3876</v>
      </c>
    </row>
    <row r="35" spans="1:18" ht="15.75" thickBot="1">
      <c r="A35" s="287" t="s">
        <v>3848</v>
      </c>
      <c r="B35" s="292" t="s">
        <v>2981</v>
      </c>
      <c r="C35" s="291">
        <v>9.0399999999999991</v>
      </c>
      <c r="D35" s="291">
        <v>9.0399999999999991</v>
      </c>
      <c r="E35" s="291">
        <v>9.0399999999999991</v>
      </c>
      <c r="F35" s="291">
        <v>9.0399999999999991</v>
      </c>
      <c r="G35" s="289">
        <v>0</v>
      </c>
      <c r="H35" s="288">
        <v>0</v>
      </c>
      <c r="I35" s="290">
        <v>0</v>
      </c>
      <c r="P35" s="110" t="s">
        <v>3877</v>
      </c>
      <c r="Q35" s="111" t="s">
        <v>3878</v>
      </c>
      <c r="R35" s="113" t="s">
        <v>3876</v>
      </c>
    </row>
    <row r="36" spans="1:18" ht="15.75" thickBot="1">
      <c r="A36" s="287" t="s">
        <v>3848</v>
      </c>
      <c r="B36" s="292" t="s">
        <v>3879</v>
      </c>
      <c r="C36" s="291">
        <v>8.83</v>
      </c>
      <c r="D36" s="291">
        <v>8.83</v>
      </c>
      <c r="E36" s="291">
        <v>8.83</v>
      </c>
      <c r="F36" s="291">
        <v>8.83</v>
      </c>
      <c r="G36" s="289">
        <v>0</v>
      </c>
      <c r="H36" s="288">
        <v>0</v>
      </c>
      <c r="I36" s="290">
        <v>0</v>
      </c>
      <c r="P36" s="110" t="s">
        <v>3880</v>
      </c>
      <c r="Q36" s="111" t="s">
        <v>2981</v>
      </c>
      <c r="R36" s="113" t="s">
        <v>3881</v>
      </c>
    </row>
    <row r="37" spans="1:18" ht="15.75" thickBot="1">
      <c r="A37" s="287" t="s">
        <v>3848</v>
      </c>
      <c r="B37" s="287" t="s">
        <v>731</v>
      </c>
      <c r="C37" s="291">
        <v>8.83</v>
      </c>
      <c r="D37" s="291">
        <v>8.83</v>
      </c>
      <c r="E37" s="291">
        <v>8.83</v>
      </c>
      <c r="F37" s="291">
        <v>8.83</v>
      </c>
      <c r="G37" s="289">
        <v>0</v>
      </c>
      <c r="H37" s="288">
        <v>0</v>
      </c>
      <c r="I37" s="290">
        <v>0</v>
      </c>
      <c r="P37" s="110" t="s">
        <v>3882</v>
      </c>
      <c r="Q37" s="111" t="s">
        <v>3883</v>
      </c>
      <c r="R37" s="113" t="s">
        <v>3884</v>
      </c>
    </row>
    <row r="38" spans="1:18" ht="15.75" thickBot="1">
      <c r="A38" s="287" t="s">
        <v>3848</v>
      </c>
      <c r="B38" s="287" t="s">
        <v>3885</v>
      </c>
      <c r="C38" s="288">
        <v>7.21</v>
      </c>
      <c r="D38" s="288">
        <v>7.21</v>
      </c>
      <c r="E38" s="288">
        <v>7.21</v>
      </c>
      <c r="F38" s="288">
        <v>7.21</v>
      </c>
      <c r="G38" s="289">
        <v>0</v>
      </c>
      <c r="H38" s="288">
        <v>0</v>
      </c>
      <c r="I38" s="290">
        <v>0</v>
      </c>
      <c r="P38" s="110" t="s">
        <v>3886</v>
      </c>
      <c r="Q38" s="111" t="s">
        <v>3887</v>
      </c>
      <c r="R38" s="113" t="s">
        <v>3888</v>
      </c>
    </row>
    <row r="39" spans="1:18">
      <c r="A39" s="287" t="s">
        <v>3848</v>
      </c>
      <c r="B39" s="287" t="s">
        <v>3079</v>
      </c>
      <c r="C39" s="291">
        <v>7.21</v>
      </c>
      <c r="D39" s="291">
        <v>7.21</v>
      </c>
      <c r="E39" s="291">
        <v>7.21</v>
      </c>
      <c r="F39" s="291">
        <v>7.21</v>
      </c>
      <c r="G39" s="289">
        <v>0</v>
      </c>
      <c r="H39" s="288">
        <v>0</v>
      </c>
      <c r="I39" s="290">
        <v>0</v>
      </c>
    </row>
    <row r="40" spans="1:18">
      <c r="A40" s="287" t="s">
        <v>3848</v>
      </c>
      <c r="B40" s="287" t="s">
        <v>692</v>
      </c>
      <c r="C40" s="288">
        <v>6.9</v>
      </c>
      <c r="D40" s="288">
        <v>6.9</v>
      </c>
      <c r="E40" s="288">
        <v>6.9</v>
      </c>
      <c r="F40" s="288">
        <v>6.9</v>
      </c>
      <c r="G40" s="289">
        <v>0</v>
      </c>
      <c r="H40" s="288">
        <v>0</v>
      </c>
      <c r="I40" s="290">
        <v>0</v>
      </c>
    </row>
    <row r="41" spans="1:18">
      <c r="A41" s="287" t="s">
        <v>3848</v>
      </c>
      <c r="B41" s="292" t="s">
        <v>1230</v>
      </c>
      <c r="C41" s="291">
        <v>5.69</v>
      </c>
      <c r="D41" s="291">
        <v>5.69</v>
      </c>
      <c r="E41" s="291">
        <v>5.69</v>
      </c>
      <c r="F41" s="291">
        <v>5.69</v>
      </c>
      <c r="G41" s="289">
        <v>0</v>
      </c>
      <c r="H41" s="288">
        <v>0</v>
      </c>
      <c r="I41" s="290">
        <v>0</v>
      </c>
    </row>
    <row r="42" spans="1:18">
      <c r="A42" s="287" t="s">
        <v>3848</v>
      </c>
      <c r="B42" s="292" t="s">
        <v>708</v>
      </c>
      <c r="C42" s="291">
        <v>4.92</v>
      </c>
      <c r="D42" s="291">
        <v>4.92</v>
      </c>
      <c r="E42" s="291">
        <v>4.92</v>
      </c>
      <c r="F42" s="291">
        <v>4.92</v>
      </c>
      <c r="G42" s="289">
        <v>0</v>
      </c>
      <c r="H42" s="288">
        <v>0</v>
      </c>
      <c r="I42" s="290">
        <v>0</v>
      </c>
    </row>
    <row r="43" spans="1:18">
      <c r="A43" s="287" t="s">
        <v>3848</v>
      </c>
      <c r="B43" s="287" t="s">
        <v>87</v>
      </c>
      <c r="C43" s="291">
        <v>4.78</v>
      </c>
      <c r="D43" s="291">
        <v>4.78</v>
      </c>
      <c r="E43" s="291">
        <v>4.78</v>
      </c>
      <c r="F43" s="291">
        <v>4.78</v>
      </c>
      <c r="G43" s="289">
        <v>0</v>
      </c>
      <c r="H43" s="288">
        <v>0</v>
      </c>
      <c r="I43" s="290">
        <v>0</v>
      </c>
    </row>
    <row r="44" spans="1:18">
      <c r="A44" s="287" t="s">
        <v>3848</v>
      </c>
      <c r="B44" s="287" t="s">
        <v>89</v>
      </c>
      <c r="C44" s="291">
        <v>4.51</v>
      </c>
      <c r="D44" s="291">
        <v>4.51</v>
      </c>
      <c r="E44" s="291">
        <v>4.51</v>
      </c>
      <c r="F44" s="291">
        <v>4.51</v>
      </c>
      <c r="G44" s="289">
        <v>0</v>
      </c>
      <c r="H44" s="288">
        <v>0</v>
      </c>
      <c r="I44" s="290">
        <v>0</v>
      </c>
    </row>
    <row r="45" spans="1:18">
      <c r="A45" s="287" t="s">
        <v>3848</v>
      </c>
      <c r="B45" s="287" t="s">
        <v>85</v>
      </c>
      <c r="C45" s="291">
        <v>4.5</v>
      </c>
      <c r="D45" s="291">
        <v>4.5</v>
      </c>
      <c r="E45" s="291">
        <v>4.5</v>
      </c>
      <c r="F45" s="291">
        <v>4.5</v>
      </c>
      <c r="G45" s="289">
        <v>0</v>
      </c>
      <c r="H45" s="288">
        <v>0</v>
      </c>
      <c r="I45" s="290">
        <v>0</v>
      </c>
    </row>
    <row r="46" spans="1:18">
      <c r="A46" s="287" t="s">
        <v>3848</v>
      </c>
      <c r="B46" s="287" t="s">
        <v>2825</v>
      </c>
      <c r="C46" s="291">
        <v>4.42</v>
      </c>
      <c r="D46" s="291">
        <v>4.42</v>
      </c>
      <c r="E46" s="291">
        <v>4.42</v>
      </c>
      <c r="F46" s="291">
        <v>4.42</v>
      </c>
      <c r="G46" s="289">
        <v>0</v>
      </c>
      <c r="H46" s="288">
        <v>0</v>
      </c>
      <c r="I46" s="290">
        <v>0</v>
      </c>
    </row>
    <row r="47" spans="1:18">
      <c r="A47" s="287" t="s">
        <v>3848</v>
      </c>
      <c r="B47" s="292" t="s">
        <v>3883</v>
      </c>
      <c r="C47" s="291">
        <v>4.38</v>
      </c>
      <c r="D47" s="291">
        <v>4.38</v>
      </c>
      <c r="E47" s="291">
        <v>4.38</v>
      </c>
      <c r="F47" s="291">
        <v>4.38</v>
      </c>
      <c r="G47" s="289">
        <v>0</v>
      </c>
      <c r="H47" s="288">
        <v>0</v>
      </c>
      <c r="I47" s="290">
        <v>0</v>
      </c>
    </row>
    <row r="48" spans="1:18">
      <c r="A48" s="287" t="s">
        <v>3848</v>
      </c>
      <c r="B48" s="292" t="s">
        <v>725</v>
      </c>
      <c r="C48" s="291">
        <v>4.25</v>
      </c>
      <c r="D48" s="291">
        <v>4.25</v>
      </c>
      <c r="E48" s="291">
        <v>4.25</v>
      </c>
      <c r="F48" s="291">
        <v>4.25</v>
      </c>
      <c r="G48" s="289">
        <v>0</v>
      </c>
      <c r="H48" s="288">
        <v>0</v>
      </c>
      <c r="I48" s="290">
        <v>0</v>
      </c>
    </row>
    <row r="49" spans="1:9">
      <c r="A49" s="287" t="s">
        <v>3848</v>
      </c>
      <c r="B49" s="292" t="s">
        <v>606</v>
      </c>
      <c r="C49" s="291">
        <v>3.81</v>
      </c>
      <c r="D49" s="291">
        <v>3.81</v>
      </c>
      <c r="E49" s="291">
        <v>3.81</v>
      </c>
      <c r="F49" s="291">
        <v>3.81</v>
      </c>
      <c r="G49" s="289">
        <v>0</v>
      </c>
      <c r="H49" s="288">
        <v>0</v>
      </c>
      <c r="I49" s="290">
        <v>0</v>
      </c>
    </row>
    <row r="50" spans="1:9">
      <c r="A50" s="287" t="s">
        <v>3848</v>
      </c>
      <c r="B50" s="287" t="s">
        <v>703</v>
      </c>
      <c r="C50" s="291">
        <v>3.62</v>
      </c>
      <c r="D50" s="291">
        <v>3.62</v>
      </c>
      <c r="E50" s="291">
        <v>3.62</v>
      </c>
      <c r="F50" s="291">
        <v>3.62</v>
      </c>
      <c r="G50" s="289">
        <v>0</v>
      </c>
      <c r="H50" s="288">
        <v>0</v>
      </c>
      <c r="I50" s="290">
        <v>0</v>
      </c>
    </row>
    <row r="51" spans="1:9">
      <c r="A51" s="287" t="s">
        <v>3848</v>
      </c>
      <c r="B51" s="292" t="s">
        <v>88</v>
      </c>
      <c r="C51" s="291">
        <v>3.44</v>
      </c>
      <c r="D51" s="291">
        <v>3.44</v>
      </c>
      <c r="E51" s="291">
        <v>3.44</v>
      </c>
      <c r="F51" s="291">
        <v>3.44</v>
      </c>
      <c r="G51" s="289">
        <v>0</v>
      </c>
      <c r="H51" s="288">
        <v>0</v>
      </c>
      <c r="I51" s="290">
        <v>0</v>
      </c>
    </row>
    <row r="52" spans="1:9">
      <c r="A52" s="287" t="s">
        <v>3848</v>
      </c>
      <c r="B52" s="287" t="s">
        <v>86</v>
      </c>
      <c r="C52" s="291">
        <v>3.44</v>
      </c>
      <c r="D52" s="291">
        <v>3.44</v>
      </c>
      <c r="E52" s="291">
        <v>3.44</v>
      </c>
      <c r="F52" s="291">
        <v>3.44</v>
      </c>
      <c r="G52" s="289">
        <v>0</v>
      </c>
      <c r="H52" s="288">
        <v>0</v>
      </c>
      <c r="I52" s="290">
        <v>0</v>
      </c>
    </row>
    <row r="53" spans="1:9">
      <c r="A53" s="287" t="s">
        <v>3848</v>
      </c>
      <c r="B53" s="292" t="s">
        <v>719</v>
      </c>
      <c r="C53" s="291">
        <v>3.42</v>
      </c>
      <c r="D53" s="291">
        <v>3.42</v>
      </c>
      <c r="E53" s="291">
        <v>3.42</v>
      </c>
      <c r="F53" s="291">
        <v>3.42</v>
      </c>
      <c r="G53" s="289">
        <v>0</v>
      </c>
      <c r="H53" s="288">
        <v>0</v>
      </c>
      <c r="I53" s="290">
        <v>0</v>
      </c>
    </row>
    <row r="54" spans="1:9">
      <c r="A54" s="287" t="s">
        <v>3848</v>
      </c>
      <c r="B54" s="292" t="s">
        <v>715</v>
      </c>
      <c r="C54" s="291">
        <v>3.32</v>
      </c>
      <c r="D54" s="291">
        <v>3.32</v>
      </c>
      <c r="E54" s="291">
        <v>3.32</v>
      </c>
      <c r="F54" s="291">
        <v>3.32</v>
      </c>
      <c r="G54" s="289">
        <v>0</v>
      </c>
      <c r="H54" s="288">
        <v>0</v>
      </c>
      <c r="I54" s="290">
        <v>0</v>
      </c>
    </row>
    <row r="55" spans="1:9">
      <c r="A55" s="287" t="s">
        <v>3848</v>
      </c>
      <c r="B55" s="292" t="s">
        <v>3889</v>
      </c>
      <c r="C55" s="291">
        <v>3.32</v>
      </c>
      <c r="D55" s="291">
        <v>3.32</v>
      </c>
      <c r="E55" s="291">
        <v>3.32</v>
      </c>
      <c r="F55" s="291">
        <v>3.32</v>
      </c>
      <c r="G55" s="289">
        <v>0</v>
      </c>
      <c r="H55" s="288">
        <v>0</v>
      </c>
      <c r="I55" s="290">
        <v>0</v>
      </c>
    </row>
    <row r="56" spans="1:9">
      <c r="A56" s="287" t="s">
        <v>3848</v>
      </c>
      <c r="B56" s="287" t="s">
        <v>682</v>
      </c>
      <c r="C56" s="291">
        <v>3.18</v>
      </c>
      <c r="D56" s="291">
        <v>3.18</v>
      </c>
      <c r="E56" s="291">
        <v>3.18</v>
      </c>
      <c r="F56" s="291">
        <v>3.18</v>
      </c>
      <c r="G56" s="289">
        <v>0</v>
      </c>
      <c r="H56" s="288">
        <v>0</v>
      </c>
      <c r="I56" s="290">
        <v>0</v>
      </c>
    </row>
    <row r="57" spans="1:9">
      <c r="A57" s="287" t="s">
        <v>3848</v>
      </c>
      <c r="B57" s="287" t="s">
        <v>741</v>
      </c>
      <c r="C57" s="291">
        <v>3.02</v>
      </c>
      <c r="D57" s="291">
        <v>3.02</v>
      </c>
      <c r="E57" s="291">
        <v>3.02</v>
      </c>
      <c r="F57" s="291">
        <v>3.02</v>
      </c>
      <c r="G57" s="289">
        <v>0</v>
      </c>
      <c r="H57" s="288">
        <v>0</v>
      </c>
      <c r="I57" s="290">
        <v>0</v>
      </c>
    </row>
    <row r="58" spans="1:9">
      <c r="A58" s="287" t="s">
        <v>3848</v>
      </c>
      <c r="B58" s="292" t="s">
        <v>717</v>
      </c>
      <c r="C58" s="291">
        <v>2.92</v>
      </c>
      <c r="D58" s="291">
        <v>2.92</v>
      </c>
      <c r="E58" s="291">
        <v>2.92</v>
      </c>
      <c r="F58" s="291">
        <v>2.92</v>
      </c>
      <c r="G58" s="289">
        <v>0</v>
      </c>
      <c r="H58" s="288">
        <v>0</v>
      </c>
      <c r="I58" s="290">
        <v>0</v>
      </c>
    </row>
    <row r="59" spans="1:9">
      <c r="A59" s="287" t="s">
        <v>3848</v>
      </c>
      <c r="B59" s="292" t="s">
        <v>3890</v>
      </c>
      <c r="C59" s="291">
        <v>2.41</v>
      </c>
      <c r="D59" s="291">
        <v>2.41</v>
      </c>
      <c r="E59" s="291">
        <v>2.41</v>
      </c>
      <c r="F59" s="291">
        <v>2.41</v>
      </c>
      <c r="G59" s="289">
        <v>0</v>
      </c>
      <c r="H59" s="288">
        <v>0</v>
      </c>
      <c r="I59" s="290">
        <v>0</v>
      </c>
    </row>
    <row r="60" spans="1:9">
      <c r="A60" s="287" t="s">
        <v>3848</v>
      </c>
      <c r="B60" s="292" t="s">
        <v>753</v>
      </c>
      <c r="C60" s="291">
        <v>1.54</v>
      </c>
      <c r="D60" s="291">
        <v>1.54</v>
      </c>
      <c r="E60" s="291">
        <v>1.54</v>
      </c>
      <c r="F60" s="291">
        <v>1.54</v>
      </c>
      <c r="G60" s="289">
        <v>0</v>
      </c>
      <c r="H60" s="288">
        <v>0</v>
      </c>
      <c r="I60" s="290">
        <v>0</v>
      </c>
    </row>
    <row r="61" spans="1:9">
      <c r="A61" s="287" t="s">
        <v>3848</v>
      </c>
      <c r="B61" s="287" t="s">
        <v>723</v>
      </c>
      <c r="C61" s="291">
        <v>1.51</v>
      </c>
      <c r="D61" s="291">
        <v>1.51</v>
      </c>
      <c r="E61" s="291">
        <v>1.51</v>
      </c>
      <c r="F61" s="291">
        <v>1.51</v>
      </c>
      <c r="G61" s="289">
        <v>0</v>
      </c>
      <c r="H61" s="288">
        <v>0</v>
      </c>
      <c r="I61" s="290">
        <v>0</v>
      </c>
    </row>
    <row r="62" spans="1:9">
      <c r="A62" s="287" t="s">
        <v>3848</v>
      </c>
      <c r="B62" s="292" t="s">
        <v>751</v>
      </c>
      <c r="C62" s="291">
        <v>1.44</v>
      </c>
      <c r="D62" s="291">
        <v>1.44</v>
      </c>
      <c r="E62" s="291">
        <v>1.44</v>
      </c>
      <c r="F62" s="291">
        <v>1.44</v>
      </c>
      <c r="G62" s="289">
        <v>0</v>
      </c>
      <c r="H62" s="288">
        <v>0</v>
      </c>
      <c r="I62" s="290">
        <v>0</v>
      </c>
    </row>
    <row r="63" spans="1:9">
      <c r="A63" s="287" t="s">
        <v>3848</v>
      </c>
      <c r="B63" s="292" t="s">
        <v>721</v>
      </c>
      <c r="C63" s="291">
        <v>1.41</v>
      </c>
      <c r="D63" s="291">
        <v>1.41</v>
      </c>
      <c r="E63" s="291">
        <v>1.41</v>
      </c>
      <c r="F63" s="291">
        <v>1.41</v>
      </c>
      <c r="G63" s="289">
        <v>0</v>
      </c>
      <c r="H63" s="288">
        <v>0</v>
      </c>
      <c r="I63" s="290">
        <v>0</v>
      </c>
    </row>
    <row r="64" spans="1:9">
      <c r="A64" s="287" t="s">
        <v>3848</v>
      </c>
      <c r="B64" s="292" t="s">
        <v>161</v>
      </c>
      <c r="C64" s="291">
        <v>1.32</v>
      </c>
      <c r="D64" s="291">
        <v>1.32</v>
      </c>
      <c r="E64" s="291">
        <v>1.32</v>
      </c>
      <c r="F64" s="291">
        <v>1.32</v>
      </c>
      <c r="G64" s="289">
        <v>0</v>
      </c>
      <c r="H64" s="288">
        <v>0</v>
      </c>
      <c r="I64" s="290">
        <v>0</v>
      </c>
    </row>
    <row r="65" spans="1:9">
      <c r="A65" s="287" t="s">
        <v>3848</v>
      </c>
      <c r="B65" s="292" t="s">
        <v>608</v>
      </c>
      <c r="C65" s="291">
        <v>0.78</v>
      </c>
      <c r="D65" s="291">
        <v>0.78</v>
      </c>
      <c r="E65" s="291">
        <v>0.78</v>
      </c>
      <c r="F65" s="291">
        <v>0.78</v>
      </c>
      <c r="G65" s="289">
        <v>0</v>
      </c>
      <c r="H65" s="288">
        <v>0</v>
      </c>
      <c r="I65" s="290">
        <v>0</v>
      </c>
    </row>
    <row r="66" spans="1:9">
      <c r="A66" s="287" t="s">
        <v>3848</v>
      </c>
      <c r="B66" s="292" t="s">
        <v>1669</v>
      </c>
      <c r="C66" s="291">
        <v>0.76</v>
      </c>
      <c r="D66" s="291">
        <v>0.76</v>
      </c>
      <c r="E66" s="291">
        <v>0.76</v>
      </c>
      <c r="F66" s="291">
        <v>0.76</v>
      </c>
      <c r="G66" s="289">
        <v>0</v>
      </c>
      <c r="H66" s="288">
        <v>0</v>
      </c>
      <c r="I66" s="290">
        <v>0</v>
      </c>
    </row>
    <row r="67" spans="1:9">
      <c r="A67" s="293" t="s">
        <v>3891</v>
      </c>
      <c r="B67" s="293" t="s">
        <v>109</v>
      </c>
      <c r="C67" s="288">
        <v>0.94</v>
      </c>
      <c r="D67" s="288">
        <v>0.94</v>
      </c>
      <c r="E67" s="288">
        <v>0.94</v>
      </c>
      <c r="F67" s="288">
        <v>0.94</v>
      </c>
      <c r="G67" s="289">
        <v>0</v>
      </c>
      <c r="H67" s="288">
        <v>0</v>
      </c>
      <c r="I67" s="290">
        <v>0</v>
      </c>
    </row>
    <row r="68" spans="1:9">
      <c r="A68" s="293" t="s">
        <v>3891</v>
      </c>
      <c r="B68" s="293" t="s">
        <v>108</v>
      </c>
      <c r="C68" s="288">
        <v>0.65</v>
      </c>
      <c r="D68" s="288">
        <v>0.65</v>
      </c>
      <c r="E68" s="288">
        <v>0.65</v>
      </c>
      <c r="F68" s="288">
        <v>0.65</v>
      </c>
      <c r="G68" s="289">
        <v>0</v>
      </c>
      <c r="H68" s="288">
        <v>0</v>
      </c>
      <c r="I68" s="290">
        <v>0</v>
      </c>
    </row>
    <row r="69" spans="1:9">
      <c r="A69" s="293" t="s">
        <v>3892</v>
      </c>
      <c r="B69" s="293" t="s">
        <v>1820</v>
      </c>
      <c r="C69" s="288">
        <v>2.86</v>
      </c>
      <c r="D69" s="288">
        <v>2.86</v>
      </c>
      <c r="E69" s="288">
        <v>2.86</v>
      </c>
      <c r="F69" s="288">
        <v>2.86</v>
      </c>
      <c r="G69" s="289">
        <v>0</v>
      </c>
      <c r="H69" s="288">
        <v>0</v>
      </c>
      <c r="I69" s="290">
        <v>0</v>
      </c>
    </row>
    <row r="70" spans="1:9">
      <c r="A70" s="293" t="s">
        <v>3892</v>
      </c>
      <c r="B70" s="293" t="s">
        <v>2603</v>
      </c>
      <c r="C70" s="288">
        <v>150</v>
      </c>
      <c r="D70" s="288">
        <v>150</v>
      </c>
      <c r="E70" s="288">
        <v>150</v>
      </c>
      <c r="F70" s="288">
        <v>150</v>
      </c>
      <c r="G70" s="289">
        <v>0</v>
      </c>
      <c r="H70" s="288">
        <v>0</v>
      </c>
      <c r="I70" s="290">
        <v>0</v>
      </c>
    </row>
    <row r="71" spans="1:9">
      <c r="A71" s="293" t="s">
        <v>3893</v>
      </c>
      <c r="B71" s="293" t="s">
        <v>811</v>
      </c>
      <c r="C71" s="294">
        <v>14.2</v>
      </c>
      <c r="D71" s="294">
        <v>14.2</v>
      </c>
      <c r="E71" s="294">
        <v>14.2</v>
      </c>
      <c r="F71" s="294">
        <v>14.2</v>
      </c>
      <c r="G71" s="289">
        <v>0</v>
      </c>
      <c r="H71" s="288">
        <v>0</v>
      </c>
      <c r="I71" s="290">
        <v>0</v>
      </c>
    </row>
    <row r="72" spans="1:9">
      <c r="A72" s="293" t="s">
        <v>82</v>
      </c>
      <c r="B72" s="293" t="s">
        <v>1471</v>
      </c>
      <c r="C72" s="294">
        <v>5.92</v>
      </c>
      <c r="D72" s="294">
        <v>5.92</v>
      </c>
      <c r="E72" s="294">
        <v>5.92</v>
      </c>
      <c r="F72" s="294">
        <v>5.92</v>
      </c>
      <c r="G72" s="289">
        <v>0</v>
      </c>
      <c r="H72" s="288">
        <v>0</v>
      </c>
      <c r="I72" s="290">
        <v>0</v>
      </c>
    </row>
    <row r="73" spans="1:9">
      <c r="A73" s="293" t="s">
        <v>82</v>
      </c>
      <c r="B73" s="295" t="s">
        <v>431</v>
      </c>
      <c r="C73" s="294">
        <v>7.67</v>
      </c>
      <c r="D73" s="294">
        <v>7.67</v>
      </c>
      <c r="E73" s="294">
        <v>7.67</v>
      </c>
      <c r="F73" s="294">
        <v>7.67</v>
      </c>
      <c r="G73" s="289">
        <v>0</v>
      </c>
      <c r="H73" s="288">
        <v>0</v>
      </c>
      <c r="I73" s="290">
        <v>0</v>
      </c>
    </row>
    <row r="74" spans="1:9">
      <c r="A74" s="293" t="s">
        <v>82</v>
      </c>
      <c r="B74" s="295" t="s">
        <v>1473</v>
      </c>
      <c r="C74" s="294">
        <v>6.94</v>
      </c>
      <c r="D74" s="294">
        <v>6.94</v>
      </c>
      <c r="E74" s="294">
        <v>6.94</v>
      </c>
      <c r="F74" s="294">
        <v>6.94</v>
      </c>
      <c r="G74" s="289">
        <v>0</v>
      </c>
      <c r="H74" s="288">
        <v>0</v>
      </c>
      <c r="I74" s="290">
        <v>0</v>
      </c>
    </row>
    <row r="75" spans="1:9">
      <c r="A75" s="293" t="s">
        <v>82</v>
      </c>
      <c r="B75" s="293" t="s">
        <v>1429</v>
      </c>
      <c r="C75" s="294">
        <v>18.38</v>
      </c>
      <c r="D75" s="294">
        <v>18.38</v>
      </c>
      <c r="E75" s="294">
        <v>18.38</v>
      </c>
      <c r="F75" s="294">
        <v>18.38</v>
      </c>
      <c r="G75" s="289">
        <v>18.38</v>
      </c>
      <c r="H75" s="288">
        <v>0</v>
      </c>
      <c r="I75" s="290">
        <v>0</v>
      </c>
    </row>
    <row r="76" spans="1:9">
      <c r="A76" s="293" t="s">
        <v>82</v>
      </c>
      <c r="B76" s="293" t="s">
        <v>1437</v>
      </c>
      <c r="C76" s="294">
        <v>15.38</v>
      </c>
      <c r="D76" s="294">
        <v>15.38</v>
      </c>
      <c r="E76" s="294">
        <v>15.38</v>
      </c>
      <c r="F76" s="294">
        <v>15.38</v>
      </c>
      <c r="G76" s="289">
        <v>15.38</v>
      </c>
      <c r="H76" s="288">
        <v>0</v>
      </c>
      <c r="I76" s="290">
        <v>0</v>
      </c>
    </row>
    <row r="77" spans="1:9">
      <c r="A77" s="293" t="s">
        <v>82</v>
      </c>
      <c r="B77" s="293" t="s">
        <v>616</v>
      </c>
      <c r="C77" s="294">
        <v>15.03</v>
      </c>
      <c r="D77" s="294">
        <v>15.03</v>
      </c>
      <c r="E77" s="294">
        <v>15.03</v>
      </c>
      <c r="F77" s="294">
        <v>15.03</v>
      </c>
      <c r="G77" s="289">
        <v>15.03</v>
      </c>
      <c r="H77" s="288">
        <v>0</v>
      </c>
      <c r="I77" s="290">
        <v>0</v>
      </c>
    </row>
    <row r="78" spans="1:9">
      <c r="A78" s="293" t="s">
        <v>82</v>
      </c>
      <c r="B78" s="293" t="s">
        <v>1441</v>
      </c>
      <c r="C78" s="294">
        <v>23.48</v>
      </c>
      <c r="D78" s="294">
        <v>23.48</v>
      </c>
      <c r="E78" s="294">
        <v>23.48</v>
      </c>
      <c r="F78" s="294">
        <v>23.48</v>
      </c>
      <c r="G78" s="289">
        <v>23.48</v>
      </c>
      <c r="H78" s="288">
        <v>0</v>
      </c>
      <c r="I78" s="290">
        <v>0</v>
      </c>
    </row>
    <row r="79" spans="1:9">
      <c r="A79" s="293" t="s">
        <v>82</v>
      </c>
      <c r="B79" s="293" t="s">
        <v>619</v>
      </c>
      <c r="C79" s="294">
        <v>11.43</v>
      </c>
      <c r="D79" s="294">
        <v>11.43</v>
      </c>
      <c r="E79" s="294">
        <v>11.43</v>
      </c>
      <c r="F79" s="294">
        <v>11.43</v>
      </c>
      <c r="G79" s="289">
        <v>0</v>
      </c>
      <c r="H79" s="288">
        <v>0</v>
      </c>
      <c r="I79" s="290">
        <v>0</v>
      </c>
    </row>
    <row r="80" spans="1:9">
      <c r="A80" s="293" t="s">
        <v>82</v>
      </c>
      <c r="B80" s="293" t="s">
        <v>370</v>
      </c>
      <c r="C80" s="294">
        <v>21.41</v>
      </c>
      <c r="D80" s="294">
        <v>21.41</v>
      </c>
      <c r="E80" s="294">
        <v>21.41</v>
      </c>
      <c r="F80" s="294">
        <v>21.41</v>
      </c>
      <c r="G80" s="289">
        <v>0</v>
      </c>
      <c r="H80" s="288">
        <v>0</v>
      </c>
      <c r="I80" s="290">
        <v>0</v>
      </c>
    </row>
    <row r="81" spans="1:9">
      <c r="A81" s="293" t="s">
        <v>82</v>
      </c>
      <c r="B81" s="293" t="s">
        <v>360</v>
      </c>
      <c r="C81" s="294">
        <v>9.8000000000000007</v>
      </c>
      <c r="D81" s="294">
        <v>9.8000000000000007</v>
      </c>
      <c r="E81" s="294">
        <v>9.8000000000000007</v>
      </c>
      <c r="F81" s="294">
        <v>9.8000000000000007</v>
      </c>
      <c r="G81" s="289">
        <v>0</v>
      </c>
      <c r="H81" s="288">
        <v>0</v>
      </c>
      <c r="I81" s="290">
        <v>0</v>
      </c>
    </row>
    <row r="82" spans="1:9">
      <c r="A82" s="287" t="s">
        <v>3894</v>
      </c>
      <c r="B82" s="287" t="s">
        <v>91</v>
      </c>
      <c r="C82" s="288">
        <v>16.14</v>
      </c>
      <c r="D82" s="288">
        <v>16.14</v>
      </c>
      <c r="E82" s="288">
        <v>16.14</v>
      </c>
      <c r="F82" s="288">
        <v>16.14</v>
      </c>
      <c r="G82" s="289">
        <v>0</v>
      </c>
      <c r="H82" s="288">
        <v>0</v>
      </c>
      <c r="I82" s="290">
        <v>0</v>
      </c>
    </row>
    <row r="83" spans="1:9">
      <c r="A83" s="287" t="s">
        <v>3894</v>
      </c>
      <c r="B83" s="287" t="s">
        <v>3895</v>
      </c>
      <c r="C83" s="288">
        <v>11.84</v>
      </c>
      <c r="D83" s="288">
        <v>11.84</v>
      </c>
      <c r="E83" s="288">
        <v>11.84</v>
      </c>
      <c r="F83" s="288">
        <v>11.84</v>
      </c>
      <c r="G83" s="289">
        <v>0</v>
      </c>
      <c r="H83" s="288">
        <v>0</v>
      </c>
      <c r="I83" s="290">
        <v>0</v>
      </c>
    </row>
    <row r="84" spans="1:9">
      <c r="A84" s="287" t="s">
        <v>3894</v>
      </c>
      <c r="B84" s="287" t="s">
        <v>93</v>
      </c>
      <c r="C84" s="288">
        <v>11.84</v>
      </c>
      <c r="D84" s="288">
        <v>11.84</v>
      </c>
      <c r="E84" s="288">
        <v>11.84</v>
      </c>
      <c r="F84" s="288">
        <v>11.84</v>
      </c>
      <c r="G84" s="289">
        <v>0</v>
      </c>
      <c r="H84" s="288">
        <v>0</v>
      </c>
      <c r="I84" s="290">
        <v>0</v>
      </c>
    </row>
    <row r="85" spans="1:9">
      <c r="A85" s="287" t="s">
        <v>3894</v>
      </c>
      <c r="B85" s="287" t="s">
        <v>3896</v>
      </c>
      <c r="C85" s="288">
        <v>13.44</v>
      </c>
      <c r="D85" s="288">
        <v>13.44</v>
      </c>
      <c r="E85" s="288">
        <v>13.44</v>
      </c>
      <c r="F85" s="288">
        <v>13.44</v>
      </c>
      <c r="G85" s="289">
        <v>0</v>
      </c>
      <c r="H85" s="288">
        <v>0</v>
      </c>
      <c r="I85" s="290">
        <v>0</v>
      </c>
    </row>
    <row r="86" spans="1:9">
      <c r="A86" s="287" t="s">
        <v>3894</v>
      </c>
      <c r="B86" s="287" t="s">
        <v>3897</v>
      </c>
      <c r="C86" s="288">
        <v>20.56</v>
      </c>
      <c r="D86" s="288">
        <v>20.56</v>
      </c>
      <c r="E86" s="288">
        <v>20.56</v>
      </c>
      <c r="F86" s="288">
        <v>20.56</v>
      </c>
      <c r="G86" s="289">
        <v>0</v>
      </c>
      <c r="H86" s="288">
        <v>0</v>
      </c>
      <c r="I86" s="290">
        <v>0</v>
      </c>
    </row>
    <row r="87" spans="1:9">
      <c r="A87" s="287" t="s">
        <v>3894</v>
      </c>
      <c r="B87" s="287" t="s">
        <v>92</v>
      </c>
      <c r="C87" s="288">
        <v>13.44</v>
      </c>
      <c r="D87" s="296">
        <v>13.44</v>
      </c>
      <c r="E87" s="296">
        <v>13.44</v>
      </c>
      <c r="F87" s="296">
        <v>13.44</v>
      </c>
      <c r="G87" s="289">
        <v>0</v>
      </c>
      <c r="H87" s="288">
        <v>0</v>
      </c>
      <c r="I87" s="290">
        <v>0</v>
      </c>
    </row>
    <row r="88" spans="1:9">
      <c r="A88" s="287" t="s">
        <v>3898</v>
      </c>
      <c r="B88" s="287" t="s">
        <v>97</v>
      </c>
      <c r="C88" s="288">
        <v>5.56</v>
      </c>
      <c r="D88" s="288">
        <v>5.56</v>
      </c>
      <c r="E88" s="288">
        <v>5.56</v>
      </c>
      <c r="F88" s="288">
        <v>5.56</v>
      </c>
      <c r="G88" s="289">
        <v>0</v>
      </c>
      <c r="H88" s="288">
        <v>0</v>
      </c>
      <c r="I88" s="290">
        <v>0</v>
      </c>
    </row>
    <row r="89" spans="1:9">
      <c r="A89" s="287" t="s">
        <v>3898</v>
      </c>
      <c r="B89" s="287" t="s">
        <v>98</v>
      </c>
      <c r="C89" s="288">
        <v>5.65</v>
      </c>
      <c r="D89" s="288">
        <v>5.65</v>
      </c>
      <c r="E89" s="288">
        <v>5.65</v>
      </c>
      <c r="F89" s="288">
        <v>5.65</v>
      </c>
      <c r="G89" s="289">
        <v>0</v>
      </c>
      <c r="H89" s="288">
        <v>0</v>
      </c>
      <c r="I89" s="290">
        <v>0</v>
      </c>
    </row>
    <row r="90" spans="1:9">
      <c r="A90" s="287" t="s">
        <v>3898</v>
      </c>
      <c r="B90" s="287" t="s">
        <v>99</v>
      </c>
      <c r="C90" s="288">
        <v>3.56</v>
      </c>
      <c r="D90" s="288">
        <v>3.56</v>
      </c>
      <c r="E90" s="288">
        <v>3.56</v>
      </c>
      <c r="F90" s="288">
        <v>3.56</v>
      </c>
      <c r="G90" s="289">
        <v>0</v>
      </c>
      <c r="H90" s="288">
        <v>0</v>
      </c>
      <c r="I90" s="290">
        <v>0</v>
      </c>
    </row>
    <row r="91" spans="1:9">
      <c r="A91" s="287" t="s">
        <v>3898</v>
      </c>
      <c r="B91" s="287" t="s">
        <v>3899</v>
      </c>
      <c r="C91" s="288">
        <v>3.63</v>
      </c>
      <c r="D91" s="288">
        <v>3.63</v>
      </c>
      <c r="E91" s="288">
        <v>3.63</v>
      </c>
      <c r="F91" s="288">
        <v>3.63</v>
      </c>
      <c r="G91" s="289">
        <v>0</v>
      </c>
      <c r="H91" s="288">
        <v>0</v>
      </c>
      <c r="I91" s="290">
        <v>0</v>
      </c>
    </row>
    <row r="92" spans="1:9">
      <c r="A92" s="287" t="s">
        <v>3898</v>
      </c>
      <c r="B92" s="287" t="s">
        <v>100</v>
      </c>
      <c r="C92" s="288">
        <v>5.72</v>
      </c>
      <c r="D92" s="288">
        <v>5.72</v>
      </c>
      <c r="E92" s="288">
        <v>5.72</v>
      </c>
      <c r="F92" s="288">
        <v>5.72</v>
      </c>
      <c r="G92" s="289">
        <v>0</v>
      </c>
      <c r="H92" s="288">
        <v>0</v>
      </c>
      <c r="I92" s="290">
        <v>0</v>
      </c>
    </row>
    <row r="93" spans="1:9">
      <c r="A93" s="287" t="s">
        <v>3898</v>
      </c>
      <c r="B93" s="287" t="s">
        <v>101</v>
      </c>
      <c r="C93" s="288">
        <v>4.51</v>
      </c>
      <c r="D93" s="288">
        <v>4.51</v>
      </c>
      <c r="E93" s="288">
        <v>4.51</v>
      </c>
      <c r="F93" s="288">
        <v>4.51</v>
      </c>
      <c r="G93" s="289">
        <v>0</v>
      </c>
      <c r="H93" s="288">
        <v>0</v>
      </c>
      <c r="I93" s="290">
        <v>0</v>
      </c>
    </row>
    <row r="94" spans="1:9">
      <c r="A94" s="287" t="s">
        <v>3898</v>
      </c>
      <c r="B94" s="287" t="s">
        <v>102</v>
      </c>
      <c r="C94" s="288">
        <v>4.8099999999999996</v>
      </c>
      <c r="D94" s="288">
        <v>4.8099999999999996</v>
      </c>
      <c r="E94" s="288">
        <v>4.8099999999999996</v>
      </c>
      <c r="F94" s="288">
        <v>4.8099999999999996</v>
      </c>
      <c r="G94" s="289">
        <v>0</v>
      </c>
      <c r="H94" s="288">
        <v>0</v>
      </c>
      <c r="I94" s="290">
        <v>0</v>
      </c>
    </row>
    <row r="95" spans="1:9">
      <c r="A95" s="287" t="s">
        <v>3898</v>
      </c>
      <c r="B95" s="287" t="s">
        <v>103</v>
      </c>
      <c r="C95" s="288">
        <v>6.08</v>
      </c>
      <c r="D95" s="288">
        <v>6.08</v>
      </c>
      <c r="E95" s="288">
        <v>6.08</v>
      </c>
      <c r="F95" s="288">
        <v>6.08</v>
      </c>
      <c r="G95" s="289">
        <v>0</v>
      </c>
      <c r="H95" s="288">
        <v>0</v>
      </c>
      <c r="I95" s="290">
        <v>0</v>
      </c>
    </row>
    <row r="96" spans="1:9">
      <c r="A96" s="287" t="s">
        <v>3898</v>
      </c>
      <c r="B96" s="287" t="s">
        <v>3900</v>
      </c>
      <c r="C96" s="288">
        <v>7.41</v>
      </c>
      <c r="D96" s="288">
        <v>7.41</v>
      </c>
      <c r="E96" s="288">
        <v>7.41</v>
      </c>
      <c r="F96" s="288">
        <v>7.41</v>
      </c>
      <c r="G96" s="289">
        <v>0</v>
      </c>
      <c r="H96" s="288">
        <v>0</v>
      </c>
      <c r="I96" s="290">
        <v>0</v>
      </c>
    </row>
    <row r="97" spans="1:9">
      <c r="A97" s="287" t="s">
        <v>3898</v>
      </c>
      <c r="B97" s="287" t="s">
        <v>3901</v>
      </c>
      <c r="C97" s="288">
        <v>5.89</v>
      </c>
      <c r="D97" s="288">
        <v>5.89</v>
      </c>
      <c r="E97" s="288">
        <v>5.89</v>
      </c>
      <c r="F97" s="288">
        <v>5.89</v>
      </c>
      <c r="G97" s="289">
        <v>0</v>
      </c>
      <c r="H97" s="288">
        <v>0</v>
      </c>
      <c r="I97" s="290">
        <v>0</v>
      </c>
    </row>
    <row r="98" spans="1:9">
      <c r="A98" s="287" t="s">
        <v>3898</v>
      </c>
      <c r="B98" s="287" t="s">
        <v>3902</v>
      </c>
      <c r="C98" s="288">
        <v>7.65</v>
      </c>
      <c r="D98" s="288">
        <v>7.65</v>
      </c>
      <c r="E98" s="288">
        <v>7.65</v>
      </c>
      <c r="F98" s="288">
        <v>7.65</v>
      </c>
      <c r="G98" s="289">
        <v>0</v>
      </c>
      <c r="H98" s="288">
        <v>0</v>
      </c>
      <c r="I98" s="290">
        <v>0</v>
      </c>
    </row>
    <row r="99" spans="1:9">
      <c r="A99" s="287" t="s">
        <v>3898</v>
      </c>
      <c r="B99" s="287" t="s">
        <v>3903</v>
      </c>
      <c r="C99" s="288">
        <v>6.89</v>
      </c>
      <c r="D99" s="288">
        <v>6.89</v>
      </c>
      <c r="E99" s="288">
        <v>6.89</v>
      </c>
      <c r="F99" s="288">
        <v>6.89</v>
      </c>
      <c r="G99" s="289">
        <v>0</v>
      </c>
      <c r="H99" s="288">
        <v>0</v>
      </c>
      <c r="I99" s="290">
        <v>0</v>
      </c>
    </row>
    <row r="100" spans="1:9">
      <c r="A100" s="287" t="s">
        <v>3898</v>
      </c>
      <c r="B100" s="287" t="s">
        <v>3904</v>
      </c>
      <c r="C100" s="288">
        <v>7.96</v>
      </c>
      <c r="D100" s="288">
        <v>7.96</v>
      </c>
      <c r="E100" s="288">
        <v>7.96</v>
      </c>
      <c r="F100" s="288">
        <v>7.96</v>
      </c>
      <c r="G100" s="289">
        <v>0</v>
      </c>
      <c r="H100" s="288">
        <v>0</v>
      </c>
      <c r="I100" s="290">
        <v>0</v>
      </c>
    </row>
    <row r="101" spans="1:9">
      <c r="A101" s="287" t="s">
        <v>3898</v>
      </c>
      <c r="B101" s="287" t="s">
        <v>3905</v>
      </c>
      <c r="C101" s="288">
        <v>7.63</v>
      </c>
      <c r="D101" s="288">
        <v>7.63</v>
      </c>
      <c r="E101" s="288">
        <v>7.63</v>
      </c>
      <c r="F101" s="288">
        <v>7.63</v>
      </c>
      <c r="G101" s="289">
        <v>0</v>
      </c>
      <c r="H101" s="288">
        <v>0</v>
      </c>
      <c r="I101" s="290">
        <v>0</v>
      </c>
    </row>
    <row r="102" spans="1:9">
      <c r="A102" s="287" t="s">
        <v>3898</v>
      </c>
      <c r="B102" s="287" t="s">
        <v>3906</v>
      </c>
      <c r="C102" s="288">
        <v>11.2</v>
      </c>
      <c r="D102" s="288">
        <v>11.2</v>
      </c>
      <c r="E102" s="288">
        <v>11.2</v>
      </c>
      <c r="F102" s="288">
        <v>11.2</v>
      </c>
      <c r="G102" s="289">
        <v>0</v>
      </c>
      <c r="H102" s="288">
        <v>0</v>
      </c>
      <c r="I102" s="290">
        <v>0</v>
      </c>
    </row>
    <row r="103" spans="1:9">
      <c r="A103" s="287" t="s">
        <v>3907</v>
      </c>
      <c r="B103" s="287">
        <v>1535100044</v>
      </c>
      <c r="C103" s="288">
        <v>8.25</v>
      </c>
      <c r="D103" s="288">
        <v>8.25</v>
      </c>
      <c r="E103" s="288">
        <v>8.25</v>
      </c>
      <c r="F103" s="288">
        <v>8.25</v>
      </c>
      <c r="G103" s="289">
        <v>0</v>
      </c>
      <c r="H103" s="288">
        <v>0</v>
      </c>
      <c r="I103" s="290">
        <v>0</v>
      </c>
    </row>
    <row r="104" spans="1:9">
      <c r="A104" s="287" t="s">
        <v>3907</v>
      </c>
      <c r="B104" s="287">
        <v>1535100045</v>
      </c>
      <c r="C104" s="288">
        <v>0.97</v>
      </c>
      <c r="D104" s="288">
        <v>0.97</v>
      </c>
      <c r="E104" s="288">
        <v>0.97</v>
      </c>
      <c r="F104" s="288">
        <v>0.97</v>
      </c>
      <c r="G104" s="289">
        <v>0</v>
      </c>
      <c r="H104" s="288">
        <v>0</v>
      </c>
      <c r="I104" s="290">
        <v>0</v>
      </c>
    </row>
    <row r="105" spans="1:9">
      <c r="A105" s="287" t="s">
        <v>3907</v>
      </c>
      <c r="B105" s="287">
        <v>1535100046</v>
      </c>
      <c r="C105" s="288">
        <v>5.31</v>
      </c>
      <c r="D105" s="288">
        <v>5.31</v>
      </c>
      <c r="E105" s="288">
        <v>5.31</v>
      </c>
      <c r="F105" s="288">
        <v>5.31</v>
      </c>
      <c r="G105" s="289">
        <v>0</v>
      </c>
      <c r="H105" s="288">
        <v>0</v>
      </c>
      <c r="I105" s="290">
        <v>0</v>
      </c>
    </row>
    <row r="106" spans="1:9">
      <c r="A106" s="287" t="s">
        <v>3907</v>
      </c>
      <c r="B106" s="287">
        <v>1810326006</v>
      </c>
      <c r="C106" s="294">
        <v>10</v>
      </c>
      <c r="D106" s="294">
        <v>10</v>
      </c>
      <c r="E106" s="294">
        <v>10</v>
      </c>
      <c r="F106" s="294">
        <v>10</v>
      </c>
      <c r="G106" s="289">
        <v>0</v>
      </c>
      <c r="H106" s="288">
        <v>0</v>
      </c>
      <c r="I106" s="290">
        <v>0</v>
      </c>
    </row>
    <row r="107" spans="1:9">
      <c r="A107" s="287" t="s">
        <v>3907</v>
      </c>
      <c r="B107" s="287">
        <v>1813218040</v>
      </c>
      <c r="C107" s="288">
        <v>9.3699999999999992</v>
      </c>
      <c r="D107" s="288">
        <v>9.3699999999999992</v>
      </c>
      <c r="E107" s="288">
        <v>9.3699999999999992</v>
      </c>
      <c r="F107" s="288">
        <v>9.3699999999999992</v>
      </c>
      <c r="G107" s="289">
        <v>0</v>
      </c>
      <c r="H107" s="288">
        <v>0</v>
      </c>
      <c r="I107" s="290">
        <v>0</v>
      </c>
    </row>
    <row r="108" spans="1:9">
      <c r="A108" s="287" t="s">
        <v>3907</v>
      </c>
      <c r="B108" s="287">
        <v>1813218042</v>
      </c>
      <c r="C108" s="288">
        <v>8.4499999999999993</v>
      </c>
      <c r="D108" s="288">
        <v>8.4499999999999993</v>
      </c>
      <c r="E108" s="288">
        <v>8.4499999999999993</v>
      </c>
      <c r="F108" s="288">
        <v>8.4499999999999993</v>
      </c>
      <c r="G108" s="289">
        <v>0</v>
      </c>
      <c r="H108" s="288">
        <v>0</v>
      </c>
      <c r="I108" s="290">
        <v>0</v>
      </c>
    </row>
    <row r="109" spans="1:9">
      <c r="A109" s="287" t="s">
        <v>3907</v>
      </c>
      <c r="B109" s="287">
        <v>1813218044</v>
      </c>
      <c r="C109" s="288">
        <v>14.17</v>
      </c>
      <c r="D109" s="288">
        <v>14.17</v>
      </c>
      <c r="E109" s="288">
        <v>14.17</v>
      </c>
      <c r="F109" s="288">
        <v>14.17</v>
      </c>
      <c r="G109" s="289">
        <v>0</v>
      </c>
      <c r="H109" s="288">
        <v>0</v>
      </c>
      <c r="I109" s="290">
        <v>0</v>
      </c>
    </row>
    <row r="110" spans="1:9">
      <c r="A110" s="287" t="s">
        <v>3907</v>
      </c>
      <c r="B110" s="287">
        <v>1813218046</v>
      </c>
      <c r="C110" s="288">
        <v>8.94</v>
      </c>
      <c r="D110" s="288">
        <v>8.94</v>
      </c>
      <c r="E110" s="288">
        <v>8.94</v>
      </c>
      <c r="F110" s="288">
        <v>8.94</v>
      </c>
      <c r="G110" s="289">
        <v>0</v>
      </c>
      <c r="H110" s="288">
        <v>0</v>
      </c>
      <c r="I110" s="290">
        <v>0</v>
      </c>
    </row>
    <row r="111" spans="1:9">
      <c r="A111" s="287" t="s">
        <v>3907</v>
      </c>
      <c r="B111" s="287">
        <v>1813218050</v>
      </c>
      <c r="C111" s="288">
        <v>7.46</v>
      </c>
      <c r="D111" s="288">
        <v>7.46</v>
      </c>
      <c r="E111" s="288">
        <v>7.46</v>
      </c>
      <c r="F111" s="288">
        <v>7.46</v>
      </c>
      <c r="G111" s="289">
        <v>0</v>
      </c>
      <c r="H111" s="288">
        <v>0</v>
      </c>
      <c r="I111" s="290">
        <v>0</v>
      </c>
    </row>
    <row r="112" spans="1:9">
      <c r="A112" s="287" t="s">
        <v>3907</v>
      </c>
      <c r="B112" s="287">
        <v>1813218081</v>
      </c>
      <c r="C112" s="288">
        <v>6.33</v>
      </c>
      <c r="D112" s="288">
        <v>6.33</v>
      </c>
      <c r="E112" s="288">
        <v>6.33</v>
      </c>
      <c r="F112" s="288">
        <v>6.33</v>
      </c>
      <c r="G112" s="289">
        <v>0</v>
      </c>
      <c r="H112" s="288">
        <v>0</v>
      </c>
      <c r="I112" s="290">
        <v>0</v>
      </c>
    </row>
    <row r="113" spans="1:12">
      <c r="A113" s="287" t="s">
        <v>3907</v>
      </c>
      <c r="B113" s="287">
        <v>1818509087</v>
      </c>
      <c r="C113" s="288">
        <v>4.66</v>
      </c>
      <c r="D113" s="288">
        <v>4.66</v>
      </c>
      <c r="E113" s="288">
        <v>4.66</v>
      </c>
      <c r="F113" s="288">
        <v>4.66</v>
      </c>
      <c r="G113" s="289">
        <v>0</v>
      </c>
      <c r="H113" s="288">
        <v>0</v>
      </c>
      <c r="I113" s="290">
        <v>0</v>
      </c>
    </row>
    <row r="114" spans="1:12">
      <c r="A114" s="287" t="s">
        <v>3907</v>
      </c>
      <c r="B114" s="287">
        <v>1818509091</v>
      </c>
      <c r="C114" s="288">
        <v>4.84</v>
      </c>
      <c r="D114" s="288">
        <v>4.84</v>
      </c>
      <c r="E114" s="288">
        <v>4.84</v>
      </c>
      <c r="F114" s="288">
        <v>4.84</v>
      </c>
      <c r="G114" s="289">
        <v>0</v>
      </c>
      <c r="H114" s="288">
        <v>0</v>
      </c>
      <c r="I114" s="290">
        <v>0</v>
      </c>
    </row>
    <row r="115" spans="1:12">
      <c r="A115" s="287" t="s">
        <v>3907</v>
      </c>
      <c r="B115" s="287">
        <v>1818509133</v>
      </c>
      <c r="C115" s="288">
        <v>4.55</v>
      </c>
      <c r="D115" s="288">
        <v>4.55</v>
      </c>
      <c r="E115" s="288">
        <v>4.55</v>
      </c>
      <c r="F115" s="288">
        <v>4.55</v>
      </c>
      <c r="G115" s="289">
        <v>0</v>
      </c>
      <c r="H115" s="288">
        <v>0</v>
      </c>
      <c r="I115" s="290">
        <v>0</v>
      </c>
    </row>
    <row r="116" spans="1:12">
      <c r="A116" s="287" t="s">
        <v>3907</v>
      </c>
      <c r="B116" s="287">
        <v>1818509138</v>
      </c>
      <c r="C116" s="288">
        <v>4.53</v>
      </c>
      <c r="D116" s="288">
        <v>4.53</v>
      </c>
      <c r="E116" s="288">
        <v>4.53</v>
      </c>
      <c r="F116" s="288">
        <v>4.53</v>
      </c>
      <c r="G116" s="289">
        <v>0</v>
      </c>
      <c r="H116" s="288">
        <v>0</v>
      </c>
      <c r="I116" s="290">
        <v>0</v>
      </c>
    </row>
    <row r="117" spans="1:12">
      <c r="A117" s="287" t="s">
        <v>3907</v>
      </c>
      <c r="B117" s="287">
        <v>1818509164</v>
      </c>
      <c r="C117" s="288">
        <v>6.4</v>
      </c>
      <c r="D117" s="288">
        <v>6.4</v>
      </c>
      <c r="E117" s="288">
        <v>6.4</v>
      </c>
      <c r="F117" s="288">
        <v>6.4</v>
      </c>
      <c r="G117" s="289">
        <v>0</v>
      </c>
      <c r="H117" s="288">
        <v>0</v>
      </c>
      <c r="I117" s="290">
        <v>0</v>
      </c>
    </row>
    <row r="118" spans="1:12">
      <c r="A118" s="287" t="s">
        <v>3907</v>
      </c>
      <c r="B118" s="287">
        <v>1818509172</v>
      </c>
      <c r="C118" s="288">
        <v>4.05</v>
      </c>
      <c r="D118" s="288">
        <v>4.05</v>
      </c>
      <c r="E118" s="288">
        <v>4.05</v>
      </c>
      <c r="F118" s="288">
        <v>4.05</v>
      </c>
      <c r="G118" s="289">
        <v>0</v>
      </c>
      <c r="H118" s="288">
        <v>0</v>
      </c>
      <c r="I118" s="290">
        <v>0</v>
      </c>
    </row>
    <row r="119" spans="1:12">
      <c r="A119" s="287" t="s">
        <v>3907</v>
      </c>
      <c r="B119" s="287">
        <v>1818509193</v>
      </c>
      <c r="C119" s="288">
        <v>3.27</v>
      </c>
      <c r="D119" s="288">
        <v>3.27</v>
      </c>
      <c r="E119" s="288">
        <v>3.27</v>
      </c>
      <c r="F119" s="288">
        <v>3.27</v>
      </c>
      <c r="G119" s="289">
        <v>0</v>
      </c>
      <c r="H119" s="288">
        <v>0</v>
      </c>
      <c r="I119" s="290">
        <v>0</v>
      </c>
    </row>
    <row r="120" spans="1:12">
      <c r="A120" s="287" t="s">
        <v>3907</v>
      </c>
      <c r="B120" s="287">
        <v>1818509251</v>
      </c>
      <c r="C120" s="288">
        <v>13.79</v>
      </c>
      <c r="D120" s="288">
        <v>13.79</v>
      </c>
      <c r="E120" s="288">
        <v>13.79</v>
      </c>
      <c r="F120" s="288">
        <v>13.79</v>
      </c>
      <c r="G120" s="289">
        <v>0</v>
      </c>
      <c r="H120" s="288">
        <v>0</v>
      </c>
      <c r="I120" s="290">
        <v>0</v>
      </c>
    </row>
    <row r="121" spans="1:12">
      <c r="A121" s="287" t="s">
        <v>3907</v>
      </c>
      <c r="B121" s="287">
        <v>1818509259</v>
      </c>
      <c r="C121" s="288">
        <v>13.47</v>
      </c>
      <c r="D121" s="288">
        <v>13.47</v>
      </c>
      <c r="E121" s="288">
        <v>13.47</v>
      </c>
      <c r="F121" s="288">
        <v>13.47</v>
      </c>
      <c r="G121" s="289">
        <v>0</v>
      </c>
      <c r="H121" s="288">
        <v>0</v>
      </c>
      <c r="I121" s="290">
        <v>0</v>
      </c>
    </row>
    <row r="122" spans="1:12">
      <c r="A122" s="287" t="s">
        <v>3907</v>
      </c>
      <c r="B122" s="287">
        <v>1818509265</v>
      </c>
      <c r="C122" s="288">
        <v>14.01</v>
      </c>
      <c r="D122" s="288">
        <v>14.01</v>
      </c>
      <c r="E122" s="288">
        <v>14.01</v>
      </c>
      <c r="F122" s="288">
        <v>14.01</v>
      </c>
      <c r="G122" s="289">
        <v>0</v>
      </c>
      <c r="H122" s="288">
        <v>0</v>
      </c>
      <c r="I122" s="290">
        <v>0</v>
      </c>
    </row>
    <row r="123" spans="1:12">
      <c r="A123" s="287" t="s">
        <v>3907</v>
      </c>
      <c r="B123" s="287">
        <v>1818509276</v>
      </c>
      <c r="C123" s="288">
        <v>8.44</v>
      </c>
      <c r="D123" s="288">
        <v>8.44</v>
      </c>
      <c r="E123" s="288">
        <v>8.44</v>
      </c>
      <c r="F123" s="288">
        <v>8.44</v>
      </c>
      <c r="G123" s="289">
        <v>0</v>
      </c>
      <c r="H123" s="288">
        <v>0</v>
      </c>
      <c r="I123" s="290">
        <v>0</v>
      </c>
    </row>
    <row r="124" spans="1:12">
      <c r="A124" s="287" t="s">
        <v>3907</v>
      </c>
      <c r="B124" s="287">
        <v>1818509284</v>
      </c>
      <c r="C124" s="288">
        <v>8.4499999999999993</v>
      </c>
      <c r="D124" s="288">
        <v>8.4499999999999993</v>
      </c>
      <c r="E124" s="288">
        <v>8.4499999999999993</v>
      </c>
      <c r="F124" s="288">
        <v>8.2799999999999994</v>
      </c>
      <c r="G124" s="289">
        <v>0</v>
      </c>
      <c r="H124" s="288">
        <v>0</v>
      </c>
      <c r="I124" s="290">
        <v>0</v>
      </c>
      <c r="L124" s="316">
        <f>_xlfn.XLOOKUP(B124,'Pret Alex'!A:A,'Pret Alex'!B:B)</f>
        <v>8.2809999999999988</v>
      </c>
    </row>
    <row r="125" spans="1:12">
      <c r="A125" s="287" t="s">
        <v>3907</v>
      </c>
      <c r="B125" s="287">
        <v>1818509289</v>
      </c>
      <c r="C125" s="288">
        <v>10.99</v>
      </c>
      <c r="D125" s="288">
        <v>10.99</v>
      </c>
      <c r="E125" s="288">
        <v>10.99</v>
      </c>
      <c r="F125" s="288">
        <v>10.99</v>
      </c>
      <c r="G125" s="289">
        <v>0</v>
      </c>
      <c r="H125" s="288">
        <v>0</v>
      </c>
      <c r="I125" s="290">
        <v>0</v>
      </c>
    </row>
    <row r="126" spans="1:12">
      <c r="A126" s="287" t="s">
        <v>3907</v>
      </c>
      <c r="B126" s="287">
        <v>1818509439</v>
      </c>
      <c r="C126" s="288">
        <v>0.74</v>
      </c>
      <c r="D126" s="288">
        <v>0.74</v>
      </c>
      <c r="E126" s="288">
        <v>0.74</v>
      </c>
      <c r="F126" s="288">
        <v>0.74</v>
      </c>
      <c r="G126" s="289">
        <v>0</v>
      </c>
      <c r="H126" s="288">
        <v>0</v>
      </c>
      <c r="I126" s="290">
        <v>0</v>
      </c>
    </row>
    <row r="127" spans="1:12">
      <c r="A127" s="287" t="s">
        <v>3907</v>
      </c>
      <c r="B127" s="287">
        <v>1818509497</v>
      </c>
      <c r="C127" s="288">
        <v>5.19</v>
      </c>
      <c r="D127" s="288">
        <v>5.19</v>
      </c>
      <c r="E127" s="288">
        <v>5.19</v>
      </c>
      <c r="F127" s="288">
        <v>5.19</v>
      </c>
      <c r="G127" s="289">
        <v>0</v>
      </c>
      <c r="H127" s="288">
        <v>0</v>
      </c>
      <c r="I127" s="290">
        <v>0</v>
      </c>
    </row>
    <row r="128" spans="1:12">
      <c r="A128" s="287" t="s">
        <v>3907</v>
      </c>
      <c r="B128" s="287">
        <v>1818509503</v>
      </c>
      <c r="C128" s="288">
        <v>12.65</v>
      </c>
      <c r="D128" s="288">
        <v>12.65</v>
      </c>
      <c r="E128" s="288">
        <v>12.65</v>
      </c>
      <c r="F128" s="288">
        <v>12.65</v>
      </c>
      <c r="G128" s="289">
        <v>0</v>
      </c>
      <c r="H128" s="288">
        <v>0</v>
      </c>
      <c r="I128" s="290">
        <v>0</v>
      </c>
    </row>
    <row r="129" spans="1:9">
      <c r="A129" s="287" t="s">
        <v>3907</v>
      </c>
      <c r="B129" s="287">
        <v>1818509508</v>
      </c>
      <c r="C129" s="288">
        <v>9.32</v>
      </c>
      <c r="D129" s="288">
        <v>9.32</v>
      </c>
      <c r="E129" s="288">
        <v>9.32</v>
      </c>
      <c r="F129" s="288">
        <v>9.32</v>
      </c>
      <c r="G129" s="289">
        <v>0</v>
      </c>
      <c r="H129" s="288">
        <v>0</v>
      </c>
      <c r="I129" s="290">
        <v>0</v>
      </c>
    </row>
    <row r="130" spans="1:9">
      <c r="A130" s="287" t="s">
        <v>3907</v>
      </c>
      <c r="B130" s="287">
        <v>1818509509</v>
      </c>
      <c r="C130" s="288">
        <v>2.31</v>
      </c>
      <c r="D130" s="288">
        <v>2.31</v>
      </c>
      <c r="E130" s="288">
        <v>2.31</v>
      </c>
      <c r="F130" s="288">
        <v>2.31</v>
      </c>
      <c r="G130" s="289">
        <v>0</v>
      </c>
      <c r="H130" s="288">
        <v>0</v>
      </c>
      <c r="I130" s="290">
        <v>0</v>
      </c>
    </row>
    <row r="131" spans="1:9">
      <c r="A131" s="287" t="s">
        <v>3907</v>
      </c>
      <c r="B131" s="287">
        <v>1818509510</v>
      </c>
      <c r="C131" s="288">
        <v>2.52</v>
      </c>
      <c r="D131" s="288">
        <v>2.52</v>
      </c>
      <c r="E131" s="288">
        <v>2.52</v>
      </c>
      <c r="F131" s="288">
        <v>2.52</v>
      </c>
      <c r="G131" s="289">
        <v>0</v>
      </c>
      <c r="H131" s="288">
        <v>0</v>
      </c>
      <c r="I131" s="290">
        <v>0</v>
      </c>
    </row>
    <row r="132" spans="1:9">
      <c r="A132" s="287" t="s">
        <v>3907</v>
      </c>
      <c r="B132" s="287">
        <v>1818509512</v>
      </c>
      <c r="C132" s="288">
        <v>3.26</v>
      </c>
      <c r="D132" s="288">
        <v>3.26</v>
      </c>
      <c r="E132" s="288">
        <v>3.26</v>
      </c>
      <c r="F132" s="288">
        <v>3.26</v>
      </c>
      <c r="G132" s="289">
        <v>0</v>
      </c>
      <c r="H132" s="288">
        <v>0</v>
      </c>
      <c r="I132" s="290">
        <v>0</v>
      </c>
    </row>
    <row r="133" spans="1:9">
      <c r="A133" s="287" t="s">
        <v>3907</v>
      </c>
      <c r="B133" s="287">
        <v>1818509516</v>
      </c>
      <c r="C133" s="288">
        <v>3.29</v>
      </c>
      <c r="D133" s="288">
        <v>3.29</v>
      </c>
      <c r="E133" s="288">
        <v>3.29</v>
      </c>
      <c r="F133" s="288">
        <v>3.29</v>
      </c>
      <c r="G133" s="289">
        <v>0</v>
      </c>
      <c r="H133" s="288">
        <v>0</v>
      </c>
      <c r="I133" s="290">
        <v>0</v>
      </c>
    </row>
    <row r="134" spans="1:9">
      <c r="A134" s="287" t="s">
        <v>3907</v>
      </c>
      <c r="B134" s="287">
        <v>1818509519</v>
      </c>
      <c r="C134" s="288">
        <v>4.58</v>
      </c>
      <c r="D134" s="288">
        <v>4.58</v>
      </c>
      <c r="E134" s="288">
        <v>4.58</v>
      </c>
      <c r="F134" s="288">
        <v>4.58</v>
      </c>
      <c r="G134" s="289">
        <v>0</v>
      </c>
      <c r="H134" s="288">
        <v>0</v>
      </c>
      <c r="I134" s="290">
        <v>0</v>
      </c>
    </row>
    <row r="135" spans="1:9">
      <c r="A135" s="287" t="s">
        <v>3907</v>
      </c>
      <c r="B135" s="287">
        <v>1818509554</v>
      </c>
      <c r="C135" s="288">
        <v>23.43</v>
      </c>
      <c r="D135" s="288">
        <v>23.43</v>
      </c>
      <c r="E135" s="288">
        <v>23.43</v>
      </c>
      <c r="F135" s="288">
        <v>23.43</v>
      </c>
      <c r="G135" s="289">
        <v>0</v>
      </c>
      <c r="H135" s="288">
        <v>0</v>
      </c>
      <c r="I135" s="290">
        <v>0</v>
      </c>
    </row>
    <row r="136" spans="1:9">
      <c r="A136" s="287" t="s">
        <v>3907</v>
      </c>
      <c r="B136" s="287">
        <v>1818509555</v>
      </c>
      <c r="C136" s="288">
        <v>27.16</v>
      </c>
      <c r="D136" s="288">
        <v>27.16</v>
      </c>
      <c r="E136" s="288">
        <v>27.16</v>
      </c>
      <c r="F136" s="288">
        <v>27.16</v>
      </c>
      <c r="G136" s="289">
        <v>0</v>
      </c>
      <c r="H136" s="288">
        <v>0</v>
      </c>
      <c r="I136" s="290">
        <v>0</v>
      </c>
    </row>
    <row r="137" spans="1:9">
      <c r="A137" s="287" t="s">
        <v>3907</v>
      </c>
      <c r="B137" s="287">
        <v>1818509563</v>
      </c>
      <c r="C137" s="288">
        <v>24.57</v>
      </c>
      <c r="D137" s="288">
        <v>24.57</v>
      </c>
      <c r="E137" s="288">
        <v>24.57</v>
      </c>
      <c r="F137" s="288">
        <v>24.57</v>
      </c>
      <c r="G137" s="289">
        <v>0</v>
      </c>
      <c r="H137" s="288">
        <v>0</v>
      </c>
      <c r="I137" s="290">
        <v>0</v>
      </c>
    </row>
    <row r="138" spans="1:9">
      <c r="A138" s="287" t="s">
        <v>3907</v>
      </c>
      <c r="B138" s="287">
        <v>1818509618</v>
      </c>
      <c r="C138" s="288">
        <v>3.37</v>
      </c>
      <c r="D138" s="288">
        <v>3.37</v>
      </c>
      <c r="E138" s="288">
        <v>3.37</v>
      </c>
      <c r="F138" s="288">
        <v>3.37</v>
      </c>
      <c r="G138" s="289">
        <v>0</v>
      </c>
      <c r="H138" s="288">
        <v>0</v>
      </c>
      <c r="I138" s="290">
        <v>0</v>
      </c>
    </row>
    <row r="139" spans="1:9">
      <c r="A139" s="287" t="s">
        <v>3907</v>
      </c>
      <c r="B139" s="287">
        <v>1818509634</v>
      </c>
      <c r="C139" s="288" t="s">
        <v>3908</v>
      </c>
      <c r="D139" s="288" t="s">
        <v>3908</v>
      </c>
      <c r="E139" s="288" t="s">
        <v>3908</v>
      </c>
      <c r="F139" s="288" t="s">
        <v>3908</v>
      </c>
      <c r="G139" s="289">
        <v>0</v>
      </c>
      <c r="H139" s="288">
        <v>0</v>
      </c>
      <c r="I139" s="290">
        <v>0</v>
      </c>
    </row>
    <row r="140" spans="1:9">
      <c r="A140" s="287" t="s">
        <v>3907</v>
      </c>
      <c r="B140" s="287">
        <v>1818509661</v>
      </c>
      <c r="C140" s="288">
        <v>2.5299999999999998</v>
      </c>
      <c r="D140" s="288">
        <v>2.5299999999999998</v>
      </c>
      <c r="E140" s="288">
        <v>2.5299999999999998</v>
      </c>
      <c r="F140" s="288">
        <v>2.5299999999999998</v>
      </c>
      <c r="G140" s="289">
        <v>0</v>
      </c>
      <c r="H140" s="288">
        <v>0</v>
      </c>
      <c r="I140" s="290">
        <v>0</v>
      </c>
    </row>
    <row r="141" spans="1:9">
      <c r="A141" s="287" t="s">
        <v>3907</v>
      </c>
      <c r="B141" s="287">
        <v>1818509665</v>
      </c>
      <c r="C141" s="288">
        <v>9.86</v>
      </c>
      <c r="D141" s="288">
        <v>9.86</v>
      </c>
      <c r="E141" s="288">
        <v>9.86</v>
      </c>
      <c r="F141" s="288">
        <v>9.86</v>
      </c>
      <c r="G141" s="289">
        <v>0</v>
      </c>
      <c r="H141" s="288">
        <v>0</v>
      </c>
      <c r="I141" s="290">
        <v>0</v>
      </c>
    </row>
    <row r="142" spans="1:9">
      <c r="A142" s="287" t="s">
        <v>3907</v>
      </c>
      <c r="B142" s="287">
        <v>1818509668</v>
      </c>
      <c r="C142" s="288">
        <v>43.56</v>
      </c>
      <c r="D142" s="288">
        <v>43.56</v>
      </c>
      <c r="E142" s="288">
        <v>43.56</v>
      </c>
      <c r="F142" s="288">
        <v>43.56</v>
      </c>
      <c r="G142" s="289">
        <v>0</v>
      </c>
      <c r="H142" s="288">
        <v>0</v>
      </c>
      <c r="I142" s="290">
        <v>0</v>
      </c>
    </row>
    <row r="143" spans="1:9">
      <c r="A143" s="287" t="s">
        <v>3907</v>
      </c>
      <c r="B143" s="287">
        <v>1818509669</v>
      </c>
      <c r="C143" s="288">
        <v>88.15</v>
      </c>
      <c r="D143" s="288">
        <v>88.15</v>
      </c>
      <c r="E143" s="288">
        <v>88.15</v>
      </c>
      <c r="F143" s="288">
        <v>88.15</v>
      </c>
      <c r="G143" s="289">
        <v>0</v>
      </c>
      <c r="H143" s="288">
        <v>0</v>
      </c>
      <c r="I143" s="290">
        <v>0</v>
      </c>
    </row>
    <row r="144" spans="1:9">
      <c r="A144" s="287" t="s">
        <v>3907</v>
      </c>
      <c r="B144" s="287">
        <v>1818509670</v>
      </c>
      <c r="C144" s="288">
        <v>132.84</v>
      </c>
      <c r="D144" s="288">
        <v>132.84</v>
      </c>
      <c r="E144" s="288">
        <v>132.84</v>
      </c>
      <c r="F144" s="288">
        <v>132.84</v>
      </c>
      <c r="G144" s="289">
        <v>0</v>
      </c>
      <c r="H144" s="288">
        <v>0</v>
      </c>
      <c r="I144" s="290">
        <v>0</v>
      </c>
    </row>
    <row r="145" spans="1:9">
      <c r="A145" s="287" t="s">
        <v>3907</v>
      </c>
      <c r="B145" s="287">
        <v>1818509678</v>
      </c>
      <c r="C145" s="288">
        <v>54.41</v>
      </c>
      <c r="D145" s="288">
        <v>54.41</v>
      </c>
      <c r="E145" s="288">
        <v>54.41</v>
      </c>
      <c r="F145" s="288">
        <v>54.41</v>
      </c>
      <c r="G145" s="289">
        <v>0</v>
      </c>
      <c r="H145" s="288">
        <v>0</v>
      </c>
      <c r="I145" s="290">
        <v>0</v>
      </c>
    </row>
    <row r="146" spans="1:9">
      <c r="A146" s="287" t="s">
        <v>3907</v>
      </c>
      <c r="B146" s="287">
        <v>1818509680</v>
      </c>
      <c r="C146" s="288">
        <v>34.15</v>
      </c>
      <c r="D146" s="288">
        <v>34.15</v>
      </c>
      <c r="E146" s="288">
        <v>34.15</v>
      </c>
      <c r="F146" s="288">
        <v>34.15</v>
      </c>
      <c r="G146" s="289">
        <v>0</v>
      </c>
      <c r="H146" s="288">
        <v>0</v>
      </c>
      <c r="I146" s="290">
        <v>0</v>
      </c>
    </row>
    <row r="147" spans="1:9">
      <c r="A147" s="287" t="s">
        <v>3907</v>
      </c>
      <c r="B147" s="287">
        <v>1818509681</v>
      </c>
      <c r="C147" s="288">
        <v>167.29</v>
      </c>
      <c r="D147" s="288">
        <v>167.29</v>
      </c>
      <c r="E147" s="288">
        <v>167.29</v>
      </c>
      <c r="F147" s="288">
        <v>167.29</v>
      </c>
      <c r="G147" s="289">
        <v>0</v>
      </c>
      <c r="H147" s="288">
        <v>0</v>
      </c>
      <c r="I147" s="290">
        <v>0</v>
      </c>
    </row>
    <row r="148" spans="1:9">
      <c r="A148" s="287" t="s">
        <v>3907</v>
      </c>
      <c r="B148" s="287">
        <v>1818509682</v>
      </c>
      <c r="C148" s="288">
        <v>158.91</v>
      </c>
      <c r="D148" s="288">
        <v>158.91</v>
      </c>
      <c r="E148" s="288">
        <v>158.91</v>
      </c>
      <c r="F148" s="288">
        <v>158.91</v>
      </c>
      <c r="G148" s="289">
        <v>0</v>
      </c>
      <c r="H148" s="288">
        <v>0</v>
      </c>
      <c r="I148" s="290">
        <v>0</v>
      </c>
    </row>
    <row r="149" spans="1:9">
      <c r="A149" s="287" t="s">
        <v>3907</v>
      </c>
      <c r="B149" s="287">
        <v>1818509684</v>
      </c>
      <c r="C149" s="288">
        <v>112.9</v>
      </c>
      <c r="D149" s="288">
        <v>112.9</v>
      </c>
      <c r="E149" s="288">
        <v>112.9</v>
      </c>
      <c r="F149" s="288">
        <v>112.9</v>
      </c>
      <c r="G149" s="289">
        <v>0</v>
      </c>
      <c r="H149" s="288">
        <v>0</v>
      </c>
      <c r="I149" s="290">
        <v>0</v>
      </c>
    </row>
    <row r="150" spans="1:9">
      <c r="A150" s="287" t="s">
        <v>3907</v>
      </c>
      <c r="B150" s="287">
        <v>1818509690</v>
      </c>
      <c r="C150" s="288">
        <v>67.16</v>
      </c>
      <c r="D150" s="288">
        <v>67.16</v>
      </c>
      <c r="E150" s="288">
        <v>67.16</v>
      </c>
      <c r="F150" s="288">
        <v>67.16</v>
      </c>
      <c r="G150" s="289">
        <v>0</v>
      </c>
      <c r="H150" s="288">
        <v>0</v>
      </c>
      <c r="I150" s="290">
        <v>0</v>
      </c>
    </row>
    <row r="151" spans="1:9">
      <c r="A151" s="287" t="s">
        <v>3907</v>
      </c>
      <c r="B151" s="287">
        <v>1818509704</v>
      </c>
      <c r="C151" s="288">
        <v>10.7</v>
      </c>
      <c r="D151" s="288">
        <v>10.7</v>
      </c>
      <c r="E151" s="288">
        <v>10.7</v>
      </c>
      <c r="F151" s="288">
        <v>10.7</v>
      </c>
      <c r="G151" s="289">
        <v>0</v>
      </c>
      <c r="H151" s="288">
        <v>0</v>
      </c>
      <c r="I151" s="290">
        <v>0</v>
      </c>
    </row>
    <row r="152" spans="1:9">
      <c r="A152" s="287" t="s">
        <v>3907</v>
      </c>
      <c r="B152" s="287">
        <v>1818509718</v>
      </c>
      <c r="C152" s="288">
        <v>55.09</v>
      </c>
      <c r="D152" s="288">
        <v>55.09</v>
      </c>
      <c r="E152" s="288">
        <v>55.09</v>
      </c>
      <c r="F152" s="288">
        <v>55.09</v>
      </c>
      <c r="G152" s="289">
        <v>0</v>
      </c>
      <c r="H152" s="288">
        <v>0</v>
      </c>
      <c r="I152" s="290">
        <v>0</v>
      </c>
    </row>
    <row r="153" spans="1:9">
      <c r="A153" s="287" t="s">
        <v>3907</v>
      </c>
      <c r="B153" s="287">
        <v>1818509725</v>
      </c>
      <c r="C153" s="288">
        <v>5.74</v>
      </c>
      <c r="D153" s="288">
        <v>5.74</v>
      </c>
      <c r="E153" s="288">
        <v>5.74</v>
      </c>
      <c r="F153" s="288">
        <v>5.74</v>
      </c>
      <c r="G153" s="289">
        <v>0</v>
      </c>
      <c r="H153" s="288">
        <v>0</v>
      </c>
      <c r="I153" s="290">
        <v>0</v>
      </c>
    </row>
    <row r="154" spans="1:9">
      <c r="A154" s="287" t="s">
        <v>3907</v>
      </c>
      <c r="B154" s="297">
        <v>1818509748</v>
      </c>
      <c r="C154" s="288">
        <v>5.66</v>
      </c>
      <c r="D154" s="288">
        <v>5.66</v>
      </c>
      <c r="E154" s="288">
        <v>5.66</v>
      </c>
      <c r="F154" s="288">
        <v>5.66</v>
      </c>
      <c r="G154" s="289">
        <v>0</v>
      </c>
      <c r="H154" s="288">
        <v>0</v>
      </c>
      <c r="I154" s="290">
        <v>0</v>
      </c>
    </row>
    <row r="155" spans="1:9">
      <c r="A155" s="287" t="s">
        <v>3907</v>
      </c>
      <c r="B155" s="297">
        <v>1818509751</v>
      </c>
      <c r="C155" s="288">
        <v>20</v>
      </c>
      <c r="D155" s="288">
        <v>20</v>
      </c>
      <c r="E155" s="288">
        <v>20</v>
      </c>
      <c r="F155" s="288">
        <v>20</v>
      </c>
      <c r="G155" s="289">
        <v>0</v>
      </c>
      <c r="H155" s="288">
        <v>0</v>
      </c>
      <c r="I155" s="290">
        <v>0</v>
      </c>
    </row>
    <row r="156" spans="1:9">
      <c r="A156" s="287" t="s">
        <v>3907</v>
      </c>
      <c r="B156" s="297">
        <v>1818509752</v>
      </c>
      <c r="C156" s="288">
        <v>54.59</v>
      </c>
      <c r="D156" s="288">
        <v>54.59</v>
      </c>
      <c r="E156" s="288">
        <v>54.59</v>
      </c>
      <c r="F156" s="288">
        <v>54.59</v>
      </c>
      <c r="G156" s="289">
        <v>0</v>
      </c>
      <c r="H156" s="288">
        <v>0</v>
      </c>
      <c r="I156" s="290">
        <v>0</v>
      </c>
    </row>
    <row r="157" spans="1:9">
      <c r="A157" s="287" t="s">
        <v>3907</v>
      </c>
      <c r="B157" s="297">
        <v>1818509763</v>
      </c>
      <c r="C157" s="288">
        <v>60.96</v>
      </c>
      <c r="D157" s="288">
        <v>60.96</v>
      </c>
      <c r="E157" s="288">
        <v>60.96</v>
      </c>
      <c r="F157" s="288">
        <v>60.96</v>
      </c>
      <c r="G157" s="289">
        <v>0</v>
      </c>
      <c r="H157" s="288">
        <v>0</v>
      </c>
      <c r="I157" s="290">
        <v>0</v>
      </c>
    </row>
    <row r="158" spans="1:9">
      <c r="A158" s="287" t="s">
        <v>3907</v>
      </c>
      <c r="B158" s="297">
        <v>1818509765</v>
      </c>
      <c r="C158" s="288">
        <v>1.1399999999999999</v>
      </c>
      <c r="D158" s="288">
        <v>1.1399999999999999</v>
      </c>
      <c r="E158" s="288">
        <v>1.1399999999999999</v>
      </c>
      <c r="F158" s="288">
        <v>1.1399999999999999</v>
      </c>
      <c r="G158" s="289">
        <v>0</v>
      </c>
      <c r="H158" s="288">
        <v>0</v>
      </c>
      <c r="I158" s="290">
        <v>0</v>
      </c>
    </row>
    <row r="159" spans="1:9">
      <c r="A159" s="287" t="s">
        <v>3907</v>
      </c>
      <c r="B159" s="297">
        <v>1818509790</v>
      </c>
      <c r="C159" s="288">
        <v>138.53</v>
      </c>
      <c r="D159" s="288">
        <v>138.53</v>
      </c>
      <c r="E159" s="288">
        <v>138.53</v>
      </c>
      <c r="F159" s="288">
        <v>138.53</v>
      </c>
      <c r="G159" s="289">
        <v>0</v>
      </c>
      <c r="H159" s="288">
        <v>0</v>
      </c>
      <c r="I159" s="290">
        <v>0</v>
      </c>
    </row>
    <row r="160" spans="1:9">
      <c r="A160" s="287" t="s">
        <v>3907</v>
      </c>
      <c r="B160" s="297">
        <v>1818509812</v>
      </c>
      <c r="C160" s="288">
        <v>35.39</v>
      </c>
      <c r="D160" s="288">
        <v>35.39</v>
      </c>
      <c r="E160" s="288">
        <v>35.39</v>
      </c>
      <c r="F160" s="288">
        <v>35.39</v>
      </c>
      <c r="G160" s="289">
        <v>0</v>
      </c>
      <c r="H160" s="288">
        <v>0</v>
      </c>
      <c r="I160" s="290">
        <v>0</v>
      </c>
    </row>
    <row r="161" spans="1:12">
      <c r="A161" s="287" t="s">
        <v>3907</v>
      </c>
      <c r="B161" s="297">
        <v>1818509817</v>
      </c>
      <c r="C161" s="288">
        <v>111.15</v>
      </c>
      <c r="D161" s="288">
        <v>111.15</v>
      </c>
      <c r="E161" s="288">
        <v>111.15</v>
      </c>
      <c r="F161" s="288">
        <v>111.15</v>
      </c>
      <c r="G161" s="289">
        <v>0</v>
      </c>
      <c r="H161" s="288">
        <v>0</v>
      </c>
      <c r="I161" s="290">
        <v>0</v>
      </c>
    </row>
    <row r="162" spans="1:12">
      <c r="A162" s="287" t="s">
        <v>3907</v>
      </c>
      <c r="B162" s="297">
        <v>1818509822</v>
      </c>
      <c r="C162" s="288">
        <v>122.64</v>
      </c>
      <c r="D162" s="288">
        <v>122.64</v>
      </c>
      <c r="E162" s="288">
        <v>122.64</v>
      </c>
      <c r="F162" s="288">
        <v>122.64</v>
      </c>
      <c r="G162" s="289">
        <v>0</v>
      </c>
      <c r="H162" s="288">
        <v>0</v>
      </c>
      <c r="I162" s="290">
        <v>0</v>
      </c>
    </row>
    <row r="163" spans="1:12">
      <c r="A163" s="287" t="s">
        <v>3907</v>
      </c>
      <c r="B163" s="297">
        <v>1818509826</v>
      </c>
      <c r="C163" s="288">
        <v>57.12</v>
      </c>
      <c r="D163" s="288">
        <v>57.12</v>
      </c>
      <c r="E163" s="288">
        <v>57.12</v>
      </c>
      <c r="F163" s="288">
        <v>57.12</v>
      </c>
      <c r="G163" s="289">
        <v>0</v>
      </c>
      <c r="H163" s="288">
        <v>0</v>
      </c>
      <c r="I163" s="290">
        <v>0</v>
      </c>
    </row>
    <row r="164" spans="1:12">
      <c r="A164" s="287" t="s">
        <v>3907</v>
      </c>
      <c r="B164" s="297">
        <v>1818509830</v>
      </c>
      <c r="C164" s="288">
        <v>129.61000000000001</v>
      </c>
      <c r="D164" s="288">
        <v>129.61000000000001</v>
      </c>
      <c r="E164" s="288">
        <v>129.61000000000001</v>
      </c>
      <c r="F164" s="288">
        <v>129.61000000000001</v>
      </c>
      <c r="G164" s="289">
        <v>0</v>
      </c>
      <c r="H164" s="288">
        <v>0</v>
      </c>
      <c r="I164" s="290">
        <v>0</v>
      </c>
    </row>
    <row r="165" spans="1:12">
      <c r="A165" s="287" t="s">
        <v>3907</v>
      </c>
      <c r="B165" s="297">
        <v>1818509834</v>
      </c>
      <c r="C165" s="288">
        <v>133.91</v>
      </c>
      <c r="D165" s="288">
        <v>133.91</v>
      </c>
      <c r="E165" s="288">
        <v>133.91</v>
      </c>
      <c r="F165" s="288">
        <v>133.91</v>
      </c>
      <c r="G165" s="289">
        <v>0</v>
      </c>
      <c r="H165" s="288">
        <v>0</v>
      </c>
      <c r="I165" s="290">
        <v>0</v>
      </c>
    </row>
    <row r="166" spans="1:12">
      <c r="A166" s="287" t="s">
        <v>3907</v>
      </c>
      <c r="B166" s="297">
        <v>1818509838</v>
      </c>
      <c r="C166" s="288">
        <v>169.24</v>
      </c>
      <c r="D166" s="288">
        <v>169.24</v>
      </c>
      <c r="E166" s="288">
        <v>169.24</v>
      </c>
      <c r="F166" s="288">
        <v>169.24</v>
      </c>
      <c r="G166" s="289">
        <v>0</v>
      </c>
      <c r="H166" s="288">
        <v>0</v>
      </c>
      <c r="I166" s="290">
        <v>0</v>
      </c>
    </row>
    <row r="167" spans="1:12">
      <c r="A167" s="287" t="s">
        <v>3907</v>
      </c>
      <c r="B167" s="297" t="s">
        <v>3909</v>
      </c>
      <c r="C167" s="288">
        <v>34</v>
      </c>
      <c r="D167" s="288">
        <v>34</v>
      </c>
      <c r="E167" s="288">
        <v>34</v>
      </c>
      <c r="F167" s="288">
        <v>34</v>
      </c>
      <c r="G167" s="289">
        <v>0</v>
      </c>
      <c r="H167" s="288">
        <v>0</v>
      </c>
      <c r="I167" s="290">
        <v>0</v>
      </c>
      <c r="L167" s="270">
        <v>34</v>
      </c>
    </row>
    <row r="168" spans="1:12">
      <c r="A168" s="287" t="s">
        <v>3907</v>
      </c>
      <c r="B168" s="297" t="s">
        <v>1025</v>
      </c>
      <c r="C168" s="288">
        <v>7.48</v>
      </c>
      <c r="D168" s="288">
        <v>7.48</v>
      </c>
      <c r="E168" s="288">
        <v>7.48</v>
      </c>
      <c r="F168" s="288">
        <v>7.48</v>
      </c>
      <c r="G168" s="289">
        <v>0</v>
      </c>
      <c r="H168" s="288">
        <v>0</v>
      </c>
      <c r="I168" s="290">
        <v>0</v>
      </c>
    </row>
    <row r="169" spans="1:12">
      <c r="A169" s="287" t="s">
        <v>3907</v>
      </c>
      <c r="B169" s="298" t="s">
        <v>51</v>
      </c>
      <c r="C169" s="288">
        <v>28.62</v>
      </c>
      <c r="D169" s="288">
        <v>28.62</v>
      </c>
      <c r="E169" s="288">
        <v>28.62</v>
      </c>
      <c r="F169" s="288">
        <f>L169</f>
        <v>23.93</v>
      </c>
      <c r="G169" s="289">
        <v>0</v>
      </c>
      <c r="H169" s="288">
        <v>0</v>
      </c>
      <c r="I169" s="290">
        <v>0</v>
      </c>
      <c r="L169" s="316">
        <v>23.93</v>
      </c>
    </row>
    <row r="170" spans="1:12">
      <c r="A170" s="287" t="s">
        <v>3907</v>
      </c>
      <c r="B170" s="298" t="s">
        <v>33</v>
      </c>
      <c r="C170" s="288">
        <v>23.5</v>
      </c>
      <c r="D170" s="288">
        <v>23.5</v>
      </c>
      <c r="E170" s="288">
        <v>23.5</v>
      </c>
      <c r="F170" s="288">
        <f t="shared" ref="F170:F229" si="0">L170</f>
        <v>22.38</v>
      </c>
      <c r="G170" s="289">
        <v>0</v>
      </c>
      <c r="H170" s="288">
        <v>0</v>
      </c>
      <c r="I170" s="290">
        <v>0</v>
      </c>
      <c r="L170" s="270">
        <v>22.38</v>
      </c>
    </row>
    <row r="171" spans="1:12">
      <c r="A171" s="287" t="s">
        <v>3907</v>
      </c>
      <c r="B171" s="298" t="s">
        <v>34</v>
      </c>
      <c r="C171" s="288">
        <v>22.29</v>
      </c>
      <c r="D171" s="288">
        <v>22.29</v>
      </c>
      <c r="E171" s="288">
        <v>22.29</v>
      </c>
      <c r="F171" s="288">
        <f t="shared" si="0"/>
        <v>22.29</v>
      </c>
      <c r="G171" s="289">
        <v>0</v>
      </c>
      <c r="H171" s="288">
        <v>0</v>
      </c>
      <c r="I171" s="290">
        <v>0</v>
      </c>
      <c r="L171" s="270">
        <v>22.29</v>
      </c>
    </row>
    <row r="172" spans="1:12">
      <c r="A172" s="287" t="s">
        <v>3907</v>
      </c>
      <c r="B172" s="298" t="s">
        <v>179</v>
      </c>
      <c r="C172" s="288">
        <v>39.82</v>
      </c>
      <c r="D172" s="288">
        <v>39.82</v>
      </c>
      <c r="E172" s="288">
        <v>39.82</v>
      </c>
      <c r="F172" s="288">
        <f t="shared" si="0"/>
        <v>36.53</v>
      </c>
      <c r="G172" s="289">
        <v>0</v>
      </c>
      <c r="H172" s="288">
        <v>0</v>
      </c>
      <c r="I172" s="290">
        <v>0</v>
      </c>
      <c r="L172" s="270">
        <v>36.53</v>
      </c>
    </row>
    <row r="173" spans="1:12">
      <c r="A173" s="287" t="s">
        <v>3907</v>
      </c>
      <c r="B173" s="298" t="s">
        <v>38</v>
      </c>
      <c r="C173" s="288">
        <v>42.67</v>
      </c>
      <c r="D173" s="288">
        <v>42.67</v>
      </c>
      <c r="E173" s="288">
        <v>42.67</v>
      </c>
      <c r="F173" s="288">
        <f t="shared" si="0"/>
        <v>42.46</v>
      </c>
      <c r="G173" s="289">
        <v>0</v>
      </c>
      <c r="H173" s="288">
        <v>0</v>
      </c>
      <c r="I173" s="290">
        <v>0</v>
      </c>
      <c r="L173" s="270">
        <v>42.46</v>
      </c>
    </row>
    <row r="174" spans="1:12">
      <c r="A174" s="287" t="s">
        <v>3907</v>
      </c>
      <c r="B174" s="298" t="s">
        <v>40</v>
      </c>
      <c r="C174" s="288">
        <v>41.64</v>
      </c>
      <c r="D174" s="288">
        <v>41.64</v>
      </c>
      <c r="E174" s="288">
        <v>41.64</v>
      </c>
      <c r="F174" s="288">
        <f t="shared" si="0"/>
        <v>41.43</v>
      </c>
      <c r="G174" s="289">
        <v>0</v>
      </c>
      <c r="H174" s="288">
        <v>0</v>
      </c>
      <c r="I174" s="290">
        <v>0</v>
      </c>
      <c r="L174" s="316">
        <v>41.43</v>
      </c>
    </row>
    <row r="175" spans="1:12">
      <c r="A175" s="287" t="s">
        <v>3907</v>
      </c>
      <c r="B175" s="298" t="s">
        <v>670</v>
      </c>
      <c r="C175" s="288">
        <v>45.32</v>
      </c>
      <c r="D175" s="288">
        <v>45.32</v>
      </c>
      <c r="E175" s="288">
        <v>45.32</v>
      </c>
      <c r="F175" s="288">
        <f t="shared" si="0"/>
        <v>43.11</v>
      </c>
      <c r="G175" s="289">
        <v>0</v>
      </c>
      <c r="H175" s="288">
        <v>0</v>
      </c>
      <c r="I175" s="290">
        <v>0</v>
      </c>
      <c r="L175" s="316">
        <v>43.11</v>
      </c>
    </row>
    <row r="176" spans="1:12">
      <c r="A176" s="287" t="s">
        <v>3907</v>
      </c>
      <c r="B176" s="298" t="s">
        <v>41</v>
      </c>
      <c r="C176" s="288">
        <v>45.57</v>
      </c>
      <c r="D176" s="288">
        <v>45.57</v>
      </c>
      <c r="E176" s="288">
        <v>45.57</v>
      </c>
      <c r="F176" s="288">
        <f t="shared" si="0"/>
        <v>45.25</v>
      </c>
      <c r="G176" s="289">
        <v>0</v>
      </c>
      <c r="H176" s="288">
        <v>0</v>
      </c>
      <c r="I176" s="290">
        <v>0</v>
      </c>
      <c r="L176" s="270">
        <v>45.25</v>
      </c>
    </row>
    <row r="177" spans="1:12">
      <c r="A177" s="287" t="s">
        <v>3907</v>
      </c>
      <c r="B177" s="298" t="s">
        <v>46</v>
      </c>
      <c r="C177" s="288">
        <v>118.15</v>
      </c>
      <c r="D177" s="288">
        <v>118.15</v>
      </c>
      <c r="E177" s="288">
        <v>118.15</v>
      </c>
      <c r="F177" s="288">
        <f t="shared" si="0"/>
        <v>118.15</v>
      </c>
      <c r="G177" s="289">
        <v>0</v>
      </c>
      <c r="H177" s="288">
        <v>0</v>
      </c>
      <c r="I177" s="290">
        <v>0</v>
      </c>
      <c r="L177" s="270">
        <v>118.15</v>
      </c>
    </row>
    <row r="178" spans="1:12">
      <c r="A178" s="287" t="s">
        <v>3907</v>
      </c>
      <c r="B178" s="298" t="s">
        <v>650</v>
      </c>
      <c r="C178" s="288">
        <v>118.16</v>
      </c>
      <c r="D178" s="288">
        <v>118.16</v>
      </c>
      <c r="E178" s="288">
        <v>118.16</v>
      </c>
      <c r="F178" s="288">
        <f t="shared" si="0"/>
        <v>118.16</v>
      </c>
      <c r="G178" s="289">
        <v>0</v>
      </c>
      <c r="H178" s="288">
        <v>0</v>
      </c>
      <c r="I178" s="290">
        <v>0</v>
      </c>
      <c r="L178" s="270">
        <v>118.16</v>
      </c>
    </row>
    <row r="179" spans="1:12">
      <c r="A179" s="287" t="s">
        <v>3907</v>
      </c>
      <c r="B179" s="298" t="s">
        <v>48</v>
      </c>
      <c r="C179" s="288">
        <v>121.64</v>
      </c>
      <c r="D179" s="288">
        <v>121.64</v>
      </c>
      <c r="E179" s="288">
        <v>121.64</v>
      </c>
      <c r="F179" s="288">
        <f t="shared" si="0"/>
        <v>121.64</v>
      </c>
      <c r="G179" s="289">
        <v>0</v>
      </c>
      <c r="H179" s="288">
        <v>0</v>
      </c>
      <c r="I179" s="290">
        <v>0</v>
      </c>
      <c r="L179" s="270">
        <v>121.64</v>
      </c>
    </row>
    <row r="180" spans="1:12">
      <c r="A180" s="287" t="s">
        <v>3907</v>
      </c>
      <c r="B180" s="298" t="s">
        <v>397</v>
      </c>
      <c r="C180" s="288">
        <v>94.43</v>
      </c>
      <c r="D180" s="288">
        <v>94.43</v>
      </c>
      <c r="E180" s="288">
        <v>94.43</v>
      </c>
      <c r="F180" s="288">
        <f t="shared" si="0"/>
        <v>94.43</v>
      </c>
      <c r="G180" s="289">
        <v>0</v>
      </c>
      <c r="H180" s="288">
        <v>0</v>
      </c>
      <c r="I180" s="290">
        <v>0</v>
      </c>
      <c r="L180" s="270">
        <v>94.43</v>
      </c>
    </row>
    <row r="181" spans="1:12">
      <c r="A181" s="287" t="s">
        <v>3907</v>
      </c>
      <c r="B181" s="298" t="s">
        <v>936</v>
      </c>
      <c r="C181" s="288">
        <v>27.56</v>
      </c>
      <c r="D181" s="288">
        <v>27.56</v>
      </c>
      <c r="E181" s="288">
        <v>27.56</v>
      </c>
      <c r="F181" s="288">
        <f t="shared" si="0"/>
        <v>27.56</v>
      </c>
      <c r="G181" s="289">
        <v>0</v>
      </c>
      <c r="H181" s="288">
        <v>0</v>
      </c>
      <c r="I181" s="290">
        <v>0</v>
      </c>
      <c r="L181" s="270">
        <v>27.56</v>
      </c>
    </row>
    <row r="182" spans="1:12">
      <c r="A182" s="287" t="s">
        <v>3907</v>
      </c>
      <c r="B182" s="298" t="s">
        <v>42</v>
      </c>
      <c r="C182" s="288">
        <v>46.06</v>
      </c>
      <c r="D182" s="288">
        <v>46.06</v>
      </c>
      <c r="E182" s="288">
        <v>46.06</v>
      </c>
      <c r="F182" s="288">
        <f t="shared" si="0"/>
        <v>46.06</v>
      </c>
      <c r="G182" s="289">
        <v>0</v>
      </c>
      <c r="H182" s="288">
        <v>0</v>
      </c>
      <c r="I182" s="290">
        <v>0</v>
      </c>
      <c r="L182" s="270">
        <v>46.06</v>
      </c>
    </row>
    <row r="183" spans="1:12">
      <c r="A183" s="287" t="s">
        <v>3907</v>
      </c>
      <c r="B183" s="298" t="s">
        <v>939</v>
      </c>
      <c r="C183" s="288">
        <v>27.05</v>
      </c>
      <c r="D183" s="288">
        <v>27.05</v>
      </c>
      <c r="E183" s="288">
        <v>27.05</v>
      </c>
      <c r="F183" s="288">
        <f t="shared" si="0"/>
        <v>23.31</v>
      </c>
      <c r="G183" s="289">
        <v>0</v>
      </c>
      <c r="H183" s="288">
        <v>0</v>
      </c>
      <c r="I183" s="290">
        <v>0</v>
      </c>
      <c r="L183" s="270">
        <v>23.31</v>
      </c>
    </row>
    <row r="184" spans="1:12">
      <c r="A184" s="287" t="s">
        <v>3907</v>
      </c>
      <c r="B184" s="298" t="s">
        <v>388</v>
      </c>
      <c r="C184" s="288">
        <v>57.53</v>
      </c>
      <c r="D184" s="288">
        <v>57.53</v>
      </c>
      <c r="E184" s="288">
        <v>57.53</v>
      </c>
      <c r="F184" s="288">
        <f t="shared" si="0"/>
        <v>56.67</v>
      </c>
      <c r="G184" s="289">
        <v>0</v>
      </c>
      <c r="H184" s="288">
        <v>0</v>
      </c>
      <c r="I184" s="290">
        <v>0</v>
      </c>
      <c r="L184" s="270">
        <v>56.67</v>
      </c>
    </row>
    <row r="185" spans="1:12">
      <c r="A185" s="287" t="s">
        <v>3907</v>
      </c>
      <c r="B185" s="298" t="s">
        <v>671</v>
      </c>
      <c r="C185" s="288">
        <v>55.77</v>
      </c>
      <c r="D185" s="288">
        <v>55.77</v>
      </c>
      <c r="E185" s="288">
        <v>55.77</v>
      </c>
      <c r="F185" s="288">
        <f t="shared" si="0"/>
        <v>55.49</v>
      </c>
      <c r="G185" s="289">
        <v>0</v>
      </c>
      <c r="H185" s="288">
        <v>0</v>
      </c>
      <c r="I185" s="290">
        <v>0</v>
      </c>
      <c r="L185" s="270">
        <v>55.49</v>
      </c>
    </row>
    <row r="186" spans="1:12">
      <c r="A186" s="287" t="s">
        <v>3907</v>
      </c>
      <c r="B186" s="298" t="s">
        <v>943</v>
      </c>
      <c r="C186" s="288">
        <v>50.73</v>
      </c>
      <c r="D186" s="288">
        <v>50.73</v>
      </c>
      <c r="E186" s="288">
        <v>50.73</v>
      </c>
      <c r="F186" s="288">
        <f t="shared" si="0"/>
        <v>50.23</v>
      </c>
      <c r="G186" s="289">
        <v>0</v>
      </c>
      <c r="H186" s="288">
        <v>0</v>
      </c>
      <c r="I186" s="290">
        <v>0</v>
      </c>
      <c r="L186" s="270">
        <v>50.23</v>
      </c>
    </row>
    <row r="187" spans="1:12">
      <c r="A187" s="287" t="s">
        <v>3907</v>
      </c>
      <c r="B187" s="298" t="s">
        <v>1030</v>
      </c>
      <c r="C187" s="288">
        <v>8.51</v>
      </c>
      <c r="D187" s="288">
        <v>8.51</v>
      </c>
      <c r="E187" s="288">
        <v>8.51</v>
      </c>
      <c r="F187" s="288">
        <v>8.51</v>
      </c>
      <c r="G187" s="289">
        <v>0</v>
      </c>
      <c r="H187" s="288">
        <v>0</v>
      </c>
      <c r="I187" s="290">
        <v>0</v>
      </c>
      <c r="L187" s="270">
        <v>8.51</v>
      </c>
    </row>
    <row r="188" spans="1:12">
      <c r="A188" s="287" t="s">
        <v>3907</v>
      </c>
      <c r="B188" s="297" t="s">
        <v>1032</v>
      </c>
      <c r="C188" s="288">
        <v>12.4</v>
      </c>
      <c r="D188" s="288">
        <v>12.4</v>
      </c>
      <c r="E188" s="288">
        <v>12.4</v>
      </c>
      <c r="F188" s="288">
        <v>12.4</v>
      </c>
      <c r="G188" s="289">
        <v>0</v>
      </c>
      <c r="H188" s="288">
        <v>0</v>
      </c>
      <c r="I188" s="290">
        <v>0</v>
      </c>
    </row>
    <row r="189" spans="1:12">
      <c r="A189" s="287" t="s">
        <v>3907</v>
      </c>
      <c r="B189" s="298" t="s">
        <v>1034</v>
      </c>
      <c r="C189" s="288">
        <v>34</v>
      </c>
      <c r="D189" s="288">
        <v>34</v>
      </c>
      <c r="E189" s="288">
        <v>34</v>
      </c>
      <c r="F189" s="288">
        <v>34</v>
      </c>
      <c r="G189" s="289">
        <v>0</v>
      </c>
      <c r="H189" s="288">
        <v>0</v>
      </c>
      <c r="I189" s="290">
        <v>0</v>
      </c>
    </row>
    <row r="190" spans="1:12">
      <c r="A190" s="287" t="s">
        <v>3907</v>
      </c>
      <c r="B190" s="298" t="s">
        <v>228</v>
      </c>
      <c r="C190" s="288">
        <v>17.38</v>
      </c>
      <c r="D190" s="288">
        <v>17.38</v>
      </c>
      <c r="E190" s="288">
        <v>17.38</v>
      </c>
      <c r="F190" s="288">
        <v>17.38</v>
      </c>
      <c r="G190" s="289">
        <v>0</v>
      </c>
      <c r="H190" s="288">
        <v>0</v>
      </c>
      <c r="I190" s="290">
        <v>0</v>
      </c>
      <c r="L190" s="270">
        <v>17.38</v>
      </c>
    </row>
    <row r="191" spans="1:12">
      <c r="A191" s="287" t="s">
        <v>3907</v>
      </c>
      <c r="B191" s="298" t="s">
        <v>945</v>
      </c>
      <c r="C191" s="288">
        <v>91</v>
      </c>
      <c r="D191" s="288">
        <v>91</v>
      </c>
      <c r="E191" s="288">
        <v>91</v>
      </c>
      <c r="F191" s="288">
        <f t="shared" si="0"/>
        <v>91</v>
      </c>
      <c r="G191" s="289">
        <v>0</v>
      </c>
      <c r="H191" s="288">
        <v>0</v>
      </c>
      <c r="I191" s="290">
        <v>0</v>
      </c>
      <c r="L191" s="270">
        <v>91</v>
      </c>
    </row>
    <row r="192" spans="1:12">
      <c r="A192" s="287" t="s">
        <v>3907</v>
      </c>
      <c r="B192" s="298" t="s">
        <v>350</v>
      </c>
      <c r="C192" s="288">
        <v>62.93</v>
      </c>
      <c r="D192" s="288">
        <v>62.93</v>
      </c>
      <c r="E192" s="288">
        <v>62.93</v>
      </c>
      <c r="F192" s="288">
        <v>62.93</v>
      </c>
      <c r="G192" s="289">
        <v>0</v>
      </c>
      <c r="H192" s="288">
        <v>0</v>
      </c>
      <c r="I192" s="290">
        <v>0</v>
      </c>
      <c r="L192" s="270">
        <v>80.989999999999995</v>
      </c>
    </row>
    <row r="193" spans="1:12">
      <c r="A193" s="287" t="s">
        <v>3907</v>
      </c>
      <c r="B193" s="298" t="s">
        <v>242</v>
      </c>
      <c r="C193" s="288">
        <v>78.23</v>
      </c>
      <c r="D193" s="288">
        <v>78.23</v>
      </c>
      <c r="E193" s="288">
        <v>78.23</v>
      </c>
      <c r="F193" s="288">
        <v>78.23</v>
      </c>
      <c r="G193" s="289">
        <v>0</v>
      </c>
      <c r="H193" s="288">
        <v>0</v>
      </c>
      <c r="I193" s="290">
        <v>0</v>
      </c>
      <c r="L193" s="270">
        <v>68.59</v>
      </c>
    </row>
    <row r="194" spans="1:12">
      <c r="A194" s="287" t="s">
        <v>3907</v>
      </c>
      <c r="B194" s="298" t="s">
        <v>29</v>
      </c>
      <c r="C194" s="288">
        <v>2.46</v>
      </c>
      <c r="D194" s="288">
        <v>2.46</v>
      </c>
      <c r="E194" s="288">
        <v>2.46</v>
      </c>
      <c r="F194" s="288">
        <f t="shared" si="0"/>
        <v>2.46</v>
      </c>
      <c r="G194" s="289">
        <v>0</v>
      </c>
      <c r="H194" s="288">
        <v>0</v>
      </c>
      <c r="I194" s="290">
        <v>0</v>
      </c>
      <c r="L194" s="270">
        <v>2.46</v>
      </c>
    </row>
    <row r="195" spans="1:12">
      <c r="A195" s="287" t="s">
        <v>3907</v>
      </c>
      <c r="B195" s="298" t="s">
        <v>951</v>
      </c>
      <c r="C195" s="288">
        <v>5.22</v>
      </c>
      <c r="D195" s="288">
        <v>5.22</v>
      </c>
      <c r="E195" s="288">
        <v>5.22</v>
      </c>
      <c r="F195" s="288">
        <f t="shared" si="0"/>
        <v>5.22</v>
      </c>
      <c r="G195" s="289">
        <v>0</v>
      </c>
      <c r="H195" s="288">
        <v>0</v>
      </c>
      <c r="I195" s="290">
        <v>0</v>
      </c>
      <c r="L195" s="270">
        <v>5.22</v>
      </c>
    </row>
    <row r="196" spans="1:12">
      <c r="A196" s="287" t="s">
        <v>3907</v>
      </c>
      <c r="B196" s="297" t="s">
        <v>1049</v>
      </c>
      <c r="C196" s="288">
        <v>9.1</v>
      </c>
      <c r="D196" s="288">
        <v>9.1</v>
      </c>
      <c r="E196" s="288">
        <v>9.1</v>
      </c>
      <c r="F196" s="288">
        <v>9.1</v>
      </c>
      <c r="G196" s="289">
        <v>0</v>
      </c>
      <c r="H196" s="288">
        <v>0</v>
      </c>
      <c r="I196" s="290">
        <v>0</v>
      </c>
    </row>
    <row r="197" spans="1:12">
      <c r="A197" s="287" t="s">
        <v>3907</v>
      </c>
      <c r="B197" s="297" t="s">
        <v>1053</v>
      </c>
      <c r="C197" s="288">
        <v>9.1</v>
      </c>
      <c r="D197" s="288">
        <v>9.1</v>
      </c>
      <c r="E197" s="288">
        <v>9.1</v>
      </c>
      <c r="F197" s="288">
        <v>9.1</v>
      </c>
      <c r="G197" s="289">
        <v>0</v>
      </c>
      <c r="H197" s="288">
        <v>0</v>
      </c>
      <c r="I197" s="290">
        <v>0</v>
      </c>
    </row>
    <row r="198" spans="1:12">
      <c r="A198" s="287" t="s">
        <v>3907</v>
      </c>
      <c r="B198" s="298" t="s">
        <v>1055</v>
      </c>
      <c r="C198" s="288">
        <v>8.35</v>
      </c>
      <c r="D198" s="288">
        <v>8.35</v>
      </c>
      <c r="E198" s="288">
        <v>8.35</v>
      </c>
      <c r="F198" s="288">
        <v>8.35</v>
      </c>
      <c r="G198" s="289">
        <v>0</v>
      </c>
      <c r="H198" s="288">
        <v>0</v>
      </c>
      <c r="I198" s="290">
        <v>0</v>
      </c>
      <c r="L198" s="270">
        <v>8.35</v>
      </c>
    </row>
    <row r="199" spans="1:12">
      <c r="A199" s="287" t="s">
        <v>3907</v>
      </c>
      <c r="B199" s="298" t="s">
        <v>963</v>
      </c>
      <c r="C199" s="288">
        <v>22.81</v>
      </c>
      <c r="D199" s="288">
        <v>22.81</v>
      </c>
      <c r="E199" s="288">
        <v>22.81</v>
      </c>
      <c r="F199" s="288">
        <f t="shared" si="0"/>
        <v>22.81</v>
      </c>
      <c r="G199" s="289">
        <v>0</v>
      </c>
      <c r="H199" s="288">
        <v>0</v>
      </c>
      <c r="I199" s="290">
        <v>0</v>
      </c>
      <c r="L199" s="270">
        <v>22.81</v>
      </c>
    </row>
    <row r="200" spans="1:12">
      <c r="A200" s="287" t="s">
        <v>3907</v>
      </c>
      <c r="B200" s="298" t="s">
        <v>49</v>
      </c>
      <c r="C200" s="288">
        <v>124.72</v>
      </c>
      <c r="D200" s="288">
        <v>124.72</v>
      </c>
      <c r="E200" s="288">
        <v>124.72</v>
      </c>
      <c r="F200" s="288">
        <f t="shared" si="0"/>
        <v>118.26</v>
      </c>
      <c r="G200" s="289">
        <v>0</v>
      </c>
      <c r="H200" s="288">
        <v>0</v>
      </c>
      <c r="I200" s="290">
        <v>0</v>
      </c>
      <c r="L200" s="270">
        <v>118.26</v>
      </c>
    </row>
    <row r="201" spans="1:12">
      <c r="A201" s="287" t="s">
        <v>3907</v>
      </c>
      <c r="B201" s="298" t="s">
        <v>383</v>
      </c>
      <c r="C201" s="288">
        <v>99.16</v>
      </c>
      <c r="D201" s="288">
        <v>99.16</v>
      </c>
      <c r="E201" s="288">
        <v>99.16</v>
      </c>
      <c r="F201" s="288">
        <f t="shared" si="0"/>
        <v>92.23</v>
      </c>
      <c r="G201" s="289">
        <v>0</v>
      </c>
      <c r="H201" s="288">
        <v>0</v>
      </c>
      <c r="I201" s="290">
        <v>0</v>
      </c>
      <c r="L201" s="270">
        <v>92.23</v>
      </c>
    </row>
    <row r="202" spans="1:12">
      <c r="A202" s="287" t="s">
        <v>3907</v>
      </c>
      <c r="B202" s="297" t="s">
        <v>1058</v>
      </c>
      <c r="C202" s="288">
        <v>3.44</v>
      </c>
      <c r="D202" s="288">
        <v>3.44</v>
      </c>
      <c r="E202" s="288">
        <v>3.44</v>
      </c>
      <c r="F202" s="288">
        <v>3.44</v>
      </c>
      <c r="G202" s="289">
        <v>0</v>
      </c>
      <c r="H202" s="288">
        <v>0</v>
      </c>
      <c r="I202" s="290">
        <v>0</v>
      </c>
    </row>
    <row r="203" spans="1:12">
      <c r="A203" s="287" t="s">
        <v>3907</v>
      </c>
      <c r="B203" s="298" t="s">
        <v>969</v>
      </c>
      <c r="C203" s="288">
        <v>49.84</v>
      </c>
      <c r="D203" s="288">
        <v>49.84</v>
      </c>
      <c r="E203" s="288">
        <v>49.84</v>
      </c>
      <c r="F203" s="288">
        <f t="shared" si="0"/>
        <v>49.84</v>
      </c>
      <c r="G203" s="289">
        <v>0</v>
      </c>
      <c r="H203" s="288">
        <v>0</v>
      </c>
      <c r="I203" s="290">
        <v>0</v>
      </c>
      <c r="L203" s="270">
        <v>49.84</v>
      </c>
    </row>
    <row r="204" spans="1:12" ht="15.6" customHeight="1">
      <c r="A204" s="287" t="s">
        <v>3907</v>
      </c>
      <c r="B204" s="298" t="s">
        <v>971</v>
      </c>
      <c r="C204" s="288">
        <v>50.73</v>
      </c>
      <c r="D204" s="288">
        <v>50.73</v>
      </c>
      <c r="E204" s="288">
        <v>50.73</v>
      </c>
      <c r="F204" s="288">
        <f t="shared" si="0"/>
        <v>50.73</v>
      </c>
      <c r="G204" s="289">
        <v>0</v>
      </c>
      <c r="H204" s="288">
        <v>0</v>
      </c>
      <c r="I204" s="290">
        <v>0</v>
      </c>
      <c r="L204" s="270">
        <v>50.73</v>
      </c>
    </row>
    <row r="205" spans="1:12">
      <c r="A205" s="287" t="s">
        <v>3907</v>
      </c>
      <c r="B205" s="298" t="s">
        <v>389</v>
      </c>
      <c r="C205" s="288">
        <v>50.63</v>
      </c>
      <c r="D205" s="288">
        <v>50.63</v>
      </c>
      <c r="E205" s="288">
        <v>50.63</v>
      </c>
      <c r="F205" s="288">
        <f t="shared" si="0"/>
        <v>50.13</v>
      </c>
      <c r="G205" s="289">
        <v>0</v>
      </c>
      <c r="H205" s="288">
        <v>0</v>
      </c>
      <c r="I205" s="290">
        <v>0</v>
      </c>
      <c r="L205" s="270">
        <v>50.13</v>
      </c>
    </row>
    <row r="206" spans="1:12">
      <c r="A206" s="287" t="s">
        <v>3907</v>
      </c>
      <c r="B206" s="298" t="s">
        <v>35</v>
      </c>
      <c r="C206" s="288">
        <v>30.65</v>
      </c>
      <c r="D206" s="288">
        <v>30.65</v>
      </c>
      <c r="E206" s="288">
        <v>30.65</v>
      </c>
      <c r="F206" s="288">
        <f t="shared" si="0"/>
        <v>29.19</v>
      </c>
      <c r="G206" s="289">
        <v>0</v>
      </c>
      <c r="H206" s="288">
        <v>0</v>
      </c>
      <c r="I206" s="290">
        <v>0</v>
      </c>
      <c r="L206" s="270">
        <v>29.19</v>
      </c>
    </row>
    <row r="207" spans="1:12">
      <c r="A207" s="287" t="s">
        <v>3907</v>
      </c>
      <c r="B207" s="298" t="s">
        <v>975</v>
      </c>
      <c r="C207" s="288">
        <v>29.67</v>
      </c>
      <c r="D207" s="288">
        <v>29.67</v>
      </c>
      <c r="E207" s="288">
        <v>29.67</v>
      </c>
      <c r="F207" s="288">
        <f t="shared" si="0"/>
        <v>29.67</v>
      </c>
      <c r="G207" s="289">
        <v>0</v>
      </c>
      <c r="H207" s="288">
        <v>0</v>
      </c>
      <c r="I207" s="290">
        <v>0</v>
      </c>
      <c r="L207" s="270">
        <v>29.67</v>
      </c>
    </row>
    <row r="208" spans="1:12">
      <c r="A208" s="287" t="s">
        <v>3907</v>
      </c>
      <c r="B208" s="298" t="s">
        <v>31</v>
      </c>
      <c r="C208" s="288">
        <v>26.49</v>
      </c>
      <c r="D208" s="288">
        <v>26.49</v>
      </c>
      <c r="E208" s="288">
        <v>26.49</v>
      </c>
      <c r="F208" s="288">
        <f t="shared" si="0"/>
        <v>26.49</v>
      </c>
      <c r="G208" s="289">
        <v>0</v>
      </c>
      <c r="H208" s="288">
        <v>0</v>
      </c>
      <c r="I208" s="290">
        <v>0</v>
      </c>
      <c r="L208" s="270">
        <v>26.49</v>
      </c>
    </row>
    <row r="209" spans="1:12">
      <c r="A209" s="287" t="s">
        <v>3907</v>
      </c>
      <c r="B209" s="297" t="s">
        <v>978</v>
      </c>
      <c r="C209" s="288">
        <v>125</v>
      </c>
      <c r="D209" s="288">
        <v>125</v>
      </c>
      <c r="E209" s="288">
        <v>125</v>
      </c>
      <c r="F209" s="288">
        <v>125</v>
      </c>
      <c r="G209" s="289">
        <v>0</v>
      </c>
      <c r="H209" s="288">
        <v>0</v>
      </c>
      <c r="I209" s="290">
        <v>0</v>
      </c>
      <c r="L209" s="270">
        <v>125</v>
      </c>
    </row>
    <row r="210" spans="1:12">
      <c r="A210" s="287" t="s">
        <v>3907</v>
      </c>
      <c r="B210" s="298" t="s">
        <v>1060</v>
      </c>
      <c r="C210" s="288">
        <v>2.63</v>
      </c>
      <c r="D210" s="288">
        <v>2.63</v>
      </c>
      <c r="E210" s="288">
        <v>2.63</v>
      </c>
      <c r="F210" s="288">
        <v>2.63</v>
      </c>
      <c r="G210" s="289">
        <v>0</v>
      </c>
      <c r="H210" s="288">
        <v>0</v>
      </c>
      <c r="I210" s="290">
        <v>0</v>
      </c>
      <c r="L210" s="270">
        <v>2.63</v>
      </c>
    </row>
    <row r="211" spans="1:12">
      <c r="A211" s="287" t="s">
        <v>3907</v>
      </c>
      <c r="B211" s="298" t="s">
        <v>980</v>
      </c>
      <c r="C211" s="288">
        <v>42.25</v>
      </c>
      <c r="D211" s="288">
        <v>42.25</v>
      </c>
      <c r="E211" s="288">
        <v>42.25</v>
      </c>
      <c r="F211" s="288">
        <f t="shared" si="0"/>
        <v>42.25</v>
      </c>
      <c r="G211" s="289">
        <v>0</v>
      </c>
      <c r="H211" s="288">
        <v>0</v>
      </c>
      <c r="I211" s="290">
        <v>0</v>
      </c>
      <c r="L211" s="270">
        <v>42.25</v>
      </c>
    </row>
    <row r="212" spans="1:12">
      <c r="A212" s="287" t="s">
        <v>3907</v>
      </c>
      <c r="B212" s="298" t="s">
        <v>55</v>
      </c>
      <c r="C212" s="288">
        <v>7.28</v>
      </c>
      <c r="D212" s="288">
        <v>7.28</v>
      </c>
      <c r="E212" s="288">
        <v>7.28</v>
      </c>
      <c r="F212" s="288">
        <f t="shared" si="0"/>
        <v>7.73</v>
      </c>
      <c r="G212" s="289">
        <v>0</v>
      </c>
      <c r="H212" s="288">
        <v>0</v>
      </c>
      <c r="I212" s="290">
        <v>0</v>
      </c>
      <c r="L212" s="270">
        <v>7.73</v>
      </c>
    </row>
    <row r="213" spans="1:12">
      <c r="A213" s="287" t="s">
        <v>3907</v>
      </c>
      <c r="B213" s="298" t="s">
        <v>56</v>
      </c>
      <c r="C213" s="288">
        <v>4.32</v>
      </c>
      <c r="D213" s="288">
        <v>4.32</v>
      </c>
      <c r="E213" s="288">
        <v>4.32</v>
      </c>
      <c r="F213" s="288">
        <f t="shared" si="0"/>
        <v>4.4000000000000004</v>
      </c>
      <c r="G213" s="289">
        <v>0</v>
      </c>
      <c r="H213" s="288">
        <v>0</v>
      </c>
      <c r="I213" s="290">
        <v>0</v>
      </c>
      <c r="L213" s="270">
        <v>4.4000000000000004</v>
      </c>
    </row>
    <row r="214" spans="1:12">
      <c r="A214" s="287" t="s">
        <v>3907</v>
      </c>
      <c r="B214" s="298" t="s">
        <v>1173</v>
      </c>
      <c r="C214" s="288">
        <v>20.11</v>
      </c>
      <c r="D214" s="288">
        <v>20.11</v>
      </c>
      <c r="E214" s="288">
        <v>20.11</v>
      </c>
      <c r="F214" s="288">
        <v>19.7</v>
      </c>
      <c r="G214" s="289">
        <v>0</v>
      </c>
      <c r="H214" s="288">
        <v>0</v>
      </c>
      <c r="I214" s="290">
        <v>0</v>
      </c>
      <c r="L214" s="270">
        <v>19.707799999999999</v>
      </c>
    </row>
    <row r="215" spans="1:12">
      <c r="A215" s="287" t="s">
        <v>3907</v>
      </c>
      <c r="B215" s="298" t="s">
        <v>984</v>
      </c>
      <c r="C215" s="288">
        <v>15.3</v>
      </c>
      <c r="D215" s="288">
        <v>15.3</v>
      </c>
      <c r="E215" s="288">
        <v>15.3</v>
      </c>
      <c r="F215" s="288">
        <f t="shared" si="0"/>
        <v>15.3</v>
      </c>
      <c r="G215" s="289">
        <v>0</v>
      </c>
      <c r="H215" s="288">
        <v>0</v>
      </c>
      <c r="I215" s="290">
        <v>0</v>
      </c>
      <c r="L215" s="270">
        <v>15.3</v>
      </c>
    </row>
    <row r="216" spans="1:12">
      <c r="A216" s="287" t="s">
        <v>3907</v>
      </c>
      <c r="B216" s="297" t="s">
        <v>986</v>
      </c>
      <c r="C216" s="288">
        <v>57.2</v>
      </c>
      <c r="D216" s="288">
        <v>57.2</v>
      </c>
      <c r="E216" s="288">
        <v>57.2</v>
      </c>
      <c r="F216" s="288">
        <v>57.2</v>
      </c>
      <c r="G216" s="289">
        <v>0</v>
      </c>
      <c r="H216" s="288">
        <v>0</v>
      </c>
      <c r="I216" s="290">
        <v>0</v>
      </c>
      <c r="L216" s="270">
        <v>57.2</v>
      </c>
    </row>
    <row r="217" spans="1:12">
      <c r="A217" s="287" t="s">
        <v>3907</v>
      </c>
      <c r="B217" s="297" t="s">
        <v>992</v>
      </c>
      <c r="C217" s="288">
        <v>11.31</v>
      </c>
      <c r="D217" s="288">
        <v>11.31</v>
      </c>
      <c r="E217" s="288">
        <v>11.31</v>
      </c>
      <c r="F217" s="288">
        <v>11.31</v>
      </c>
      <c r="G217" s="289">
        <v>0</v>
      </c>
      <c r="H217" s="288">
        <v>0</v>
      </c>
      <c r="I217" s="290">
        <v>0</v>
      </c>
      <c r="L217" s="270">
        <v>11.31</v>
      </c>
    </row>
    <row r="218" spans="1:12">
      <c r="A218" s="287" t="s">
        <v>3907</v>
      </c>
      <c r="B218" s="297" t="s">
        <v>1000</v>
      </c>
      <c r="C218" s="288">
        <v>52.68</v>
      </c>
      <c r="D218" s="288">
        <v>52.68</v>
      </c>
      <c r="E218" s="288">
        <v>52.68</v>
      </c>
      <c r="F218" s="288">
        <v>52.68</v>
      </c>
      <c r="G218" s="289">
        <v>0</v>
      </c>
      <c r="H218" s="288">
        <v>0</v>
      </c>
      <c r="I218" s="290">
        <v>0</v>
      </c>
      <c r="L218" s="270">
        <v>52.68</v>
      </c>
    </row>
    <row r="219" spans="1:12">
      <c r="A219" s="287" t="s">
        <v>3907</v>
      </c>
      <c r="B219" s="298" t="s">
        <v>1002</v>
      </c>
      <c r="C219" s="288">
        <v>16.12</v>
      </c>
      <c r="D219" s="288">
        <v>16.12</v>
      </c>
      <c r="E219" s="288">
        <v>16.12</v>
      </c>
      <c r="F219" s="288">
        <f t="shared" si="0"/>
        <v>16.12</v>
      </c>
      <c r="G219" s="289">
        <v>0</v>
      </c>
      <c r="H219" s="288">
        <v>0</v>
      </c>
      <c r="I219" s="290">
        <v>0</v>
      </c>
      <c r="L219" s="270">
        <v>16.12</v>
      </c>
    </row>
    <row r="220" spans="1:12">
      <c r="A220" s="287" t="s">
        <v>3907</v>
      </c>
      <c r="B220" s="298" t="s">
        <v>1004</v>
      </c>
      <c r="C220" s="288">
        <v>49.44</v>
      </c>
      <c r="D220" s="288">
        <v>49.44</v>
      </c>
      <c r="E220" s="288">
        <v>49.44</v>
      </c>
      <c r="F220" s="288">
        <f t="shared" si="0"/>
        <v>49.44</v>
      </c>
      <c r="G220" s="289">
        <v>0</v>
      </c>
      <c r="H220" s="288">
        <v>0</v>
      </c>
      <c r="I220" s="290">
        <v>0</v>
      </c>
      <c r="L220" s="270">
        <v>49.44</v>
      </c>
    </row>
    <row r="221" spans="1:12">
      <c r="A221" s="287" t="s">
        <v>3907</v>
      </c>
      <c r="B221" s="298" t="s">
        <v>36</v>
      </c>
      <c r="C221" s="288">
        <v>31.15</v>
      </c>
      <c r="D221" s="288">
        <v>31.15</v>
      </c>
      <c r="E221" s="288">
        <v>31.15</v>
      </c>
      <c r="F221" s="288">
        <f t="shared" si="0"/>
        <v>31.15</v>
      </c>
      <c r="G221" s="289">
        <v>0</v>
      </c>
      <c r="H221" s="288">
        <v>0</v>
      </c>
      <c r="I221" s="290">
        <v>0</v>
      </c>
      <c r="L221" s="270">
        <v>31.15</v>
      </c>
    </row>
    <row r="222" spans="1:12">
      <c r="A222" s="287" t="s">
        <v>3907</v>
      </c>
      <c r="B222" s="298" t="s">
        <v>1007</v>
      </c>
      <c r="C222" s="288">
        <v>60.83</v>
      </c>
      <c r="D222" s="288">
        <v>60.83</v>
      </c>
      <c r="E222" s="288">
        <v>60.83</v>
      </c>
      <c r="F222" s="288">
        <f t="shared" si="0"/>
        <v>55.43</v>
      </c>
      <c r="G222" s="289">
        <v>0</v>
      </c>
      <c r="H222" s="288">
        <v>0</v>
      </c>
      <c r="I222" s="290">
        <v>0</v>
      </c>
      <c r="L222" s="270">
        <v>55.43</v>
      </c>
    </row>
    <row r="223" spans="1:12">
      <c r="A223" s="287" t="s">
        <v>3907</v>
      </c>
      <c r="B223" s="298" t="s">
        <v>43</v>
      </c>
      <c r="C223" s="288">
        <v>51.31</v>
      </c>
      <c r="D223" s="288">
        <v>51.31</v>
      </c>
      <c r="E223" s="288">
        <v>51.31</v>
      </c>
      <c r="F223" s="288">
        <f t="shared" si="0"/>
        <v>48.87</v>
      </c>
      <c r="G223" s="289">
        <v>0</v>
      </c>
      <c r="H223" s="288">
        <v>0</v>
      </c>
      <c r="I223" s="290">
        <v>0</v>
      </c>
      <c r="L223" s="270">
        <v>48.87</v>
      </c>
    </row>
    <row r="224" spans="1:12">
      <c r="A224" s="287" t="s">
        <v>3907</v>
      </c>
      <c r="B224" s="297" t="s">
        <v>44</v>
      </c>
      <c r="C224" s="288">
        <v>103.2</v>
      </c>
      <c r="D224" s="288">
        <v>103.2</v>
      </c>
      <c r="E224" s="288">
        <v>103.2</v>
      </c>
      <c r="F224" s="288">
        <f t="shared" si="0"/>
        <v>103.2</v>
      </c>
      <c r="G224" s="289">
        <v>0</v>
      </c>
      <c r="H224" s="288">
        <v>0</v>
      </c>
      <c r="I224" s="290">
        <v>0</v>
      </c>
      <c r="L224" s="270">
        <v>103.2</v>
      </c>
    </row>
    <row r="225" spans="1:12">
      <c r="A225" s="287" t="s">
        <v>3907</v>
      </c>
      <c r="B225" s="297" t="s">
        <v>1011</v>
      </c>
      <c r="C225" s="288">
        <v>103.4</v>
      </c>
      <c r="D225" s="288">
        <v>103.4</v>
      </c>
      <c r="E225" s="288">
        <v>103.4</v>
      </c>
      <c r="F225" s="288">
        <f t="shared" si="0"/>
        <v>103.4</v>
      </c>
      <c r="G225" s="289">
        <v>0</v>
      </c>
      <c r="H225" s="288">
        <v>0</v>
      </c>
      <c r="I225" s="290">
        <v>0</v>
      </c>
      <c r="L225" s="270">
        <v>103.4</v>
      </c>
    </row>
    <row r="226" spans="1:12">
      <c r="A226" s="287" t="s">
        <v>3907</v>
      </c>
      <c r="B226" s="297" t="s">
        <v>1013</v>
      </c>
      <c r="C226" s="288">
        <v>88.53</v>
      </c>
      <c r="D226" s="288">
        <v>88.53</v>
      </c>
      <c r="E226" s="288">
        <v>88.53</v>
      </c>
      <c r="F226" s="288">
        <f t="shared" si="0"/>
        <v>85.24</v>
      </c>
      <c r="G226" s="289">
        <v>0</v>
      </c>
      <c r="H226" s="288">
        <v>0</v>
      </c>
      <c r="I226" s="290">
        <v>0</v>
      </c>
      <c r="L226" s="270">
        <v>85.24</v>
      </c>
    </row>
    <row r="227" spans="1:12">
      <c r="A227" s="287" t="s">
        <v>3907</v>
      </c>
      <c r="B227" s="298" t="s">
        <v>651</v>
      </c>
      <c r="C227" s="288">
        <v>114.03</v>
      </c>
      <c r="D227" s="288">
        <v>114.03</v>
      </c>
      <c r="E227" s="288">
        <v>114.03</v>
      </c>
      <c r="F227" s="288">
        <f t="shared" si="0"/>
        <v>114.03</v>
      </c>
      <c r="G227" s="289">
        <v>0</v>
      </c>
      <c r="H227" s="288">
        <v>0</v>
      </c>
      <c r="I227" s="290">
        <v>0</v>
      </c>
      <c r="L227" s="270">
        <v>114.03</v>
      </c>
    </row>
    <row r="228" spans="1:12">
      <c r="A228" s="287" t="s">
        <v>3907</v>
      </c>
      <c r="B228" s="297" t="s">
        <v>398</v>
      </c>
      <c r="C228" s="288">
        <v>140</v>
      </c>
      <c r="D228" s="288">
        <v>140</v>
      </c>
      <c r="E228" s="288">
        <v>140</v>
      </c>
      <c r="F228" s="288">
        <f t="shared" si="0"/>
        <v>140</v>
      </c>
      <c r="G228" s="289">
        <v>0</v>
      </c>
      <c r="H228" s="288">
        <v>0</v>
      </c>
      <c r="I228" s="290">
        <v>0</v>
      </c>
      <c r="L228" s="270">
        <v>140</v>
      </c>
    </row>
    <row r="229" spans="1:12">
      <c r="A229" s="287" t="s">
        <v>3907</v>
      </c>
      <c r="B229" s="297" t="s">
        <v>1017</v>
      </c>
      <c r="C229" s="288">
        <v>121</v>
      </c>
      <c r="D229" s="288">
        <v>121</v>
      </c>
      <c r="E229" s="288">
        <v>121</v>
      </c>
      <c r="F229" s="288">
        <f t="shared" si="0"/>
        <v>121</v>
      </c>
      <c r="G229" s="289">
        <v>0</v>
      </c>
      <c r="H229" s="288">
        <v>0</v>
      </c>
      <c r="I229" s="290">
        <v>0</v>
      </c>
      <c r="L229" s="270">
        <v>121</v>
      </c>
    </row>
    <row r="230" spans="1:12">
      <c r="A230" s="287" t="s">
        <v>3907</v>
      </c>
      <c r="B230" s="297" t="s">
        <v>1064</v>
      </c>
      <c r="C230" s="288">
        <v>34</v>
      </c>
      <c r="D230" s="288">
        <v>34</v>
      </c>
      <c r="E230" s="288">
        <v>34</v>
      </c>
      <c r="F230" s="288">
        <v>34</v>
      </c>
      <c r="G230" s="289">
        <v>0</v>
      </c>
      <c r="H230" s="288">
        <v>0</v>
      </c>
      <c r="I230" s="290">
        <v>0</v>
      </c>
      <c r="L230" s="270">
        <v>34</v>
      </c>
    </row>
    <row r="231" spans="1:12">
      <c r="A231" s="287" t="s">
        <v>3907</v>
      </c>
      <c r="B231" s="297" t="s">
        <v>320</v>
      </c>
      <c r="C231" s="288">
        <v>34</v>
      </c>
      <c r="D231" s="288">
        <v>34</v>
      </c>
      <c r="E231" s="288">
        <v>34</v>
      </c>
      <c r="F231" s="288">
        <v>34</v>
      </c>
      <c r="G231" s="289">
        <v>0</v>
      </c>
      <c r="H231" s="288">
        <v>0</v>
      </c>
      <c r="I231" s="290">
        <v>0</v>
      </c>
      <c r="L231" s="270">
        <v>34</v>
      </c>
    </row>
    <row r="232" spans="1:12">
      <c r="A232" s="287" t="s">
        <v>3907</v>
      </c>
      <c r="B232" s="297" t="s">
        <v>1067</v>
      </c>
      <c r="C232" s="288">
        <v>34</v>
      </c>
      <c r="D232" s="288">
        <v>34</v>
      </c>
      <c r="E232" s="288">
        <v>34</v>
      </c>
      <c r="F232" s="288">
        <v>34</v>
      </c>
      <c r="G232" s="289">
        <v>0</v>
      </c>
      <c r="H232" s="288">
        <v>0</v>
      </c>
      <c r="I232" s="290">
        <v>0</v>
      </c>
      <c r="L232" s="270">
        <v>34</v>
      </c>
    </row>
    <row r="233" spans="1:12">
      <c r="A233" s="287" t="s">
        <v>3907</v>
      </c>
      <c r="B233" s="297" t="s">
        <v>1069</v>
      </c>
      <c r="C233" s="288">
        <v>34</v>
      </c>
      <c r="D233" s="288">
        <v>34</v>
      </c>
      <c r="E233" s="288">
        <v>34</v>
      </c>
      <c r="F233" s="288">
        <v>34</v>
      </c>
      <c r="G233" s="289">
        <v>0</v>
      </c>
      <c r="H233" s="288">
        <v>0</v>
      </c>
      <c r="I233" s="290">
        <v>0</v>
      </c>
      <c r="L233" s="270">
        <v>34</v>
      </c>
    </row>
    <row r="234" spans="1:12">
      <c r="A234" s="287" t="s">
        <v>3907</v>
      </c>
      <c r="B234" s="297" t="s">
        <v>220</v>
      </c>
      <c r="C234" s="288">
        <v>4.13</v>
      </c>
      <c r="D234" s="288">
        <v>4.13</v>
      </c>
      <c r="E234" s="288">
        <v>4.13</v>
      </c>
      <c r="F234" s="288">
        <v>4.13</v>
      </c>
      <c r="G234" s="289">
        <v>0</v>
      </c>
      <c r="H234" s="288">
        <v>0</v>
      </c>
      <c r="I234" s="290">
        <v>0</v>
      </c>
    </row>
    <row r="235" spans="1:12">
      <c r="A235" s="287" t="s">
        <v>3907</v>
      </c>
      <c r="B235" s="297" t="s">
        <v>175</v>
      </c>
      <c r="C235" s="288">
        <v>2.88</v>
      </c>
      <c r="D235" s="288">
        <v>2.88</v>
      </c>
      <c r="E235" s="288">
        <v>2.88</v>
      </c>
      <c r="F235" s="288">
        <v>2.88</v>
      </c>
      <c r="G235" s="289">
        <v>0</v>
      </c>
      <c r="H235" s="288">
        <v>0</v>
      </c>
      <c r="I235" s="290">
        <v>0</v>
      </c>
    </row>
    <row r="236" spans="1:12">
      <c r="A236" s="287" t="s">
        <v>3907</v>
      </c>
      <c r="B236" s="297" t="s">
        <v>3910</v>
      </c>
      <c r="C236" s="288">
        <v>24.35</v>
      </c>
      <c r="D236" s="288">
        <v>24.35</v>
      </c>
      <c r="E236" s="288">
        <v>24.35</v>
      </c>
      <c r="F236" s="288">
        <v>24.35</v>
      </c>
      <c r="G236" s="289">
        <v>0</v>
      </c>
      <c r="H236" s="288">
        <v>0</v>
      </c>
      <c r="I236" s="290">
        <v>0</v>
      </c>
    </row>
    <row r="237" spans="1:12">
      <c r="A237" s="287" t="s">
        <v>3907</v>
      </c>
      <c r="B237" s="297" t="s">
        <v>484</v>
      </c>
      <c r="C237" s="288">
        <v>2</v>
      </c>
      <c r="D237" s="288">
        <v>2</v>
      </c>
      <c r="E237" s="288">
        <v>2</v>
      </c>
      <c r="F237" s="288">
        <v>2</v>
      </c>
      <c r="G237" s="289">
        <v>0</v>
      </c>
      <c r="H237" s="288">
        <v>0</v>
      </c>
      <c r="I237" s="290">
        <v>0</v>
      </c>
    </row>
    <row r="238" spans="1:12">
      <c r="A238" s="287" t="s">
        <v>3907</v>
      </c>
      <c r="B238" s="297" t="s">
        <v>177</v>
      </c>
      <c r="C238" s="288">
        <v>5.67</v>
      </c>
      <c r="D238" s="288">
        <v>5.67</v>
      </c>
      <c r="E238" s="288">
        <v>5.67</v>
      </c>
      <c r="F238" s="288">
        <v>5.67</v>
      </c>
      <c r="G238" s="289">
        <v>0</v>
      </c>
      <c r="H238" s="288">
        <v>0</v>
      </c>
      <c r="I238" s="290">
        <v>0</v>
      </c>
    </row>
    <row r="239" spans="1:12">
      <c r="A239" s="287" t="s">
        <v>3907</v>
      </c>
      <c r="B239" s="297" t="s">
        <v>1037</v>
      </c>
      <c r="C239" s="288">
        <v>2</v>
      </c>
      <c r="D239" s="288">
        <v>2</v>
      </c>
      <c r="E239" s="288">
        <v>2</v>
      </c>
      <c r="F239" s="288">
        <v>2</v>
      </c>
      <c r="G239" s="289">
        <v>0</v>
      </c>
      <c r="H239" s="288">
        <v>0</v>
      </c>
      <c r="I239" s="290">
        <v>0</v>
      </c>
    </row>
    <row r="240" spans="1:12">
      <c r="A240" s="287" t="s">
        <v>3907</v>
      </c>
      <c r="B240" s="297" t="s">
        <v>3911</v>
      </c>
      <c r="C240" s="288">
        <v>36.53</v>
      </c>
      <c r="D240" s="288">
        <v>36.53</v>
      </c>
      <c r="E240" s="288">
        <v>36.53</v>
      </c>
      <c r="F240" s="288">
        <v>36.53</v>
      </c>
      <c r="G240" s="289">
        <v>0</v>
      </c>
      <c r="H240" s="288">
        <v>0</v>
      </c>
      <c r="I240" s="290">
        <v>0</v>
      </c>
    </row>
    <row r="241" spans="1:9">
      <c r="A241" s="287" t="s">
        <v>3907</v>
      </c>
      <c r="B241" s="297">
        <v>1813218042</v>
      </c>
      <c r="C241" s="288">
        <v>8.4499999999999993</v>
      </c>
      <c r="D241" s="288">
        <v>8.4499999999999993</v>
      </c>
      <c r="E241" s="288">
        <v>8.4499999999999993</v>
      </c>
      <c r="F241" s="288">
        <v>8.4499999999999993</v>
      </c>
      <c r="G241" s="289">
        <v>0</v>
      </c>
      <c r="H241" s="288">
        <v>0</v>
      </c>
      <c r="I241" s="290">
        <v>0</v>
      </c>
    </row>
    <row r="242" spans="1:9">
      <c r="A242" s="287" t="s">
        <v>3907</v>
      </c>
      <c r="B242" s="297" t="s">
        <v>53</v>
      </c>
      <c r="C242" s="288">
        <v>5.77</v>
      </c>
      <c r="D242" s="288">
        <v>5.77</v>
      </c>
      <c r="E242" s="288">
        <v>5.77</v>
      </c>
      <c r="F242" s="288">
        <v>5.77</v>
      </c>
      <c r="G242" s="289">
        <v>0</v>
      </c>
      <c r="H242" s="288">
        <v>0</v>
      </c>
      <c r="I242" s="290">
        <v>0</v>
      </c>
    </row>
    <row r="243" spans="1:9">
      <c r="A243" s="287" t="s">
        <v>3907</v>
      </c>
      <c r="B243" s="297" t="s">
        <v>361</v>
      </c>
      <c r="C243" s="288">
        <v>88.03</v>
      </c>
      <c r="D243" s="288">
        <v>88.03</v>
      </c>
      <c r="E243" s="288">
        <v>88.03</v>
      </c>
      <c r="F243" s="288">
        <v>86.27</v>
      </c>
      <c r="G243" s="289">
        <v>0</v>
      </c>
      <c r="H243" s="288">
        <v>0</v>
      </c>
      <c r="I243" s="290">
        <v>0</v>
      </c>
    </row>
    <row r="244" spans="1:9">
      <c r="A244" s="287" t="s">
        <v>3907</v>
      </c>
      <c r="B244" s="287" t="s">
        <v>3912</v>
      </c>
      <c r="C244" s="288">
        <v>88.03</v>
      </c>
      <c r="D244" s="288">
        <v>88.03</v>
      </c>
      <c r="E244" s="288">
        <v>88.03</v>
      </c>
      <c r="F244" s="288">
        <v>88.03</v>
      </c>
      <c r="G244" s="289">
        <v>0</v>
      </c>
      <c r="H244" s="288">
        <v>0</v>
      </c>
      <c r="I244" s="290">
        <v>0</v>
      </c>
    </row>
    <row r="245" spans="1:9">
      <c r="A245" s="287" t="s">
        <v>3907</v>
      </c>
      <c r="B245" s="287" t="s">
        <v>3913</v>
      </c>
      <c r="C245" s="288">
        <v>8.6999999999999993</v>
      </c>
      <c r="D245" s="288">
        <v>8.6999999999999993</v>
      </c>
      <c r="E245" s="288">
        <v>8.6999999999999993</v>
      </c>
      <c r="F245" s="288">
        <v>8.6999999999999993</v>
      </c>
      <c r="G245" s="289">
        <v>0</v>
      </c>
      <c r="H245" s="288">
        <v>0</v>
      </c>
      <c r="I245" s="290">
        <v>0</v>
      </c>
    </row>
    <row r="246" spans="1:9">
      <c r="A246" s="287" t="s">
        <v>3907</v>
      </c>
      <c r="B246" s="287" t="s">
        <v>3914</v>
      </c>
      <c r="C246" s="288">
        <v>8.6999999999999993</v>
      </c>
      <c r="D246" s="288">
        <v>8.6999999999999993</v>
      </c>
      <c r="E246" s="288">
        <v>8.6999999999999993</v>
      </c>
      <c r="F246" s="288">
        <v>8.6999999999999993</v>
      </c>
      <c r="G246" s="289">
        <v>0</v>
      </c>
      <c r="H246" s="288">
        <v>0</v>
      </c>
      <c r="I246" s="290">
        <v>0</v>
      </c>
    </row>
    <row r="247" spans="1:9">
      <c r="A247" s="287" t="s">
        <v>3907</v>
      </c>
      <c r="B247" s="287" t="s">
        <v>3915</v>
      </c>
      <c r="C247" s="288">
        <v>9</v>
      </c>
      <c r="D247" s="288">
        <v>9</v>
      </c>
      <c r="E247" s="288">
        <v>9</v>
      </c>
      <c r="F247" s="288">
        <v>9</v>
      </c>
      <c r="G247" s="289">
        <v>0</v>
      </c>
      <c r="H247" s="288">
        <v>0</v>
      </c>
      <c r="I247" s="290">
        <v>0</v>
      </c>
    </row>
    <row r="248" spans="1:9">
      <c r="A248" s="287" t="s">
        <v>3907</v>
      </c>
      <c r="B248" s="287" t="s">
        <v>1047</v>
      </c>
      <c r="C248" s="288">
        <v>74.55</v>
      </c>
      <c r="D248" s="288">
        <v>74.55</v>
      </c>
      <c r="E248" s="288">
        <v>74.55</v>
      </c>
      <c r="F248" s="288">
        <v>73.06</v>
      </c>
      <c r="G248" s="289">
        <v>0</v>
      </c>
      <c r="H248" s="288">
        <v>0</v>
      </c>
      <c r="I248" s="290">
        <v>0</v>
      </c>
    </row>
    <row r="249" spans="1:9">
      <c r="A249" s="287" t="s">
        <v>3907</v>
      </c>
      <c r="B249" s="287" t="s">
        <v>1051</v>
      </c>
      <c r="C249" s="288">
        <v>8.82</v>
      </c>
      <c r="D249" s="288">
        <v>8.82</v>
      </c>
      <c r="E249" s="288">
        <v>8.82</v>
      </c>
      <c r="F249" s="288">
        <v>8.82</v>
      </c>
      <c r="G249" s="289">
        <v>0</v>
      </c>
      <c r="H249" s="288">
        <v>0</v>
      </c>
      <c r="I249" s="290">
        <v>0</v>
      </c>
    </row>
    <row r="250" spans="1:9">
      <c r="A250" s="287" t="s">
        <v>3907</v>
      </c>
      <c r="B250" s="287">
        <v>1818509822</v>
      </c>
      <c r="C250" s="288">
        <v>500</v>
      </c>
      <c r="D250" s="288">
        <v>500</v>
      </c>
      <c r="E250" s="288">
        <v>500</v>
      </c>
      <c r="F250" s="288">
        <v>500</v>
      </c>
      <c r="G250" s="289">
        <v>0</v>
      </c>
      <c r="H250" s="288">
        <v>0</v>
      </c>
      <c r="I250" s="290">
        <v>0</v>
      </c>
    </row>
    <row r="251" spans="1:9">
      <c r="A251" s="287" t="s">
        <v>3907</v>
      </c>
      <c r="B251" s="287">
        <v>1818509826</v>
      </c>
      <c r="C251" s="288">
        <v>500</v>
      </c>
      <c r="D251" s="288">
        <v>500</v>
      </c>
      <c r="E251" s="288">
        <v>500</v>
      </c>
      <c r="F251" s="288">
        <v>500</v>
      </c>
      <c r="G251" s="289">
        <v>0</v>
      </c>
      <c r="H251" s="288">
        <v>0</v>
      </c>
      <c r="I251" s="290">
        <v>0</v>
      </c>
    </row>
    <row r="252" spans="1:9">
      <c r="A252" s="287" t="s">
        <v>3907</v>
      </c>
      <c r="B252" s="287">
        <v>1818509669</v>
      </c>
      <c r="C252" s="288">
        <v>500</v>
      </c>
      <c r="D252" s="288">
        <v>500</v>
      </c>
      <c r="E252" s="288">
        <v>500</v>
      </c>
      <c r="F252" s="288">
        <v>500</v>
      </c>
      <c r="G252" s="289">
        <v>0</v>
      </c>
      <c r="H252" s="288">
        <v>0</v>
      </c>
      <c r="I252" s="290">
        <v>0</v>
      </c>
    </row>
    <row r="253" spans="1:9">
      <c r="A253" s="287" t="s">
        <v>3907</v>
      </c>
      <c r="B253" s="287">
        <v>1818509678</v>
      </c>
      <c r="C253" s="288">
        <v>500</v>
      </c>
      <c r="D253" s="288">
        <v>500</v>
      </c>
      <c r="E253" s="288">
        <v>500</v>
      </c>
      <c r="F253" s="288">
        <v>500</v>
      </c>
      <c r="G253" s="289">
        <v>0</v>
      </c>
      <c r="H253" s="288">
        <v>0</v>
      </c>
      <c r="I253" s="290">
        <v>0</v>
      </c>
    </row>
    <row r="254" spans="1:9">
      <c r="A254" s="287" t="s">
        <v>3907</v>
      </c>
      <c r="B254" s="287">
        <v>1818509682</v>
      </c>
      <c r="C254" s="288">
        <v>500</v>
      </c>
      <c r="D254" s="288">
        <v>500</v>
      </c>
      <c r="E254" s="288">
        <v>500</v>
      </c>
      <c r="F254" s="288">
        <v>500</v>
      </c>
      <c r="G254" s="289">
        <v>0</v>
      </c>
      <c r="H254" s="288">
        <v>0</v>
      </c>
      <c r="I254" s="290">
        <v>0</v>
      </c>
    </row>
    <row r="255" spans="1:9">
      <c r="A255" s="287" t="s">
        <v>3907</v>
      </c>
      <c r="B255" s="287">
        <v>1818509690</v>
      </c>
      <c r="C255" s="288">
        <v>500</v>
      </c>
      <c r="D255" s="288">
        <v>500</v>
      </c>
      <c r="E255" s="288">
        <v>500</v>
      </c>
      <c r="F255" s="288">
        <v>500</v>
      </c>
      <c r="G255" s="289">
        <v>0</v>
      </c>
      <c r="H255" s="288">
        <v>0</v>
      </c>
      <c r="I255" s="290">
        <v>0</v>
      </c>
    </row>
    <row r="256" spans="1:9">
      <c r="A256" s="287" t="s">
        <v>3907</v>
      </c>
      <c r="B256" s="287">
        <v>1818509752</v>
      </c>
      <c r="C256" s="288">
        <v>500</v>
      </c>
      <c r="D256" s="288">
        <v>500</v>
      </c>
      <c r="E256" s="288">
        <v>500</v>
      </c>
      <c r="F256" s="288">
        <v>500</v>
      </c>
      <c r="G256" s="289">
        <v>0</v>
      </c>
      <c r="H256" s="288">
        <v>0</v>
      </c>
      <c r="I256" s="290">
        <v>0</v>
      </c>
    </row>
    <row r="257" spans="1:9">
      <c r="A257" s="287" t="s">
        <v>3907</v>
      </c>
      <c r="B257" s="287">
        <v>1818509763</v>
      </c>
      <c r="C257" s="288">
        <v>500</v>
      </c>
      <c r="D257" s="288">
        <v>500</v>
      </c>
      <c r="E257" s="288">
        <v>500</v>
      </c>
      <c r="F257" s="288">
        <v>500</v>
      </c>
      <c r="G257" s="289">
        <v>0</v>
      </c>
      <c r="H257" s="288">
        <v>0</v>
      </c>
      <c r="I257" s="290">
        <v>0</v>
      </c>
    </row>
    <row r="258" spans="1:9">
      <c r="A258" s="287" t="s">
        <v>3907</v>
      </c>
      <c r="B258" s="287">
        <v>1818509830</v>
      </c>
      <c r="C258" s="288">
        <v>500</v>
      </c>
      <c r="D258" s="288">
        <v>500</v>
      </c>
      <c r="E258" s="288">
        <v>500</v>
      </c>
      <c r="F258" s="288">
        <v>500</v>
      </c>
      <c r="G258" s="289">
        <v>0</v>
      </c>
      <c r="H258" s="288">
        <v>0</v>
      </c>
      <c r="I258" s="290">
        <v>0</v>
      </c>
    </row>
    <row r="259" spans="1:9">
      <c r="A259" s="287" t="s">
        <v>3907</v>
      </c>
      <c r="B259" s="287">
        <v>1818509668</v>
      </c>
      <c r="C259" s="288">
        <v>500</v>
      </c>
      <c r="D259" s="288">
        <v>500</v>
      </c>
      <c r="E259" s="288">
        <v>500</v>
      </c>
      <c r="F259" s="288">
        <v>500</v>
      </c>
      <c r="G259" s="289">
        <v>0</v>
      </c>
      <c r="H259" s="288">
        <v>0</v>
      </c>
      <c r="I259" s="290">
        <v>0</v>
      </c>
    </row>
    <row r="260" spans="1:9">
      <c r="A260" s="287" t="s">
        <v>3907</v>
      </c>
      <c r="B260" s="287">
        <v>1818509684</v>
      </c>
      <c r="C260" s="288">
        <v>500</v>
      </c>
      <c r="D260" s="288">
        <v>500</v>
      </c>
      <c r="E260" s="288">
        <v>500</v>
      </c>
      <c r="F260" s="288">
        <v>500</v>
      </c>
      <c r="G260" s="289">
        <v>0</v>
      </c>
      <c r="H260" s="288">
        <v>0</v>
      </c>
      <c r="I260" s="290">
        <v>0</v>
      </c>
    </row>
    <row r="261" spans="1:9">
      <c r="A261" s="287" t="s">
        <v>3907</v>
      </c>
      <c r="B261" s="287">
        <v>1818509790</v>
      </c>
      <c r="C261" s="288">
        <v>500</v>
      </c>
      <c r="D261" s="288">
        <v>500</v>
      </c>
      <c r="E261" s="288">
        <v>500</v>
      </c>
      <c r="F261" s="288">
        <v>500</v>
      </c>
      <c r="G261" s="289">
        <v>0</v>
      </c>
      <c r="H261" s="288">
        <v>0</v>
      </c>
      <c r="I261" s="290">
        <v>0</v>
      </c>
    </row>
    <row r="262" spans="1:9">
      <c r="A262" s="287" t="s">
        <v>3907</v>
      </c>
      <c r="B262" s="287">
        <v>1818509680</v>
      </c>
      <c r="C262" s="288">
        <v>500</v>
      </c>
      <c r="D262" s="288">
        <v>500</v>
      </c>
      <c r="E262" s="288">
        <v>500</v>
      </c>
      <c r="F262" s="288">
        <v>500</v>
      </c>
      <c r="G262" s="289">
        <v>0</v>
      </c>
      <c r="H262" s="288">
        <v>0</v>
      </c>
      <c r="I262" s="290">
        <v>0</v>
      </c>
    </row>
    <row r="263" spans="1:9">
      <c r="A263" s="287" t="s">
        <v>3907</v>
      </c>
      <c r="B263" s="287">
        <v>1818509718</v>
      </c>
      <c r="C263" s="288">
        <v>500</v>
      </c>
      <c r="D263" s="288">
        <v>500</v>
      </c>
      <c r="E263" s="288">
        <v>500</v>
      </c>
      <c r="F263" s="288">
        <v>500</v>
      </c>
      <c r="G263" s="289">
        <v>0</v>
      </c>
      <c r="H263" s="288">
        <v>0</v>
      </c>
      <c r="I263" s="290">
        <v>0</v>
      </c>
    </row>
    <row r="264" spans="1:9">
      <c r="A264" s="287" t="s">
        <v>3907</v>
      </c>
      <c r="B264" s="287">
        <v>3842528304</v>
      </c>
      <c r="C264" s="288">
        <v>38.340000000000003</v>
      </c>
      <c r="D264" s="288">
        <v>38.340000000000003</v>
      </c>
      <c r="E264" s="288">
        <v>38.340000000000003</v>
      </c>
      <c r="F264" s="288">
        <v>38.340000000000003</v>
      </c>
      <c r="G264" s="289">
        <v>0</v>
      </c>
      <c r="H264" s="288">
        <v>0</v>
      </c>
      <c r="I264" s="290">
        <v>0</v>
      </c>
    </row>
    <row r="265" spans="1:9">
      <c r="A265" s="287" t="s">
        <v>3907</v>
      </c>
      <c r="B265" s="287">
        <v>1818509087</v>
      </c>
      <c r="C265" s="288">
        <v>23.04</v>
      </c>
      <c r="D265" s="288">
        <v>23.04</v>
      </c>
      <c r="E265" s="288">
        <v>23.04</v>
      </c>
      <c r="F265" s="288">
        <v>23.04</v>
      </c>
      <c r="G265" s="289">
        <v>0</v>
      </c>
      <c r="H265" s="288">
        <v>0</v>
      </c>
      <c r="I265" s="290">
        <v>0</v>
      </c>
    </row>
    <row r="266" spans="1:9">
      <c r="A266" s="287" t="s">
        <v>3907</v>
      </c>
      <c r="B266" s="287" t="s">
        <v>3916</v>
      </c>
      <c r="C266" s="288">
        <v>7.2</v>
      </c>
      <c r="D266" s="288">
        <v>7.2</v>
      </c>
      <c r="E266" s="288">
        <v>7.2</v>
      </c>
      <c r="F266" s="288">
        <v>7.2</v>
      </c>
      <c r="G266" s="289">
        <v>0</v>
      </c>
      <c r="H266" s="288">
        <v>0</v>
      </c>
      <c r="I266" s="290">
        <v>0</v>
      </c>
    </row>
    <row r="267" spans="1:9">
      <c r="A267" s="287" t="s">
        <v>3907</v>
      </c>
      <c r="B267" s="287" t="s">
        <v>56</v>
      </c>
      <c r="C267" s="288">
        <v>4.32</v>
      </c>
      <c r="D267" s="288">
        <v>4.32</v>
      </c>
      <c r="E267" s="288">
        <v>4.32</v>
      </c>
      <c r="F267" s="288">
        <v>4.32</v>
      </c>
      <c r="G267" s="289">
        <v>0</v>
      </c>
      <c r="H267" s="288">
        <v>0</v>
      </c>
      <c r="I267" s="290">
        <v>0</v>
      </c>
    </row>
    <row r="268" spans="1:9">
      <c r="A268" s="287" t="s">
        <v>3907</v>
      </c>
      <c r="B268" s="287" t="s">
        <v>55</v>
      </c>
      <c r="C268" s="288">
        <v>7.28</v>
      </c>
      <c r="D268" s="288">
        <v>7.28</v>
      </c>
      <c r="E268" s="288">
        <v>7.28</v>
      </c>
      <c r="F268" s="288">
        <v>7.28</v>
      </c>
      <c r="G268" s="289">
        <v>0</v>
      </c>
      <c r="H268" s="288">
        <v>0</v>
      </c>
      <c r="I268" s="290">
        <v>0</v>
      </c>
    </row>
    <row r="269" spans="1:9">
      <c r="A269" s="287" t="s">
        <v>3907</v>
      </c>
      <c r="B269" s="287" t="s">
        <v>978</v>
      </c>
      <c r="C269" s="288">
        <v>391.67</v>
      </c>
      <c r="D269" s="288">
        <v>391.67</v>
      </c>
      <c r="E269" s="288">
        <v>391.67</v>
      </c>
      <c r="F269" s="288">
        <v>125</v>
      </c>
      <c r="G269" s="289">
        <v>0</v>
      </c>
      <c r="H269" s="288">
        <v>0</v>
      </c>
      <c r="I269" s="290">
        <v>0</v>
      </c>
    </row>
    <row r="270" spans="1:9">
      <c r="A270" s="287" t="s">
        <v>3907</v>
      </c>
      <c r="B270" s="287" t="s">
        <v>984</v>
      </c>
      <c r="C270" s="288">
        <v>15.3</v>
      </c>
      <c r="D270" s="288">
        <v>15.3</v>
      </c>
      <c r="E270" s="288">
        <v>15.3</v>
      </c>
      <c r="F270" s="288">
        <v>15.3</v>
      </c>
      <c r="G270" s="289">
        <v>0</v>
      </c>
      <c r="H270" s="288">
        <v>0</v>
      </c>
      <c r="I270" s="290">
        <v>0</v>
      </c>
    </row>
    <row r="271" spans="1:9">
      <c r="A271" s="287" t="s">
        <v>3907</v>
      </c>
      <c r="B271" s="287" t="s">
        <v>986</v>
      </c>
      <c r="C271" s="288">
        <v>323.87</v>
      </c>
      <c r="D271" s="288">
        <v>323.87</v>
      </c>
      <c r="E271" s="288">
        <v>323.87</v>
      </c>
      <c r="F271" s="288">
        <v>57.2</v>
      </c>
      <c r="G271" s="289">
        <v>0</v>
      </c>
      <c r="H271" s="288">
        <v>0</v>
      </c>
      <c r="I271" s="290">
        <v>0</v>
      </c>
    </row>
    <row r="272" spans="1:9">
      <c r="A272" s="287" t="s">
        <v>3907</v>
      </c>
      <c r="B272" s="287" t="s">
        <v>975</v>
      </c>
      <c r="C272" s="288">
        <v>29.67</v>
      </c>
      <c r="D272" s="288">
        <v>29.67</v>
      </c>
      <c r="E272" s="288">
        <v>29.67</v>
      </c>
      <c r="F272" s="288">
        <v>29.67</v>
      </c>
      <c r="G272" s="289">
        <v>0</v>
      </c>
      <c r="H272" s="288">
        <v>0</v>
      </c>
      <c r="I272" s="290">
        <v>0</v>
      </c>
    </row>
    <row r="273" spans="1:9">
      <c r="A273" s="287" t="s">
        <v>3907</v>
      </c>
      <c r="B273" s="287" t="s">
        <v>1002</v>
      </c>
      <c r="C273" s="288">
        <v>16.12</v>
      </c>
      <c r="D273" s="288">
        <v>16.12</v>
      </c>
      <c r="E273" s="288">
        <v>16.12</v>
      </c>
      <c r="F273" s="288">
        <v>16.12</v>
      </c>
      <c r="G273" s="289">
        <v>0</v>
      </c>
      <c r="H273" s="288">
        <v>0</v>
      </c>
      <c r="I273" s="290">
        <v>0</v>
      </c>
    </row>
    <row r="274" spans="1:9">
      <c r="A274" s="287" t="s">
        <v>3907</v>
      </c>
      <c r="B274" s="287" t="s">
        <v>1004</v>
      </c>
      <c r="C274" s="288">
        <v>49.44</v>
      </c>
      <c r="D274" s="288">
        <v>49.44</v>
      </c>
      <c r="E274" s="288">
        <v>49.44</v>
      </c>
      <c r="F274" s="288">
        <v>49.44</v>
      </c>
      <c r="G274" s="289">
        <v>0</v>
      </c>
      <c r="H274" s="288">
        <v>0</v>
      </c>
      <c r="I274" s="290">
        <v>0</v>
      </c>
    </row>
    <row r="275" spans="1:9">
      <c r="A275" s="287" t="s">
        <v>3907</v>
      </c>
      <c r="B275" s="287" t="s">
        <v>951</v>
      </c>
      <c r="C275" s="288">
        <v>5.22</v>
      </c>
      <c r="D275" s="288">
        <v>5.22</v>
      </c>
      <c r="E275" s="288">
        <v>5.22</v>
      </c>
      <c r="F275" s="288">
        <v>5.22</v>
      </c>
      <c r="G275" s="289">
        <v>0</v>
      </c>
      <c r="H275" s="288">
        <v>0</v>
      </c>
      <c r="I275" s="290">
        <v>0</v>
      </c>
    </row>
    <row r="276" spans="1:9">
      <c r="A276" s="287" t="s">
        <v>3907</v>
      </c>
      <c r="B276" s="287" t="s">
        <v>963</v>
      </c>
      <c r="C276" s="288">
        <v>22.81</v>
      </c>
      <c r="D276" s="288">
        <v>22.81</v>
      </c>
      <c r="E276" s="288">
        <v>22.81</v>
      </c>
      <c r="F276" s="288">
        <v>22.81</v>
      </c>
      <c r="G276" s="289">
        <v>0</v>
      </c>
      <c r="H276" s="288">
        <v>0</v>
      </c>
      <c r="I276" s="290">
        <v>0</v>
      </c>
    </row>
    <row r="277" spans="1:9">
      <c r="A277" s="287" t="s">
        <v>3907</v>
      </c>
      <c r="B277" s="287" t="s">
        <v>980</v>
      </c>
      <c r="C277" s="288">
        <v>42.25</v>
      </c>
      <c r="D277" s="288">
        <v>42.25</v>
      </c>
      <c r="E277" s="288">
        <v>42.25</v>
      </c>
      <c r="F277" s="288">
        <v>42.25</v>
      </c>
      <c r="G277" s="289">
        <v>0</v>
      </c>
      <c r="H277" s="288">
        <v>0</v>
      </c>
      <c r="I277" s="290">
        <v>0</v>
      </c>
    </row>
    <row r="278" spans="1:9">
      <c r="A278" s="287" t="s">
        <v>3907</v>
      </c>
      <c r="B278" s="287" t="s">
        <v>992</v>
      </c>
      <c r="C278" s="288">
        <v>246.28</v>
      </c>
      <c r="D278" s="288">
        <v>246.28</v>
      </c>
      <c r="E278" s="288">
        <v>246.28</v>
      </c>
      <c r="F278" s="288">
        <v>11.31</v>
      </c>
      <c r="G278" s="289">
        <v>0</v>
      </c>
      <c r="H278" s="288">
        <v>0</v>
      </c>
      <c r="I278" s="290">
        <v>0</v>
      </c>
    </row>
    <row r="279" spans="1:9">
      <c r="A279" s="287" t="s">
        <v>3907</v>
      </c>
      <c r="B279" s="287" t="s">
        <v>994</v>
      </c>
      <c r="C279" s="288">
        <v>245.61</v>
      </c>
      <c r="D279" s="288">
        <v>245.61</v>
      </c>
      <c r="E279" s="288">
        <v>245.61</v>
      </c>
      <c r="F279" s="288">
        <v>245.61</v>
      </c>
      <c r="G279" s="289">
        <v>0</v>
      </c>
      <c r="H279" s="288">
        <v>0</v>
      </c>
      <c r="I279" s="290">
        <v>0</v>
      </c>
    </row>
    <row r="280" spans="1:9">
      <c r="A280" s="287" t="s">
        <v>3907</v>
      </c>
      <c r="B280" s="287" t="s">
        <v>955</v>
      </c>
      <c r="C280" s="288">
        <v>297.61</v>
      </c>
      <c r="D280" s="288">
        <v>297.61</v>
      </c>
      <c r="E280" s="288">
        <v>297.61</v>
      </c>
      <c r="F280" s="288">
        <v>297.61</v>
      </c>
      <c r="G280" s="289">
        <v>0</v>
      </c>
      <c r="H280" s="288">
        <v>0</v>
      </c>
      <c r="I280" s="290">
        <v>0</v>
      </c>
    </row>
    <row r="281" spans="1:9">
      <c r="A281" s="287" t="s">
        <v>3907</v>
      </c>
      <c r="B281" s="287" t="s">
        <v>957</v>
      </c>
      <c r="C281" s="288">
        <v>290.32</v>
      </c>
      <c r="D281" s="288">
        <v>290.32</v>
      </c>
      <c r="E281" s="288">
        <v>290.32</v>
      </c>
      <c r="F281" s="288">
        <v>290.32</v>
      </c>
      <c r="G281" s="289">
        <v>0</v>
      </c>
      <c r="H281" s="288">
        <v>0</v>
      </c>
      <c r="I281" s="290">
        <v>0</v>
      </c>
    </row>
    <row r="282" spans="1:9">
      <c r="A282" s="287" t="s">
        <v>3907</v>
      </c>
      <c r="B282" s="287" t="s">
        <v>959</v>
      </c>
      <c r="C282" s="288">
        <v>290.3</v>
      </c>
      <c r="D282" s="288">
        <v>290.3</v>
      </c>
      <c r="E282" s="288">
        <v>290.3</v>
      </c>
      <c r="F282" s="288">
        <v>290.3</v>
      </c>
      <c r="G282" s="289">
        <v>0</v>
      </c>
      <c r="H282" s="288">
        <v>0</v>
      </c>
      <c r="I282" s="290">
        <v>0</v>
      </c>
    </row>
    <row r="283" spans="1:9">
      <c r="A283" s="287" t="s">
        <v>3907</v>
      </c>
      <c r="B283" s="287" t="s">
        <v>988</v>
      </c>
      <c r="C283" s="288">
        <v>462.28</v>
      </c>
      <c r="D283" s="288">
        <v>462.28</v>
      </c>
      <c r="E283" s="288">
        <v>462.28</v>
      </c>
      <c r="F283" s="288">
        <v>462.28</v>
      </c>
      <c r="G283" s="289">
        <v>0</v>
      </c>
      <c r="H283" s="288">
        <v>0</v>
      </c>
      <c r="I283" s="290">
        <v>0</v>
      </c>
    </row>
    <row r="284" spans="1:9">
      <c r="A284" s="287" t="s">
        <v>3907</v>
      </c>
      <c r="B284" s="287" t="s">
        <v>913</v>
      </c>
      <c r="C284" s="288">
        <v>249.39</v>
      </c>
      <c r="D284" s="288">
        <v>249.39</v>
      </c>
      <c r="E284" s="288">
        <v>249.39</v>
      </c>
      <c r="F284" s="288">
        <v>249.39</v>
      </c>
      <c r="G284" s="289">
        <v>0</v>
      </c>
      <c r="H284" s="288">
        <v>0</v>
      </c>
      <c r="I284" s="290">
        <v>0</v>
      </c>
    </row>
    <row r="285" spans="1:9">
      <c r="A285" s="287" t="s">
        <v>3907</v>
      </c>
      <c r="B285" s="287" t="s">
        <v>916</v>
      </c>
      <c r="C285" s="288">
        <v>315.48</v>
      </c>
      <c r="D285" s="288">
        <v>315.48</v>
      </c>
      <c r="E285" s="288">
        <v>315.48</v>
      </c>
      <c r="F285" s="288">
        <v>315.48</v>
      </c>
      <c r="G285" s="289">
        <v>0</v>
      </c>
      <c r="H285" s="288">
        <v>0</v>
      </c>
      <c r="I285" s="290">
        <v>0</v>
      </c>
    </row>
    <row r="286" spans="1:9">
      <c r="A286" s="287" t="s">
        <v>3907</v>
      </c>
      <c r="B286" s="287" t="s">
        <v>920</v>
      </c>
      <c r="C286" s="288">
        <v>290.37</v>
      </c>
      <c r="D286" s="288">
        <v>290.37</v>
      </c>
      <c r="E286" s="288">
        <v>290.37</v>
      </c>
      <c r="F286" s="288">
        <v>290.37</v>
      </c>
      <c r="G286" s="289">
        <v>0</v>
      </c>
      <c r="H286" s="288">
        <v>0</v>
      </c>
      <c r="I286" s="290">
        <v>0</v>
      </c>
    </row>
    <row r="287" spans="1:9">
      <c r="A287" s="287" t="s">
        <v>3907</v>
      </c>
      <c r="B287" s="287" t="s">
        <v>953</v>
      </c>
      <c r="C287" s="288">
        <v>251.51</v>
      </c>
      <c r="D287" s="288">
        <v>251.51</v>
      </c>
      <c r="E287" s="288">
        <v>251.51</v>
      </c>
      <c r="F287" s="288">
        <v>251.51</v>
      </c>
      <c r="G287" s="289">
        <v>0</v>
      </c>
      <c r="H287" s="288">
        <v>0</v>
      </c>
      <c r="I287" s="290">
        <v>0</v>
      </c>
    </row>
    <row r="288" spans="1:9">
      <c r="A288" s="287" t="s">
        <v>3907</v>
      </c>
      <c r="B288" s="287">
        <v>1818509555</v>
      </c>
      <c r="C288" s="288">
        <v>134.26</v>
      </c>
      <c r="D288" s="288">
        <v>134.26</v>
      </c>
      <c r="E288" s="288">
        <v>134.26</v>
      </c>
      <c r="F288" s="288">
        <v>134.26</v>
      </c>
      <c r="G288" s="289">
        <v>0</v>
      </c>
      <c r="H288" s="288">
        <v>0</v>
      </c>
      <c r="I288" s="290">
        <v>0</v>
      </c>
    </row>
    <row r="289" spans="1:9">
      <c r="A289" s="287" t="s">
        <v>3907</v>
      </c>
      <c r="B289" s="287">
        <v>1818509563</v>
      </c>
      <c r="C289" s="288">
        <v>121.46</v>
      </c>
      <c r="D289" s="288">
        <v>121.46</v>
      </c>
      <c r="E289" s="288">
        <v>121.46</v>
      </c>
      <c r="F289" s="288">
        <v>121.46</v>
      </c>
      <c r="G289" s="289">
        <v>0</v>
      </c>
      <c r="H289" s="288">
        <v>0</v>
      </c>
      <c r="I289" s="290">
        <v>0</v>
      </c>
    </row>
    <row r="290" spans="1:9">
      <c r="A290" s="287" t="s">
        <v>3907</v>
      </c>
      <c r="B290" s="287">
        <v>1818509634</v>
      </c>
      <c r="C290" s="288">
        <v>88.98</v>
      </c>
      <c r="D290" s="288">
        <v>88.98</v>
      </c>
      <c r="E290" s="288">
        <v>88.98</v>
      </c>
      <c r="F290" s="288">
        <v>88.98</v>
      </c>
      <c r="G290" s="289">
        <v>0</v>
      </c>
      <c r="H290" s="288">
        <v>0</v>
      </c>
      <c r="I290" s="290">
        <v>0</v>
      </c>
    </row>
    <row r="291" spans="1:9">
      <c r="A291" s="287" t="s">
        <v>3907</v>
      </c>
      <c r="B291" s="287">
        <v>1818509276</v>
      </c>
      <c r="C291" s="288">
        <v>41.72</v>
      </c>
      <c r="D291" s="288">
        <v>41.72</v>
      </c>
      <c r="E291" s="288">
        <v>41.72</v>
      </c>
      <c r="F291" s="288">
        <v>41.72</v>
      </c>
      <c r="G291" s="289">
        <v>0</v>
      </c>
      <c r="H291" s="288">
        <v>0</v>
      </c>
      <c r="I291" s="290">
        <v>0</v>
      </c>
    </row>
    <row r="292" spans="1:9">
      <c r="A292" s="287" t="s">
        <v>3907</v>
      </c>
      <c r="B292" s="287">
        <v>1818509289</v>
      </c>
      <c r="C292" s="288">
        <v>54.33</v>
      </c>
      <c r="D292" s="288">
        <v>54.33</v>
      </c>
      <c r="E292" s="288">
        <v>54.33</v>
      </c>
      <c r="F292" s="288">
        <v>54.33</v>
      </c>
      <c r="G292" s="289">
        <v>0</v>
      </c>
      <c r="H292" s="288">
        <v>0</v>
      </c>
      <c r="I292" s="290">
        <v>0</v>
      </c>
    </row>
    <row r="293" spans="1:9">
      <c r="A293" s="287" t="s">
        <v>3907</v>
      </c>
      <c r="B293" s="287">
        <v>1818509508</v>
      </c>
      <c r="C293" s="288">
        <v>46.07</v>
      </c>
      <c r="D293" s="288">
        <v>46.07</v>
      </c>
      <c r="E293" s="288">
        <v>46.07</v>
      </c>
      <c r="F293" s="288">
        <v>46.07</v>
      </c>
      <c r="G293" s="289">
        <v>0</v>
      </c>
      <c r="H293" s="288">
        <v>0</v>
      </c>
      <c r="I293" s="290">
        <v>0</v>
      </c>
    </row>
    <row r="294" spans="1:9">
      <c r="A294" s="287" t="s">
        <v>3907</v>
      </c>
      <c r="B294" s="287">
        <v>1818509554</v>
      </c>
      <c r="C294" s="288">
        <v>115.82</v>
      </c>
      <c r="D294" s="288">
        <v>115.82</v>
      </c>
      <c r="E294" s="288">
        <v>115.82</v>
      </c>
      <c r="F294" s="288">
        <v>115.82</v>
      </c>
      <c r="G294" s="289">
        <v>0</v>
      </c>
      <c r="H294" s="288">
        <v>0</v>
      </c>
      <c r="I294" s="290">
        <v>0</v>
      </c>
    </row>
    <row r="295" spans="1:9">
      <c r="A295" s="287" t="s">
        <v>3907</v>
      </c>
      <c r="B295" s="287">
        <v>1818509497</v>
      </c>
      <c r="C295" s="288">
        <v>25.66</v>
      </c>
      <c r="D295" s="288">
        <v>25.66</v>
      </c>
      <c r="E295" s="288">
        <v>25.66</v>
      </c>
      <c r="F295" s="288">
        <v>25.66</v>
      </c>
      <c r="G295" s="289">
        <v>0</v>
      </c>
      <c r="H295" s="288">
        <v>0</v>
      </c>
      <c r="I295" s="290">
        <v>0</v>
      </c>
    </row>
    <row r="296" spans="1:9">
      <c r="A296" s="287" t="s">
        <v>3907</v>
      </c>
      <c r="B296" s="287">
        <v>1818509519</v>
      </c>
      <c r="C296" s="288">
        <v>22.64</v>
      </c>
      <c r="D296" s="288">
        <v>22.64</v>
      </c>
      <c r="E296" s="288">
        <v>22.64</v>
      </c>
      <c r="F296" s="288">
        <v>22.64</v>
      </c>
      <c r="G296" s="289">
        <v>0</v>
      </c>
      <c r="H296" s="288">
        <v>0</v>
      </c>
      <c r="I296" s="290">
        <v>0</v>
      </c>
    </row>
    <row r="297" spans="1:9">
      <c r="A297" s="287" t="s">
        <v>3907</v>
      </c>
      <c r="B297" s="287">
        <v>1818509665</v>
      </c>
      <c r="C297" s="288">
        <v>39.89</v>
      </c>
      <c r="D297" s="288">
        <v>39.89</v>
      </c>
      <c r="E297" s="288">
        <v>39.89</v>
      </c>
      <c r="F297" s="288">
        <v>39.89</v>
      </c>
      <c r="G297" s="289">
        <v>0</v>
      </c>
      <c r="H297" s="288">
        <v>0</v>
      </c>
      <c r="I297" s="290">
        <v>0</v>
      </c>
    </row>
    <row r="298" spans="1:9">
      <c r="A298" s="287" t="s">
        <v>3907</v>
      </c>
      <c r="B298" s="287">
        <v>1818509725</v>
      </c>
      <c r="C298" s="288">
        <v>28.37</v>
      </c>
      <c r="D298" s="288">
        <v>28.37</v>
      </c>
      <c r="E298" s="288">
        <v>28.37</v>
      </c>
      <c r="F298" s="288">
        <v>28.37</v>
      </c>
      <c r="G298" s="289">
        <v>0</v>
      </c>
      <c r="H298" s="288">
        <v>0</v>
      </c>
      <c r="I298" s="290">
        <v>0</v>
      </c>
    </row>
    <row r="299" spans="1:9">
      <c r="A299" s="287" t="s">
        <v>3907</v>
      </c>
      <c r="B299" s="287">
        <v>1818509164</v>
      </c>
      <c r="C299" s="288">
        <v>31.64</v>
      </c>
      <c r="D299" s="288">
        <v>31.64</v>
      </c>
      <c r="E299" s="288">
        <v>31.64</v>
      </c>
      <c r="F299" s="288">
        <v>31.64</v>
      </c>
      <c r="G299" s="289">
        <v>0</v>
      </c>
      <c r="H299" s="288">
        <v>0</v>
      </c>
      <c r="I299" s="290">
        <v>0</v>
      </c>
    </row>
    <row r="300" spans="1:9">
      <c r="A300" s="287" t="s">
        <v>3907</v>
      </c>
      <c r="B300" s="287">
        <v>1818509172</v>
      </c>
      <c r="C300" s="288">
        <v>20.02</v>
      </c>
      <c r="D300" s="288">
        <v>20.02</v>
      </c>
      <c r="E300" s="288">
        <v>20.02</v>
      </c>
      <c r="F300" s="288">
        <v>20.02</v>
      </c>
      <c r="G300" s="289">
        <v>0</v>
      </c>
      <c r="H300" s="288">
        <v>0</v>
      </c>
      <c r="I300" s="290">
        <v>0</v>
      </c>
    </row>
    <row r="301" spans="1:9">
      <c r="A301" s="287" t="s">
        <v>3907</v>
      </c>
      <c r="B301" s="287">
        <v>1810326006</v>
      </c>
      <c r="C301" s="288">
        <v>14.63</v>
      </c>
      <c r="D301" s="288">
        <v>14.63</v>
      </c>
      <c r="E301" s="288">
        <v>14.63</v>
      </c>
      <c r="F301" s="288">
        <v>14.63</v>
      </c>
      <c r="G301" s="289">
        <v>0</v>
      </c>
      <c r="H301" s="288">
        <v>0</v>
      </c>
      <c r="I301" s="290">
        <v>0</v>
      </c>
    </row>
    <row r="302" spans="1:9">
      <c r="A302" s="287" t="s">
        <v>3907</v>
      </c>
      <c r="B302" s="287">
        <v>1813218081</v>
      </c>
      <c r="C302" s="288">
        <v>31.29</v>
      </c>
      <c r="D302" s="288">
        <v>31.29</v>
      </c>
      <c r="E302" s="288">
        <v>31.29</v>
      </c>
      <c r="F302" s="288">
        <v>31.29</v>
      </c>
      <c r="G302" s="289">
        <v>0</v>
      </c>
      <c r="H302" s="288">
        <v>0</v>
      </c>
      <c r="I302" s="290">
        <v>0</v>
      </c>
    </row>
    <row r="303" spans="1:9">
      <c r="A303" s="287" t="s">
        <v>3907</v>
      </c>
      <c r="B303" s="287">
        <v>1818509091</v>
      </c>
      <c r="C303" s="288">
        <v>23.93</v>
      </c>
      <c r="D303" s="288">
        <v>23.93</v>
      </c>
      <c r="E303" s="288">
        <v>23.93</v>
      </c>
      <c r="F303" s="288">
        <v>23.93</v>
      </c>
      <c r="G303" s="289">
        <v>0</v>
      </c>
      <c r="H303" s="288">
        <v>0</v>
      </c>
      <c r="I303" s="290">
        <v>0</v>
      </c>
    </row>
    <row r="304" spans="1:9">
      <c r="A304" s="287" t="s">
        <v>3907</v>
      </c>
      <c r="B304" s="287">
        <v>1818509439</v>
      </c>
      <c r="C304" s="288">
        <v>3.66</v>
      </c>
      <c r="D304" s="288">
        <v>3.66</v>
      </c>
      <c r="E304" s="288">
        <v>3.66</v>
      </c>
      <c r="F304" s="288">
        <v>3.66</v>
      </c>
      <c r="G304" s="289">
        <v>0</v>
      </c>
      <c r="H304" s="288">
        <v>0</v>
      </c>
      <c r="I304" s="290">
        <v>0</v>
      </c>
    </row>
    <row r="305" spans="1:9">
      <c r="A305" s="287" t="s">
        <v>3907</v>
      </c>
      <c r="B305" s="287">
        <v>1818509661</v>
      </c>
      <c r="C305" s="288">
        <v>12.51</v>
      </c>
      <c r="D305" s="288">
        <v>12.51</v>
      </c>
      <c r="E305" s="288">
        <v>12.51</v>
      </c>
      <c r="F305" s="288">
        <v>12.51</v>
      </c>
      <c r="G305" s="289">
        <v>0</v>
      </c>
      <c r="H305" s="288">
        <v>0</v>
      </c>
      <c r="I305" s="290">
        <v>0</v>
      </c>
    </row>
    <row r="306" spans="1:9">
      <c r="A306" s="287" t="s">
        <v>3907</v>
      </c>
      <c r="B306" s="287">
        <v>1818509133</v>
      </c>
      <c r="C306" s="288">
        <v>22.49</v>
      </c>
      <c r="D306" s="288">
        <v>22.49</v>
      </c>
      <c r="E306" s="288">
        <v>22.49</v>
      </c>
      <c r="F306" s="288">
        <v>22.49</v>
      </c>
      <c r="G306" s="289">
        <v>0</v>
      </c>
      <c r="H306" s="288">
        <v>0</v>
      </c>
      <c r="I306" s="290">
        <v>0</v>
      </c>
    </row>
    <row r="307" spans="1:9">
      <c r="A307" s="287" t="s">
        <v>3907</v>
      </c>
      <c r="B307" s="287">
        <v>1818509138</v>
      </c>
      <c r="C307" s="288">
        <v>22.39</v>
      </c>
      <c r="D307" s="288">
        <v>22.39</v>
      </c>
      <c r="E307" s="288">
        <v>22.39</v>
      </c>
      <c r="F307" s="288">
        <v>22.39</v>
      </c>
      <c r="G307" s="289">
        <v>0</v>
      </c>
      <c r="H307" s="288">
        <v>0</v>
      </c>
      <c r="I307" s="290">
        <v>0</v>
      </c>
    </row>
    <row r="308" spans="1:9">
      <c r="A308" s="287" t="s">
        <v>3907</v>
      </c>
      <c r="B308" s="287">
        <v>1818509251</v>
      </c>
      <c r="C308" s="288">
        <v>68.23</v>
      </c>
      <c r="D308" s="288">
        <v>68.23</v>
      </c>
      <c r="E308" s="288">
        <v>68.23</v>
      </c>
      <c r="F308" s="288">
        <v>68.23</v>
      </c>
      <c r="G308" s="289">
        <v>0</v>
      </c>
      <c r="H308" s="288">
        <v>0</v>
      </c>
      <c r="I308" s="290">
        <v>0</v>
      </c>
    </row>
    <row r="309" spans="1:9">
      <c r="A309" s="287" t="s">
        <v>3907</v>
      </c>
      <c r="B309" s="287">
        <v>1818509265</v>
      </c>
      <c r="C309" s="288">
        <v>69.319999999999993</v>
      </c>
      <c r="D309" s="288">
        <v>69.319999999999993</v>
      </c>
      <c r="E309" s="288">
        <v>69.319999999999993</v>
      </c>
      <c r="F309" s="288">
        <v>69.319999999999993</v>
      </c>
      <c r="G309" s="289">
        <v>0</v>
      </c>
      <c r="H309" s="288">
        <v>0</v>
      </c>
      <c r="I309" s="290">
        <v>0</v>
      </c>
    </row>
    <row r="310" spans="1:9">
      <c r="A310" s="287" t="s">
        <v>3907</v>
      </c>
      <c r="B310" s="287">
        <v>1818509503</v>
      </c>
      <c r="C310" s="288">
        <v>62.59</v>
      </c>
      <c r="D310" s="288">
        <v>62.59</v>
      </c>
      <c r="E310" s="288">
        <v>62.59</v>
      </c>
      <c r="F310" s="288">
        <v>62.59</v>
      </c>
      <c r="G310" s="289">
        <v>0</v>
      </c>
      <c r="H310" s="288">
        <v>0</v>
      </c>
      <c r="I310" s="290">
        <v>0</v>
      </c>
    </row>
    <row r="311" spans="1:9">
      <c r="A311" s="287"/>
      <c r="B311" s="287"/>
      <c r="C311" s="288"/>
      <c r="D311" s="288"/>
      <c r="E311" s="288"/>
      <c r="F311" s="288"/>
      <c r="G311" s="289"/>
      <c r="H311" s="288"/>
      <c r="I311" s="290"/>
    </row>
    <row r="312" spans="1:9">
      <c r="A312" s="287" t="s">
        <v>3907</v>
      </c>
      <c r="B312" s="287">
        <v>1535100045</v>
      </c>
      <c r="C312" s="288">
        <v>4.8</v>
      </c>
      <c r="D312" s="288">
        <v>4.8</v>
      </c>
      <c r="E312" s="288">
        <v>4.8</v>
      </c>
      <c r="F312" s="288">
        <v>4.8</v>
      </c>
      <c r="G312" s="289">
        <v>0</v>
      </c>
      <c r="H312" s="288">
        <v>0</v>
      </c>
      <c r="I312" s="290">
        <v>0</v>
      </c>
    </row>
    <row r="313" spans="1:9">
      <c r="A313" s="287" t="s">
        <v>3907</v>
      </c>
      <c r="B313" s="287">
        <v>1535100046</v>
      </c>
      <c r="C313" s="288">
        <v>50.87</v>
      </c>
      <c r="D313" s="288">
        <v>50.87</v>
      </c>
      <c r="E313" s="288">
        <v>50.87</v>
      </c>
      <c r="F313" s="288">
        <v>50.87</v>
      </c>
      <c r="G313" s="289">
        <v>0</v>
      </c>
      <c r="H313" s="288">
        <v>0</v>
      </c>
      <c r="I313" s="290">
        <v>0</v>
      </c>
    </row>
    <row r="314" spans="1:9">
      <c r="A314" s="287" t="s">
        <v>3907</v>
      </c>
      <c r="B314" s="287">
        <v>1818509618</v>
      </c>
      <c r="C314" s="288">
        <v>16.66</v>
      </c>
      <c r="D314" s="288">
        <v>16.66</v>
      </c>
      <c r="E314" s="288">
        <v>16.66</v>
      </c>
      <c r="F314" s="288">
        <v>16.66</v>
      </c>
      <c r="G314" s="289">
        <v>0</v>
      </c>
      <c r="H314" s="288">
        <v>0</v>
      </c>
      <c r="I314" s="290">
        <v>0</v>
      </c>
    </row>
    <row r="315" spans="1:9">
      <c r="A315" s="287" t="s">
        <v>3907</v>
      </c>
      <c r="B315" s="287">
        <v>1818509704</v>
      </c>
      <c r="C315" s="288">
        <v>52.9</v>
      </c>
      <c r="D315" s="288">
        <v>52.9</v>
      </c>
      <c r="E315" s="288">
        <v>52.9</v>
      </c>
      <c r="F315" s="288">
        <v>52.9</v>
      </c>
      <c r="G315" s="289">
        <v>0</v>
      </c>
      <c r="H315" s="288">
        <v>0</v>
      </c>
      <c r="I315" s="290">
        <v>0</v>
      </c>
    </row>
    <row r="316" spans="1:9">
      <c r="A316" s="287" t="s">
        <v>3907</v>
      </c>
      <c r="B316" s="287">
        <v>1818509748</v>
      </c>
      <c r="C316" s="288">
        <v>27.98</v>
      </c>
      <c r="D316" s="288">
        <v>27.98</v>
      </c>
      <c r="E316" s="288">
        <v>27.98</v>
      </c>
      <c r="F316" s="288">
        <v>27.98</v>
      </c>
      <c r="G316" s="289">
        <v>0</v>
      </c>
      <c r="H316" s="288">
        <v>0</v>
      </c>
      <c r="I316" s="290">
        <v>0</v>
      </c>
    </row>
    <row r="317" spans="1:9">
      <c r="A317" s="287" t="s">
        <v>3907</v>
      </c>
      <c r="B317" s="287">
        <v>1813218040</v>
      </c>
      <c r="C317" s="288">
        <v>46.36</v>
      </c>
      <c r="D317" s="288">
        <v>46.36</v>
      </c>
      <c r="E317" s="288">
        <v>46.36</v>
      </c>
      <c r="F317" s="288">
        <v>46.36</v>
      </c>
      <c r="G317" s="289">
        <v>0</v>
      </c>
      <c r="H317" s="288">
        <v>0</v>
      </c>
      <c r="I317" s="290">
        <v>0</v>
      </c>
    </row>
    <row r="318" spans="1:9">
      <c r="A318" s="287" t="s">
        <v>3907</v>
      </c>
      <c r="B318" s="287">
        <v>1813218042</v>
      </c>
      <c r="C318" s="288">
        <v>41.81</v>
      </c>
      <c r="D318" s="288">
        <v>41.81</v>
      </c>
      <c r="E318" s="288">
        <v>41.81</v>
      </c>
      <c r="F318" s="288">
        <v>41.81</v>
      </c>
      <c r="G318" s="289">
        <v>0</v>
      </c>
      <c r="H318" s="288">
        <v>0</v>
      </c>
      <c r="I318" s="290">
        <v>0</v>
      </c>
    </row>
    <row r="319" spans="1:9">
      <c r="A319" s="287" t="s">
        <v>3907</v>
      </c>
      <c r="B319" s="287">
        <v>1813218044</v>
      </c>
      <c r="C319" s="288">
        <v>70.11</v>
      </c>
      <c r="D319" s="288">
        <v>70.11</v>
      </c>
      <c r="E319" s="288">
        <v>70.11</v>
      </c>
      <c r="F319" s="288">
        <v>70.11</v>
      </c>
      <c r="G319" s="289">
        <v>0</v>
      </c>
      <c r="H319" s="288">
        <v>0</v>
      </c>
      <c r="I319" s="290">
        <v>0</v>
      </c>
    </row>
    <row r="320" spans="1:9">
      <c r="A320" s="287" t="s">
        <v>3907</v>
      </c>
      <c r="B320" s="287">
        <v>1813218050</v>
      </c>
      <c r="C320" s="288">
        <v>40.869999999999997</v>
      </c>
      <c r="D320" s="288">
        <v>40.869999999999997</v>
      </c>
      <c r="E320" s="288">
        <v>40.869999999999997</v>
      </c>
      <c r="F320" s="288">
        <v>40.869999999999997</v>
      </c>
      <c r="G320" s="289">
        <v>0</v>
      </c>
      <c r="H320" s="288">
        <v>0</v>
      </c>
      <c r="I320" s="290">
        <v>0</v>
      </c>
    </row>
    <row r="321" spans="1:9">
      <c r="A321" s="287" t="s">
        <v>3907</v>
      </c>
      <c r="B321" s="287">
        <v>1818509193</v>
      </c>
      <c r="C321" s="288">
        <v>16.170000000000002</v>
      </c>
      <c r="D321" s="288">
        <v>16.170000000000002</v>
      </c>
      <c r="E321" s="288">
        <v>16.170000000000002</v>
      </c>
      <c r="F321" s="288">
        <v>16.170000000000002</v>
      </c>
      <c r="G321" s="289">
        <v>0</v>
      </c>
      <c r="H321" s="288">
        <v>0</v>
      </c>
      <c r="I321" s="290">
        <v>0</v>
      </c>
    </row>
    <row r="322" spans="1:9">
      <c r="A322" s="287" t="s">
        <v>3907</v>
      </c>
      <c r="B322" s="287">
        <v>1818509512</v>
      </c>
      <c r="C322" s="288">
        <v>16.12</v>
      </c>
      <c r="D322" s="288">
        <v>16.12</v>
      </c>
      <c r="E322" s="288">
        <v>16.12</v>
      </c>
      <c r="F322" s="288">
        <v>16.12</v>
      </c>
      <c r="G322" s="289">
        <v>0</v>
      </c>
      <c r="H322" s="288">
        <v>0</v>
      </c>
      <c r="I322" s="290">
        <v>0</v>
      </c>
    </row>
    <row r="323" spans="1:9">
      <c r="A323" s="287" t="s">
        <v>3907</v>
      </c>
      <c r="B323" s="287" t="s">
        <v>351</v>
      </c>
      <c r="C323" s="288">
        <v>41.64</v>
      </c>
      <c r="D323" s="288">
        <v>41.64</v>
      </c>
      <c r="E323" s="288">
        <v>41.64</v>
      </c>
      <c r="F323" s="288">
        <v>41.64</v>
      </c>
      <c r="G323" s="289">
        <v>0</v>
      </c>
      <c r="H323" s="288">
        <v>0</v>
      </c>
      <c r="I323" s="290">
        <v>0</v>
      </c>
    </row>
    <row r="324" spans="1:9">
      <c r="A324" s="287" t="s">
        <v>3907</v>
      </c>
      <c r="B324" s="287">
        <v>1818509516</v>
      </c>
      <c r="C324" s="288">
        <v>16.27</v>
      </c>
      <c r="D324" s="288">
        <v>16.27</v>
      </c>
      <c r="E324" s="288">
        <v>16.27</v>
      </c>
      <c r="F324" s="288">
        <v>16.27</v>
      </c>
      <c r="G324" s="289">
        <v>0</v>
      </c>
      <c r="H324" s="288">
        <v>0</v>
      </c>
      <c r="I324" s="290">
        <v>0</v>
      </c>
    </row>
    <row r="325" spans="1:9">
      <c r="A325" s="287" t="s">
        <v>3907</v>
      </c>
      <c r="B325" s="287" t="s">
        <v>329</v>
      </c>
      <c r="C325" s="288"/>
      <c r="D325" s="288"/>
      <c r="E325" s="288"/>
      <c r="F325" s="288"/>
      <c r="G325" s="289">
        <v>0</v>
      </c>
      <c r="H325" s="288">
        <v>0</v>
      </c>
      <c r="I325" s="290">
        <v>0</v>
      </c>
    </row>
    <row r="326" spans="1:9">
      <c r="A326" s="287" t="s">
        <v>3907</v>
      </c>
      <c r="B326" s="287" t="s">
        <v>54</v>
      </c>
      <c r="C326" s="288">
        <v>5.81</v>
      </c>
      <c r="D326" s="288">
        <v>5.81</v>
      </c>
      <c r="E326" s="288">
        <v>5.81</v>
      </c>
      <c r="F326" s="288">
        <v>5.81</v>
      </c>
      <c r="G326" s="289">
        <v>0</v>
      </c>
      <c r="H326" s="288">
        <v>0</v>
      </c>
      <c r="I326" s="290">
        <v>0</v>
      </c>
    </row>
    <row r="327" spans="1:9">
      <c r="A327" s="293" t="s">
        <v>3917</v>
      </c>
      <c r="B327" s="287">
        <v>10099530</v>
      </c>
      <c r="C327" s="288">
        <v>104.51</v>
      </c>
      <c r="D327" s="288">
        <v>104.51</v>
      </c>
      <c r="E327" s="288">
        <v>104.51</v>
      </c>
      <c r="F327" s="288">
        <v>104.51</v>
      </c>
      <c r="G327" s="289">
        <v>0</v>
      </c>
      <c r="H327" s="288">
        <v>0</v>
      </c>
      <c r="I327" s="290">
        <v>0</v>
      </c>
    </row>
    <row r="328" spans="1:9">
      <c r="A328" s="287" t="s">
        <v>58</v>
      </c>
      <c r="B328" s="287" t="s">
        <v>3918</v>
      </c>
      <c r="C328" s="288">
        <v>3.17</v>
      </c>
      <c r="D328" s="288">
        <v>3.17</v>
      </c>
      <c r="E328" s="288">
        <v>3.17</v>
      </c>
      <c r="F328" s="288">
        <v>3.17</v>
      </c>
      <c r="G328" s="289">
        <v>0</v>
      </c>
      <c r="H328" s="288">
        <v>0</v>
      </c>
      <c r="I328" s="290">
        <v>0</v>
      </c>
    </row>
    <row r="329" spans="1:9">
      <c r="A329" s="287" t="s">
        <v>58</v>
      </c>
      <c r="B329" s="293" t="s">
        <v>1114</v>
      </c>
      <c r="C329" s="294">
        <v>4.49</v>
      </c>
      <c r="D329" s="294">
        <v>4.49</v>
      </c>
      <c r="E329" s="294">
        <v>4.49</v>
      </c>
      <c r="F329" s="294">
        <v>4.49</v>
      </c>
      <c r="G329" s="289">
        <v>0</v>
      </c>
      <c r="H329" s="288">
        <v>0</v>
      </c>
      <c r="I329" s="290">
        <v>0</v>
      </c>
    </row>
    <row r="330" spans="1:9">
      <c r="A330" s="287" t="s">
        <v>58</v>
      </c>
      <c r="B330" s="293" t="s">
        <v>2125</v>
      </c>
      <c r="C330" s="294">
        <v>630.4</v>
      </c>
      <c r="D330" s="294">
        <v>630.4</v>
      </c>
      <c r="E330" s="294">
        <v>630.4</v>
      </c>
      <c r="F330" s="294">
        <v>630.4</v>
      </c>
      <c r="G330" s="289">
        <v>0</v>
      </c>
      <c r="H330" s="288">
        <v>0</v>
      </c>
      <c r="I330" s="290">
        <v>0</v>
      </c>
    </row>
    <row r="331" spans="1:9">
      <c r="A331" s="287" t="s">
        <v>58</v>
      </c>
      <c r="B331" s="293" t="s">
        <v>2136</v>
      </c>
      <c r="C331" s="294">
        <v>531.12</v>
      </c>
      <c r="D331" s="294">
        <v>531.12</v>
      </c>
      <c r="E331" s="294">
        <v>531.12</v>
      </c>
      <c r="F331" s="294">
        <v>531.12</v>
      </c>
      <c r="G331" s="289">
        <v>0</v>
      </c>
      <c r="H331" s="288">
        <v>0</v>
      </c>
      <c r="I331" s="290">
        <v>0</v>
      </c>
    </row>
    <row r="332" spans="1:9">
      <c r="A332" s="287" t="s">
        <v>58</v>
      </c>
      <c r="B332" s="293" t="s">
        <v>3205</v>
      </c>
      <c r="C332" s="294">
        <f>2613/5</f>
        <v>522.6</v>
      </c>
      <c r="D332" s="294">
        <f t="shared" ref="D332:F332" si="1">2613/5</f>
        <v>522.6</v>
      </c>
      <c r="E332" s="294">
        <f t="shared" si="1"/>
        <v>522.6</v>
      </c>
      <c r="F332" s="294">
        <f t="shared" si="1"/>
        <v>522.6</v>
      </c>
      <c r="G332" s="289">
        <v>0</v>
      </c>
      <c r="H332" s="288">
        <v>0</v>
      </c>
      <c r="I332" s="290">
        <v>0</v>
      </c>
    </row>
    <row r="333" spans="1:9">
      <c r="A333" s="287" t="s">
        <v>58</v>
      </c>
      <c r="B333" s="293" t="s">
        <v>3919</v>
      </c>
      <c r="C333" s="294">
        <v>47.15</v>
      </c>
      <c r="D333" s="294">
        <v>47.15</v>
      </c>
      <c r="E333" s="294">
        <v>47.15</v>
      </c>
      <c r="F333" s="294">
        <v>47.15</v>
      </c>
      <c r="G333" s="289">
        <v>0</v>
      </c>
      <c r="H333" s="288">
        <v>0</v>
      </c>
      <c r="I333" s="290">
        <v>0</v>
      </c>
    </row>
    <row r="334" spans="1:9">
      <c r="A334" s="287" t="s">
        <v>58</v>
      </c>
      <c r="B334" s="299" t="s">
        <v>3920</v>
      </c>
      <c r="C334" s="294">
        <v>46.4</v>
      </c>
      <c r="D334" s="294">
        <v>46.4</v>
      </c>
      <c r="E334" s="294">
        <v>46.4</v>
      </c>
      <c r="F334" s="294">
        <v>46.4</v>
      </c>
      <c r="G334" s="289">
        <v>0</v>
      </c>
      <c r="H334" s="288">
        <v>0</v>
      </c>
      <c r="I334" s="290">
        <v>0</v>
      </c>
    </row>
    <row r="335" spans="1:9">
      <c r="A335" s="287" t="s">
        <v>58</v>
      </c>
      <c r="B335" s="293" t="s">
        <v>3921</v>
      </c>
      <c r="C335" s="300">
        <v>32.590000000000003</v>
      </c>
      <c r="D335" s="301">
        <v>32.590000000000003</v>
      </c>
      <c r="E335" s="301">
        <v>32.590000000000003</v>
      </c>
      <c r="F335" s="301">
        <v>32.590000000000003</v>
      </c>
      <c r="G335" s="289">
        <v>0</v>
      </c>
      <c r="H335" s="288">
        <v>0</v>
      </c>
      <c r="I335" s="290">
        <v>0</v>
      </c>
    </row>
    <row r="336" spans="1:9">
      <c r="A336" s="287" t="s">
        <v>58</v>
      </c>
      <c r="B336" s="293">
        <v>1626520800</v>
      </c>
      <c r="C336" s="294">
        <v>9.5299999999999994</v>
      </c>
      <c r="D336" s="294">
        <v>9.5299999999999994</v>
      </c>
      <c r="E336" s="294">
        <v>9.5299999999999994</v>
      </c>
      <c r="F336" s="294">
        <v>9.5299999999999994</v>
      </c>
      <c r="G336" s="289">
        <v>0</v>
      </c>
      <c r="H336" s="288">
        <v>0</v>
      </c>
      <c r="I336" s="290">
        <v>0</v>
      </c>
    </row>
    <row r="337" spans="1:9">
      <c r="A337" s="287" t="s">
        <v>58</v>
      </c>
      <c r="B337" s="299" t="s">
        <v>3922</v>
      </c>
      <c r="C337" s="294">
        <v>9.92</v>
      </c>
      <c r="D337" s="294">
        <v>9.92</v>
      </c>
      <c r="E337" s="294">
        <v>9.92</v>
      </c>
      <c r="F337" s="294">
        <v>9.92</v>
      </c>
      <c r="G337" s="289">
        <v>0</v>
      </c>
      <c r="H337" s="288">
        <v>0</v>
      </c>
      <c r="I337" s="290">
        <v>0</v>
      </c>
    </row>
    <row r="338" spans="1:9">
      <c r="A338" s="287" t="s">
        <v>58</v>
      </c>
      <c r="B338" s="299" t="s">
        <v>3923</v>
      </c>
      <c r="C338" s="294">
        <v>7.99</v>
      </c>
      <c r="D338" s="294">
        <v>7.99</v>
      </c>
      <c r="E338" s="294">
        <v>7.99</v>
      </c>
      <c r="F338" s="294">
        <v>7.99</v>
      </c>
      <c r="G338" s="289">
        <v>0</v>
      </c>
      <c r="H338" s="288">
        <v>0</v>
      </c>
      <c r="I338" s="290">
        <v>0</v>
      </c>
    </row>
    <row r="339" spans="1:9">
      <c r="A339" s="287" t="s">
        <v>58</v>
      </c>
      <c r="B339" s="299" t="s">
        <v>3924</v>
      </c>
      <c r="C339" s="294">
        <v>10.45</v>
      </c>
      <c r="D339" s="294">
        <v>10.45</v>
      </c>
      <c r="E339" s="294">
        <v>10.45</v>
      </c>
      <c r="F339" s="294">
        <v>10.45</v>
      </c>
      <c r="G339" s="289">
        <v>0</v>
      </c>
      <c r="H339" s="288">
        <v>0</v>
      </c>
      <c r="I339" s="290">
        <v>0</v>
      </c>
    </row>
    <row r="340" spans="1:9">
      <c r="A340" s="287" t="s">
        <v>58</v>
      </c>
      <c r="B340" s="299" t="s">
        <v>3925</v>
      </c>
      <c r="C340" s="294">
        <v>7.43</v>
      </c>
      <c r="D340" s="294">
        <v>7.43</v>
      </c>
      <c r="E340" s="294">
        <v>7.43</v>
      </c>
      <c r="F340" s="294">
        <v>7.43</v>
      </c>
      <c r="G340" s="289">
        <v>0</v>
      </c>
      <c r="H340" s="288">
        <v>0</v>
      </c>
      <c r="I340" s="290">
        <v>0</v>
      </c>
    </row>
    <row r="341" spans="1:9">
      <c r="A341" s="287" t="s">
        <v>58</v>
      </c>
      <c r="B341" s="299" t="s">
        <v>3926</v>
      </c>
      <c r="C341" s="294">
        <v>9.5299999999999994</v>
      </c>
      <c r="D341" s="294">
        <v>9.5299999999999994</v>
      </c>
      <c r="E341" s="294">
        <v>9.5299999999999994</v>
      </c>
      <c r="F341" s="294">
        <v>9.5299999999999994</v>
      </c>
      <c r="G341" s="289">
        <v>0</v>
      </c>
      <c r="H341" s="288">
        <v>0</v>
      </c>
      <c r="I341" s="290">
        <v>0</v>
      </c>
    </row>
    <row r="342" spans="1:9">
      <c r="A342" s="287" t="s">
        <v>58</v>
      </c>
      <c r="B342" s="299" t="s">
        <v>3927</v>
      </c>
      <c r="C342" s="294"/>
      <c r="D342" s="294"/>
      <c r="E342" s="294"/>
      <c r="F342" s="294"/>
      <c r="G342" s="289">
        <v>0</v>
      </c>
      <c r="H342" s="288">
        <v>0</v>
      </c>
      <c r="I342" s="290">
        <v>0</v>
      </c>
    </row>
    <row r="343" spans="1:9">
      <c r="A343" s="287" t="s">
        <v>58</v>
      </c>
      <c r="B343" s="299" t="s">
        <v>1083</v>
      </c>
      <c r="C343" s="294">
        <v>56.45</v>
      </c>
      <c r="D343" s="294">
        <v>56.45</v>
      </c>
      <c r="E343" s="294">
        <v>56.45</v>
      </c>
      <c r="F343" s="294">
        <v>56.45</v>
      </c>
      <c r="G343" s="289">
        <v>0</v>
      </c>
      <c r="H343" s="288">
        <v>0</v>
      </c>
      <c r="I343" s="290">
        <v>0</v>
      </c>
    </row>
    <row r="344" spans="1:9">
      <c r="A344" s="287" t="s">
        <v>58</v>
      </c>
      <c r="B344" s="299" t="s">
        <v>307</v>
      </c>
      <c r="C344" s="294">
        <v>10.99</v>
      </c>
      <c r="D344" s="294">
        <v>10.99</v>
      </c>
      <c r="E344" s="294">
        <v>10.99</v>
      </c>
      <c r="F344" s="294">
        <v>10.99</v>
      </c>
      <c r="G344" s="289">
        <v>0</v>
      </c>
      <c r="H344" s="288">
        <v>0</v>
      </c>
      <c r="I344" s="290">
        <v>0</v>
      </c>
    </row>
    <row r="345" spans="1:9">
      <c r="A345" s="287" t="s">
        <v>3928</v>
      </c>
      <c r="B345" s="287" t="s">
        <v>3929</v>
      </c>
      <c r="C345" s="288">
        <v>60</v>
      </c>
      <c r="D345" s="288">
        <v>60</v>
      </c>
      <c r="E345" s="288">
        <v>60</v>
      </c>
      <c r="F345" s="288">
        <v>60</v>
      </c>
      <c r="G345" s="289">
        <v>0</v>
      </c>
      <c r="H345" s="288">
        <v>0</v>
      </c>
      <c r="I345" s="290">
        <v>0</v>
      </c>
    </row>
    <row r="346" spans="1:9">
      <c r="A346" s="287" t="s">
        <v>3928</v>
      </c>
      <c r="B346" s="287" t="s">
        <v>3930</v>
      </c>
      <c r="C346" s="288">
        <v>60</v>
      </c>
      <c r="D346" s="288">
        <v>60</v>
      </c>
      <c r="E346" s="288">
        <v>60</v>
      </c>
      <c r="F346" s="288">
        <v>60</v>
      </c>
      <c r="G346" s="289">
        <v>0</v>
      </c>
      <c r="H346" s="288">
        <v>0</v>
      </c>
      <c r="I346" s="290">
        <v>0</v>
      </c>
    </row>
    <row r="347" spans="1:9">
      <c r="A347" s="287" t="s">
        <v>3928</v>
      </c>
      <c r="B347" s="287" t="s">
        <v>3931</v>
      </c>
      <c r="C347" s="288">
        <v>60</v>
      </c>
      <c r="D347" s="288">
        <v>60</v>
      </c>
      <c r="E347" s="288">
        <v>60</v>
      </c>
      <c r="F347" s="288">
        <v>60</v>
      </c>
      <c r="G347" s="289">
        <v>0</v>
      </c>
      <c r="H347" s="288">
        <v>0</v>
      </c>
      <c r="I347" s="290">
        <v>0</v>
      </c>
    </row>
    <row r="348" spans="1:9">
      <c r="A348" s="287" t="s">
        <v>3928</v>
      </c>
      <c r="B348" s="287" t="s">
        <v>3932</v>
      </c>
      <c r="C348" s="288">
        <v>2.4300000000000002</v>
      </c>
      <c r="D348" s="288">
        <v>2.4300000000000002</v>
      </c>
      <c r="E348" s="288">
        <v>2.4300000000000002</v>
      </c>
      <c r="F348" s="288">
        <v>2.4300000000000002</v>
      </c>
      <c r="G348" s="289">
        <v>0</v>
      </c>
      <c r="H348" s="288">
        <v>0</v>
      </c>
      <c r="I348" s="290">
        <v>0</v>
      </c>
    </row>
    <row r="349" spans="1:9">
      <c r="A349" s="287" t="s">
        <v>3928</v>
      </c>
      <c r="B349" s="287" t="s">
        <v>3933</v>
      </c>
      <c r="C349" s="288">
        <v>2.83</v>
      </c>
      <c r="D349" s="288">
        <v>2.83</v>
      </c>
      <c r="E349" s="288">
        <v>2.83</v>
      </c>
      <c r="F349" s="288">
        <v>2.83</v>
      </c>
      <c r="G349" s="289">
        <v>0</v>
      </c>
      <c r="H349" s="288">
        <v>0</v>
      </c>
      <c r="I349" s="290">
        <v>0</v>
      </c>
    </row>
    <row r="350" spans="1:9">
      <c r="A350" s="287" t="s">
        <v>3928</v>
      </c>
      <c r="B350" s="287" t="s">
        <v>3934</v>
      </c>
      <c r="C350" s="288">
        <v>3.01</v>
      </c>
      <c r="D350" s="288">
        <v>3.01</v>
      </c>
      <c r="E350" s="288">
        <v>3.01</v>
      </c>
      <c r="F350" s="288">
        <v>3.01</v>
      </c>
      <c r="G350" s="289">
        <v>0</v>
      </c>
      <c r="H350" s="288">
        <v>0</v>
      </c>
      <c r="I350" s="290">
        <v>0</v>
      </c>
    </row>
    <row r="351" spans="1:9">
      <c r="A351" s="293" t="s">
        <v>3935</v>
      </c>
      <c r="B351" s="287" t="s">
        <v>3936</v>
      </c>
      <c r="C351" s="288">
        <v>100</v>
      </c>
      <c r="D351" s="288">
        <v>100</v>
      </c>
      <c r="E351" s="288">
        <v>100</v>
      </c>
      <c r="F351" s="288">
        <v>100</v>
      </c>
      <c r="G351" s="289">
        <v>0</v>
      </c>
      <c r="H351" s="288">
        <v>0</v>
      </c>
      <c r="I351" s="290">
        <v>0</v>
      </c>
    </row>
    <row r="352" spans="1:9">
      <c r="A352" s="293" t="s">
        <v>3935</v>
      </c>
      <c r="B352" s="287" t="s">
        <v>3937</v>
      </c>
      <c r="C352" s="288">
        <v>100</v>
      </c>
      <c r="D352" s="288">
        <v>100</v>
      </c>
      <c r="E352" s="288">
        <v>100</v>
      </c>
      <c r="F352" s="288">
        <v>100</v>
      </c>
      <c r="G352" s="289">
        <v>0</v>
      </c>
      <c r="H352" s="288">
        <v>0</v>
      </c>
      <c r="I352" s="290">
        <v>0</v>
      </c>
    </row>
    <row r="353" spans="1:9">
      <c r="A353" s="293" t="s">
        <v>3935</v>
      </c>
      <c r="B353" s="287" t="s">
        <v>3938</v>
      </c>
      <c r="C353" s="288">
        <v>4.1500000000000004</v>
      </c>
      <c r="D353" s="288">
        <v>4.1500000000000004</v>
      </c>
      <c r="E353" s="288">
        <v>4.1500000000000004</v>
      </c>
      <c r="F353" s="288">
        <v>4.1500000000000004</v>
      </c>
      <c r="G353" s="289">
        <v>0</v>
      </c>
      <c r="H353" s="288">
        <v>0</v>
      </c>
      <c r="I353" s="290">
        <v>0</v>
      </c>
    </row>
    <row r="354" spans="1:9">
      <c r="A354" s="293" t="s">
        <v>3935</v>
      </c>
      <c r="B354" s="287">
        <v>52965411</v>
      </c>
      <c r="C354" s="288">
        <v>4.92</v>
      </c>
      <c r="D354" s="288">
        <v>4.92</v>
      </c>
      <c r="E354" s="288">
        <v>4.92</v>
      </c>
      <c r="F354" s="288">
        <v>4.92</v>
      </c>
      <c r="G354" s="289">
        <v>0</v>
      </c>
      <c r="H354" s="288">
        <v>0</v>
      </c>
      <c r="I354" s="290">
        <v>0</v>
      </c>
    </row>
    <row r="355" spans="1:9">
      <c r="A355" s="293" t="s">
        <v>3939</v>
      </c>
      <c r="B355" s="287" t="s">
        <v>3940</v>
      </c>
      <c r="C355" s="288">
        <v>293.10000000000002</v>
      </c>
      <c r="D355" s="288">
        <v>293.10000000000002</v>
      </c>
      <c r="E355" s="288">
        <v>293.10000000000002</v>
      </c>
      <c r="F355" s="288">
        <v>293.10000000000002</v>
      </c>
      <c r="G355" s="289">
        <v>0</v>
      </c>
      <c r="H355" s="288">
        <v>0</v>
      </c>
      <c r="I355" s="290">
        <v>0</v>
      </c>
    </row>
    <row r="356" spans="1:9">
      <c r="A356" s="293" t="s">
        <v>3939</v>
      </c>
      <c r="B356" s="287" t="s">
        <v>3941</v>
      </c>
      <c r="C356" s="288">
        <v>329.1</v>
      </c>
      <c r="D356" s="288">
        <v>329.1</v>
      </c>
      <c r="E356" s="288">
        <v>329.1</v>
      </c>
      <c r="F356" s="288">
        <v>329.1</v>
      </c>
      <c r="G356" s="289">
        <v>0</v>
      </c>
      <c r="H356" s="288">
        <v>0</v>
      </c>
      <c r="I356" s="290">
        <v>0</v>
      </c>
    </row>
    <row r="357" spans="1:9">
      <c r="A357" s="293" t="s">
        <v>636</v>
      </c>
      <c r="B357" s="287" t="s">
        <v>3942</v>
      </c>
      <c r="C357" s="288">
        <v>13.49</v>
      </c>
      <c r="D357" s="288">
        <v>13.49</v>
      </c>
      <c r="E357" s="288">
        <v>13.49</v>
      </c>
      <c r="F357" s="288">
        <v>13.49</v>
      </c>
      <c r="G357" s="289">
        <v>0</v>
      </c>
      <c r="H357" s="288">
        <v>0</v>
      </c>
      <c r="I357" s="290">
        <v>0</v>
      </c>
    </row>
    <row r="358" spans="1:9">
      <c r="A358" s="293" t="s">
        <v>636</v>
      </c>
      <c r="B358" s="287" t="s">
        <v>3943</v>
      </c>
      <c r="C358" s="288">
        <v>11.28</v>
      </c>
      <c r="D358" s="288">
        <v>11.28</v>
      </c>
      <c r="E358" s="288">
        <v>11.28</v>
      </c>
      <c r="F358" s="288">
        <v>11.28</v>
      </c>
      <c r="G358" s="289">
        <v>0</v>
      </c>
      <c r="H358" s="288">
        <v>0</v>
      </c>
      <c r="I358" s="290">
        <v>0</v>
      </c>
    </row>
    <row r="359" spans="1:9">
      <c r="A359" s="293" t="s">
        <v>636</v>
      </c>
      <c r="B359" s="287" t="s">
        <v>3944</v>
      </c>
      <c r="C359" s="288">
        <v>11.45</v>
      </c>
      <c r="D359" s="288">
        <v>11.45</v>
      </c>
      <c r="E359" s="288">
        <v>11.45</v>
      </c>
      <c r="F359" s="288">
        <v>11.45</v>
      </c>
      <c r="G359" s="289">
        <v>0</v>
      </c>
      <c r="H359" s="288">
        <v>0</v>
      </c>
      <c r="I359" s="290">
        <v>0</v>
      </c>
    </row>
    <row r="360" spans="1:9">
      <c r="A360" s="293" t="s">
        <v>636</v>
      </c>
      <c r="B360" s="287" t="s">
        <v>3945</v>
      </c>
      <c r="C360" s="288">
        <v>24.24</v>
      </c>
      <c r="D360" s="288">
        <v>24.24</v>
      </c>
      <c r="E360" s="288">
        <v>24.24</v>
      </c>
      <c r="F360" s="288">
        <v>24.24</v>
      </c>
      <c r="G360" s="289">
        <v>0</v>
      </c>
      <c r="H360" s="288">
        <v>0</v>
      </c>
      <c r="I360" s="290">
        <v>0</v>
      </c>
    </row>
    <row r="361" spans="1:9">
      <c r="A361" s="293" t="s">
        <v>636</v>
      </c>
      <c r="B361" s="287" t="s">
        <v>3946</v>
      </c>
      <c r="C361" s="288">
        <v>3.69</v>
      </c>
      <c r="D361" s="288">
        <v>3.69</v>
      </c>
      <c r="E361" s="288">
        <v>3.69</v>
      </c>
      <c r="F361" s="288">
        <v>3.69</v>
      </c>
      <c r="G361" s="289">
        <v>0</v>
      </c>
      <c r="H361" s="288">
        <v>0</v>
      </c>
      <c r="I361" s="290">
        <v>0</v>
      </c>
    </row>
    <row r="362" spans="1:9">
      <c r="A362" s="293" t="s">
        <v>636</v>
      </c>
      <c r="B362" s="287" t="s">
        <v>193</v>
      </c>
      <c r="C362" s="288">
        <v>1.24</v>
      </c>
      <c r="D362" s="288">
        <v>1.24</v>
      </c>
      <c r="E362" s="288">
        <v>1.24</v>
      </c>
      <c r="F362" s="288">
        <v>1.24</v>
      </c>
      <c r="G362" s="289">
        <v>0</v>
      </c>
      <c r="H362" s="288">
        <v>0</v>
      </c>
      <c r="I362" s="290">
        <v>0</v>
      </c>
    </row>
    <row r="363" spans="1:9">
      <c r="A363" s="293" t="s">
        <v>636</v>
      </c>
      <c r="B363" s="287" t="s">
        <v>163</v>
      </c>
      <c r="C363" s="288">
        <v>1.41</v>
      </c>
      <c r="D363" s="288">
        <v>1.41</v>
      </c>
      <c r="E363" s="288">
        <v>1.41</v>
      </c>
      <c r="F363" s="288">
        <v>1.41</v>
      </c>
      <c r="G363" s="289">
        <v>0</v>
      </c>
      <c r="H363" s="288">
        <v>0</v>
      </c>
      <c r="I363" s="290">
        <v>0</v>
      </c>
    </row>
    <row r="364" spans="1:9">
      <c r="A364" s="293" t="s">
        <v>636</v>
      </c>
      <c r="B364" s="287" t="s">
        <v>191</v>
      </c>
      <c r="C364" s="288">
        <v>24.24</v>
      </c>
      <c r="D364" s="288">
        <v>24.24</v>
      </c>
      <c r="E364" s="288">
        <v>24.24</v>
      </c>
      <c r="F364" s="288">
        <v>24.24</v>
      </c>
      <c r="G364" s="289">
        <v>0</v>
      </c>
      <c r="H364" s="288">
        <v>0</v>
      </c>
      <c r="I364" s="290">
        <v>0</v>
      </c>
    </row>
    <row r="365" spans="1:9">
      <c r="A365" s="293" t="s">
        <v>636</v>
      </c>
      <c r="B365" s="287" t="s">
        <v>1741</v>
      </c>
      <c r="C365" s="288">
        <v>67.849999999999994</v>
      </c>
      <c r="D365" s="288">
        <v>67.849999999999994</v>
      </c>
      <c r="E365" s="288">
        <v>67.849999999999994</v>
      </c>
      <c r="F365" s="288">
        <v>67.849999999999994</v>
      </c>
      <c r="G365" s="289">
        <v>0</v>
      </c>
      <c r="H365" s="288">
        <v>0</v>
      </c>
      <c r="I365" s="290">
        <v>0</v>
      </c>
    </row>
    <row r="366" spans="1:9">
      <c r="A366" s="293" t="s">
        <v>3947</v>
      </c>
      <c r="B366" s="287" t="s">
        <v>3948</v>
      </c>
      <c r="C366" s="288">
        <v>20.23</v>
      </c>
      <c r="D366" s="288">
        <v>20.23</v>
      </c>
      <c r="E366" s="288">
        <v>20.23</v>
      </c>
      <c r="F366" s="288">
        <v>20.23</v>
      </c>
      <c r="G366" s="289">
        <v>0</v>
      </c>
      <c r="H366" s="288">
        <v>0</v>
      </c>
      <c r="I366" s="290">
        <v>0</v>
      </c>
    </row>
    <row r="367" spans="1:9">
      <c r="A367" s="293" t="s">
        <v>655</v>
      </c>
      <c r="B367" s="287" t="s">
        <v>656</v>
      </c>
      <c r="C367" s="288">
        <v>49.49</v>
      </c>
      <c r="D367" s="288">
        <v>49.49</v>
      </c>
      <c r="E367" s="288">
        <v>49.49</v>
      </c>
      <c r="F367" s="288">
        <v>49.49</v>
      </c>
      <c r="G367" s="289">
        <v>0</v>
      </c>
      <c r="H367" s="288">
        <v>0</v>
      </c>
      <c r="I367" s="290">
        <v>0</v>
      </c>
    </row>
    <row r="368" spans="1:9">
      <c r="A368" s="293" t="s">
        <v>655</v>
      </c>
      <c r="B368" s="287" t="s">
        <v>204</v>
      </c>
      <c r="C368" s="288">
        <v>32.11</v>
      </c>
      <c r="D368" s="288">
        <v>32.11</v>
      </c>
      <c r="E368" s="288">
        <v>32.11</v>
      </c>
      <c r="F368" s="288">
        <v>32.11</v>
      </c>
      <c r="G368" s="289">
        <v>0</v>
      </c>
      <c r="H368" s="288">
        <v>0</v>
      </c>
      <c r="I368" s="290">
        <v>0</v>
      </c>
    </row>
    <row r="369" spans="1:9">
      <c r="A369" s="293" t="s">
        <v>3949</v>
      </c>
      <c r="B369" s="287">
        <v>557809</v>
      </c>
      <c r="C369" s="288">
        <v>10.79</v>
      </c>
      <c r="D369" s="288">
        <v>10.79</v>
      </c>
      <c r="E369" s="288">
        <v>10.79</v>
      </c>
      <c r="F369" s="288">
        <v>10.79</v>
      </c>
      <c r="G369" s="289">
        <v>0</v>
      </c>
      <c r="H369" s="288">
        <v>0</v>
      </c>
      <c r="I369" s="290">
        <v>0</v>
      </c>
    </row>
    <row r="370" spans="1:9">
      <c r="A370" s="293" t="s">
        <v>3950</v>
      </c>
      <c r="B370" s="287" t="s">
        <v>3951</v>
      </c>
      <c r="C370" s="288">
        <v>76.5</v>
      </c>
      <c r="D370" s="288">
        <v>76.5</v>
      </c>
      <c r="E370" s="288">
        <v>76.5</v>
      </c>
      <c r="F370" s="288">
        <v>76.5</v>
      </c>
      <c r="G370" s="289">
        <v>0</v>
      </c>
      <c r="H370" s="288">
        <v>0</v>
      </c>
      <c r="I370" s="290">
        <v>0</v>
      </c>
    </row>
    <row r="371" spans="1:9">
      <c r="A371" s="293" t="s">
        <v>3950</v>
      </c>
      <c r="B371" s="287" t="s">
        <v>322</v>
      </c>
      <c r="C371" s="288">
        <v>142.5</v>
      </c>
      <c r="D371" s="288">
        <v>142.5</v>
      </c>
      <c r="E371" s="288">
        <v>142.5</v>
      </c>
      <c r="F371" s="288">
        <v>142.5</v>
      </c>
      <c r="G371" s="289">
        <v>0</v>
      </c>
      <c r="H371" s="288">
        <v>0</v>
      </c>
      <c r="I371" s="290">
        <v>0</v>
      </c>
    </row>
    <row r="372" spans="1:9">
      <c r="A372" s="293" t="s">
        <v>133</v>
      </c>
      <c r="B372" s="287" t="s">
        <v>2304</v>
      </c>
      <c r="C372" s="288">
        <v>1.6</v>
      </c>
      <c r="D372" s="288">
        <v>1.6</v>
      </c>
      <c r="E372" s="288">
        <v>1.6</v>
      </c>
      <c r="F372" s="288">
        <v>1.6</v>
      </c>
      <c r="G372" s="289">
        <v>0</v>
      </c>
      <c r="H372" s="288">
        <v>0</v>
      </c>
      <c r="I372" s="290">
        <v>0</v>
      </c>
    </row>
    <row r="373" spans="1:9">
      <c r="A373" s="293" t="s">
        <v>133</v>
      </c>
      <c r="B373" s="287" t="s">
        <v>2300</v>
      </c>
      <c r="C373" s="288">
        <v>9.09</v>
      </c>
      <c r="D373" s="288">
        <v>9.09</v>
      </c>
      <c r="E373" s="288">
        <v>9.09</v>
      </c>
      <c r="F373" s="288">
        <v>9.09</v>
      </c>
      <c r="G373" s="289">
        <v>0</v>
      </c>
      <c r="H373" s="288">
        <v>0</v>
      </c>
      <c r="I373" s="290">
        <v>0</v>
      </c>
    </row>
    <row r="374" spans="1:9">
      <c r="A374" s="293" t="s">
        <v>133</v>
      </c>
      <c r="B374" s="287" t="s">
        <v>2307</v>
      </c>
      <c r="C374" s="288">
        <v>5.07</v>
      </c>
      <c r="D374" s="288">
        <v>5.07</v>
      </c>
      <c r="E374" s="288">
        <v>5.07</v>
      </c>
      <c r="F374" s="288">
        <v>5.07</v>
      </c>
      <c r="G374" s="289">
        <v>0</v>
      </c>
      <c r="H374" s="288">
        <v>0</v>
      </c>
      <c r="I374" s="290">
        <v>0</v>
      </c>
    </row>
    <row r="375" spans="1:9">
      <c r="A375" s="293" t="s">
        <v>133</v>
      </c>
      <c r="B375" s="287" t="s">
        <v>2309</v>
      </c>
      <c r="C375" s="288">
        <v>85.68</v>
      </c>
      <c r="D375" s="288">
        <v>85.68</v>
      </c>
      <c r="E375" s="288">
        <v>85.68</v>
      </c>
      <c r="F375" s="288">
        <v>85.68</v>
      </c>
      <c r="G375" s="289">
        <v>0</v>
      </c>
      <c r="H375" s="288">
        <v>0</v>
      </c>
      <c r="I375" s="290">
        <v>0</v>
      </c>
    </row>
    <row r="376" spans="1:9">
      <c r="A376" s="287" t="s">
        <v>681</v>
      </c>
      <c r="B376" s="287" t="s">
        <v>3952</v>
      </c>
      <c r="C376" s="288">
        <v>25.42</v>
      </c>
      <c r="D376" s="288">
        <v>25.42</v>
      </c>
      <c r="E376" s="288">
        <v>25.42</v>
      </c>
      <c r="F376" s="288">
        <v>25.42</v>
      </c>
      <c r="G376" s="289">
        <v>0</v>
      </c>
      <c r="H376" s="288">
        <v>0</v>
      </c>
      <c r="I376" s="290">
        <v>0</v>
      </c>
    </row>
    <row r="377" spans="1:9">
      <c r="A377" s="287" t="s">
        <v>681</v>
      </c>
      <c r="B377" s="287" t="s">
        <v>3953</v>
      </c>
      <c r="C377" s="288">
        <v>14.55</v>
      </c>
      <c r="D377" s="288">
        <v>14.55</v>
      </c>
      <c r="E377" s="288">
        <v>14.55</v>
      </c>
      <c r="F377" s="288">
        <v>14.55</v>
      </c>
      <c r="G377" s="289">
        <v>0</v>
      </c>
      <c r="H377" s="288">
        <v>0</v>
      </c>
      <c r="I377" s="290">
        <v>0</v>
      </c>
    </row>
    <row r="378" spans="1:9">
      <c r="A378" s="287" t="s">
        <v>681</v>
      </c>
      <c r="B378" s="287" t="s">
        <v>3954</v>
      </c>
      <c r="C378" s="288">
        <v>70.650000000000006</v>
      </c>
      <c r="D378" s="288">
        <v>70.650000000000006</v>
      </c>
      <c r="E378" s="288">
        <v>70.650000000000006</v>
      </c>
      <c r="F378" s="288">
        <v>70.650000000000006</v>
      </c>
      <c r="G378" s="289">
        <v>0</v>
      </c>
      <c r="H378" s="288">
        <v>0</v>
      </c>
      <c r="I378" s="290">
        <v>0</v>
      </c>
    </row>
    <row r="379" spans="1:9">
      <c r="A379" s="287" t="s">
        <v>3955</v>
      </c>
      <c r="B379" s="287" t="s">
        <v>498</v>
      </c>
      <c r="C379" s="288">
        <v>10.31</v>
      </c>
      <c r="D379" s="288">
        <v>10.31</v>
      </c>
      <c r="E379" s="288">
        <v>10.31</v>
      </c>
      <c r="F379" s="288">
        <v>10.31</v>
      </c>
      <c r="G379" s="289">
        <v>0</v>
      </c>
      <c r="H379" s="288">
        <v>0</v>
      </c>
      <c r="I379" s="290">
        <v>0</v>
      </c>
    </row>
    <row r="380" spans="1:9">
      <c r="A380" s="287" t="s">
        <v>3955</v>
      </c>
      <c r="B380" s="287" t="s">
        <v>444</v>
      </c>
      <c r="C380" s="288">
        <v>7.71</v>
      </c>
      <c r="D380" s="288">
        <v>7.71</v>
      </c>
      <c r="E380" s="288">
        <v>7.71</v>
      </c>
      <c r="F380" s="288">
        <v>7.71</v>
      </c>
      <c r="G380" s="289">
        <v>0</v>
      </c>
      <c r="H380" s="288">
        <v>0</v>
      </c>
      <c r="I380" s="290">
        <v>0</v>
      </c>
    </row>
    <row r="381" spans="1:9">
      <c r="A381" s="287" t="s">
        <v>3955</v>
      </c>
      <c r="B381" s="287" t="s">
        <v>1746</v>
      </c>
      <c r="C381" s="288">
        <v>11.75</v>
      </c>
      <c r="D381" s="288">
        <v>11.75</v>
      </c>
      <c r="E381" s="288">
        <v>11.75</v>
      </c>
      <c r="F381" s="288">
        <v>11.75</v>
      </c>
      <c r="G381" s="289">
        <v>0</v>
      </c>
      <c r="H381" s="288">
        <v>0</v>
      </c>
      <c r="I381" s="290">
        <v>0</v>
      </c>
    </row>
    <row r="382" spans="1:9">
      <c r="A382" s="287" t="s">
        <v>3956</v>
      </c>
      <c r="B382" s="287" t="s">
        <v>1929</v>
      </c>
      <c r="C382" s="288">
        <v>2</v>
      </c>
      <c r="D382" s="288">
        <v>2</v>
      </c>
      <c r="E382" s="288">
        <v>2</v>
      </c>
      <c r="F382" s="288">
        <v>2</v>
      </c>
      <c r="G382" s="289">
        <v>0</v>
      </c>
      <c r="H382" s="288">
        <v>0</v>
      </c>
      <c r="I382" s="290">
        <v>0</v>
      </c>
    </row>
    <row r="383" spans="1:9">
      <c r="A383" s="287" t="s">
        <v>3955</v>
      </c>
      <c r="B383" s="287" t="s">
        <v>541</v>
      </c>
      <c r="C383" s="288">
        <v>3.57</v>
      </c>
      <c r="D383" s="288">
        <v>3.57</v>
      </c>
      <c r="E383" s="288">
        <v>3.57</v>
      </c>
      <c r="F383" s="288">
        <v>3.57</v>
      </c>
      <c r="G383" s="289">
        <v>0</v>
      </c>
      <c r="H383" s="288">
        <v>0</v>
      </c>
      <c r="I383" s="290">
        <v>0</v>
      </c>
    </row>
    <row r="384" spans="1:9">
      <c r="A384" s="287" t="s">
        <v>3955</v>
      </c>
      <c r="B384" s="287" t="s">
        <v>2166</v>
      </c>
      <c r="C384" s="288">
        <v>12.75</v>
      </c>
      <c r="D384" s="288">
        <v>12.75</v>
      </c>
      <c r="E384" s="288">
        <v>12.75</v>
      </c>
      <c r="F384" s="288">
        <v>12.75</v>
      </c>
      <c r="G384" s="289">
        <v>0</v>
      </c>
      <c r="H384" s="288">
        <v>0</v>
      </c>
      <c r="I384" s="290">
        <v>0</v>
      </c>
    </row>
    <row r="385" spans="1:9">
      <c r="A385" s="287" t="s">
        <v>3955</v>
      </c>
      <c r="B385" s="287" t="s">
        <v>541</v>
      </c>
      <c r="C385" s="288">
        <v>3.57</v>
      </c>
      <c r="D385" s="288">
        <v>3.57</v>
      </c>
      <c r="E385" s="288">
        <v>3.57</v>
      </c>
      <c r="F385" s="288">
        <v>3.57</v>
      </c>
      <c r="G385" s="289">
        <v>0</v>
      </c>
      <c r="H385" s="288">
        <v>0</v>
      </c>
      <c r="I385" s="290">
        <v>0</v>
      </c>
    </row>
    <row r="386" spans="1:9">
      <c r="A386" s="287" t="s">
        <v>3955</v>
      </c>
      <c r="B386" s="287" t="s">
        <v>480</v>
      </c>
      <c r="C386" s="288">
        <v>4.55</v>
      </c>
      <c r="D386" s="288">
        <v>4.55</v>
      </c>
      <c r="E386" s="288">
        <v>4.55</v>
      </c>
      <c r="F386" s="288">
        <v>4.55</v>
      </c>
      <c r="G386" s="289">
        <v>0</v>
      </c>
      <c r="H386" s="288">
        <v>0</v>
      </c>
      <c r="I386" s="290">
        <v>0</v>
      </c>
    </row>
    <row r="387" spans="1:9">
      <c r="A387" s="287" t="s">
        <v>3955</v>
      </c>
      <c r="B387" s="287" t="s">
        <v>511</v>
      </c>
      <c r="C387" s="288">
        <v>3.76</v>
      </c>
      <c r="D387" s="288">
        <v>3.76</v>
      </c>
      <c r="E387" s="288">
        <v>3.76</v>
      </c>
      <c r="F387" s="288">
        <v>3.76</v>
      </c>
      <c r="G387" s="289">
        <v>0</v>
      </c>
      <c r="H387" s="288">
        <v>0</v>
      </c>
      <c r="I387" s="290">
        <v>0</v>
      </c>
    </row>
    <row r="388" spans="1:9">
      <c r="A388" s="287" t="s">
        <v>3955</v>
      </c>
      <c r="B388" s="287" t="s">
        <v>491</v>
      </c>
      <c r="C388" s="288">
        <v>3.8</v>
      </c>
      <c r="D388" s="288">
        <v>3.8</v>
      </c>
      <c r="E388" s="288">
        <v>3.8</v>
      </c>
      <c r="F388" s="288">
        <v>3.8</v>
      </c>
      <c r="G388" s="289">
        <v>0</v>
      </c>
      <c r="H388" s="288">
        <v>0</v>
      </c>
      <c r="I388" s="290">
        <v>0</v>
      </c>
    </row>
    <row r="389" spans="1:9">
      <c r="A389" s="287" t="s">
        <v>3955</v>
      </c>
      <c r="B389" s="287" t="s">
        <v>546</v>
      </c>
      <c r="C389" s="288">
        <v>16.420000000000002</v>
      </c>
      <c r="D389" s="288">
        <v>16.420000000000002</v>
      </c>
      <c r="E389" s="288">
        <v>16.420000000000002</v>
      </c>
      <c r="F389" s="288">
        <v>16.420000000000002</v>
      </c>
      <c r="G389" s="289">
        <v>0</v>
      </c>
      <c r="H389" s="288">
        <v>0</v>
      </c>
      <c r="I389" s="290">
        <v>0</v>
      </c>
    </row>
    <row r="390" spans="1:9">
      <c r="A390" s="287" t="s">
        <v>3955</v>
      </c>
      <c r="B390" s="287" t="s">
        <v>2129</v>
      </c>
      <c r="C390" s="288">
        <v>1.77</v>
      </c>
      <c r="D390" s="288">
        <v>1.77</v>
      </c>
      <c r="E390" s="288">
        <v>1.77</v>
      </c>
      <c r="F390" s="288">
        <v>1.77</v>
      </c>
      <c r="G390" s="289">
        <v>0</v>
      </c>
      <c r="H390" s="288">
        <v>0</v>
      </c>
      <c r="I390" s="290">
        <v>0</v>
      </c>
    </row>
    <row r="391" spans="1:9">
      <c r="A391" s="287" t="s">
        <v>3955</v>
      </c>
      <c r="B391" s="287" t="s">
        <v>443</v>
      </c>
      <c r="C391" s="288">
        <v>1.81</v>
      </c>
      <c r="D391" s="288">
        <v>1.81</v>
      </c>
      <c r="E391" s="288">
        <v>1.81</v>
      </c>
      <c r="F391" s="288">
        <v>1.81</v>
      </c>
      <c r="G391" s="289">
        <v>0</v>
      </c>
      <c r="H391" s="288">
        <v>0</v>
      </c>
      <c r="I391" s="290">
        <v>0</v>
      </c>
    </row>
    <row r="392" spans="1:9">
      <c r="A392" s="287" t="s">
        <v>3955</v>
      </c>
      <c r="B392" s="287" t="s">
        <v>2134</v>
      </c>
      <c r="C392" s="288">
        <v>0.68</v>
      </c>
      <c r="D392" s="288">
        <v>0.68</v>
      </c>
      <c r="E392" s="288">
        <v>0.68</v>
      </c>
      <c r="F392" s="288">
        <v>0.68</v>
      </c>
      <c r="G392" s="289">
        <v>0</v>
      </c>
      <c r="H392" s="288">
        <v>0</v>
      </c>
      <c r="I392" s="290">
        <v>0</v>
      </c>
    </row>
    <row r="393" spans="1:9">
      <c r="A393" s="287" t="s">
        <v>3955</v>
      </c>
      <c r="B393" s="287" t="s">
        <v>528</v>
      </c>
      <c r="C393" s="288">
        <v>6.94</v>
      </c>
      <c r="D393" s="288">
        <v>6.94</v>
      </c>
      <c r="E393" s="288">
        <v>6.94</v>
      </c>
      <c r="F393" s="288">
        <v>6.94</v>
      </c>
      <c r="G393" s="289">
        <v>0</v>
      </c>
      <c r="H393" s="288">
        <v>0</v>
      </c>
      <c r="I393" s="290">
        <v>0</v>
      </c>
    </row>
    <row r="394" spans="1:9">
      <c r="A394" s="287" t="s">
        <v>3955</v>
      </c>
      <c r="B394" s="302" t="s">
        <v>486</v>
      </c>
      <c r="C394" s="288">
        <v>7.36</v>
      </c>
      <c r="D394" s="288">
        <v>7.36</v>
      </c>
      <c r="E394" s="288">
        <v>7.36</v>
      </c>
      <c r="F394" s="288">
        <v>7.36</v>
      </c>
      <c r="G394" s="289">
        <v>0</v>
      </c>
      <c r="H394" s="288">
        <v>0</v>
      </c>
      <c r="I394" s="290">
        <v>0</v>
      </c>
    </row>
    <row r="395" spans="1:9">
      <c r="A395" s="287" t="s">
        <v>3955</v>
      </c>
      <c r="B395" s="287" t="s">
        <v>1965</v>
      </c>
      <c r="C395" s="288">
        <v>0.73</v>
      </c>
      <c r="D395" s="288">
        <v>0.73</v>
      </c>
      <c r="E395" s="288">
        <v>0.73</v>
      </c>
      <c r="F395" s="288">
        <v>0.73</v>
      </c>
      <c r="G395" s="289">
        <v>0</v>
      </c>
      <c r="H395" s="288">
        <v>0</v>
      </c>
      <c r="I395" s="290">
        <v>0</v>
      </c>
    </row>
    <row r="396" spans="1:9">
      <c r="A396" s="287" t="s">
        <v>3955</v>
      </c>
      <c r="B396" s="287" t="s">
        <v>500</v>
      </c>
      <c r="C396" s="288">
        <v>11.29</v>
      </c>
      <c r="D396" s="288">
        <v>11.29</v>
      </c>
      <c r="E396" s="288">
        <v>11.29</v>
      </c>
      <c r="F396" s="288">
        <v>11.29</v>
      </c>
      <c r="G396" s="289">
        <v>0</v>
      </c>
      <c r="H396" s="288">
        <v>0</v>
      </c>
      <c r="I396" s="290">
        <v>0</v>
      </c>
    </row>
    <row r="397" spans="1:9">
      <c r="A397" s="287" t="s">
        <v>83</v>
      </c>
      <c r="B397" s="287" t="s">
        <v>2383</v>
      </c>
      <c r="C397" s="288">
        <v>17.600000000000001</v>
      </c>
      <c r="D397" s="288">
        <v>17.600000000000001</v>
      </c>
      <c r="E397" s="288">
        <v>17.600000000000001</v>
      </c>
      <c r="F397" s="288">
        <v>17.600000000000001</v>
      </c>
      <c r="G397" s="289">
        <v>0</v>
      </c>
      <c r="H397" s="288">
        <v>0</v>
      </c>
      <c r="I397" s="290">
        <v>0</v>
      </c>
    </row>
    <row r="398" spans="1:9">
      <c r="A398" s="287" t="s">
        <v>57</v>
      </c>
      <c r="B398" s="287" t="s">
        <v>445</v>
      </c>
      <c r="C398" s="288">
        <v>123.71</v>
      </c>
      <c r="D398" s="288">
        <v>123.71</v>
      </c>
      <c r="E398" s="288">
        <v>123.71</v>
      </c>
      <c r="F398" s="288">
        <v>123.71</v>
      </c>
      <c r="G398" s="289">
        <v>0</v>
      </c>
      <c r="H398" s="288">
        <v>0</v>
      </c>
      <c r="I398" s="290">
        <v>0</v>
      </c>
    </row>
    <row r="399" spans="1:9">
      <c r="A399" s="287" t="s">
        <v>57</v>
      </c>
      <c r="B399" s="287" t="s">
        <v>521</v>
      </c>
      <c r="C399" s="288">
        <v>112.94</v>
      </c>
      <c r="D399" s="288">
        <v>112.94</v>
      </c>
      <c r="E399" s="288">
        <v>112.94</v>
      </c>
      <c r="F399" s="288">
        <v>112.94</v>
      </c>
      <c r="G399" s="289">
        <v>0</v>
      </c>
      <c r="H399" s="288">
        <v>0</v>
      </c>
      <c r="I399" s="290">
        <v>0</v>
      </c>
    </row>
    <row r="400" spans="1:9">
      <c r="A400" s="287" t="s">
        <v>57</v>
      </c>
      <c r="B400" s="287" t="s">
        <v>3022</v>
      </c>
      <c r="C400" s="288">
        <v>115</v>
      </c>
      <c r="D400" s="288">
        <v>115</v>
      </c>
      <c r="E400" s="288">
        <v>115</v>
      </c>
      <c r="F400" s="288">
        <v>115</v>
      </c>
      <c r="G400" s="289">
        <v>0</v>
      </c>
      <c r="H400" s="288">
        <v>0</v>
      </c>
      <c r="I400" s="290">
        <v>0</v>
      </c>
    </row>
    <row r="401" spans="1:9">
      <c r="A401" s="287" t="s">
        <v>57</v>
      </c>
      <c r="B401" s="287" t="s">
        <v>535</v>
      </c>
      <c r="C401" s="288">
        <v>129.94</v>
      </c>
      <c r="D401" s="288">
        <v>129.94</v>
      </c>
      <c r="E401" s="288">
        <v>129.94</v>
      </c>
      <c r="F401" s="288">
        <v>129.94</v>
      </c>
      <c r="G401" s="289">
        <v>0</v>
      </c>
      <c r="H401" s="288">
        <v>0</v>
      </c>
      <c r="I401" s="290">
        <v>0</v>
      </c>
    </row>
    <row r="402" spans="1:9">
      <c r="A402" s="287" t="s">
        <v>57</v>
      </c>
      <c r="B402" s="287" t="s">
        <v>3023</v>
      </c>
      <c r="C402" s="288">
        <v>2.8</v>
      </c>
      <c r="D402" s="288">
        <v>2.8</v>
      </c>
      <c r="E402" s="288">
        <v>2.8</v>
      </c>
      <c r="F402" s="288">
        <v>2.8</v>
      </c>
      <c r="G402" s="289">
        <v>0</v>
      </c>
      <c r="H402" s="288">
        <v>0</v>
      </c>
      <c r="I402" s="290">
        <v>0</v>
      </c>
    </row>
    <row r="403" spans="1:9">
      <c r="A403" s="287" t="s">
        <v>57</v>
      </c>
      <c r="B403" s="287" t="s">
        <v>475</v>
      </c>
      <c r="C403" s="288">
        <v>119.17</v>
      </c>
      <c r="D403" s="288">
        <v>119.17</v>
      </c>
      <c r="E403" s="288">
        <v>119.17</v>
      </c>
      <c r="F403" s="288">
        <v>119.17</v>
      </c>
      <c r="G403" s="289">
        <v>0</v>
      </c>
      <c r="H403" s="288">
        <v>0</v>
      </c>
      <c r="I403" s="290">
        <v>0</v>
      </c>
    </row>
    <row r="404" spans="1:9">
      <c r="A404" s="287" t="s">
        <v>57</v>
      </c>
      <c r="B404" s="287" t="s">
        <v>3024</v>
      </c>
      <c r="C404" s="288">
        <v>102.22</v>
      </c>
      <c r="D404" s="288">
        <v>102.22</v>
      </c>
      <c r="E404" s="288">
        <v>102.22</v>
      </c>
      <c r="F404" s="288">
        <v>102.22</v>
      </c>
      <c r="G404" s="289">
        <v>0</v>
      </c>
      <c r="H404" s="288">
        <v>0</v>
      </c>
      <c r="I404" s="290">
        <v>0</v>
      </c>
    </row>
    <row r="405" spans="1:9">
      <c r="A405" s="287" t="s">
        <v>57</v>
      </c>
      <c r="B405" s="303" t="s">
        <v>3025</v>
      </c>
      <c r="C405" s="288">
        <v>138.18</v>
      </c>
      <c r="D405" s="288">
        <v>138.18</v>
      </c>
      <c r="E405" s="288">
        <v>138.18</v>
      </c>
      <c r="F405" s="288">
        <v>138.18</v>
      </c>
      <c r="G405" s="289">
        <v>0</v>
      </c>
      <c r="H405" s="288">
        <v>0</v>
      </c>
      <c r="I405" s="290">
        <v>0</v>
      </c>
    </row>
    <row r="406" spans="1:9">
      <c r="A406" s="287" t="s">
        <v>57</v>
      </c>
      <c r="B406" s="304" t="s">
        <v>3677</v>
      </c>
      <c r="C406" s="288">
        <v>2247.44</v>
      </c>
      <c r="D406" s="288">
        <v>2247.44</v>
      </c>
      <c r="E406" s="288">
        <v>2247.44</v>
      </c>
      <c r="F406" s="288">
        <v>2247.44</v>
      </c>
      <c r="G406" s="289">
        <v>0</v>
      </c>
      <c r="H406" s="288">
        <v>0</v>
      </c>
      <c r="I406" s="290">
        <v>0</v>
      </c>
    </row>
    <row r="407" spans="1:9">
      <c r="A407" s="287" t="s">
        <v>57</v>
      </c>
      <c r="B407" s="304" t="s">
        <v>3678</v>
      </c>
      <c r="C407" s="288">
        <v>793.79</v>
      </c>
      <c r="D407" s="288">
        <v>793.79</v>
      </c>
      <c r="E407" s="288">
        <v>793.79</v>
      </c>
      <c r="F407" s="288">
        <v>793.79</v>
      </c>
      <c r="G407" s="289">
        <v>0</v>
      </c>
      <c r="H407" s="288">
        <v>0</v>
      </c>
      <c r="I407" s="290">
        <v>0</v>
      </c>
    </row>
    <row r="408" spans="1:9">
      <c r="A408" s="287" t="s">
        <v>57</v>
      </c>
      <c r="B408" s="304" t="s">
        <v>3679</v>
      </c>
      <c r="C408" s="288">
        <v>793.79</v>
      </c>
      <c r="D408" s="288">
        <v>793.79</v>
      </c>
      <c r="E408" s="288">
        <v>793.79</v>
      </c>
      <c r="F408" s="288">
        <v>793.79</v>
      </c>
      <c r="G408" s="289">
        <v>0</v>
      </c>
      <c r="H408" s="288">
        <v>0</v>
      </c>
      <c r="I408" s="290">
        <v>0</v>
      </c>
    </row>
    <row r="409" spans="1:9">
      <c r="A409" s="287" t="s">
        <v>57</v>
      </c>
      <c r="B409" s="304" t="s">
        <v>3680</v>
      </c>
      <c r="C409" s="288">
        <v>2078.66</v>
      </c>
      <c r="D409" s="288">
        <v>2078.66</v>
      </c>
      <c r="E409" s="288">
        <v>2078.66</v>
      </c>
      <c r="F409" s="288">
        <v>2078.66</v>
      </c>
      <c r="G409" s="289">
        <v>0</v>
      </c>
      <c r="H409" s="288">
        <v>0</v>
      </c>
      <c r="I409" s="290">
        <v>0</v>
      </c>
    </row>
    <row r="410" spans="1:9">
      <c r="A410" s="287" t="s">
        <v>57</v>
      </c>
      <c r="B410" s="304" t="s">
        <v>3681</v>
      </c>
      <c r="C410" s="288">
        <v>2078.66</v>
      </c>
      <c r="D410" s="288">
        <v>2078.66</v>
      </c>
      <c r="E410" s="288">
        <v>2078.66</v>
      </c>
      <c r="F410" s="288">
        <v>2078.66</v>
      </c>
      <c r="G410" s="289">
        <v>0</v>
      </c>
      <c r="H410" s="288">
        <v>0</v>
      </c>
      <c r="I410" s="290">
        <v>0</v>
      </c>
    </row>
    <row r="411" spans="1:9">
      <c r="A411" s="287" t="s">
        <v>57</v>
      </c>
      <c r="B411" s="304" t="s">
        <v>3682</v>
      </c>
      <c r="C411" s="288">
        <v>230.37</v>
      </c>
      <c r="D411" s="288">
        <v>230.37</v>
      </c>
      <c r="E411" s="288">
        <v>230.37</v>
      </c>
      <c r="F411" s="288">
        <v>230.37</v>
      </c>
      <c r="G411" s="289">
        <v>0</v>
      </c>
      <c r="H411" s="288">
        <v>0</v>
      </c>
      <c r="I411" s="290">
        <v>0</v>
      </c>
    </row>
    <row r="412" spans="1:9">
      <c r="A412" s="287" t="s">
        <v>57</v>
      </c>
      <c r="B412" s="304" t="s">
        <v>3685</v>
      </c>
      <c r="C412" s="288">
        <v>506.11</v>
      </c>
      <c r="D412" s="288">
        <v>506.11</v>
      </c>
      <c r="E412" s="288">
        <v>506.11</v>
      </c>
      <c r="F412" s="288">
        <v>506.11</v>
      </c>
      <c r="G412" s="289">
        <v>0</v>
      </c>
      <c r="H412" s="288">
        <v>0</v>
      </c>
      <c r="I412" s="290">
        <v>0</v>
      </c>
    </row>
    <row r="413" spans="1:9">
      <c r="A413" s="287" t="s">
        <v>57</v>
      </c>
      <c r="B413" s="304" t="s">
        <v>3683</v>
      </c>
      <c r="C413" s="288">
        <v>504.13</v>
      </c>
      <c r="D413" s="288">
        <v>504.13</v>
      </c>
      <c r="E413" s="288">
        <v>504.13</v>
      </c>
      <c r="F413" s="288">
        <v>504.13</v>
      </c>
      <c r="G413" s="289">
        <v>0</v>
      </c>
      <c r="H413" s="288">
        <v>0</v>
      </c>
      <c r="I413" s="290">
        <v>0</v>
      </c>
    </row>
    <row r="414" spans="1:9">
      <c r="A414" s="287" t="s">
        <v>57</v>
      </c>
      <c r="B414" s="304" t="s">
        <v>3684</v>
      </c>
      <c r="C414" s="288">
        <v>428.78</v>
      </c>
      <c r="D414" s="288">
        <v>428.78</v>
      </c>
      <c r="E414" s="288">
        <v>428.78</v>
      </c>
      <c r="F414" s="288">
        <v>428.78</v>
      </c>
      <c r="G414" s="289">
        <v>0</v>
      </c>
      <c r="H414" s="288">
        <v>0</v>
      </c>
      <c r="I414" s="290">
        <v>0</v>
      </c>
    </row>
    <row r="415" spans="1:9">
      <c r="A415" s="287" t="s">
        <v>57</v>
      </c>
      <c r="B415" s="304" t="s">
        <v>3688</v>
      </c>
      <c r="C415" s="288">
        <v>232.1</v>
      </c>
      <c r="D415" s="288">
        <v>232.1</v>
      </c>
      <c r="E415" s="288">
        <v>232.1</v>
      </c>
      <c r="F415" s="288">
        <v>232.1</v>
      </c>
      <c r="G415" s="289">
        <v>0</v>
      </c>
      <c r="H415" s="288">
        <v>0</v>
      </c>
      <c r="I415" s="290">
        <v>0</v>
      </c>
    </row>
    <row r="416" spans="1:9">
      <c r="A416" s="287" t="s">
        <v>57</v>
      </c>
      <c r="B416" s="305" t="s">
        <v>3686</v>
      </c>
      <c r="C416" s="288">
        <v>231.83</v>
      </c>
      <c r="D416" s="288">
        <v>231.83</v>
      </c>
      <c r="E416" s="288">
        <v>231.83</v>
      </c>
      <c r="F416" s="288">
        <v>231.83</v>
      </c>
      <c r="G416" s="289">
        <v>0</v>
      </c>
      <c r="H416" s="288">
        <v>0</v>
      </c>
      <c r="I416" s="290">
        <v>0</v>
      </c>
    </row>
    <row r="417" spans="1:9">
      <c r="A417" s="287" t="s">
        <v>57</v>
      </c>
      <c r="B417" s="305" t="s">
        <v>3687</v>
      </c>
      <c r="C417" s="288">
        <v>231</v>
      </c>
      <c r="D417" s="288">
        <v>231</v>
      </c>
      <c r="E417" s="288">
        <v>231</v>
      </c>
      <c r="F417" s="288">
        <v>231</v>
      </c>
      <c r="G417" s="289">
        <v>0</v>
      </c>
      <c r="H417" s="288">
        <v>0</v>
      </c>
      <c r="I417" s="290">
        <v>0</v>
      </c>
    </row>
    <row r="418" spans="1:9">
      <c r="A418" s="287" t="s">
        <v>57</v>
      </c>
      <c r="B418" s="305" t="s">
        <v>3689</v>
      </c>
      <c r="C418" s="288">
        <v>502.38</v>
      </c>
      <c r="D418" s="288">
        <v>502.38</v>
      </c>
      <c r="E418" s="288">
        <v>502.38</v>
      </c>
      <c r="F418" s="288">
        <v>502.38</v>
      </c>
      <c r="G418" s="289">
        <v>0</v>
      </c>
      <c r="H418" s="288">
        <v>0</v>
      </c>
      <c r="I418" s="290">
        <v>0</v>
      </c>
    </row>
    <row r="419" spans="1:9">
      <c r="A419" s="287" t="s">
        <v>57</v>
      </c>
      <c r="B419" s="305" t="s">
        <v>3690</v>
      </c>
      <c r="C419" s="288">
        <v>225.64</v>
      </c>
      <c r="D419" s="288">
        <v>225.64</v>
      </c>
      <c r="E419" s="288">
        <v>225.64</v>
      </c>
      <c r="F419" s="288">
        <v>225.64</v>
      </c>
      <c r="G419" s="289">
        <v>0</v>
      </c>
      <c r="H419" s="288">
        <v>0</v>
      </c>
      <c r="I419" s="290">
        <v>0</v>
      </c>
    </row>
    <row r="420" spans="1:9">
      <c r="A420" s="287" t="s">
        <v>3957</v>
      </c>
      <c r="B420" s="292" t="s">
        <v>104</v>
      </c>
      <c r="C420" s="288">
        <v>8</v>
      </c>
      <c r="D420" s="288">
        <v>8</v>
      </c>
      <c r="E420" s="288">
        <v>8</v>
      </c>
      <c r="F420" s="288">
        <v>8</v>
      </c>
      <c r="G420" s="289">
        <v>0</v>
      </c>
      <c r="H420" s="288">
        <v>0</v>
      </c>
      <c r="I420" s="290">
        <v>0</v>
      </c>
    </row>
    <row r="421" spans="1:9">
      <c r="A421" s="287" t="s">
        <v>3955</v>
      </c>
      <c r="B421" s="287" t="s">
        <v>447</v>
      </c>
      <c r="C421" s="288">
        <v>0.78</v>
      </c>
      <c r="D421" s="288">
        <v>0.78</v>
      </c>
      <c r="E421" s="288">
        <v>0.78</v>
      </c>
      <c r="F421" s="288">
        <v>0.78</v>
      </c>
      <c r="G421" s="289">
        <v>0</v>
      </c>
      <c r="H421" s="288">
        <v>0</v>
      </c>
      <c r="I421" s="290">
        <v>0</v>
      </c>
    </row>
    <row r="422" spans="1:9">
      <c r="A422" s="287" t="s">
        <v>3955</v>
      </c>
      <c r="B422" s="287" t="s">
        <v>2384</v>
      </c>
      <c r="C422" s="288">
        <v>9.9600000000000009</v>
      </c>
      <c r="D422" s="288">
        <v>9.9600000000000009</v>
      </c>
      <c r="E422" s="288">
        <v>9.9600000000000009</v>
      </c>
      <c r="F422" s="288">
        <v>9.9600000000000009</v>
      </c>
      <c r="G422" s="289">
        <v>0</v>
      </c>
      <c r="H422" s="288">
        <v>0</v>
      </c>
      <c r="I422" s="290">
        <v>0</v>
      </c>
    </row>
    <row r="423" spans="1:9">
      <c r="A423" s="303" t="s">
        <v>58</v>
      </c>
      <c r="B423" s="303" t="s">
        <v>3205</v>
      </c>
      <c r="C423" s="306">
        <v>2613</v>
      </c>
      <c r="D423" s="306">
        <v>2613</v>
      </c>
      <c r="E423" s="306">
        <v>2613</v>
      </c>
      <c r="F423" s="306">
        <v>2613</v>
      </c>
      <c r="G423" s="289">
        <v>0</v>
      </c>
      <c r="H423" s="288">
        <v>0</v>
      </c>
      <c r="I423" s="290">
        <v>0</v>
      </c>
    </row>
    <row r="424" spans="1:9">
      <c r="A424" s="287" t="s">
        <v>3957</v>
      </c>
      <c r="B424" s="287" t="s">
        <v>2572</v>
      </c>
      <c r="C424" s="288">
        <f>166.8/10</f>
        <v>16.68</v>
      </c>
      <c r="D424" s="288">
        <f>166.8/10</f>
        <v>16.68</v>
      </c>
      <c r="E424" s="288">
        <f>166.8/10</f>
        <v>16.68</v>
      </c>
      <c r="F424" s="288">
        <f>166.8/10</f>
        <v>16.68</v>
      </c>
      <c r="G424" s="289">
        <v>0</v>
      </c>
      <c r="H424" s="288">
        <v>0</v>
      </c>
      <c r="I424" s="290">
        <v>0</v>
      </c>
    </row>
    <row r="425" spans="1:9">
      <c r="A425" s="287" t="s">
        <v>3957</v>
      </c>
      <c r="B425" s="287" t="s">
        <v>2579</v>
      </c>
      <c r="C425" s="288">
        <v>21.28</v>
      </c>
      <c r="D425" s="288">
        <v>21.28</v>
      </c>
      <c r="E425" s="288">
        <v>21.28</v>
      </c>
      <c r="F425" s="288">
        <v>21.28</v>
      </c>
      <c r="G425" s="289">
        <v>0</v>
      </c>
      <c r="H425" s="288">
        <v>0</v>
      </c>
      <c r="I425" s="290">
        <v>0</v>
      </c>
    </row>
    <row r="426" spans="1:9">
      <c r="A426" s="287" t="s">
        <v>3957</v>
      </c>
      <c r="B426" s="303" t="s">
        <v>110</v>
      </c>
      <c r="C426" s="288">
        <v>1.36</v>
      </c>
      <c r="D426" s="288">
        <v>1.36</v>
      </c>
      <c r="E426" s="288">
        <v>1.36</v>
      </c>
      <c r="F426" s="288">
        <v>1.36</v>
      </c>
      <c r="G426" s="289">
        <v>0</v>
      </c>
      <c r="H426" s="288">
        <v>0</v>
      </c>
      <c r="I426" s="290">
        <v>0</v>
      </c>
    </row>
    <row r="427" spans="1:9">
      <c r="A427" s="287" t="s">
        <v>636</v>
      </c>
      <c r="B427" s="287" t="s">
        <v>418</v>
      </c>
      <c r="C427" s="288">
        <v>3.69</v>
      </c>
      <c r="D427" s="288">
        <v>3.69</v>
      </c>
      <c r="E427" s="288">
        <v>3.69</v>
      </c>
      <c r="F427" s="288">
        <v>3.69</v>
      </c>
      <c r="G427" s="289">
        <v>0</v>
      </c>
      <c r="H427" s="288">
        <v>0</v>
      </c>
      <c r="I427" s="290">
        <v>0</v>
      </c>
    </row>
    <row r="428" spans="1:9">
      <c r="A428" s="303" t="s">
        <v>3957</v>
      </c>
      <c r="B428" s="303" t="s">
        <v>1128</v>
      </c>
      <c r="C428" s="306">
        <v>1.77</v>
      </c>
      <c r="D428" s="306">
        <v>1.77</v>
      </c>
      <c r="E428" s="306">
        <v>1.77</v>
      </c>
      <c r="F428" s="306">
        <v>1.77</v>
      </c>
      <c r="G428" s="289">
        <v>0</v>
      </c>
      <c r="H428" s="288">
        <v>0</v>
      </c>
      <c r="I428" s="290">
        <v>0</v>
      </c>
    </row>
    <row r="429" spans="1:9">
      <c r="A429" s="303" t="s">
        <v>3957</v>
      </c>
      <c r="B429" s="303" t="s">
        <v>95</v>
      </c>
      <c r="C429" s="306">
        <v>0.63</v>
      </c>
      <c r="D429" s="306">
        <v>0.63</v>
      </c>
      <c r="E429" s="306">
        <v>0.63</v>
      </c>
      <c r="F429" s="306">
        <v>0.63</v>
      </c>
      <c r="G429" s="289">
        <v>0</v>
      </c>
      <c r="H429" s="288">
        <v>0</v>
      </c>
      <c r="I429" s="290">
        <v>0</v>
      </c>
    </row>
    <row r="430" spans="1:9">
      <c r="A430" s="304" t="s">
        <v>59</v>
      </c>
      <c r="B430" s="303" t="s">
        <v>4426</v>
      </c>
      <c r="C430" s="306">
        <v>246.21</v>
      </c>
      <c r="D430" s="306">
        <v>246.21</v>
      </c>
      <c r="E430" s="306">
        <v>246.21</v>
      </c>
      <c r="F430" s="306">
        <v>246.21</v>
      </c>
      <c r="G430" s="289">
        <v>0</v>
      </c>
      <c r="H430" s="288">
        <v>0</v>
      </c>
      <c r="I430" s="290">
        <v>0</v>
      </c>
    </row>
    <row r="431" spans="1:9">
      <c r="A431" s="304" t="s">
        <v>59</v>
      </c>
      <c r="B431" s="304" t="s">
        <v>4429</v>
      </c>
      <c r="C431" s="306">
        <v>722.63</v>
      </c>
      <c r="D431" s="306">
        <v>722.63</v>
      </c>
      <c r="E431" s="306">
        <v>722.63</v>
      </c>
      <c r="F431" s="306">
        <v>722.63</v>
      </c>
      <c r="G431" s="289">
        <v>0</v>
      </c>
      <c r="H431" s="288">
        <v>0</v>
      </c>
      <c r="I431" s="290">
        <v>0</v>
      </c>
    </row>
    <row r="432" spans="1:9">
      <c r="A432" s="304" t="s">
        <v>59</v>
      </c>
      <c r="B432" s="304" t="s">
        <v>63</v>
      </c>
      <c r="C432" s="306">
        <v>1136.79</v>
      </c>
      <c r="D432" s="306">
        <v>1136.79</v>
      </c>
      <c r="E432" s="306">
        <v>1136.79</v>
      </c>
      <c r="F432" s="306">
        <v>1136.79</v>
      </c>
      <c r="G432" s="289">
        <v>0</v>
      </c>
      <c r="H432" s="288">
        <v>0</v>
      </c>
      <c r="I432" s="290">
        <v>0</v>
      </c>
    </row>
    <row r="433" spans="1:9">
      <c r="A433" s="304" t="s">
        <v>59</v>
      </c>
      <c r="B433" s="307" t="s">
        <v>65</v>
      </c>
      <c r="C433" s="306">
        <v>1136.79</v>
      </c>
      <c r="D433" s="306">
        <v>1136.79</v>
      </c>
      <c r="E433" s="306">
        <v>1136.79</v>
      </c>
      <c r="F433" s="306">
        <v>1136.79</v>
      </c>
      <c r="G433" s="289">
        <v>0</v>
      </c>
      <c r="H433" s="288">
        <v>0</v>
      </c>
      <c r="I433" s="290">
        <v>0</v>
      </c>
    </row>
    <row r="434" spans="1:9">
      <c r="A434" s="304" t="s">
        <v>59</v>
      </c>
      <c r="B434" s="304" t="s">
        <v>75</v>
      </c>
      <c r="C434" s="306">
        <v>243.11</v>
      </c>
      <c r="D434" s="306">
        <v>243.11</v>
      </c>
      <c r="E434" s="306">
        <v>243.11</v>
      </c>
      <c r="F434" s="306">
        <v>243.11</v>
      </c>
      <c r="G434" s="306">
        <v>243.11</v>
      </c>
      <c r="H434" s="288">
        <v>0</v>
      </c>
      <c r="I434" s="290">
        <v>0</v>
      </c>
    </row>
    <row r="435" spans="1:9">
      <c r="A435" s="304" t="s">
        <v>59</v>
      </c>
      <c r="B435" s="304" t="s">
        <v>67</v>
      </c>
      <c r="C435" s="306">
        <v>844.59</v>
      </c>
      <c r="D435" s="306">
        <v>844.59</v>
      </c>
      <c r="E435" s="306">
        <v>844.59</v>
      </c>
      <c r="F435" s="306">
        <v>844.59</v>
      </c>
      <c r="G435" s="289">
        <v>0</v>
      </c>
      <c r="H435" s="288">
        <v>0</v>
      </c>
      <c r="I435" s="290">
        <v>0</v>
      </c>
    </row>
    <row r="436" spans="1:9">
      <c r="A436" s="304" t="s">
        <v>59</v>
      </c>
      <c r="B436" s="304" t="s">
        <v>69</v>
      </c>
      <c r="C436" s="306">
        <v>798.69</v>
      </c>
      <c r="D436" s="306">
        <v>798.69</v>
      </c>
      <c r="E436" s="306">
        <v>798.69</v>
      </c>
      <c r="F436" s="306">
        <v>798.69</v>
      </c>
      <c r="G436" s="289">
        <v>0</v>
      </c>
      <c r="H436" s="288">
        <v>0</v>
      </c>
      <c r="I436" s="290">
        <v>0</v>
      </c>
    </row>
    <row r="437" spans="1:9">
      <c r="A437" s="304" t="s">
        <v>59</v>
      </c>
      <c r="B437" s="304" t="s">
        <v>71</v>
      </c>
      <c r="C437" s="306">
        <v>519.12</v>
      </c>
      <c r="D437" s="306">
        <v>519.12</v>
      </c>
      <c r="E437" s="306">
        <v>519.12</v>
      </c>
      <c r="F437" s="306">
        <v>519.12</v>
      </c>
      <c r="G437" s="289">
        <v>0</v>
      </c>
      <c r="H437" s="288">
        <v>0</v>
      </c>
      <c r="I437" s="290">
        <v>0</v>
      </c>
    </row>
    <row r="438" spans="1:9">
      <c r="A438" s="304" t="s">
        <v>59</v>
      </c>
      <c r="B438" s="304" t="s">
        <v>73</v>
      </c>
      <c r="C438" s="306">
        <v>587.98</v>
      </c>
      <c r="D438" s="306">
        <v>587.98</v>
      </c>
      <c r="E438" s="306">
        <v>587.98</v>
      </c>
      <c r="F438" s="306">
        <v>587.98</v>
      </c>
      <c r="G438" s="289">
        <v>0</v>
      </c>
      <c r="H438" s="288">
        <v>0</v>
      </c>
      <c r="I438" s="290">
        <v>0</v>
      </c>
    </row>
    <row r="439" spans="1:9">
      <c r="A439" s="304" t="s">
        <v>59</v>
      </c>
      <c r="B439" s="304" t="s">
        <v>77</v>
      </c>
      <c r="C439" s="306">
        <v>59.65</v>
      </c>
      <c r="D439" s="306">
        <v>59.65</v>
      </c>
      <c r="E439" s="306">
        <v>59.65</v>
      </c>
      <c r="F439" s="306">
        <v>59.65</v>
      </c>
      <c r="G439" s="289">
        <v>0</v>
      </c>
      <c r="H439" s="288">
        <v>0</v>
      </c>
      <c r="I439" s="290">
        <v>0</v>
      </c>
    </row>
    <row r="440" spans="1:9">
      <c r="A440" s="304" t="s">
        <v>59</v>
      </c>
      <c r="B440" s="304" t="s">
        <v>4428</v>
      </c>
      <c r="C440" s="306">
        <v>76.72</v>
      </c>
      <c r="D440" s="306">
        <v>76.72</v>
      </c>
      <c r="E440" s="306">
        <v>76.72</v>
      </c>
      <c r="F440" s="306">
        <v>76.72</v>
      </c>
      <c r="G440" s="289">
        <v>0</v>
      </c>
      <c r="H440" s="288">
        <v>0</v>
      </c>
      <c r="I440" s="290">
        <v>0</v>
      </c>
    </row>
    <row r="441" spans="1:9">
      <c r="A441" s="308" t="s">
        <v>59</v>
      </c>
      <c r="B441" s="308" t="s">
        <v>81</v>
      </c>
      <c r="C441" s="309">
        <v>72.63</v>
      </c>
      <c r="D441" s="309">
        <v>72.63</v>
      </c>
      <c r="E441" s="309">
        <v>72.63</v>
      </c>
      <c r="F441" s="309">
        <v>72.63</v>
      </c>
      <c r="G441" s="310">
        <v>0</v>
      </c>
      <c r="H441" s="311">
        <v>0</v>
      </c>
      <c r="I441" s="312">
        <v>0</v>
      </c>
    </row>
    <row r="442" spans="1:9">
      <c r="A442" s="304" t="s">
        <v>59</v>
      </c>
      <c r="B442" s="304" t="s">
        <v>4427</v>
      </c>
      <c r="C442" s="306">
        <v>78.42</v>
      </c>
      <c r="D442" s="306">
        <v>78.42</v>
      </c>
      <c r="E442" s="306">
        <v>78.42</v>
      </c>
      <c r="F442" s="306">
        <v>78.42</v>
      </c>
      <c r="G442" s="289">
        <v>0</v>
      </c>
      <c r="H442" s="288">
        <v>0</v>
      </c>
      <c r="I442" s="290">
        <v>0</v>
      </c>
    </row>
    <row r="443" spans="1:9">
      <c r="A443" s="304" t="s">
        <v>3848</v>
      </c>
      <c r="B443" s="304" t="s">
        <v>4334</v>
      </c>
      <c r="C443" s="306">
        <v>0</v>
      </c>
      <c r="D443" s="306">
        <v>0</v>
      </c>
      <c r="E443" s="306">
        <v>0</v>
      </c>
      <c r="F443" s="306">
        <f>17.21/5.0879</f>
        <v>3.3825350341005129</v>
      </c>
      <c r="G443" s="306">
        <v>0</v>
      </c>
      <c r="H443" s="306">
        <v>0</v>
      </c>
      <c r="I443" s="306">
        <v>0</v>
      </c>
    </row>
    <row r="444" spans="1:9">
      <c r="A444" s="303" t="s">
        <v>3957</v>
      </c>
      <c r="B444" s="304" t="s">
        <v>4341</v>
      </c>
      <c r="C444" s="306"/>
      <c r="D444" s="306"/>
      <c r="E444" s="306"/>
      <c r="F444" s="306">
        <v>5.32</v>
      </c>
      <c r="G444" s="306"/>
      <c r="H444" s="306"/>
      <c r="I444" s="306"/>
    </row>
    <row r="445" spans="1:9">
      <c r="A445" s="304" t="s">
        <v>4382</v>
      </c>
      <c r="B445" s="304" t="s">
        <v>4383</v>
      </c>
      <c r="C445" s="306"/>
      <c r="D445" s="306"/>
      <c r="E445" s="306"/>
      <c r="F445" s="306">
        <v>1</v>
      </c>
      <c r="G445" s="306"/>
      <c r="H445" s="306"/>
      <c r="I445" s="306"/>
    </row>
    <row r="446" spans="1:9">
      <c r="A446" s="357" t="s">
        <v>4382</v>
      </c>
      <c r="B446" s="357" t="s">
        <v>4384</v>
      </c>
      <c r="C446" s="306"/>
      <c r="D446" s="306"/>
      <c r="E446" s="306"/>
      <c r="F446" s="306">
        <v>1</v>
      </c>
      <c r="G446" s="306"/>
      <c r="H446" s="306"/>
      <c r="I446" s="306"/>
    </row>
    <row r="447" spans="1:9">
      <c r="A447" s="357" t="s">
        <v>4382</v>
      </c>
      <c r="B447" s="357" t="s">
        <v>4385</v>
      </c>
      <c r="C447" s="306"/>
      <c r="D447" s="306"/>
      <c r="E447" s="306"/>
      <c r="F447" s="306">
        <v>1</v>
      </c>
      <c r="G447" s="306"/>
      <c r="H447" s="306"/>
      <c r="I447" s="306"/>
    </row>
  </sheetData>
  <phoneticPr fontId="34" type="noConversion"/>
  <pageMargins left="0.7" right="0.7" top="0.75" bottom="0.75" header="0.3" footer="0.3"/>
  <legacy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1853A-DC40-4B3C-835C-46BDBFC20020}">
  <dimension ref="A1:H128"/>
  <sheetViews>
    <sheetView workbookViewId="0">
      <selection activeCell="A100" sqref="A100"/>
    </sheetView>
  </sheetViews>
  <sheetFormatPr defaultRowHeight="15"/>
  <cols>
    <col min="1" max="1" width="13.7109375" bestFit="1" customWidth="1"/>
    <col min="2" max="2" width="21.28515625" customWidth="1"/>
    <col min="3" max="3" width="11.140625" bestFit="1" customWidth="1"/>
    <col min="6" max="6" width="11.140625" bestFit="1" customWidth="1"/>
    <col min="7" max="7" width="38.85546875" bestFit="1" customWidth="1"/>
    <col min="8" max="8" width="21.42578125" style="2" customWidth="1"/>
  </cols>
  <sheetData>
    <row r="1" spans="1:8">
      <c r="A1" s="279" t="s">
        <v>3958</v>
      </c>
      <c r="B1" s="277" t="s">
        <v>3959</v>
      </c>
      <c r="C1" s="274" t="s">
        <v>1169</v>
      </c>
      <c r="F1" s="150" t="s">
        <v>138</v>
      </c>
      <c r="G1" s="129" t="s">
        <v>3960</v>
      </c>
      <c r="H1" s="272" t="s">
        <v>3961</v>
      </c>
    </row>
    <row r="2" spans="1:8">
      <c r="A2" s="280" t="s">
        <v>1055</v>
      </c>
      <c r="B2" s="275">
        <v>8.35</v>
      </c>
      <c r="C2">
        <f>_xlfn.XLOOKUP(Table6[[#This Row],[Item]],PDB!B:B,PDB!F:F)</f>
        <v>8.35</v>
      </c>
      <c r="F2" s="122" t="s">
        <v>51</v>
      </c>
      <c r="G2" s="36" t="s">
        <v>3962</v>
      </c>
      <c r="H2" s="271">
        <v>23.93</v>
      </c>
    </row>
    <row r="3" spans="1:8">
      <c r="A3" s="281" t="s">
        <v>1030</v>
      </c>
      <c r="B3" s="275">
        <v>8.51</v>
      </c>
      <c r="C3">
        <f>_xlfn.XLOOKUP(Table6[[#This Row],[Item]],PDB!B:B,PDB!F:F)</f>
        <v>8.51</v>
      </c>
      <c r="F3" s="122" t="s">
        <v>33</v>
      </c>
      <c r="G3" s="36" t="s">
        <v>3963</v>
      </c>
      <c r="H3" s="271">
        <v>22.38</v>
      </c>
    </row>
    <row r="4" spans="1:8">
      <c r="A4" s="282" t="s">
        <v>202</v>
      </c>
      <c r="B4" s="275">
        <v>12.4</v>
      </c>
      <c r="C4" t="e">
        <f>_xlfn.XLOOKUP(Table6[[#This Row],[Item]],PDB!B:B,PDB!F:F)</f>
        <v>#N/A</v>
      </c>
      <c r="F4" s="122" t="s">
        <v>34</v>
      </c>
      <c r="G4" s="36" t="s">
        <v>3964</v>
      </c>
      <c r="H4" s="271">
        <v>22.29</v>
      </c>
    </row>
    <row r="5" spans="1:8">
      <c r="A5" s="282" t="s">
        <v>228</v>
      </c>
      <c r="B5" s="275">
        <v>17.38</v>
      </c>
      <c r="C5">
        <f>_xlfn.XLOOKUP(Table6[[#This Row],[Item]],PDB!B:B,PDB!F:F)</f>
        <v>17.38</v>
      </c>
      <c r="F5" s="122" t="s">
        <v>179</v>
      </c>
      <c r="G5" s="36" t="s">
        <v>3965</v>
      </c>
      <c r="H5" s="271">
        <v>36.53</v>
      </c>
    </row>
    <row r="6" spans="1:8">
      <c r="A6" s="282" t="s">
        <v>320</v>
      </c>
      <c r="B6" s="275">
        <v>34</v>
      </c>
      <c r="C6">
        <f>_xlfn.XLOOKUP(Table6[[#This Row],[Item]],PDB!B:B,PDB!F:F)</f>
        <v>34</v>
      </c>
      <c r="F6" s="122" t="s">
        <v>38</v>
      </c>
      <c r="G6" s="36" t="s">
        <v>3966</v>
      </c>
      <c r="H6" s="271">
        <v>42.46</v>
      </c>
    </row>
    <row r="7" spans="1:8">
      <c r="A7" s="282" t="s">
        <v>1064</v>
      </c>
      <c r="B7" s="275">
        <v>34</v>
      </c>
      <c r="C7">
        <f>_xlfn.XLOOKUP(Table6[[#This Row],[Item]],PDB!B:B,PDB!F:F)</f>
        <v>34</v>
      </c>
      <c r="F7" s="122" t="s">
        <v>40</v>
      </c>
      <c r="G7" s="36" t="s">
        <v>3967</v>
      </c>
      <c r="H7" s="271">
        <v>41.43</v>
      </c>
    </row>
    <row r="8" spans="1:8">
      <c r="A8" s="282" t="s">
        <v>3909</v>
      </c>
      <c r="B8" s="275">
        <v>34</v>
      </c>
      <c r="C8">
        <f>_xlfn.XLOOKUP(Table6[[#This Row],[Item]],PDB!B:B,PDB!F:F)</f>
        <v>34</v>
      </c>
      <c r="F8" s="122" t="s">
        <v>670</v>
      </c>
      <c r="G8" s="36" t="s">
        <v>3968</v>
      </c>
      <c r="H8" s="271">
        <v>43.11</v>
      </c>
    </row>
    <row r="9" spans="1:8">
      <c r="A9" s="282" t="s">
        <v>1069</v>
      </c>
      <c r="B9" s="275">
        <v>34</v>
      </c>
      <c r="C9">
        <f>_xlfn.XLOOKUP(Table6[[#This Row],[Item]],PDB!B:B,PDB!F:F)</f>
        <v>34</v>
      </c>
      <c r="F9" s="122" t="s">
        <v>41</v>
      </c>
      <c r="G9" s="36" t="s">
        <v>3969</v>
      </c>
      <c r="H9" s="271">
        <v>45.25</v>
      </c>
    </row>
    <row r="10" spans="1:8">
      <c r="A10" s="282" t="s">
        <v>1067</v>
      </c>
      <c r="B10" s="275">
        <v>34</v>
      </c>
      <c r="C10">
        <f>_xlfn.XLOOKUP(Table6[[#This Row],[Item]],PDB!B:B,PDB!F:F)</f>
        <v>34</v>
      </c>
      <c r="F10" s="122" t="s">
        <v>46</v>
      </c>
      <c r="G10" s="36" t="s">
        <v>3970</v>
      </c>
      <c r="H10" s="271">
        <v>118.15</v>
      </c>
    </row>
    <row r="11" spans="1:8">
      <c r="A11" s="282" t="s">
        <v>467</v>
      </c>
      <c r="B11" s="275">
        <v>34</v>
      </c>
      <c r="C11" t="e">
        <f>_xlfn.XLOOKUP(Table6[[#This Row],[Item]],PDB!B:B,PDB!F:F)</f>
        <v>#N/A</v>
      </c>
      <c r="F11" s="122" t="s">
        <v>650</v>
      </c>
      <c r="G11" s="36" t="s">
        <v>3971</v>
      </c>
      <c r="H11" s="271">
        <v>118.16</v>
      </c>
    </row>
    <row r="12" spans="1:8">
      <c r="A12" s="282" t="s">
        <v>242</v>
      </c>
      <c r="B12" s="275">
        <v>68.59</v>
      </c>
      <c r="C12">
        <f>_xlfn.XLOOKUP(Table6[[#This Row],[Item]],PDB!B:B,PDB!F:F)</f>
        <v>78.23</v>
      </c>
      <c r="F12" s="122" t="s">
        <v>48</v>
      </c>
      <c r="G12" s="36" t="s">
        <v>3972</v>
      </c>
      <c r="H12" s="271">
        <v>121.64</v>
      </c>
    </row>
    <row r="13" spans="1:8">
      <c r="A13" s="282" t="s">
        <v>350</v>
      </c>
      <c r="B13" s="275">
        <v>80.989999999999995</v>
      </c>
      <c r="C13">
        <f>_xlfn.XLOOKUP(Table6[[#This Row],[Item]],PDB!B:B,PDB!F:F)</f>
        <v>62.93</v>
      </c>
      <c r="F13" s="122" t="s">
        <v>397</v>
      </c>
      <c r="G13" s="36" t="s">
        <v>3973</v>
      </c>
      <c r="H13" s="271">
        <v>94.43</v>
      </c>
    </row>
    <row r="14" spans="1:8">
      <c r="A14" s="282" t="s">
        <v>1060</v>
      </c>
      <c r="B14" s="275">
        <v>2.63</v>
      </c>
      <c r="C14">
        <f>_xlfn.XLOOKUP(Table6[[#This Row],[Item]],PDB!B:B,PDB!F:F)</f>
        <v>2.63</v>
      </c>
      <c r="F14" s="122" t="s">
        <v>936</v>
      </c>
      <c r="G14" s="36" t="s">
        <v>3974</v>
      </c>
      <c r="H14" s="271">
        <v>27.56</v>
      </c>
    </row>
    <row r="15" spans="1:8">
      <c r="A15" s="282" t="s">
        <v>51</v>
      </c>
      <c r="B15" s="275">
        <v>23.93</v>
      </c>
      <c r="C15">
        <f>_xlfn.XLOOKUP(Table6[[#This Row],[Item]],PDB!B:B,PDB!F:F)</f>
        <v>23.93</v>
      </c>
      <c r="F15" s="122" t="s">
        <v>42</v>
      </c>
      <c r="G15" s="36" t="s">
        <v>3975</v>
      </c>
      <c r="H15" s="271">
        <v>46.06</v>
      </c>
    </row>
    <row r="16" spans="1:8">
      <c r="A16" s="282" t="s">
        <v>33</v>
      </c>
      <c r="B16" s="275">
        <v>22.38</v>
      </c>
      <c r="C16">
        <f>_xlfn.XLOOKUP(Table6[[#This Row],[Item]],PDB!B:B,PDB!F:F)</f>
        <v>22.38</v>
      </c>
      <c r="F16" s="122" t="s">
        <v>939</v>
      </c>
      <c r="G16" s="36" t="s">
        <v>3976</v>
      </c>
      <c r="H16" s="271">
        <v>23.31</v>
      </c>
    </row>
    <row r="17" spans="1:8">
      <c r="A17" s="282" t="s">
        <v>34</v>
      </c>
      <c r="B17" s="275">
        <v>22.29</v>
      </c>
      <c r="C17">
        <f>_xlfn.XLOOKUP(Table6[[#This Row],[Item]],PDB!B:B,PDB!F:F)</f>
        <v>22.29</v>
      </c>
      <c r="F17" s="122" t="s">
        <v>388</v>
      </c>
      <c r="G17" s="36" t="s">
        <v>3977</v>
      </c>
      <c r="H17" s="271">
        <v>56.67</v>
      </c>
    </row>
    <row r="18" spans="1:8">
      <c r="A18" s="282" t="s">
        <v>179</v>
      </c>
      <c r="B18" s="275">
        <v>36.53</v>
      </c>
      <c r="C18">
        <f>_xlfn.XLOOKUP(Table6[[#This Row],[Item]],PDB!B:B,PDB!F:F)</f>
        <v>36.53</v>
      </c>
      <c r="F18" s="122" t="s">
        <v>671</v>
      </c>
      <c r="G18" s="36" t="s">
        <v>3978</v>
      </c>
      <c r="H18" s="271">
        <v>55.49</v>
      </c>
    </row>
    <row r="19" spans="1:8">
      <c r="A19" s="282" t="s">
        <v>38</v>
      </c>
      <c r="B19" s="275">
        <v>42.46</v>
      </c>
      <c r="C19">
        <f>_xlfn.XLOOKUP(Table6[[#This Row],[Item]],PDB!B:B,PDB!F:F)</f>
        <v>42.46</v>
      </c>
      <c r="F19" s="122" t="s">
        <v>943</v>
      </c>
      <c r="G19" s="36" t="s">
        <v>3979</v>
      </c>
      <c r="H19" s="271">
        <v>50.23</v>
      </c>
    </row>
    <row r="20" spans="1:8">
      <c r="A20" s="282" t="s">
        <v>40</v>
      </c>
      <c r="B20" s="275">
        <v>41.43</v>
      </c>
      <c r="C20">
        <f>_xlfn.XLOOKUP(Table6[[#This Row],[Item]],PDB!B:B,PDB!F:F)</f>
        <v>41.43</v>
      </c>
      <c r="F20" s="122" t="s">
        <v>945</v>
      </c>
      <c r="G20" s="36" t="s">
        <v>3980</v>
      </c>
      <c r="H20" s="271">
        <v>91</v>
      </c>
    </row>
    <row r="21" spans="1:8">
      <c r="A21" s="282" t="s">
        <v>670</v>
      </c>
      <c r="B21" s="275">
        <v>43.11</v>
      </c>
      <c r="C21">
        <f>_xlfn.XLOOKUP(Table6[[#This Row],[Item]],PDB!B:B,PDB!F:F)</f>
        <v>43.11</v>
      </c>
      <c r="F21" s="122" t="s">
        <v>29</v>
      </c>
      <c r="G21" s="36" t="s">
        <v>3981</v>
      </c>
      <c r="H21" s="271">
        <v>2.46</v>
      </c>
    </row>
    <row r="22" spans="1:8">
      <c r="A22" s="282" t="s">
        <v>41</v>
      </c>
      <c r="B22" s="275">
        <v>45.25</v>
      </c>
      <c r="C22">
        <f>_xlfn.XLOOKUP(Table6[[#This Row],[Item]],PDB!B:B,PDB!F:F)</f>
        <v>45.25</v>
      </c>
      <c r="F22" s="122" t="s">
        <v>951</v>
      </c>
      <c r="G22" s="36" t="s">
        <v>3982</v>
      </c>
      <c r="H22" s="271">
        <v>5.22</v>
      </c>
    </row>
    <row r="23" spans="1:8">
      <c r="A23" s="282" t="s">
        <v>46</v>
      </c>
      <c r="B23" s="275">
        <v>118.15</v>
      </c>
      <c r="C23">
        <f>_xlfn.XLOOKUP(Table6[[#This Row],[Item]],PDB!B:B,PDB!F:F)</f>
        <v>118.15</v>
      </c>
      <c r="F23" s="122" t="s">
        <v>963</v>
      </c>
      <c r="G23" s="36" t="s">
        <v>3983</v>
      </c>
      <c r="H23" s="271">
        <v>22.81</v>
      </c>
    </row>
    <row r="24" spans="1:8">
      <c r="A24" s="282" t="s">
        <v>650</v>
      </c>
      <c r="B24" s="275">
        <v>118.16</v>
      </c>
      <c r="C24">
        <f>_xlfn.XLOOKUP(Table6[[#This Row],[Item]],PDB!B:B,PDB!F:F)</f>
        <v>118.16</v>
      </c>
      <c r="F24" s="122" t="s">
        <v>49</v>
      </c>
      <c r="G24" s="36" t="s">
        <v>3984</v>
      </c>
      <c r="H24" s="271">
        <v>118.26</v>
      </c>
    </row>
    <row r="25" spans="1:8">
      <c r="A25" s="282" t="s">
        <v>48</v>
      </c>
      <c r="B25" s="275">
        <v>121.64</v>
      </c>
      <c r="C25">
        <f>_xlfn.XLOOKUP(Table6[[#This Row],[Item]],PDB!B:B,PDB!F:F)</f>
        <v>121.64</v>
      </c>
      <c r="F25" s="122" t="s">
        <v>383</v>
      </c>
      <c r="G25" s="36" t="s">
        <v>3985</v>
      </c>
      <c r="H25" s="271">
        <v>92.23</v>
      </c>
    </row>
    <row r="26" spans="1:8">
      <c r="A26" s="282" t="s">
        <v>397</v>
      </c>
      <c r="B26" s="275">
        <v>94.43</v>
      </c>
      <c r="C26">
        <f>_xlfn.XLOOKUP(Table6[[#This Row],[Item]],PDB!B:B,PDB!F:F)</f>
        <v>94.43</v>
      </c>
      <c r="F26" s="122" t="s">
        <v>969</v>
      </c>
      <c r="G26" s="36" t="s">
        <v>3986</v>
      </c>
      <c r="H26" s="271">
        <v>49.84</v>
      </c>
    </row>
    <row r="27" spans="1:8">
      <c r="A27" s="282" t="s">
        <v>936</v>
      </c>
      <c r="B27" s="275">
        <v>27.56</v>
      </c>
      <c r="C27">
        <f>_xlfn.XLOOKUP(Table6[[#This Row],[Item]],PDB!B:B,PDB!F:F)</f>
        <v>27.56</v>
      </c>
      <c r="F27" s="122" t="s">
        <v>971</v>
      </c>
      <c r="G27" s="36" t="s">
        <v>3987</v>
      </c>
      <c r="H27" s="271">
        <v>50.73</v>
      </c>
    </row>
    <row r="28" spans="1:8">
      <c r="A28" s="282" t="s">
        <v>42</v>
      </c>
      <c r="B28" s="275">
        <v>46.06</v>
      </c>
      <c r="C28">
        <f>_xlfn.XLOOKUP(Table6[[#This Row],[Item]],PDB!B:B,PDB!F:F)</f>
        <v>46.06</v>
      </c>
      <c r="F28" s="122" t="s">
        <v>389</v>
      </c>
      <c r="G28" s="36" t="s">
        <v>3988</v>
      </c>
      <c r="H28" s="271">
        <v>50.13</v>
      </c>
    </row>
    <row r="29" spans="1:8">
      <c r="A29" s="282" t="s">
        <v>939</v>
      </c>
      <c r="B29" s="275">
        <v>23.31</v>
      </c>
      <c r="C29">
        <f>_xlfn.XLOOKUP(Table6[[#This Row],[Item]],PDB!B:B,PDB!F:F)</f>
        <v>23.31</v>
      </c>
      <c r="F29" s="122" t="s">
        <v>35</v>
      </c>
      <c r="G29" s="36" t="s">
        <v>3989</v>
      </c>
      <c r="H29" s="271">
        <v>29.19</v>
      </c>
    </row>
    <row r="30" spans="1:8">
      <c r="A30" s="282" t="s">
        <v>388</v>
      </c>
      <c r="B30" s="275">
        <v>56.67</v>
      </c>
      <c r="C30">
        <f>_xlfn.XLOOKUP(Table6[[#This Row],[Item]],PDB!B:B,PDB!F:F)</f>
        <v>56.67</v>
      </c>
      <c r="F30" s="122" t="s">
        <v>975</v>
      </c>
      <c r="G30" s="36" t="s">
        <v>3990</v>
      </c>
      <c r="H30" s="271">
        <v>29.67</v>
      </c>
    </row>
    <row r="31" spans="1:8">
      <c r="A31" s="282" t="s">
        <v>671</v>
      </c>
      <c r="B31" s="275">
        <v>55.49</v>
      </c>
      <c r="C31">
        <f>_xlfn.XLOOKUP(Table6[[#This Row],[Item]],PDB!B:B,PDB!F:F)</f>
        <v>55.49</v>
      </c>
      <c r="F31" s="122" t="s">
        <v>31</v>
      </c>
      <c r="G31" s="36" t="s">
        <v>3991</v>
      </c>
      <c r="H31" s="271">
        <v>26.49</v>
      </c>
    </row>
    <row r="32" spans="1:8">
      <c r="A32" s="282" t="s">
        <v>943</v>
      </c>
      <c r="B32" s="275">
        <v>47</v>
      </c>
      <c r="C32">
        <f>_xlfn.XLOOKUP(Table6[[#This Row],[Item]],PDB!B:B,PDB!F:F)</f>
        <v>50.23</v>
      </c>
      <c r="F32" s="122" t="s">
        <v>980</v>
      </c>
      <c r="G32" s="36" t="s">
        <v>3992</v>
      </c>
      <c r="H32" s="271">
        <v>42.25</v>
      </c>
    </row>
    <row r="33" spans="1:8">
      <c r="A33" s="282" t="s">
        <v>945</v>
      </c>
      <c r="B33" s="275">
        <v>80</v>
      </c>
      <c r="C33">
        <f>_xlfn.XLOOKUP(Table6[[#This Row],[Item]],PDB!B:B,PDB!F:F)</f>
        <v>91</v>
      </c>
      <c r="F33" s="122" t="s">
        <v>55</v>
      </c>
      <c r="G33" s="36" t="s">
        <v>3993</v>
      </c>
      <c r="H33" s="271">
        <v>7.73</v>
      </c>
    </row>
    <row r="34" spans="1:8">
      <c r="A34" s="282" t="s">
        <v>29</v>
      </c>
      <c r="B34" s="275">
        <v>2.46</v>
      </c>
      <c r="C34">
        <f>_xlfn.XLOOKUP(Table6[[#This Row],[Item]],PDB!B:B,PDB!F:F)</f>
        <v>2.46</v>
      </c>
      <c r="F34" s="122" t="s">
        <v>56</v>
      </c>
      <c r="G34" s="36" t="s">
        <v>3994</v>
      </c>
      <c r="H34" s="271">
        <v>4.4000000000000004</v>
      </c>
    </row>
    <row r="35" spans="1:8">
      <c r="A35" s="282" t="s">
        <v>951</v>
      </c>
      <c r="B35" s="275">
        <v>5.22</v>
      </c>
      <c r="C35">
        <f>_xlfn.XLOOKUP(Table6[[#This Row],[Item]],PDB!B:B,PDB!F:F)</f>
        <v>5.22</v>
      </c>
      <c r="F35" s="122" t="s">
        <v>984</v>
      </c>
      <c r="G35" s="36" t="s">
        <v>3995</v>
      </c>
      <c r="H35" s="271">
        <v>15.3</v>
      </c>
    </row>
    <row r="36" spans="1:8">
      <c r="A36" s="282" t="s">
        <v>963</v>
      </c>
      <c r="B36" s="275">
        <v>22.81</v>
      </c>
      <c r="C36">
        <f>_xlfn.XLOOKUP(Table6[[#This Row],[Item]],PDB!B:B,PDB!F:F)</f>
        <v>22.81</v>
      </c>
      <c r="F36" s="122" t="s">
        <v>1002</v>
      </c>
      <c r="G36" s="36" t="s">
        <v>3996</v>
      </c>
      <c r="H36" s="271">
        <v>16.12</v>
      </c>
    </row>
    <row r="37" spans="1:8">
      <c r="A37" s="282" t="s">
        <v>49</v>
      </c>
      <c r="B37" s="275">
        <v>118.26</v>
      </c>
      <c r="C37">
        <f>_xlfn.XLOOKUP(Table6[[#This Row],[Item]],PDB!B:B,PDB!F:F)</f>
        <v>118.26</v>
      </c>
      <c r="F37" s="122" t="s">
        <v>1004</v>
      </c>
      <c r="G37" s="36" t="s">
        <v>3997</v>
      </c>
      <c r="H37" s="271">
        <v>49.44</v>
      </c>
    </row>
    <row r="38" spans="1:8">
      <c r="A38" s="282" t="s">
        <v>383</v>
      </c>
      <c r="B38" s="275">
        <v>92.23</v>
      </c>
      <c r="C38">
        <f>_xlfn.XLOOKUP(Table6[[#This Row],[Item]],PDB!B:B,PDB!F:F)</f>
        <v>92.23</v>
      </c>
      <c r="F38" s="122" t="s">
        <v>36</v>
      </c>
      <c r="G38" s="36" t="s">
        <v>3998</v>
      </c>
      <c r="H38" s="271">
        <v>31.15</v>
      </c>
    </row>
    <row r="39" spans="1:8">
      <c r="A39" s="282" t="s">
        <v>969</v>
      </c>
      <c r="B39" s="275">
        <v>47</v>
      </c>
      <c r="C39">
        <f>_xlfn.XLOOKUP(Table6[[#This Row],[Item]],PDB!B:B,PDB!F:F)</f>
        <v>49.84</v>
      </c>
      <c r="F39" s="122" t="s">
        <v>1007</v>
      </c>
      <c r="G39" s="36" t="s">
        <v>3999</v>
      </c>
      <c r="H39" s="271">
        <v>55.43</v>
      </c>
    </row>
    <row r="40" spans="1:8">
      <c r="A40" s="282" t="s">
        <v>971</v>
      </c>
      <c r="B40" s="275">
        <v>47</v>
      </c>
      <c r="C40">
        <f>_xlfn.XLOOKUP(Table6[[#This Row],[Item]],PDB!B:B,PDB!F:F)</f>
        <v>50.73</v>
      </c>
      <c r="F40" s="122" t="s">
        <v>43</v>
      </c>
      <c r="G40" s="36" t="s">
        <v>4000</v>
      </c>
      <c r="H40" s="271">
        <v>48.87</v>
      </c>
    </row>
    <row r="41" spans="1:8">
      <c r="A41" s="282" t="s">
        <v>389</v>
      </c>
      <c r="B41" s="275">
        <v>47.5</v>
      </c>
      <c r="C41">
        <f>_xlfn.XLOOKUP(Table6[[#This Row],[Item]],PDB!B:B,PDB!F:F)</f>
        <v>50.13</v>
      </c>
      <c r="F41" s="122" t="s">
        <v>44</v>
      </c>
      <c r="G41" s="36" t="s">
        <v>4001</v>
      </c>
      <c r="H41" s="271">
        <v>103.2</v>
      </c>
    </row>
    <row r="42" spans="1:8">
      <c r="A42" s="282" t="s">
        <v>35</v>
      </c>
      <c r="B42" s="275">
        <v>28.6</v>
      </c>
      <c r="C42">
        <f>_xlfn.XLOOKUP(Table6[[#This Row],[Item]],PDB!B:B,PDB!F:F)</f>
        <v>29.19</v>
      </c>
      <c r="F42" s="122" t="s">
        <v>1011</v>
      </c>
      <c r="G42" s="36" t="s">
        <v>4002</v>
      </c>
      <c r="H42" s="271">
        <v>103.4</v>
      </c>
    </row>
    <row r="43" spans="1:8">
      <c r="A43" s="282" t="s">
        <v>975</v>
      </c>
      <c r="B43" s="275">
        <v>26.8</v>
      </c>
      <c r="C43">
        <f>_xlfn.XLOOKUP(Table6[[#This Row],[Item]],PDB!B:B,PDB!F:F)</f>
        <v>29.67</v>
      </c>
      <c r="F43" s="122" t="s">
        <v>1013</v>
      </c>
      <c r="G43" s="36" t="s">
        <v>4003</v>
      </c>
      <c r="H43" s="271">
        <v>85.24</v>
      </c>
    </row>
    <row r="44" spans="1:8">
      <c r="A44" s="282" t="s">
        <v>31</v>
      </c>
      <c r="B44" s="275">
        <v>24.6</v>
      </c>
      <c r="C44">
        <f>_xlfn.XLOOKUP(Table6[[#This Row],[Item]],PDB!B:B,PDB!F:F)</f>
        <v>26.49</v>
      </c>
      <c r="F44" s="122" t="s">
        <v>651</v>
      </c>
      <c r="G44" s="36" t="s">
        <v>4004</v>
      </c>
      <c r="H44" s="271">
        <v>114.03</v>
      </c>
    </row>
    <row r="45" spans="1:8">
      <c r="A45" s="282" t="s">
        <v>978</v>
      </c>
      <c r="B45" s="275">
        <v>125</v>
      </c>
      <c r="C45">
        <f>_xlfn.XLOOKUP(Table6[[#This Row],[Item]],PDB!B:B,PDB!F:F)</f>
        <v>125</v>
      </c>
      <c r="F45" s="122" t="s">
        <v>398</v>
      </c>
      <c r="G45" s="36" t="s">
        <v>4005</v>
      </c>
      <c r="H45" s="271">
        <v>140</v>
      </c>
    </row>
    <row r="46" spans="1:8">
      <c r="A46" s="282" t="s">
        <v>980</v>
      </c>
      <c r="B46" s="275">
        <v>30</v>
      </c>
      <c r="C46">
        <f>_xlfn.XLOOKUP(Table6[[#This Row],[Item]],PDB!B:B,PDB!F:F)</f>
        <v>42.25</v>
      </c>
      <c r="F46" s="225" t="s">
        <v>1017</v>
      </c>
      <c r="G46" s="158" t="s">
        <v>4006</v>
      </c>
      <c r="H46" s="273">
        <v>121</v>
      </c>
    </row>
    <row r="47" spans="1:8">
      <c r="A47" s="282" t="s">
        <v>55</v>
      </c>
      <c r="B47" s="275">
        <v>7.73</v>
      </c>
      <c r="C47">
        <f>_xlfn.XLOOKUP(Table6[[#This Row],[Item]],PDB!B:B,PDB!F:F)</f>
        <v>7.73</v>
      </c>
    </row>
    <row r="48" spans="1:8">
      <c r="A48" s="282" t="s">
        <v>56</v>
      </c>
      <c r="B48" s="275">
        <v>4.4000000000000004</v>
      </c>
      <c r="C48">
        <f>_xlfn.XLOOKUP(Table6[[#This Row],[Item]],PDB!B:B,PDB!F:F)</f>
        <v>4.4000000000000004</v>
      </c>
    </row>
    <row r="49" spans="1:3">
      <c r="A49" s="282" t="s">
        <v>984</v>
      </c>
      <c r="B49" s="275">
        <v>15.3</v>
      </c>
      <c r="C49">
        <f>_xlfn.XLOOKUP(Table6[[#This Row],[Item]],PDB!B:B,PDB!F:F)</f>
        <v>15.3</v>
      </c>
    </row>
    <row r="50" spans="1:3">
      <c r="A50" s="282" t="s">
        <v>986</v>
      </c>
      <c r="B50" s="275">
        <v>57.2</v>
      </c>
      <c r="C50">
        <f>_xlfn.XLOOKUP(Table6[[#This Row],[Item]],PDB!B:B,PDB!F:F)</f>
        <v>57.2</v>
      </c>
    </row>
    <row r="51" spans="1:3">
      <c r="A51" s="282" t="s">
        <v>992</v>
      </c>
      <c r="B51" s="275">
        <v>11.31</v>
      </c>
      <c r="C51">
        <f>_xlfn.XLOOKUP(Table6[[#This Row],[Item]],PDB!B:B,PDB!F:F)</f>
        <v>11.31</v>
      </c>
    </row>
    <row r="52" spans="1:3">
      <c r="A52" s="282" t="s">
        <v>1000</v>
      </c>
      <c r="B52" s="275">
        <v>52.68</v>
      </c>
      <c r="C52">
        <f>_xlfn.XLOOKUP(Table6[[#This Row],[Item]],PDB!B:B,PDB!F:F)</f>
        <v>52.68</v>
      </c>
    </row>
    <row r="53" spans="1:3">
      <c r="A53" s="282" t="s">
        <v>1002</v>
      </c>
      <c r="B53" s="275">
        <v>16.12</v>
      </c>
      <c r="C53">
        <f>_xlfn.XLOOKUP(Table6[[#This Row],[Item]],PDB!B:B,PDB!F:F)</f>
        <v>16.12</v>
      </c>
    </row>
    <row r="54" spans="1:3">
      <c r="A54" s="282" t="s">
        <v>1004</v>
      </c>
      <c r="B54" s="275">
        <v>49.44</v>
      </c>
      <c r="C54">
        <f>_xlfn.XLOOKUP(Table6[[#This Row],[Item]],PDB!B:B,PDB!F:F)</f>
        <v>49.44</v>
      </c>
    </row>
    <row r="55" spans="1:3">
      <c r="A55" s="282" t="s">
        <v>36</v>
      </c>
      <c r="B55" s="275">
        <v>31.15</v>
      </c>
      <c r="C55">
        <f>_xlfn.XLOOKUP(Table6[[#This Row],[Item]],PDB!B:B,PDB!F:F)</f>
        <v>31.15</v>
      </c>
    </row>
    <row r="56" spans="1:3">
      <c r="A56" s="282" t="s">
        <v>1007</v>
      </c>
      <c r="B56" s="275">
        <v>55.43</v>
      </c>
      <c r="C56">
        <f>_xlfn.XLOOKUP(Table6[[#This Row],[Item]],PDB!B:B,PDB!F:F)</f>
        <v>55.43</v>
      </c>
    </row>
    <row r="57" spans="1:3">
      <c r="A57" s="282" t="s">
        <v>43</v>
      </c>
      <c r="B57" s="275">
        <v>48.87</v>
      </c>
      <c r="C57">
        <f>_xlfn.XLOOKUP(Table6[[#This Row],[Item]],PDB!B:B,PDB!F:F)</f>
        <v>48.87</v>
      </c>
    </row>
    <row r="58" spans="1:3">
      <c r="A58" s="282" t="s">
        <v>44</v>
      </c>
      <c r="B58" s="275">
        <v>103.2</v>
      </c>
      <c r="C58">
        <f>_xlfn.XLOOKUP(Table6[[#This Row],[Item]],PDB!B:B,PDB!F:F)</f>
        <v>103.2</v>
      </c>
    </row>
    <row r="59" spans="1:3">
      <c r="A59" s="282" t="s">
        <v>1011</v>
      </c>
      <c r="B59" s="275">
        <v>103.4</v>
      </c>
      <c r="C59">
        <f>_xlfn.XLOOKUP(Table6[[#This Row],[Item]],PDB!B:B,PDB!F:F)</f>
        <v>103.4</v>
      </c>
    </row>
    <row r="60" spans="1:3">
      <c r="A60" s="282" t="s">
        <v>1013</v>
      </c>
      <c r="B60" s="275">
        <v>85.24</v>
      </c>
      <c r="C60">
        <f>_xlfn.XLOOKUP(Table6[[#This Row],[Item]],PDB!B:B,PDB!F:F)</f>
        <v>85.24</v>
      </c>
    </row>
    <row r="61" spans="1:3">
      <c r="A61" s="282" t="s">
        <v>651</v>
      </c>
      <c r="B61" s="275">
        <v>114.03</v>
      </c>
      <c r="C61">
        <f>_xlfn.XLOOKUP(Table6[[#This Row],[Item]],PDB!B:B,PDB!F:F)</f>
        <v>114.03</v>
      </c>
    </row>
    <row r="62" spans="1:3">
      <c r="A62" s="282" t="s">
        <v>398</v>
      </c>
      <c r="B62" s="275">
        <v>140</v>
      </c>
      <c r="C62">
        <f>_xlfn.XLOOKUP(Table6[[#This Row],[Item]],PDB!B:B,PDB!F:F)</f>
        <v>140</v>
      </c>
    </row>
    <row r="63" spans="1:3">
      <c r="A63" s="282" t="s">
        <v>1017</v>
      </c>
      <c r="B63" s="275">
        <v>121</v>
      </c>
      <c r="C63">
        <f>_xlfn.XLOOKUP(Table6[[#This Row],[Item]],PDB!B:B,PDB!F:F)</f>
        <v>121</v>
      </c>
    </row>
    <row r="64" spans="1:3">
      <c r="A64" s="283" t="s">
        <v>4007</v>
      </c>
      <c r="B64" s="276">
        <v>42.688800000000001</v>
      </c>
      <c r="C64" t="e">
        <f>_xlfn.XLOOKUP(Table6[[#This Row],[Item]],PDB!B:B,PDB!F:F)</f>
        <v>#N/A</v>
      </c>
    </row>
    <row r="65" spans="1:3">
      <c r="A65" s="284" t="s">
        <v>4008</v>
      </c>
      <c r="B65" s="276">
        <v>86.387</v>
      </c>
      <c r="C65" t="e">
        <f>_xlfn.XLOOKUP(Table6[[#This Row],[Item]],PDB!B:B,PDB!F:F)</f>
        <v>#N/A</v>
      </c>
    </row>
    <row r="66" spans="1:3">
      <c r="A66" s="284" t="s">
        <v>4009</v>
      </c>
      <c r="B66" s="276">
        <v>130.1832</v>
      </c>
      <c r="C66" t="e">
        <f>_xlfn.XLOOKUP(Table6[[#This Row],[Item]],PDB!B:B,PDB!F:F)</f>
        <v>#N/A</v>
      </c>
    </row>
    <row r="67" spans="1:3">
      <c r="A67" s="284" t="s">
        <v>4010</v>
      </c>
      <c r="B67" s="276">
        <v>51</v>
      </c>
      <c r="C67" t="e">
        <f>_xlfn.XLOOKUP(Table6[[#This Row],[Item]],PDB!B:B,PDB!F:F)</f>
        <v>#N/A</v>
      </c>
    </row>
    <row r="68" spans="1:3">
      <c r="A68" s="284" t="s">
        <v>4011</v>
      </c>
      <c r="B68" s="276">
        <v>33.466999999999999</v>
      </c>
      <c r="C68" t="e">
        <f>_xlfn.XLOOKUP(Table6[[#This Row],[Item]],PDB!B:B,PDB!F:F)</f>
        <v>#N/A</v>
      </c>
    </row>
    <row r="69" spans="1:3">
      <c r="A69" s="284" t="s">
        <v>4012</v>
      </c>
      <c r="B69" s="276">
        <v>160</v>
      </c>
      <c r="C69" t="e">
        <f>_xlfn.XLOOKUP(Table6[[#This Row],[Item]],PDB!B:B,PDB!F:F)</f>
        <v>#N/A</v>
      </c>
    </row>
    <row r="70" spans="1:3">
      <c r="A70" s="284" t="s">
        <v>4013</v>
      </c>
      <c r="B70" s="276">
        <v>140</v>
      </c>
      <c r="C70" t="e">
        <f>_xlfn.XLOOKUP(Table6[[#This Row],[Item]],PDB!B:B,PDB!F:F)</f>
        <v>#N/A</v>
      </c>
    </row>
    <row r="71" spans="1:3">
      <c r="A71" s="284" t="s">
        <v>4014</v>
      </c>
      <c r="B71" s="276">
        <v>109.9462</v>
      </c>
      <c r="C71" t="e">
        <f>_xlfn.XLOOKUP(Table6[[#This Row],[Item]],PDB!B:B,PDB!F:F)</f>
        <v>#N/A</v>
      </c>
    </row>
    <row r="72" spans="1:3">
      <c r="A72" s="284" t="s">
        <v>4015</v>
      </c>
      <c r="B72" s="276">
        <v>63.2</v>
      </c>
      <c r="C72" t="e">
        <f>_xlfn.XLOOKUP(Table6[[#This Row],[Item]],PDB!B:B,PDB!F:F)</f>
        <v>#N/A</v>
      </c>
    </row>
    <row r="73" spans="1:3">
      <c r="A73" s="284" t="s">
        <v>4016</v>
      </c>
      <c r="B73" s="276">
        <v>53.988200000000006</v>
      </c>
      <c r="C73" t="e">
        <f>_xlfn.XLOOKUP(Table6[[#This Row],[Item]],PDB!B:B,PDB!F:F)</f>
        <v>#N/A</v>
      </c>
    </row>
    <row r="74" spans="1:3">
      <c r="A74" s="284" t="s">
        <v>4017</v>
      </c>
      <c r="B74" s="276">
        <v>53.498200000000004</v>
      </c>
      <c r="C74" t="e">
        <f>_xlfn.XLOOKUP(Table6[[#This Row],[Item]],PDB!B:B,PDB!F:F)</f>
        <v>#N/A</v>
      </c>
    </row>
    <row r="75" spans="1:3">
      <c r="A75" s="284" t="s">
        <v>4018</v>
      </c>
      <c r="B75" s="276">
        <v>59.7408</v>
      </c>
      <c r="C75" t="e">
        <f>_xlfn.XLOOKUP(Table6[[#This Row],[Item]],PDB!B:B,PDB!F:F)</f>
        <v>#N/A</v>
      </c>
    </row>
    <row r="76" spans="1:3">
      <c r="A76" s="284" t="s">
        <v>4019</v>
      </c>
      <c r="B76" s="276">
        <v>130</v>
      </c>
      <c r="C76" t="e">
        <f>_xlfn.XLOOKUP(Table6[[#This Row],[Item]],PDB!B:B,PDB!F:F)</f>
        <v>#N/A</v>
      </c>
    </row>
    <row r="77" spans="1:3">
      <c r="A77" s="284" t="s">
        <v>4020</v>
      </c>
      <c r="B77" s="276">
        <v>34.682200000000002</v>
      </c>
      <c r="C77" t="e">
        <f>_xlfn.XLOOKUP(Table6[[#This Row],[Item]],PDB!B:B,PDB!F:F)</f>
        <v>#N/A</v>
      </c>
    </row>
    <row r="78" spans="1:3">
      <c r="A78" s="284" t="s">
        <v>4021</v>
      </c>
      <c r="B78" s="276">
        <v>108.92700000000001</v>
      </c>
      <c r="C78" t="e">
        <f>_xlfn.XLOOKUP(Table6[[#This Row],[Item]],PDB!B:B,PDB!F:F)</f>
        <v>#N/A</v>
      </c>
    </row>
    <row r="79" spans="1:3">
      <c r="A79" s="284" t="s">
        <v>4022</v>
      </c>
      <c r="B79" s="276">
        <v>120.1872</v>
      </c>
      <c r="C79" t="e">
        <f>_xlfn.XLOOKUP(Table6[[#This Row],[Item]],PDB!B:B,PDB!F:F)</f>
        <v>#N/A</v>
      </c>
    </row>
    <row r="80" spans="1:3">
      <c r="A80" s="284" t="s">
        <v>4023</v>
      </c>
      <c r="B80" s="276">
        <v>55.977599999999995</v>
      </c>
      <c r="C80" t="e">
        <f>_xlfn.XLOOKUP(Table6[[#This Row],[Item]],PDB!B:B,PDB!F:F)</f>
        <v>#N/A</v>
      </c>
    </row>
    <row r="81" spans="1:3">
      <c r="A81" s="284" t="s">
        <v>4024</v>
      </c>
      <c r="B81" s="276">
        <v>127.01780000000001</v>
      </c>
      <c r="C81" t="e">
        <f>_xlfn.XLOOKUP(Table6[[#This Row],[Item]],PDB!B:B,PDB!F:F)</f>
        <v>#N/A</v>
      </c>
    </row>
    <row r="82" spans="1:3">
      <c r="A82" s="284" t="s">
        <v>4025</v>
      </c>
      <c r="B82" s="276">
        <v>131.23179999999999</v>
      </c>
      <c r="C82" t="e">
        <f>_xlfn.XLOOKUP(Table6[[#This Row],[Item]],PDB!B:B,PDB!F:F)</f>
        <v>#N/A</v>
      </c>
    </row>
    <row r="83" spans="1:3">
      <c r="A83" s="284" t="s">
        <v>4026</v>
      </c>
      <c r="B83" s="276">
        <v>158</v>
      </c>
      <c r="C83" t="e">
        <f>_xlfn.XLOOKUP(Table6[[#This Row],[Item]],PDB!B:B,PDB!F:F)</f>
        <v>#N/A</v>
      </c>
    </row>
    <row r="84" spans="1:3">
      <c r="A84" s="284" t="s">
        <v>1173</v>
      </c>
      <c r="B84" s="276">
        <v>19.707799999999999</v>
      </c>
      <c r="C84">
        <f>_xlfn.XLOOKUP(Table6[[#This Row],[Item]],PDB!B:B,PDB!F:F)</f>
        <v>19.7</v>
      </c>
    </row>
    <row r="85" spans="1:3">
      <c r="A85" s="285" t="s">
        <v>4027</v>
      </c>
      <c r="B85" s="276">
        <v>5.2037999999999993</v>
      </c>
      <c r="C85" t="e">
        <f>_xlfn.XLOOKUP(Table6[[#This Row],[Item]],PDB!B:B,PDB!F:F)</f>
        <v>#N/A</v>
      </c>
    </row>
    <row r="86" spans="1:3">
      <c r="A86" s="285" t="s">
        <v>4028</v>
      </c>
      <c r="B86" s="276">
        <v>8.7611999999999988</v>
      </c>
      <c r="C86" t="e">
        <f>_xlfn.XLOOKUP(Table6[[#This Row],[Item]],PDB!B:B,PDB!F:F)</f>
        <v>#N/A</v>
      </c>
    </row>
    <row r="87" spans="1:3">
      <c r="A87" s="285" t="s">
        <v>4029</v>
      </c>
      <c r="B87" s="276">
        <v>9.182599999999999</v>
      </c>
      <c r="C87" t="e">
        <f>_xlfn.XLOOKUP(Table6[[#This Row],[Item]],PDB!B:B,PDB!F:F)</f>
        <v>#N/A</v>
      </c>
    </row>
    <row r="88" spans="1:3">
      <c r="A88" s="285" t="s">
        <v>4030</v>
      </c>
      <c r="B88" s="276">
        <v>8.2809999999999988</v>
      </c>
      <c r="C88" t="e">
        <f>_xlfn.XLOOKUP(Table6[[#This Row],[Item]],PDB!B:B,PDB!F:F)</f>
        <v>#N/A</v>
      </c>
    </row>
    <row r="89" spans="1:3">
      <c r="A89" s="285" t="s">
        <v>4031</v>
      </c>
      <c r="B89" s="276">
        <v>13.8866</v>
      </c>
      <c r="C89" t="e">
        <f>_xlfn.XLOOKUP(Table6[[#This Row],[Item]],PDB!B:B,PDB!F:F)</f>
        <v>#N/A</v>
      </c>
    </row>
    <row r="90" spans="1:3">
      <c r="A90" s="285" t="s">
        <v>4032</v>
      </c>
      <c r="B90" s="276">
        <v>7.3108000000000004</v>
      </c>
      <c r="C90" t="e">
        <f>_xlfn.XLOOKUP(Table6[[#This Row],[Item]],PDB!B:B,PDB!F:F)</f>
        <v>#N/A</v>
      </c>
    </row>
    <row r="91" spans="1:3">
      <c r="A91" s="285" t="s">
        <v>4033</v>
      </c>
      <c r="B91" s="276">
        <v>4.5667999999999997</v>
      </c>
      <c r="C91" t="e">
        <f>_xlfn.XLOOKUP(Table6[[#This Row],[Item]],PDB!B:B,PDB!F:F)</f>
        <v>#N/A</v>
      </c>
    </row>
    <row r="92" spans="1:3">
      <c r="A92" s="285" t="s">
        <v>4034</v>
      </c>
      <c r="B92" s="276">
        <v>4.7431999999999999</v>
      </c>
      <c r="C92" t="e">
        <f>_xlfn.XLOOKUP(Table6[[#This Row],[Item]],PDB!B:B,PDB!F:F)</f>
        <v>#N/A</v>
      </c>
    </row>
    <row r="93" spans="1:3">
      <c r="A93" s="285" t="s">
        <v>4035</v>
      </c>
      <c r="B93" s="276">
        <v>12.220600000000001</v>
      </c>
      <c r="C93" t="e">
        <f>_xlfn.XLOOKUP(Table6[[#This Row],[Item]],PDB!B:B,PDB!F:F)</f>
        <v>#N/A</v>
      </c>
    </row>
    <row r="94" spans="1:3">
      <c r="A94" s="285" t="s">
        <v>4036</v>
      </c>
      <c r="B94" s="276">
        <v>4.4589999999999996</v>
      </c>
      <c r="C94" t="e">
        <f>_xlfn.XLOOKUP(Table6[[#This Row],[Item]],PDB!B:B,PDB!F:F)</f>
        <v>#N/A</v>
      </c>
    </row>
    <row r="95" spans="1:3">
      <c r="A95" s="285" t="s">
        <v>4037</v>
      </c>
      <c r="B95" s="276">
        <v>4.4394</v>
      </c>
      <c r="C95" t="e">
        <f>_xlfn.XLOOKUP(Table6[[#This Row],[Item]],PDB!B:B,PDB!F:F)</f>
        <v>#N/A</v>
      </c>
    </row>
    <row r="96" spans="1:3">
      <c r="A96" s="285" t="s">
        <v>4038</v>
      </c>
      <c r="B96" s="276">
        <v>3.2046000000000001</v>
      </c>
      <c r="C96" t="e">
        <f>_xlfn.XLOOKUP(Table6[[#This Row],[Item]],PDB!B:B,PDB!F:F)</f>
        <v>#N/A</v>
      </c>
    </row>
    <row r="97" spans="1:3">
      <c r="A97" s="285" t="s">
        <v>4039</v>
      </c>
      <c r="B97" s="276">
        <v>13.514199999999999</v>
      </c>
      <c r="C97" t="e">
        <f>_xlfn.XLOOKUP(Table6[[#This Row],[Item]],PDB!B:B,PDB!F:F)</f>
        <v>#N/A</v>
      </c>
    </row>
    <row r="98" spans="1:3">
      <c r="A98" s="285" t="s">
        <v>4040</v>
      </c>
      <c r="B98" s="276">
        <v>13.729799999999999</v>
      </c>
      <c r="C98" t="e">
        <f>_xlfn.XLOOKUP(Table6[[#This Row],[Item]],PDB!B:B,PDB!F:F)</f>
        <v>#N/A</v>
      </c>
    </row>
    <row r="99" spans="1:3">
      <c r="A99" s="285" t="s">
        <v>4041</v>
      </c>
      <c r="B99" s="276">
        <v>8.2712000000000003</v>
      </c>
      <c r="C99" t="e">
        <f>_xlfn.XLOOKUP(Table6[[#This Row],[Item]],PDB!B:B,PDB!F:F)</f>
        <v>#N/A</v>
      </c>
    </row>
    <row r="100" spans="1:3">
      <c r="A100" s="314">
        <v>1818509284</v>
      </c>
      <c r="B100" s="276">
        <v>8.2809999999999988</v>
      </c>
      <c r="C100">
        <f>_xlfn.XLOOKUP(Table6[[#This Row],[Item]],PDB!B:B,PDB!F:F)</f>
        <v>8.2799999999999994</v>
      </c>
    </row>
    <row r="101" spans="1:3">
      <c r="A101" s="285" t="s">
        <v>4042</v>
      </c>
      <c r="B101" s="276">
        <v>10.770200000000001</v>
      </c>
      <c r="C101" t="e">
        <f>_xlfn.XLOOKUP(Table6[[#This Row],[Item]],PDB!B:B,PDB!F:F)</f>
        <v>#N/A</v>
      </c>
    </row>
    <row r="102" spans="1:3">
      <c r="A102" s="285" t="s">
        <v>4043</v>
      </c>
      <c r="B102" s="276">
        <v>5.0862000000000007</v>
      </c>
      <c r="C102" t="e">
        <f>_xlfn.XLOOKUP(Table6[[#This Row],[Item]],PDB!B:B,PDB!F:F)</f>
        <v>#N/A</v>
      </c>
    </row>
    <row r="103" spans="1:3">
      <c r="A103" s="285" t="s">
        <v>4044</v>
      </c>
      <c r="B103" s="276">
        <v>12.397</v>
      </c>
      <c r="C103" t="e">
        <f>_xlfn.XLOOKUP(Table6[[#This Row],[Item]],PDB!B:B,PDB!F:F)</f>
        <v>#N/A</v>
      </c>
    </row>
    <row r="104" spans="1:3">
      <c r="A104" s="285" t="s">
        <v>4045</v>
      </c>
      <c r="B104" s="276">
        <v>9.1335999999999995</v>
      </c>
      <c r="C104" t="e">
        <f>_xlfn.XLOOKUP(Table6[[#This Row],[Item]],PDB!B:B,PDB!F:F)</f>
        <v>#N/A</v>
      </c>
    </row>
    <row r="105" spans="1:3">
      <c r="A105" s="285" t="s">
        <v>4046</v>
      </c>
      <c r="B105" s="276">
        <v>3.1947999999999999</v>
      </c>
      <c r="C105" t="e">
        <f>_xlfn.XLOOKUP(Table6[[#This Row],[Item]],PDB!B:B,PDB!F:F)</f>
        <v>#N/A</v>
      </c>
    </row>
    <row r="106" spans="1:3">
      <c r="A106" s="285" t="s">
        <v>4047</v>
      </c>
      <c r="B106" s="276">
        <v>3.2242000000000002</v>
      </c>
      <c r="C106" t="e">
        <f>_xlfn.XLOOKUP(Table6[[#This Row],[Item]],PDB!B:B,PDB!F:F)</f>
        <v>#N/A</v>
      </c>
    </row>
    <row r="107" spans="1:3">
      <c r="A107" s="285" t="s">
        <v>4048</v>
      </c>
      <c r="B107" s="276">
        <v>4.4884000000000004</v>
      </c>
      <c r="C107" t="e">
        <f>_xlfn.XLOOKUP(Table6[[#This Row],[Item]],PDB!B:B,PDB!F:F)</f>
        <v>#N/A</v>
      </c>
    </row>
    <row r="108" spans="1:3">
      <c r="A108" s="285" t="s">
        <v>4049</v>
      </c>
      <c r="B108" s="276">
        <v>22.961400000000001</v>
      </c>
      <c r="C108" t="e">
        <f>_xlfn.XLOOKUP(Table6[[#This Row],[Item]],PDB!B:B,PDB!F:F)</f>
        <v>#N/A</v>
      </c>
    </row>
    <row r="109" spans="1:3">
      <c r="A109" s="285" t="s">
        <v>4050</v>
      </c>
      <c r="B109" s="276">
        <v>26.616800000000001</v>
      </c>
      <c r="C109" t="e">
        <f>_xlfn.XLOOKUP(Table6[[#This Row],[Item]],PDB!B:B,PDB!F:F)</f>
        <v>#N/A</v>
      </c>
    </row>
    <row r="110" spans="1:3">
      <c r="A110" s="285" t="s">
        <v>4051</v>
      </c>
      <c r="B110" s="276">
        <v>24.078600000000002</v>
      </c>
      <c r="C110" t="e">
        <f>_xlfn.XLOOKUP(Table6[[#This Row],[Item]],PDB!B:B,PDB!F:F)</f>
        <v>#N/A</v>
      </c>
    </row>
    <row r="111" spans="1:3">
      <c r="A111" s="285" t="s">
        <v>4052</v>
      </c>
      <c r="B111" s="276">
        <v>3.3026</v>
      </c>
      <c r="C111" t="e">
        <f>_xlfn.XLOOKUP(Table6[[#This Row],[Item]],PDB!B:B,PDB!F:F)</f>
        <v>#N/A</v>
      </c>
    </row>
    <row r="112" spans="1:3">
      <c r="A112" s="285" t="s">
        <v>4053</v>
      </c>
      <c r="B112" s="276">
        <v>9.6627999999999989</v>
      </c>
      <c r="C112" t="e">
        <f>_xlfn.XLOOKUP(Table6[[#This Row],[Item]],PDB!B:B,PDB!F:F)</f>
        <v>#N/A</v>
      </c>
    </row>
    <row r="113" spans="1:3">
      <c r="A113" s="285" t="s">
        <v>4054</v>
      </c>
      <c r="B113" s="276">
        <v>10.485999999999999</v>
      </c>
      <c r="C113" t="e">
        <f>_xlfn.XLOOKUP(Table6[[#This Row],[Item]],PDB!B:B,PDB!F:F)</f>
        <v>#N/A</v>
      </c>
    </row>
    <row r="114" spans="1:3">
      <c r="A114" s="285" t="s">
        <v>4055</v>
      </c>
      <c r="B114" s="276">
        <v>5.6252000000000004</v>
      </c>
      <c r="C114" t="e">
        <f>_xlfn.XLOOKUP(Table6[[#This Row],[Item]],PDB!B:B,PDB!F:F)</f>
        <v>#N/A</v>
      </c>
    </row>
    <row r="115" spans="1:3">
      <c r="A115" s="285" t="s">
        <v>4056</v>
      </c>
      <c r="B115" s="276">
        <v>5.5468000000000002</v>
      </c>
      <c r="C115" t="e">
        <f>_xlfn.XLOOKUP(Table6[[#This Row],[Item]],PDB!B:B,PDB!F:F)</f>
        <v>#N/A</v>
      </c>
    </row>
    <row r="116" spans="1:3">
      <c r="A116" s="285" t="s">
        <v>4057</v>
      </c>
      <c r="B116" s="276">
        <v>3.9689999999999999</v>
      </c>
      <c r="C116" t="e">
        <f>_xlfn.XLOOKUP(Table6[[#This Row],[Item]],PDB!B:B,PDB!F:F)</f>
        <v>#N/A</v>
      </c>
    </row>
    <row r="117" spans="1:3">
      <c r="A117" s="285" t="s">
        <v>4058</v>
      </c>
      <c r="B117" s="276">
        <v>6.2720000000000002</v>
      </c>
      <c r="C117" t="e">
        <f>_xlfn.XLOOKUP(Table6[[#This Row],[Item]],PDB!B:B,PDB!F:F)</f>
        <v>#N/A</v>
      </c>
    </row>
    <row r="118" spans="1:3">
      <c r="A118" s="285" t="s">
        <v>4059</v>
      </c>
      <c r="B118" s="276">
        <v>2.4695999999999998</v>
      </c>
      <c r="C118" t="e">
        <f>_xlfn.XLOOKUP(Table6[[#This Row],[Item]],PDB!B:B,PDB!F:F)</f>
        <v>#N/A</v>
      </c>
    </row>
    <row r="119" spans="1:3">
      <c r="A119" s="285" t="s">
        <v>4060</v>
      </c>
      <c r="B119" s="276">
        <v>2.2638000000000003</v>
      </c>
      <c r="C119" t="e">
        <f>_xlfn.XLOOKUP(Table6[[#This Row],[Item]],PDB!B:B,PDB!F:F)</f>
        <v>#N/A</v>
      </c>
    </row>
    <row r="120" spans="1:3">
      <c r="A120" s="285" t="s">
        <v>4061</v>
      </c>
      <c r="B120" s="276">
        <v>8.0850000000000009</v>
      </c>
      <c r="C120" t="e">
        <f>_xlfn.XLOOKUP(Table6[[#This Row],[Item]],PDB!B:B,PDB!F:F)</f>
        <v>#N/A</v>
      </c>
    </row>
    <row r="121" spans="1:3">
      <c r="A121" s="285" t="s">
        <v>4062</v>
      </c>
      <c r="B121" s="276">
        <v>0.9506</v>
      </c>
      <c r="C121" t="e">
        <f>_xlfn.XLOOKUP(Table6[[#This Row],[Item]],PDB!B:B,PDB!F:F)</f>
        <v>#N/A</v>
      </c>
    </row>
    <row r="122" spans="1:3">
      <c r="A122" s="285" t="s">
        <v>4063</v>
      </c>
      <c r="B122" s="276">
        <v>9.8000000000000007</v>
      </c>
      <c r="C122" t="e">
        <f>_xlfn.XLOOKUP(Table6[[#This Row],[Item]],PDB!B:B,PDB!F:F)</f>
        <v>#N/A</v>
      </c>
    </row>
    <row r="123" spans="1:3">
      <c r="A123" s="285" t="s">
        <v>4064</v>
      </c>
      <c r="B123" s="276">
        <v>6.2034000000000002</v>
      </c>
      <c r="C123" t="e">
        <f>_xlfn.XLOOKUP(Table6[[#This Row],[Item]],PDB!B:B,PDB!F:F)</f>
        <v>#N/A</v>
      </c>
    </row>
    <row r="124" spans="1:3">
      <c r="A124" s="285" t="s">
        <v>4065</v>
      </c>
      <c r="B124" s="276">
        <v>17.64</v>
      </c>
      <c r="C124" t="e">
        <f>_xlfn.XLOOKUP(Table6[[#This Row],[Item]],PDB!B:B,PDB!F:F)</f>
        <v>#N/A</v>
      </c>
    </row>
    <row r="125" spans="1:3">
      <c r="A125" s="285" t="s">
        <v>4066</v>
      </c>
      <c r="B125" s="276">
        <v>2.4793999999999996</v>
      </c>
      <c r="C125" t="e">
        <f>_xlfn.XLOOKUP(Table6[[#This Row],[Item]],PDB!B:B,PDB!F:F)</f>
        <v>#N/A</v>
      </c>
    </row>
    <row r="126" spans="1:3">
      <c r="A126" s="285" t="s">
        <v>4067</v>
      </c>
      <c r="B126" s="276">
        <v>19.600000000000001</v>
      </c>
      <c r="C126" t="e">
        <f>_xlfn.XLOOKUP(Table6[[#This Row],[Item]],PDB!B:B,PDB!F:F)</f>
        <v>#N/A</v>
      </c>
    </row>
    <row r="127" spans="1:3">
      <c r="A127" s="285" t="s">
        <v>4068</v>
      </c>
      <c r="B127" s="276">
        <v>1.1172</v>
      </c>
      <c r="C127" t="e">
        <f>_xlfn.XLOOKUP(Table6[[#This Row],[Item]],PDB!B:B,PDB!F:F)</f>
        <v>#N/A</v>
      </c>
    </row>
    <row r="128" spans="1:3">
      <c r="A128" s="286" t="s">
        <v>4069</v>
      </c>
      <c r="B128" s="278">
        <v>0.72519999999999996</v>
      </c>
      <c r="C128" t="e">
        <f>_xlfn.XLOOKUP(Table6[[#This Row],[Item]],PDB!B:B,PDB!F:F)</f>
        <v>#N/A</v>
      </c>
    </row>
  </sheetData>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60579-D936-4901-A0B3-8E486818964C}">
  <sheetPr codeName="Sheet3"/>
  <dimension ref="A2:O367"/>
  <sheetViews>
    <sheetView zoomScale="80" zoomScaleNormal="80" workbookViewId="0">
      <selection activeCell="D228" sqref="D228"/>
    </sheetView>
  </sheetViews>
  <sheetFormatPr defaultRowHeight="15" customHeight="1"/>
  <cols>
    <col min="1" max="1" width="17.42578125" customWidth="1"/>
    <col min="2" max="2" width="17.5703125" bestFit="1" customWidth="1"/>
    <col min="3" max="3" width="43.42578125" style="70" customWidth="1"/>
    <col min="4" max="4" width="41.42578125" customWidth="1"/>
    <col min="5" max="5" width="15.5703125" customWidth="1"/>
    <col min="6" max="6" width="41.28515625" style="38" bestFit="1" customWidth="1"/>
    <col min="7" max="9" width="15.5703125" bestFit="1" customWidth="1"/>
    <col min="10" max="10" width="19.42578125" customWidth="1"/>
    <col min="11" max="11" width="13" bestFit="1" customWidth="1"/>
    <col min="12" max="12" width="16.42578125" customWidth="1"/>
    <col min="13" max="13" width="18" style="81" customWidth="1"/>
    <col min="14" max="14" width="20.140625" bestFit="1" customWidth="1"/>
    <col min="15" max="15" width="15.140625" bestFit="1" customWidth="1"/>
  </cols>
  <sheetData>
    <row r="2" spans="1:15" s="2" customFormat="1" ht="18.75">
      <c r="A2" s="52" t="s">
        <v>4070</v>
      </c>
      <c r="B2" s="55" t="s">
        <v>4071</v>
      </c>
      <c r="C2" s="73" t="s">
        <v>4071</v>
      </c>
      <c r="D2" s="55" t="s">
        <v>4071</v>
      </c>
      <c r="E2" s="55" t="s">
        <v>4071</v>
      </c>
      <c r="F2" s="234" t="s">
        <v>4071</v>
      </c>
      <c r="G2" s="55" t="s">
        <v>4071</v>
      </c>
      <c r="H2" s="55" t="s">
        <v>4071</v>
      </c>
      <c r="I2" s="55" t="s">
        <v>4071</v>
      </c>
      <c r="J2" s="55" t="s">
        <v>4072</v>
      </c>
      <c r="K2" s="55" t="s">
        <v>4071</v>
      </c>
      <c r="L2" s="55" t="s">
        <v>4071</v>
      </c>
      <c r="M2" s="78" t="s">
        <v>4071</v>
      </c>
    </row>
    <row r="3" spans="1:15" s="51" customFormat="1" ht="43.35" customHeight="1">
      <c r="A3" s="53" t="s">
        <v>4073</v>
      </c>
      <c r="B3" s="53"/>
      <c r="C3" s="74"/>
      <c r="D3" s="53"/>
      <c r="E3" s="54" t="s">
        <v>4074</v>
      </c>
      <c r="F3" s="235" t="s">
        <v>4075</v>
      </c>
      <c r="G3" s="54" t="s">
        <v>4076</v>
      </c>
      <c r="H3" s="54" t="s">
        <v>4077</v>
      </c>
      <c r="I3" s="54" t="s">
        <v>4078</v>
      </c>
      <c r="J3" s="54" t="s">
        <v>4079</v>
      </c>
      <c r="K3" s="69" t="s">
        <v>4080</v>
      </c>
      <c r="L3" s="54" t="s">
        <v>4081</v>
      </c>
      <c r="M3" s="79" t="s">
        <v>4082</v>
      </c>
    </row>
    <row r="4" spans="1:15" s="50" customFormat="1" ht="45" customHeight="1">
      <c r="A4" s="343"/>
      <c r="B4" s="49" t="s">
        <v>20</v>
      </c>
      <c r="C4" s="75" t="s">
        <v>4083</v>
      </c>
      <c r="D4" s="49" t="s">
        <v>1137</v>
      </c>
      <c r="E4" s="49" t="s">
        <v>4084</v>
      </c>
      <c r="F4" s="49" t="s">
        <v>21</v>
      </c>
      <c r="G4" s="49" t="s">
        <v>4085</v>
      </c>
      <c r="H4" s="49" t="s">
        <v>4086</v>
      </c>
      <c r="I4" s="49" t="s">
        <v>4087</v>
      </c>
      <c r="J4" s="49" t="s">
        <v>4088</v>
      </c>
      <c r="K4" s="49" t="s">
        <v>4089</v>
      </c>
      <c r="L4" s="49" t="s">
        <v>4090</v>
      </c>
      <c r="M4" s="80" t="s">
        <v>1150</v>
      </c>
      <c r="N4" s="49" t="s">
        <v>4091</v>
      </c>
      <c r="O4" s="49" t="s">
        <v>4092</v>
      </c>
    </row>
    <row r="5" spans="1:15" hidden="1">
      <c r="A5">
        <v>1</v>
      </c>
      <c r="B5" s="76" t="s">
        <v>681</v>
      </c>
      <c r="C5" s="70" t="s">
        <v>3952</v>
      </c>
      <c r="D5" s="70">
        <v>2503080</v>
      </c>
      <c r="E5" s="38">
        <v>2</v>
      </c>
      <c r="F5" s="38" t="s">
        <v>4093</v>
      </c>
      <c r="G5" s="72"/>
      <c r="J5" s="254" t="s">
        <v>680</v>
      </c>
      <c r="K5" s="2"/>
      <c r="L5" s="2">
        <v>42</v>
      </c>
      <c r="M5" s="253" t="s">
        <v>679</v>
      </c>
    </row>
    <row r="6" spans="1:15" hidden="1">
      <c r="A6">
        <v>2</v>
      </c>
      <c r="B6" s="76" t="s">
        <v>681</v>
      </c>
      <c r="C6" s="70" t="s">
        <v>3953</v>
      </c>
      <c r="D6" s="70">
        <v>1346160</v>
      </c>
      <c r="E6" s="38">
        <v>3</v>
      </c>
      <c r="F6" s="38" t="s">
        <v>4094</v>
      </c>
      <c r="G6" s="72"/>
      <c r="J6" s="254" t="s">
        <v>680</v>
      </c>
      <c r="K6" s="2"/>
      <c r="L6" s="2">
        <v>42</v>
      </c>
      <c r="M6" s="253" t="s">
        <v>679</v>
      </c>
    </row>
    <row r="7" spans="1:15" hidden="1">
      <c r="A7">
        <v>3</v>
      </c>
      <c r="B7" s="76" t="s">
        <v>681</v>
      </c>
      <c r="C7" s="70" t="s">
        <v>3954</v>
      </c>
      <c r="D7" s="70">
        <v>2388861</v>
      </c>
      <c r="E7" s="38">
        <v>0</v>
      </c>
      <c r="F7" s="38" t="s">
        <v>4095</v>
      </c>
      <c r="G7" s="72"/>
      <c r="J7" s="254" t="s">
        <v>680</v>
      </c>
      <c r="K7" s="2"/>
      <c r="L7" s="2">
        <v>42</v>
      </c>
      <c r="M7" s="253" t="s">
        <v>679</v>
      </c>
    </row>
    <row r="8" spans="1:15" hidden="1">
      <c r="A8">
        <v>4</v>
      </c>
      <c r="B8" t="s">
        <v>25</v>
      </c>
      <c r="C8" s="254" t="s">
        <v>175</v>
      </c>
      <c r="D8" s="70" t="s">
        <v>2646</v>
      </c>
      <c r="E8" s="38" t="s">
        <v>4096</v>
      </c>
      <c r="F8" s="38" t="s">
        <v>4097</v>
      </c>
      <c r="G8" s="72"/>
      <c r="I8">
        <v>42</v>
      </c>
      <c r="J8" s="254" t="s">
        <v>680</v>
      </c>
      <c r="K8" s="2"/>
      <c r="L8" s="2">
        <v>56</v>
      </c>
      <c r="M8" s="253" t="s">
        <v>677</v>
      </c>
    </row>
    <row r="9" spans="1:15" hidden="1">
      <c r="A9">
        <v>5</v>
      </c>
      <c r="B9" t="s">
        <v>25</v>
      </c>
      <c r="C9" s="254" t="s">
        <v>1025</v>
      </c>
      <c r="D9" s="70" t="s">
        <v>4098</v>
      </c>
      <c r="E9" s="38" t="s">
        <v>4099</v>
      </c>
      <c r="F9" s="38" t="s">
        <v>4100</v>
      </c>
      <c r="G9" s="72">
        <v>10</v>
      </c>
      <c r="I9">
        <v>42</v>
      </c>
      <c r="J9" s="254" t="s">
        <v>680</v>
      </c>
      <c r="K9" s="2"/>
      <c r="L9" s="2">
        <v>56</v>
      </c>
      <c r="M9" s="253" t="s">
        <v>677</v>
      </c>
    </row>
    <row r="10" spans="1:15" hidden="1">
      <c r="A10">
        <v>6</v>
      </c>
      <c r="B10" t="s">
        <v>25</v>
      </c>
      <c r="C10" s="254" t="s">
        <v>220</v>
      </c>
      <c r="D10" s="70" t="s">
        <v>2648</v>
      </c>
      <c r="E10" s="38" t="s">
        <v>4101</v>
      </c>
      <c r="F10" s="38" t="s">
        <v>4102</v>
      </c>
      <c r="G10" s="72"/>
      <c r="I10">
        <v>42</v>
      </c>
      <c r="J10" s="254" t="s">
        <v>678</v>
      </c>
      <c r="K10" s="2"/>
      <c r="L10" s="2">
        <v>56</v>
      </c>
      <c r="M10" s="253" t="s">
        <v>677</v>
      </c>
    </row>
    <row r="11" spans="1:15" hidden="1">
      <c r="A11">
        <v>7</v>
      </c>
      <c r="B11" t="s">
        <v>25</v>
      </c>
      <c r="C11" s="254" t="s">
        <v>1028</v>
      </c>
      <c r="D11" s="70" t="s">
        <v>4103</v>
      </c>
      <c r="E11" s="38" t="s">
        <v>1186</v>
      </c>
      <c r="F11" s="38" t="s">
        <v>4104</v>
      </c>
      <c r="G11" s="72"/>
      <c r="I11">
        <v>42</v>
      </c>
      <c r="J11" s="254" t="s">
        <v>678</v>
      </c>
      <c r="K11" s="2"/>
      <c r="L11" s="2"/>
      <c r="M11" s="253" t="s">
        <v>677</v>
      </c>
      <c r="N11">
        <v>10</v>
      </c>
    </row>
    <row r="12" spans="1:15" hidden="1">
      <c r="A12">
        <v>8</v>
      </c>
      <c r="B12" t="s">
        <v>25</v>
      </c>
      <c r="C12" s="254" t="s">
        <v>1030</v>
      </c>
      <c r="D12" s="70" t="s">
        <v>1950</v>
      </c>
      <c r="E12" s="38" t="s">
        <v>1499</v>
      </c>
      <c r="F12" s="38" t="s">
        <v>4105</v>
      </c>
      <c r="G12" s="72">
        <v>500</v>
      </c>
      <c r="H12">
        <v>918</v>
      </c>
      <c r="I12">
        <v>42</v>
      </c>
      <c r="J12" s="254" t="s">
        <v>678</v>
      </c>
      <c r="K12" s="2"/>
      <c r="L12" s="2">
        <v>56</v>
      </c>
      <c r="M12" s="253" t="s">
        <v>677</v>
      </c>
    </row>
    <row r="13" spans="1:15" hidden="1">
      <c r="A13">
        <v>9</v>
      </c>
      <c r="B13" t="s">
        <v>25</v>
      </c>
      <c r="C13" s="254" t="s">
        <v>1032</v>
      </c>
      <c r="D13" s="70" t="s">
        <v>4106</v>
      </c>
      <c r="E13" s="38" t="s">
        <v>1181</v>
      </c>
      <c r="F13" s="38" t="s">
        <v>4104</v>
      </c>
      <c r="G13" s="72">
        <v>340</v>
      </c>
      <c r="H13">
        <v>47</v>
      </c>
      <c r="I13">
        <v>42</v>
      </c>
      <c r="J13" s="254" t="s">
        <v>678</v>
      </c>
      <c r="K13" s="2"/>
      <c r="L13" s="2">
        <f>6*5+10</f>
        <v>40</v>
      </c>
      <c r="M13" s="253" t="s">
        <v>677</v>
      </c>
      <c r="N13">
        <v>10</v>
      </c>
    </row>
    <row r="14" spans="1:15" hidden="1">
      <c r="A14">
        <v>10</v>
      </c>
      <c r="B14" t="s">
        <v>25</v>
      </c>
      <c r="C14" s="254" t="s">
        <v>1034</v>
      </c>
      <c r="D14" s="70" t="s">
        <v>1921</v>
      </c>
      <c r="E14" s="38" t="s">
        <v>1181</v>
      </c>
      <c r="F14" s="38" t="s">
        <v>4104</v>
      </c>
      <c r="G14" s="72">
        <v>20</v>
      </c>
      <c r="I14">
        <v>42</v>
      </c>
      <c r="J14" s="254" t="s">
        <v>678</v>
      </c>
      <c r="K14" s="2"/>
      <c r="L14" s="2"/>
      <c r="M14" s="253" t="s">
        <v>677</v>
      </c>
      <c r="N14">
        <v>10</v>
      </c>
    </row>
    <row r="15" spans="1:15" hidden="1">
      <c r="A15">
        <v>11</v>
      </c>
      <c r="B15" t="s">
        <v>25</v>
      </c>
      <c r="C15" s="254" t="s">
        <v>228</v>
      </c>
      <c r="D15" s="70" t="s">
        <v>4107</v>
      </c>
      <c r="E15" s="38" t="s">
        <v>1181</v>
      </c>
      <c r="F15" s="38" t="s">
        <v>4104</v>
      </c>
      <c r="G15" s="72">
        <v>240</v>
      </c>
      <c r="H15">
        <v>35</v>
      </c>
      <c r="I15">
        <v>42</v>
      </c>
      <c r="J15" s="254" t="s">
        <v>678</v>
      </c>
      <c r="K15" s="2"/>
      <c r="L15" s="2">
        <f>6*5+10</f>
        <v>40</v>
      </c>
      <c r="M15" s="253" t="s">
        <v>677</v>
      </c>
      <c r="N15">
        <v>10</v>
      </c>
    </row>
    <row r="16" spans="1:15" hidden="1">
      <c r="A16">
        <v>12</v>
      </c>
      <c r="B16" t="s">
        <v>25</v>
      </c>
      <c r="C16" s="254" t="s">
        <v>1037</v>
      </c>
      <c r="D16" s="70" t="s">
        <v>4108</v>
      </c>
      <c r="E16" s="38" t="s">
        <v>1213</v>
      </c>
      <c r="F16" s="38" t="s">
        <v>4109</v>
      </c>
      <c r="G16" s="72"/>
      <c r="I16">
        <v>42</v>
      </c>
      <c r="J16" s="254" t="s">
        <v>678</v>
      </c>
      <c r="K16" s="2"/>
      <c r="L16" s="2">
        <v>42</v>
      </c>
      <c r="M16" s="253" t="s">
        <v>679</v>
      </c>
    </row>
    <row r="17" spans="1:14" hidden="1">
      <c r="A17">
        <v>13</v>
      </c>
      <c r="B17" t="s">
        <v>25</v>
      </c>
      <c r="C17" s="254" t="s">
        <v>4110</v>
      </c>
      <c r="D17" s="70" t="s">
        <v>4111</v>
      </c>
      <c r="E17" s="38" t="s">
        <v>1871</v>
      </c>
      <c r="F17" s="38" t="s">
        <v>4112</v>
      </c>
      <c r="G17" s="72"/>
      <c r="I17">
        <v>42</v>
      </c>
      <c r="J17" s="254" t="s">
        <v>680</v>
      </c>
      <c r="K17" s="2"/>
      <c r="L17" s="2">
        <v>42</v>
      </c>
      <c r="M17" s="253" t="s">
        <v>679</v>
      </c>
    </row>
    <row r="18" spans="1:14" hidden="1">
      <c r="A18">
        <v>14</v>
      </c>
      <c r="B18" t="s">
        <v>25</v>
      </c>
      <c r="C18" s="254" t="s">
        <v>1041</v>
      </c>
      <c r="D18" s="70" t="s">
        <v>4113</v>
      </c>
      <c r="E18" s="38" t="s">
        <v>4114</v>
      </c>
      <c r="F18" s="38" t="s">
        <v>4115</v>
      </c>
      <c r="G18" s="72"/>
      <c r="I18">
        <v>42</v>
      </c>
      <c r="J18" s="254" t="s">
        <v>678</v>
      </c>
      <c r="K18" s="2"/>
      <c r="L18" s="2">
        <v>56</v>
      </c>
      <c r="M18" s="253" t="s">
        <v>677</v>
      </c>
    </row>
    <row r="19" spans="1:14" hidden="1">
      <c r="A19">
        <v>15</v>
      </c>
      <c r="B19" t="s">
        <v>25</v>
      </c>
      <c r="C19" s="254" t="s">
        <v>428</v>
      </c>
      <c r="D19" s="70" t="s">
        <v>4116</v>
      </c>
      <c r="E19" s="38" t="s">
        <v>1176</v>
      </c>
      <c r="F19" s="38" t="s">
        <v>4117</v>
      </c>
      <c r="G19" s="72"/>
      <c r="I19">
        <v>42</v>
      </c>
      <c r="J19" s="254" t="s">
        <v>678</v>
      </c>
      <c r="K19" s="2"/>
      <c r="L19" s="2">
        <v>42</v>
      </c>
      <c r="M19" s="253" t="s">
        <v>679</v>
      </c>
    </row>
    <row r="20" spans="1:14" hidden="1">
      <c r="A20">
        <v>16</v>
      </c>
      <c r="B20" t="s">
        <v>25</v>
      </c>
      <c r="C20" s="254" t="s">
        <v>1044</v>
      </c>
      <c r="D20" s="70" t="s">
        <v>4118</v>
      </c>
      <c r="E20" s="38" t="s">
        <v>1499</v>
      </c>
      <c r="F20" s="38" t="s">
        <v>4117</v>
      </c>
      <c r="G20" s="72">
        <v>2000</v>
      </c>
      <c r="H20">
        <v>163</v>
      </c>
      <c r="I20">
        <v>42</v>
      </c>
      <c r="J20" s="254" t="s">
        <v>678</v>
      </c>
      <c r="K20" s="2"/>
      <c r="L20" s="2">
        <v>56</v>
      </c>
      <c r="M20" s="253" t="s">
        <v>677</v>
      </c>
    </row>
    <row r="21" spans="1:14" hidden="1">
      <c r="A21">
        <v>17</v>
      </c>
      <c r="B21" t="s">
        <v>25</v>
      </c>
      <c r="C21" s="254" t="s">
        <v>361</v>
      </c>
      <c r="D21" s="70" t="s">
        <v>4119</v>
      </c>
      <c r="E21" s="38" t="s">
        <v>4099</v>
      </c>
      <c r="F21" s="38" t="s">
        <v>4102</v>
      </c>
      <c r="G21" s="72">
        <v>24</v>
      </c>
      <c r="H21">
        <v>6</v>
      </c>
      <c r="I21">
        <v>42</v>
      </c>
      <c r="J21" s="254" t="s">
        <v>678</v>
      </c>
      <c r="K21" s="2"/>
      <c r="L21" s="2">
        <v>42</v>
      </c>
      <c r="M21" s="253" t="s">
        <v>679</v>
      </c>
    </row>
    <row r="22" spans="1:14" hidden="1">
      <c r="A22">
        <v>18</v>
      </c>
      <c r="B22" t="s">
        <v>25</v>
      </c>
      <c r="C22" s="254" t="s">
        <v>1047</v>
      </c>
      <c r="D22" s="70" t="s">
        <v>1271</v>
      </c>
      <c r="E22" s="38" t="s">
        <v>1219</v>
      </c>
      <c r="F22" s="38" t="s">
        <v>4097</v>
      </c>
      <c r="G22" s="72">
        <v>35</v>
      </c>
      <c r="H22">
        <v>7</v>
      </c>
      <c r="I22">
        <v>42</v>
      </c>
      <c r="J22" s="254" t="s">
        <v>678</v>
      </c>
      <c r="K22" s="2"/>
      <c r="L22" s="2">
        <v>42</v>
      </c>
      <c r="M22" s="253" t="s">
        <v>679</v>
      </c>
    </row>
    <row r="23" spans="1:14" hidden="1">
      <c r="A23">
        <v>19</v>
      </c>
      <c r="B23" t="s">
        <v>25</v>
      </c>
      <c r="C23" s="254" t="s">
        <v>1049</v>
      </c>
      <c r="D23" s="70" t="s">
        <v>4120</v>
      </c>
      <c r="E23" s="38" t="s">
        <v>1391</v>
      </c>
      <c r="F23" s="38" t="s">
        <v>4097</v>
      </c>
      <c r="G23" s="72">
        <v>10</v>
      </c>
      <c r="I23">
        <v>42</v>
      </c>
      <c r="J23" s="254" t="s">
        <v>678</v>
      </c>
      <c r="K23" s="2"/>
      <c r="L23" s="2">
        <v>42</v>
      </c>
      <c r="M23" s="253" t="s">
        <v>679</v>
      </c>
    </row>
    <row r="24" spans="1:14" hidden="1">
      <c r="A24">
        <v>20</v>
      </c>
      <c r="B24" t="s">
        <v>25</v>
      </c>
      <c r="C24" s="254" t="s">
        <v>1051</v>
      </c>
      <c r="D24" s="70" t="s">
        <v>4121</v>
      </c>
      <c r="E24" s="38" t="s">
        <v>1391</v>
      </c>
      <c r="F24" s="38" t="s">
        <v>4122</v>
      </c>
      <c r="G24" s="72"/>
      <c r="I24">
        <v>42</v>
      </c>
      <c r="J24" s="254" t="s">
        <v>678</v>
      </c>
      <c r="K24" s="2"/>
      <c r="L24" s="2">
        <v>42</v>
      </c>
      <c r="M24" s="253" t="s">
        <v>679</v>
      </c>
    </row>
    <row r="25" spans="1:14" hidden="1">
      <c r="A25">
        <v>21</v>
      </c>
      <c r="B25" t="s">
        <v>25</v>
      </c>
      <c r="C25" s="254" t="s">
        <v>1053</v>
      </c>
      <c r="D25" s="70" t="s">
        <v>4121</v>
      </c>
      <c r="E25" s="38" t="s">
        <v>1391</v>
      </c>
      <c r="F25" s="38" t="s">
        <v>4122</v>
      </c>
      <c r="G25" s="72">
        <v>10</v>
      </c>
      <c r="I25">
        <v>42</v>
      </c>
      <c r="J25" s="254" t="s">
        <v>678</v>
      </c>
      <c r="K25" s="2"/>
      <c r="L25" s="2">
        <v>42</v>
      </c>
      <c r="M25" s="253" t="s">
        <v>679</v>
      </c>
    </row>
    <row r="26" spans="1:14" hidden="1">
      <c r="A26">
        <v>22</v>
      </c>
      <c r="B26" t="s">
        <v>25</v>
      </c>
      <c r="C26" s="254" t="s">
        <v>1055</v>
      </c>
      <c r="D26" s="70" t="s">
        <v>4123</v>
      </c>
      <c r="E26" s="38" t="s">
        <v>1951</v>
      </c>
      <c r="F26" s="38" t="s">
        <v>4105</v>
      </c>
      <c r="G26" s="72">
        <v>650</v>
      </c>
      <c r="H26">
        <v>548</v>
      </c>
      <c r="I26">
        <v>42</v>
      </c>
      <c r="J26" s="254" t="s">
        <v>678</v>
      </c>
      <c r="K26" s="2"/>
      <c r="L26" s="2">
        <v>56</v>
      </c>
      <c r="M26" s="253" t="s">
        <v>677</v>
      </c>
    </row>
    <row r="27" spans="1:14" hidden="1">
      <c r="A27">
        <v>23</v>
      </c>
      <c r="B27" t="s">
        <v>25</v>
      </c>
      <c r="C27" s="254" t="s">
        <v>484</v>
      </c>
      <c r="D27" s="70" t="s">
        <v>4124</v>
      </c>
      <c r="E27" s="38" t="s">
        <v>1951</v>
      </c>
      <c r="F27" s="38" t="s">
        <v>4105</v>
      </c>
      <c r="G27" s="72">
        <v>380</v>
      </c>
      <c r="I27">
        <v>42</v>
      </c>
      <c r="J27" s="254" t="s">
        <v>678</v>
      </c>
      <c r="K27" s="2"/>
      <c r="L27" s="2">
        <v>42</v>
      </c>
      <c r="M27" s="253" t="s">
        <v>679</v>
      </c>
    </row>
    <row r="28" spans="1:14" hidden="1">
      <c r="A28">
        <v>24</v>
      </c>
      <c r="B28" t="s">
        <v>25</v>
      </c>
      <c r="C28" s="254" t="s">
        <v>1058</v>
      </c>
      <c r="D28" s="70" t="s">
        <v>4125</v>
      </c>
      <c r="E28" s="38" t="s">
        <v>1951</v>
      </c>
      <c r="F28" s="38" t="s">
        <v>4126</v>
      </c>
      <c r="G28" s="72">
        <v>300</v>
      </c>
      <c r="I28">
        <v>42</v>
      </c>
      <c r="J28" s="254" t="s">
        <v>680</v>
      </c>
      <c r="K28" s="2"/>
      <c r="L28" s="2">
        <v>56</v>
      </c>
      <c r="M28" s="253" t="s">
        <v>677</v>
      </c>
    </row>
    <row r="29" spans="1:14" hidden="1">
      <c r="A29">
        <v>25</v>
      </c>
      <c r="B29" t="s">
        <v>25</v>
      </c>
      <c r="C29" s="254" t="s">
        <v>1060</v>
      </c>
      <c r="D29" s="70" t="s">
        <v>4127</v>
      </c>
      <c r="E29" s="38" t="s">
        <v>1391</v>
      </c>
      <c r="F29" s="38" t="s">
        <v>4117</v>
      </c>
      <c r="G29" s="72">
        <v>150</v>
      </c>
      <c r="H29">
        <v>415</v>
      </c>
      <c r="I29">
        <v>42</v>
      </c>
      <c r="J29" s="254" t="s">
        <v>678</v>
      </c>
      <c r="K29" s="2"/>
      <c r="L29" s="2">
        <v>42</v>
      </c>
      <c r="M29" s="253" t="s">
        <v>679</v>
      </c>
    </row>
    <row r="30" spans="1:14" hidden="1">
      <c r="A30">
        <v>26</v>
      </c>
      <c r="B30" t="s">
        <v>25</v>
      </c>
      <c r="C30" s="254" t="s">
        <v>1062</v>
      </c>
      <c r="D30" s="70" t="s">
        <v>4098</v>
      </c>
      <c r="E30" s="38" t="s">
        <v>1176</v>
      </c>
      <c r="F30" s="38" t="s">
        <v>4128</v>
      </c>
      <c r="G30" s="72"/>
      <c r="I30">
        <v>42</v>
      </c>
      <c r="J30" s="254" t="s">
        <v>678</v>
      </c>
      <c r="K30" s="2"/>
      <c r="L30" s="2">
        <v>56</v>
      </c>
      <c r="M30" s="253" t="s">
        <v>677</v>
      </c>
    </row>
    <row r="31" spans="1:14" hidden="1">
      <c r="A31">
        <v>27</v>
      </c>
      <c r="B31" t="s">
        <v>25</v>
      </c>
      <c r="C31" s="254" t="s">
        <v>1064</v>
      </c>
      <c r="D31" s="70" t="s">
        <v>4129</v>
      </c>
      <c r="E31" s="38" t="s">
        <v>1176</v>
      </c>
      <c r="F31" s="38" t="s">
        <v>4104</v>
      </c>
      <c r="G31" s="72">
        <v>20</v>
      </c>
      <c r="I31">
        <v>42</v>
      </c>
      <c r="J31" s="254" t="s">
        <v>678</v>
      </c>
      <c r="K31" s="2"/>
      <c r="L31" s="2"/>
      <c r="M31" s="253" t="s">
        <v>677</v>
      </c>
      <c r="N31">
        <v>10</v>
      </c>
    </row>
    <row r="32" spans="1:14" hidden="1">
      <c r="A32">
        <v>28</v>
      </c>
      <c r="B32" t="s">
        <v>25</v>
      </c>
      <c r="C32" s="254" t="s">
        <v>320</v>
      </c>
      <c r="D32" s="70" t="s">
        <v>4130</v>
      </c>
      <c r="E32" s="38" t="s">
        <v>1176</v>
      </c>
      <c r="F32" s="38" t="s">
        <v>4104</v>
      </c>
      <c r="G32" s="72">
        <v>20</v>
      </c>
      <c r="I32">
        <v>42</v>
      </c>
      <c r="J32" s="254" t="s">
        <v>678</v>
      </c>
      <c r="K32" s="2"/>
      <c r="L32" s="2"/>
      <c r="M32" s="253" t="s">
        <v>677</v>
      </c>
      <c r="N32">
        <v>10</v>
      </c>
    </row>
    <row r="33" spans="1:14" hidden="1">
      <c r="A33">
        <v>29</v>
      </c>
      <c r="B33" t="s">
        <v>25</v>
      </c>
      <c r="C33" s="254" t="s">
        <v>1067</v>
      </c>
      <c r="D33" s="70" t="s">
        <v>4131</v>
      </c>
      <c r="E33" s="38" t="s">
        <v>1186</v>
      </c>
      <c r="F33" s="38" t="s">
        <v>4104</v>
      </c>
      <c r="G33" s="72">
        <v>20</v>
      </c>
      <c r="I33">
        <v>42</v>
      </c>
      <c r="J33" s="254" t="s">
        <v>678</v>
      </c>
      <c r="K33" s="2"/>
      <c r="L33" s="2"/>
      <c r="M33" s="253" t="s">
        <v>677</v>
      </c>
      <c r="N33">
        <v>10</v>
      </c>
    </row>
    <row r="34" spans="1:14" hidden="1">
      <c r="A34">
        <v>30</v>
      </c>
      <c r="B34" t="s">
        <v>25</v>
      </c>
      <c r="C34" s="254" t="s">
        <v>1069</v>
      </c>
      <c r="D34" s="70" t="s">
        <v>4132</v>
      </c>
      <c r="E34" s="38" t="s">
        <v>1186</v>
      </c>
      <c r="F34" s="38" t="s">
        <v>4104</v>
      </c>
      <c r="G34" s="72">
        <v>20</v>
      </c>
      <c r="I34">
        <v>42</v>
      </c>
      <c r="J34" s="254" t="s">
        <v>678</v>
      </c>
      <c r="K34" s="2"/>
      <c r="L34" s="2"/>
      <c r="M34" s="253" t="s">
        <v>677</v>
      </c>
      <c r="N34">
        <v>10</v>
      </c>
    </row>
    <row r="35" spans="1:14" hidden="1">
      <c r="A35">
        <v>31</v>
      </c>
      <c r="B35" t="s">
        <v>25</v>
      </c>
      <c r="C35" s="254" t="s">
        <v>1071</v>
      </c>
      <c r="D35" s="70" t="s">
        <v>4133</v>
      </c>
      <c r="E35" s="38" t="s">
        <v>1176</v>
      </c>
      <c r="F35" s="38" t="s">
        <v>4134</v>
      </c>
      <c r="G35" s="72"/>
      <c r="I35">
        <v>60</v>
      </c>
      <c r="J35" s="254" t="s">
        <v>678</v>
      </c>
      <c r="K35" s="2"/>
      <c r="L35" s="2">
        <v>42</v>
      </c>
      <c r="M35" s="253"/>
    </row>
    <row r="36" spans="1:14" hidden="1">
      <c r="A36">
        <v>32</v>
      </c>
      <c r="B36" t="s">
        <v>25</v>
      </c>
      <c r="C36" s="254" t="s">
        <v>350</v>
      </c>
      <c r="D36" s="70" t="s">
        <v>1411</v>
      </c>
      <c r="E36" s="38" t="s">
        <v>1204</v>
      </c>
      <c r="F36" s="38" t="s">
        <v>4097</v>
      </c>
      <c r="G36" s="72">
        <v>360</v>
      </c>
      <c r="I36">
        <v>60</v>
      </c>
      <c r="J36" s="254" t="s">
        <v>678</v>
      </c>
      <c r="K36" s="2"/>
      <c r="L36" s="2">
        <f>4*5+10</f>
        <v>30</v>
      </c>
      <c r="M36" s="253" t="s">
        <v>677</v>
      </c>
    </row>
    <row r="37" spans="1:14" hidden="1">
      <c r="A37">
        <v>33</v>
      </c>
      <c r="B37" t="s">
        <v>25</v>
      </c>
      <c r="C37" s="254" t="s">
        <v>242</v>
      </c>
      <c r="D37" s="70" t="s">
        <v>4135</v>
      </c>
      <c r="E37" s="38" t="s">
        <v>1181</v>
      </c>
      <c r="F37" s="38" t="s">
        <v>4122</v>
      </c>
      <c r="G37" s="72">
        <v>210</v>
      </c>
      <c r="I37">
        <v>60</v>
      </c>
      <c r="J37" s="254" t="s">
        <v>678</v>
      </c>
      <c r="K37" s="2"/>
      <c r="L37" s="2">
        <f>4*5+10</f>
        <v>30</v>
      </c>
      <c r="M37" s="253" t="s">
        <v>679</v>
      </c>
    </row>
    <row r="38" spans="1:14" hidden="1">
      <c r="A38">
        <v>34</v>
      </c>
      <c r="B38" t="s">
        <v>25</v>
      </c>
      <c r="C38" s="70" t="s">
        <v>1929</v>
      </c>
      <c r="D38" s="70" t="s">
        <v>1930</v>
      </c>
      <c r="E38" s="38" t="s">
        <v>1391</v>
      </c>
      <c r="F38" s="38" t="s">
        <v>52</v>
      </c>
      <c r="G38" s="72"/>
      <c r="I38">
        <v>42</v>
      </c>
      <c r="J38" s="254" t="s">
        <v>678</v>
      </c>
      <c r="K38" s="2"/>
      <c r="L38" s="2">
        <v>42</v>
      </c>
      <c r="M38" s="253" t="s">
        <v>679</v>
      </c>
    </row>
    <row r="39" spans="1:14" hidden="1">
      <c r="A39">
        <v>35</v>
      </c>
      <c r="B39" t="s">
        <v>26</v>
      </c>
      <c r="C39" s="254">
        <v>1535100044</v>
      </c>
      <c r="D39" s="70" t="s">
        <v>1241</v>
      </c>
      <c r="E39" s="38" t="s">
        <v>1172</v>
      </c>
      <c r="F39" s="38" t="s">
        <v>2355</v>
      </c>
      <c r="G39" s="72">
        <v>550</v>
      </c>
      <c r="I39">
        <v>60</v>
      </c>
      <c r="J39" s="254" t="s">
        <v>678</v>
      </c>
      <c r="K39" s="2"/>
      <c r="L39" s="2">
        <v>56</v>
      </c>
      <c r="M39" s="253" t="s">
        <v>677</v>
      </c>
    </row>
    <row r="40" spans="1:14" hidden="1">
      <c r="A40">
        <v>36</v>
      </c>
      <c r="B40" t="s">
        <v>26</v>
      </c>
      <c r="C40" s="254">
        <v>1535100045</v>
      </c>
      <c r="D40" s="70" t="s">
        <v>2139</v>
      </c>
      <c r="E40" s="38">
        <v>1</v>
      </c>
      <c r="F40" s="38" t="s">
        <v>2355</v>
      </c>
      <c r="G40" s="72">
        <v>16</v>
      </c>
      <c r="I40">
        <v>60</v>
      </c>
      <c r="J40" s="254" t="s">
        <v>678</v>
      </c>
      <c r="K40" s="2"/>
      <c r="L40" s="2">
        <v>42</v>
      </c>
      <c r="M40" s="253" t="s">
        <v>677</v>
      </c>
    </row>
    <row r="41" spans="1:14" hidden="1">
      <c r="A41">
        <v>37</v>
      </c>
      <c r="B41" t="s">
        <v>26</v>
      </c>
      <c r="C41" s="254">
        <v>1535100046</v>
      </c>
      <c r="D41" s="70" t="s">
        <v>4136</v>
      </c>
      <c r="E41" s="38" t="s">
        <v>1172</v>
      </c>
      <c r="F41" s="38" t="s">
        <v>2355</v>
      </c>
      <c r="G41" s="72">
        <v>100</v>
      </c>
      <c r="I41">
        <v>60</v>
      </c>
      <c r="J41" s="254" t="s">
        <v>678</v>
      </c>
      <c r="K41" s="2"/>
      <c r="L41" s="2">
        <v>56</v>
      </c>
      <c r="M41" s="253" t="s">
        <v>677</v>
      </c>
    </row>
    <row r="42" spans="1:14" hidden="1">
      <c r="A42">
        <v>38</v>
      </c>
      <c r="B42" t="s">
        <v>26</v>
      </c>
      <c r="C42" s="254">
        <v>1810326006</v>
      </c>
      <c r="D42" s="70" t="s">
        <v>4137</v>
      </c>
      <c r="E42" s="38" t="s">
        <v>1176</v>
      </c>
      <c r="F42" s="38" t="s">
        <v>2355</v>
      </c>
      <c r="G42" s="72">
        <v>20</v>
      </c>
      <c r="I42">
        <v>60</v>
      </c>
      <c r="J42" s="254" t="s">
        <v>678</v>
      </c>
      <c r="K42" s="2"/>
      <c r="L42" s="2">
        <v>56</v>
      </c>
      <c r="M42" s="253" t="s">
        <v>677</v>
      </c>
    </row>
    <row r="43" spans="1:14" hidden="1">
      <c r="A43">
        <v>39</v>
      </c>
      <c r="B43" t="s">
        <v>26</v>
      </c>
      <c r="C43" s="254">
        <v>1813218040</v>
      </c>
      <c r="D43" s="70" t="s">
        <v>4138</v>
      </c>
      <c r="E43" s="38" t="s">
        <v>1172</v>
      </c>
      <c r="F43" s="38" t="s">
        <v>2355</v>
      </c>
      <c r="G43" s="72">
        <v>1</v>
      </c>
      <c r="I43">
        <v>60</v>
      </c>
      <c r="J43" s="254" t="s">
        <v>680</v>
      </c>
      <c r="K43" s="2"/>
      <c r="L43" s="2">
        <v>56</v>
      </c>
      <c r="M43" s="253" t="s">
        <v>677</v>
      </c>
    </row>
    <row r="44" spans="1:14" hidden="1">
      <c r="A44">
        <v>40</v>
      </c>
      <c r="B44" t="s">
        <v>26</v>
      </c>
      <c r="C44" s="254">
        <v>1813218042</v>
      </c>
      <c r="D44" s="70" t="s">
        <v>2139</v>
      </c>
      <c r="E44" s="38" t="s">
        <v>1172</v>
      </c>
      <c r="F44" s="38" t="s">
        <v>2355</v>
      </c>
      <c r="G44" s="72">
        <v>50</v>
      </c>
      <c r="I44">
        <v>60</v>
      </c>
      <c r="J44" s="254" t="s">
        <v>680</v>
      </c>
      <c r="K44" s="2"/>
      <c r="L44" s="2">
        <v>56</v>
      </c>
      <c r="M44" s="253" t="s">
        <v>677</v>
      </c>
    </row>
    <row r="45" spans="1:14" hidden="1">
      <c r="A45">
        <v>41</v>
      </c>
      <c r="B45" t="s">
        <v>26</v>
      </c>
      <c r="C45" s="254">
        <v>1813218044</v>
      </c>
      <c r="D45" s="70" t="s">
        <v>2139</v>
      </c>
      <c r="E45" s="38" t="s">
        <v>1172</v>
      </c>
      <c r="F45" s="38" t="s">
        <v>2355</v>
      </c>
      <c r="G45" s="72">
        <v>10</v>
      </c>
      <c r="I45">
        <v>60</v>
      </c>
      <c r="J45" s="254" t="s">
        <v>680</v>
      </c>
      <c r="K45" s="2"/>
      <c r="L45" s="2">
        <v>56</v>
      </c>
      <c r="M45" s="253" t="s">
        <v>677</v>
      </c>
    </row>
    <row r="46" spans="1:14" hidden="1">
      <c r="A46">
        <v>42</v>
      </c>
      <c r="B46" t="s">
        <v>26</v>
      </c>
      <c r="C46" s="254">
        <v>1813218046</v>
      </c>
      <c r="D46" s="70" t="s">
        <v>2139</v>
      </c>
      <c r="E46" s="38" t="s">
        <v>1172</v>
      </c>
      <c r="F46" s="38" t="s">
        <v>2355</v>
      </c>
      <c r="G46" s="72">
        <v>100</v>
      </c>
      <c r="I46">
        <v>60</v>
      </c>
      <c r="J46" s="254" t="s">
        <v>680</v>
      </c>
      <c r="K46" s="2"/>
      <c r="L46" s="2">
        <v>56</v>
      </c>
      <c r="M46" s="253" t="s">
        <v>677</v>
      </c>
    </row>
    <row r="47" spans="1:14" hidden="1">
      <c r="A47">
        <v>43</v>
      </c>
      <c r="B47" t="s">
        <v>26</v>
      </c>
      <c r="C47" s="254">
        <v>1813218050</v>
      </c>
      <c r="D47" s="70" t="s">
        <v>1241</v>
      </c>
      <c r="E47" s="38" t="s">
        <v>1172</v>
      </c>
      <c r="F47" s="38" t="s">
        <v>2355</v>
      </c>
      <c r="G47" s="72">
        <v>250</v>
      </c>
      <c r="I47">
        <v>60</v>
      </c>
      <c r="J47" s="254" t="s">
        <v>680</v>
      </c>
      <c r="K47" s="2"/>
      <c r="L47" s="2">
        <v>56</v>
      </c>
      <c r="M47" s="253" t="s">
        <v>677</v>
      </c>
    </row>
    <row r="48" spans="1:14" hidden="1">
      <c r="A48">
        <v>44</v>
      </c>
      <c r="B48" t="s">
        <v>26</v>
      </c>
      <c r="C48" s="254">
        <v>1813218081</v>
      </c>
      <c r="D48" s="70" t="s">
        <v>4139</v>
      </c>
      <c r="E48" s="38" t="s">
        <v>1172</v>
      </c>
      <c r="F48" s="38" t="s">
        <v>2355</v>
      </c>
      <c r="G48" s="72">
        <v>50</v>
      </c>
      <c r="I48">
        <v>60</v>
      </c>
      <c r="J48" s="254" t="s">
        <v>678</v>
      </c>
      <c r="K48" s="2"/>
      <c r="L48" s="2">
        <v>42</v>
      </c>
      <c r="M48" s="253" t="s">
        <v>679</v>
      </c>
    </row>
    <row r="49" spans="1:13" hidden="1">
      <c r="A49">
        <v>45</v>
      </c>
      <c r="B49" t="s">
        <v>26</v>
      </c>
      <c r="C49" s="254">
        <v>1818509087</v>
      </c>
      <c r="D49" s="70" t="s">
        <v>2139</v>
      </c>
      <c r="E49" s="38">
        <v>1</v>
      </c>
      <c r="F49" s="38" t="s">
        <v>2355</v>
      </c>
      <c r="G49" s="72">
        <v>30</v>
      </c>
      <c r="I49">
        <v>60</v>
      </c>
      <c r="J49" s="254" t="s">
        <v>678</v>
      </c>
      <c r="K49" s="2"/>
      <c r="L49" s="2">
        <v>42</v>
      </c>
      <c r="M49" s="253" t="s">
        <v>679</v>
      </c>
    </row>
    <row r="50" spans="1:13" hidden="1">
      <c r="A50">
        <v>46</v>
      </c>
      <c r="B50" t="s">
        <v>26</v>
      </c>
      <c r="C50" s="254">
        <v>1818509091</v>
      </c>
      <c r="D50" s="70" t="s">
        <v>2139</v>
      </c>
      <c r="E50" s="38">
        <v>1</v>
      </c>
      <c r="F50" s="38" t="s">
        <v>2355</v>
      </c>
      <c r="G50" s="72">
        <v>20</v>
      </c>
      <c r="I50">
        <v>60</v>
      </c>
      <c r="J50" s="254" t="s">
        <v>678</v>
      </c>
      <c r="K50" s="2"/>
      <c r="L50" s="2">
        <v>42</v>
      </c>
      <c r="M50" s="253" t="s">
        <v>679</v>
      </c>
    </row>
    <row r="51" spans="1:13" hidden="1">
      <c r="A51">
        <v>47</v>
      </c>
      <c r="B51" t="s">
        <v>26</v>
      </c>
      <c r="C51" s="254">
        <v>1818509133</v>
      </c>
      <c r="D51" s="70" t="s">
        <v>2139</v>
      </c>
      <c r="E51" s="38">
        <v>1</v>
      </c>
      <c r="F51" s="38" t="s">
        <v>2355</v>
      </c>
      <c r="G51" s="72">
        <v>216</v>
      </c>
      <c r="I51">
        <v>60</v>
      </c>
      <c r="J51" s="254" t="s">
        <v>680</v>
      </c>
      <c r="K51" s="2"/>
      <c r="L51" s="2">
        <v>56</v>
      </c>
      <c r="M51" s="253" t="s">
        <v>677</v>
      </c>
    </row>
    <row r="52" spans="1:13" hidden="1">
      <c r="A52">
        <v>48</v>
      </c>
      <c r="B52" t="s">
        <v>26</v>
      </c>
      <c r="C52" s="254">
        <v>1818509138</v>
      </c>
      <c r="D52" s="70" t="s">
        <v>2139</v>
      </c>
      <c r="E52" s="38" t="s">
        <v>1172</v>
      </c>
      <c r="F52" s="38" t="s">
        <v>2355</v>
      </c>
      <c r="G52" s="72">
        <v>216</v>
      </c>
      <c r="I52">
        <v>60</v>
      </c>
      <c r="J52" s="254" t="s">
        <v>680</v>
      </c>
      <c r="K52" s="2"/>
      <c r="L52" s="2">
        <v>56</v>
      </c>
      <c r="M52" s="253" t="s">
        <v>677</v>
      </c>
    </row>
    <row r="53" spans="1:13" hidden="1">
      <c r="A53">
        <v>49</v>
      </c>
      <c r="B53" t="s">
        <v>26</v>
      </c>
      <c r="C53" s="254">
        <v>1818509164</v>
      </c>
      <c r="D53" s="70" t="s">
        <v>2139</v>
      </c>
      <c r="E53" s="38">
        <v>1</v>
      </c>
      <c r="F53" s="38" t="s">
        <v>2355</v>
      </c>
      <c r="G53" s="72">
        <v>50</v>
      </c>
      <c r="I53">
        <v>60</v>
      </c>
      <c r="J53" s="254" t="s">
        <v>680</v>
      </c>
      <c r="K53" s="2"/>
      <c r="L53" s="2">
        <v>56</v>
      </c>
      <c r="M53" s="253" t="s">
        <v>677</v>
      </c>
    </row>
    <row r="54" spans="1:13" hidden="1">
      <c r="A54">
        <v>50</v>
      </c>
      <c r="B54" t="s">
        <v>26</v>
      </c>
      <c r="C54" s="254">
        <v>1818509172</v>
      </c>
      <c r="D54" s="70" t="s">
        <v>2139</v>
      </c>
      <c r="E54" s="38">
        <v>1</v>
      </c>
      <c r="F54" s="38" t="s">
        <v>2355</v>
      </c>
      <c r="G54" s="72">
        <v>1</v>
      </c>
      <c r="I54">
        <v>60</v>
      </c>
      <c r="J54" s="254" t="s">
        <v>680</v>
      </c>
      <c r="K54" s="2"/>
      <c r="L54" s="2">
        <v>56</v>
      </c>
      <c r="M54" s="253" t="s">
        <v>677</v>
      </c>
    </row>
    <row r="55" spans="1:13" hidden="1">
      <c r="A55">
        <v>51</v>
      </c>
      <c r="B55" t="s">
        <v>26</v>
      </c>
      <c r="C55" s="254">
        <v>1818509193</v>
      </c>
      <c r="D55" s="70" t="s">
        <v>2139</v>
      </c>
      <c r="E55" s="38">
        <v>1</v>
      </c>
      <c r="F55" s="38" t="s">
        <v>2355</v>
      </c>
      <c r="G55" s="72">
        <v>300</v>
      </c>
      <c r="I55">
        <v>60</v>
      </c>
      <c r="J55" s="254" t="s">
        <v>680</v>
      </c>
      <c r="K55" s="2"/>
      <c r="L55" s="2">
        <v>56</v>
      </c>
      <c r="M55" s="253" t="s">
        <v>677</v>
      </c>
    </row>
    <row r="56" spans="1:13" hidden="1">
      <c r="A56">
        <v>52</v>
      </c>
      <c r="B56" t="s">
        <v>26</v>
      </c>
      <c r="C56" s="254">
        <v>1818509251</v>
      </c>
      <c r="D56" s="70" t="s">
        <v>2139</v>
      </c>
      <c r="E56" s="38">
        <v>1</v>
      </c>
      <c r="F56" s="38" t="s">
        <v>2355</v>
      </c>
      <c r="G56" s="72">
        <v>360</v>
      </c>
      <c r="I56">
        <v>60</v>
      </c>
      <c r="J56" s="254" t="s">
        <v>680</v>
      </c>
      <c r="K56" s="2"/>
      <c r="L56" s="2">
        <v>56</v>
      </c>
      <c r="M56" s="253" t="s">
        <v>677</v>
      </c>
    </row>
    <row r="57" spans="1:13" hidden="1">
      <c r="A57">
        <v>53</v>
      </c>
      <c r="B57" t="s">
        <v>26</v>
      </c>
      <c r="C57" s="254">
        <v>1818509259</v>
      </c>
      <c r="D57" s="70" t="s">
        <v>2139</v>
      </c>
      <c r="E57" s="38">
        <v>1</v>
      </c>
      <c r="F57" s="38" t="s">
        <v>2355</v>
      </c>
      <c r="G57" s="72">
        <v>30</v>
      </c>
      <c r="I57">
        <v>60</v>
      </c>
      <c r="J57" s="254" t="s">
        <v>680</v>
      </c>
      <c r="K57" s="2"/>
      <c r="L57" s="2">
        <v>56</v>
      </c>
      <c r="M57" s="253" t="s">
        <v>677</v>
      </c>
    </row>
    <row r="58" spans="1:13" hidden="1">
      <c r="A58">
        <v>54</v>
      </c>
      <c r="B58" t="s">
        <v>26</v>
      </c>
      <c r="C58" s="254">
        <v>1818509265</v>
      </c>
      <c r="D58" s="70" t="s">
        <v>2139</v>
      </c>
      <c r="E58" s="38">
        <v>1</v>
      </c>
      <c r="F58" s="38" t="s">
        <v>2355</v>
      </c>
      <c r="G58" s="72">
        <v>10</v>
      </c>
      <c r="I58">
        <v>60</v>
      </c>
      <c r="J58" s="254" t="s">
        <v>680</v>
      </c>
      <c r="K58" s="2"/>
      <c r="L58" s="2">
        <v>56</v>
      </c>
      <c r="M58" s="253" t="s">
        <v>677</v>
      </c>
    </row>
    <row r="59" spans="1:13" hidden="1">
      <c r="A59">
        <v>55</v>
      </c>
      <c r="B59" t="s">
        <v>26</v>
      </c>
      <c r="C59" s="254">
        <v>1818509276</v>
      </c>
      <c r="D59" s="70" t="s">
        <v>2139</v>
      </c>
      <c r="E59" s="38" t="s">
        <v>1172</v>
      </c>
      <c r="F59" s="38" t="s">
        <v>2355</v>
      </c>
      <c r="G59" s="72">
        <v>140</v>
      </c>
      <c r="I59">
        <v>60</v>
      </c>
      <c r="J59" s="254" t="s">
        <v>678</v>
      </c>
      <c r="K59" s="2"/>
      <c r="L59" s="2">
        <v>56</v>
      </c>
      <c r="M59" s="253" t="s">
        <v>677</v>
      </c>
    </row>
    <row r="60" spans="1:13" hidden="1">
      <c r="A60">
        <v>56</v>
      </c>
      <c r="B60" t="s">
        <v>26</v>
      </c>
      <c r="C60" s="254">
        <v>1818509284</v>
      </c>
      <c r="D60" s="70" t="s">
        <v>2139</v>
      </c>
      <c r="E60" s="38">
        <v>1</v>
      </c>
      <c r="F60" s="38" t="s">
        <v>2355</v>
      </c>
      <c r="G60" s="72">
        <v>117</v>
      </c>
      <c r="I60">
        <v>60</v>
      </c>
      <c r="J60" s="254" t="s">
        <v>680</v>
      </c>
      <c r="K60" s="2"/>
      <c r="L60" s="2">
        <v>56</v>
      </c>
      <c r="M60" s="253" t="s">
        <v>677</v>
      </c>
    </row>
    <row r="61" spans="1:13" hidden="1">
      <c r="A61">
        <v>57</v>
      </c>
      <c r="B61" t="s">
        <v>26</v>
      </c>
      <c r="C61" s="254">
        <v>1818509289</v>
      </c>
      <c r="D61" s="70" t="s">
        <v>2139</v>
      </c>
      <c r="E61" s="38">
        <v>1</v>
      </c>
      <c r="F61" s="38" t="s">
        <v>2355</v>
      </c>
      <c r="G61" s="72">
        <v>70</v>
      </c>
      <c r="I61">
        <v>60</v>
      </c>
      <c r="J61" s="254" t="s">
        <v>680</v>
      </c>
      <c r="K61" s="2"/>
      <c r="L61" s="2">
        <v>56</v>
      </c>
      <c r="M61" s="253" t="s">
        <v>677</v>
      </c>
    </row>
    <row r="62" spans="1:13" hidden="1">
      <c r="A62">
        <v>58</v>
      </c>
      <c r="B62" t="s">
        <v>26</v>
      </c>
      <c r="C62" s="254">
        <v>1818509439</v>
      </c>
      <c r="D62" s="70" t="s">
        <v>1241</v>
      </c>
      <c r="E62" s="38" t="s">
        <v>1176</v>
      </c>
      <c r="F62" s="38" t="s">
        <v>2355</v>
      </c>
      <c r="G62" s="72">
        <v>10</v>
      </c>
      <c r="I62">
        <v>60</v>
      </c>
      <c r="J62" s="254" t="s">
        <v>678</v>
      </c>
      <c r="K62" s="2"/>
      <c r="L62" s="2">
        <v>42</v>
      </c>
      <c r="M62" s="253" t="s">
        <v>679</v>
      </c>
    </row>
    <row r="63" spans="1:13" hidden="1">
      <c r="A63">
        <v>59</v>
      </c>
      <c r="B63" t="s">
        <v>26</v>
      </c>
      <c r="C63" s="254">
        <v>1818509497</v>
      </c>
      <c r="D63" s="70" t="s">
        <v>2139</v>
      </c>
      <c r="E63" s="38">
        <v>1</v>
      </c>
      <c r="F63" s="38" t="s">
        <v>2355</v>
      </c>
      <c r="G63" s="72">
        <v>240</v>
      </c>
      <c r="I63">
        <v>60</v>
      </c>
      <c r="J63" s="254" t="s">
        <v>680</v>
      </c>
      <c r="K63" s="2"/>
      <c r="L63" s="2">
        <v>56</v>
      </c>
      <c r="M63" s="253" t="s">
        <v>677</v>
      </c>
    </row>
    <row r="64" spans="1:13" hidden="1">
      <c r="A64">
        <v>60</v>
      </c>
      <c r="B64" t="s">
        <v>26</v>
      </c>
      <c r="C64" s="254">
        <v>1818509503</v>
      </c>
      <c r="D64" s="70" t="s">
        <v>2139</v>
      </c>
      <c r="E64" s="38">
        <v>1</v>
      </c>
      <c r="F64" s="38" t="s">
        <v>2355</v>
      </c>
      <c r="G64" s="72">
        <v>100</v>
      </c>
      <c r="I64">
        <v>60</v>
      </c>
      <c r="J64" s="254" t="s">
        <v>680</v>
      </c>
      <c r="K64" s="2"/>
      <c r="L64" s="2">
        <v>56</v>
      </c>
      <c r="M64" s="253" t="s">
        <v>677</v>
      </c>
    </row>
    <row r="65" spans="1:13" hidden="1">
      <c r="A65">
        <v>61</v>
      </c>
      <c r="B65" t="s">
        <v>26</v>
      </c>
      <c r="C65" s="254">
        <v>1818509508</v>
      </c>
      <c r="D65" s="70" t="s">
        <v>2139</v>
      </c>
      <c r="E65" s="38">
        <v>1</v>
      </c>
      <c r="F65" s="38" t="s">
        <v>2355</v>
      </c>
      <c r="G65" s="72">
        <v>105</v>
      </c>
      <c r="I65">
        <v>60</v>
      </c>
      <c r="J65" s="254" t="s">
        <v>680</v>
      </c>
      <c r="K65" s="2"/>
      <c r="L65" s="2">
        <v>56</v>
      </c>
      <c r="M65" s="253" t="s">
        <v>677</v>
      </c>
    </row>
    <row r="66" spans="1:13" hidden="1">
      <c r="A66">
        <v>62</v>
      </c>
      <c r="B66" t="s">
        <v>26</v>
      </c>
      <c r="C66" s="254">
        <v>1818509512</v>
      </c>
      <c r="D66" s="70" t="s">
        <v>2139</v>
      </c>
      <c r="E66" s="38" t="s">
        <v>1172</v>
      </c>
      <c r="F66" s="38" t="s">
        <v>2355</v>
      </c>
      <c r="G66" s="72">
        <v>300</v>
      </c>
      <c r="I66">
        <v>60</v>
      </c>
      <c r="J66" s="254" t="s">
        <v>680</v>
      </c>
      <c r="K66" s="2"/>
      <c r="L66" s="2">
        <v>56</v>
      </c>
      <c r="M66" s="253" t="s">
        <v>677</v>
      </c>
    </row>
    <row r="67" spans="1:13" hidden="1">
      <c r="A67">
        <v>63</v>
      </c>
      <c r="B67" t="s">
        <v>26</v>
      </c>
      <c r="C67" s="254">
        <v>1818509516</v>
      </c>
      <c r="D67" s="70" t="s">
        <v>2139</v>
      </c>
      <c r="E67" s="38">
        <v>1</v>
      </c>
      <c r="F67" s="38" t="s">
        <v>2355</v>
      </c>
      <c r="G67" s="72">
        <v>300</v>
      </c>
      <c r="I67">
        <v>60</v>
      </c>
      <c r="J67" s="254" t="s">
        <v>680</v>
      </c>
      <c r="K67" s="2"/>
      <c r="L67" s="2">
        <v>56</v>
      </c>
      <c r="M67" s="253" t="s">
        <v>677</v>
      </c>
    </row>
    <row r="68" spans="1:13" hidden="1">
      <c r="A68">
        <v>64</v>
      </c>
      <c r="B68" t="s">
        <v>26</v>
      </c>
      <c r="C68" s="254">
        <v>1818509519</v>
      </c>
      <c r="D68" s="70" t="s">
        <v>2139</v>
      </c>
      <c r="E68" s="38">
        <v>1</v>
      </c>
      <c r="F68" s="38" t="s">
        <v>2355</v>
      </c>
      <c r="G68" s="72">
        <v>216</v>
      </c>
      <c r="I68">
        <v>60</v>
      </c>
      <c r="J68" s="254" t="s">
        <v>678</v>
      </c>
      <c r="K68" s="2"/>
      <c r="L68" s="2">
        <v>56</v>
      </c>
      <c r="M68" s="253" t="s">
        <v>677</v>
      </c>
    </row>
    <row r="69" spans="1:13" hidden="1">
      <c r="A69">
        <v>65</v>
      </c>
      <c r="B69" t="s">
        <v>26</v>
      </c>
      <c r="C69" s="254">
        <v>1818509554</v>
      </c>
      <c r="D69" s="70" t="s">
        <v>2139</v>
      </c>
      <c r="E69" s="38">
        <v>1</v>
      </c>
      <c r="F69" s="38" t="s">
        <v>2355</v>
      </c>
      <c r="G69" s="72">
        <v>30</v>
      </c>
      <c r="I69">
        <v>60</v>
      </c>
      <c r="J69" s="254" t="s">
        <v>680</v>
      </c>
      <c r="K69" s="2"/>
      <c r="L69" s="2">
        <v>56</v>
      </c>
      <c r="M69" s="253" t="s">
        <v>677</v>
      </c>
    </row>
    <row r="70" spans="1:13" hidden="1">
      <c r="A70">
        <v>66</v>
      </c>
      <c r="B70" t="s">
        <v>26</v>
      </c>
      <c r="C70" s="254">
        <v>1818509555</v>
      </c>
      <c r="D70" s="70" t="s">
        <v>2139</v>
      </c>
      <c r="E70" s="38">
        <v>1</v>
      </c>
      <c r="F70" s="38" t="s">
        <v>2355</v>
      </c>
      <c r="G70" s="72">
        <v>20</v>
      </c>
      <c r="I70">
        <v>60</v>
      </c>
      <c r="J70" s="254" t="s">
        <v>680</v>
      </c>
      <c r="K70" s="2"/>
      <c r="L70" s="2">
        <v>56</v>
      </c>
      <c r="M70" s="253" t="s">
        <v>677</v>
      </c>
    </row>
    <row r="71" spans="1:13" hidden="1">
      <c r="A71">
        <v>67</v>
      </c>
      <c r="B71" t="s">
        <v>26</v>
      </c>
      <c r="C71" s="254">
        <v>1818509563</v>
      </c>
      <c r="D71" s="70" t="s">
        <v>2139</v>
      </c>
      <c r="E71" s="38">
        <v>1</v>
      </c>
      <c r="F71" s="38" t="s">
        <v>2355</v>
      </c>
      <c r="G71" s="72">
        <v>50</v>
      </c>
      <c r="I71">
        <v>60</v>
      </c>
      <c r="J71" s="254" t="s">
        <v>680</v>
      </c>
      <c r="K71" s="2"/>
      <c r="L71" s="2">
        <v>56</v>
      </c>
      <c r="M71" s="253" t="s">
        <v>677</v>
      </c>
    </row>
    <row r="72" spans="1:13" hidden="1">
      <c r="A72">
        <v>68</v>
      </c>
      <c r="B72" t="s">
        <v>26</v>
      </c>
      <c r="C72" s="254">
        <v>1818509618</v>
      </c>
      <c r="D72" s="70" t="s">
        <v>2139</v>
      </c>
      <c r="E72" s="38">
        <v>1</v>
      </c>
      <c r="F72" s="38" t="s">
        <v>2355</v>
      </c>
      <c r="G72" s="72">
        <v>300</v>
      </c>
      <c r="I72">
        <v>60</v>
      </c>
      <c r="J72" s="254" t="s">
        <v>680</v>
      </c>
      <c r="K72" s="2"/>
      <c r="L72" s="2">
        <v>56</v>
      </c>
      <c r="M72" s="253" t="s">
        <v>677</v>
      </c>
    </row>
    <row r="73" spans="1:13" hidden="1">
      <c r="A73">
        <v>69</v>
      </c>
      <c r="B73" t="s">
        <v>26</v>
      </c>
      <c r="C73" s="254">
        <v>1818509634</v>
      </c>
      <c r="D73" s="70" t="s">
        <v>2139</v>
      </c>
      <c r="E73" s="38">
        <v>1</v>
      </c>
      <c r="F73" s="38" t="s">
        <v>2355</v>
      </c>
      <c r="G73" s="72">
        <v>20</v>
      </c>
      <c r="I73">
        <v>60</v>
      </c>
      <c r="J73" s="254" t="s">
        <v>680</v>
      </c>
      <c r="K73" s="2"/>
      <c r="L73" s="2">
        <v>56</v>
      </c>
      <c r="M73" s="253" t="s">
        <v>677</v>
      </c>
    </row>
    <row r="74" spans="1:13" hidden="1">
      <c r="A74">
        <v>70</v>
      </c>
      <c r="B74" t="s">
        <v>26</v>
      </c>
      <c r="C74" s="254">
        <v>1818509661</v>
      </c>
      <c r="D74" s="70" t="s">
        <v>2139</v>
      </c>
      <c r="E74" s="38" t="s">
        <v>1172</v>
      </c>
      <c r="F74" s="38" t="s">
        <v>2355</v>
      </c>
      <c r="G74" s="72">
        <v>80</v>
      </c>
      <c r="I74">
        <v>60</v>
      </c>
      <c r="J74" s="254" t="s">
        <v>678</v>
      </c>
      <c r="K74" s="2"/>
      <c r="L74" s="2">
        <v>42</v>
      </c>
      <c r="M74" s="253" t="s">
        <v>679</v>
      </c>
    </row>
    <row r="75" spans="1:13" hidden="1">
      <c r="A75">
        <v>71</v>
      </c>
      <c r="B75" t="s">
        <v>26</v>
      </c>
      <c r="C75" s="254">
        <v>1818509665</v>
      </c>
      <c r="D75" s="70" t="s">
        <v>2139</v>
      </c>
      <c r="E75" s="38" t="s">
        <v>1172</v>
      </c>
      <c r="F75" s="38" t="s">
        <v>2355</v>
      </c>
      <c r="G75" s="72">
        <v>10</v>
      </c>
      <c r="I75">
        <v>60</v>
      </c>
      <c r="J75" s="254" t="s">
        <v>680</v>
      </c>
      <c r="K75" s="2"/>
      <c r="L75" s="2">
        <v>56</v>
      </c>
      <c r="M75" s="253" t="s">
        <v>677</v>
      </c>
    </row>
    <row r="76" spans="1:13" hidden="1">
      <c r="A76">
        <v>72</v>
      </c>
      <c r="B76" t="s">
        <v>26</v>
      </c>
      <c r="C76" s="254">
        <v>1818509670</v>
      </c>
      <c r="D76" s="70" t="s">
        <v>4140</v>
      </c>
      <c r="E76" s="38">
        <v>1</v>
      </c>
      <c r="F76" s="38" t="s">
        <v>4141</v>
      </c>
      <c r="G76" s="72">
        <v>100</v>
      </c>
      <c r="I76">
        <v>60</v>
      </c>
      <c r="J76" s="254" t="s">
        <v>680</v>
      </c>
      <c r="K76" s="2"/>
      <c r="L76" s="2">
        <v>56</v>
      </c>
      <c r="M76" s="253" t="s">
        <v>677</v>
      </c>
    </row>
    <row r="77" spans="1:13" hidden="1">
      <c r="A77">
        <v>73</v>
      </c>
      <c r="B77" t="s">
        <v>26</v>
      </c>
      <c r="C77" s="254">
        <v>1818509704</v>
      </c>
      <c r="D77" s="70" t="s">
        <v>2139</v>
      </c>
      <c r="E77" s="38">
        <v>1</v>
      </c>
      <c r="F77" s="38" t="s">
        <v>2355</v>
      </c>
      <c r="G77" s="72">
        <v>1</v>
      </c>
      <c r="I77">
        <v>60</v>
      </c>
      <c r="J77" s="254" t="s">
        <v>680</v>
      </c>
      <c r="K77" s="2"/>
      <c r="L77" s="2">
        <v>56</v>
      </c>
      <c r="M77" s="253" t="s">
        <v>677</v>
      </c>
    </row>
    <row r="78" spans="1:13" hidden="1">
      <c r="A78">
        <v>74</v>
      </c>
      <c r="B78" t="s">
        <v>26</v>
      </c>
      <c r="C78" s="254">
        <v>1818509725</v>
      </c>
      <c r="D78" s="70" t="s">
        <v>2139</v>
      </c>
      <c r="E78" s="38">
        <v>1</v>
      </c>
      <c r="F78" s="38" t="s">
        <v>2355</v>
      </c>
      <c r="G78" s="72">
        <v>84</v>
      </c>
      <c r="I78">
        <v>60</v>
      </c>
      <c r="J78" s="254" t="s">
        <v>680</v>
      </c>
      <c r="K78" s="2"/>
      <c r="L78" s="2">
        <v>56</v>
      </c>
      <c r="M78" s="253" t="s">
        <v>677</v>
      </c>
    </row>
    <row r="79" spans="1:13" hidden="1">
      <c r="A79">
        <v>75</v>
      </c>
      <c r="B79" t="s">
        <v>26</v>
      </c>
      <c r="C79" s="254">
        <v>1818509748</v>
      </c>
      <c r="D79" s="70" t="s">
        <v>2139</v>
      </c>
      <c r="E79" s="38">
        <v>1</v>
      </c>
      <c r="F79" s="38" t="s">
        <v>2355</v>
      </c>
      <c r="G79" s="72">
        <v>100</v>
      </c>
      <c r="I79">
        <v>60</v>
      </c>
      <c r="J79" s="254" t="s">
        <v>680</v>
      </c>
      <c r="K79" s="2"/>
      <c r="L79" s="2">
        <v>56</v>
      </c>
      <c r="M79" s="253" t="s">
        <v>677</v>
      </c>
    </row>
    <row r="80" spans="1:13" hidden="1">
      <c r="A80">
        <v>76</v>
      </c>
      <c r="B80" t="s">
        <v>26</v>
      </c>
      <c r="C80" s="254">
        <v>3842528304</v>
      </c>
      <c r="D80" s="70" t="s">
        <v>4142</v>
      </c>
      <c r="E80" s="38" t="s">
        <v>1315</v>
      </c>
      <c r="F80" s="38" t="s">
        <v>4143</v>
      </c>
      <c r="G80" s="72"/>
      <c r="I80">
        <v>60</v>
      </c>
      <c r="J80" s="254" t="s">
        <v>680</v>
      </c>
      <c r="K80" s="2"/>
      <c r="L80" s="2">
        <v>42</v>
      </c>
      <c r="M80" s="253" t="s">
        <v>679</v>
      </c>
    </row>
    <row r="81" spans="1:13" hidden="1">
      <c r="A81">
        <v>77</v>
      </c>
      <c r="B81" t="s">
        <v>26</v>
      </c>
      <c r="C81" s="254" t="s">
        <v>961</v>
      </c>
      <c r="D81" s="70" t="s">
        <v>4144</v>
      </c>
      <c r="E81" s="38" t="s">
        <v>4145</v>
      </c>
      <c r="F81" s="38" t="s">
        <v>4146</v>
      </c>
      <c r="G81" s="72">
        <v>10</v>
      </c>
      <c r="I81">
        <v>60</v>
      </c>
      <c r="J81" s="254" t="s">
        <v>678</v>
      </c>
      <c r="K81" s="2"/>
      <c r="L81" s="2">
        <v>56</v>
      </c>
      <c r="M81" s="253" t="s">
        <v>677</v>
      </c>
    </row>
    <row r="82" spans="1:13" hidden="1">
      <c r="A82">
        <v>78</v>
      </c>
      <c r="B82" s="343" t="s">
        <v>652</v>
      </c>
      <c r="C82" s="70">
        <v>1818509668</v>
      </c>
      <c r="D82" s="70" t="s">
        <v>4147</v>
      </c>
      <c r="E82" s="38">
        <v>1</v>
      </c>
      <c r="F82" s="38" t="s">
        <v>4141</v>
      </c>
      <c r="G82" s="72">
        <v>100</v>
      </c>
      <c r="I82">
        <v>60</v>
      </c>
      <c r="J82" s="254" t="s">
        <v>680</v>
      </c>
      <c r="K82" s="2"/>
      <c r="L82" s="2">
        <v>56</v>
      </c>
      <c r="M82" s="253" t="s">
        <v>677</v>
      </c>
    </row>
    <row r="83" spans="1:13" hidden="1">
      <c r="A83">
        <v>79</v>
      </c>
      <c r="B83" s="343" t="s">
        <v>652</v>
      </c>
      <c r="C83" s="70">
        <v>1818509678</v>
      </c>
      <c r="D83" s="70" t="s">
        <v>4148</v>
      </c>
      <c r="E83" s="38">
        <v>1</v>
      </c>
      <c r="F83" s="38" t="s">
        <v>4141</v>
      </c>
      <c r="G83" s="72">
        <v>15</v>
      </c>
      <c r="I83">
        <v>60</v>
      </c>
      <c r="J83" s="254" t="s">
        <v>680</v>
      </c>
      <c r="K83" s="2"/>
      <c r="L83" s="2">
        <v>56</v>
      </c>
      <c r="M83" s="253" t="s">
        <v>677</v>
      </c>
    </row>
    <row r="84" spans="1:13" hidden="1">
      <c r="A84">
        <v>80</v>
      </c>
      <c r="B84" s="343" t="s">
        <v>652</v>
      </c>
      <c r="C84" s="70">
        <v>1818509669</v>
      </c>
      <c r="D84" s="70" t="s">
        <v>4149</v>
      </c>
      <c r="E84" s="38">
        <v>1</v>
      </c>
      <c r="F84" s="38" t="s">
        <v>4141</v>
      </c>
      <c r="G84" s="72">
        <v>10</v>
      </c>
      <c r="I84">
        <v>60</v>
      </c>
      <c r="J84" s="254" t="s">
        <v>680</v>
      </c>
      <c r="K84" s="2"/>
      <c r="L84" s="2">
        <v>56</v>
      </c>
      <c r="M84" s="253" t="s">
        <v>677</v>
      </c>
    </row>
    <row r="85" spans="1:13" hidden="1">
      <c r="A85">
        <v>81</v>
      </c>
      <c r="B85" s="343" t="s">
        <v>652</v>
      </c>
      <c r="C85" s="70">
        <v>1818509680</v>
      </c>
      <c r="D85" s="70" t="s">
        <v>4150</v>
      </c>
      <c r="E85" s="38">
        <v>1</v>
      </c>
      <c r="F85" s="38" t="s">
        <v>4141</v>
      </c>
      <c r="G85" s="72">
        <v>440</v>
      </c>
      <c r="I85">
        <v>60</v>
      </c>
      <c r="J85" s="254" t="s">
        <v>680</v>
      </c>
      <c r="K85" s="2"/>
      <c r="L85" s="2">
        <v>56</v>
      </c>
      <c r="M85" s="253" t="s">
        <v>677</v>
      </c>
    </row>
    <row r="86" spans="1:13" hidden="1">
      <c r="A86">
        <v>82</v>
      </c>
      <c r="B86" s="343" t="s">
        <v>652</v>
      </c>
      <c r="C86" s="70">
        <v>1818509718</v>
      </c>
      <c r="D86" s="70" t="s">
        <v>4151</v>
      </c>
      <c r="E86" s="38">
        <v>1</v>
      </c>
      <c r="F86" s="38" t="s">
        <v>4141</v>
      </c>
      <c r="G86" s="72">
        <v>40</v>
      </c>
      <c r="I86">
        <v>60</v>
      </c>
      <c r="J86" s="254" t="s">
        <v>680</v>
      </c>
      <c r="K86" s="2"/>
      <c r="L86" s="2">
        <v>56</v>
      </c>
      <c r="M86" s="253" t="s">
        <v>677</v>
      </c>
    </row>
    <row r="87" spans="1:13" hidden="1">
      <c r="A87">
        <v>83</v>
      </c>
      <c r="B87" s="343" t="s">
        <v>652</v>
      </c>
      <c r="C87" s="70">
        <v>1818509763</v>
      </c>
      <c r="D87" s="70" t="s">
        <v>4152</v>
      </c>
      <c r="E87" s="38">
        <v>1</v>
      </c>
      <c r="F87" s="38" t="s">
        <v>4141</v>
      </c>
      <c r="G87" s="72">
        <v>10</v>
      </c>
      <c r="I87">
        <v>60</v>
      </c>
      <c r="J87" s="254" t="s">
        <v>680</v>
      </c>
      <c r="K87" s="2"/>
      <c r="L87" s="2">
        <v>56</v>
      </c>
      <c r="M87" s="253" t="s">
        <v>677</v>
      </c>
    </row>
    <row r="88" spans="1:13" hidden="1">
      <c r="A88">
        <v>84</v>
      </c>
      <c r="B88" s="343" t="s">
        <v>652</v>
      </c>
      <c r="C88" s="70">
        <v>1818509790</v>
      </c>
      <c r="D88" s="70" t="s">
        <v>4153</v>
      </c>
      <c r="E88" s="38">
        <v>1</v>
      </c>
      <c r="F88" s="38" t="s">
        <v>4141</v>
      </c>
      <c r="G88" s="72">
        <v>150</v>
      </c>
      <c r="I88">
        <v>60</v>
      </c>
      <c r="J88" s="254" t="s">
        <v>680</v>
      </c>
      <c r="K88" s="2"/>
      <c r="L88" s="2">
        <v>56</v>
      </c>
      <c r="M88" s="253" t="s">
        <v>677</v>
      </c>
    </row>
    <row r="89" spans="1:13" hidden="1">
      <c r="A89">
        <v>85</v>
      </c>
      <c r="B89" s="343" t="s">
        <v>652</v>
      </c>
      <c r="C89" s="70">
        <v>1818509822</v>
      </c>
      <c r="D89" s="70" t="s">
        <v>4154</v>
      </c>
      <c r="E89" s="38">
        <v>1</v>
      </c>
      <c r="F89" s="38" t="s">
        <v>4141</v>
      </c>
      <c r="G89" s="72">
        <v>1</v>
      </c>
      <c r="I89">
        <v>60</v>
      </c>
      <c r="J89" s="254" t="s">
        <v>680</v>
      </c>
      <c r="K89" s="2"/>
      <c r="L89" s="2">
        <v>56</v>
      </c>
      <c r="M89" s="253" t="s">
        <v>677</v>
      </c>
    </row>
    <row r="90" spans="1:13" hidden="1">
      <c r="A90">
        <v>86</v>
      </c>
      <c r="B90" s="343" t="s">
        <v>652</v>
      </c>
      <c r="C90" s="70">
        <v>1818509681</v>
      </c>
      <c r="D90" s="70" t="s">
        <v>4155</v>
      </c>
      <c r="E90" s="38">
        <v>1</v>
      </c>
      <c r="F90" s="38" t="s">
        <v>4141</v>
      </c>
      <c r="G90" s="72">
        <v>5</v>
      </c>
      <c r="I90">
        <v>60</v>
      </c>
      <c r="J90" s="254" t="s">
        <v>680</v>
      </c>
      <c r="K90" s="2"/>
      <c r="L90" s="2">
        <v>56</v>
      </c>
      <c r="M90" s="253" t="s">
        <v>677</v>
      </c>
    </row>
    <row r="91" spans="1:13" hidden="1">
      <c r="A91">
        <v>87</v>
      </c>
      <c r="B91" s="343" t="s">
        <v>652</v>
      </c>
      <c r="C91" s="70">
        <v>1818509682</v>
      </c>
      <c r="D91" s="70" t="s">
        <v>4156</v>
      </c>
      <c r="E91" s="38">
        <v>1</v>
      </c>
      <c r="F91" s="38" t="s">
        <v>4141</v>
      </c>
      <c r="G91" s="72">
        <v>10</v>
      </c>
      <c r="I91">
        <v>60</v>
      </c>
      <c r="J91" s="254" t="s">
        <v>680</v>
      </c>
      <c r="K91" s="2"/>
      <c r="L91" s="2">
        <v>56</v>
      </c>
      <c r="M91" s="253" t="s">
        <v>677</v>
      </c>
    </row>
    <row r="92" spans="1:13" hidden="1">
      <c r="A92">
        <v>88</v>
      </c>
      <c r="B92" s="343" t="s">
        <v>652</v>
      </c>
      <c r="C92" s="70">
        <v>1818509684</v>
      </c>
      <c r="D92" s="70" t="s">
        <v>4157</v>
      </c>
      <c r="E92" s="38">
        <v>1</v>
      </c>
      <c r="F92" s="38" t="s">
        <v>4141</v>
      </c>
      <c r="G92" s="72">
        <v>50</v>
      </c>
      <c r="I92">
        <v>60</v>
      </c>
      <c r="J92" s="254" t="s">
        <v>680</v>
      </c>
      <c r="K92" s="2"/>
      <c r="L92" s="2">
        <v>56</v>
      </c>
      <c r="M92" s="253" t="s">
        <v>677</v>
      </c>
    </row>
    <row r="93" spans="1:13" hidden="1">
      <c r="A93">
        <v>89</v>
      </c>
      <c r="B93" s="343" t="s">
        <v>652</v>
      </c>
      <c r="C93" s="70">
        <v>1818509690</v>
      </c>
      <c r="D93" s="70" t="s">
        <v>4158</v>
      </c>
      <c r="E93" s="38">
        <v>1</v>
      </c>
      <c r="F93" s="38" t="s">
        <v>4141</v>
      </c>
      <c r="G93" s="72">
        <v>10</v>
      </c>
      <c r="I93">
        <v>60</v>
      </c>
      <c r="J93" s="254" t="s">
        <v>680</v>
      </c>
      <c r="K93" s="2"/>
      <c r="L93" s="2">
        <v>56</v>
      </c>
      <c r="M93" s="253" t="s">
        <v>677</v>
      </c>
    </row>
    <row r="94" spans="1:13" hidden="1">
      <c r="A94">
        <v>90</v>
      </c>
      <c r="B94" s="343" t="s">
        <v>652</v>
      </c>
      <c r="C94" s="70">
        <v>1818509752</v>
      </c>
      <c r="D94" s="70" t="s">
        <v>4159</v>
      </c>
      <c r="E94" s="38">
        <v>1</v>
      </c>
      <c r="F94" s="38" t="s">
        <v>4141</v>
      </c>
      <c r="G94" s="72">
        <v>10</v>
      </c>
      <c r="I94">
        <v>60</v>
      </c>
      <c r="J94" s="254" t="s">
        <v>680</v>
      </c>
      <c r="K94" s="2"/>
      <c r="L94" s="2">
        <v>56</v>
      </c>
      <c r="M94" s="253" t="s">
        <v>677</v>
      </c>
    </row>
    <row r="95" spans="1:13" hidden="1">
      <c r="A95">
        <v>91</v>
      </c>
      <c r="B95" s="343" t="s">
        <v>652</v>
      </c>
      <c r="C95" s="70">
        <v>1818509817</v>
      </c>
      <c r="D95" s="70" t="s">
        <v>4160</v>
      </c>
      <c r="E95" s="38" t="s">
        <v>1172</v>
      </c>
      <c r="F95" s="38" t="s">
        <v>4141</v>
      </c>
      <c r="G95" s="72">
        <v>20</v>
      </c>
      <c r="I95">
        <v>60</v>
      </c>
      <c r="J95" s="254" t="s">
        <v>680</v>
      </c>
      <c r="K95" s="2"/>
      <c r="L95" s="2">
        <v>56</v>
      </c>
      <c r="M95" s="253" t="s">
        <v>677</v>
      </c>
    </row>
    <row r="96" spans="1:13" hidden="1">
      <c r="A96">
        <v>92</v>
      </c>
      <c r="B96" s="343" t="s">
        <v>652</v>
      </c>
      <c r="C96" s="70">
        <v>1818509826</v>
      </c>
      <c r="D96" s="70" t="s">
        <v>4161</v>
      </c>
      <c r="E96" s="38">
        <v>1</v>
      </c>
      <c r="F96" s="38" t="s">
        <v>4141</v>
      </c>
      <c r="G96" s="72">
        <v>75</v>
      </c>
      <c r="I96">
        <v>60</v>
      </c>
      <c r="J96" s="254" t="s">
        <v>680</v>
      </c>
      <c r="K96" s="2"/>
      <c r="L96" s="2">
        <v>56</v>
      </c>
      <c r="M96" s="253" t="s">
        <v>677</v>
      </c>
    </row>
    <row r="97" spans="1:13" hidden="1">
      <c r="A97">
        <v>93</v>
      </c>
      <c r="B97" s="343" t="s">
        <v>652</v>
      </c>
      <c r="C97" s="70">
        <v>1818509830</v>
      </c>
      <c r="D97" s="70" t="s">
        <v>4162</v>
      </c>
      <c r="E97" s="38">
        <v>1</v>
      </c>
      <c r="F97" s="38" t="s">
        <v>4141</v>
      </c>
      <c r="G97" s="72">
        <v>10</v>
      </c>
      <c r="I97">
        <v>60</v>
      </c>
      <c r="J97" s="254" t="s">
        <v>680</v>
      </c>
      <c r="K97" s="2"/>
      <c r="L97" s="2">
        <v>56</v>
      </c>
      <c r="M97" s="253" t="s">
        <v>677</v>
      </c>
    </row>
    <row r="98" spans="1:13" hidden="1">
      <c r="A98">
        <v>94</v>
      </c>
      <c r="B98" s="343" t="s">
        <v>652</v>
      </c>
      <c r="C98" s="70" t="s">
        <v>1173</v>
      </c>
      <c r="D98" s="70" t="s">
        <v>4163</v>
      </c>
      <c r="E98" s="38"/>
      <c r="F98" s="38" t="s">
        <v>4141</v>
      </c>
      <c r="G98" s="72">
        <v>230</v>
      </c>
      <c r="I98">
        <v>60</v>
      </c>
      <c r="J98" s="254" t="s">
        <v>680</v>
      </c>
      <c r="K98" s="2"/>
      <c r="L98" s="2">
        <v>56</v>
      </c>
      <c r="M98" s="253" t="s">
        <v>677</v>
      </c>
    </row>
    <row r="99" spans="1:13" hidden="1">
      <c r="A99">
        <v>95</v>
      </c>
      <c r="B99" s="343" t="s">
        <v>652</v>
      </c>
      <c r="C99" s="70">
        <v>1818509834</v>
      </c>
      <c r="D99" s="70" t="s">
        <v>4164</v>
      </c>
      <c r="E99" s="38">
        <v>1</v>
      </c>
      <c r="F99" s="38" t="s">
        <v>4141</v>
      </c>
      <c r="G99" s="72">
        <v>1</v>
      </c>
      <c r="I99">
        <v>60</v>
      </c>
      <c r="J99" s="254" t="s">
        <v>680</v>
      </c>
      <c r="K99" s="2"/>
      <c r="L99" s="2">
        <v>56</v>
      </c>
      <c r="M99" s="253" t="s">
        <v>677</v>
      </c>
    </row>
    <row r="100" spans="1:13" hidden="1">
      <c r="A100">
        <v>96</v>
      </c>
      <c r="B100" s="343" t="s">
        <v>652</v>
      </c>
      <c r="C100" s="70">
        <v>1818509838</v>
      </c>
      <c r="D100" s="70" t="s">
        <v>4165</v>
      </c>
      <c r="E100" s="38">
        <v>1</v>
      </c>
      <c r="F100" s="38" t="s">
        <v>4141</v>
      </c>
      <c r="G100" s="72">
        <v>1</v>
      </c>
      <c r="I100">
        <v>60</v>
      </c>
      <c r="J100" s="254" t="s">
        <v>680</v>
      </c>
      <c r="K100" s="2"/>
      <c r="L100" s="2">
        <v>56</v>
      </c>
      <c r="M100" s="253" t="s">
        <v>677</v>
      </c>
    </row>
    <row r="101" spans="1:13" hidden="1">
      <c r="A101">
        <v>97</v>
      </c>
      <c r="B101" t="s">
        <v>652</v>
      </c>
      <c r="C101" s="70">
        <v>1818509812</v>
      </c>
      <c r="D101" s="70" t="s">
        <v>4166</v>
      </c>
      <c r="E101" s="38" t="s">
        <v>1172</v>
      </c>
      <c r="F101" s="38" t="s">
        <v>4141</v>
      </c>
      <c r="G101" s="72">
        <v>50</v>
      </c>
      <c r="I101">
        <v>60</v>
      </c>
      <c r="J101" s="254" t="s">
        <v>680</v>
      </c>
      <c r="K101" s="2"/>
      <c r="L101" s="2">
        <v>56</v>
      </c>
      <c r="M101" s="253" t="s">
        <v>677</v>
      </c>
    </row>
    <row r="102" spans="1:13" hidden="1">
      <c r="A102">
        <v>98</v>
      </c>
      <c r="B102" t="s">
        <v>27</v>
      </c>
      <c r="C102" s="254" t="s">
        <v>913</v>
      </c>
      <c r="D102" s="70" t="s">
        <v>4167</v>
      </c>
      <c r="E102" s="38" t="s">
        <v>1213</v>
      </c>
      <c r="F102" s="38" t="s">
        <v>52</v>
      </c>
      <c r="G102" s="72">
        <v>18</v>
      </c>
      <c r="I102">
        <v>60</v>
      </c>
      <c r="J102" s="254" t="s">
        <v>680</v>
      </c>
      <c r="K102" s="2"/>
      <c r="L102" s="2">
        <v>56</v>
      </c>
      <c r="M102" s="253" t="s">
        <v>677</v>
      </c>
    </row>
    <row r="103" spans="1:13" hidden="1">
      <c r="A103">
        <v>99</v>
      </c>
      <c r="B103" t="s">
        <v>27</v>
      </c>
      <c r="C103" s="254" t="s">
        <v>53</v>
      </c>
      <c r="D103" s="70" t="s">
        <v>4168</v>
      </c>
      <c r="E103" s="38" t="s">
        <v>1176</v>
      </c>
      <c r="F103" s="38" t="s">
        <v>52</v>
      </c>
      <c r="G103" s="72">
        <v>528</v>
      </c>
      <c r="I103">
        <v>60</v>
      </c>
      <c r="J103" s="254" t="s">
        <v>678</v>
      </c>
      <c r="K103" s="2"/>
      <c r="L103" s="2">
        <v>56</v>
      </c>
      <c r="M103" s="253" t="s">
        <v>677</v>
      </c>
    </row>
    <row r="104" spans="1:13" hidden="1">
      <c r="A104">
        <v>100</v>
      </c>
      <c r="B104" t="s">
        <v>27</v>
      </c>
      <c r="C104" s="254" t="s">
        <v>916</v>
      </c>
      <c r="D104" s="70" t="s">
        <v>4169</v>
      </c>
      <c r="E104" s="38" t="s">
        <v>1391</v>
      </c>
      <c r="F104" s="38" t="s">
        <v>52</v>
      </c>
      <c r="G104" s="72">
        <v>3</v>
      </c>
      <c r="I104">
        <v>60</v>
      </c>
      <c r="J104" s="254" t="s">
        <v>680</v>
      </c>
      <c r="K104" s="2"/>
      <c r="L104" s="2">
        <v>56</v>
      </c>
      <c r="M104" s="253" t="s">
        <v>677</v>
      </c>
    </row>
    <row r="105" spans="1:13" hidden="1">
      <c r="A105">
        <v>101</v>
      </c>
      <c r="B105" t="s">
        <v>27</v>
      </c>
      <c r="C105" s="254" t="s">
        <v>918</v>
      </c>
      <c r="D105" s="70" t="s">
        <v>4169</v>
      </c>
      <c r="E105" s="38" t="s">
        <v>1391</v>
      </c>
      <c r="F105" s="38" t="s">
        <v>52</v>
      </c>
      <c r="G105" s="72">
        <v>3</v>
      </c>
      <c r="I105">
        <v>60</v>
      </c>
      <c r="J105" s="254" t="s">
        <v>680</v>
      </c>
      <c r="K105" s="2"/>
      <c r="L105" s="2">
        <v>56</v>
      </c>
      <c r="M105" s="253" t="s">
        <v>677</v>
      </c>
    </row>
    <row r="106" spans="1:13" hidden="1">
      <c r="A106">
        <v>102</v>
      </c>
      <c r="B106" t="s">
        <v>27</v>
      </c>
      <c r="C106" s="254" t="s">
        <v>920</v>
      </c>
      <c r="D106" s="70" t="s">
        <v>4170</v>
      </c>
      <c r="E106" s="38" t="s">
        <v>1176</v>
      </c>
      <c r="F106" s="38" t="s">
        <v>52</v>
      </c>
      <c r="G106" s="72">
        <v>5</v>
      </c>
      <c r="I106">
        <v>60</v>
      </c>
      <c r="J106" s="254" t="s">
        <v>680</v>
      </c>
      <c r="K106" s="2"/>
      <c r="L106" s="2">
        <v>56</v>
      </c>
      <c r="M106" s="253" t="s">
        <v>677</v>
      </c>
    </row>
    <row r="107" spans="1:13" hidden="1">
      <c r="A107">
        <v>103</v>
      </c>
      <c r="B107" t="s">
        <v>27</v>
      </c>
      <c r="C107" s="254" t="s">
        <v>922</v>
      </c>
      <c r="D107" s="70" t="s">
        <v>4171</v>
      </c>
      <c r="E107" s="38" t="s">
        <v>1176</v>
      </c>
      <c r="F107" s="38" t="s">
        <v>52</v>
      </c>
      <c r="G107" s="72">
        <v>1</v>
      </c>
      <c r="I107">
        <v>60</v>
      </c>
      <c r="J107" s="254" t="s">
        <v>680</v>
      </c>
      <c r="K107" s="2"/>
      <c r="L107" s="2">
        <v>56</v>
      </c>
      <c r="M107" s="253" t="s">
        <v>677</v>
      </c>
    </row>
    <row r="108" spans="1:13" hidden="1">
      <c r="A108">
        <v>104</v>
      </c>
      <c r="B108" t="s">
        <v>27</v>
      </c>
      <c r="C108" s="254" t="s">
        <v>51</v>
      </c>
      <c r="D108" s="70" t="s">
        <v>1402</v>
      </c>
      <c r="E108" s="38" t="s">
        <v>1403</v>
      </c>
      <c r="F108" s="38" t="s">
        <v>50</v>
      </c>
      <c r="G108" s="72">
        <v>10</v>
      </c>
      <c r="H108">
        <v>27</v>
      </c>
      <c r="I108">
        <v>60</v>
      </c>
      <c r="J108" s="254" t="s">
        <v>678</v>
      </c>
      <c r="K108" s="2">
        <v>96</v>
      </c>
      <c r="L108" s="2">
        <v>56</v>
      </c>
      <c r="M108" s="253" t="s">
        <v>677</v>
      </c>
    </row>
    <row r="109" spans="1:13" hidden="1">
      <c r="A109">
        <v>105</v>
      </c>
      <c r="B109" t="s">
        <v>27</v>
      </c>
      <c r="C109" s="254" t="s">
        <v>33</v>
      </c>
      <c r="D109" s="70" t="s">
        <v>1185</v>
      </c>
      <c r="E109" s="38" t="s">
        <v>4172</v>
      </c>
      <c r="F109" s="38" t="s">
        <v>32</v>
      </c>
      <c r="G109" s="72">
        <v>162</v>
      </c>
      <c r="H109">
        <v>18</v>
      </c>
      <c r="I109">
        <v>60</v>
      </c>
      <c r="J109" s="254" t="s">
        <v>678</v>
      </c>
      <c r="K109" s="2">
        <v>96</v>
      </c>
      <c r="L109" s="2">
        <v>56</v>
      </c>
      <c r="M109" s="253" t="s">
        <v>677</v>
      </c>
    </row>
    <row r="110" spans="1:13" hidden="1">
      <c r="A110">
        <v>106</v>
      </c>
      <c r="B110" t="s">
        <v>27</v>
      </c>
      <c r="C110" s="254" t="s">
        <v>34</v>
      </c>
      <c r="D110" s="70" t="s">
        <v>1203</v>
      </c>
      <c r="E110" s="38" t="s">
        <v>1204</v>
      </c>
      <c r="F110" s="38" t="s">
        <v>32</v>
      </c>
      <c r="G110" s="72">
        <v>120</v>
      </c>
      <c r="H110">
        <v>51</v>
      </c>
      <c r="I110">
        <v>60</v>
      </c>
      <c r="J110" s="254" t="s">
        <v>678</v>
      </c>
      <c r="K110" s="2">
        <v>96</v>
      </c>
      <c r="L110" s="2">
        <v>56</v>
      </c>
      <c r="M110" s="253" t="s">
        <v>677</v>
      </c>
    </row>
    <row r="111" spans="1:13" hidden="1">
      <c r="A111">
        <v>107</v>
      </c>
      <c r="B111" t="s">
        <v>27</v>
      </c>
      <c r="C111" s="254" t="s">
        <v>179</v>
      </c>
      <c r="D111" s="70" t="s">
        <v>1704</v>
      </c>
      <c r="E111" s="38" t="s">
        <v>1204</v>
      </c>
      <c r="F111" s="38" t="s">
        <v>32</v>
      </c>
      <c r="G111" s="72">
        <v>20</v>
      </c>
      <c r="H111">
        <v>74</v>
      </c>
      <c r="I111">
        <v>60</v>
      </c>
      <c r="J111" s="254" t="s">
        <v>678</v>
      </c>
      <c r="K111" s="2">
        <v>96</v>
      </c>
      <c r="L111" s="2">
        <v>56</v>
      </c>
      <c r="M111" s="253" t="s">
        <v>677</v>
      </c>
    </row>
    <row r="112" spans="1:13" hidden="1">
      <c r="A112">
        <v>108</v>
      </c>
      <c r="B112" t="s">
        <v>27</v>
      </c>
      <c r="C112" s="254" t="s">
        <v>38</v>
      </c>
      <c r="D112" s="70" t="s">
        <v>2666</v>
      </c>
      <c r="E112" s="38" t="s">
        <v>1334</v>
      </c>
      <c r="F112" s="38" t="s">
        <v>37</v>
      </c>
      <c r="G112" s="72">
        <v>64</v>
      </c>
      <c r="H112">
        <v>67</v>
      </c>
      <c r="I112">
        <v>60</v>
      </c>
      <c r="J112" s="254" t="s">
        <v>678</v>
      </c>
      <c r="K112" s="2">
        <v>60</v>
      </c>
      <c r="L112" s="2">
        <v>56</v>
      </c>
      <c r="M112" s="253" t="s">
        <v>677</v>
      </c>
    </row>
    <row r="113" spans="1:13" hidden="1">
      <c r="A113">
        <v>109</v>
      </c>
      <c r="B113" t="s">
        <v>27</v>
      </c>
      <c r="C113" s="254" t="s">
        <v>40</v>
      </c>
      <c r="D113" s="70" t="s">
        <v>1539</v>
      </c>
      <c r="E113" s="38" t="s">
        <v>1536</v>
      </c>
      <c r="F113" s="38" t="s">
        <v>39</v>
      </c>
      <c r="G113" s="72">
        <v>64</v>
      </c>
      <c r="H113">
        <v>20</v>
      </c>
      <c r="I113">
        <v>60</v>
      </c>
      <c r="J113" s="254" t="s">
        <v>678</v>
      </c>
      <c r="K113" s="2">
        <v>60</v>
      </c>
      <c r="L113" s="2">
        <v>56</v>
      </c>
      <c r="M113" s="253" t="s">
        <v>677</v>
      </c>
    </row>
    <row r="114" spans="1:13" hidden="1">
      <c r="A114">
        <v>110</v>
      </c>
      <c r="B114" t="s">
        <v>27</v>
      </c>
      <c r="C114" s="254" t="s">
        <v>670</v>
      </c>
      <c r="D114" s="70" t="s">
        <v>2480</v>
      </c>
      <c r="E114" s="38" t="s">
        <v>1315</v>
      </c>
      <c r="F114" s="38" t="s">
        <v>39</v>
      </c>
      <c r="G114" s="72">
        <v>64</v>
      </c>
      <c r="H114">
        <v>71</v>
      </c>
      <c r="I114">
        <v>60</v>
      </c>
      <c r="J114" s="254" t="s">
        <v>678</v>
      </c>
      <c r="K114" s="2">
        <v>60</v>
      </c>
      <c r="L114" s="2">
        <v>56</v>
      </c>
      <c r="M114" s="253" t="s">
        <v>677</v>
      </c>
    </row>
    <row r="115" spans="1:13" hidden="1">
      <c r="A115">
        <v>111</v>
      </c>
      <c r="B115" t="s">
        <v>27</v>
      </c>
      <c r="C115" s="254" t="s">
        <v>41</v>
      </c>
      <c r="D115" s="70" t="s">
        <v>1716</v>
      </c>
      <c r="E115" s="38" t="s">
        <v>1334</v>
      </c>
      <c r="F115" s="38" t="s">
        <v>39</v>
      </c>
      <c r="G115" s="72">
        <v>20</v>
      </c>
      <c r="H115">
        <v>109</v>
      </c>
      <c r="I115">
        <v>60</v>
      </c>
      <c r="J115" s="254" t="s">
        <v>678</v>
      </c>
      <c r="K115" s="2">
        <v>60</v>
      </c>
      <c r="L115" s="2">
        <v>56</v>
      </c>
      <c r="M115" s="253" t="s">
        <v>677</v>
      </c>
    </row>
    <row r="116" spans="1:13" hidden="1">
      <c r="A116">
        <v>112</v>
      </c>
      <c r="B116" t="s">
        <v>27</v>
      </c>
      <c r="C116" s="254" t="s">
        <v>46</v>
      </c>
      <c r="D116" s="70" t="s">
        <v>4173</v>
      </c>
      <c r="E116" s="38" t="s">
        <v>1213</v>
      </c>
      <c r="F116" s="38" t="s">
        <v>45</v>
      </c>
      <c r="G116" s="72">
        <v>12</v>
      </c>
      <c r="H116">
        <v>33</v>
      </c>
      <c r="I116">
        <v>60</v>
      </c>
      <c r="J116" s="254" t="s">
        <v>678</v>
      </c>
      <c r="K116" s="2"/>
      <c r="L116" s="2">
        <v>42</v>
      </c>
      <c r="M116" s="253" t="s">
        <v>679</v>
      </c>
    </row>
    <row r="117" spans="1:13" hidden="1">
      <c r="A117">
        <v>113</v>
      </c>
      <c r="B117" t="s">
        <v>27</v>
      </c>
      <c r="C117" s="254" t="s">
        <v>650</v>
      </c>
      <c r="D117" s="70" t="s">
        <v>3827</v>
      </c>
      <c r="E117" s="38" t="s">
        <v>1951</v>
      </c>
      <c r="F117" s="38" t="s">
        <v>47</v>
      </c>
      <c r="G117" s="72">
        <v>32</v>
      </c>
      <c r="H117">
        <v>49</v>
      </c>
      <c r="I117">
        <v>60</v>
      </c>
      <c r="J117" s="254" t="s">
        <v>678</v>
      </c>
      <c r="K117" s="2"/>
      <c r="L117" s="2">
        <v>42</v>
      </c>
      <c r="M117" s="253" t="s">
        <v>679</v>
      </c>
    </row>
    <row r="118" spans="1:13" hidden="1">
      <c r="A118">
        <v>114</v>
      </c>
      <c r="B118" t="s">
        <v>27</v>
      </c>
      <c r="C118" s="254" t="s">
        <v>48</v>
      </c>
      <c r="D118" s="70" t="s">
        <v>2683</v>
      </c>
      <c r="E118" s="38" t="s">
        <v>1403</v>
      </c>
      <c r="F118" s="38" t="s">
        <v>47</v>
      </c>
      <c r="G118" s="72">
        <v>12</v>
      </c>
      <c r="H118">
        <v>46</v>
      </c>
      <c r="I118">
        <v>60</v>
      </c>
      <c r="J118" s="254" t="s">
        <v>678</v>
      </c>
      <c r="K118" s="2"/>
      <c r="L118" s="2">
        <v>56</v>
      </c>
      <c r="M118" s="253" t="s">
        <v>677</v>
      </c>
    </row>
    <row r="119" spans="1:13" hidden="1">
      <c r="A119">
        <v>115</v>
      </c>
      <c r="B119" t="s">
        <v>27</v>
      </c>
      <c r="C119" s="254" t="s">
        <v>397</v>
      </c>
      <c r="D119" s="70" t="s">
        <v>1924</v>
      </c>
      <c r="E119" s="38" t="s">
        <v>1213</v>
      </c>
      <c r="F119" s="38" t="s">
        <v>47</v>
      </c>
      <c r="G119" s="72">
        <v>20</v>
      </c>
      <c r="H119">
        <v>720</v>
      </c>
      <c r="I119">
        <v>60</v>
      </c>
      <c r="J119" s="254" t="s">
        <v>678</v>
      </c>
      <c r="K119" s="2"/>
      <c r="L119" s="2">
        <v>56</v>
      </c>
      <c r="M119" s="253" t="s">
        <v>677</v>
      </c>
    </row>
    <row r="120" spans="1:13" hidden="1">
      <c r="A120">
        <v>116</v>
      </c>
      <c r="B120" t="s">
        <v>27</v>
      </c>
      <c r="C120" s="254" t="s">
        <v>936</v>
      </c>
      <c r="D120" s="70" t="s">
        <v>2475</v>
      </c>
      <c r="E120" s="38" t="s">
        <v>1403</v>
      </c>
      <c r="F120" s="38" t="s">
        <v>32</v>
      </c>
      <c r="G120" s="72">
        <v>150</v>
      </c>
      <c r="H120">
        <v>0</v>
      </c>
      <c r="I120">
        <v>60</v>
      </c>
      <c r="J120" s="254" t="s">
        <v>678</v>
      </c>
      <c r="K120" s="2">
        <v>96</v>
      </c>
      <c r="L120" s="2">
        <v>56</v>
      </c>
      <c r="M120" s="253" t="s">
        <v>677</v>
      </c>
    </row>
    <row r="121" spans="1:13" hidden="1">
      <c r="A121">
        <v>117</v>
      </c>
      <c r="B121" t="s">
        <v>27</v>
      </c>
      <c r="C121" s="254" t="s">
        <v>42</v>
      </c>
      <c r="D121" s="70" t="s">
        <v>1535</v>
      </c>
      <c r="E121" s="38" t="s">
        <v>1334</v>
      </c>
      <c r="F121" s="38" t="s">
        <v>39</v>
      </c>
      <c r="G121" s="72">
        <v>16</v>
      </c>
      <c r="H121">
        <v>96</v>
      </c>
      <c r="I121">
        <v>60</v>
      </c>
      <c r="J121" s="254" t="s">
        <v>678</v>
      </c>
      <c r="K121" s="2">
        <v>60</v>
      </c>
      <c r="L121" s="2">
        <v>56</v>
      </c>
      <c r="M121" s="253" t="s">
        <v>677</v>
      </c>
    </row>
    <row r="122" spans="1:13" hidden="1">
      <c r="A122">
        <v>118</v>
      </c>
      <c r="B122" t="s">
        <v>27</v>
      </c>
      <c r="C122" s="254" t="s">
        <v>939</v>
      </c>
      <c r="D122" s="70" t="s">
        <v>4174</v>
      </c>
      <c r="E122" s="38" t="s">
        <v>1951</v>
      </c>
      <c r="F122" s="38" t="s">
        <v>32</v>
      </c>
      <c r="G122" s="72">
        <v>50</v>
      </c>
      <c r="H122">
        <v>545</v>
      </c>
      <c r="I122">
        <v>60</v>
      </c>
      <c r="J122" s="254" t="s">
        <v>678</v>
      </c>
      <c r="K122" s="2">
        <v>96</v>
      </c>
      <c r="L122" s="2">
        <v>56</v>
      </c>
      <c r="M122" s="253" t="s">
        <v>677</v>
      </c>
    </row>
    <row r="123" spans="1:13" hidden="1">
      <c r="A123">
        <v>119</v>
      </c>
      <c r="B123" t="s">
        <v>27</v>
      </c>
      <c r="C123" s="254" t="s">
        <v>388</v>
      </c>
      <c r="D123" s="70" t="s">
        <v>1901</v>
      </c>
      <c r="E123" s="38" t="s">
        <v>1315</v>
      </c>
      <c r="F123" s="38" t="s">
        <v>37</v>
      </c>
      <c r="G123" s="72">
        <v>10</v>
      </c>
      <c r="H123">
        <v>80</v>
      </c>
      <c r="I123">
        <v>60</v>
      </c>
      <c r="J123" s="254" t="s">
        <v>678</v>
      </c>
      <c r="K123" s="2">
        <v>60</v>
      </c>
      <c r="L123" s="2">
        <v>56</v>
      </c>
      <c r="M123" s="253" t="s">
        <v>677</v>
      </c>
    </row>
    <row r="124" spans="1:13" hidden="1">
      <c r="A124">
        <v>120</v>
      </c>
      <c r="B124" t="s">
        <v>27</v>
      </c>
      <c r="C124" s="254" t="s">
        <v>671</v>
      </c>
      <c r="D124" s="70" t="s">
        <v>3153</v>
      </c>
      <c r="E124" s="38" t="s">
        <v>1231</v>
      </c>
      <c r="F124" s="38" t="s">
        <v>39</v>
      </c>
      <c r="G124" s="72">
        <v>5</v>
      </c>
      <c r="H124">
        <v>257</v>
      </c>
      <c r="I124">
        <v>60</v>
      </c>
      <c r="J124" s="254" t="s">
        <v>678</v>
      </c>
      <c r="K124" s="2">
        <v>60</v>
      </c>
      <c r="L124" s="2">
        <v>56</v>
      </c>
      <c r="M124" s="253" t="s">
        <v>677</v>
      </c>
    </row>
    <row r="125" spans="1:13" hidden="1">
      <c r="A125">
        <v>121</v>
      </c>
      <c r="B125" t="s">
        <v>27</v>
      </c>
      <c r="C125" s="254" t="s">
        <v>943</v>
      </c>
      <c r="D125" s="70" t="s">
        <v>4175</v>
      </c>
      <c r="E125" s="38" t="s">
        <v>4145</v>
      </c>
      <c r="F125" s="38" t="s">
        <v>32</v>
      </c>
      <c r="G125" s="72">
        <v>10</v>
      </c>
      <c r="I125">
        <v>60</v>
      </c>
      <c r="J125" s="254"/>
      <c r="K125" s="2">
        <v>96</v>
      </c>
      <c r="L125" s="2">
        <v>56</v>
      </c>
      <c r="M125" s="253" t="s">
        <v>677</v>
      </c>
    </row>
    <row r="126" spans="1:13" hidden="1">
      <c r="A126">
        <v>122</v>
      </c>
      <c r="B126" t="s">
        <v>27</v>
      </c>
      <c r="C126" s="254" t="s">
        <v>945</v>
      </c>
      <c r="D126" s="70" t="s">
        <v>4176</v>
      </c>
      <c r="E126" s="38" t="s">
        <v>4177</v>
      </c>
      <c r="F126" s="38" t="s">
        <v>39</v>
      </c>
      <c r="G126" s="72">
        <v>5</v>
      </c>
      <c r="I126">
        <v>60</v>
      </c>
      <c r="J126" s="254" t="s">
        <v>678</v>
      </c>
      <c r="K126" s="2">
        <v>60</v>
      </c>
      <c r="L126" s="2">
        <v>42</v>
      </c>
      <c r="M126" s="253" t="s">
        <v>679</v>
      </c>
    </row>
    <row r="127" spans="1:13" hidden="1">
      <c r="A127">
        <v>123</v>
      </c>
      <c r="B127" t="s">
        <v>27</v>
      </c>
      <c r="C127" s="254" t="s">
        <v>54</v>
      </c>
      <c r="D127" s="70" t="s">
        <v>4178</v>
      </c>
      <c r="E127" s="38" t="s">
        <v>1301</v>
      </c>
      <c r="F127" s="38" t="s">
        <v>52</v>
      </c>
      <c r="G127" s="72"/>
      <c r="I127">
        <v>60</v>
      </c>
      <c r="J127" s="254" t="s">
        <v>678</v>
      </c>
      <c r="K127" s="2"/>
      <c r="L127" s="2">
        <v>56</v>
      </c>
      <c r="M127" s="253" t="s">
        <v>677</v>
      </c>
    </row>
    <row r="128" spans="1:13" hidden="1">
      <c r="A128">
        <v>124</v>
      </c>
      <c r="B128" t="s">
        <v>27</v>
      </c>
      <c r="C128" s="254" t="s">
        <v>29</v>
      </c>
      <c r="D128" s="70" t="s">
        <v>4179</v>
      </c>
      <c r="E128" s="38" t="s">
        <v>1301</v>
      </c>
      <c r="F128" s="38" t="s">
        <v>28</v>
      </c>
      <c r="G128" s="72">
        <v>250</v>
      </c>
      <c r="H128">
        <v>319</v>
      </c>
      <c r="I128">
        <v>60</v>
      </c>
      <c r="J128" s="254" t="s">
        <v>678</v>
      </c>
      <c r="K128" s="2"/>
      <c r="L128" s="2">
        <v>56</v>
      </c>
      <c r="M128" s="253" t="s">
        <v>677</v>
      </c>
    </row>
    <row r="129" spans="1:13" hidden="1">
      <c r="A129">
        <v>125</v>
      </c>
      <c r="B129" t="s">
        <v>27</v>
      </c>
      <c r="C129" s="254" t="s">
        <v>951</v>
      </c>
      <c r="D129" s="70" t="s">
        <v>2951</v>
      </c>
      <c r="E129" s="38" t="s">
        <v>1172</v>
      </c>
      <c r="F129" s="38" t="s">
        <v>52</v>
      </c>
      <c r="G129" s="72">
        <v>500</v>
      </c>
      <c r="H129">
        <v>170</v>
      </c>
      <c r="I129">
        <v>60</v>
      </c>
      <c r="J129" s="254" t="s">
        <v>678</v>
      </c>
      <c r="K129" s="2"/>
      <c r="L129" s="2">
        <v>42</v>
      </c>
      <c r="M129" s="253" t="s">
        <v>679</v>
      </c>
    </row>
    <row r="130" spans="1:13" hidden="1">
      <c r="A130">
        <v>126</v>
      </c>
      <c r="B130" t="s">
        <v>27</v>
      </c>
      <c r="C130" s="254" t="s">
        <v>953</v>
      </c>
      <c r="D130" s="70" t="s">
        <v>4180</v>
      </c>
      <c r="E130" s="38" t="s">
        <v>1499</v>
      </c>
      <c r="F130" s="38" t="s">
        <v>52</v>
      </c>
      <c r="G130" s="72">
        <v>13</v>
      </c>
      <c r="I130">
        <v>60</v>
      </c>
      <c r="J130" s="254" t="s">
        <v>680</v>
      </c>
      <c r="K130" s="2"/>
      <c r="L130" s="2">
        <v>56</v>
      </c>
      <c r="M130" s="253" t="s">
        <v>677</v>
      </c>
    </row>
    <row r="131" spans="1:13" hidden="1">
      <c r="A131">
        <v>127</v>
      </c>
      <c r="B131" t="s">
        <v>27</v>
      </c>
      <c r="C131" s="254" t="s">
        <v>955</v>
      </c>
      <c r="D131" s="70" t="s">
        <v>4181</v>
      </c>
      <c r="E131" s="38" t="s">
        <v>1871</v>
      </c>
      <c r="F131" s="38" t="s">
        <v>4182</v>
      </c>
      <c r="G131" s="72">
        <v>5</v>
      </c>
      <c r="I131">
        <v>60</v>
      </c>
      <c r="J131" s="254" t="s">
        <v>680</v>
      </c>
      <c r="K131" s="2"/>
      <c r="L131" s="2">
        <v>56</v>
      </c>
      <c r="M131" s="253" t="s">
        <v>677</v>
      </c>
    </row>
    <row r="132" spans="1:13" hidden="1">
      <c r="A132">
        <v>128</v>
      </c>
      <c r="B132" t="s">
        <v>27</v>
      </c>
      <c r="C132" s="254" t="s">
        <v>957</v>
      </c>
      <c r="D132" s="70" t="s">
        <v>4183</v>
      </c>
      <c r="E132" s="38" t="s">
        <v>1268</v>
      </c>
      <c r="F132" s="38" t="s">
        <v>4182</v>
      </c>
      <c r="G132" s="72">
        <v>1</v>
      </c>
      <c r="I132">
        <v>60</v>
      </c>
      <c r="J132" s="254" t="s">
        <v>680</v>
      </c>
      <c r="K132" s="2"/>
      <c r="L132" s="2">
        <v>42</v>
      </c>
      <c r="M132" s="253" t="s">
        <v>679</v>
      </c>
    </row>
    <row r="133" spans="1:13" hidden="1">
      <c r="A133">
        <v>129</v>
      </c>
      <c r="B133" t="s">
        <v>27</v>
      </c>
      <c r="C133" s="254" t="s">
        <v>959</v>
      </c>
      <c r="D133" s="70" t="s">
        <v>4184</v>
      </c>
      <c r="E133" s="38" t="s">
        <v>4101</v>
      </c>
      <c r="F133" s="38" t="s">
        <v>4182</v>
      </c>
      <c r="G133" s="72">
        <v>1</v>
      </c>
      <c r="I133">
        <v>60</v>
      </c>
      <c r="J133" s="254" t="s">
        <v>680</v>
      </c>
      <c r="K133" s="2"/>
      <c r="L133" s="2">
        <v>42</v>
      </c>
      <c r="M133" s="253" t="s">
        <v>679</v>
      </c>
    </row>
    <row r="134" spans="1:13" hidden="1">
      <c r="A134">
        <v>130</v>
      </c>
      <c r="B134" t="s">
        <v>27</v>
      </c>
      <c r="C134" s="254" t="s">
        <v>963</v>
      </c>
      <c r="D134" s="70" t="s">
        <v>4185</v>
      </c>
      <c r="E134" s="38" t="s">
        <v>1391</v>
      </c>
      <c r="F134" s="38" t="s">
        <v>3833</v>
      </c>
      <c r="G134" s="72">
        <v>50</v>
      </c>
      <c r="H134">
        <v>98</v>
      </c>
      <c r="I134">
        <v>60</v>
      </c>
      <c r="J134" s="254" t="s">
        <v>678</v>
      </c>
      <c r="K134" s="2"/>
      <c r="L134" s="2">
        <v>56</v>
      </c>
      <c r="M134" s="253" t="s">
        <v>677</v>
      </c>
    </row>
    <row r="135" spans="1:13" hidden="1">
      <c r="A135">
        <v>131</v>
      </c>
      <c r="B135" t="s">
        <v>27</v>
      </c>
      <c r="C135" s="254" t="s">
        <v>49</v>
      </c>
      <c r="D135" s="70" t="s">
        <v>1476</v>
      </c>
      <c r="E135" s="38" t="s">
        <v>1705</v>
      </c>
      <c r="F135" s="38" t="s">
        <v>47</v>
      </c>
      <c r="G135" s="72">
        <v>20</v>
      </c>
      <c r="H135">
        <v>277</v>
      </c>
      <c r="I135">
        <v>60</v>
      </c>
      <c r="J135" s="254" t="s">
        <v>678</v>
      </c>
      <c r="K135" s="2"/>
      <c r="L135" s="2">
        <v>56</v>
      </c>
      <c r="M135" s="253" t="s">
        <v>677</v>
      </c>
    </row>
    <row r="136" spans="1:13" hidden="1">
      <c r="A136">
        <v>132</v>
      </c>
      <c r="B136" t="s">
        <v>27</v>
      </c>
      <c r="C136" s="254" t="s">
        <v>383</v>
      </c>
      <c r="D136" s="70" t="s">
        <v>4186</v>
      </c>
      <c r="E136" s="38" t="s">
        <v>1213</v>
      </c>
      <c r="F136" s="38" t="s">
        <v>45</v>
      </c>
      <c r="G136" s="72">
        <v>10</v>
      </c>
      <c r="H136">
        <v>180</v>
      </c>
      <c r="I136">
        <v>60</v>
      </c>
      <c r="J136" s="254" t="s">
        <v>678</v>
      </c>
      <c r="K136" s="2"/>
      <c r="L136" s="2">
        <v>56</v>
      </c>
      <c r="M136" s="253" t="s">
        <v>677</v>
      </c>
    </row>
    <row r="137" spans="1:13" hidden="1">
      <c r="A137">
        <v>133</v>
      </c>
      <c r="B137" t="s">
        <v>27</v>
      </c>
      <c r="C137" s="254" t="s">
        <v>967</v>
      </c>
      <c r="D137" s="70" t="s">
        <v>4187</v>
      </c>
      <c r="E137" s="38" t="s">
        <v>4188</v>
      </c>
      <c r="F137" s="38" t="s">
        <v>4105</v>
      </c>
      <c r="G137" s="72">
        <v>1000</v>
      </c>
      <c r="H137">
        <v>907</v>
      </c>
      <c r="I137">
        <v>60</v>
      </c>
      <c r="J137" s="254"/>
      <c r="K137" s="2"/>
      <c r="L137" s="2">
        <v>42</v>
      </c>
      <c r="M137" s="253" t="s">
        <v>679</v>
      </c>
    </row>
    <row r="138" spans="1:13" hidden="1">
      <c r="A138">
        <v>134</v>
      </c>
      <c r="B138" t="s">
        <v>27</v>
      </c>
      <c r="C138" s="254" t="s">
        <v>969</v>
      </c>
      <c r="D138" s="70" t="s">
        <v>4189</v>
      </c>
      <c r="E138" s="38" t="s">
        <v>4145</v>
      </c>
      <c r="F138" s="38" t="s">
        <v>32</v>
      </c>
      <c r="G138" s="72">
        <v>10</v>
      </c>
      <c r="I138">
        <v>60</v>
      </c>
      <c r="J138" s="254" t="s">
        <v>678</v>
      </c>
      <c r="K138" s="2">
        <v>96</v>
      </c>
      <c r="L138" s="2">
        <v>56</v>
      </c>
      <c r="M138" s="253" t="s">
        <v>677</v>
      </c>
    </row>
    <row r="139" spans="1:13" hidden="1">
      <c r="A139">
        <v>135</v>
      </c>
      <c r="B139" t="s">
        <v>27</v>
      </c>
      <c r="C139" s="254" t="s">
        <v>971</v>
      </c>
      <c r="D139" s="70" t="s">
        <v>4190</v>
      </c>
      <c r="E139" s="38" t="s">
        <v>4145</v>
      </c>
      <c r="F139" s="38" t="s">
        <v>32</v>
      </c>
      <c r="G139" s="72">
        <v>5</v>
      </c>
      <c r="H139">
        <v>138</v>
      </c>
      <c r="I139">
        <v>60</v>
      </c>
      <c r="J139" s="254"/>
      <c r="K139" s="2">
        <v>96</v>
      </c>
      <c r="L139" s="2">
        <v>56</v>
      </c>
      <c r="M139" s="253" t="s">
        <v>677</v>
      </c>
    </row>
    <row r="140" spans="1:13" hidden="1">
      <c r="A140">
        <v>136</v>
      </c>
      <c r="B140" t="s">
        <v>27</v>
      </c>
      <c r="C140" s="254" t="s">
        <v>389</v>
      </c>
      <c r="D140" s="70" t="s">
        <v>4191</v>
      </c>
      <c r="E140" s="38" t="s">
        <v>1391</v>
      </c>
      <c r="F140" s="38" t="s">
        <v>32</v>
      </c>
      <c r="G140" s="72">
        <v>3</v>
      </c>
      <c r="H140">
        <v>135</v>
      </c>
      <c r="I140">
        <v>60</v>
      </c>
      <c r="J140" s="254" t="s">
        <v>678</v>
      </c>
      <c r="K140" s="2">
        <v>96</v>
      </c>
      <c r="L140" s="2">
        <v>56</v>
      </c>
      <c r="M140" s="253" t="s">
        <v>677</v>
      </c>
    </row>
    <row r="141" spans="1:13" hidden="1">
      <c r="A141">
        <v>137</v>
      </c>
      <c r="B141" t="s">
        <v>27</v>
      </c>
      <c r="C141" s="254" t="s">
        <v>35</v>
      </c>
      <c r="D141" s="70" t="s">
        <v>4192</v>
      </c>
      <c r="E141" s="38" t="s">
        <v>1391</v>
      </c>
      <c r="F141" s="38" t="s">
        <v>32</v>
      </c>
      <c r="G141" s="72">
        <v>10</v>
      </c>
      <c r="H141">
        <v>69</v>
      </c>
      <c r="I141">
        <v>60</v>
      </c>
      <c r="J141" s="254" t="s">
        <v>680</v>
      </c>
      <c r="K141" s="2">
        <v>96</v>
      </c>
      <c r="L141" s="2">
        <v>56</v>
      </c>
      <c r="M141" s="253" t="s">
        <v>677</v>
      </c>
    </row>
    <row r="142" spans="1:13" hidden="1">
      <c r="A142">
        <v>138</v>
      </c>
      <c r="B142" t="s">
        <v>27</v>
      </c>
      <c r="C142" s="254" t="s">
        <v>975</v>
      </c>
      <c r="D142" s="70" t="s">
        <v>4193</v>
      </c>
      <c r="E142" s="38" t="s">
        <v>1172</v>
      </c>
      <c r="F142" s="38" t="s">
        <v>3833</v>
      </c>
      <c r="G142" s="72">
        <v>10</v>
      </c>
      <c r="H142">
        <v>0</v>
      </c>
      <c r="I142">
        <v>60</v>
      </c>
      <c r="J142" s="254"/>
      <c r="K142" s="2"/>
      <c r="L142" s="2">
        <v>42</v>
      </c>
      <c r="M142" s="253" t="s">
        <v>679</v>
      </c>
    </row>
    <row r="143" spans="1:13" hidden="1">
      <c r="A143">
        <v>139</v>
      </c>
      <c r="B143" t="s">
        <v>27</v>
      </c>
      <c r="C143" s="254" t="s">
        <v>31</v>
      </c>
      <c r="D143" s="70" t="s">
        <v>3270</v>
      </c>
      <c r="E143" s="38" t="s">
        <v>1315</v>
      </c>
      <c r="F143" s="38" t="s">
        <v>3833</v>
      </c>
      <c r="G143" s="72">
        <v>20</v>
      </c>
      <c r="H143">
        <v>21</v>
      </c>
      <c r="I143">
        <v>60</v>
      </c>
      <c r="J143" s="254" t="s">
        <v>678</v>
      </c>
      <c r="K143" s="2"/>
      <c r="L143" s="2">
        <v>42</v>
      </c>
      <c r="M143" s="253" t="s">
        <v>679</v>
      </c>
    </row>
    <row r="144" spans="1:13" hidden="1">
      <c r="A144">
        <v>140</v>
      </c>
      <c r="B144" t="s">
        <v>27</v>
      </c>
      <c r="C144" s="254" t="s">
        <v>978</v>
      </c>
      <c r="D144" s="70" t="s">
        <v>4194</v>
      </c>
      <c r="E144" s="38" t="s">
        <v>1301</v>
      </c>
      <c r="F144" s="38" t="s">
        <v>3833</v>
      </c>
      <c r="G144" s="72">
        <v>5</v>
      </c>
      <c r="H144">
        <v>600</v>
      </c>
      <c r="I144">
        <v>60</v>
      </c>
      <c r="J144" s="254" t="s">
        <v>678</v>
      </c>
      <c r="K144" s="2"/>
      <c r="L144" s="2">
        <v>56</v>
      </c>
      <c r="M144" s="253" t="s">
        <v>677</v>
      </c>
    </row>
    <row r="145" spans="1:13" hidden="1">
      <c r="A145">
        <v>141</v>
      </c>
      <c r="B145" t="s">
        <v>27</v>
      </c>
      <c r="C145" s="254" t="s">
        <v>980</v>
      </c>
      <c r="D145" s="70" t="s">
        <v>4195</v>
      </c>
      <c r="E145" s="38" t="s">
        <v>4196</v>
      </c>
      <c r="F145" s="38" t="s">
        <v>3833</v>
      </c>
      <c r="G145" s="72">
        <v>50</v>
      </c>
      <c r="H145">
        <v>70</v>
      </c>
      <c r="I145">
        <v>60</v>
      </c>
      <c r="J145" s="254"/>
      <c r="K145" s="2"/>
      <c r="L145" s="2">
        <v>56</v>
      </c>
      <c r="M145" s="253" t="s">
        <v>677</v>
      </c>
    </row>
    <row r="146" spans="1:13" hidden="1">
      <c r="A146">
        <v>142</v>
      </c>
      <c r="B146" t="s">
        <v>27</v>
      </c>
      <c r="C146" s="254" t="s">
        <v>55</v>
      </c>
      <c r="D146" s="70" t="s">
        <v>4197</v>
      </c>
      <c r="E146" s="38" t="s">
        <v>1301</v>
      </c>
      <c r="F146" s="38" t="s">
        <v>52</v>
      </c>
      <c r="G146" s="72">
        <v>150</v>
      </c>
      <c r="I146">
        <v>60</v>
      </c>
      <c r="J146" s="254" t="s">
        <v>678</v>
      </c>
      <c r="K146" s="2"/>
      <c r="L146" s="2">
        <v>42</v>
      </c>
      <c r="M146" s="253" t="s">
        <v>679</v>
      </c>
    </row>
    <row r="147" spans="1:13" hidden="1">
      <c r="A147">
        <v>143</v>
      </c>
      <c r="B147" t="s">
        <v>27</v>
      </c>
      <c r="C147" s="254" t="s">
        <v>56</v>
      </c>
      <c r="D147" s="70" t="s">
        <v>4198</v>
      </c>
      <c r="E147" s="38" t="s">
        <v>1301</v>
      </c>
      <c r="F147" s="38" t="s">
        <v>52</v>
      </c>
      <c r="G147" s="72">
        <v>500</v>
      </c>
      <c r="I147">
        <v>60</v>
      </c>
      <c r="J147" s="254" t="s">
        <v>678</v>
      </c>
      <c r="K147" s="2"/>
      <c r="L147" s="2">
        <v>42</v>
      </c>
      <c r="M147" s="253" t="s">
        <v>679</v>
      </c>
    </row>
    <row r="148" spans="1:13" hidden="1">
      <c r="A148">
        <v>144</v>
      </c>
      <c r="B148" t="s">
        <v>27</v>
      </c>
      <c r="C148" s="254" t="s">
        <v>984</v>
      </c>
      <c r="D148" s="70" t="s">
        <v>1175</v>
      </c>
      <c r="E148" s="38" t="s">
        <v>1176</v>
      </c>
      <c r="F148" s="38" t="s">
        <v>52</v>
      </c>
      <c r="G148" s="72">
        <v>20</v>
      </c>
      <c r="I148">
        <v>60</v>
      </c>
      <c r="J148" s="254"/>
      <c r="K148" s="2"/>
      <c r="L148" s="2">
        <v>42</v>
      </c>
      <c r="M148" s="253" t="s">
        <v>679</v>
      </c>
    </row>
    <row r="149" spans="1:13" hidden="1">
      <c r="A149">
        <v>145</v>
      </c>
      <c r="B149" t="s">
        <v>27</v>
      </c>
      <c r="C149" s="254" t="s">
        <v>986</v>
      </c>
      <c r="D149" s="70" t="s">
        <v>4199</v>
      </c>
      <c r="E149" s="38" t="s">
        <v>1231</v>
      </c>
      <c r="F149" s="38" t="s">
        <v>3833</v>
      </c>
      <c r="G149" s="72">
        <v>6</v>
      </c>
      <c r="H149">
        <v>154</v>
      </c>
      <c r="I149">
        <v>60</v>
      </c>
      <c r="J149" s="254" t="s">
        <v>678</v>
      </c>
      <c r="K149" s="2"/>
      <c r="L149" s="2">
        <v>42</v>
      </c>
      <c r="M149" s="253" t="s">
        <v>679</v>
      </c>
    </row>
    <row r="150" spans="1:13" hidden="1">
      <c r="A150">
        <v>146</v>
      </c>
      <c r="B150" t="s">
        <v>27</v>
      </c>
      <c r="C150" s="254" t="s">
        <v>988</v>
      </c>
      <c r="D150" s="70" t="s">
        <v>4171</v>
      </c>
      <c r="E150" s="38" t="s">
        <v>1176</v>
      </c>
      <c r="F150" s="38" t="s">
        <v>52</v>
      </c>
      <c r="G150" s="72">
        <v>1</v>
      </c>
      <c r="I150">
        <v>60</v>
      </c>
      <c r="J150" s="254" t="s">
        <v>680</v>
      </c>
      <c r="K150" s="2"/>
      <c r="L150" s="2">
        <v>56</v>
      </c>
      <c r="M150" s="253" t="s">
        <v>677</v>
      </c>
    </row>
    <row r="151" spans="1:13" hidden="1">
      <c r="A151">
        <v>147</v>
      </c>
      <c r="B151" t="s">
        <v>27</v>
      </c>
      <c r="C151" s="254" t="s">
        <v>990</v>
      </c>
      <c r="D151" s="70" t="s">
        <v>4200</v>
      </c>
      <c r="E151" s="38" t="s">
        <v>1176</v>
      </c>
      <c r="F151" s="38" t="s">
        <v>52</v>
      </c>
      <c r="G151" s="72">
        <v>150</v>
      </c>
      <c r="I151">
        <v>60</v>
      </c>
      <c r="J151" s="254" t="s">
        <v>678</v>
      </c>
      <c r="K151" s="2"/>
      <c r="L151" s="2">
        <v>56</v>
      </c>
      <c r="M151" s="253" t="s">
        <v>677</v>
      </c>
    </row>
    <row r="152" spans="1:13" hidden="1">
      <c r="A152">
        <v>148</v>
      </c>
      <c r="B152" t="s">
        <v>27</v>
      </c>
      <c r="C152" s="254" t="s">
        <v>992</v>
      </c>
      <c r="D152" s="70" t="s">
        <v>4201</v>
      </c>
      <c r="E152" s="38" t="s">
        <v>1176</v>
      </c>
      <c r="F152" s="38" t="s">
        <v>52</v>
      </c>
      <c r="G152" s="72">
        <v>30</v>
      </c>
      <c r="I152">
        <v>60</v>
      </c>
      <c r="J152" s="254" t="s">
        <v>680</v>
      </c>
      <c r="K152" s="2"/>
      <c r="L152" s="2">
        <v>56</v>
      </c>
      <c r="M152" s="253" t="s">
        <v>677</v>
      </c>
    </row>
    <row r="153" spans="1:13" hidden="1">
      <c r="A153">
        <v>149</v>
      </c>
      <c r="B153" t="s">
        <v>27</v>
      </c>
      <c r="C153" s="254" t="s">
        <v>994</v>
      </c>
      <c r="D153" s="70" t="s">
        <v>4202</v>
      </c>
      <c r="E153" s="38" t="s">
        <v>1176</v>
      </c>
      <c r="F153" s="38" t="s">
        <v>52</v>
      </c>
      <c r="G153" s="72">
        <v>1</v>
      </c>
      <c r="I153">
        <v>60</v>
      </c>
      <c r="J153" s="254" t="s">
        <v>680</v>
      </c>
      <c r="K153" s="2"/>
      <c r="L153" s="2">
        <v>56</v>
      </c>
      <c r="M153" s="253" t="s">
        <v>677</v>
      </c>
    </row>
    <row r="154" spans="1:13" hidden="1">
      <c r="A154">
        <v>150</v>
      </c>
      <c r="B154" t="s">
        <v>27</v>
      </c>
      <c r="C154" s="254" t="s">
        <v>996</v>
      </c>
      <c r="D154" s="70" t="s">
        <v>4203</v>
      </c>
      <c r="E154" s="38" t="s">
        <v>1176</v>
      </c>
      <c r="F154" s="38" t="s">
        <v>52</v>
      </c>
      <c r="G154" s="72">
        <v>12</v>
      </c>
      <c r="I154">
        <v>60</v>
      </c>
      <c r="J154" s="254" t="s">
        <v>680</v>
      </c>
      <c r="K154" s="2"/>
      <c r="L154" s="2">
        <v>56</v>
      </c>
      <c r="M154" s="253" t="s">
        <v>677</v>
      </c>
    </row>
    <row r="155" spans="1:13" hidden="1">
      <c r="A155">
        <v>151</v>
      </c>
      <c r="B155" t="s">
        <v>27</v>
      </c>
      <c r="C155" s="254" t="s">
        <v>998</v>
      </c>
      <c r="D155" s="70" t="s">
        <v>4204</v>
      </c>
      <c r="E155" s="38" t="s">
        <v>1219</v>
      </c>
      <c r="F155" s="38" t="s">
        <v>4205</v>
      </c>
      <c r="G155" s="72">
        <v>5</v>
      </c>
      <c r="I155">
        <v>60</v>
      </c>
      <c r="J155" s="254" t="s">
        <v>678</v>
      </c>
      <c r="K155" s="2"/>
      <c r="L155" s="2">
        <v>56</v>
      </c>
      <c r="M155" s="253" t="s">
        <v>677</v>
      </c>
    </row>
    <row r="156" spans="1:13" hidden="1">
      <c r="A156">
        <v>152</v>
      </c>
      <c r="B156" t="s">
        <v>27</v>
      </c>
      <c r="C156" s="254" t="s">
        <v>1000</v>
      </c>
      <c r="D156" s="70" t="s">
        <v>4206</v>
      </c>
      <c r="E156" s="38" t="s">
        <v>4196</v>
      </c>
      <c r="F156" s="38" t="s">
        <v>3833</v>
      </c>
      <c r="G156" s="72">
        <v>5</v>
      </c>
      <c r="I156">
        <v>60</v>
      </c>
      <c r="J156" s="254"/>
      <c r="K156" s="2"/>
      <c r="L156" s="2">
        <v>56</v>
      </c>
      <c r="M156" s="253" t="s">
        <v>677</v>
      </c>
    </row>
    <row r="157" spans="1:13" hidden="1">
      <c r="A157">
        <v>153</v>
      </c>
      <c r="B157" t="s">
        <v>27</v>
      </c>
      <c r="C157" s="254" t="s">
        <v>1002</v>
      </c>
      <c r="D157" s="70" t="s">
        <v>4207</v>
      </c>
      <c r="E157" s="38" t="s">
        <v>1176</v>
      </c>
      <c r="F157" s="38" t="s">
        <v>3833</v>
      </c>
      <c r="G157" s="72">
        <v>1</v>
      </c>
      <c r="I157">
        <v>60</v>
      </c>
      <c r="J157" s="254" t="s">
        <v>678</v>
      </c>
      <c r="K157" s="2"/>
      <c r="L157" s="2">
        <v>42</v>
      </c>
      <c r="M157" s="253" t="s">
        <v>679</v>
      </c>
    </row>
    <row r="158" spans="1:13" hidden="1">
      <c r="A158">
        <v>154</v>
      </c>
      <c r="B158" t="s">
        <v>27</v>
      </c>
      <c r="C158" s="254" t="s">
        <v>1004</v>
      </c>
      <c r="D158" s="70" t="s">
        <v>4208</v>
      </c>
      <c r="E158" s="38" t="s">
        <v>1176</v>
      </c>
      <c r="F158" s="38" t="s">
        <v>3833</v>
      </c>
      <c r="G158" s="72">
        <v>1</v>
      </c>
      <c r="H158">
        <v>120</v>
      </c>
      <c r="I158">
        <v>60</v>
      </c>
      <c r="J158" s="254" t="s">
        <v>678</v>
      </c>
      <c r="K158" s="2"/>
      <c r="L158" s="2">
        <v>42</v>
      </c>
      <c r="M158" s="253" t="s">
        <v>679</v>
      </c>
    </row>
    <row r="159" spans="1:13" hidden="1">
      <c r="A159">
        <v>155</v>
      </c>
      <c r="B159" t="s">
        <v>27</v>
      </c>
      <c r="C159" s="254" t="s">
        <v>36</v>
      </c>
      <c r="D159" s="70" t="s">
        <v>4209</v>
      </c>
      <c r="E159" s="38" t="s">
        <v>1403</v>
      </c>
      <c r="F159" s="38" t="s">
        <v>32</v>
      </c>
      <c r="G159" s="72">
        <v>30</v>
      </c>
      <c r="H159">
        <v>73</v>
      </c>
      <c r="I159">
        <v>60</v>
      </c>
      <c r="J159" s="254" t="s">
        <v>678</v>
      </c>
      <c r="K159" s="2">
        <v>96</v>
      </c>
      <c r="L159" s="2">
        <v>56</v>
      </c>
      <c r="M159" s="253" t="s">
        <v>677</v>
      </c>
    </row>
    <row r="160" spans="1:13" hidden="1">
      <c r="A160">
        <v>156</v>
      </c>
      <c r="B160" t="s">
        <v>27</v>
      </c>
      <c r="C160" s="254" t="s">
        <v>1007</v>
      </c>
      <c r="D160" s="70" t="s">
        <v>4210</v>
      </c>
      <c r="E160" s="38" t="s">
        <v>1204</v>
      </c>
      <c r="F160" s="38" t="s">
        <v>32</v>
      </c>
      <c r="G160" s="72">
        <v>10</v>
      </c>
      <c r="H160">
        <v>720</v>
      </c>
      <c r="I160">
        <v>60</v>
      </c>
      <c r="J160" s="254" t="s">
        <v>678</v>
      </c>
      <c r="K160" s="2">
        <v>96</v>
      </c>
      <c r="L160" s="2">
        <v>56</v>
      </c>
      <c r="M160" s="253" t="s">
        <v>677</v>
      </c>
    </row>
    <row r="161" spans="1:13" hidden="1">
      <c r="A161">
        <v>157</v>
      </c>
      <c r="B161" t="s">
        <v>27</v>
      </c>
      <c r="C161" s="254" t="s">
        <v>43</v>
      </c>
      <c r="D161" s="70" t="s">
        <v>4211</v>
      </c>
      <c r="E161" s="38" t="s">
        <v>1334</v>
      </c>
      <c r="F161" s="38" t="s">
        <v>39</v>
      </c>
      <c r="G161" s="72">
        <v>10</v>
      </c>
      <c r="H161">
        <v>90</v>
      </c>
      <c r="I161">
        <v>60</v>
      </c>
      <c r="J161" s="254" t="s">
        <v>678</v>
      </c>
      <c r="K161" s="2">
        <v>60</v>
      </c>
      <c r="L161" s="2">
        <v>56</v>
      </c>
      <c r="M161" s="253" t="s">
        <v>677</v>
      </c>
    </row>
    <row r="162" spans="1:13" hidden="1">
      <c r="A162">
        <v>158</v>
      </c>
      <c r="B162" t="s">
        <v>27</v>
      </c>
      <c r="C162" s="254" t="s">
        <v>44</v>
      </c>
      <c r="D162" s="70" t="s">
        <v>4212</v>
      </c>
      <c r="E162" s="38" t="s">
        <v>1536</v>
      </c>
      <c r="F162" s="38" t="s">
        <v>39</v>
      </c>
      <c r="G162" s="72">
        <v>5</v>
      </c>
      <c r="I162">
        <v>60</v>
      </c>
      <c r="J162" s="254" t="s">
        <v>678</v>
      </c>
      <c r="K162" s="2">
        <v>60</v>
      </c>
      <c r="L162" s="2">
        <v>56</v>
      </c>
      <c r="M162" s="253" t="s">
        <v>677</v>
      </c>
    </row>
    <row r="163" spans="1:13" hidden="1">
      <c r="A163">
        <v>159</v>
      </c>
      <c r="B163" t="s">
        <v>27</v>
      </c>
      <c r="C163" s="254" t="s">
        <v>1011</v>
      </c>
      <c r="D163" s="70" t="s">
        <v>4213</v>
      </c>
      <c r="E163" s="38" t="s">
        <v>1315</v>
      </c>
      <c r="F163" s="38" t="s">
        <v>39</v>
      </c>
      <c r="G163" s="72">
        <v>5</v>
      </c>
      <c r="I163">
        <v>60</v>
      </c>
      <c r="J163" s="254"/>
      <c r="K163" s="2">
        <v>60</v>
      </c>
      <c r="L163" s="2">
        <v>56</v>
      </c>
      <c r="M163" s="253" t="s">
        <v>677</v>
      </c>
    </row>
    <row r="164" spans="1:13" hidden="1">
      <c r="A164">
        <v>160</v>
      </c>
      <c r="B164" t="s">
        <v>27</v>
      </c>
      <c r="C164" s="254" t="s">
        <v>1013</v>
      </c>
      <c r="D164" s="70" t="s">
        <v>4214</v>
      </c>
      <c r="E164" s="38" t="s">
        <v>1315</v>
      </c>
      <c r="F164" s="38" t="s">
        <v>39</v>
      </c>
      <c r="G164" s="72">
        <v>5</v>
      </c>
      <c r="H164">
        <v>72</v>
      </c>
      <c r="I164">
        <v>60</v>
      </c>
      <c r="J164" s="254" t="s">
        <v>678</v>
      </c>
      <c r="K164" s="2">
        <v>60</v>
      </c>
      <c r="L164" s="2">
        <v>56</v>
      </c>
      <c r="M164" s="253" t="s">
        <v>677</v>
      </c>
    </row>
    <row r="165" spans="1:13" hidden="1">
      <c r="A165">
        <v>161</v>
      </c>
      <c r="B165" t="s">
        <v>27</v>
      </c>
      <c r="C165" s="254" t="s">
        <v>651</v>
      </c>
      <c r="D165" s="70" t="s">
        <v>4215</v>
      </c>
      <c r="E165" s="38" t="s">
        <v>1213</v>
      </c>
      <c r="F165" s="38" t="s">
        <v>47</v>
      </c>
      <c r="G165" s="72">
        <v>5</v>
      </c>
      <c r="H165">
        <v>900</v>
      </c>
      <c r="I165">
        <v>60</v>
      </c>
      <c r="J165" s="254"/>
      <c r="K165" s="2"/>
      <c r="L165" s="2">
        <v>56</v>
      </c>
      <c r="M165" s="253" t="s">
        <v>677</v>
      </c>
    </row>
    <row r="166" spans="1:13" hidden="1">
      <c r="A166">
        <v>162</v>
      </c>
      <c r="B166" t="s">
        <v>27</v>
      </c>
      <c r="C166" s="254" t="s">
        <v>398</v>
      </c>
      <c r="D166" s="70" t="s">
        <v>4216</v>
      </c>
      <c r="E166" s="38" t="s">
        <v>1213</v>
      </c>
      <c r="F166" s="38" t="s">
        <v>47</v>
      </c>
      <c r="G166" s="72">
        <v>5</v>
      </c>
      <c r="H166">
        <v>90</v>
      </c>
      <c r="I166">
        <v>60</v>
      </c>
      <c r="J166" s="254" t="s">
        <v>678</v>
      </c>
      <c r="K166" s="2"/>
      <c r="L166" s="2">
        <v>56</v>
      </c>
      <c r="M166" s="253" t="s">
        <v>677</v>
      </c>
    </row>
    <row r="167" spans="1:13" hidden="1">
      <c r="A167">
        <v>163</v>
      </c>
      <c r="B167" t="s">
        <v>27</v>
      </c>
      <c r="C167" s="254" t="s">
        <v>1017</v>
      </c>
      <c r="D167" s="70" t="s">
        <v>4217</v>
      </c>
      <c r="E167" s="38" t="s">
        <v>4099</v>
      </c>
      <c r="F167" s="38" t="s">
        <v>47</v>
      </c>
      <c r="G167" s="72">
        <v>10</v>
      </c>
      <c r="I167">
        <v>60</v>
      </c>
      <c r="J167" s="254" t="s">
        <v>680</v>
      </c>
      <c r="K167" s="2"/>
      <c r="L167" s="2">
        <v>56</v>
      </c>
      <c r="M167" s="253" t="s">
        <v>677</v>
      </c>
    </row>
    <row r="168" spans="1:13" hidden="1">
      <c r="A168">
        <v>164</v>
      </c>
      <c r="B168" s="343" t="s">
        <v>636</v>
      </c>
      <c r="C168" s="254" t="s">
        <v>191</v>
      </c>
      <c r="D168" s="70" t="s">
        <v>4218</v>
      </c>
      <c r="E168" s="38">
        <v>2</v>
      </c>
      <c r="F168" s="38" t="s">
        <v>4219</v>
      </c>
      <c r="G168" s="72">
        <v>50</v>
      </c>
      <c r="J168" s="254" t="s">
        <v>678</v>
      </c>
      <c r="L168" s="2">
        <v>56</v>
      </c>
      <c r="M168" s="253" t="s">
        <v>677</v>
      </c>
    </row>
    <row r="169" spans="1:13" hidden="1">
      <c r="A169">
        <v>165</v>
      </c>
      <c r="B169" s="343" t="s">
        <v>636</v>
      </c>
      <c r="C169" s="254" t="s">
        <v>1741</v>
      </c>
      <c r="D169" s="70" t="s">
        <v>4220</v>
      </c>
      <c r="E169" s="38"/>
      <c r="F169" s="38" t="s">
        <v>4220</v>
      </c>
      <c r="G169" s="72">
        <v>50</v>
      </c>
      <c r="J169" s="254"/>
      <c r="L169" s="2">
        <v>42</v>
      </c>
      <c r="M169" s="253" t="s">
        <v>679</v>
      </c>
    </row>
    <row r="170" spans="1:13" hidden="1">
      <c r="A170">
        <v>166</v>
      </c>
      <c r="B170" s="343" t="s">
        <v>636</v>
      </c>
      <c r="C170" s="254" t="s">
        <v>193</v>
      </c>
      <c r="D170" s="70" t="s">
        <v>1177</v>
      </c>
      <c r="E170" s="39">
        <v>42835</v>
      </c>
      <c r="F170" s="38" t="s">
        <v>4221</v>
      </c>
      <c r="G170" s="72">
        <v>50</v>
      </c>
      <c r="J170" s="254"/>
      <c r="L170" s="2">
        <v>42</v>
      </c>
      <c r="M170" s="253" t="s">
        <v>679</v>
      </c>
    </row>
    <row r="171" spans="1:13" hidden="1">
      <c r="A171">
        <v>167</v>
      </c>
      <c r="B171" s="343" t="s">
        <v>636</v>
      </c>
      <c r="C171" s="254" t="s">
        <v>163</v>
      </c>
      <c r="D171" s="70" t="s">
        <v>1178</v>
      </c>
      <c r="E171" s="38">
        <v>3</v>
      </c>
      <c r="F171" s="38" t="s">
        <v>4222</v>
      </c>
      <c r="G171" s="72">
        <v>50</v>
      </c>
      <c r="J171" s="254"/>
      <c r="L171" s="2">
        <v>56</v>
      </c>
      <c r="M171" s="253" t="s">
        <v>677</v>
      </c>
    </row>
    <row r="172" spans="1:13" hidden="1">
      <c r="A172">
        <v>168</v>
      </c>
      <c r="B172" s="343" t="s">
        <v>636</v>
      </c>
      <c r="C172" s="254" t="s">
        <v>418</v>
      </c>
      <c r="D172" s="70" t="s">
        <v>1179</v>
      </c>
      <c r="E172" s="38"/>
      <c r="F172" s="38" t="s">
        <v>4223</v>
      </c>
      <c r="G172" s="72">
        <v>50</v>
      </c>
      <c r="J172" s="254"/>
      <c r="L172" s="2">
        <v>42</v>
      </c>
      <c r="M172" s="253" t="s">
        <v>679</v>
      </c>
    </row>
    <row r="173" spans="1:13" hidden="1">
      <c r="A173">
        <v>169</v>
      </c>
      <c r="B173" s="343" t="s">
        <v>636</v>
      </c>
      <c r="C173" s="254">
        <v>32166161</v>
      </c>
      <c r="D173" s="70" t="s">
        <v>4224</v>
      </c>
      <c r="E173" s="38" t="s">
        <v>4225</v>
      </c>
      <c r="F173" s="38" t="s">
        <v>4226</v>
      </c>
      <c r="G173" s="72">
        <v>50</v>
      </c>
      <c r="J173" s="254" t="s">
        <v>680</v>
      </c>
      <c r="L173" s="2">
        <v>56</v>
      </c>
      <c r="M173" s="253" t="s">
        <v>677</v>
      </c>
    </row>
    <row r="174" spans="1:13" hidden="1">
      <c r="A174">
        <v>170</v>
      </c>
      <c r="B174" s="343" t="s">
        <v>636</v>
      </c>
      <c r="C174" s="254">
        <v>32166162</v>
      </c>
      <c r="D174" s="70" t="s">
        <v>4227</v>
      </c>
      <c r="E174" s="38" t="s">
        <v>4228</v>
      </c>
      <c r="F174" s="38" t="s">
        <v>4226</v>
      </c>
      <c r="G174" s="72">
        <v>50</v>
      </c>
      <c r="J174" s="254" t="s">
        <v>680</v>
      </c>
      <c r="L174" s="2">
        <v>56</v>
      </c>
      <c r="M174" s="253" t="s">
        <v>677</v>
      </c>
    </row>
    <row r="175" spans="1:13" hidden="1">
      <c r="A175">
        <v>171</v>
      </c>
      <c r="B175" t="s">
        <v>57</v>
      </c>
      <c r="C175" s="70" t="s">
        <v>445</v>
      </c>
      <c r="D175" t="s">
        <v>4229</v>
      </c>
      <c r="E175" s="38" t="s">
        <v>1499</v>
      </c>
      <c r="F175" s="38" t="s">
        <v>4230</v>
      </c>
      <c r="G175" s="72"/>
      <c r="J175" s="254" t="s">
        <v>680</v>
      </c>
      <c r="K175" s="2"/>
      <c r="L175" s="2"/>
      <c r="M175" s="253" t="s">
        <v>677</v>
      </c>
    </row>
    <row r="176" spans="1:13" hidden="1">
      <c r="A176">
        <v>172</v>
      </c>
      <c r="B176" t="s">
        <v>57</v>
      </c>
      <c r="C176" t="s">
        <v>521</v>
      </c>
      <c r="D176" t="s">
        <v>4231</v>
      </c>
      <c r="E176" s="38" t="s">
        <v>1499</v>
      </c>
      <c r="F176" s="38" t="s">
        <v>4231</v>
      </c>
      <c r="G176" s="72"/>
      <c r="J176" s="254" t="s">
        <v>680</v>
      </c>
      <c r="K176" s="2"/>
      <c r="L176" s="2"/>
      <c r="M176" s="253" t="s">
        <v>677</v>
      </c>
    </row>
    <row r="177" spans="1:13" hidden="1">
      <c r="A177">
        <v>173</v>
      </c>
      <c r="B177" t="s">
        <v>57</v>
      </c>
      <c r="C177" s="70" t="s">
        <v>3022</v>
      </c>
      <c r="D177" s="70" t="s">
        <v>4232</v>
      </c>
      <c r="E177" s="38" t="s">
        <v>1391</v>
      </c>
      <c r="F177" s="38" t="s">
        <v>4232</v>
      </c>
      <c r="G177" s="72"/>
      <c r="J177" s="254" t="s">
        <v>680</v>
      </c>
      <c r="K177" s="2"/>
      <c r="L177" s="2"/>
      <c r="M177" s="253" t="s">
        <v>677</v>
      </c>
    </row>
    <row r="178" spans="1:13" hidden="1">
      <c r="A178">
        <v>174</v>
      </c>
      <c r="B178" t="s">
        <v>57</v>
      </c>
      <c r="C178" s="70" t="s">
        <v>535</v>
      </c>
      <c r="D178" s="70" t="s">
        <v>4233</v>
      </c>
      <c r="E178" s="38" t="s">
        <v>1391</v>
      </c>
      <c r="F178" s="38" t="s">
        <v>4233</v>
      </c>
      <c r="G178" s="72"/>
      <c r="J178" s="254" t="s">
        <v>680</v>
      </c>
      <c r="K178" s="2"/>
      <c r="L178" s="2"/>
      <c r="M178" s="253" t="s">
        <v>677</v>
      </c>
    </row>
    <row r="179" spans="1:13" hidden="1">
      <c r="A179">
        <v>175</v>
      </c>
      <c r="B179" t="s">
        <v>57</v>
      </c>
      <c r="C179" s="70" t="s">
        <v>3023</v>
      </c>
      <c r="D179" t="s">
        <v>4234</v>
      </c>
      <c r="E179" s="38" t="s">
        <v>1391</v>
      </c>
      <c r="F179" s="38" t="s">
        <v>4235</v>
      </c>
      <c r="G179" s="72"/>
      <c r="J179" s="254" t="s">
        <v>680</v>
      </c>
      <c r="K179" s="2"/>
      <c r="L179" s="2"/>
      <c r="M179" s="253" t="s">
        <v>677</v>
      </c>
    </row>
    <row r="180" spans="1:13" hidden="1">
      <c r="A180">
        <v>176</v>
      </c>
      <c r="B180" t="s">
        <v>57</v>
      </c>
      <c r="C180" s="70" t="s">
        <v>475</v>
      </c>
      <c r="D180" s="70" t="s">
        <v>4236</v>
      </c>
      <c r="E180" s="38" t="s">
        <v>1391</v>
      </c>
      <c r="F180" s="38" t="s">
        <v>4236</v>
      </c>
      <c r="G180" s="72"/>
      <c r="J180" s="254" t="s">
        <v>680</v>
      </c>
      <c r="K180" s="2"/>
      <c r="L180" s="2"/>
      <c r="M180" s="253" t="s">
        <v>677</v>
      </c>
    </row>
    <row r="181" spans="1:13" hidden="1">
      <c r="A181">
        <v>177</v>
      </c>
      <c r="B181" t="s">
        <v>57</v>
      </c>
      <c r="C181" s="70" t="s">
        <v>3024</v>
      </c>
      <c r="D181" s="70" t="s">
        <v>4237</v>
      </c>
      <c r="E181" s="38" t="s">
        <v>1499</v>
      </c>
      <c r="F181" s="38" t="s">
        <v>4237</v>
      </c>
      <c r="G181" s="72"/>
      <c r="J181" s="254" t="s">
        <v>680</v>
      </c>
      <c r="K181" s="2"/>
      <c r="L181" s="2"/>
      <c r="M181" s="253" t="s">
        <v>677</v>
      </c>
    </row>
    <row r="182" spans="1:13" hidden="1">
      <c r="A182">
        <v>178</v>
      </c>
      <c r="B182" t="s">
        <v>57</v>
      </c>
      <c r="C182" s="70" t="s">
        <v>3025</v>
      </c>
      <c r="D182" s="70" t="s">
        <v>4238</v>
      </c>
      <c r="E182" s="38" t="s">
        <v>1391</v>
      </c>
      <c r="F182" s="38" t="s">
        <v>4238</v>
      </c>
      <c r="G182" s="72"/>
      <c r="J182" s="254" t="s">
        <v>680</v>
      </c>
      <c r="K182" s="2"/>
      <c r="L182" s="2"/>
      <c r="M182" s="253" t="s">
        <v>677</v>
      </c>
    </row>
    <row r="183" spans="1:13" hidden="1">
      <c r="A183">
        <v>179</v>
      </c>
      <c r="B183" t="s">
        <v>57</v>
      </c>
      <c r="C183" s="70" t="s">
        <v>3677</v>
      </c>
      <c r="D183" t="s">
        <v>4239</v>
      </c>
      <c r="E183" s="38" t="s">
        <v>1951</v>
      </c>
      <c r="F183" s="38" t="s">
        <v>4239</v>
      </c>
      <c r="G183" s="72"/>
      <c r="J183" s="254" t="s">
        <v>680</v>
      </c>
      <c r="K183" s="2"/>
      <c r="L183" s="2"/>
      <c r="M183" s="255" t="s">
        <v>677</v>
      </c>
    </row>
    <row r="184" spans="1:13" hidden="1">
      <c r="A184">
        <v>180</v>
      </c>
      <c r="B184" t="s">
        <v>57</v>
      </c>
      <c r="C184" s="70" t="s">
        <v>3678</v>
      </c>
      <c r="D184" t="s">
        <v>4240</v>
      </c>
      <c r="E184" s="256" t="s">
        <v>2306</v>
      </c>
      <c r="F184" s="38" t="s">
        <v>4240</v>
      </c>
      <c r="G184" s="72"/>
      <c r="J184" s="254" t="s">
        <v>680</v>
      </c>
      <c r="K184" s="2"/>
      <c r="L184" s="2"/>
      <c r="M184" s="255" t="s">
        <v>677</v>
      </c>
    </row>
    <row r="185" spans="1:13" hidden="1">
      <c r="A185">
        <v>181</v>
      </c>
      <c r="B185" t="s">
        <v>57</v>
      </c>
      <c r="C185" s="70" t="s">
        <v>3679</v>
      </c>
      <c r="D185" t="s">
        <v>4240</v>
      </c>
      <c r="E185" s="38" t="s">
        <v>1951</v>
      </c>
      <c r="F185" s="38" t="s">
        <v>4240</v>
      </c>
      <c r="G185" s="72"/>
      <c r="J185" s="254" t="s">
        <v>680</v>
      </c>
      <c r="K185" s="2"/>
      <c r="L185" s="2"/>
      <c r="M185" s="255" t="s">
        <v>677</v>
      </c>
    </row>
    <row r="186" spans="1:13" hidden="1">
      <c r="A186">
        <v>182</v>
      </c>
      <c r="B186" t="s">
        <v>57</v>
      </c>
      <c r="C186" s="70" t="s">
        <v>3680</v>
      </c>
      <c r="D186" t="s">
        <v>4241</v>
      </c>
      <c r="E186" s="38" t="s">
        <v>1705</v>
      </c>
      <c r="F186" s="38" t="s">
        <v>4241</v>
      </c>
      <c r="G186" s="72"/>
      <c r="J186" s="254" t="s">
        <v>680</v>
      </c>
      <c r="K186" s="2"/>
      <c r="L186" s="2"/>
      <c r="M186" s="255" t="s">
        <v>677</v>
      </c>
    </row>
    <row r="187" spans="1:13" hidden="1">
      <c r="A187">
        <v>183</v>
      </c>
      <c r="B187" t="s">
        <v>57</v>
      </c>
      <c r="C187" s="70" t="s">
        <v>3681</v>
      </c>
      <c r="D187" t="s">
        <v>4242</v>
      </c>
      <c r="E187" s="256" t="s">
        <v>4243</v>
      </c>
      <c r="F187" s="38" t="s">
        <v>4242</v>
      </c>
      <c r="G187" s="72"/>
      <c r="J187" s="254" t="s">
        <v>680</v>
      </c>
      <c r="K187" s="2"/>
      <c r="L187" s="2"/>
      <c r="M187" s="255" t="s">
        <v>677</v>
      </c>
    </row>
    <row r="188" spans="1:13" hidden="1">
      <c r="A188">
        <v>184</v>
      </c>
      <c r="B188" t="s">
        <v>57</v>
      </c>
      <c r="C188" s="70" t="s">
        <v>3682</v>
      </c>
      <c r="D188" t="s">
        <v>4244</v>
      </c>
      <c r="E188" s="256" t="s">
        <v>2335</v>
      </c>
      <c r="F188" s="38" t="s">
        <v>4244</v>
      </c>
      <c r="G188" s="72"/>
      <c r="J188" s="254" t="s">
        <v>680</v>
      </c>
      <c r="K188" s="2"/>
      <c r="L188" s="2"/>
      <c r="M188" s="255" t="s">
        <v>677</v>
      </c>
    </row>
    <row r="189" spans="1:13" hidden="1">
      <c r="A189">
        <v>185</v>
      </c>
      <c r="B189" t="s">
        <v>57</v>
      </c>
      <c r="C189" s="70" t="s">
        <v>3685</v>
      </c>
      <c r="D189" t="s">
        <v>4245</v>
      </c>
      <c r="E189" s="256" t="s">
        <v>2335</v>
      </c>
      <c r="F189" s="38" t="s">
        <v>4245</v>
      </c>
      <c r="G189" s="72"/>
      <c r="J189" s="254" t="s">
        <v>680</v>
      </c>
      <c r="K189" s="2"/>
      <c r="L189" s="2"/>
      <c r="M189" s="255" t="s">
        <v>677</v>
      </c>
    </row>
    <row r="190" spans="1:13" hidden="1">
      <c r="A190">
        <v>186</v>
      </c>
      <c r="B190" t="s">
        <v>57</v>
      </c>
      <c r="C190" s="70" t="s">
        <v>3683</v>
      </c>
      <c r="D190" t="s">
        <v>4246</v>
      </c>
      <c r="E190" s="256" t="s">
        <v>2335</v>
      </c>
      <c r="F190" s="38" t="s">
        <v>4246</v>
      </c>
      <c r="G190" s="72"/>
      <c r="J190" s="254" t="s">
        <v>680</v>
      </c>
      <c r="K190" s="2"/>
      <c r="L190" s="2"/>
      <c r="M190" s="255" t="s">
        <v>677</v>
      </c>
    </row>
    <row r="191" spans="1:13" hidden="1">
      <c r="A191">
        <v>187</v>
      </c>
      <c r="B191" t="s">
        <v>57</v>
      </c>
      <c r="C191" s="70" t="s">
        <v>3684</v>
      </c>
      <c r="D191" t="s">
        <v>4247</v>
      </c>
      <c r="E191" s="256" t="s">
        <v>2335</v>
      </c>
      <c r="F191" s="38" t="s">
        <v>4247</v>
      </c>
      <c r="G191" s="72"/>
      <c r="J191" s="254" t="s">
        <v>680</v>
      </c>
      <c r="K191" s="2"/>
      <c r="L191" s="2"/>
      <c r="M191" s="255" t="s">
        <v>677</v>
      </c>
    </row>
    <row r="192" spans="1:13" hidden="1">
      <c r="A192">
        <v>188</v>
      </c>
      <c r="B192" t="s">
        <v>57</v>
      </c>
      <c r="C192" t="s">
        <v>3688</v>
      </c>
      <c r="D192" t="s">
        <v>4248</v>
      </c>
      <c r="E192" s="256" t="s">
        <v>2335</v>
      </c>
      <c r="F192" s="38" t="s">
        <v>4248</v>
      </c>
      <c r="G192" s="72"/>
      <c r="J192" s="254" t="s">
        <v>680</v>
      </c>
      <c r="K192" s="2"/>
      <c r="L192" s="2"/>
      <c r="M192" s="255" t="s">
        <v>677</v>
      </c>
    </row>
    <row r="193" spans="1:13" hidden="1">
      <c r="A193">
        <v>189</v>
      </c>
      <c r="B193" t="s">
        <v>57</v>
      </c>
      <c r="C193" t="s">
        <v>3686</v>
      </c>
      <c r="D193" t="s">
        <v>4249</v>
      </c>
      <c r="E193" s="256" t="s">
        <v>2335</v>
      </c>
      <c r="F193" s="38" t="s">
        <v>4249</v>
      </c>
      <c r="G193" s="72"/>
      <c r="J193" s="254" t="s">
        <v>680</v>
      </c>
      <c r="K193" s="2"/>
      <c r="L193" s="2"/>
      <c r="M193" s="255" t="s">
        <v>677</v>
      </c>
    </row>
    <row r="194" spans="1:13" hidden="1">
      <c r="A194">
        <v>190</v>
      </c>
      <c r="B194" t="s">
        <v>57</v>
      </c>
      <c r="C194" t="s">
        <v>3687</v>
      </c>
      <c r="D194" t="s">
        <v>4250</v>
      </c>
      <c r="E194" s="256" t="s">
        <v>2335</v>
      </c>
      <c r="F194" s="38" t="s">
        <v>4250</v>
      </c>
      <c r="G194" s="72"/>
      <c r="J194" s="254" t="s">
        <v>680</v>
      </c>
      <c r="K194" s="2"/>
      <c r="L194" s="2"/>
      <c r="M194" s="255" t="s">
        <v>677</v>
      </c>
    </row>
    <row r="195" spans="1:13" hidden="1">
      <c r="A195">
        <v>191</v>
      </c>
      <c r="B195" t="s">
        <v>57</v>
      </c>
      <c r="C195" t="s">
        <v>3689</v>
      </c>
      <c r="D195" t="s">
        <v>4251</v>
      </c>
      <c r="E195" s="256" t="s">
        <v>2335</v>
      </c>
      <c r="F195" s="38" t="s">
        <v>4251</v>
      </c>
      <c r="G195" s="72"/>
      <c r="J195" s="254" t="s">
        <v>680</v>
      </c>
      <c r="K195" s="2"/>
      <c r="L195" s="2"/>
      <c r="M195" s="255" t="s">
        <v>677</v>
      </c>
    </row>
    <row r="196" spans="1:13" hidden="1">
      <c r="A196">
        <v>192</v>
      </c>
      <c r="B196" t="s">
        <v>57</v>
      </c>
      <c r="C196" t="s">
        <v>3690</v>
      </c>
      <c r="D196" t="s">
        <v>4252</v>
      </c>
      <c r="E196" s="256" t="s">
        <v>2335</v>
      </c>
      <c r="F196" s="38" t="s">
        <v>4252</v>
      </c>
      <c r="G196" s="72"/>
      <c r="J196" s="254" t="s">
        <v>680</v>
      </c>
      <c r="K196" s="2"/>
      <c r="L196" s="2"/>
      <c r="M196" s="255" t="s">
        <v>677</v>
      </c>
    </row>
    <row r="197" spans="1:13" hidden="1">
      <c r="A197">
        <v>193</v>
      </c>
      <c r="B197" s="343" t="s">
        <v>58</v>
      </c>
      <c r="C197" s="254" t="s">
        <v>307</v>
      </c>
      <c r="D197" s="70" t="s">
        <v>4253</v>
      </c>
      <c r="E197" s="38" t="s">
        <v>1499</v>
      </c>
      <c r="F197" s="38" t="s">
        <v>4254</v>
      </c>
      <c r="G197" s="72"/>
      <c r="J197" s="254"/>
      <c r="L197" s="2">
        <v>42</v>
      </c>
      <c r="M197" s="253" t="s">
        <v>679</v>
      </c>
    </row>
    <row r="198" spans="1:13" hidden="1">
      <c r="A198">
        <v>194</v>
      </c>
      <c r="B198" s="343" t="s">
        <v>58</v>
      </c>
      <c r="C198" s="254" t="s">
        <v>1083</v>
      </c>
      <c r="D198" s="257" t="s">
        <v>4255</v>
      </c>
      <c r="E198" s="38" t="s">
        <v>1499</v>
      </c>
      <c r="F198" s="38" t="s">
        <v>4256</v>
      </c>
      <c r="G198" s="72"/>
      <c r="J198" s="254"/>
      <c r="L198" s="2">
        <v>42</v>
      </c>
      <c r="M198" s="253" t="s">
        <v>679</v>
      </c>
    </row>
    <row r="199" spans="1:13" hidden="1">
      <c r="A199">
        <v>195</v>
      </c>
      <c r="B199" t="s">
        <v>58</v>
      </c>
      <c r="C199" s="70" t="s">
        <v>346</v>
      </c>
      <c r="D199" s="70" t="s">
        <v>4257</v>
      </c>
      <c r="E199" s="38" t="s">
        <v>1499</v>
      </c>
      <c r="F199" s="38" t="s">
        <v>4256</v>
      </c>
      <c r="G199" s="72"/>
      <c r="J199" s="254"/>
      <c r="L199" s="2">
        <v>42</v>
      </c>
      <c r="M199" s="253" t="s">
        <v>679</v>
      </c>
    </row>
    <row r="200" spans="1:13" hidden="1">
      <c r="A200">
        <v>196</v>
      </c>
      <c r="B200" t="s">
        <v>58</v>
      </c>
      <c r="C200" s="70" t="s">
        <v>712</v>
      </c>
      <c r="D200" s="70" t="s">
        <v>4257</v>
      </c>
      <c r="E200" s="38" t="s">
        <v>1499</v>
      </c>
      <c r="F200" s="38" t="s">
        <v>4256</v>
      </c>
      <c r="G200" s="72"/>
      <c r="J200" s="254"/>
      <c r="L200" s="2">
        <v>42</v>
      </c>
      <c r="M200" s="253" t="s">
        <v>679</v>
      </c>
    </row>
    <row r="201" spans="1:13" hidden="1">
      <c r="A201">
        <v>197</v>
      </c>
      <c r="B201" t="s">
        <v>58</v>
      </c>
      <c r="C201" s="70" t="s">
        <v>345</v>
      </c>
      <c r="D201" s="70" t="s">
        <v>4258</v>
      </c>
      <c r="E201" s="38" t="s">
        <v>1391</v>
      </c>
      <c r="F201" s="38" t="s">
        <v>4259</v>
      </c>
      <c r="G201" s="72"/>
      <c r="J201" s="254"/>
      <c r="L201" s="2">
        <v>42</v>
      </c>
      <c r="M201" s="253" t="s">
        <v>679</v>
      </c>
    </row>
    <row r="202" spans="1:13" hidden="1">
      <c r="A202">
        <v>198</v>
      </c>
      <c r="B202" t="s">
        <v>58</v>
      </c>
      <c r="C202" s="258" t="s">
        <v>2125</v>
      </c>
      <c r="D202" s="70" t="s">
        <v>2126</v>
      </c>
      <c r="E202" s="38" t="s">
        <v>1499</v>
      </c>
      <c r="F202" s="38" t="s">
        <v>4260</v>
      </c>
      <c r="G202" s="72"/>
      <c r="J202" s="254" t="s">
        <v>678</v>
      </c>
      <c r="L202" s="2">
        <v>42</v>
      </c>
      <c r="M202" s="253" t="s">
        <v>679</v>
      </c>
    </row>
    <row r="203" spans="1:13" hidden="1">
      <c r="A203">
        <v>199</v>
      </c>
      <c r="B203" t="s">
        <v>58</v>
      </c>
      <c r="C203" s="258" t="s">
        <v>2136</v>
      </c>
      <c r="D203" s="70" t="s">
        <v>4261</v>
      </c>
      <c r="E203" s="38" t="s">
        <v>1951</v>
      </c>
      <c r="F203" s="38" t="s">
        <v>4260</v>
      </c>
      <c r="G203" s="72">
        <v>30</v>
      </c>
      <c r="J203" s="254" t="s">
        <v>678</v>
      </c>
      <c r="L203" s="2">
        <v>42</v>
      </c>
      <c r="M203" s="253" t="s">
        <v>679</v>
      </c>
    </row>
    <row r="204" spans="1:13" hidden="1">
      <c r="A204">
        <v>200</v>
      </c>
      <c r="B204" t="s">
        <v>58</v>
      </c>
      <c r="C204" s="258" t="s">
        <v>3205</v>
      </c>
      <c r="D204" s="70">
        <v>32643530</v>
      </c>
      <c r="E204" s="38"/>
      <c r="G204" s="72"/>
      <c r="J204" s="254"/>
      <c r="K204" s="2"/>
      <c r="L204" s="2"/>
      <c r="M204" s="253"/>
    </row>
    <row r="205" spans="1:13" hidden="1">
      <c r="A205">
        <v>201</v>
      </c>
      <c r="B205" t="s">
        <v>655</v>
      </c>
      <c r="C205" s="254" t="s">
        <v>1743</v>
      </c>
      <c r="D205" s="70" t="s">
        <v>4262</v>
      </c>
      <c r="E205" s="39">
        <v>43854</v>
      </c>
      <c r="F205" s="38" t="s">
        <v>4263</v>
      </c>
      <c r="G205" s="72">
        <v>150</v>
      </c>
      <c r="J205" s="254" t="s">
        <v>680</v>
      </c>
      <c r="L205" s="2">
        <v>56</v>
      </c>
      <c r="M205" s="253" t="s">
        <v>677</v>
      </c>
    </row>
    <row r="206" spans="1:13" hidden="1">
      <c r="A206">
        <v>202</v>
      </c>
      <c r="B206" t="s">
        <v>59</v>
      </c>
      <c r="C206" s="70" t="s">
        <v>4426</v>
      </c>
      <c r="D206" s="70" t="s">
        <v>60</v>
      </c>
      <c r="E206" s="38" t="s">
        <v>2131</v>
      </c>
      <c r="F206" s="38" t="s">
        <v>60</v>
      </c>
      <c r="G206" s="72"/>
      <c r="J206" s="254" t="s">
        <v>680</v>
      </c>
      <c r="K206" s="2"/>
      <c r="L206" s="2"/>
      <c r="M206" s="253" t="s">
        <v>677</v>
      </c>
    </row>
    <row r="207" spans="1:13" hidden="1">
      <c r="A207">
        <v>203</v>
      </c>
      <c r="B207" t="s">
        <v>59</v>
      </c>
      <c r="C207" s="70" t="s">
        <v>4429</v>
      </c>
      <c r="D207" s="70" t="s">
        <v>61</v>
      </c>
      <c r="E207" s="38" t="s">
        <v>1268</v>
      </c>
      <c r="F207" s="38" t="s">
        <v>61</v>
      </c>
      <c r="G207" s="72"/>
      <c r="J207" s="254" t="s">
        <v>680</v>
      </c>
      <c r="K207" s="2"/>
      <c r="L207" s="2"/>
      <c r="M207" s="253" t="s">
        <v>677</v>
      </c>
    </row>
    <row r="208" spans="1:13" hidden="1">
      <c r="A208">
        <v>204</v>
      </c>
      <c r="B208" t="s">
        <v>59</v>
      </c>
      <c r="C208" s="70" t="s">
        <v>63</v>
      </c>
      <c r="D208" s="70" t="s">
        <v>62</v>
      </c>
      <c r="E208" s="38" t="s">
        <v>2131</v>
      </c>
      <c r="F208" s="38" t="s">
        <v>62</v>
      </c>
      <c r="J208" s="254" t="s">
        <v>680</v>
      </c>
      <c r="K208" s="2"/>
      <c r="L208" s="2"/>
      <c r="M208" s="253" t="s">
        <v>677</v>
      </c>
    </row>
    <row r="209" spans="1:13" hidden="1">
      <c r="A209">
        <v>205</v>
      </c>
      <c r="B209" t="s">
        <v>59</v>
      </c>
      <c r="C209" s="70" t="s">
        <v>65</v>
      </c>
      <c r="D209" s="70" t="s">
        <v>64</v>
      </c>
      <c r="E209" s="38" t="s">
        <v>1391</v>
      </c>
      <c r="F209" s="38" t="s">
        <v>64</v>
      </c>
      <c r="J209" s="254" t="s">
        <v>680</v>
      </c>
      <c r="K209" s="2"/>
      <c r="L209" s="2"/>
      <c r="M209" s="253" t="s">
        <v>677</v>
      </c>
    </row>
    <row r="210" spans="1:13" hidden="1">
      <c r="A210">
        <v>206</v>
      </c>
      <c r="B210" t="s">
        <v>59</v>
      </c>
      <c r="C210" s="70" t="s">
        <v>75</v>
      </c>
      <c r="D210" t="s">
        <v>74</v>
      </c>
      <c r="E210" s="38" t="s">
        <v>2131</v>
      </c>
      <c r="F210" s="38" t="s">
        <v>74</v>
      </c>
      <c r="J210" s="254" t="s">
        <v>680</v>
      </c>
      <c r="K210" s="2"/>
      <c r="L210" s="2"/>
      <c r="M210" s="253" t="s">
        <v>677</v>
      </c>
    </row>
    <row r="211" spans="1:13" hidden="1">
      <c r="A211">
        <v>207</v>
      </c>
      <c r="B211" t="s">
        <v>59</v>
      </c>
      <c r="C211" s="70" t="s">
        <v>67</v>
      </c>
      <c r="D211" t="s">
        <v>66</v>
      </c>
      <c r="E211" s="38" t="s">
        <v>2131</v>
      </c>
      <c r="F211" s="38" t="s">
        <v>66</v>
      </c>
      <c r="J211" s="254" t="s">
        <v>680</v>
      </c>
      <c r="K211" s="2"/>
      <c r="L211" s="2"/>
      <c r="M211" s="253" t="s">
        <v>677</v>
      </c>
    </row>
    <row r="212" spans="1:13" hidden="1">
      <c r="A212">
        <v>208</v>
      </c>
      <c r="B212" t="s">
        <v>59</v>
      </c>
      <c r="C212" s="70" t="s">
        <v>69</v>
      </c>
      <c r="D212" t="s">
        <v>68</v>
      </c>
      <c r="E212" s="38" t="s">
        <v>1391</v>
      </c>
      <c r="F212" s="38" t="s">
        <v>68</v>
      </c>
      <c r="J212" s="254" t="s">
        <v>680</v>
      </c>
      <c r="K212" s="2"/>
      <c r="L212" s="2"/>
      <c r="M212" s="253" t="s">
        <v>677</v>
      </c>
    </row>
    <row r="213" spans="1:13" hidden="1">
      <c r="A213">
        <v>209</v>
      </c>
      <c r="B213" t="s">
        <v>59</v>
      </c>
      <c r="C213" s="70" t="s">
        <v>71</v>
      </c>
      <c r="D213" t="s">
        <v>70</v>
      </c>
      <c r="E213" s="38" t="s">
        <v>1391</v>
      </c>
      <c r="F213" s="38" t="s">
        <v>70</v>
      </c>
      <c r="J213" s="254" t="s">
        <v>680</v>
      </c>
      <c r="K213" s="2"/>
      <c r="L213" s="2"/>
      <c r="M213" s="253" t="s">
        <v>677</v>
      </c>
    </row>
    <row r="214" spans="1:13" hidden="1">
      <c r="A214">
        <v>210</v>
      </c>
      <c r="B214" t="s">
        <v>59</v>
      </c>
      <c r="C214" s="70" t="s">
        <v>73</v>
      </c>
      <c r="D214" s="70" t="s">
        <v>4264</v>
      </c>
      <c r="E214" s="38" t="s">
        <v>1391</v>
      </c>
      <c r="F214" s="38" t="s">
        <v>72</v>
      </c>
      <c r="J214" s="254" t="s">
        <v>680</v>
      </c>
      <c r="K214" s="2"/>
      <c r="L214" s="2"/>
      <c r="M214" s="253" t="s">
        <v>677</v>
      </c>
    </row>
    <row r="215" spans="1:13" hidden="1">
      <c r="A215">
        <v>211</v>
      </c>
      <c r="B215" t="s">
        <v>59</v>
      </c>
      <c r="C215" s="70" t="s">
        <v>77</v>
      </c>
      <c r="D215" t="s">
        <v>76</v>
      </c>
      <c r="E215" s="38" t="s">
        <v>1391</v>
      </c>
      <c r="F215" s="38" t="s">
        <v>76</v>
      </c>
      <c r="J215" s="254" t="s">
        <v>680</v>
      </c>
      <c r="K215" s="2"/>
      <c r="L215" s="2"/>
      <c r="M215" s="253" t="s">
        <v>677</v>
      </c>
    </row>
    <row r="216" spans="1:13" hidden="1">
      <c r="A216">
        <v>212</v>
      </c>
      <c r="B216" t="s">
        <v>59</v>
      </c>
      <c r="C216" s="70" t="s">
        <v>4428</v>
      </c>
      <c r="D216" t="s">
        <v>78</v>
      </c>
      <c r="E216" s="38" t="s">
        <v>2131</v>
      </c>
      <c r="F216" s="38" t="s">
        <v>78</v>
      </c>
      <c r="J216" s="254" t="s">
        <v>680</v>
      </c>
      <c r="K216" s="2"/>
      <c r="L216" s="2"/>
      <c r="M216" s="253" t="s">
        <v>677</v>
      </c>
    </row>
    <row r="217" spans="1:13" hidden="1">
      <c r="A217">
        <v>213</v>
      </c>
      <c r="B217" t="s">
        <v>59</v>
      </c>
      <c r="C217" s="70" t="s">
        <v>4427</v>
      </c>
      <c r="D217" t="s">
        <v>79</v>
      </c>
      <c r="E217" s="38" t="s">
        <v>2131</v>
      </c>
      <c r="F217" s="38" t="s">
        <v>79</v>
      </c>
      <c r="J217" s="254" t="s">
        <v>680</v>
      </c>
      <c r="K217" s="2"/>
      <c r="L217" s="2"/>
      <c r="M217" s="253" t="s">
        <v>677</v>
      </c>
    </row>
    <row r="218" spans="1:13" hidden="1">
      <c r="A218">
        <v>214</v>
      </c>
      <c r="B218" t="s">
        <v>59</v>
      </c>
      <c r="C218" s="70" t="s">
        <v>81</v>
      </c>
      <c r="D218" t="s">
        <v>80</v>
      </c>
      <c r="E218" s="38" t="s">
        <v>2131</v>
      </c>
      <c r="F218" s="38" t="s">
        <v>80</v>
      </c>
      <c r="J218" s="254" t="s">
        <v>680</v>
      </c>
      <c r="K218" s="2"/>
      <c r="L218" s="2"/>
      <c r="M218" s="253" t="s">
        <v>677</v>
      </c>
    </row>
    <row r="219" spans="1:13" hidden="1">
      <c r="A219">
        <v>215</v>
      </c>
      <c r="B219" s="343" t="s">
        <v>131</v>
      </c>
      <c r="C219" s="254" t="s">
        <v>316</v>
      </c>
      <c r="D219" s="70"/>
      <c r="E219" s="38"/>
      <c r="G219" s="72"/>
      <c r="J219" s="254"/>
      <c r="L219" s="2">
        <v>42</v>
      </c>
      <c r="M219" s="253" t="s">
        <v>679</v>
      </c>
    </row>
    <row r="220" spans="1:13" hidden="1">
      <c r="A220">
        <v>216</v>
      </c>
      <c r="B220" s="343" t="s">
        <v>131</v>
      </c>
      <c r="C220" s="70" t="s">
        <v>322</v>
      </c>
      <c r="D220" s="70"/>
      <c r="E220" s="38"/>
      <c r="G220" s="72"/>
      <c r="J220" s="254"/>
      <c r="L220" s="2">
        <v>42</v>
      </c>
      <c r="M220" s="253" t="s">
        <v>679</v>
      </c>
    </row>
    <row r="221" spans="1:13" hidden="1">
      <c r="A221">
        <v>217</v>
      </c>
      <c r="B221" s="343" t="s">
        <v>82</v>
      </c>
      <c r="C221" s="254" t="s">
        <v>1429</v>
      </c>
      <c r="D221" s="70" t="s">
        <v>2424</v>
      </c>
      <c r="E221" s="38" t="s">
        <v>1172</v>
      </c>
      <c r="F221" s="38" t="s">
        <v>4265</v>
      </c>
      <c r="G221" s="72">
        <v>65</v>
      </c>
      <c r="J221" s="254" t="s">
        <v>680</v>
      </c>
      <c r="L221" s="2">
        <v>42</v>
      </c>
      <c r="M221" s="253" t="s">
        <v>679</v>
      </c>
    </row>
    <row r="222" spans="1:13" hidden="1">
      <c r="A222">
        <v>218</v>
      </c>
      <c r="B222" s="343" t="s">
        <v>82</v>
      </c>
      <c r="C222" s="254" t="s">
        <v>616</v>
      </c>
      <c r="D222" s="70" t="s">
        <v>1425</v>
      </c>
      <c r="E222" s="38" t="s">
        <v>1176</v>
      </c>
      <c r="F222" s="38" t="s">
        <v>4266</v>
      </c>
      <c r="G222" s="72">
        <v>65</v>
      </c>
      <c r="J222" s="254" t="s">
        <v>680</v>
      </c>
      <c r="L222" s="2">
        <v>42</v>
      </c>
      <c r="M222" s="253" t="s">
        <v>679</v>
      </c>
    </row>
    <row r="223" spans="1:13" hidden="1">
      <c r="A223">
        <v>219</v>
      </c>
      <c r="B223" s="343" t="s">
        <v>82</v>
      </c>
      <c r="C223" s="254" t="s">
        <v>1441</v>
      </c>
      <c r="D223" s="70" t="s">
        <v>1442</v>
      </c>
      <c r="E223" s="38" t="s">
        <v>1176</v>
      </c>
      <c r="F223" s="38" t="s">
        <v>30</v>
      </c>
      <c r="G223" s="72">
        <v>65</v>
      </c>
      <c r="J223" s="254" t="s">
        <v>680</v>
      </c>
      <c r="L223" s="2">
        <v>56</v>
      </c>
      <c r="M223" s="253" t="s">
        <v>677</v>
      </c>
    </row>
    <row r="224" spans="1:13" hidden="1">
      <c r="A224">
        <v>220</v>
      </c>
      <c r="B224" s="343" t="s">
        <v>82</v>
      </c>
      <c r="C224" s="254" t="s">
        <v>619</v>
      </c>
      <c r="D224" s="70" t="s">
        <v>1433</v>
      </c>
      <c r="E224" s="38" t="s">
        <v>1172</v>
      </c>
      <c r="F224" s="38" t="s">
        <v>4267</v>
      </c>
      <c r="G224" s="72">
        <v>65</v>
      </c>
      <c r="J224" s="254" t="s">
        <v>680</v>
      </c>
      <c r="L224" s="2">
        <v>42</v>
      </c>
      <c r="M224" s="253" t="s">
        <v>679</v>
      </c>
    </row>
    <row r="225" spans="1:13" hidden="1">
      <c r="A225">
        <v>221</v>
      </c>
      <c r="B225" t="s">
        <v>82</v>
      </c>
      <c r="C225" s="70" t="s">
        <v>1437</v>
      </c>
      <c r="D225" s="70" t="s">
        <v>1438</v>
      </c>
      <c r="E225" s="38" t="s">
        <v>1301</v>
      </c>
      <c r="F225" s="38" t="s">
        <v>4268</v>
      </c>
      <c r="G225" s="72">
        <v>65</v>
      </c>
      <c r="J225" s="254" t="s">
        <v>680</v>
      </c>
      <c r="L225" s="2">
        <v>42</v>
      </c>
      <c r="M225" s="253" t="s">
        <v>679</v>
      </c>
    </row>
    <row r="226" spans="1:13" hidden="1">
      <c r="A226">
        <v>222</v>
      </c>
      <c r="B226" t="s">
        <v>82</v>
      </c>
      <c r="C226" s="70" t="s">
        <v>1471</v>
      </c>
      <c r="D226" s="70" t="s">
        <v>4269</v>
      </c>
      <c r="E226" s="38">
        <v>0</v>
      </c>
      <c r="F226" s="38" t="s">
        <v>4269</v>
      </c>
      <c r="G226" s="72">
        <v>50</v>
      </c>
      <c r="J226" s="254" t="s">
        <v>680</v>
      </c>
      <c r="L226" s="2">
        <v>56</v>
      </c>
      <c r="M226" s="253" t="s">
        <v>677</v>
      </c>
    </row>
    <row r="227" spans="1:13" hidden="1">
      <c r="A227">
        <v>223</v>
      </c>
      <c r="B227" t="s">
        <v>82</v>
      </c>
      <c r="C227" s="70" t="s">
        <v>360</v>
      </c>
      <c r="D227" s="70" t="s">
        <v>1594</v>
      </c>
      <c r="E227" s="38" t="s">
        <v>1176</v>
      </c>
      <c r="G227" s="72">
        <v>50</v>
      </c>
      <c r="J227" s="254" t="s">
        <v>678</v>
      </c>
      <c r="L227" s="2">
        <v>56</v>
      </c>
      <c r="M227" s="253" t="s">
        <v>677</v>
      </c>
    </row>
    <row r="228" spans="1:13">
      <c r="A228">
        <v>224</v>
      </c>
      <c r="B228" t="s">
        <v>82</v>
      </c>
      <c r="C228" s="70" t="s">
        <v>370</v>
      </c>
      <c r="D228" s="70" t="s">
        <v>1597</v>
      </c>
      <c r="E228" s="38" t="s">
        <v>1181</v>
      </c>
      <c r="G228" s="72">
        <v>50</v>
      </c>
      <c r="J228" s="254" t="s">
        <v>680</v>
      </c>
      <c r="L228" s="2">
        <v>56</v>
      </c>
      <c r="M228" s="253" t="s">
        <v>677</v>
      </c>
    </row>
    <row r="229" spans="1:13" hidden="1">
      <c r="A229">
        <v>225</v>
      </c>
      <c r="B229" t="s">
        <v>82</v>
      </c>
      <c r="C229" s="70" t="s">
        <v>431</v>
      </c>
      <c r="D229" s="70" t="s">
        <v>4269</v>
      </c>
      <c r="E229" s="38">
        <v>0</v>
      </c>
      <c r="F229" s="38" t="s">
        <v>4269</v>
      </c>
      <c r="G229" s="72">
        <v>50</v>
      </c>
      <c r="J229" s="254" t="s">
        <v>680</v>
      </c>
      <c r="L229" s="2">
        <v>56</v>
      </c>
      <c r="M229" s="253" t="s">
        <v>677</v>
      </c>
    </row>
    <row r="230" spans="1:13" hidden="1">
      <c r="A230">
        <v>226</v>
      </c>
      <c r="B230" t="s">
        <v>82</v>
      </c>
      <c r="C230" s="70" t="s">
        <v>1473</v>
      </c>
      <c r="D230" s="70" t="s">
        <v>4269</v>
      </c>
      <c r="E230" s="38">
        <v>0</v>
      </c>
      <c r="F230" s="38" t="s">
        <v>4269</v>
      </c>
      <c r="G230" s="72">
        <v>50</v>
      </c>
      <c r="J230" s="254" t="s">
        <v>680</v>
      </c>
      <c r="L230" s="2">
        <v>56</v>
      </c>
      <c r="M230" s="253" t="s">
        <v>677</v>
      </c>
    </row>
    <row r="231" spans="1:13" hidden="1">
      <c r="A231">
        <v>227</v>
      </c>
      <c r="B231" t="s">
        <v>82</v>
      </c>
      <c r="C231" s="259" t="s">
        <v>1471</v>
      </c>
      <c r="D231" s="70"/>
      <c r="E231" s="38"/>
      <c r="F231" s="38" t="s">
        <v>4269</v>
      </c>
      <c r="G231" s="72"/>
      <c r="J231" s="254"/>
      <c r="K231" s="2"/>
      <c r="L231" s="2"/>
      <c r="M231" s="253"/>
    </row>
    <row r="232" spans="1:13" hidden="1">
      <c r="A232">
        <v>228</v>
      </c>
      <c r="B232" t="s">
        <v>82</v>
      </c>
      <c r="C232" s="259" t="s">
        <v>486</v>
      </c>
      <c r="D232" s="70"/>
      <c r="E232" s="38"/>
      <c r="F232" s="38" t="s">
        <v>4269</v>
      </c>
      <c r="G232" s="72"/>
      <c r="J232" s="254"/>
      <c r="K232" s="2"/>
      <c r="L232" s="2"/>
      <c r="M232" s="253"/>
    </row>
    <row r="233" spans="1:13" hidden="1">
      <c r="A233">
        <v>229</v>
      </c>
      <c r="B233" t="s">
        <v>82</v>
      </c>
      <c r="C233" s="259" t="s">
        <v>528</v>
      </c>
      <c r="D233" s="70"/>
      <c r="E233" s="38"/>
      <c r="F233" s="38" t="s">
        <v>4269</v>
      </c>
      <c r="G233" s="72"/>
      <c r="J233" s="254"/>
      <c r="K233" s="2"/>
      <c r="L233" s="2"/>
      <c r="M233" s="253"/>
    </row>
    <row r="234" spans="1:13" hidden="1">
      <c r="A234">
        <v>230</v>
      </c>
      <c r="B234" t="s">
        <v>82</v>
      </c>
      <c r="C234" s="259" t="s">
        <v>444</v>
      </c>
      <c r="D234" s="70"/>
      <c r="E234" s="38"/>
      <c r="F234" s="38" t="s">
        <v>4269</v>
      </c>
      <c r="G234" s="72"/>
      <c r="J234" s="254"/>
      <c r="K234" s="2"/>
      <c r="L234" s="2"/>
      <c r="M234" s="253"/>
    </row>
    <row r="235" spans="1:13" hidden="1">
      <c r="A235">
        <v>231</v>
      </c>
      <c r="B235" s="260" t="s">
        <v>82</v>
      </c>
      <c r="C235" s="259" t="s">
        <v>1746</v>
      </c>
      <c r="D235" s="70"/>
      <c r="E235" s="38"/>
      <c r="F235" s="38" t="s">
        <v>4269</v>
      </c>
      <c r="G235" s="72"/>
      <c r="J235" s="254"/>
      <c r="K235" s="2"/>
      <c r="L235" s="2"/>
      <c r="M235" s="253"/>
    </row>
    <row r="236" spans="1:13" hidden="1">
      <c r="A236">
        <v>232</v>
      </c>
      <c r="B236" s="260" t="s">
        <v>82</v>
      </c>
      <c r="C236" s="70" t="s">
        <v>1965</v>
      </c>
      <c r="D236" s="70"/>
      <c r="E236" s="38"/>
      <c r="F236" s="38" t="s">
        <v>4270</v>
      </c>
      <c r="G236" s="72"/>
      <c r="J236" s="254"/>
      <c r="K236" s="2"/>
      <c r="L236" s="2"/>
      <c r="M236" s="253"/>
    </row>
    <row r="237" spans="1:13" hidden="1">
      <c r="A237">
        <v>233</v>
      </c>
      <c r="B237" s="260" t="s">
        <v>82</v>
      </c>
      <c r="C237" s="70" t="s">
        <v>546</v>
      </c>
      <c r="D237" s="70"/>
      <c r="E237" s="38"/>
      <c r="F237" s="38" t="s">
        <v>4270</v>
      </c>
      <c r="G237" s="72"/>
      <c r="J237" s="254"/>
      <c r="K237" s="2"/>
      <c r="L237" s="2"/>
      <c r="M237" s="253"/>
    </row>
    <row r="238" spans="1:13" hidden="1">
      <c r="A238">
        <v>234</v>
      </c>
      <c r="B238" s="260" t="s">
        <v>82</v>
      </c>
      <c r="C238" s="70" t="s">
        <v>443</v>
      </c>
      <c r="D238" s="70"/>
      <c r="E238" s="38"/>
      <c r="F238" s="38" t="s">
        <v>4270</v>
      </c>
      <c r="G238" s="72"/>
      <c r="J238" s="254"/>
      <c r="K238" s="2"/>
      <c r="L238" s="2"/>
      <c r="M238" s="253"/>
    </row>
    <row r="239" spans="1:13" hidden="1">
      <c r="A239">
        <v>235</v>
      </c>
      <c r="B239" t="s">
        <v>82</v>
      </c>
      <c r="C239" s="70" t="s">
        <v>2134</v>
      </c>
      <c r="D239" s="70"/>
      <c r="E239" s="38"/>
      <c r="F239" s="38" t="s">
        <v>4270</v>
      </c>
      <c r="G239" s="72"/>
      <c r="J239" s="254"/>
      <c r="K239" s="2"/>
      <c r="L239" s="2"/>
      <c r="M239" s="253"/>
    </row>
    <row r="240" spans="1:13" hidden="1">
      <c r="A240">
        <v>236</v>
      </c>
      <c r="B240" t="s">
        <v>82</v>
      </c>
      <c r="C240" s="70" t="s">
        <v>447</v>
      </c>
      <c r="D240" s="70"/>
      <c r="E240" s="47" t="s">
        <v>1257</v>
      </c>
      <c r="F240" s="38" t="s">
        <v>4270</v>
      </c>
      <c r="G240" s="72"/>
      <c r="J240" s="254"/>
      <c r="K240" s="2"/>
      <c r="L240" s="2"/>
      <c r="M240" s="253" t="s">
        <v>679</v>
      </c>
    </row>
    <row r="241" spans="1:13" hidden="1">
      <c r="A241">
        <v>237</v>
      </c>
      <c r="B241" t="s">
        <v>82</v>
      </c>
      <c r="C241" s="70" t="s">
        <v>500</v>
      </c>
      <c r="D241" s="70"/>
      <c r="E241" s="38"/>
      <c r="F241" s="38" t="s">
        <v>4270</v>
      </c>
      <c r="G241" s="72"/>
      <c r="J241" s="254"/>
      <c r="K241" s="2"/>
      <c r="L241" s="2"/>
      <c r="M241" s="253"/>
    </row>
    <row r="242" spans="1:13" hidden="1">
      <c r="A242">
        <v>238</v>
      </c>
      <c r="B242" t="s">
        <v>82</v>
      </c>
      <c r="C242" s="70" t="s">
        <v>2129</v>
      </c>
      <c r="D242" s="70"/>
      <c r="E242" s="38"/>
      <c r="F242" s="38" t="s">
        <v>4270</v>
      </c>
      <c r="G242" s="72"/>
      <c r="J242" s="254"/>
      <c r="K242" s="2"/>
      <c r="L242" s="2"/>
      <c r="M242" s="253"/>
    </row>
    <row r="243" spans="1:13" hidden="1">
      <c r="A243">
        <v>239</v>
      </c>
      <c r="B243" t="s">
        <v>82</v>
      </c>
      <c r="C243" s="259" t="s">
        <v>541</v>
      </c>
      <c r="D243" s="70"/>
      <c r="E243" s="38"/>
      <c r="F243" s="38" t="s">
        <v>4271</v>
      </c>
      <c r="G243" s="72"/>
      <c r="J243" s="254"/>
      <c r="K243" s="2"/>
      <c r="L243" s="2"/>
      <c r="M243" s="253"/>
    </row>
    <row r="244" spans="1:13" hidden="1">
      <c r="A244">
        <v>240</v>
      </c>
      <c r="B244" t="s">
        <v>82</v>
      </c>
      <c r="C244" s="259" t="s">
        <v>498</v>
      </c>
      <c r="D244" s="70"/>
      <c r="E244" s="38"/>
      <c r="F244" s="38" t="s">
        <v>4271</v>
      </c>
      <c r="G244" s="72"/>
      <c r="J244" s="254"/>
      <c r="K244" s="2"/>
      <c r="L244" s="2"/>
      <c r="M244" s="253"/>
    </row>
    <row r="245" spans="1:13" hidden="1">
      <c r="A245">
        <v>241</v>
      </c>
      <c r="B245" t="s">
        <v>82</v>
      </c>
      <c r="C245" s="259" t="s">
        <v>480</v>
      </c>
      <c r="D245" s="70"/>
      <c r="E245" s="38"/>
      <c r="F245" s="38" t="s">
        <v>4271</v>
      </c>
      <c r="G245" s="72"/>
      <c r="J245" s="254"/>
      <c r="K245" s="2"/>
      <c r="L245" s="2"/>
      <c r="M245" s="253"/>
    </row>
    <row r="246" spans="1:13" hidden="1">
      <c r="A246">
        <v>242</v>
      </c>
      <c r="B246" t="s">
        <v>82</v>
      </c>
      <c r="C246" s="259" t="s">
        <v>511</v>
      </c>
      <c r="D246" s="70"/>
      <c r="E246" s="38"/>
      <c r="F246" s="38" t="s">
        <v>4271</v>
      </c>
      <c r="G246" s="72"/>
      <c r="J246" s="254"/>
      <c r="K246" s="2"/>
      <c r="L246" s="2"/>
      <c r="M246" s="253"/>
    </row>
    <row r="247" spans="1:13" hidden="1">
      <c r="A247">
        <v>243</v>
      </c>
      <c r="B247" t="s">
        <v>82</v>
      </c>
      <c r="C247" s="259" t="s">
        <v>2166</v>
      </c>
      <c r="D247" s="70"/>
      <c r="E247" s="38"/>
      <c r="F247" s="38" t="s">
        <v>4271</v>
      </c>
      <c r="G247" s="72"/>
      <c r="J247" s="254"/>
      <c r="K247" s="2"/>
      <c r="L247" s="2"/>
      <c r="M247" s="253"/>
    </row>
    <row r="248" spans="1:13" hidden="1">
      <c r="A248">
        <v>244</v>
      </c>
      <c r="B248" t="s">
        <v>82</v>
      </c>
      <c r="C248" s="259" t="s">
        <v>491</v>
      </c>
      <c r="D248" s="70"/>
      <c r="E248" s="38"/>
      <c r="F248" s="38" t="s">
        <v>4271</v>
      </c>
      <c r="G248" s="72"/>
      <c r="J248" s="254"/>
      <c r="K248" s="2"/>
      <c r="L248" s="2"/>
      <c r="M248" s="253"/>
    </row>
    <row r="249" spans="1:13" hidden="1">
      <c r="A249">
        <v>245</v>
      </c>
      <c r="B249" t="s">
        <v>82</v>
      </c>
      <c r="C249" s="77" t="s">
        <v>541</v>
      </c>
      <c r="F249" s="38" t="s">
        <v>4271</v>
      </c>
      <c r="J249" s="70"/>
    </row>
    <row r="250" spans="1:13" hidden="1">
      <c r="A250">
        <v>246</v>
      </c>
      <c r="B250" t="s">
        <v>82</v>
      </c>
      <c r="C250" s="77" t="s">
        <v>498</v>
      </c>
      <c r="F250" s="38" t="s">
        <v>4271</v>
      </c>
      <c r="J250" s="70"/>
    </row>
    <row r="251" spans="1:13" hidden="1">
      <c r="A251">
        <v>247</v>
      </c>
      <c r="B251" t="s">
        <v>82</v>
      </c>
      <c r="C251" s="77" t="s">
        <v>480</v>
      </c>
      <c r="F251" s="38" t="s">
        <v>4271</v>
      </c>
      <c r="J251" s="70"/>
    </row>
    <row r="252" spans="1:13" hidden="1">
      <c r="A252">
        <v>248</v>
      </c>
      <c r="B252" t="s">
        <v>82</v>
      </c>
      <c r="C252" s="77" t="s">
        <v>511</v>
      </c>
      <c r="F252" s="38" t="s">
        <v>4271</v>
      </c>
      <c r="J252" s="70"/>
    </row>
    <row r="253" spans="1:13" hidden="1">
      <c r="A253">
        <v>249</v>
      </c>
      <c r="B253" t="s">
        <v>82</v>
      </c>
      <c r="C253" s="77" t="s">
        <v>2166</v>
      </c>
      <c r="F253" s="38" t="s">
        <v>4271</v>
      </c>
      <c r="J253" s="70"/>
    </row>
    <row r="254" spans="1:13" hidden="1">
      <c r="A254">
        <v>250</v>
      </c>
      <c r="B254" t="s">
        <v>82</v>
      </c>
      <c r="C254" s="77" t="s">
        <v>491</v>
      </c>
      <c r="F254" s="38" t="s">
        <v>4271</v>
      </c>
      <c r="J254" s="70"/>
    </row>
    <row r="255" spans="1:13" hidden="1">
      <c r="A255">
        <v>251</v>
      </c>
      <c r="B255" t="s">
        <v>83</v>
      </c>
      <c r="C255" s="254" t="s">
        <v>687</v>
      </c>
      <c r="D255" s="70" t="s">
        <v>4272</v>
      </c>
      <c r="E255" s="38" t="s">
        <v>1231</v>
      </c>
      <c r="F255" s="38" t="s">
        <v>84</v>
      </c>
      <c r="G255" s="72"/>
      <c r="J255" s="254" t="s">
        <v>678</v>
      </c>
      <c r="L255" s="2">
        <v>42</v>
      </c>
      <c r="M255" s="253" t="s">
        <v>679</v>
      </c>
    </row>
    <row r="256" spans="1:13" hidden="1">
      <c r="A256">
        <v>252</v>
      </c>
      <c r="B256" t="s">
        <v>83</v>
      </c>
      <c r="C256" s="254" t="s">
        <v>690</v>
      </c>
      <c r="D256" s="70" t="s">
        <v>4272</v>
      </c>
      <c r="E256" s="38" t="s">
        <v>1231</v>
      </c>
      <c r="F256" s="38" t="s">
        <v>84</v>
      </c>
      <c r="G256" s="72"/>
      <c r="J256" s="254"/>
      <c r="L256" s="2">
        <v>42</v>
      </c>
      <c r="M256" s="253" t="s">
        <v>679</v>
      </c>
    </row>
    <row r="257" spans="1:13" hidden="1">
      <c r="A257">
        <v>253</v>
      </c>
      <c r="B257" t="s">
        <v>83</v>
      </c>
      <c r="C257" s="254" t="s">
        <v>692</v>
      </c>
      <c r="D257" s="70" t="s">
        <v>4272</v>
      </c>
      <c r="E257" s="38">
        <v>0</v>
      </c>
      <c r="F257" s="38" t="s">
        <v>84</v>
      </c>
      <c r="G257" s="72"/>
      <c r="J257" s="254" t="s">
        <v>678</v>
      </c>
      <c r="L257" s="2">
        <v>42</v>
      </c>
      <c r="M257" s="253" t="s">
        <v>679</v>
      </c>
    </row>
    <row r="258" spans="1:13" hidden="1">
      <c r="A258">
        <v>254</v>
      </c>
      <c r="B258" t="s">
        <v>83</v>
      </c>
      <c r="C258" s="261" t="s">
        <v>3079</v>
      </c>
      <c r="D258" s="70" t="s">
        <v>3080</v>
      </c>
      <c r="E258" s="38" t="s">
        <v>1176</v>
      </c>
      <c r="F258" s="38" t="s">
        <v>84</v>
      </c>
      <c r="G258" s="72"/>
      <c r="J258" s="254" t="s">
        <v>678</v>
      </c>
      <c r="L258" s="2">
        <v>42</v>
      </c>
      <c r="M258" s="253" t="s">
        <v>679</v>
      </c>
    </row>
    <row r="259" spans="1:13" hidden="1">
      <c r="A259">
        <v>255</v>
      </c>
      <c r="B259" t="s">
        <v>83</v>
      </c>
      <c r="C259" s="254" t="s">
        <v>682</v>
      </c>
      <c r="D259" s="70" t="s">
        <v>4272</v>
      </c>
      <c r="E259" s="38" t="s">
        <v>1176</v>
      </c>
      <c r="F259" s="38" t="s">
        <v>84</v>
      </c>
      <c r="G259" s="72"/>
      <c r="J259" s="254"/>
      <c r="L259" s="2">
        <v>42</v>
      </c>
      <c r="M259" s="253" t="s">
        <v>679</v>
      </c>
    </row>
    <row r="260" spans="1:13" hidden="1">
      <c r="A260">
        <v>256</v>
      </c>
      <c r="B260" t="s">
        <v>83</v>
      </c>
      <c r="C260" s="254" t="s">
        <v>2825</v>
      </c>
      <c r="D260" s="70" t="s">
        <v>2826</v>
      </c>
      <c r="E260" s="38" t="s">
        <v>1172</v>
      </c>
      <c r="F260" s="38" t="s">
        <v>84</v>
      </c>
      <c r="G260" s="72"/>
      <c r="J260" s="254" t="s">
        <v>680</v>
      </c>
      <c r="L260" s="2">
        <v>42</v>
      </c>
      <c r="M260" s="253" t="s">
        <v>679</v>
      </c>
    </row>
    <row r="261" spans="1:13" hidden="1">
      <c r="A261">
        <v>257</v>
      </c>
      <c r="B261" t="s">
        <v>83</v>
      </c>
      <c r="C261" s="261" t="s">
        <v>699</v>
      </c>
      <c r="D261" s="70" t="s">
        <v>4273</v>
      </c>
      <c r="E261" s="38" t="s">
        <v>1176</v>
      </c>
      <c r="F261" s="38" t="s">
        <v>84</v>
      </c>
      <c r="G261" s="72"/>
      <c r="J261" s="254" t="s">
        <v>678</v>
      </c>
      <c r="L261" s="2">
        <v>42</v>
      </c>
      <c r="M261" s="253" t="s">
        <v>679</v>
      </c>
    </row>
    <row r="262" spans="1:13" hidden="1">
      <c r="A262">
        <v>258</v>
      </c>
      <c r="B262" t="s">
        <v>83</v>
      </c>
      <c r="C262" s="261" t="s">
        <v>89</v>
      </c>
      <c r="D262" s="70" t="s">
        <v>4273</v>
      </c>
      <c r="E262" s="38" t="s">
        <v>1176</v>
      </c>
      <c r="F262" s="38" t="s">
        <v>84</v>
      </c>
      <c r="G262" s="72"/>
      <c r="J262" s="254" t="s">
        <v>678</v>
      </c>
      <c r="L262" s="2">
        <v>42</v>
      </c>
      <c r="M262" s="253" t="s">
        <v>679</v>
      </c>
    </row>
    <row r="263" spans="1:13" hidden="1">
      <c r="A263">
        <v>259</v>
      </c>
      <c r="B263" t="s">
        <v>83</v>
      </c>
      <c r="C263" s="261" t="s">
        <v>3864</v>
      </c>
      <c r="D263" s="70" t="s">
        <v>4274</v>
      </c>
      <c r="E263" s="38" t="s">
        <v>1176</v>
      </c>
      <c r="F263" s="38" t="s">
        <v>84</v>
      </c>
      <c r="G263" s="72"/>
      <c r="J263" s="254" t="s">
        <v>678</v>
      </c>
      <c r="L263" s="2">
        <v>42</v>
      </c>
      <c r="M263" s="253" t="s">
        <v>679</v>
      </c>
    </row>
    <row r="264" spans="1:13" hidden="1">
      <c r="A264">
        <v>260</v>
      </c>
      <c r="B264" t="s">
        <v>83</v>
      </c>
      <c r="C264" s="261" t="s">
        <v>87</v>
      </c>
      <c r="D264" s="70" t="s">
        <v>4274</v>
      </c>
      <c r="E264" s="38" t="s">
        <v>1176</v>
      </c>
      <c r="F264" s="38" t="s">
        <v>84</v>
      </c>
      <c r="G264" s="72"/>
      <c r="J264" s="254" t="s">
        <v>678</v>
      </c>
      <c r="L264" s="2">
        <v>42</v>
      </c>
      <c r="M264" s="253" t="s">
        <v>679</v>
      </c>
    </row>
    <row r="265" spans="1:13" hidden="1">
      <c r="A265">
        <v>261</v>
      </c>
      <c r="B265" t="s">
        <v>83</v>
      </c>
      <c r="C265" s="261" t="s">
        <v>4334</v>
      </c>
      <c r="D265" s="70" t="s">
        <v>4272</v>
      </c>
      <c r="E265" s="38" t="s">
        <v>1176</v>
      </c>
      <c r="F265" s="38" t="s">
        <v>84</v>
      </c>
      <c r="G265" s="72"/>
      <c r="J265" s="254" t="s">
        <v>680</v>
      </c>
      <c r="L265" s="2">
        <v>42</v>
      </c>
      <c r="M265" s="253" t="s">
        <v>679</v>
      </c>
    </row>
    <row r="266" spans="1:13" hidden="1">
      <c r="A266">
        <v>262</v>
      </c>
      <c r="B266" t="s">
        <v>83</v>
      </c>
      <c r="C266" s="254" t="s">
        <v>703</v>
      </c>
      <c r="D266" s="70" t="s">
        <v>4272</v>
      </c>
      <c r="E266" s="38" t="s">
        <v>1176</v>
      </c>
      <c r="F266" s="38" t="s">
        <v>84</v>
      </c>
      <c r="G266" s="72"/>
      <c r="J266" s="254" t="s">
        <v>678</v>
      </c>
      <c r="L266" s="2">
        <v>42</v>
      </c>
      <c r="M266" s="253" t="s">
        <v>679</v>
      </c>
    </row>
    <row r="267" spans="1:13" hidden="1">
      <c r="A267">
        <v>263</v>
      </c>
      <c r="B267" t="s">
        <v>83</v>
      </c>
      <c r="C267" s="254" t="s">
        <v>85</v>
      </c>
      <c r="D267" s="70" t="s">
        <v>2806</v>
      </c>
      <c r="E267" s="38" t="s">
        <v>1176</v>
      </c>
      <c r="F267" s="38" t="s">
        <v>84</v>
      </c>
      <c r="G267" s="72"/>
      <c r="J267" s="254" t="s">
        <v>678</v>
      </c>
      <c r="L267" s="2">
        <v>42</v>
      </c>
      <c r="M267" s="253" t="s">
        <v>679</v>
      </c>
    </row>
    <row r="268" spans="1:13" hidden="1">
      <c r="A268">
        <v>264</v>
      </c>
      <c r="B268" t="s">
        <v>83</v>
      </c>
      <c r="C268" s="254" t="s">
        <v>708</v>
      </c>
      <c r="D268" s="70" t="s">
        <v>1368</v>
      </c>
      <c r="E268" s="38" t="s">
        <v>1176</v>
      </c>
      <c r="F268" s="38" t="s">
        <v>84</v>
      </c>
      <c r="G268" s="72"/>
      <c r="J268" s="254" t="s">
        <v>678</v>
      </c>
      <c r="L268" s="2">
        <v>42</v>
      </c>
      <c r="M268" s="253" t="s">
        <v>679</v>
      </c>
    </row>
    <row r="269" spans="1:13" hidden="1">
      <c r="A269">
        <v>265</v>
      </c>
      <c r="B269" t="s">
        <v>83</v>
      </c>
      <c r="C269" s="261" t="s">
        <v>88</v>
      </c>
      <c r="D269" s="70" t="s">
        <v>3104</v>
      </c>
      <c r="E269" s="38" t="s">
        <v>1176</v>
      </c>
      <c r="F269" s="38" t="s">
        <v>84</v>
      </c>
      <c r="G269" s="72"/>
      <c r="J269" s="254" t="s">
        <v>678</v>
      </c>
      <c r="L269" s="2">
        <v>42</v>
      </c>
      <c r="M269" s="253" t="s">
        <v>679</v>
      </c>
    </row>
    <row r="270" spans="1:13" hidden="1">
      <c r="A270">
        <v>266</v>
      </c>
      <c r="B270" t="s">
        <v>83</v>
      </c>
      <c r="C270" s="261" t="s">
        <v>4275</v>
      </c>
      <c r="D270" s="70" t="s">
        <v>3104</v>
      </c>
      <c r="E270" s="38" t="s">
        <v>1176</v>
      </c>
      <c r="F270" s="38" t="s">
        <v>84</v>
      </c>
      <c r="G270" s="72"/>
      <c r="J270" s="254" t="s">
        <v>678</v>
      </c>
      <c r="L270" s="2">
        <v>42</v>
      </c>
      <c r="M270" s="253" t="s">
        <v>679</v>
      </c>
    </row>
    <row r="271" spans="1:13" hidden="1">
      <c r="A271">
        <v>267</v>
      </c>
      <c r="B271" t="s">
        <v>83</v>
      </c>
      <c r="C271" s="254" t="s">
        <v>86</v>
      </c>
      <c r="D271" s="70" t="s">
        <v>1336</v>
      </c>
      <c r="E271" s="38" t="s">
        <v>1176</v>
      </c>
      <c r="F271" s="38" t="s">
        <v>84</v>
      </c>
      <c r="G271" s="72"/>
      <c r="J271" s="254" t="s">
        <v>678</v>
      </c>
      <c r="L271" s="2">
        <v>42</v>
      </c>
      <c r="M271" s="253" t="s">
        <v>679</v>
      </c>
    </row>
    <row r="272" spans="1:13" hidden="1">
      <c r="A272">
        <v>268</v>
      </c>
      <c r="B272" t="s">
        <v>83</v>
      </c>
      <c r="C272" s="254" t="s">
        <v>713</v>
      </c>
      <c r="D272" s="70" t="s">
        <v>2982</v>
      </c>
      <c r="E272" s="38" t="s">
        <v>1176</v>
      </c>
      <c r="F272" s="38" t="s">
        <v>84</v>
      </c>
      <c r="G272" s="72"/>
      <c r="J272" s="254" t="s">
        <v>678</v>
      </c>
      <c r="L272" s="2">
        <v>42</v>
      </c>
      <c r="M272" s="253" t="s">
        <v>679</v>
      </c>
    </row>
    <row r="273" spans="1:13" hidden="1">
      <c r="A273">
        <v>269</v>
      </c>
      <c r="B273" t="s">
        <v>83</v>
      </c>
      <c r="C273" s="254" t="s">
        <v>715</v>
      </c>
      <c r="D273" s="70" t="s">
        <v>4272</v>
      </c>
      <c r="E273" s="38">
        <v>0</v>
      </c>
      <c r="F273" s="38" t="s">
        <v>84</v>
      </c>
      <c r="G273" s="72"/>
      <c r="J273" s="254"/>
      <c r="L273" s="2">
        <v>42</v>
      </c>
      <c r="M273" s="253" t="s">
        <v>679</v>
      </c>
    </row>
    <row r="274" spans="1:13" hidden="1">
      <c r="A274">
        <v>270</v>
      </c>
      <c r="B274" t="s">
        <v>83</v>
      </c>
      <c r="C274" s="254" t="s">
        <v>717</v>
      </c>
      <c r="D274" s="70" t="s">
        <v>4272</v>
      </c>
      <c r="E274" s="38" t="s">
        <v>1176</v>
      </c>
      <c r="F274" s="38" t="s">
        <v>84</v>
      </c>
      <c r="G274" s="72"/>
      <c r="J274" s="254" t="s">
        <v>678</v>
      </c>
      <c r="L274" s="2">
        <v>42</v>
      </c>
      <c r="M274" s="253" t="s">
        <v>679</v>
      </c>
    </row>
    <row r="275" spans="1:13" hidden="1">
      <c r="A275">
        <v>271</v>
      </c>
      <c r="B275" t="s">
        <v>83</v>
      </c>
      <c r="C275" s="254" t="s">
        <v>719</v>
      </c>
      <c r="D275" s="70" t="s">
        <v>4272</v>
      </c>
      <c r="E275" s="38">
        <v>0</v>
      </c>
      <c r="F275" s="38" t="s">
        <v>84</v>
      </c>
      <c r="G275" s="72"/>
      <c r="J275" s="254" t="s">
        <v>678</v>
      </c>
      <c r="L275" s="2">
        <v>42</v>
      </c>
      <c r="M275" s="253" t="s">
        <v>679</v>
      </c>
    </row>
    <row r="276" spans="1:13" hidden="1">
      <c r="A276">
        <v>272</v>
      </c>
      <c r="B276" t="s">
        <v>83</v>
      </c>
      <c r="C276" s="254" t="s">
        <v>721</v>
      </c>
      <c r="D276" s="70" t="s">
        <v>4276</v>
      </c>
      <c r="E276" s="38" t="s">
        <v>1172</v>
      </c>
      <c r="F276" s="38" t="s">
        <v>84</v>
      </c>
      <c r="G276" s="72"/>
      <c r="J276" s="254" t="s">
        <v>678</v>
      </c>
      <c r="L276" s="2">
        <v>42</v>
      </c>
      <c r="M276" s="253" t="s">
        <v>679</v>
      </c>
    </row>
    <row r="277" spans="1:13" hidden="1">
      <c r="A277">
        <v>273</v>
      </c>
      <c r="B277" t="s">
        <v>83</v>
      </c>
      <c r="C277" s="254" t="s">
        <v>723</v>
      </c>
      <c r="D277" s="70" t="s">
        <v>4272</v>
      </c>
      <c r="E277" s="38">
        <v>0</v>
      </c>
      <c r="F277" s="38" t="s">
        <v>84</v>
      </c>
      <c r="G277" s="72"/>
      <c r="J277" s="254" t="s">
        <v>678</v>
      </c>
      <c r="L277" s="2">
        <v>42</v>
      </c>
      <c r="M277" s="253" t="s">
        <v>679</v>
      </c>
    </row>
    <row r="278" spans="1:13" ht="15" hidden="1" customHeight="1">
      <c r="A278">
        <v>274</v>
      </c>
      <c r="B278" t="s">
        <v>83</v>
      </c>
      <c r="C278" s="254" t="s">
        <v>725</v>
      </c>
      <c r="D278" s="70" t="s">
        <v>4277</v>
      </c>
      <c r="E278" s="38">
        <v>0</v>
      </c>
      <c r="F278" s="38" t="s">
        <v>84</v>
      </c>
      <c r="G278" s="72"/>
      <c r="H278" s="2"/>
      <c r="I278" s="2"/>
      <c r="J278" s="254" t="s">
        <v>678</v>
      </c>
      <c r="K278" s="2"/>
      <c r="L278" s="2">
        <v>42</v>
      </c>
      <c r="M278" s="253" t="s">
        <v>679</v>
      </c>
    </row>
    <row r="279" spans="1:13" ht="15" hidden="1" customHeight="1">
      <c r="A279">
        <v>275</v>
      </c>
      <c r="B279" t="s">
        <v>83</v>
      </c>
      <c r="C279" s="254" t="s">
        <v>729</v>
      </c>
      <c r="D279" s="70" t="s">
        <v>4272</v>
      </c>
      <c r="E279" s="38" t="s">
        <v>1231</v>
      </c>
      <c r="F279" s="38" t="s">
        <v>84</v>
      </c>
      <c r="G279" s="72"/>
      <c r="J279" s="254" t="s">
        <v>678</v>
      </c>
      <c r="L279" s="2">
        <v>42</v>
      </c>
      <c r="M279" s="253" t="s">
        <v>679</v>
      </c>
    </row>
    <row r="280" spans="1:13" ht="15" hidden="1" customHeight="1">
      <c r="A280">
        <v>276</v>
      </c>
      <c r="B280" t="s">
        <v>83</v>
      </c>
      <c r="C280" s="254" t="s">
        <v>731</v>
      </c>
      <c r="D280" s="70" t="s">
        <v>4278</v>
      </c>
      <c r="E280" s="38" t="s">
        <v>1176</v>
      </c>
      <c r="F280" s="38" t="s">
        <v>84</v>
      </c>
      <c r="G280" s="72"/>
      <c r="J280" s="254" t="s">
        <v>678</v>
      </c>
      <c r="L280" s="2">
        <v>42</v>
      </c>
      <c r="M280" s="253" t="s">
        <v>679</v>
      </c>
    </row>
    <row r="281" spans="1:13" ht="15" hidden="1" customHeight="1">
      <c r="A281">
        <v>277</v>
      </c>
      <c r="B281" t="s">
        <v>83</v>
      </c>
      <c r="C281" s="254" t="s">
        <v>733</v>
      </c>
      <c r="D281" s="70" t="s">
        <v>4278</v>
      </c>
      <c r="E281" s="38" t="s">
        <v>1231</v>
      </c>
      <c r="F281" s="38" t="s">
        <v>84</v>
      </c>
      <c r="G281" s="72"/>
      <c r="J281" s="254" t="s">
        <v>678</v>
      </c>
      <c r="L281" s="2">
        <v>42</v>
      </c>
      <c r="M281" s="253" t="s">
        <v>679</v>
      </c>
    </row>
    <row r="282" spans="1:13" ht="15" hidden="1" customHeight="1">
      <c r="A282">
        <v>278</v>
      </c>
      <c r="B282" t="s">
        <v>83</v>
      </c>
      <c r="C282" s="254" t="s">
        <v>1230</v>
      </c>
      <c r="D282" s="70" t="s">
        <v>4279</v>
      </c>
      <c r="E282" s="38" t="s">
        <v>1231</v>
      </c>
      <c r="F282" s="38" t="s">
        <v>84</v>
      </c>
      <c r="G282" s="72"/>
      <c r="J282" s="254" t="s">
        <v>680</v>
      </c>
      <c r="L282" s="2">
        <v>42</v>
      </c>
      <c r="M282" s="253" t="s">
        <v>679</v>
      </c>
    </row>
    <row r="283" spans="1:13" ht="15" hidden="1" customHeight="1">
      <c r="A283">
        <v>279</v>
      </c>
      <c r="B283" t="s">
        <v>83</v>
      </c>
      <c r="C283" s="254" t="s">
        <v>739</v>
      </c>
      <c r="D283" s="70" t="s">
        <v>4272</v>
      </c>
      <c r="E283" s="38">
        <v>0</v>
      </c>
      <c r="F283" s="38" t="s">
        <v>84</v>
      </c>
      <c r="G283" s="72"/>
      <c r="J283" s="254"/>
      <c r="L283" s="2">
        <v>42</v>
      </c>
      <c r="M283" s="253" t="s">
        <v>679</v>
      </c>
    </row>
    <row r="284" spans="1:13" ht="15" hidden="1" customHeight="1">
      <c r="A284">
        <v>280</v>
      </c>
      <c r="B284" t="s">
        <v>83</v>
      </c>
      <c r="C284" s="254" t="s">
        <v>741</v>
      </c>
      <c r="D284" s="70" t="s">
        <v>4272</v>
      </c>
      <c r="E284" s="38">
        <v>0</v>
      </c>
      <c r="F284" s="38" t="s">
        <v>84</v>
      </c>
      <c r="G284" s="72"/>
      <c r="J284" s="254" t="s">
        <v>678</v>
      </c>
      <c r="L284" s="2">
        <v>42</v>
      </c>
      <c r="M284" s="253" t="s">
        <v>679</v>
      </c>
    </row>
    <row r="285" spans="1:13" ht="15" hidden="1" customHeight="1">
      <c r="A285">
        <v>281</v>
      </c>
      <c r="B285" t="s">
        <v>83</v>
      </c>
      <c r="C285" s="254" t="s">
        <v>743</v>
      </c>
      <c r="D285" s="70" t="s">
        <v>4280</v>
      </c>
      <c r="E285" s="38" t="s">
        <v>1176</v>
      </c>
      <c r="F285" s="38" t="s">
        <v>84</v>
      </c>
      <c r="G285" s="72"/>
      <c r="J285" s="254" t="s">
        <v>678</v>
      </c>
      <c r="L285" s="2">
        <v>42</v>
      </c>
      <c r="M285" s="253" t="s">
        <v>679</v>
      </c>
    </row>
    <row r="286" spans="1:13" ht="15" hidden="1" customHeight="1">
      <c r="A286">
        <v>282</v>
      </c>
      <c r="B286" t="s">
        <v>83</v>
      </c>
      <c r="C286" s="254" t="s">
        <v>606</v>
      </c>
      <c r="D286" s="70" t="s">
        <v>4281</v>
      </c>
      <c r="E286" s="38" t="s">
        <v>1301</v>
      </c>
      <c r="F286" s="38" t="s">
        <v>84</v>
      </c>
      <c r="G286" s="72"/>
      <c r="J286" s="254" t="s">
        <v>680</v>
      </c>
      <c r="L286" s="2">
        <v>42</v>
      </c>
      <c r="M286" s="253" t="s">
        <v>679</v>
      </c>
    </row>
    <row r="287" spans="1:13" ht="15" hidden="1" customHeight="1">
      <c r="A287">
        <v>283</v>
      </c>
      <c r="B287" t="s">
        <v>83</v>
      </c>
      <c r="C287" s="254" t="s">
        <v>1669</v>
      </c>
      <c r="D287" s="70" t="s">
        <v>1670</v>
      </c>
      <c r="E287" s="38" t="s">
        <v>1176</v>
      </c>
      <c r="F287" s="38" t="s">
        <v>84</v>
      </c>
      <c r="G287" s="72">
        <v>500</v>
      </c>
      <c r="J287" s="254" t="s">
        <v>678</v>
      </c>
      <c r="L287" s="2">
        <v>42</v>
      </c>
      <c r="M287" s="253" t="s">
        <v>679</v>
      </c>
    </row>
    <row r="288" spans="1:13" ht="15" hidden="1" customHeight="1">
      <c r="A288">
        <v>284</v>
      </c>
      <c r="B288" t="s">
        <v>83</v>
      </c>
      <c r="C288" s="254" t="s">
        <v>608</v>
      </c>
      <c r="D288" s="70" t="s">
        <v>4282</v>
      </c>
      <c r="E288" s="38" t="s">
        <v>1172</v>
      </c>
      <c r="F288" s="38" t="s">
        <v>84</v>
      </c>
      <c r="G288" s="72"/>
      <c r="J288" s="254" t="s">
        <v>678</v>
      </c>
      <c r="L288" s="2">
        <v>42</v>
      </c>
      <c r="M288" s="253" t="s">
        <v>679</v>
      </c>
    </row>
    <row r="289" spans="1:13" ht="15" hidden="1" customHeight="1">
      <c r="A289">
        <v>285</v>
      </c>
      <c r="B289" t="s">
        <v>83</v>
      </c>
      <c r="C289" s="254" t="s">
        <v>751</v>
      </c>
      <c r="D289" s="70" t="s">
        <v>4283</v>
      </c>
      <c r="E289" s="38" t="s">
        <v>1176</v>
      </c>
      <c r="F289" s="38" t="s">
        <v>84</v>
      </c>
      <c r="G289" s="72"/>
      <c r="H289" s="2"/>
      <c r="I289" s="2"/>
      <c r="J289" s="254" t="s">
        <v>678</v>
      </c>
      <c r="K289" s="2"/>
      <c r="L289" s="2">
        <v>42</v>
      </c>
      <c r="M289" s="253" t="s">
        <v>679</v>
      </c>
    </row>
    <row r="290" spans="1:13" ht="15" hidden="1" customHeight="1">
      <c r="A290">
        <v>286</v>
      </c>
      <c r="B290" t="s">
        <v>83</v>
      </c>
      <c r="C290" s="254" t="s">
        <v>753</v>
      </c>
      <c r="D290" s="70" t="s">
        <v>4284</v>
      </c>
      <c r="E290" s="38" t="s">
        <v>1176</v>
      </c>
      <c r="F290" s="38" t="s">
        <v>84</v>
      </c>
      <c r="G290" s="72"/>
      <c r="H290" s="2"/>
      <c r="I290" s="2"/>
      <c r="J290" s="254" t="s">
        <v>678</v>
      </c>
      <c r="K290" s="2"/>
      <c r="L290" s="2">
        <v>42</v>
      </c>
      <c r="M290" s="253" t="s">
        <v>679</v>
      </c>
    </row>
    <row r="291" spans="1:13" ht="15" hidden="1" customHeight="1">
      <c r="A291">
        <v>287</v>
      </c>
      <c r="B291" t="s">
        <v>83</v>
      </c>
      <c r="C291" s="254" t="s">
        <v>161</v>
      </c>
      <c r="D291" s="70" t="s">
        <v>4285</v>
      </c>
      <c r="E291" s="38" t="s">
        <v>1176</v>
      </c>
      <c r="F291" s="38" t="s">
        <v>84</v>
      </c>
      <c r="G291" s="72">
        <v>500</v>
      </c>
      <c r="H291" s="2"/>
      <c r="I291" s="2"/>
      <c r="J291" s="254" t="s">
        <v>678</v>
      </c>
      <c r="K291" s="2"/>
      <c r="L291" s="2">
        <v>42</v>
      </c>
      <c r="M291" s="253" t="s">
        <v>679</v>
      </c>
    </row>
    <row r="292" spans="1:13" ht="15" hidden="1" customHeight="1">
      <c r="A292">
        <v>288</v>
      </c>
      <c r="B292" t="s">
        <v>83</v>
      </c>
      <c r="C292" s="254" t="s">
        <v>108</v>
      </c>
      <c r="D292" s="70" t="s">
        <v>1263</v>
      </c>
      <c r="E292" s="38">
        <v>0</v>
      </c>
      <c r="F292" s="38" t="s">
        <v>107</v>
      </c>
      <c r="G292" s="72"/>
      <c r="J292" s="254" t="s">
        <v>678</v>
      </c>
      <c r="L292" s="2">
        <v>42</v>
      </c>
      <c r="M292" s="253" t="s">
        <v>679</v>
      </c>
    </row>
    <row r="293" spans="1:13" ht="15" hidden="1" customHeight="1">
      <c r="A293">
        <v>289</v>
      </c>
      <c r="B293" t="s">
        <v>83</v>
      </c>
      <c r="C293" s="254" t="s">
        <v>799</v>
      </c>
      <c r="D293" s="70"/>
      <c r="E293" s="38"/>
      <c r="F293" s="38" t="s">
        <v>107</v>
      </c>
      <c r="G293" s="72"/>
      <c r="J293" s="254"/>
      <c r="L293" s="2">
        <v>42</v>
      </c>
      <c r="M293" s="253" t="s">
        <v>679</v>
      </c>
    </row>
    <row r="294" spans="1:13" ht="15" hidden="1" customHeight="1">
      <c r="A294">
        <v>290</v>
      </c>
      <c r="B294" t="s">
        <v>83</v>
      </c>
      <c r="C294" s="254" t="s">
        <v>801</v>
      </c>
      <c r="D294" s="70"/>
      <c r="E294" s="38"/>
      <c r="F294" s="38" t="s">
        <v>107</v>
      </c>
      <c r="G294" s="72"/>
      <c r="J294" s="254"/>
      <c r="L294" s="2">
        <v>42</v>
      </c>
      <c r="M294" s="253" t="s">
        <v>679</v>
      </c>
    </row>
    <row r="295" spans="1:13" ht="15" hidden="1" customHeight="1">
      <c r="A295">
        <v>291</v>
      </c>
      <c r="B295" t="s">
        <v>83</v>
      </c>
      <c r="C295" s="254" t="s">
        <v>803</v>
      </c>
      <c r="D295" s="70"/>
      <c r="E295" s="38"/>
      <c r="F295" s="38" t="s">
        <v>107</v>
      </c>
      <c r="G295" s="72"/>
      <c r="J295" s="254"/>
      <c r="L295" s="2">
        <v>42</v>
      </c>
      <c r="M295" s="253" t="s">
        <v>679</v>
      </c>
    </row>
    <row r="296" spans="1:13" ht="15" hidden="1" customHeight="1">
      <c r="A296">
        <v>292</v>
      </c>
      <c r="B296" t="s">
        <v>83</v>
      </c>
      <c r="C296" s="254" t="s">
        <v>109</v>
      </c>
      <c r="D296" s="70" t="s">
        <v>4286</v>
      </c>
      <c r="E296" s="38">
        <v>0</v>
      </c>
      <c r="F296" s="38" t="s">
        <v>107</v>
      </c>
      <c r="G296" s="72"/>
      <c r="J296" s="254" t="s">
        <v>678</v>
      </c>
      <c r="L296" s="2">
        <v>42</v>
      </c>
      <c r="M296" s="253" t="s">
        <v>679</v>
      </c>
    </row>
    <row r="297" spans="1:13" ht="15" hidden="1" customHeight="1">
      <c r="A297">
        <v>293</v>
      </c>
      <c r="B297" t="s">
        <v>83</v>
      </c>
      <c r="C297" s="254" t="s">
        <v>110</v>
      </c>
      <c r="D297" s="70" t="s">
        <v>2560</v>
      </c>
      <c r="E297" s="38"/>
      <c r="F297" s="38" t="s">
        <v>107</v>
      </c>
      <c r="G297" s="72"/>
      <c r="J297" s="254"/>
      <c r="L297" s="2">
        <v>42</v>
      </c>
      <c r="M297" s="253" t="s">
        <v>679</v>
      </c>
    </row>
    <row r="298" spans="1:13" ht="15" hidden="1" customHeight="1">
      <c r="A298">
        <v>294</v>
      </c>
      <c r="B298" t="s">
        <v>83</v>
      </c>
      <c r="C298" s="254" t="s">
        <v>1128</v>
      </c>
      <c r="D298" s="70"/>
      <c r="E298" s="38">
        <v>0</v>
      </c>
      <c r="F298" s="38" t="s">
        <v>107</v>
      </c>
      <c r="G298" s="72"/>
      <c r="J298" s="254"/>
      <c r="L298" s="2">
        <v>42</v>
      </c>
      <c r="M298" s="253" t="s">
        <v>679</v>
      </c>
    </row>
    <row r="299" spans="1:13" ht="15" hidden="1" customHeight="1">
      <c r="A299">
        <v>295</v>
      </c>
      <c r="B299" t="s">
        <v>83</v>
      </c>
      <c r="C299" s="254" t="s">
        <v>811</v>
      </c>
      <c r="D299" s="70"/>
      <c r="E299" s="38" t="s">
        <v>1172</v>
      </c>
      <c r="F299" s="38" t="s">
        <v>4287</v>
      </c>
      <c r="G299" s="72">
        <v>300</v>
      </c>
      <c r="J299" s="254" t="s">
        <v>680</v>
      </c>
      <c r="L299" s="2">
        <v>42</v>
      </c>
      <c r="M299" s="253" t="s">
        <v>679</v>
      </c>
    </row>
    <row r="300" spans="1:13" ht="15" hidden="1" customHeight="1">
      <c r="A300">
        <v>296</v>
      </c>
      <c r="B300" t="s">
        <v>83</v>
      </c>
      <c r="C300" s="254" t="s">
        <v>1820</v>
      </c>
      <c r="D300" s="70" t="s">
        <v>1821</v>
      </c>
      <c r="E300" s="38" t="s">
        <v>1172</v>
      </c>
      <c r="F300" s="38" t="s">
        <v>4288</v>
      </c>
      <c r="G300" s="72"/>
      <c r="J300" s="254" t="s">
        <v>680</v>
      </c>
      <c r="L300" s="2">
        <v>42</v>
      </c>
      <c r="M300" s="253" t="s">
        <v>679</v>
      </c>
    </row>
    <row r="301" spans="1:13" ht="15" hidden="1" customHeight="1">
      <c r="A301">
        <v>297</v>
      </c>
      <c r="B301" t="s">
        <v>83</v>
      </c>
      <c r="C301" s="254" t="s">
        <v>815</v>
      </c>
      <c r="D301" s="70" t="s">
        <v>4289</v>
      </c>
      <c r="E301" s="38" t="s">
        <v>1186</v>
      </c>
      <c r="F301" s="38" t="s">
        <v>4290</v>
      </c>
      <c r="G301" s="72"/>
      <c r="J301" s="254" t="s">
        <v>678</v>
      </c>
      <c r="L301" s="2">
        <v>42</v>
      </c>
      <c r="M301" s="253" t="s">
        <v>679</v>
      </c>
    </row>
    <row r="302" spans="1:13" ht="15" hidden="1" customHeight="1">
      <c r="A302">
        <v>298</v>
      </c>
      <c r="B302" t="s">
        <v>83</v>
      </c>
      <c r="C302" s="254" t="s">
        <v>91</v>
      </c>
      <c r="D302" s="70" t="s">
        <v>1378</v>
      </c>
      <c r="E302" s="38" t="s">
        <v>1172</v>
      </c>
      <c r="F302" s="38" t="s">
        <v>90</v>
      </c>
      <c r="G302" s="72">
        <v>200</v>
      </c>
      <c r="J302" s="254" t="s">
        <v>678</v>
      </c>
      <c r="L302" s="2">
        <v>42</v>
      </c>
      <c r="M302" s="253" t="s">
        <v>679</v>
      </c>
    </row>
    <row r="303" spans="1:13" ht="15" hidden="1" customHeight="1">
      <c r="A303">
        <v>299</v>
      </c>
      <c r="B303" t="s">
        <v>83</v>
      </c>
      <c r="C303" s="254" t="s">
        <v>4291</v>
      </c>
      <c r="D303" s="70" t="s">
        <v>4292</v>
      </c>
      <c r="E303" s="38" t="s">
        <v>1186</v>
      </c>
      <c r="F303" s="38" t="s">
        <v>105</v>
      </c>
      <c r="G303" s="72">
        <v>100</v>
      </c>
      <c r="J303" s="254" t="s">
        <v>678</v>
      </c>
      <c r="L303" s="2">
        <v>42</v>
      </c>
      <c r="M303" s="253" t="s">
        <v>679</v>
      </c>
    </row>
    <row r="304" spans="1:13" ht="15" hidden="1" customHeight="1">
      <c r="A304">
        <v>300</v>
      </c>
      <c r="B304" t="s">
        <v>83</v>
      </c>
      <c r="C304" s="254" t="s">
        <v>820</v>
      </c>
      <c r="D304" s="70"/>
      <c r="E304" s="38"/>
      <c r="G304" s="72"/>
      <c r="J304" s="254"/>
      <c r="L304" s="2">
        <v>42</v>
      </c>
      <c r="M304" s="253" t="s">
        <v>679</v>
      </c>
    </row>
    <row r="305" spans="1:13" ht="15" hidden="1" customHeight="1">
      <c r="A305">
        <v>301</v>
      </c>
      <c r="B305" t="s">
        <v>83</v>
      </c>
      <c r="C305" s="254" t="s">
        <v>822</v>
      </c>
      <c r="D305" s="70" t="s">
        <v>4293</v>
      </c>
      <c r="E305" s="70" t="s">
        <v>1172</v>
      </c>
      <c r="F305" s="38" t="s">
        <v>4294</v>
      </c>
      <c r="G305" s="72">
        <v>90</v>
      </c>
      <c r="J305" s="254" t="s">
        <v>680</v>
      </c>
      <c r="L305" s="2">
        <v>42</v>
      </c>
      <c r="M305" s="253" t="s">
        <v>679</v>
      </c>
    </row>
    <row r="306" spans="1:13" ht="15" hidden="1" customHeight="1">
      <c r="A306">
        <v>302</v>
      </c>
      <c r="B306" t="s">
        <v>83</v>
      </c>
      <c r="C306" s="254" t="s">
        <v>824</v>
      </c>
      <c r="D306" s="70" t="s">
        <v>4295</v>
      </c>
      <c r="E306" s="70" t="s">
        <v>1172</v>
      </c>
      <c r="F306" s="38" t="s">
        <v>4296</v>
      </c>
      <c r="G306" s="72">
        <v>28</v>
      </c>
      <c r="J306" s="254" t="s">
        <v>680</v>
      </c>
      <c r="L306" s="2">
        <v>42</v>
      </c>
      <c r="M306" s="253" t="s">
        <v>679</v>
      </c>
    </row>
    <row r="307" spans="1:13" ht="15" hidden="1" customHeight="1">
      <c r="A307">
        <v>303</v>
      </c>
      <c r="B307" t="s">
        <v>83</v>
      </c>
      <c r="C307" s="254" t="s">
        <v>826</v>
      </c>
      <c r="D307" s="70" t="s">
        <v>4297</v>
      </c>
      <c r="E307" s="254" t="s">
        <v>1172</v>
      </c>
      <c r="F307" s="38" t="s">
        <v>4298</v>
      </c>
      <c r="G307" s="72">
        <v>140</v>
      </c>
      <c r="J307" s="254" t="s">
        <v>680</v>
      </c>
      <c r="L307" s="2">
        <v>42</v>
      </c>
      <c r="M307" s="253" t="s">
        <v>679</v>
      </c>
    </row>
    <row r="308" spans="1:13" ht="15" hidden="1" customHeight="1">
      <c r="A308">
        <v>304</v>
      </c>
      <c r="B308" t="s">
        <v>83</v>
      </c>
      <c r="C308" s="254" t="s">
        <v>830</v>
      </c>
      <c r="D308" s="70" t="s">
        <v>4299</v>
      </c>
      <c r="E308" s="254" t="s">
        <v>1172</v>
      </c>
      <c r="F308" s="38" t="s">
        <v>4300</v>
      </c>
      <c r="G308" s="72">
        <v>21</v>
      </c>
      <c r="J308" s="254" t="s">
        <v>680</v>
      </c>
      <c r="L308" s="2">
        <v>42</v>
      </c>
      <c r="M308" s="253" t="s">
        <v>679</v>
      </c>
    </row>
    <row r="309" spans="1:13" ht="15" hidden="1" customHeight="1">
      <c r="A309">
        <v>305</v>
      </c>
      <c r="B309" t="s">
        <v>83</v>
      </c>
      <c r="C309" s="254" t="s">
        <v>832</v>
      </c>
      <c r="D309" s="70" t="s">
        <v>4301</v>
      </c>
      <c r="E309" s="38" t="s">
        <v>1231</v>
      </c>
      <c r="F309" s="38" t="s">
        <v>4290</v>
      </c>
      <c r="G309" s="72"/>
      <c r="J309" s="254" t="s">
        <v>678</v>
      </c>
      <c r="L309" s="2">
        <v>42</v>
      </c>
      <c r="M309" s="253" t="s">
        <v>679</v>
      </c>
    </row>
    <row r="310" spans="1:13" ht="15" hidden="1" customHeight="1">
      <c r="A310">
        <v>306</v>
      </c>
      <c r="B310" t="s">
        <v>83</v>
      </c>
      <c r="C310" s="254" t="s">
        <v>834</v>
      </c>
      <c r="D310" s="70"/>
      <c r="E310" s="38"/>
      <c r="G310" s="72"/>
      <c r="J310" s="254"/>
      <c r="L310" s="2">
        <v>42</v>
      </c>
      <c r="M310" s="253" t="s">
        <v>679</v>
      </c>
    </row>
    <row r="311" spans="1:13" ht="15" hidden="1" customHeight="1">
      <c r="A311">
        <v>307</v>
      </c>
      <c r="B311" t="s">
        <v>83</v>
      </c>
      <c r="C311" s="254" t="s">
        <v>836</v>
      </c>
      <c r="D311" s="70"/>
      <c r="E311" s="38"/>
      <c r="G311" s="72"/>
      <c r="J311" s="254"/>
      <c r="L311" s="2">
        <v>42</v>
      </c>
      <c r="M311" s="253" t="s">
        <v>679</v>
      </c>
    </row>
    <row r="312" spans="1:13" ht="15" hidden="1" customHeight="1">
      <c r="A312">
        <v>308</v>
      </c>
      <c r="B312" t="s">
        <v>83</v>
      </c>
      <c r="C312" s="254" t="s">
        <v>1643</v>
      </c>
      <c r="D312" s="70" t="s">
        <v>1644</v>
      </c>
      <c r="E312" s="38" t="s">
        <v>1301</v>
      </c>
      <c r="F312" s="38" t="s">
        <v>105</v>
      </c>
      <c r="G312" s="72">
        <v>50</v>
      </c>
      <c r="J312" s="254" t="s">
        <v>680</v>
      </c>
      <c r="L312" s="2">
        <v>42</v>
      </c>
      <c r="M312" s="253" t="s">
        <v>679</v>
      </c>
    </row>
    <row r="313" spans="1:13" ht="15" hidden="1" customHeight="1">
      <c r="A313">
        <v>309</v>
      </c>
      <c r="B313" t="s">
        <v>83</v>
      </c>
      <c r="C313" s="254" t="s">
        <v>446</v>
      </c>
      <c r="D313" s="70" t="s">
        <v>1641</v>
      </c>
      <c r="E313" s="38" t="s">
        <v>1231</v>
      </c>
      <c r="F313" s="38" t="s">
        <v>105</v>
      </c>
      <c r="G313" s="72">
        <v>50</v>
      </c>
      <c r="J313" s="254" t="s">
        <v>680</v>
      </c>
      <c r="L313" s="2">
        <v>42</v>
      </c>
      <c r="M313" s="253" t="s">
        <v>679</v>
      </c>
    </row>
    <row r="314" spans="1:13" ht="15" hidden="1" customHeight="1">
      <c r="A314">
        <v>310</v>
      </c>
      <c r="B314" t="s">
        <v>83</v>
      </c>
      <c r="C314" s="254" t="s">
        <v>841</v>
      </c>
      <c r="D314" s="70"/>
      <c r="E314" s="38"/>
      <c r="G314" s="72"/>
      <c r="J314" s="254"/>
      <c r="L314" s="2">
        <v>42</v>
      </c>
      <c r="M314" s="253" t="s">
        <v>679</v>
      </c>
    </row>
    <row r="315" spans="1:13" ht="15" hidden="1" customHeight="1">
      <c r="A315">
        <v>311</v>
      </c>
      <c r="B315" t="s">
        <v>83</v>
      </c>
      <c r="C315" s="254" t="s">
        <v>843</v>
      </c>
      <c r="D315" s="70" t="s">
        <v>4302</v>
      </c>
      <c r="E315" s="38" t="s">
        <v>1172</v>
      </c>
      <c r="F315" s="38" t="s">
        <v>105</v>
      </c>
      <c r="G315" s="72">
        <v>100</v>
      </c>
      <c r="J315" s="254" t="s">
        <v>680</v>
      </c>
      <c r="L315" s="2">
        <v>42</v>
      </c>
      <c r="M315" s="253" t="s">
        <v>679</v>
      </c>
    </row>
    <row r="316" spans="1:13" ht="15" hidden="1" customHeight="1">
      <c r="A316">
        <v>312</v>
      </c>
      <c r="B316" t="s">
        <v>83</v>
      </c>
      <c r="C316" s="254" t="s">
        <v>845</v>
      </c>
      <c r="D316" s="70" t="s">
        <v>4303</v>
      </c>
      <c r="E316" s="38">
        <v>0</v>
      </c>
      <c r="F316" s="38" t="s">
        <v>4304</v>
      </c>
      <c r="G316" s="72">
        <v>100</v>
      </c>
      <c r="J316" s="254" t="s">
        <v>680</v>
      </c>
      <c r="L316" s="2">
        <v>42</v>
      </c>
      <c r="M316" s="253" t="s">
        <v>679</v>
      </c>
    </row>
    <row r="317" spans="1:13" ht="15" hidden="1" customHeight="1">
      <c r="A317">
        <v>313</v>
      </c>
      <c r="B317" t="s">
        <v>83</v>
      </c>
      <c r="C317" s="254" t="s">
        <v>847</v>
      </c>
      <c r="D317" s="70" t="s">
        <v>4305</v>
      </c>
      <c r="E317" s="38" t="s">
        <v>1176</v>
      </c>
      <c r="F317" s="38" t="s">
        <v>105</v>
      </c>
      <c r="G317" s="72">
        <v>25</v>
      </c>
      <c r="J317" s="254" t="s">
        <v>678</v>
      </c>
      <c r="L317" s="2">
        <v>42</v>
      </c>
      <c r="M317" s="253" t="s">
        <v>679</v>
      </c>
    </row>
    <row r="318" spans="1:13" ht="15" hidden="1" customHeight="1">
      <c r="A318">
        <v>314</v>
      </c>
      <c r="B318" t="s">
        <v>83</v>
      </c>
      <c r="C318" s="254" t="s">
        <v>314</v>
      </c>
      <c r="D318" s="70" t="s">
        <v>4306</v>
      </c>
      <c r="E318" s="38" t="s">
        <v>1219</v>
      </c>
      <c r="F318" s="38" t="s">
        <v>105</v>
      </c>
      <c r="G318" s="72">
        <v>100</v>
      </c>
      <c r="J318" s="254" t="s">
        <v>678</v>
      </c>
      <c r="L318" s="2">
        <v>42</v>
      </c>
      <c r="M318" s="253" t="s">
        <v>679</v>
      </c>
    </row>
    <row r="319" spans="1:13" ht="15" hidden="1" customHeight="1">
      <c r="A319">
        <v>315</v>
      </c>
      <c r="B319" t="s">
        <v>83</v>
      </c>
      <c r="C319" s="224" t="s">
        <v>274</v>
      </c>
      <c r="D319" s="70" t="s">
        <v>4307</v>
      </c>
      <c r="E319" s="38" t="s">
        <v>1172</v>
      </c>
      <c r="F319" s="38" t="s">
        <v>105</v>
      </c>
      <c r="G319" s="72">
        <v>100</v>
      </c>
      <c r="J319" s="254" t="s">
        <v>678</v>
      </c>
      <c r="L319" s="2">
        <v>42</v>
      </c>
      <c r="M319" s="253" t="s">
        <v>679</v>
      </c>
    </row>
    <row r="320" spans="1:13" ht="15" hidden="1" customHeight="1">
      <c r="A320">
        <v>316</v>
      </c>
      <c r="B320" t="s">
        <v>83</v>
      </c>
      <c r="C320" s="224" t="s">
        <v>851</v>
      </c>
      <c r="D320" s="70" t="s">
        <v>4308</v>
      </c>
      <c r="E320" s="38" t="s">
        <v>1231</v>
      </c>
      <c r="F320" s="38" t="s">
        <v>105</v>
      </c>
      <c r="G320" s="72">
        <v>100</v>
      </c>
      <c r="J320" s="254" t="s">
        <v>678</v>
      </c>
      <c r="L320" s="2">
        <v>42</v>
      </c>
      <c r="M320" s="253" t="s">
        <v>679</v>
      </c>
    </row>
    <row r="321" spans="1:13" ht="15" hidden="1" customHeight="1">
      <c r="A321">
        <v>317</v>
      </c>
      <c r="B321" t="s">
        <v>83</v>
      </c>
      <c r="C321" s="224" t="s">
        <v>106</v>
      </c>
      <c r="D321" s="70" t="s">
        <v>1977</v>
      </c>
      <c r="E321" s="38" t="s">
        <v>1181</v>
      </c>
      <c r="F321" s="38" t="s">
        <v>105</v>
      </c>
      <c r="G321" s="72">
        <v>100</v>
      </c>
      <c r="J321" s="254" t="s">
        <v>678</v>
      </c>
      <c r="L321" s="2">
        <v>42</v>
      </c>
      <c r="M321" s="253" t="s">
        <v>679</v>
      </c>
    </row>
    <row r="322" spans="1:13" ht="15" hidden="1" customHeight="1">
      <c r="A322">
        <v>318</v>
      </c>
      <c r="B322" t="s">
        <v>83</v>
      </c>
      <c r="C322" s="224" t="s">
        <v>854</v>
      </c>
      <c r="D322" s="70" t="s">
        <v>4309</v>
      </c>
      <c r="E322" s="38" t="s">
        <v>1219</v>
      </c>
      <c r="F322" s="38" t="s">
        <v>105</v>
      </c>
      <c r="G322" s="72">
        <v>100</v>
      </c>
      <c r="J322" s="254" t="s">
        <v>678</v>
      </c>
      <c r="L322" s="2">
        <v>42</v>
      </c>
      <c r="M322" s="253" t="s">
        <v>679</v>
      </c>
    </row>
    <row r="323" spans="1:13" ht="15" hidden="1" customHeight="1">
      <c r="A323">
        <v>319</v>
      </c>
      <c r="B323" t="s">
        <v>83</v>
      </c>
      <c r="C323" s="224" t="s">
        <v>471</v>
      </c>
      <c r="D323" s="70" t="s">
        <v>4310</v>
      </c>
      <c r="E323" s="38" t="s">
        <v>4311</v>
      </c>
      <c r="F323" s="38" t="s">
        <v>105</v>
      </c>
      <c r="G323" s="72">
        <v>200</v>
      </c>
      <c r="J323" s="254" t="s">
        <v>678</v>
      </c>
      <c r="L323" s="2">
        <v>42</v>
      </c>
      <c r="M323" s="253" t="s">
        <v>679</v>
      </c>
    </row>
    <row r="324" spans="1:13" ht="15" hidden="1" customHeight="1">
      <c r="A324">
        <v>320</v>
      </c>
      <c r="B324" t="s">
        <v>83</v>
      </c>
      <c r="C324" s="224" t="s">
        <v>347</v>
      </c>
      <c r="D324" s="70" t="s">
        <v>4312</v>
      </c>
      <c r="E324" s="38" t="s">
        <v>1301</v>
      </c>
      <c r="F324" s="38" t="s">
        <v>105</v>
      </c>
      <c r="G324" s="72">
        <v>200</v>
      </c>
      <c r="J324" s="254" t="s">
        <v>678</v>
      </c>
      <c r="L324" s="2">
        <v>42</v>
      </c>
      <c r="M324" s="253" t="s">
        <v>679</v>
      </c>
    </row>
    <row r="325" spans="1:13" ht="15" hidden="1" customHeight="1">
      <c r="A325">
        <v>321</v>
      </c>
      <c r="B325" t="s">
        <v>83</v>
      </c>
      <c r="C325" s="224" t="s">
        <v>859</v>
      </c>
      <c r="D325" s="70" t="s">
        <v>4313</v>
      </c>
      <c r="E325" s="38" t="s">
        <v>1176</v>
      </c>
      <c r="F325" s="38" t="s">
        <v>105</v>
      </c>
      <c r="G325" s="72">
        <v>100</v>
      </c>
      <c r="J325" s="254" t="s">
        <v>680</v>
      </c>
      <c r="L325" s="2">
        <v>42</v>
      </c>
      <c r="M325" s="253" t="s">
        <v>679</v>
      </c>
    </row>
    <row r="326" spans="1:13" ht="15" hidden="1" customHeight="1">
      <c r="A326">
        <v>322</v>
      </c>
      <c r="B326" t="s">
        <v>83</v>
      </c>
      <c r="C326" s="224" t="s">
        <v>408</v>
      </c>
      <c r="D326" s="70" t="s">
        <v>3351</v>
      </c>
      <c r="E326" s="38" t="s">
        <v>1172</v>
      </c>
      <c r="F326" s="38" t="s">
        <v>4314</v>
      </c>
      <c r="G326" s="72">
        <v>100</v>
      </c>
      <c r="J326" s="254" t="s">
        <v>678</v>
      </c>
      <c r="L326" s="2">
        <v>42</v>
      </c>
      <c r="M326" s="253" t="s">
        <v>679</v>
      </c>
    </row>
    <row r="327" spans="1:13" ht="15" hidden="1" customHeight="1">
      <c r="A327">
        <v>323</v>
      </c>
      <c r="B327" t="s">
        <v>83</v>
      </c>
      <c r="C327" s="262" t="s">
        <v>1237</v>
      </c>
      <c r="D327" s="70" t="s">
        <v>1238</v>
      </c>
      <c r="E327" s="38" t="s">
        <v>1172</v>
      </c>
      <c r="F327" s="38" t="s">
        <v>4314</v>
      </c>
      <c r="G327" s="72">
        <v>200</v>
      </c>
      <c r="J327" s="254" t="s">
        <v>678</v>
      </c>
      <c r="L327" s="2">
        <v>42</v>
      </c>
      <c r="M327" s="253" t="s">
        <v>679</v>
      </c>
    </row>
    <row r="328" spans="1:13" ht="15" hidden="1" customHeight="1">
      <c r="A328">
        <v>324</v>
      </c>
      <c r="B328" t="s">
        <v>83</v>
      </c>
      <c r="C328" s="254" t="s">
        <v>339</v>
      </c>
      <c r="D328" s="70" t="s">
        <v>4315</v>
      </c>
      <c r="E328" s="38" t="s">
        <v>1231</v>
      </c>
      <c r="F328" s="38" t="s">
        <v>4314</v>
      </c>
      <c r="G328" s="72">
        <v>200</v>
      </c>
      <c r="J328" s="254" t="s">
        <v>680</v>
      </c>
      <c r="L328" s="2">
        <v>42</v>
      </c>
      <c r="M328" s="253" t="s">
        <v>679</v>
      </c>
    </row>
    <row r="329" spans="1:13" ht="15" hidden="1" customHeight="1">
      <c r="A329">
        <v>325</v>
      </c>
      <c r="B329" t="s">
        <v>83</v>
      </c>
      <c r="C329" s="254" t="s">
        <v>864</v>
      </c>
      <c r="D329" s="70" t="s">
        <v>4316</v>
      </c>
      <c r="E329" s="38" t="s">
        <v>1172</v>
      </c>
      <c r="F329" s="38" t="s">
        <v>105</v>
      </c>
      <c r="G329" s="72">
        <v>100</v>
      </c>
      <c r="J329" s="254" t="s">
        <v>680</v>
      </c>
      <c r="L329" s="2">
        <v>42</v>
      </c>
      <c r="M329" s="253" t="s">
        <v>679</v>
      </c>
    </row>
    <row r="330" spans="1:13" ht="15" hidden="1" customHeight="1">
      <c r="A330">
        <v>326</v>
      </c>
      <c r="B330" t="s">
        <v>83</v>
      </c>
      <c r="C330" s="254" t="s">
        <v>326</v>
      </c>
      <c r="D330" s="70" t="s">
        <v>4317</v>
      </c>
      <c r="E330" s="38" t="s">
        <v>1219</v>
      </c>
      <c r="F330" s="38" t="s">
        <v>105</v>
      </c>
      <c r="G330" s="72">
        <v>100</v>
      </c>
      <c r="J330" s="254" t="s">
        <v>678</v>
      </c>
      <c r="L330" s="2">
        <v>42</v>
      </c>
      <c r="M330" s="253" t="s">
        <v>679</v>
      </c>
    </row>
    <row r="331" spans="1:13" ht="15" hidden="1" customHeight="1">
      <c r="A331">
        <v>327</v>
      </c>
      <c r="B331" t="s">
        <v>83</v>
      </c>
      <c r="C331" s="254" t="s">
        <v>403</v>
      </c>
      <c r="D331" s="70" t="s">
        <v>1234</v>
      </c>
      <c r="E331" s="38" t="s">
        <v>1172</v>
      </c>
      <c r="F331" s="38" t="s">
        <v>105</v>
      </c>
      <c r="G331" s="72">
        <v>100</v>
      </c>
      <c r="J331" s="254" t="s">
        <v>678</v>
      </c>
      <c r="L331" s="2">
        <v>42</v>
      </c>
      <c r="M331" s="253" t="s">
        <v>679</v>
      </c>
    </row>
    <row r="332" spans="1:13" ht="15" hidden="1" customHeight="1">
      <c r="A332">
        <v>328</v>
      </c>
      <c r="B332" t="s">
        <v>83</v>
      </c>
      <c r="C332" s="254" t="s">
        <v>756</v>
      </c>
      <c r="D332" s="70" t="s">
        <v>4272</v>
      </c>
      <c r="E332" s="38" t="s">
        <v>1301</v>
      </c>
      <c r="F332" s="38" t="s">
        <v>84</v>
      </c>
      <c r="G332" s="72"/>
      <c r="J332" s="254"/>
      <c r="L332" s="2">
        <v>42</v>
      </c>
      <c r="M332" s="253" t="s">
        <v>679</v>
      </c>
    </row>
    <row r="333" spans="1:13" ht="15" hidden="1" customHeight="1">
      <c r="A333">
        <v>329</v>
      </c>
      <c r="B333" s="36" t="s">
        <v>83</v>
      </c>
      <c r="C333" s="224" t="s">
        <v>758</v>
      </c>
      <c r="D333" s="117" t="s">
        <v>4278</v>
      </c>
      <c r="E333" s="34" t="s">
        <v>1231</v>
      </c>
      <c r="F333" s="34" t="s">
        <v>84</v>
      </c>
      <c r="G333" s="72"/>
      <c r="J333" s="254"/>
      <c r="L333" s="2">
        <v>42</v>
      </c>
      <c r="M333" s="253" t="s">
        <v>679</v>
      </c>
    </row>
    <row r="334" spans="1:13" ht="15" hidden="1" customHeight="1">
      <c r="A334">
        <v>330</v>
      </c>
      <c r="B334" s="36" t="s">
        <v>83</v>
      </c>
      <c r="C334" s="224" t="s">
        <v>760</v>
      </c>
      <c r="D334" s="117" t="s">
        <v>4278</v>
      </c>
      <c r="E334" s="34" t="s">
        <v>1186</v>
      </c>
      <c r="F334" s="34" t="s">
        <v>84</v>
      </c>
      <c r="G334" s="72"/>
      <c r="J334" s="254"/>
      <c r="L334" s="2">
        <v>42</v>
      </c>
      <c r="M334" s="253" t="s">
        <v>679</v>
      </c>
    </row>
    <row r="335" spans="1:13" ht="15" hidden="1" customHeight="1">
      <c r="A335">
        <v>331</v>
      </c>
      <c r="B335" s="36" t="s">
        <v>83</v>
      </c>
      <c r="C335" s="224" t="s">
        <v>762</v>
      </c>
      <c r="D335" s="117" t="s">
        <v>4278</v>
      </c>
      <c r="E335" s="34" t="s">
        <v>1301</v>
      </c>
      <c r="F335" s="34" t="s">
        <v>84</v>
      </c>
      <c r="G335" s="72"/>
      <c r="J335" s="254"/>
      <c r="L335" s="2">
        <v>42</v>
      </c>
      <c r="M335" s="253" t="s">
        <v>679</v>
      </c>
    </row>
    <row r="336" spans="1:13" ht="15" hidden="1" customHeight="1">
      <c r="A336">
        <v>332</v>
      </c>
      <c r="B336" s="36" t="s">
        <v>83</v>
      </c>
      <c r="C336" s="224" t="s">
        <v>764</v>
      </c>
      <c r="D336" s="117" t="s">
        <v>4278</v>
      </c>
      <c r="E336" s="34" t="s">
        <v>1186</v>
      </c>
      <c r="F336" s="34" t="s">
        <v>84</v>
      </c>
      <c r="G336" s="72"/>
      <c r="J336" s="254"/>
      <c r="L336" s="2">
        <v>42</v>
      </c>
      <c r="M336" s="253" t="s">
        <v>679</v>
      </c>
    </row>
    <row r="337" spans="1:13" ht="15" hidden="1" customHeight="1">
      <c r="A337">
        <v>333</v>
      </c>
      <c r="B337" s="36" t="s">
        <v>83</v>
      </c>
      <c r="C337" s="224" t="s">
        <v>766</v>
      </c>
      <c r="D337" s="117" t="s">
        <v>4278</v>
      </c>
      <c r="E337" s="34" t="s">
        <v>1204</v>
      </c>
      <c r="F337" s="34" t="s">
        <v>84</v>
      </c>
      <c r="G337" s="72"/>
      <c r="J337" s="254"/>
      <c r="L337" s="2">
        <v>42</v>
      </c>
      <c r="M337" s="253" t="s">
        <v>679</v>
      </c>
    </row>
    <row r="338" spans="1:13" ht="15" hidden="1" customHeight="1">
      <c r="A338">
        <v>334</v>
      </c>
      <c r="B338" s="36" t="s">
        <v>83</v>
      </c>
      <c r="C338" s="224" t="s">
        <v>768</v>
      </c>
      <c r="D338" s="117" t="s">
        <v>4318</v>
      </c>
      <c r="E338" s="34" t="s">
        <v>1176</v>
      </c>
      <c r="F338" s="34" t="s">
        <v>84</v>
      </c>
      <c r="G338" s="72"/>
      <c r="J338" s="254"/>
      <c r="L338" s="2">
        <v>42</v>
      </c>
      <c r="M338" s="253" t="s">
        <v>679</v>
      </c>
    </row>
    <row r="339" spans="1:13" ht="15" hidden="1" customHeight="1">
      <c r="A339">
        <v>335</v>
      </c>
      <c r="B339" s="344" t="s">
        <v>83</v>
      </c>
      <c r="C339" s="224" t="s">
        <v>102</v>
      </c>
      <c r="D339" s="117" t="s">
        <v>1306</v>
      </c>
      <c r="E339" s="34">
        <v>0</v>
      </c>
      <c r="F339" s="34" t="s">
        <v>96</v>
      </c>
      <c r="G339" s="72"/>
      <c r="J339" s="254" t="s">
        <v>678</v>
      </c>
      <c r="L339" s="2">
        <v>42</v>
      </c>
      <c r="M339" s="253" t="s">
        <v>679</v>
      </c>
    </row>
    <row r="340" spans="1:13" ht="15" hidden="1" customHeight="1">
      <c r="A340">
        <v>336</v>
      </c>
      <c r="B340" s="344" t="s">
        <v>83</v>
      </c>
      <c r="C340" s="224" t="s">
        <v>101</v>
      </c>
      <c r="D340" s="117" t="s">
        <v>1352</v>
      </c>
      <c r="E340" s="34">
        <v>0</v>
      </c>
      <c r="F340" s="34" t="s">
        <v>96</v>
      </c>
      <c r="G340" s="72"/>
      <c r="J340" s="254" t="s">
        <v>678</v>
      </c>
      <c r="L340" s="2">
        <v>42</v>
      </c>
      <c r="M340" s="253" t="s">
        <v>679</v>
      </c>
    </row>
    <row r="341" spans="1:13" ht="15" hidden="1" customHeight="1">
      <c r="A341">
        <v>337</v>
      </c>
      <c r="B341" s="344" t="s">
        <v>83</v>
      </c>
      <c r="C341" s="224" t="s">
        <v>100</v>
      </c>
      <c r="D341" s="117" t="s">
        <v>1255</v>
      </c>
      <c r="E341" s="34" t="s">
        <v>1176</v>
      </c>
      <c r="F341" s="34" t="s">
        <v>96</v>
      </c>
      <c r="G341" s="72"/>
      <c r="J341" s="254" t="s">
        <v>678</v>
      </c>
      <c r="L341" s="2">
        <v>42</v>
      </c>
      <c r="M341" s="253" t="s">
        <v>679</v>
      </c>
    </row>
    <row r="342" spans="1:13" ht="15" hidden="1" customHeight="1">
      <c r="A342">
        <v>338</v>
      </c>
      <c r="B342" s="344" t="s">
        <v>83</v>
      </c>
      <c r="C342" s="224" t="s">
        <v>99</v>
      </c>
      <c r="D342" s="117" t="s">
        <v>4319</v>
      </c>
      <c r="E342" s="34">
        <v>0</v>
      </c>
      <c r="F342" s="34" t="s">
        <v>96</v>
      </c>
      <c r="G342" s="72"/>
      <c r="J342" s="254" t="s">
        <v>678</v>
      </c>
      <c r="L342" s="2">
        <v>42</v>
      </c>
      <c r="M342" s="253" t="s">
        <v>679</v>
      </c>
    </row>
    <row r="343" spans="1:13" ht="15" hidden="1" customHeight="1">
      <c r="A343">
        <v>339</v>
      </c>
      <c r="B343" s="345" t="s">
        <v>83</v>
      </c>
      <c r="C343" s="263" t="s">
        <v>98</v>
      </c>
      <c r="D343" s="154" t="s">
        <v>4320</v>
      </c>
      <c r="E343" s="264" t="s">
        <v>1176</v>
      </c>
      <c r="F343" s="38" t="s">
        <v>96</v>
      </c>
      <c r="G343" s="72"/>
      <c r="H343" s="2"/>
      <c r="I343" s="2"/>
      <c r="J343" s="254" t="s">
        <v>678</v>
      </c>
      <c r="K343" s="2"/>
      <c r="L343" s="2">
        <v>42</v>
      </c>
      <c r="M343" s="253" t="s">
        <v>679</v>
      </c>
    </row>
    <row r="344" spans="1:13" ht="15" hidden="1" customHeight="1">
      <c r="A344">
        <v>340</v>
      </c>
      <c r="B344" s="344" t="s">
        <v>83</v>
      </c>
      <c r="C344" s="224" t="s">
        <v>97</v>
      </c>
      <c r="D344" s="117" t="s">
        <v>1294</v>
      </c>
      <c r="E344" s="34" t="s">
        <v>1172</v>
      </c>
      <c r="F344" s="38" t="s">
        <v>96</v>
      </c>
      <c r="G344" s="72"/>
      <c r="J344" s="254" t="s">
        <v>678</v>
      </c>
      <c r="L344" s="2">
        <v>42</v>
      </c>
      <c r="M344" s="253" t="s">
        <v>679</v>
      </c>
    </row>
    <row r="345" spans="1:13" ht="15" hidden="1" customHeight="1">
      <c r="A345">
        <v>341</v>
      </c>
      <c r="B345" s="36" t="s">
        <v>83</v>
      </c>
      <c r="C345" s="117" t="s">
        <v>103</v>
      </c>
      <c r="D345" s="117" t="s">
        <v>1633</v>
      </c>
      <c r="E345" s="34">
        <v>0</v>
      </c>
      <c r="F345" s="38" t="s">
        <v>96</v>
      </c>
      <c r="G345" s="72"/>
      <c r="J345" s="254" t="s">
        <v>678</v>
      </c>
      <c r="L345" s="2">
        <v>42</v>
      </c>
      <c r="M345" s="253" t="s">
        <v>679</v>
      </c>
    </row>
    <row r="346" spans="1:13" ht="15" hidden="1" customHeight="1">
      <c r="A346">
        <v>342</v>
      </c>
      <c r="B346" s="36" t="s">
        <v>83</v>
      </c>
      <c r="C346" s="117" t="s">
        <v>2383</v>
      </c>
      <c r="D346" s="117"/>
      <c r="E346" s="34"/>
      <c r="F346" s="38" t="s">
        <v>4321</v>
      </c>
      <c r="G346" s="72"/>
      <c r="J346" s="254"/>
      <c r="K346" s="2"/>
      <c r="L346" s="2"/>
      <c r="M346" s="253"/>
    </row>
    <row r="347" spans="1:13" ht="15" hidden="1" customHeight="1">
      <c r="A347">
        <v>343</v>
      </c>
      <c r="B347" s="36" t="s">
        <v>83</v>
      </c>
      <c r="C347" s="117" t="s">
        <v>104</v>
      </c>
      <c r="D347" s="117" t="s">
        <v>4322</v>
      </c>
      <c r="E347" s="42" t="s">
        <v>1257</v>
      </c>
      <c r="F347" s="38" t="s">
        <v>96</v>
      </c>
      <c r="G347" s="72"/>
      <c r="J347" s="254" t="s">
        <v>680</v>
      </c>
      <c r="K347" s="2"/>
      <c r="L347" s="2"/>
      <c r="M347" s="253" t="s">
        <v>679</v>
      </c>
    </row>
    <row r="348" spans="1:13" ht="15" hidden="1" customHeight="1">
      <c r="A348">
        <v>344</v>
      </c>
      <c r="B348" s="36" t="s">
        <v>83</v>
      </c>
      <c r="C348" s="117" t="s">
        <v>3847</v>
      </c>
      <c r="D348" s="117"/>
      <c r="E348" s="34"/>
      <c r="G348" s="72"/>
      <c r="J348" s="254"/>
      <c r="K348" s="2"/>
      <c r="L348" s="2"/>
      <c r="M348" s="253"/>
    </row>
    <row r="349" spans="1:13" ht="15" hidden="1" customHeight="1">
      <c r="A349">
        <v>345</v>
      </c>
      <c r="B349" s="36" t="s">
        <v>83</v>
      </c>
      <c r="C349" s="117" t="s">
        <v>2603</v>
      </c>
      <c r="D349" s="117"/>
      <c r="E349" s="34"/>
      <c r="F349" s="38" t="s">
        <v>4288</v>
      </c>
      <c r="G349" s="72"/>
      <c r="J349" s="254"/>
      <c r="K349" s="2"/>
      <c r="L349" s="2"/>
      <c r="M349" s="253"/>
    </row>
    <row r="350" spans="1:13" ht="15" hidden="1" customHeight="1">
      <c r="A350">
        <v>346</v>
      </c>
      <c r="B350" s="36" t="s">
        <v>83</v>
      </c>
      <c r="C350" s="117" t="s">
        <v>2384</v>
      </c>
      <c r="D350" s="117"/>
      <c r="E350" s="34"/>
      <c r="F350" s="38" t="s">
        <v>4321</v>
      </c>
      <c r="G350" s="72"/>
      <c r="J350" s="254"/>
      <c r="K350" s="2"/>
      <c r="L350" s="2"/>
      <c r="M350" s="253"/>
    </row>
    <row r="351" spans="1:13" ht="15" hidden="1" customHeight="1">
      <c r="A351">
        <v>347</v>
      </c>
      <c r="B351" s="36" t="s">
        <v>83</v>
      </c>
      <c r="C351" s="117" t="s">
        <v>2572</v>
      </c>
      <c r="D351" s="70" t="s">
        <v>2573</v>
      </c>
      <c r="E351" s="34" t="s">
        <v>1231</v>
      </c>
      <c r="F351" s="38" t="s">
        <v>4323</v>
      </c>
      <c r="G351" s="72"/>
      <c r="J351" s="254" t="s">
        <v>680</v>
      </c>
      <c r="K351" s="2"/>
      <c r="L351" s="2"/>
      <c r="M351" s="253" t="s">
        <v>679</v>
      </c>
    </row>
    <row r="352" spans="1:13" ht="15" hidden="1" customHeight="1">
      <c r="A352">
        <v>348</v>
      </c>
      <c r="B352" s="36" t="s">
        <v>83</v>
      </c>
      <c r="C352" s="117" t="s">
        <v>2579</v>
      </c>
      <c r="D352" s="70" t="s">
        <v>2580</v>
      </c>
      <c r="E352" s="34" t="s">
        <v>1219</v>
      </c>
      <c r="F352" s="38" t="s">
        <v>4323</v>
      </c>
      <c r="G352" s="72"/>
      <c r="J352" s="254" t="s">
        <v>680</v>
      </c>
      <c r="K352" s="2"/>
      <c r="L352" s="2"/>
      <c r="M352" s="253" t="s">
        <v>679</v>
      </c>
    </row>
    <row r="353" spans="1:13" ht="15" hidden="1" customHeight="1">
      <c r="A353">
        <v>349</v>
      </c>
      <c r="B353" s="36" t="s">
        <v>83</v>
      </c>
      <c r="C353" s="117" t="s">
        <v>95</v>
      </c>
      <c r="D353" s="70" t="s">
        <v>3014</v>
      </c>
      <c r="E353" s="34" t="s">
        <v>1176</v>
      </c>
      <c r="F353" s="38" t="s">
        <v>94</v>
      </c>
      <c r="G353" s="72"/>
      <c r="J353" s="254" t="s">
        <v>680</v>
      </c>
      <c r="K353" s="2"/>
      <c r="L353" s="2"/>
      <c r="M353" s="253"/>
    </row>
    <row r="354" spans="1:13" ht="15" hidden="1" customHeight="1">
      <c r="A354">
        <v>350</v>
      </c>
      <c r="B354" s="36" t="s">
        <v>83</v>
      </c>
      <c r="C354" s="117" t="s">
        <v>2981</v>
      </c>
      <c r="D354" s="70" t="s">
        <v>4272</v>
      </c>
      <c r="E354" s="118"/>
      <c r="F354" s="38" t="s">
        <v>84</v>
      </c>
      <c r="G354" s="72"/>
      <c r="J354" s="254"/>
      <c r="K354" s="2"/>
      <c r="L354" s="2"/>
      <c r="M354" s="253" t="s">
        <v>679</v>
      </c>
    </row>
    <row r="355" spans="1:13" ht="15" hidden="1" customHeight="1">
      <c r="A355">
        <v>351</v>
      </c>
      <c r="B355" t="s">
        <v>83</v>
      </c>
      <c r="C355" t="s">
        <v>3365</v>
      </c>
      <c r="D355" t="s">
        <v>4324</v>
      </c>
      <c r="E355" s="38"/>
      <c r="F355" s="38" t="s">
        <v>105</v>
      </c>
      <c r="J355" s="70" t="s">
        <v>678</v>
      </c>
      <c r="K355" s="2"/>
      <c r="L355" s="2"/>
    </row>
    <row r="356" spans="1:13" ht="15" hidden="1" customHeight="1">
      <c r="A356">
        <v>352</v>
      </c>
      <c r="B356" t="s">
        <v>83</v>
      </c>
      <c r="C356" s="70">
        <v>154805.12100000001</v>
      </c>
      <c r="D356" t="s">
        <v>4324</v>
      </c>
      <c r="E356" s="38"/>
      <c r="F356" s="38" t="s">
        <v>105</v>
      </c>
      <c r="J356" s="70" t="s">
        <v>678</v>
      </c>
      <c r="K356" s="2"/>
      <c r="L356" s="2"/>
    </row>
    <row r="357" spans="1:13" ht="15" hidden="1" customHeight="1">
      <c r="A357">
        <v>353</v>
      </c>
      <c r="B357" t="s">
        <v>83</v>
      </c>
      <c r="C357" t="s">
        <v>92</v>
      </c>
      <c r="D357" t="s">
        <v>4325</v>
      </c>
      <c r="E357" s="38"/>
      <c r="F357" s="38" t="s">
        <v>90</v>
      </c>
      <c r="J357" s="70" t="s">
        <v>678</v>
      </c>
      <c r="K357" s="2"/>
      <c r="L357" s="2"/>
    </row>
    <row r="358" spans="1:13" ht="15" hidden="1" customHeight="1">
      <c r="A358">
        <v>354</v>
      </c>
      <c r="B358" t="s">
        <v>83</v>
      </c>
      <c r="C358" t="s">
        <v>93</v>
      </c>
      <c r="D358" t="s">
        <v>4301</v>
      </c>
      <c r="E358" s="38"/>
      <c r="F358" s="38" t="s">
        <v>90</v>
      </c>
      <c r="J358" s="70" t="s">
        <v>678</v>
      </c>
      <c r="K358" s="2"/>
      <c r="L358" s="2"/>
    </row>
    <row r="359" spans="1:13" ht="15" hidden="1" customHeight="1">
      <c r="A359">
        <v>355</v>
      </c>
      <c r="B359" t="s">
        <v>132</v>
      </c>
      <c r="C359" s="254">
        <v>557809</v>
      </c>
      <c r="D359" s="70" t="s">
        <v>4326</v>
      </c>
      <c r="E359" s="38" t="s">
        <v>4096</v>
      </c>
      <c r="G359" s="72">
        <v>200</v>
      </c>
      <c r="J359" s="254" t="s">
        <v>678</v>
      </c>
      <c r="L359" s="2">
        <v>56</v>
      </c>
      <c r="M359" s="253" t="s">
        <v>677</v>
      </c>
    </row>
    <row r="360" spans="1:13" ht="15" hidden="1" customHeight="1">
      <c r="A360">
        <v>356</v>
      </c>
      <c r="B360" t="s">
        <v>133</v>
      </c>
      <c r="C360" t="s">
        <v>2304</v>
      </c>
      <c r="D360" s="70" t="s">
        <v>2305</v>
      </c>
      <c r="E360" s="38">
        <v>5</v>
      </c>
      <c r="F360" s="38" t="s">
        <v>4327</v>
      </c>
      <c r="G360" s="72"/>
      <c r="J360" s="254" t="s">
        <v>680</v>
      </c>
      <c r="K360" s="2"/>
      <c r="L360" s="2">
        <v>56</v>
      </c>
      <c r="M360" s="253" t="s">
        <v>677</v>
      </c>
    </row>
    <row r="361" spans="1:13" ht="15" hidden="1" customHeight="1">
      <c r="A361">
        <v>357</v>
      </c>
      <c r="B361" t="s">
        <v>133</v>
      </c>
      <c r="C361" s="70" t="s">
        <v>2300</v>
      </c>
      <c r="D361" s="70" t="s">
        <v>2301</v>
      </c>
      <c r="E361" s="38">
        <v>4</v>
      </c>
      <c r="F361" s="38" t="s">
        <v>4327</v>
      </c>
      <c r="G361" s="72"/>
      <c r="J361" s="254" t="s">
        <v>680</v>
      </c>
      <c r="K361" s="2"/>
      <c r="L361" s="2">
        <v>56</v>
      </c>
      <c r="M361" s="253" t="s">
        <v>677</v>
      </c>
    </row>
    <row r="362" spans="1:13" ht="15" hidden="1" customHeight="1">
      <c r="A362">
        <v>358</v>
      </c>
      <c r="B362" t="s">
        <v>133</v>
      </c>
      <c r="C362" s="70" t="s">
        <v>2307</v>
      </c>
      <c r="D362" s="70" t="s">
        <v>2308</v>
      </c>
      <c r="E362" s="38">
        <v>4</v>
      </c>
      <c r="F362" s="38" t="s">
        <v>4327</v>
      </c>
      <c r="G362" s="72"/>
      <c r="J362" s="254" t="s">
        <v>680</v>
      </c>
      <c r="K362" s="2"/>
      <c r="L362" s="2">
        <v>56</v>
      </c>
      <c r="M362" s="253" t="s">
        <v>677</v>
      </c>
    </row>
    <row r="363" spans="1:13" ht="15" hidden="1" customHeight="1">
      <c r="A363">
        <v>359</v>
      </c>
      <c r="B363" t="s">
        <v>133</v>
      </c>
      <c r="C363" s="70" t="s">
        <v>2309</v>
      </c>
      <c r="D363" s="70" t="s">
        <v>2310</v>
      </c>
      <c r="E363" s="38">
        <v>7</v>
      </c>
      <c r="F363" s="38" t="s">
        <v>4327</v>
      </c>
      <c r="G363" s="72"/>
      <c r="J363" s="254" t="s">
        <v>680</v>
      </c>
      <c r="K363" s="2"/>
      <c r="L363" s="2">
        <v>56</v>
      </c>
      <c r="M363" s="253" t="s">
        <v>677</v>
      </c>
    </row>
    <row r="364" spans="1:13" ht="15" hidden="1" customHeight="1">
      <c r="A364">
        <v>360</v>
      </c>
      <c r="B364" t="s">
        <v>83</v>
      </c>
      <c r="C364" s="70" t="s">
        <v>4341</v>
      </c>
      <c r="D364" t="s">
        <v>4354</v>
      </c>
      <c r="F364" s="38" t="s">
        <v>105</v>
      </c>
      <c r="J364" s="70" t="s">
        <v>680</v>
      </c>
      <c r="M364" s="355"/>
    </row>
    <row r="365" spans="1:13" ht="15" hidden="1" customHeight="1">
      <c r="A365">
        <v>361</v>
      </c>
      <c r="B365" t="s">
        <v>4382</v>
      </c>
      <c r="C365" s="70" t="s">
        <v>4383</v>
      </c>
      <c r="F365" s="38" t="s">
        <v>105</v>
      </c>
      <c r="J365" s="70" t="s">
        <v>680</v>
      </c>
      <c r="M365" s="355"/>
    </row>
    <row r="366" spans="1:13" ht="15" hidden="1" customHeight="1">
      <c r="A366">
        <v>362</v>
      </c>
      <c r="B366" t="s">
        <v>4382</v>
      </c>
      <c r="C366" s="70" t="s">
        <v>4384</v>
      </c>
      <c r="F366" s="38" t="s">
        <v>105</v>
      </c>
      <c r="J366" s="70" t="s">
        <v>680</v>
      </c>
      <c r="M366" s="356"/>
    </row>
    <row r="367" spans="1:13" ht="15" hidden="1" customHeight="1">
      <c r="A367">
        <v>363</v>
      </c>
      <c r="B367" t="s">
        <v>4382</v>
      </c>
      <c r="C367" s="70" t="s">
        <v>4385</v>
      </c>
      <c r="F367" s="38" t="s">
        <v>105</v>
      </c>
      <c r="J367" s="70" t="s">
        <v>680</v>
      </c>
      <c r="M367" s="356"/>
    </row>
  </sheetData>
  <dataValidations count="3">
    <dataValidation type="list" allowBlank="1" showInputMessage="1" showErrorMessage="1" sqref="M5:M363" xr:uid="{8BD3549E-A2A2-401F-94B8-223CCDA613FE}">
      <formula1>"yes, no"</formula1>
    </dataValidation>
    <dataValidation type="list" allowBlank="1" showInputMessage="1" showErrorMessage="1" sqref="J5:J367" xr:uid="{66C6C464-6C6A-40C9-9863-6ABC1A004EC8}">
      <formula1>"approved, project"</formula1>
    </dataValidation>
    <dataValidation type="list" allowBlank="1" showInputMessage="1" showErrorMessage="1" sqref="C341" xr:uid="{4C8D5B62-C6E4-4FA3-92CA-FFBD89A6E768}">
      <formula1>$C$5:$C$363</formula1>
    </dataValidation>
  </dataValidations>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E5BA7C72A7CBD46BC14894420D0992C" ma:contentTypeVersion="6" ma:contentTypeDescription="Create a new document." ma:contentTypeScope="" ma:versionID="70684a38e925891342d30c9fe8c899eb">
  <xsd:schema xmlns:xsd="http://www.w3.org/2001/XMLSchema" xmlns:xs="http://www.w3.org/2001/XMLSchema" xmlns:p="http://schemas.microsoft.com/office/2006/metadata/properties" xmlns:ns2="6e311a7e-9b88-4214-8f4c-826c17bd776e" xmlns:ns3="38c02e58-3b63-4edf-a93f-ae83a80536cc" targetNamespace="http://schemas.microsoft.com/office/2006/metadata/properties" ma:root="true" ma:fieldsID="fa4b5d4dd02f379dbd348e3ad802c93b" ns2:_="" ns3:_="">
    <xsd:import namespace="6e311a7e-9b88-4214-8f4c-826c17bd776e"/>
    <xsd:import namespace="38c02e58-3b63-4edf-a93f-ae83a80536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311a7e-9b88-4214-8f4c-826c17bd77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8c02e58-3b63-4edf-a93f-ae83a80536c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A599DB-3579-4102-AD31-E5E8B29721EB}">
  <ds:schemaRefs>
    <ds:schemaRef ds:uri="http://purl.org/dc/elements/1.1/"/>
    <ds:schemaRef ds:uri="http://schemas.microsoft.com/office/2006/documentManagement/types"/>
    <ds:schemaRef ds:uri="http://purl.org/dc/terms/"/>
    <ds:schemaRef ds:uri="http://www.w3.org/XML/1998/namespace"/>
    <ds:schemaRef ds:uri="http://purl.org/dc/dcmitype/"/>
    <ds:schemaRef ds:uri="http://schemas.microsoft.com/office/infopath/2007/PartnerControls"/>
    <ds:schemaRef ds:uri="http://schemas.openxmlformats.org/package/2006/metadata/core-properties"/>
    <ds:schemaRef ds:uri="38c02e58-3b63-4edf-a93f-ae83a80536cc"/>
    <ds:schemaRef ds:uri="6e311a7e-9b88-4214-8f4c-826c17bd776e"/>
    <ds:schemaRef ds:uri="http://schemas.microsoft.com/office/2006/metadata/properties"/>
  </ds:schemaRefs>
</ds:datastoreItem>
</file>

<file path=customXml/itemProps2.xml><?xml version="1.0" encoding="utf-8"?>
<ds:datastoreItem xmlns:ds="http://schemas.openxmlformats.org/officeDocument/2006/customXml" ds:itemID="{B948F73D-F32B-4863-88C2-05F631ED1A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311a7e-9b88-4214-8f4c-826c17bd776e"/>
    <ds:schemaRef ds:uri="38c02e58-3b63-4edf-a93f-ae83a80536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BF3A9C-6FCB-40F4-834F-19CDC3AFB688}">
  <ds:schemaRefs>
    <ds:schemaRef ds:uri="http://schemas.microsoft.com/DataMashup"/>
  </ds:schemaRefs>
</ds:datastoreItem>
</file>

<file path=customXml/itemProps4.xml><?xml version="1.0" encoding="utf-8"?>
<ds:datastoreItem xmlns:ds="http://schemas.openxmlformats.org/officeDocument/2006/customXml" ds:itemID="{042BF427-FF76-4941-9698-3CC337A4AEE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8</vt:i4>
      </vt:variant>
    </vt:vector>
  </HeadingPairs>
  <TitlesOfParts>
    <vt:vector size="24" baseType="lpstr">
      <vt:lpstr>Backlog+Comenzi de produs (2)</vt:lpstr>
      <vt:lpstr>Orders</vt:lpstr>
      <vt:lpstr>Livrari (2)</vt:lpstr>
      <vt:lpstr>Livrari</vt:lpstr>
      <vt:lpstr>Sheet2</vt:lpstr>
      <vt:lpstr>OTD</vt:lpstr>
      <vt:lpstr>LOP_SupplyChain</vt:lpstr>
      <vt:lpstr>Registru unic-FURNIZORI</vt:lpstr>
      <vt:lpstr>list</vt:lpstr>
      <vt:lpstr>Database_Routing</vt:lpstr>
      <vt:lpstr>Backlog+Comenzi de produs</vt:lpstr>
      <vt:lpstr>Registru unic-CLIENTI</vt:lpstr>
      <vt:lpstr>All OTD</vt:lpstr>
      <vt:lpstr>PDB</vt:lpstr>
      <vt:lpstr>Pret Alex</vt:lpstr>
      <vt:lpstr>DATABASE_FG</vt:lpstr>
      <vt:lpstr>'Backlog+Comenzi de produs'!Print_Area</vt:lpstr>
      <vt:lpstr>Livrari!Print_Area</vt:lpstr>
      <vt:lpstr>'Registru unic-CLIENTI'!Print_Area</vt:lpstr>
      <vt:lpstr>'Registru unic-FURNIZORI'!Print_Area</vt:lpstr>
      <vt:lpstr>'Backlog+Comenzi de produs'!Print_Titles</vt:lpstr>
      <vt:lpstr>'Backlog+Comenzi de produs (2)'!Print_Titles</vt:lpstr>
      <vt:lpstr>'Livrari (2)'!Print_Titles</vt:lpstr>
      <vt:lpstr>Orders!Print_Titles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Logistica</dc:creator>
  <cp:keywords/>
  <dc:description/>
  <cp:lastModifiedBy>Lucian Cozac</cp:lastModifiedBy>
  <cp:revision/>
  <cp:lastPrinted>2025-11-04T08:41:22Z</cp:lastPrinted>
  <dcterms:created xsi:type="dcterms:W3CDTF">2021-12-22T11:46:19Z</dcterms:created>
  <dcterms:modified xsi:type="dcterms:W3CDTF">2025-11-06T13:44:19Z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0x0101004E5BA7C72A7CBD46BC14894420D0992C</vt:lpwstr>
  </property>
</Properties>
</file>